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615"/>
  <workbookPr codeName="ThisWorkbook" autoCompressPictures="0"/>
  <mc:AlternateContent xmlns:mc="http://schemas.openxmlformats.org/markup-compatibility/2006">
    <mc:Choice Requires="x15">
      <x15ac:absPath xmlns:x15ac="http://schemas.microsoft.com/office/spreadsheetml/2010/11/ac" url="/Users/al-ahmadgaidasaad/Documents/WORK/NEURAL-MECHANICS/DEV/edc/data/"/>
    </mc:Choice>
  </mc:AlternateContent>
  <bookViews>
    <workbookView xWindow="0" yWindow="460" windowWidth="28800" windowHeight="16700" tabRatio="893" firstSheet="16" activeTab="17"/>
  </bookViews>
  <sheets>
    <sheet name="PR Template (PHP)" sheetId="57" state="hidden" r:id="rId1"/>
    <sheet name="PR Template(USD)" sheetId="53" state="hidden" r:id="rId2"/>
    <sheet name="DATA RESOURCE" sheetId="50" state="hidden" r:id="rId3"/>
    <sheet name="Contents" sheetId="30" state="hidden" r:id="rId4"/>
    <sheet name="EQUIPMENT" sheetId="13" state="hidden" r:id="rId5"/>
    <sheet name="TPWSI RR" sheetId="47" state="hidden" r:id="rId6"/>
    <sheet name="Rig1Peripherals" sheetId="59" state="hidden" r:id="rId7"/>
    <sheet name="Fuel" sheetId="46" state="hidden" r:id="rId8"/>
    <sheet name="CHF" sheetId="49" state="hidden" r:id="rId9"/>
    <sheet name="Rockbits" sheetId="45" r:id="rId10"/>
    <sheet name="Inventory Consu" sheetId="73" state="hidden" r:id="rId11"/>
    <sheet name="Cement SLB Rev" sheetId="70" r:id="rId12"/>
    <sheet name="MUD Consumables" sheetId="71" r:id="rId13"/>
    <sheet name="Casings et al" sheetId="76" r:id="rId14"/>
    <sheet name="ALLOCATED COSTS" sheetId="12" state="hidden" r:id="rId15"/>
    <sheet name="Common matcode" sheetId="77" state="hidden" r:id="rId16"/>
    <sheet name="Inventory Report_5.4.2017" sheetId="78" r:id="rId17"/>
    <sheet name="INPUT" sheetId="3" r:id="rId18"/>
    <sheet name="COVER SHEET" sheetId="1" r:id="rId19"/>
    <sheet name="JARSSHOCKTOOLDDT" sheetId="11" r:id="rId20"/>
    <sheet name="ADA COSTS" sheetId="10" r:id="rId21"/>
    <sheet name="Casing Running" sheetId="5" state="hidden" r:id="rId22"/>
    <sheet name="Rig Move" sheetId="14" state="hidden" r:id="rId23"/>
    <sheet name="Rig 2 Equip" sheetId="48" state="hidden" r:id="rId24"/>
    <sheet name="Cost Details" sheetId="29" r:id="rId25"/>
    <sheet name="OPSCOM SUM" sheetId="67" r:id="rId26"/>
    <sheet name="CHANGES" sheetId="74" r:id="rId27"/>
  </sheets>
  <externalReferences>
    <externalReference r:id="rId28"/>
    <externalReference r:id="rId29"/>
    <externalReference r:id="rId30"/>
    <externalReference r:id="rId31"/>
  </externalReferences>
  <definedNames>
    <definedName name="_xlnm._FilterDatabase" localSheetId="10" hidden="1">'Inventory Consu'!$A$1:$M$463</definedName>
    <definedName name="AREA">INPUT!$AB$10:$AB$12</definedName>
    <definedName name="BHCSG" localSheetId="5">'[1]CSG &amp; ACCS OTHERS'!$A$2:$D$43</definedName>
    <definedName name="BHCSG">#REF!</definedName>
    <definedName name="CompletionTest" localSheetId="5">[1]INPUT!$C$22</definedName>
    <definedName name="CompletionTest">INPUT!$D$33</definedName>
    <definedName name="DIESEL" localSheetId="5">[1]INPUT!$C$21</definedName>
    <definedName name="DIESEL">INPUT!$D$32</definedName>
    <definedName name="DINTERHOLE">INPUT!$F$24</definedName>
    <definedName name="DINTERMEDIATE" localSheetId="5">'[1]Cost Details'!$F$19</definedName>
    <definedName name="DINTERMEDIATE">INPUT!$AG$62</definedName>
    <definedName name="DIRECTIONAL">INPUT!$AC$21:$AC$22</definedName>
    <definedName name="DLINER1" localSheetId="5">'[1]Cost Details'!$H$19</definedName>
    <definedName name="DLINER1">INPUT!$AG$64</definedName>
    <definedName name="DLINER2" localSheetId="5">'[1]Cost Details'!$I$19</definedName>
    <definedName name="DLINER2">INPUT!$AG$65</definedName>
    <definedName name="DLINER3">INPUT!$AG$66</definedName>
    <definedName name="DOUBLE_LINER">INPUT!$D$8</definedName>
    <definedName name="DPL1HOLE">INPUT!$F$26</definedName>
    <definedName name="DPL2HOLE">INPUT!$F$27</definedName>
    <definedName name="DPL3HOLE">INPUT!$F$28</definedName>
    <definedName name="DPRODHOLE">INPUT!$F$25</definedName>
    <definedName name="DPRODUCTION" localSheetId="5">'[1]Cost Details'!$G$19</definedName>
    <definedName name="DPRODUCTION">INPUT!$AG$63</definedName>
    <definedName name="DRELHOLE">INPUT!$G$29</definedName>
    <definedName name="DSURFACE" localSheetId="5">'[1]Cost Details'!$E$19</definedName>
    <definedName name="DSURFACE">INPUT!$AG$61</definedName>
    <definedName name="DSURFACEHOLE">INPUT!$F$23</definedName>
    <definedName name="FINTERMEDIATE" localSheetId="5">'[1]Cost Details'!$F$20</definedName>
    <definedName name="FINTERMEDIATE">INPUT!$AH$62</definedName>
    <definedName name="FLATDAYS">INPUT!$AH$61:$AH$67</definedName>
    <definedName name="FLINER1" localSheetId="5">'[1]Cost Details'!$H$20</definedName>
    <definedName name="FLINER1">INPUT!$AH$64</definedName>
    <definedName name="FLINER2" localSheetId="5">'[1]Cost Details'!$I$20</definedName>
    <definedName name="FLINER2">INPUT!$AH$65</definedName>
    <definedName name="FLINER3">INPUT!$AH$66</definedName>
    <definedName name="FOREX" localSheetId="5">[1]INPUT!$C$20</definedName>
    <definedName name="FOREX">INPUT!$D$31</definedName>
    <definedName name="FPRODUCTION" localSheetId="5">'[1]Cost Details'!$G$20</definedName>
    <definedName name="FPRODUCTION">INPUT!$AH$63</definedName>
    <definedName name="FRELINE">INPUT!$AH$67</definedName>
    <definedName name="FSURFACE" localSheetId="5">'[1]Cost Details'!$E$20</definedName>
    <definedName name="FSURFACE">INPUT!$AH$61</definedName>
    <definedName name="HALLIBURTON" localSheetId="5">[1]JARSSHOCKTOOLDDT!$G$12:$K$50</definedName>
    <definedName name="HALLIBURTON">JARSSHOCKTOOLDDT!$G$80:$K$124</definedName>
    <definedName name="HOLE">INPUT!$AE$6:$AE$7</definedName>
    <definedName name="HoleSizeCol" localSheetId="5">[2]HoleSize!$A$1:$A$65536</definedName>
    <definedName name="INTERMEDIATE" localSheetId="5">[1]INPUT!$J$30</definedName>
    <definedName name="INTERMEDIATE">INPUT!$AI$62</definedName>
    <definedName name="LINER1">INPUT!$AI$64</definedName>
    <definedName name="LINER2">INPUT!$AI$67</definedName>
    <definedName name="MFM_DATASOURCE">'DATA RESOURCE'!$A$9:$U$33</definedName>
    <definedName name="MFM_DATASOURCE_VMI">'DATA RESOURCE'!$A$21:$AU$22</definedName>
    <definedName name="MFM_PLANT" localSheetId="2">'DATA RESOURCE'!$D$56:$E$59</definedName>
    <definedName name="MFM_PLANT">'DATA RESOURCE'!$D$56:$E$59</definedName>
    <definedName name="MFM_PRLIST">'DATA RESOURCE'!$A$9:$A$33</definedName>
    <definedName name="pak" localSheetId="5">[1]Sheet3!$C$3:$F$349</definedName>
    <definedName name="Perfect?">#REF!</definedName>
    <definedName name="_xlnm.Print_Area" localSheetId="3">Contents!$A$4:$F$98</definedName>
    <definedName name="_xlnm.Print_Area" localSheetId="24">'Cost Details'!$U$1:$AN$66</definedName>
    <definedName name="_xlnm.Print_Area" localSheetId="18">'COVER SHEET'!$A$1:$H$62</definedName>
    <definedName name="_xlnm.Print_Area" localSheetId="2">'DATA RESOURCE'!$A$6:$AU$33</definedName>
    <definedName name="_xlnm.Print_Area" localSheetId="0">'PR Template (PHP)'!$A$1:$M$35</definedName>
    <definedName name="_xlnm.Print_Area" localSheetId="1">'PR Template(USD)'!$A$1:$M$51</definedName>
    <definedName name="PRlist_VMI">'DATA RESOURCE'!$A$21:$A$45</definedName>
    <definedName name="PRODUCTION">INPUT!$AI$63</definedName>
    <definedName name="RELCSG">INPUT!$AF$37:$AF$40</definedName>
    <definedName name="RELOUTER">INPUT!$AJ$37:$AJ$40</definedName>
    <definedName name="RH_BH">INPUT!$D$7</definedName>
    <definedName name="RHCSG" localSheetId="5">'[1]CSG &amp; ACCS OTHERS'!$E$2:$H$43</definedName>
    <definedName name="RHCSG">#REF!</definedName>
    <definedName name="RIGMOVE" localSheetId="5">'[1]Cost Details'!$D$20</definedName>
    <definedName name="RIGMOVE">INPUT!$H$10</definedName>
    <definedName name="RIGS">INPUT!$AB$13:$AB$25</definedName>
    <definedName name="ROP">INPUT!$H$7</definedName>
    <definedName name="ROPTABLE">INPUT!$AB$15:$AC$18</definedName>
    <definedName name="schedule" localSheetId="5">'[1]DVD Input'!$B$8:$G$19</definedName>
    <definedName name="SDI" localSheetId="5">[1]JARSSHOCKTOOLDDT!$A$12:$E$50</definedName>
    <definedName name="SDI">JARSSHOCKTOOLDDT!$A$80:$E$135</definedName>
    <definedName name="SURFACE" localSheetId="5">[1]INPUT!$J$29</definedName>
    <definedName name="SURFACE">INPUT!$AI$61</definedName>
    <definedName name="TD">INPUT!$D$6</definedName>
    <definedName name="WEATHERFORD" localSheetId="5">[1]JARSSHOCKTOOLDDT!$A$3:$E$9</definedName>
    <definedName name="WEATHERFORD">JARSSHOCKTOOLDDT!$A$3:$E$9</definedName>
    <definedName name="YESORNO">INPUT!$AE$15:$AE$16</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S16" i="3" l="1"/>
  <c r="S18" i="3"/>
  <c r="F23" i="3"/>
  <c r="U7" i="3"/>
  <c r="V7" i="3"/>
  <c r="Y770" i="29"/>
  <c r="Z770" i="29"/>
  <c r="S7" i="3"/>
  <c r="S8" i="3"/>
  <c r="S9" i="3"/>
  <c r="S10" i="3"/>
  <c r="S14" i="3"/>
  <c r="H5" i="3"/>
  <c r="W776" i="29"/>
  <c r="W771" i="29"/>
  <c r="Z771" i="29"/>
  <c r="W772" i="29"/>
  <c r="Z772" i="29"/>
  <c r="Z776" i="29"/>
  <c r="Z777" i="29"/>
  <c r="X53" i="29"/>
  <c r="AG61" i="3"/>
  <c r="Y53" i="29"/>
  <c r="Z53" i="29"/>
  <c r="AG62" i="3"/>
  <c r="AA53" i="29"/>
  <c r="AB53" i="29"/>
  <c r="AG63" i="3"/>
  <c r="AC53" i="29"/>
  <c r="AD53" i="29"/>
  <c r="AG64" i="3"/>
  <c r="AE53" i="29"/>
  <c r="AF53" i="29"/>
  <c r="AG14" i="29"/>
  <c r="AG53" i="29"/>
  <c r="AH14" i="29"/>
  <c r="AH53" i="29"/>
  <c r="AI53" i="29"/>
  <c r="AJ53" i="29"/>
  <c r="AK53" i="29"/>
  <c r="AM53" i="29"/>
  <c r="N37" i="45"/>
  <c r="Y709" i="29"/>
  <c r="Y711" i="29"/>
  <c r="C24" i="59"/>
  <c r="B18" i="59"/>
  <c r="B21" i="59"/>
  <c r="B20" i="59"/>
  <c r="C22" i="59"/>
  <c r="D24" i="59"/>
  <c r="D22" i="59"/>
  <c r="E22" i="59"/>
  <c r="E23" i="59"/>
  <c r="W715" i="29"/>
  <c r="Y715" i="29"/>
  <c r="Y717" i="29"/>
  <c r="Y49" i="29"/>
  <c r="Z709" i="29"/>
  <c r="Z711" i="29"/>
  <c r="Z715" i="29"/>
  <c r="Z717" i="29"/>
  <c r="Z49" i="29"/>
  <c r="AA709" i="29"/>
  <c r="AA711" i="29"/>
  <c r="AA715" i="29"/>
  <c r="AA717" i="29"/>
  <c r="AA49" i="29"/>
  <c r="AB709" i="29"/>
  <c r="AB711" i="29"/>
  <c r="AB715" i="29"/>
  <c r="AB717" i="29"/>
  <c r="AB49" i="29"/>
  <c r="AC709" i="29"/>
  <c r="AC711" i="29"/>
  <c r="AC715" i="29"/>
  <c r="AC717" i="29"/>
  <c r="AC49" i="29"/>
  <c r="AD709" i="29"/>
  <c r="AD711" i="29"/>
  <c r="AD715" i="29"/>
  <c r="AD717" i="29"/>
  <c r="AD49" i="29"/>
  <c r="AE709" i="29"/>
  <c r="AE711" i="29"/>
  <c r="AE715" i="29"/>
  <c r="AE717" i="29"/>
  <c r="AE49" i="29"/>
  <c r="AG706" i="29"/>
  <c r="AF709" i="29"/>
  <c r="AF711" i="29"/>
  <c r="AF715" i="29"/>
  <c r="H7" i="3"/>
  <c r="W713" i="29"/>
  <c r="AF713" i="29"/>
  <c r="AF712" i="29"/>
  <c r="AF716" i="29"/>
  <c r="AF717" i="29"/>
  <c r="AF49" i="29"/>
  <c r="AG709" i="29"/>
  <c r="AG711" i="29"/>
  <c r="AG715" i="29"/>
  <c r="AG717" i="29"/>
  <c r="AG49" i="29"/>
  <c r="AH706" i="29"/>
  <c r="AH709" i="29"/>
  <c r="AH711" i="29"/>
  <c r="AH715" i="29"/>
  <c r="AH713" i="29"/>
  <c r="AH710" i="29"/>
  <c r="AH712" i="29"/>
  <c r="AH716" i="29"/>
  <c r="AH717" i="29"/>
  <c r="AH49" i="29"/>
  <c r="AI709" i="29"/>
  <c r="AI711" i="29"/>
  <c r="AI713" i="29"/>
  <c r="AI715" i="29"/>
  <c r="AI717" i="29"/>
  <c r="AI49" i="29"/>
  <c r="AJ709" i="29"/>
  <c r="AJ711" i="29"/>
  <c r="AJ713" i="29"/>
  <c r="AJ715" i="29"/>
  <c r="AJ712" i="29"/>
  <c r="AJ717" i="29"/>
  <c r="AJ49" i="29"/>
  <c r="AK710" i="29"/>
  <c r="AK711" i="29"/>
  <c r="AK715" i="29"/>
  <c r="AK717" i="29"/>
  <c r="AK49" i="29"/>
  <c r="AM49" i="29"/>
  <c r="Y704" i="29"/>
  <c r="Y705" i="29"/>
  <c r="N6" i="3"/>
  <c r="AH61" i="3"/>
  <c r="N7" i="3"/>
  <c r="N8" i="3"/>
  <c r="N9" i="3"/>
  <c r="N10" i="3"/>
  <c r="N11" i="3"/>
  <c r="N12" i="3"/>
  <c r="AH64" i="3"/>
  <c r="N13" i="3"/>
  <c r="AG65" i="3"/>
  <c r="N14" i="3"/>
  <c r="AH65" i="3"/>
  <c r="N15" i="3"/>
  <c r="Y174" i="29"/>
  <c r="L4" i="70"/>
  <c r="W4" i="70"/>
  <c r="Y176" i="29"/>
  <c r="M25" i="3"/>
  <c r="U90" i="78"/>
  <c r="R90" i="78"/>
  <c r="O90" i="78"/>
  <c r="L90" i="78"/>
  <c r="I90" i="78"/>
  <c r="W90" i="78"/>
  <c r="I4" i="45"/>
  <c r="K39" i="3"/>
  <c r="U577" i="78"/>
  <c r="R577" i="78"/>
  <c r="O577" i="78"/>
  <c r="L577" i="78"/>
  <c r="I577" i="78"/>
  <c r="W577" i="78"/>
  <c r="I5" i="45"/>
  <c r="K40" i="3"/>
  <c r="U189" i="78"/>
  <c r="R189" i="78"/>
  <c r="O189" i="78"/>
  <c r="L189" i="78"/>
  <c r="I189" i="78"/>
  <c r="W189" i="78"/>
  <c r="I6" i="45"/>
  <c r="K41" i="3"/>
  <c r="U31" i="78"/>
  <c r="R31" i="78"/>
  <c r="O31" i="78"/>
  <c r="L31" i="78"/>
  <c r="I31" i="78"/>
  <c r="W31" i="78"/>
  <c r="I7" i="45"/>
  <c r="K42" i="3"/>
  <c r="U387" i="78"/>
  <c r="R387" i="78"/>
  <c r="O387" i="78"/>
  <c r="L387" i="78"/>
  <c r="I387" i="78"/>
  <c r="W387" i="78"/>
  <c r="I8" i="45"/>
  <c r="K43" i="3"/>
  <c r="U165" i="78"/>
  <c r="R165" i="78"/>
  <c r="O165" i="78"/>
  <c r="L165" i="78"/>
  <c r="I165" i="78"/>
  <c r="W165" i="78"/>
  <c r="I9" i="45"/>
  <c r="K44" i="3"/>
  <c r="U416" i="78"/>
  <c r="R416" i="78"/>
  <c r="O416" i="78"/>
  <c r="L416" i="78"/>
  <c r="I416" i="78"/>
  <c r="W416" i="78"/>
  <c r="I10" i="45"/>
  <c r="K45" i="3"/>
  <c r="U184" i="78"/>
  <c r="R184" i="78"/>
  <c r="O184" i="78"/>
  <c r="L184" i="78"/>
  <c r="I184" i="78"/>
  <c r="W184" i="78"/>
  <c r="I11" i="45"/>
  <c r="K46" i="3"/>
  <c r="U162" i="78"/>
  <c r="R162" i="78"/>
  <c r="O162" i="78"/>
  <c r="L162" i="78"/>
  <c r="I162" i="78"/>
  <c r="W162" i="78"/>
  <c r="I12" i="45"/>
  <c r="K47" i="3"/>
  <c r="U587" i="78"/>
  <c r="R587" i="78"/>
  <c r="O587" i="78"/>
  <c r="L587" i="78"/>
  <c r="I587" i="78"/>
  <c r="W587" i="78"/>
  <c r="I13" i="45"/>
  <c r="K48" i="3"/>
  <c r="U169" i="78"/>
  <c r="R169" i="78"/>
  <c r="O169" i="78"/>
  <c r="L169" i="78"/>
  <c r="I169" i="78"/>
  <c r="W169" i="78"/>
  <c r="I14" i="45"/>
  <c r="K49" i="3"/>
  <c r="U318" i="78"/>
  <c r="R318" i="78"/>
  <c r="O318" i="78"/>
  <c r="L318" i="78"/>
  <c r="I318" i="78"/>
  <c r="W318" i="78"/>
  <c r="I15" i="45"/>
  <c r="K50" i="3"/>
  <c r="U593" i="78"/>
  <c r="R593" i="78"/>
  <c r="O593" i="78"/>
  <c r="L593" i="78"/>
  <c r="I593" i="78"/>
  <c r="W593" i="78"/>
  <c r="I16" i="45"/>
  <c r="K51" i="3"/>
  <c r="U461" i="78"/>
  <c r="R461" i="78"/>
  <c r="O461" i="78"/>
  <c r="L461" i="78"/>
  <c r="I461" i="78"/>
  <c r="W461" i="78"/>
  <c r="I17" i="45"/>
  <c r="K52" i="3"/>
  <c r="U317" i="78"/>
  <c r="R317" i="78"/>
  <c r="O317" i="78"/>
  <c r="L317" i="78"/>
  <c r="I317" i="78"/>
  <c r="W317" i="78"/>
  <c r="I18" i="45"/>
  <c r="K53" i="3"/>
  <c r="U181" i="78"/>
  <c r="R181" i="78"/>
  <c r="O181" i="78"/>
  <c r="L181" i="78"/>
  <c r="I181" i="78"/>
  <c r="W181" i="78"/>
  <c r="I19" i="45"/>
  <c r="K54" i="3"/>
  <c r="U186" i="78"/>
  <c r="R186" i="78"/>
  <c r="O186" i="78"/>
  <c r="L186" i="78"/>
  <c r="I186" i="78"/>
  <c r="W186" i="78"/>
  <c r="I20" i="45"/>
  <c r="K55" i="3"/>
  <c r="U39" i="78"/>
  <c r="R39" i="78"/>
  <c r="O39" i="78"/>
  <c r="L39" i="78"/>
  <c r="I39" i="78"/>
  <c r="W39" i="78"/>
  <c r="I21" i="45"/>
  <c r="K56" i="3"/>
  <c r="U174" i="78"/>
  <c r="R174" i="78"/>
  <c r="O174" i="78"/>
  <c r="L174" i="78"/>
  <c r="I174" i="78"/>
  <c r="W174" i="78"/>
  <c r="I22" i="45"/>
  <c r="K57" i="3"/>
  <c r="U591" i="78"/>
  <c r="R591" i="78"/>
  <c r="O591" i="78"/>
  <c r="L591" i="78"/>
  <c r="I591" i="78"/>
  <c r="W591" i="78"/>
  <c r="I23" i="45"/>
  <c r="K58" i="3"/>
  <c r="U590" i="78"/>
  <c r="R590" i="78"/>
  <c r="O590" i="78"/>
  <c r="L590" i="78"/>
  <c r="I590" i="78"/>
  <c r="W590" i="78"/>
  <c r="I24" i="45"/>
  <c r="K59" i="3"/>
  <c r="U422" i="78"/>
  <c r="R422" i="78"/>
  <c r="O422" i="78"/>
  <c r="L422" i="78"/>
  <c r="I422" i="78"/>
  <c r="W422" i="78"/>
  <c r="I25" i="45"/>
  <c r="K60" i="3"/>
  <c r="U182" i="78"/>
  <c r="R182" i="78"/>
  <c r="O182" i="78"/>
  <c r="L182" i="78"/>
  <c r="I182" i="78"/>
  <c r="W182" i="78"/>
  <c r="I26" i="45"/>
  <c r="K61" i="3"/>
  <c r="U183" i="78"/>
  <c r="R183" i="78"/>
  <c r="O183" i="78"/>
  <c r="L183" i="78"/>
  <c r="I183" i="78"/>
  <c r="W183" i="78"/>
  <c r="I27" i="45"/>
  <c r="K62" i="3"/>
  <c r="K63" i="3"/>
  <c r="K64" i="3"/>
  <c r="K65" i="3"/>
  <c r="K66" i="3"/>
  <c r="K68" i="3"/>
  <c r="F4" i="45"/>
  <c r="I39" i="3"/>
  <c r="U288" i="78"/>
  <c r="R288" i="78"/>
  <c r="O288" i="78"/>
  <c r="L288" i="78"/>
  <c r="I288" i="78"/>
  <c r="W288" i="78"/>
  <c r="F5" i="45"/>
  <c r="I40" i="3"/>
  <c r="U166" i="78"/>
  <c r="R166" i="78"/>
  <c r="O166" i="78"/>
  <c r="L166" i="78"/>
  <c r="I166" i="78"/>
  <c r="W166" i="78"/>
  <c r="F6" i="45"/>
  <c r="I41" i="3"/>
  <c r="F7" i="45"/>
  <c r="I42" i="3"/>
  <c r="U588" i="78"/>
  <c r="R588" i="78"/>
  <c r="O588" i="78"/>
  <c r="L588" i="78"/>
  <c r="I588" i="78"/>
  <c r="W588" i="78"/>
  <c r="F8" i="45"/>
  <c r="I43" i="3"/>
  <c r="F9" i="45"/>
  <c r="I44" i="3"/>
  <c r="U30" i="78"/>
  <c r="R30" i="78"/>
  <c r="O30" i="78"/>
  <c r="L30" i="78"/>
  <c r="I30" i="78"/>
  <c r="W30" i="78"/>
  <c r="F10" i="45"/>
  <c r="I45" i="3"/>
  <c r="U170" i="78"/>
  <c r="R170" i="78"/>
  <c r="O170" i="78"/>
  <c r="L170" i="78"/>
  <c r="I170" i="78"/>
  <c r="W170" i="78"/>
  <c r="F11" i="45"/>
  <c r="I46" i="3"/>
  <c r="U171" i="78"/>
  <c r="R171" i="78"/>
  <c r="O171" i="78"/>
  <c r="L171" i="78"/>
  <c r="I171" i="78"/>
  <c r="W171" i="78"/>
  <c r="F12" i="45"/>
  <c r="I47" i="3"/>
  <c r="I48" i="3"/>
  <c r="U172" i="78"/>
  <c r="R172" i="78"/>
  <c r="O172" i="78"/>
  <c r="L172" i="78"/>
  <c r="I172" i="78"/>
  <c r="W172" i="78"/>
  <c r="F14" i="45"/>
  <c r="I49" i="3"/>
  <c r="U319" i="78"/>
  <c r="R319" i="78"/>
  <c r="O319" i="78"/>
  <c r="L319" i="78"/>
  <c r="I319" i="78"/>
  <c r="W319" i="78"/>
  <c r="F15" i="45"/>
  <c r="I50" i="3"/>
  <c r="U417" i="78"/>
  <c r="R417" i="78"/>
  <c r="O417" i="78"/>
  <c r="L417" i="78"/>
  <c r="I417" i="78"/>
  <c r="W417" i="78"/>
  <c r="F16" i="45"/>
  <c r="I51" i="3"/>
  <c r="I52" i="3"/>
  <c r="U289" i="78"/>
  <c r="R289" i="78"/>
  <c r="O289" i="78"/>
  <c r="L289" i="78"/>
  <c r="I289" i="78"/>
  <c r="W289" i="78"/>
  <c r="F18" i="45"/>
  <c r="I53" i="3"/>
  <c r="U36" i="78"/>
  <c r="R36" i="78"/>
  <c r="O36" i="78"/>
  <c r="L36" i="78"/>
  <c r="I36" i="78"/>
  <c r="W36" i="78"/>
  <c r="F19" i="45"/>
  <c r="I54" i="3"/>
  <c r="U175" i="78"/>
  <c r="R175" i="78"/>
  <c r="O175" i="78"/>
  <c r="L175" i="78"/>
  <c r="I175" i="78"/>
  <c r="W175" i="78"/>
  <c r="F20" i="45"/>
  <c r="I55" i="3"/>
  <c r="U40" i="78"/>
  <c r="R40" i="78"/>
  <c r="O40" i="78"/>
  <c r="L40" i="78"/>
  <c r="I40" i="78"/>
  <c r="W40" i="78"/>
  <c r="F21" i="45"/>
  <c r="I56" i="3"/>
  <c r="U178" i="78"/>
  <c r="R178" i="78"/>
  <c r="O178" i="78"/>
  <c r="L178" i="78"/>
  <c r="I178" i="78"/>
  <c r="W178" i="78"/>
  <c r="F22" i="45"/>
  <c r="I57" i="3"/>
  <c r="U316" i="78"/>
  <c r="R316" i="78"/>
  <c r="O316" i="78"/>
  <c r="L316" i="78"/>
  <c r="I316" i="78"/>
  <c r="W316" i="78"/>
  <c r="F23" i="45"/>
  <c r="I58" i="3"/>
  <c r="U388" i="78"/>
  <c r="R388" i="78"/>
  <c r="O388" i="78"/>
  <c r="L388" i="78"/>
  <c r="I388" i="78"/>
  <c r="W388" i="78"/>
  <c r="F24" i="45"/>
  <c r="I59" i="3"/>
  <c r="U42" i="78"/>
  <c r="R42" i="78"/>
  <c r="O42" i="78"/>
  <c r="L42" i="78"/>
  <c r="I42" i="78"/>
  <c r="W42" i="78"/>
  <c r="F25" i="45"/>
  <c r="I60" i="3"/>
  <c r="U459" i="78"/>
  <c r="R459" i="78"/>
  <c r="O459" i="78"/>
  <c r="L459" i="78"/>
  <c r="I459" i="78"/>
  <c r="W459" i="78"/>
  <c r="F26" i="45"/>
  <c r="I61" i="3"/>
  <c r="U37" i="78"/>
  <c r="R37" i="78"/>
  <c r="O37" i="78"/>
  <c r="L37" i="78"/>
  <c r="I37" i="78"/>
  <c r="W37" i="78"/>
  <c r="F27" i="45"/>
  <c r="I62" i="3"/>
  <c r="U38" i="78"/>
  <c r="R38" i="78"/>
  <c r="O38" i="78"/>
  <c r="L38" i="78"/>
  <c r="I38" i="78"/>
  <c r="W38" i="78"/>
  <c r="F28" i="45"/>
  <c r="I63" i="3"/>
  <c r="U480" i="78"/>
  <c r="R480" i="78"/>
  <c r="O480" i="78"/>
  <c r="L480" i="78"/>
  <c r="I480" i="78"/>
  <c r="W480" i="78"/>
  <c r="F29" i="45"/>
  <c r="I64" i="3"/>
  <c r="U191" i="78"/>
  <c r="R191" i="78"/>
  <c r="O191" i="78"/>
  <c r="L191" i="78"/>
  <c r="I191" i="78"/>
  <c r="W191" i="78"/>
  <c r="F30" i="45"/>
  <c r="I65" i="3"/>
  <c r="U163" i="78"/>
  <c r="R163" i="78"/>
  <c r="O163" i="78"/>
  <c r="L163" i="78"/>
  <c r="I163" i="78"/>
  <c r="W163" i="78"/>
  <c r="F31" i="45"/>
  <c r="I66" i="3"/>
  <c r="I68" i="3"/>
  <c r="K69" i="3"/>
  <c r="M27" i="3"/>
  <c r="M26" i="3"/>
  <c r="M24" i="3"/>
  <c r="M23" i="3"/>
  <c r="AD3" i="67"/>
  <c r="AD4" i="67"/>
  <c r="I3" i="67"/>
  <c r="I4" i="67"/>
  <c r="I5" i="67"/>
  <c r="I6" i="67"/>
  <c r="I7" i="67"/>
  <c r="I8" i="67"/>
  <c r="I9" i="67"/>
  <c r="I10" i="67"/>
  <c r="I11" i="67"/>
  <c r="I12" i="67"/>
  <c r="I13" i="67"/>
  <c r="I14" i="67"/>
  <c r="I15" i="67"/>
  <c r="I16" i="67"/>
  <c r="I17" i="67"/>
  <c r="I18" i="67"/>
  <c r="I19" i="67"/>
  <c r="I20" i="67"/>
  <c r="I21" i="67"/>
  <c r="I22" i="67"/>
  <c r="I23" i="67"/>
  <c r="I24" i="67"/>
  <c r="J3" i="67"/>
  <c r="J4" i="67"/>
  <c r="J5" i="67"/>
  <c r="J6" i="67"/>
  <c r="J7" i="67"/>
  <c r="J8" i="67"/>
  <c r="J9" i="67"/>
  <c r="J10" i="67"/>
  <c r="J11" i="67"/>
  <c r="J12" i="67"/>
  <c r="J13" i="67"/>
  <c r="J14" i="67"/>
  <c r="J15" i="67"/>
  <c r="J16" i="67"/>
  <c r="J17" i="67"/>
  <c r="J18" i="67"/>
  <c r="J19" i="67"/>
  <c r="J20" i="67"/>
  <c r="J21" i="67"/>
  <c r="J22" i="67"/>
  <c r="J23" i="67"/>
  <c r="J24" i="67"/>
  <c r="H3" i="67"/>
  <c r="H4" i="67"/>
  <c r="H5" i="67"/>
  <c r="H6" i="67"/>
  <c r="H7" i="67"/>
  <c r="H8" i="67"/>
  <c r="H9" i="67"/>
  <c r="H10" i="67"/>
  <c r="H11" i="67"/>
  <c r="H12" i="67"/>
  <c r="H13" i="67"/>
  <c r="H14" i="67"/>
  <c r="H15" i="67"/>
  <c r="H16" i="67"/>
  <c r="H17" i="67"/>
  <c r="H18" i="67"/>
  <c r="H19" i="67"/>
  <c r="H20" i="67"/>
  <c r="H21" i="67"/>
  <c r="H22" i="67"/>
  <c r="H23" i="67"/>
  <c r="H24" i="67"/>
  <c r="AC3" i="67"/>
  <c r="AC4" i="67"/>
  <c r="AC5" i="67"/>
  <c r="AC6" i="67"/>
  <c r="AC7" i="67"/>
  <c r="AC8" i="67"/>
  <c r="AC9" i="67"/>
  <c r="AC10" i="67"/>
  <c r="AC11" i="67"/>
  <c r="AC12" i="67"/>
  <c r="AC13" i="67"/>
  <c r="AC14" i="67"/>
  <c r="AC15" i="67"/>
  <c r="AC16" i="67"/>
  <c r="AC17" i="67"/>
  <c r="AC18" i="67"/>
  <c r="AC19" i="67"/>
  <c r="AC20" i="67"/>
  <c r="AC21" i="67"/>
  <c r="AC22" i="67"/>
  <c r="AC23" i="67"/>
  <c r="AC24" i="67"/>
  <c r="AB3" i="67"/>
  <c r="AB4" i="67"/>
  <c r="AB5" i="67"/>
  <c r="AA3" i="67"/>
  <c r="AA4" i="67"/>
  <c r="AA5" i="67"/>
  <c r="AA6" i="67"/>
  <c r="AA7" i="67"/>
  <c r="AA8" i="67"/>
  <c r="AA9" i="67"/>
  <c r="AA10" i="67"/>
  <c r="AA11" i="67"/>
  <c r="AA12" i="67"/>
  <c r="AA13" i="67"/>
  <c r="AA14" i="67"/>
  <c r="AA15" i="67"/>
  <c r="AA16" i="67"/>
  <c r="AA17" i="67"/>
  <c r="AA18" i="67"/>
  <c r="AA19" i="67"/>
  <c r="AA20" i="67"/>
  <c r="AA21" i="67"/>
  <c r="AA22" i="67"/>
  <c r="AA23" i="67"/>
  <c r="AA24" i="67"/>
  <c r="Z3" i="67"/>
  <c r="U381" i="78"/>
  <c r="R381" i="78"/>
  <c r="O381" i="78"/>
  <c r="L381" i="78"/>
  <c r="I381" i="78"/>
  <c r="W381" i="78"/>
  <c r="AE645" i="29"/>
  <c r="AG645" i="29"/>
  <c r="AE3" i="67"/>
  <c r="Z4" i="67"/>
  <c r="Z5" i="67"/>
  <c r="Z6" i="67"/>
  <c r="Z7" i="67"/>
  <c r="Z8" i="67"/>
  <c r="AD5" i="67"/>
  <c r="AD6" i="67"/>
  <c r="AD7" i="67"/>
  <c r="AD8" i="67"/>
  <c r="AD9" i="67"/>
  <c r="AD10" i="67"/>
  <c r="AD11" i="67"/>
  <c r="AD12" i="67"/>
  <c r="AD13" i="67"/>
  <c r="AD14" i="67"/>
  <c r="AD15" i="67"/>
  <c r="AD16" i="67"/>
  <c r="AD17" i="67"/>
  <c r="AD18" i="67"/>
  <c r="AD19" i="67"/>
  <c r="AD20" i="67"/>
  <c r="AD21" i="67"/>
  <c r="AD22" i="67"/>
  <c r="AD23" i="67"/>
  <c r="AD24" i="67"/>
  <c r="AB6" i="67"/>
  <c r="AB7" i="67"/>
  <c r="AB8" i="67"/>
  <c r="AB9" i="67"/>
  <c r="AB10" i="67"/>
  <c r="AB11" i="67"/>
  <c r="AB12" i="67"/>
  <c r="AB13" i="67"/>
  <c r="AB14" i="67"/>
  <c r="AB15" i="67"/>
  <c r="AB16" i="67"/>
  <c r="AB17" i="67"/>
  <c r="AB18" i="67"/>
  <c r="AB19" i="67"/>
  <c r="AB20" i="67"/>
  <c r="AB21" i="67"/>
  <c r="AB22" i="67"/>
  <c r="AB23" i="67"/>
  <c r="AB24" i="67"/>
  <c r="D3" i="5"/>
  <c r="D2" i="5"/>
  <c r="D19" i="59"/>
  <c r="C19" i="59"/>
  <c r="C18" i="59"/>
  <c r="F27" i="3"/>
  <c r="Y608" i="29"/>
  <c r="Y607" i="29"/>
  <c r="AA607" i="29"/>
  <c r="AA608" i="29"/>
  <c r="Y606" i="29"/>
  <c r="S15" i="3"/>
  <c r="AE8" i="67"/>
  <c r="AE7" i="67"/>
  <c r="AE4" i="67"/>
  <c r="AE6" i="67"/>
  <c r="AE5" i="67"/>
  <c r="Z9" i="67"/>
  <c r="AE9" i="67"/>
  <c r="E19" i="59"/>
  <c r="S17" i="3"/>
  <c r="U399" i="29"/>
  <c r="AH392" i="29"/>
  <c r="AF392" i="29"/>
  <c r="N192" i="78"/>
  <c r="O192" i="78"/>
  <c r="P192" i="78"/>
  <c r="AE16" i="76"/>
  <c r="N569" i="78"/>
  <c r="O569" i="78"/>
  <c r="P569" i="78"/>
  <c r="AE15" i="76"/>
  <c r="N43" i="78"/>
  <c r="O43" i="78"/>
  <c r="P43" i="78"/>
  <c r="AE14" i="76"/>
  <c r="N45" i="78"/>
  <c r="O45" i="78"/>
  <c r="P45" i="78"/>
  <c r="AE12" i="76"/>
  <c r="N193" i="78"/>
  <c r="O193" i="78"/>
  <c r="P193" i="78"/>
  <c r="AE10" i="76"/>
  <c r="AE9" i="76"/>
  <c r="T192" i="78"/>
  <c r="V192" i="78"/>
  <c r="AL16" i="76"/>
  <c r="Q192" i="78"/>
  <c r="S192" i="78"/>
  <c r="AK16" i="76"/>
  <c r="AJ16" i="76"/>
  <c r="K192" i="78"/>
  <c r="M192" i="78"/>
  <c r="AI16" i="76"/>
  <c r="H192" i="78"/>
  <c r="J192" i="78"/>
  <c r="AH16" i="76"/>
  <c r="T569" i="78"/>
  <c r="V569" i="78"/>
  <c r="AL15" i="76"/>
  <c r="Q569" i="78"/>
  <c r="S569" i="78"/>
  <c r="AK15" i="76"/>
  <c r="AJ15" i="76"/>
  <c r="K569" i="78"/>
  <c r="M569" i="78"/>
  <c r="AI15" i="76"/>
  <c r="H569" i="78"/>
  <c r="J569" i="78"/>
  <c r="AH15" i="76"/>
  <c r="T43" i="78"/>
  <c r="V43" i="78"/>
  <c r="AL14" i="76"/>
  <c r="Q43" i="78"/>
  <c r="R43" i="78"/>
  <c r="S43" i="78"/>
  <c r="AK14" i="76"/>
  <c r="AJ14" i="76"/>
  <c r="K43" i="78"/>
  <c r="M43" i="78"/>
  <c r="AI14" i="76"/>
  <c r="H43" i="78"/>
  <c r="I43" i="78"/>
  <c r="J43" i="78"/>
  <c r="AH14" i="76"/>
  <c r="T603" i="78"/>
  <c r="V603" i="78"/>
  <c r="AL13" i="76"/>
  <c r="Q603" i="78"/>
  <c r="S603" i="78"/>
  <c r="AK13" i="76"/>
  <c r="N603" i="78"/>
  <c r="P603" i="78"/>
  <c r="AJ13" i="76"/>
  <c r="K603" i="78"/>
  <c r="M603" i="78"/>
  <c r="AI13" i="76"/>
  <c r="H603" i="78"/>
  <c r="I603" i="78"/>
  <c r="J603" i="78"/>
  <c r="AH13" i="76"/>
  <c r="AG13" i="76"/>
  <c r="AE13" i="76"/>
  <c r="T45" i="78"/>
  <c r="V45" i="78"/>
  <c r="AL12" i="76"/>
  <c r="Q45" i="78"/>
  <c r="R45" i="78"/>
  <c r="S45" i="78"/>
  <c r="AK12" i="76"/>
  <c r="AJ12" i="76"/>
  <c r="K45" i="78"/>
  <c r="M45" i="78"/>
  <c r="AI12" i="76"/>
  <c r="H45" i="78"/>
  <c r="I45" i="78"/>
  <c r="J45" i="78"/>
  <c r="AH12" i="76"/>
  <c r="T193" i="78"/>
  <c r="V193" i="78"/>
  <c r="AL10" i="76"/>
  <c r="Q193" i="78"/>
  <c r="S193" i="78"/>
  <c r="AK10" i="76"/>
  <c r="AJ10" i="76"/>
  <c r="K193" i="78"/>
  <c r="M193" i="78"/>
  <c r="AI10" i="76"/>
  <c r="H193" i="78"/>
  <c r="J193" i="78"/>
  <c r="AH10" i="76"/>
  <c r="AL9" i="76"/>
  <c r="AK9" i="76"/>
  <c r="AJ9" i="76"/>
  <c r="AI9" i="76"/>
  <c r="AH9" i="76"/>
  <c r="N209" i="78"/>
  <c r="O209" i="78"/>
  <c r="P209" i="78"/>
  <c r="AD4" i="76"/>
  <c r="N92" i="78"/>
  <c r="O92" i="78"/>
  <c r="P92" i="78"/>
  <c r="AD3" i="76"/>
  <c r="N208" i="78"/>
  <c r="O208" i="78"/>
  <c r="P208" i="78"/>
  <c r="AH4" i="76"/>
  <c r="T600" i="78"/>
  <c r="V600" i="78"/>
  <c r="AU6" i="76"/>
  <c r="Q600" i="78"/>
  <c r="S600" i="78"/>
  <c r="AT6" i="76"/>
  <c r="N600" i="78"/>
  <c r="P600" i="78"/>
  <c r="AS6" i="76"/>
  <c r="K600" i="78"/>
  <c r="M600" i="78"/>
  <c r="AR6" i="76"/>
  <c r="H600" i="78"/>
  <c r="I600" i="78"/>
  <c r="J600" i="78"/>
  <c r="AQ6" i="76"/>
  <c r="T227" i="78"/>
  <c r="V227" i="78"/>
  <c r="AU5" i="76"/>
  <c r="Q227" i="78"/>
  <c r="R227" i="78"/>
  <c r="S227" i="78"/>
  <c r="AT5" i="76"/>
  <c r="N227" i="78"/>
  <c r="P227" i="78"/>
  <c r="AS5" i="76"/>
  <c r="K227" i="78"/>
  <c r="M227" i="78"/>
  <c r="AR5" i="76"/>
  <c r="H227" i="78"/>
  <c r="I227" i="78"/>
  <c r="J227" i="78"/>
  <c r="AQ5" i="76"/>
  <c r="T209" i="78"/>
  <c r="V209" i="78"/>
  <c r="AU4" i="76"/>
  <c r="Q209" i="78"/>
  <c r="R209" i="78"/>
  <c r="S209" i="78"/>
  <c r="AT4" i="76"/>
  <c r="AS4" i="76"/>
  <c r="K209" i="78"/>
  <c r="M209" i="78"/>
  <c r="AR4" i="76"/>
  <c r="H209" i="78"/>
  <c r="I209" i="78"/>
  <c r="J209" i="78"/>
  <c r="AQ4" i="76"/>
  <c r="T92" i="78"/>
  <c r="V92" i="78"/>
  <c r="AU3" i="76"/>
  <c r="Q92" i="78"/>
  <c r="R92" i="78"/>
  <c r="S92" i="78"/>
  <c r="AT3" i="76"/>
  <c r="AS3" i="76"/>
  <c r="K92" i="78"/>
  <c r="M92" i="78"/>
  <c r="AR3" i="76"/>
  <c r="H92" i="78"/>
  <c r="I92" i="78"/>
  <c r="J92" i="78"/>
  <c r="AQ3" i="76"/>
  <c r="H93" i="78"/>
  <c r="I93" i="78"/>
  <c r="J93" i="78"/>
  <c r="AL3" i="76"/>
  <c r="AP6" i="76"/>
  <c r="AO6" i="76"/>
  <c r="AN6" i="76"/>
  <c r="AM6" i="76"/>
  <c r="AL6" i="76"/>
  <c r="T229" i="78"/>
  <c r="V229" i="78"/>
  <c r="AP5" i="76"/>
  <c r="Q229" i="78"/>
  <c r="S229" i="78"/>
  <c r="AO5" i="76"/>
  <c r="N229" i="78"/>
  <c r="P229" i="78"/>
  <c r="AN5" i="76"/>
  <c r="K229" i="78"/>
  <c r="M229" i="78"/>
  <c r="AM5" i="76"/>
  <c r="H229" i="78"/>
  <c r="I229" i="78"/>
  <c r="J229" i="78"/>
  <c r="AL5" i="76"/>
  <c r="T208" i="78"/>
  <c r="U208" i="78"/>
  <c r="V208" i="78"/>
  <c r="AP4" i="76"/>
  <c r="Q208" i="78"/>
  <c r="S208" i="78"/>
  <c r="AO4" i="76"/>
  <c r="AN4" i="76"/>
  <c r="K208" i="78"/>
  <c r="M208" i="78"/>
  <c r="AM4" i="76"/>
  <c r="H208" i="78"/>
  <c r="I208" i="78"/>
  <c r="J208" i="78"/>
  <c r="AL4" i="76"/>
  <c r="T93" i="78"/>
  <c r="V93" i="78"/>
  <c r="AP3" i="76"/>
  <c r="Q93" i="78"/>
  <c r="S93" i="78"/>
  <c r="AO3" i="76"/>
  <c r="N93" i="78"/>
  <c r="P93" i="78"/>
  <c r="AN3" i="76"/>
  <c r="K93" i="78"/>
  <c r="M93" i="78"/>
  <c r="AM3" i="76"/>
  <c r="Y9" i="76"/>
  <c r="X9" i="76"/>
  <c r="W9" i="76"/>
  <c r="V9" i="76"/>
  <c r="U9" i="76"/>
  <c r="U391" i="29"/>
  <c r="V391" i="29"/>
  <c r="U390" i="29"/>
  <c r="U389" i="29"/>
  <c r="AH389" i="29"/>
  <c r="U388" i="29"/>
  <c r="Z768" i="29"/>
  <c r="Z774" i="29"/>
  <c r="F28" i="3"/>
  <c r="AF186" i="29"/>
  <c r="AH186" i="29"/>
  <c r="AH182" i="29"/>
  <c r="AH183" i="29"/>
  <c r="AH184" i="29"/>
  <c r="AF738" i="29"/>
  <c r="AH738" i="29"/>
  <c r="AH737" i="29"/>
  <c r="AF737" i="29"/>
  <c r="AF744" i="29"/>
  <c r="F23" i="47"/>
  <c r="X708" i="29"/>
  <c r="X590" i="29"/>
  <c r="X595" i="29"/>
  <c r="AF389" i="29"/>
  <c r="Z10" i="67"/>
  <c r="AE10" i="67"/>
  <c r="AJ4" i="76"/>
  <c r="AJ5" i="76"/>
  <c r="AD5" i="76"/>
  <c r="AG12" i="76"/>
  <c r="AG14" i="76"/>
  <c r="AG16" i="76"/>
  <c r="AG10" i="76"/>
  <c r="AK4" i="76"/>
  <c r="AG9" i="76"/>
  <c r="AK3" i="76"/>
  <c r="AH3" i="76"/>
  <c r="W395" i="29"/>
  <c r="AK6" i="76"/>
  <c r="AH6" i="76"/>
  <c r="AG15" i="76"/>
  <c r="AK5" i="76"/>
  <c r="AH5" i="76"/>
  <c r="AJ6" i="76"/>
  <c r="AD6" i="76"/>
  <c r="AF391" i="29"/>
  <c r="K3" i="67"/>
  <c r="K4" i="67"/>
  <c r="K5" i="67"/>
  <c r="K6" i="67"/>
  <c r="K7" i="67"/>
  <c r="K8" i="67"/>
  <c r="K9" i="67"/>
  <c r="K10" i="67"/>
  <c r="K11" i="67"/>
  <c r="K12" i="67"/>
  <c r="K13" i="67"/>
  <c r="K14" i="67"/>
  <c r="K15" i="67"/>
  <c r="K16" i="67"/>
  <c r="K17" i="67"/>
  <c r="K18" i="67"/>
  <c r="K19" i="67"/>
  <c r="K20" i="67"/>
  <c r="K21" i="67"/>
  <c r="K22" i="67"/>
  <c r="K23" i="67"/>
  <c r="K24" i="67"/>
  <c r="AF390" i="29"/>
  <c r="AE19" i="76"/>
  <c r="W399" i="29"/>
  <c r="V390" i="29"/>
  <c r="AH390" i="29"/>
  <c r="AB388" i="29"/>
  <c r="W396" i="29"/>
  <c r="AH391" i="29"/>
  <c r="V388" i="29"/>
  <c r="U395" i="29"/>
  <c r="V389" i="29"/>
  <c r="AJ3" i="76"/>
  <c r="X408" i="29"/>
  <c r="X418" i="29"/>
  <c r="W397" i="29"/>
  <c r="W398" i="29"/>
  <c r="Z11" i="67"/>
  <c r="AE11" i="67"/>
  <c r="W707" i="29"/>
  <c r="X707" i="29"/>
  <c r="C3" i="59"/>
  <c r="W712" i="29"/>
  <c r="U108" i="29"/>
  <c r="Z417" i="29"/>
  <c r="R44" i="70"/>
  <c r="R42" i="70"/>
  <c r="R41" i="70"/>
  <c r="R40" i="70"/>
  <c r="R35" i="70"/>
  <c r="R34" i="70"/>
  <c r="R33" i="70"/>
  <c r="R32" i="70"/>
  <c r="R31" i="70"/>
  <c r="R30" i="70"/>
  <c r="R29" i="70"/>
  <c r="R28" i="70"/>
  <c r="R27" i="70"/>
  <c r="R26" i="70"/>
  <c r="R25" i="70"/>
  <c r="T3" i="67"/>
  <c r="AI418" i="29"/>
  <c r="AJ409" i="29"/>
  <c r="X419" i="29"/>
  <c r="X409" i="29"/>
  <c r="AJ418" i="29"/>
  <c r="AJ419" i="29"/>
  <c r="X420" i="29"/>
  <c r="AI419" i="29"/>
  <c r="AJ420" i="29"/>
  <c r="AI420" i="29"/>
  <c r="AI409" i="29"/>
  <c r="Z12" i="67"/>
  <c r="AE12" i="67"/>
  <c r="Z32" i="29"/>
  <c r="AB32" i="29"/>
  <c r="AD32" i="29"/>
  <c r="AF32" i="29"/>
  <c r="AH32" i="29"/>
  <c r="AJ32" i="29"/>
  <c r="AK32" i="29"/>
  <c r="H184" i="78"/>
  <c r="J184" i="78"/>
  <c r="S11" i="45"/>
  <c r="AA239" i="29"/>
  <c r="AA238" i="29"/>
  <c r="AC245" i="29"/>
  <c r="AC244" i="29"/>
  <c r="AC243" i="29"/>
  <c r="AC242" i="29"/>
  <c r="AC241" i="29"/>
  <c r="AC240" i="29"/>
  <c r="AE251" i="29"/>
  <c r="AE252" i="29"/>
  <c r="AE253" i="29"/>
  <c r="AG253" i="29"/>
  <c r="AG252" i="29"/>
  <c r="AG251" i="29"/>
  <c r="AG250" i="29"/>
  <c r="AG249" i="29"/>
  <c r="AG248" i="29"/>
  <c r="AG247" i="29"/>
  <c r="AG246" i="29"/>
  <c r="AE245" i="29"/>
  <c r="AE244" i="29"/>
  <c r="AE243" i="29"/>
  <c r="AE242" i="29"/>
  <c r="AE241" i="29"/>
  <c r="AE240" i="29"/>
  <c r="AC239" i="29"/>
  <c r="AC238" i="29"/>
  <c r="AA237" i="29"/>
  <c r="Y236" i="29"/>
  <c r="Y235" i="29"/>
  <c r="AG219" i="29"/>
  <c r="AG218" i="29"/>
  <c r="AG217" i="29"/>
  <c r="AG216" i="29"/>
  <c r="AG215" i="29"/>
  <c r="AC208" i="29"/>
  <c r="AC207" i="29"/>
  <c r="AA206" i="29"/>
  <c r="Y204" i="29"/>
  <c r="AE222" i="29"/>
  <c r="AE221" i="29"/>
  <c r="AE220" i="29"/>
  <c r="AE210" i="29"/>
  <c r="AE211" i="29"/>
  <c r="AE212" i="29"/>
  <c r="AE213" i="29"/>
  <c r="AE214" i="29"/>
  <c r="AE209" i="29"/>
  <c r="AC209" i="29"/>
  <c r="AC214" i="29"/>
  <c r="AC213" i="29"/>
  <c r="AC212" i="29"/>
  <c r="AC211" i="29"/>
  <c r="AC210" i="29"/>
  <c r="AA208" i="29"/>
  <c r="AA207" i="29"/>
  <c r="U220" i="29"/>
  <c r="U221" i="29"/>
  <c r="Y205" i="29"/>
  <c r="W213" i="29"/>
  <c r="W217" i="29"/>
  <c r="V205" i="29"/>
  <c r="V236" i="29"/>
  <c r="V206" i="29"/>
  <c r="V237" i="29"/>
  <c r="V207" i="29"/>
  <c r="V238" i="29"/>
  <c r="V208" i="29"/>
  <c r="V239" i="29"/>
  <c r="V209" i="29"/>
  <c r="V240" i="29"/>
  <c r="V210" i="29"/>
  <c r="V241" i="29"/>
  <c r="V211" i="29"/>
  <c r="V242" i="29"/>
  <c r="V212" i="29"/>
  <c r="V243" i="29"/>
  <c r="V213" i="29"/>
  <c r="V244" i="29"/>
  <c r="V214" i="29"/>
  <c r="V245" i="29"/>
  <c r="V215" i="29"/>
  <c r="V246" i="29"/>
  <c r="V216" i="29"/>
  <c r="V247" i="29"/>
  <c r="V217" i="29"/>
  <c r="V248" i="29"/>
  <c r="V218" i="29"/>
  <c r="V249" i="29"/>
  <c r="V219" i="29"/>
  <c r="V250" i="29"/>
  <c r="V220" i="29"/>
  <c r="V251" i="29"/>
  <c r="V221" i="29"/>
  <c r="V252" i="29"/>
  <c r="V222" i="29"/>
  <c r="V253" i="29"/>
  <c r="V223" i="29"/>
  <c r="V254" i="29"/>
  <c r="V224" i="29"/>
  <c r="V255" i="29"/>
  <c r="V225" i="29"/>
  <c r="V256" i="29"/>
  <c r="V226" i="29"/>
  <c r="V257" i="29"/>
  <c r="V227" i="29"/>
  <c r="V258" i="29"/>
  <c r="V228" i="29"/>
  <c r="V259" i="29"/>
  <c r="V229" i="29"/>
  <c r="V260" i="29"/>
  <c r="V230" i="29"/>
  <c r="V261" i="29"/>
  <c r="V231" i="29"/>
  <c r="V262" i="29"/>
  <c r="V204" i="29"/>
  <c r="V235" i="29"/>
  <c r="R28" i="45"/>
  <c r="R29" i="45"/>
  <c r="R30" i="45"/>
  <c r="R31" i="45"/>
  <c r="T183" i="78"/>
  <c r="V183" i="78"/>
  <c r="W27" i="45"/>
  <c r="Q183" i="78"/>
  <c r="S183" i="78"/>
  <c r="V27" i="45"/>
  <c r="N183" i="78"/>
  <c r="P183" i="78"/>
  <c r="U27" i="45"/>
  <c r="K183" i="78"/>
  <c r="M183" i="78"/>
  <c r="T27" i="45"/>
  <c r="H183" i="78"/>
  <c r="J183" i="78"/>
  <c r="S27" i="45"/>
  <c r="T182" i="78"/>
  <c r="V182" i="78"/>
  <c r="W26" i="45"/>
  <c r="Q182" i="78"/>
  <c r="S182" i="78"/>
  <c r="V26" i="45"/>
  <c r="N182" i="78"/>
  <c r="P182" i="78"/>
  <c r="U26" i="45"/>
  <c r="K182" i="78"/>
  <c r="M182" i="78"/>
  <c r="T26" i="45"/>
  <c r="H182" i="78"/>
  <c r="J182" i="78"/>
  <c r="S26" i="45"/>
  <c r="T422" i="78"/>
  <c r="V422" i="78"/>
  <c r="W25" i="45"/>
  <c r="Q422" i="78"/>
  <c r="S422" i="78"/>
  <c r="V25" i="45"/>
  <c r="N422" i="78"/>
  <c r="P422" i="78"/>
  <c r="U25" i="45"/>
  <c r="K422" i="78"/>
  <c r="M422" i="78"/>
  <c r="T25" i="45"/>
  <c r="H422" i="78"/>
  <c r="J422" i="78"/>
  <c r="S25" i="45"/>
  <c r="T590" i="78"/>
  <c r="V590" i="78"/>
  <c r="W24" i="45"/>
  <c r="Q590" i="78"/>
  <c r="S590" i="78"/>
  <c r="V24" i="45"/>
  <c r="N590" i="78"/>
  <c r="P590" i="78"/>
  <c r="U24" i="45"/>
  <c r="K590" i="78"/>
  <c r="M590" i="78"/>
  <c r="T24" i="45"/>
  <c r="H590" i="78"/>
  <c r="J590" i="78"/>
  <c r="S24" i="45"/>
  <c r="R24" i="45"/>
  <c r="J24" i="45"/>
  <c r="W255" i="29"/>
  <c r="T591" i="78"/>
  <c r="V591" i="78"/>
  <c r="W23" i="45"/>
  <c r="Q591" i="78"/>
  <c r="S591" i="78"/>
  <c r="V23" i="45"/>
  <c r="N591" i="78"/>
  <c r="P591" i="78"/>
  <c r="U23" i="45"/>
  <c r="K591" i="78"/>
  <c r="M591" i="78"/>
  <c r="T23" i="45"/>
  <c r="H591" i="78"/>
  <c r="J591" i="78"/>
  <c r="S23" i="45"/>
  <c r="T174" i="78"/>
  <c r="V174" i="78"/>
  <c r="W22" i="45"/>
  <c r="Q174" i="78"/>
  <c r="S174" i="78"/>
  <c r="V22" i="45"/>
  <c r="N174" i="78"/>
  <c r="P174" i="78"/>
  <c r="U22" i="45"/>
  <c r="K174" i="78"/>
  <c r="M174" i="78"/>
  <c r="T22" i="45"/>
  <c r="H174" i="78"/>
  <c r="J174" i="78"/>
  <c r="S22" i="45"/>
  <c r="T39" i="78"/>
  <c r="V39" i="78"/>
  <c r="W21" i="45"/>
  <c r="Q39" i="78"/>
  <c r="S39" i="78"/>
  <c r="V21" i="45"/>
  <c r="N39" i="78"/>
  <c r="P39" i="78"/>
  <c r="U21" i="45"/>
  <c r="K39" i="78"/>
  <c r="M39" i="78"/>
  <c r="T21" i="45"/>
  <c r="H39" i="78"/>
  <c r="J39" i="78"/>
  <c r="S21" i="45"/>
  <c r="T186" i="78"/>
  <c r="V186" i="78"/>
  <c r="W20" i="45"/>
  <c r="Q186" i="78"/>
  <c r="S186" i="78"/>
  <c r="V20" i="45"/>
  <c r="N186" i="78"/>
  <c r="P186" i="78"/>
  <c r="U20" i="45"/>
  <c r="K186" i="78"/>
  <c r="M186" i="78"/>
  <c r="T20" i="45"/>
  <c r="H186" i="78"/>
  <c r="J186" i="78"/>
  <c r="S20" i="45"/>
  <c r="R20" i="45"/>
  <c r="J20" i="45"/>
  <c r="W251" i="29"/>
  <c r="T181" i="78"/>
  <c r="V181" i="78"/>
  <c r="W19" i="45"/>
  <c r="Q181" i="78"/>
  <c r="S181" i="78"/>
  <c r="V19" i="45"/>
  <c r="N181" i="78"/>
  <c r="P181" i="78"/>
  <c r="U19" i="45"/>
  <c r="K181" i="78"/>
  <c r="M181" i="78"/>
  <c r="T19" i="45"/>
  <c r="H181" i="78"/>
  <c r="J181" i="78"/>
  <c r="S19" i="45"/>
  <c r="T317" i="78"/>
  <c r="V317" i="78"/>
  <c r="W18" i="45"/>
  <c r="Q317" i="78"/>
  <c r="S317" i="78"/>
  <c r="V18" i="45"/>
  <c r="N317" i="78"/>
  <c r="P317" i="78"/>
  <c r="U18" i="45"/>
  <c r="K317" i="78"/>
  <c r="M317" i="78"/>
  <c r="T18" i="45"/>
  <c r="H317" i="78"/>
  <c r="J317" i="78"/>
  <c r="S18" i="45"/>
  <c r="T461" i="78"/>
  <c r="V461" i="78"/>
  <c r="W17" i="45"/>
  <c r="Q461" i="78"/>
  <c r="S461" i="78"/>
  <c r="V17" i="45"/>
  <c r="N461" i="78"/>
  <c r="P461" i="78"/>
  <c r="U17" i="45"/>
  <c r="K461" i="78"/>
  <c r="M461" i="78"/>
  <c r="T17" i="45"/>
  <c r="H461" i="78"/>
  <c r="J461" i="78"/>
  <c r="S17" i="45"/>
  <c r="T593" i="78"/>
  <c r="V593" i="78"/>
  <c r="W16" i="45"/>
  <c r="Q593" i="78"/>
  <c r="S593" i="78"/>
  <c r="V16" i="45"/>
  <c r="N593" i="78"/>
  <c r="P593" i="78"/>
  <c r="U16" i="45"/>
  <c r="K593" i="78"/>
  <c r="M593" i="78"/>
  <c r="T16" i="45"/>
  <c r="H593" i="78"/>
  <c r="J593" i="78"/>
  <c r="S16" i="45"/>
  <c r="R16" i="45"/>
  <c r="J16" i="45"/>
  <c r="W247" i="29"/>
  <c r="T318" i="78"/>
  <c r="V318" i="78"/>
  <c r="W15" i="45"/>
  <c r="Q318" i="78"/>
  <c r="S318" i="78"/>
  <c r="V15" i="45"/>
  <c r="N318" i="78"/>
  <c r="P318" i="78"/>
  <c r="U15" i="45"/>
  <c r="K318" i="78"/>
  <c r="M318" i="78"/>
  <c r="T15" i="45"/>
  <c r="H318" i="78"/>
  <c r="J318" i="78"/>
  <c r="S15" i="45"/>
  <c r="T169" i="78"/>
  <c r="V169" i="78"/>
  <c r="W14" i="45"/>
  <c r="Q169" i="78"/>
  <c r="S169" i="78"/>
  <c r="V14" i="45"/>
  <c r="N169" i="78"/>
  <c r="P169" i="78"/>
  <c r="U14" i="45"/>
  <c r="K169" i="78"/>
  <c r="M169" i="78"/>
  <c r="T14" i="45"/>
  <c r="H169" i="78"/>
  <c r="J169" i="78"/>
  <c r="S14" i="45"/>
  <c r="T587" i="78"/>
  <c r="V587" i="78"/>
  <c r="W13" i="45"/>
  <c r="Q587" i="78"/>
  <c r="S587" i="78"/>
  <c r="V13" i="45"/>
  <c r="N587" i="78"/>
  <c r="P587" i="78"/>
  <c r="U13" i="45"/>
  <c r="K587" i="78"/>
  <c r="M587" i="78"/>
  <c r="T13" i="45"/>
  <c r="H587" i="78"/>
  <c r="J587" i="78"/>
  <c r="S13" i="45"/>
  <c r="T162" i="78"/>
  <c r="V162" i="78"/>
  <c r="W12" i="45"/>
  <c r="Q162" i="78"/>
  <c r="S162" i="78"/>
  <c r="V12" i="45"/>
  <c r="N162" i="78"/>
  <c r="P162" i="78"/>
  <c r="U12" i="45"/>
  <c r="K162" i="78"/>
  <c r="M162" i="78"/>
  <c r="T12" i="45"/>
  <c r="H162" i="78"/>
  <c r="J162" i="78"/>
  <c r="S12" i="45"/>
  <c r="R12" i="45"/>
  <c r="T184" i="78"/>
  <c r="V184" i="78"/>
  <c r="W11" i="45"/>
  <c r="Q184" i="78"/>
  <c r="S184" i="78"/>
  <c r="V11" i="45"/>
  <c r="N184" i="78"/>
  <c r="P184" i="78"/>
  <c r="U11" i="45"/>
  <c r="K184" i="78"/>
  <c r="M184" i="78"/>
  <c r="T11" i="45"/>
  <c r="T416" i="78"/>
  <c r="V416" i="78"/>
  <c r="W10" i="45"/>
  <c r="Q416" i="78"/>
  <c r="S416" i="78"/>
  <c r="V10" i="45"/>
  <c r="N416" i="78"/>
  <c r="P416" i="78"/>
  <c r="U10" i="45"/>
  <c r="K416" i="78"/>
  <c r="M416" i="78"/>
  <c r="T10" i="45"/>
  <c r="H416" i="78"/>
  <c r="J416" i="78"/>
  <c r="S10" i="45"/>
  <c r="T165" i="78"/>
  <c r="V165" i="78"/>
  <c r="W9" i="45"/>
  <c r="Q165" i="78"/>
  <c r="S165" i="78"/>
  <c r="V9" i="45"/>
  <c r="N165" i="78"/>
  <c r="P165" i="78"/>
  <c r="U9" i="45"/>
  <c r="K165" i="78"/>
  <c r="M165" i="78"/>
  <c r="T9" i="45"/>
  <c r="H165" i="78"/>
  <c r="J165" i="78"/>
  <c r="S9" i="45"/>
  <c r="T387" i="78"/>
  <c r="V387" i="78"/>
  <c r="W8" i="45"/>
  <c r="Q387" i="78"/>
  <c r="S387" i="78"/>
  <c r="V8" i="45"/>
  <c r="N387" i="78"/>
  <c r="P387" i="78"/>
  <c r="U8" i="45"/>
  <c r="K387" i="78"/>
  <c r="M387" i="78"/>
  <c r="T8" i="45"/>
  <c r="H387" i="78"/>
  <c r="J387" i="78"/>
  <c r="S8" i="45"/>
  <c r="T31" i="78"/>
  <c r="V31" i="78"/>
  <c r="W7" i="45"/>
  <c r="Q31" i="78"/>
  <c r="S31" i="78"/>
  <c r="V7" i="45"/>
  <c r="N31" i="78"/>
  <c r="P31" i="78"/>
  <c r="U7" i="45"/>
  <c r="K31" i="78"/>
  <c r="M31" i="78"/>
  <c r="T7" i="45"/>
  <c r="H31" i="78"/>
  <c r="J31" i="78"/>
  <c r="S7" i="45"/>
  <c r="T189" i="78"/>
  <c r="V189" i="78"/>
  <c r="W6" i="45"/>
  <c r="Q189" i="78"/>
  <c r="S189" i="78"/>
  <c r="V6" i="45"/>
  <c r="N189" i="78"/>
  <c r="P189" i="78"/>
  <c r="U6" i="45"/>
  <c r="K189" i="78"/>
  <c r="M189" i="78"/>
  <c r="T6" i="45"/>
  <c r="H189" i="78"/>
  <c r="J189" i="78"/>
  <c r="S6" i="45"/>
  <c r="T577" i="78"/>
  <c r="V577" i="78"/>
  <c r="W5" i="45"/>
  <c r="Q577" i="78"/>
  <c r="S577" i="78"/>
  <c r="V5" i="45"/>
  <c r="N577" i="78"/>
  <c r="P577" i="78"/>
  <c r="U5" i="45"/>
  <c r="K577" i="78"/>
  <c r="M577" i="78"/>
  <c r="T5" i="45"/>
  <c r="H577" i="78"/>
  <c r="J577" i="78"/>
  <c r="S5" i="45"/>
  <c r="T90" i="78"/>
  <c r="V90" i="78"/>
  <c r="W4" i="45"/>
  <c r="Q90" i="78"/>
  <c r="S90" i="78"/>
  <c r="V4" i="45"/>
  <c r="N90" i="78"/>
  <c r="P90" i="78"/>
  <c r="U4" i="45"/>
  <c r="K90" i="78"/>
  <c r="M90" i="78"/>
  <c r="T4" i="45"/>
  <c r="H90" i="78"/>
  <c r="J90" i="78"/>
  <c r="S4" i="45"/>
  <c r="J9" i="45"/>
  <c r="W240" i="29"/>
  <c r="J14" i="45"/>
  <c r="W245" i="29"/>
  <c r="L13" i="45"/>
  <c r="N175" i="78"/>
  <c r="P175" i="78"/>
  <c r="G20" i="45"/>
  <c r="W220" i="29"/>
  <c r="N288" i="78"/>
  <c r="P288" i="78"/>
  <c r="G5" i="45"/>
  <c r="W205" i="29"/>
  <c r="G9" i="45"/>
  <c r="W209" i="29"/>
  <c r="U6" i="78"/>
  <c r="R6" i="78"/>
  <c r="O6" i="78"/>
  <c r="L6" i="78"/>
  <c r="I6" i="78"/>
  <c r="W6" i="78"/>
  <c r="U7" i="78"/>
  <c r="R7" i="78"/>
  <c r="O7" i="78"/>
  <c r="L7" i="78"/>
  <c r="I7" i="78"/>
  <c r="W7" i="78"/>
  <c r="U8" i="78"/>
  <c r="R8" i="78"/>
  <c r="O8" i="78"/>
  <c r="L8" i="78"/>
  <c r="I8" i="78"/>
  <c r="W8" i="78"/>
  <c r="U9" i="78"/>
  <c r="R9" i="78"/>
  <c r="O9" i="78"/>
  <c r="L9" i="78"/>
  <c r="I9" i="78"/>
  <c r="W9" i="78"/>
  <c r="U10" i="78"/>
  <c r="R10" i="78"/>
  <c r="O10" i="78"/>
  <c r="L10" i="78"/>
  <c r="I10" i="78"/>
  <c r="W10" i="78"/>
  <c r="U11" i="78"/>
  <c r="R11" i="78"/>
  <c r="O11" i="78"/>
  <c r="L11" i="78"/>
  <c r="I11" i="78"/>
  <c r="W11" i="78"/>
  <c r="U12" i="78"/>
  <c r="R12" i="78"/>
  <c r="O12" i="78"/>
  <c r="L12" i="78"/>
  <c r="I12" i="78"/>
  <c r="W12" i="78"/>
  <c r="U13" i="78"/>
  <c r="R13" i="78"/>
  <c r="O13" i="78"/>
  <c r="L13" i="78"/>
  <c r="I13" i="78"/>
  <c r="W13" i="78"/>
  <c r="U14" i="78"/>
  <c r="R14" i="78"/>
  <c r="O14" i="78"/>
  <c r="L14" i="78"/>
  <c r="I14" i="78"/>
  <c r="W14" i="78"/>
  <c r="U15" i="78"/>
  <c r="R15" i="78"/>
  <c r="O15" i="78"/>
  <c r="L15" i="78"/>
  <c r="I15" i="78"/>
  <c r="W15" i="78"/>
  <c r="U16" i="78"/>
  <c r="R16" i="78"/>
  <c r="O16" i="78"/>
  <c r="L16" i="78"/>
  <c r="I16" i="78"/>
  <c r="W16" i="78"/>
  <c r="U17" i="78"/>
  <c r="R17" i="78"/>
  <c r="O17" i="78"/>
  <c r="L17" i="78"/>
  <c r="I17" i="78"/>
  <c r="W17" i="78"/>
  <c r="U18" i="78"/>
  <c r="R18" i="78"/>
  <c r="O18" i="78"/>
  <c r="L18" i="78"/>
  <c r="I18" i="78"/>
  <c r="W18" i="78"/>
  <c r="U19" i="78"/>
  <c r="R19" i="78"/>
  <c r="O19" i="78"/>
  <c r="L19" i="78"/>
  <c r="I19" i="78"/>
  <c r="W19" i="78"/>
  <c r="U20" i="78"/>
  <c r="R20" i="78"/>
  <c r="O20" i="78"/>
  <c r="L20" i="78"/>
  <c r="I20" i="78"/>
  <c r="W20" i="78"/>
  <c r="U21" i="78"/>
  <c r="R21" i="78"/>
  <c r="O21" i="78"/>
  <c r="L21" i="78"/>
  <c r="I21" i="78"/>
  <c r="W21" i="78"/>
  <c r="U22" i="78"/>
  <c r="R22" i="78"/>
  <c r="O22" i="78"/>
  <c r="L22" i="78"/>
  <c r="I22" i="78"/>
  <c r="W22" i="78"/>
  <c r="U23" i="78"/>
  <c r="R23" i="78"/>
  <c r="O23" i="78"/>
  <c r="L23" i="78"/>
  <c r="I23" i="78"/>
  <c r="W23" i="78"/>
  <c r="U24" i="78"/>
  <c r="R24" i="78"/>
  <c r="O24" i="78"/>
  <c r="L24" i="78"/>
  <c r="I24" i="78"/>
  <c r="W24" i="78"/>
  <c r="U25" i="78"/>
  <c r="R25" i="78"/>
  <c r="O25" i="78"/>
  <c r="L25" i="78"/>
  <c r="I25" i="78"/>
  <c r="W25" i="78"/>
  <c r="U26" i="78"/>
  <c r="R26" i="78"/>
  <c r="O26" i="78"/>
  <c r="L26" i="78"/>
  <c r="I26" i="78"/>
  <c r="W26" i="78"/>
  <c r="U27" i="78"/>
  <c r="R27" i="78"/>
  <c r="O27" i="78"/>
  <c r="L27" i="78"/>
  <c r="I27" i="78"/>
  <c r="W27" i="78"/>
  <c r="U28" i="78"/>
  <c r="R28" i="78"/>
  <c r="O28" i="78"/>
  <c r="L28" i="78"/>
  <c r="I28" i="78"/>
  <c r="W28" i="78"/>
  <c r="U29" i="78"/>
  <c r="R29" i="78"/>
  <c r="O29" i="78"/>
  <c r="L29" i="78"/>
  <c r="I29" i="78"/>
  <c r="W29" i="78"/>
  <c r="U32" i="78"/>
  <c r="R32" i="78"/>
  <c r="O32" i="78"/>
  <c r="L32" i="78"/>
  <c r="I32" i="78"/>
  <c r="W32" i="78"/>
  <c r="U33" i="78"/>
  <c r="R33" i="78"/>
  <c r="O33" i="78"/>
  <c r="L33" i="78"/>
  <c r="I33" i="78"/>
  <c r="W33" i="78"/>
  <c r="U34" i="78"/>
  <c r="R34" i="78"/>
  <c r="O34" i="78"/>
  <c r="L34" i="78"/>
  <c r="I34" i="78"/>
  <c r="W34" i="78"/>
  <c r="U35" i="78"/>
  <c r="R35" i="78"/>
  <c r="O35" i="78"/>
  <c r="L35" i="78"/>
  <c r="I35" i="78"/>
  <c r="W35" i="78"/>
  <c r="U41" i="78"/>
  <c r="R41" i="78"/>
  <c r="O41" i="78"/>
  <c r="L41" i="78"/>
  <c r="I41" i="78"/>
  <c r="W41" i="78"/>
  <c r="U43" i="78"/>
  <c r="L43" i="78"/>
  <c r="W43" i="78"/>
  <c r="U44" i="78"/>
  <c r="R44" i="78"/>
  <c r="O44" i="78"/>
  <c r="L44" i="78"/>
  <c r="I44" i="78"/>
  <c r="W44" i="78"/>
  <c r="U45" i="78"/>
  <c r="L45" i="78"/>
  <c r="W45" i="78"/>
  <c r="U46" i="78"/>
  <c r="R46" i="78"/>
  <c r="O46" i="78"/>
  <c r="L46" i="78"/>
  <c r="I46" i="78"/>
  <c r="W46" i="78"/>
  <c r="U47" i="78"/>
  <c r="R47" i="78"/>
  <c r="O47" i="78"/>
  <c r="L47" i="78"/>
  <c r="I47" i="78"/>
  <c r="W47" i="78"/>
  <c r="U48" i="78"/>
  <c r="R48" i="78"/>
  <c r="O48" i="78"/>
  <c r="L48" i="78"/>
  <c r="I48" i="78"/>
  <c r="W48" i="78"/>
  <c r="U49" i="78"/>
  <c r="R49" i="78"/>
  <c r="O49" i="78"/>
  <c r="L49" i="78"/>
  <c r="I49" i="78"/>
  <c r="W49" i="78"/>
  <c r="U50" i="78"/>
  <c r="R50" i="78"/>
  <c r="O50" i="78"/>
  <c r="L50" i="78"/>
  <c r="I50" i="78"/>
  <c r="W50" i="78"/>
  <c r="U51" i="78"/>
  <c r="R51" i="78"/>
  <c r="O51" i="78"/>
  <c r="L51" i="78"/>
  <c r="I51" i="78"/>
  <c r="W51" i="78"/>
  <c r="U52" i="78"/>
  <c r="R52" i="78"/>
  <c r="O52" i="78"/>
  <c r="L52" i="78"/>
  <c r="I52" i="78"/>
  <c r="W52" i="78"/>
  <c r="U53" i="78"/>
  <c r="R53" i="78"/>
  <c r="O53" i="78"/>
  <c r="L53" i="78"/>
  <c r="I53" i="78"/>
  <c r="W53" i="78"/>
  <c r="U54" i="78"/>
  <c r="R54" i="78"/>
  <c r="O54" i="78"/>
  <c r="L54" i="78"/>
  <c r="I54" i="78"/>
  <c r="W54" i="78"/>
  <c r="U55" i="78"/>
  <c r="R55" i="78"/>
  <c r="O55" i="78"/>
  <c r="L55" i="78"/>
  <c r="I55" i="78"/>
  <c r="W55" i="78"/>
  <c r="U56" i="78"/>
  <c r="R56" i="78"/>
  <c r="O56" i="78"/>
  <c r="L56" i="78"/>
  <c r="I56" i="78"/>
  <c r="W56" i="78"/>
  <c r="U57" i="78"/>
  <c r="R57" i="78"/>
  <c r="O57" i="78"/>
  <c r="L57" i="78"/>
  <c r="I57" i="78"/>
  <c r="W57" i="78"/>
  <c r="U58" i="78"/>
  <c r="R58" i="78"/>
  <c r="O58" i="78"/>
  <c r="L58" i="78"/>
  <c r="I58" i="78"/>
  <c r="W58" i="78"/>
  <c r="U59" i="78"/>
  <c r="R59" i="78"/>
  <c r="O59" i="78"/>
  <c r="L59" i="78"/>
  <c r="I59" i="78"/>
  <c r="W59" i="78"/>
  <c r="U60" i="78"/>
  <c r="R60" i="78"/>
  <c r="O60" i="78"/>
  <c r="L60" i="78"/>
  <c r="I60" i="78"/>
  <c r="W60" i="78"/>
  <c r="U61" i="78"/>
  <c r="R61" i="78"/>
  <c r="O61" i="78"/>
  <c r="L61" i="78"/>
  <c r="I61" i="78"/>
  <c r="W61" i="78"/>
  <c r="U62" i="78"/>
  <c r="R62" i="78"/>
  <c r="O62" i="78"/>
  <c r="L62" i="78"/>
  <c r="I62" i="78"/>
  <c r="W62" i="78"/>
  <c r="U63" i="78"/>
  <c r="R63" i="78"/>
  <c r="O63" i="78"/>
  <c r="L63" i="78"/>
  <c r="I63" i="78"/>
  <c r="W63" i="78"/>
  <c r="U64" i="78"/>
  <c r="R64" i="78"/>
  <c r="O64" i="78"/>
  <c r="L64" i="78"/>
  <c r="I64" i="78"/>
  <c r="W64" i="78"/>
  <c r="U65" i="78"/>
  <c r="R65" i="78"/>
  <c r="O65" i="78"/>
  <c r="L65" i="78"/>
  <c r="I65" i="78"/>
  <c r="W65" i="78"/>
  <c r="U66" i="78"/>
  <c r="R66" i="78"/>
  <c r="O66" i="78"/>
  <c r="L66" i="78"/>
  <c r="I66" i="78"/>
  <c r="W66" i="78"/>
  <c r="U67" i="78"/>
  <c r="R67" i="78"/>
  <c r="O67" i="78"/>
  <c r="L67" i="78"/>
  <c r="I67" i="78"/>
  <c r="W67" i="78"/>
  <c r="U68" i="78"/>
  <c r="R68" i="78"/>
  <c r="O68" i="78"/>
  <c r="L68" i="78"/>
  <c r="I68" i="78"/>
  <c r="W68" i="78"/>
  <c r="U69" i="78"/>
  <c r="R69" i="78"/>
  <c r="O69" i="78"/>
  <c r="L69" i="78"/>
  <c r="I69" i="78"/>
  <c r="W69" i="78"/>
  <c r="U70" i="78"/>
  <c r="R70" i="78"/>
  <c r="O70" i="78"/>
  <c r="L70" i="78"/>
  <c r="I70" i="78"/>
  <c r="W70" i="78"/>
  <c r="U71" i="78"/>
  <c r="R71" i="78"/>
  <c r="O71" i="78"/>
  <c r="L71" i="78"/>
  <c r="I71" i="78"/>
  <c r="W71" i="78"/>
  <c r="U72" i="78"/>
  <c r="R72" i="78"/>
  <c r="O72" i="78"/>
  <c r="L72" i="78"/>
  <c r="I72" i="78"/>
  <c r="W72" i="78"/>
  <c r="U73" i="78"/>
  <c r="R73" i="78"/>
  <c r="O73" i="78"/>
  <c r="L73" i="78"/>
  <c r="I73" i="78"/>
  <c r="W73" i="78"/>
  <c r="U74" i="78"/>
  <c r="R74" i="78"/>
  <c r="O74" i="78"/>
  <c r="L74" i="78"/>
  <c r="I74" i="78"/>
  <c r="W74" i="78"/>
  <c r="U75" i="78"/>
  <c r="R75" i="78"/>
  <c r="O75" i="78"/>
  <c r="L75" i="78"/>
  <c r="I75" i="78"/>
  <c r="W75" i="78"/>
  <c r="U76" i="78"/>
  <c r="R76" i="78"/>
  <c r="O76" i="78"/>
  <c r="L76" i="78"/>
  <c r="I76" i="78"/>
  <c r="W76" i="78"/>
  <c r="U77" i="78"/>
  <c r="R77" i="78"/>
  <c r="O77" i="78"/>
  <c r="L77" i="78"/>
  <c r="I77" i="78"/>
  <c r="W77" i="78"/>
  <c r="U78" i="78"/>
  <c r="R78" i="78"/>
  <c r="O78" i="78"/>
  <c r="L78" i="78"/>
  <c r="I78" i="78"/>
  <c r="W78" i="78"/>
  <c r="U79" i="78"/>
  <c r="R79" i="78"/>
  <c r="O79" i="78"/>
  <c r="L79" i="78"/>
  <c r="I79" i="78"/>
  <c r="W79" i="78"/>
  <c r="U80" i="78"/>
  <c r="R80" i="78"/>
  <c r="O80" i="78"/>
  <c r="L80" i="78"/>
  <c r="I80" i="78"/>
  <c r="W80" i="78"/>
  <c r="U81" i="78"/>
  <c r="R81" i="78"/>
  <c r="O81" i="78"/>
  <c r="L81" i="78"/>
  <c r="I81" i="78"/>
  <c r="W81" i="78"/>
  <c r="U82" i="78"/>
  <c r="R82" i="78"/>
  <c r="O82" i="78"/>
  <c r="L82" i="78"/>
  <c r="I82" i="78"/>
  <c r="W82" i="78"/>
  <c r="U83" i="78"/>
  <c r="R83" i="78"/>
  <c r="O83" i="78"/>
  <c r="L83" i="78"/>
  <c r="I83" i="78"/>
  <c r="W83" i="78"/>
  <c r="U84" i="78"/>
  <c r="R84" i="78"/>
  <c r="O84" i="78"/>
  <c r="L84" i="78"/>
  <c r="I84" i="78"/>
  <c r="W84" i="78"/>
  <c r="U85" i="78"/>
  <c r="R85" i="78"/>
  <c r="O85" i="78"/>
  <c r="L85" i="78"/>
  <c r="I85" i="78"/>
  <c r="W85" i="78"/>
  <c r="U86" i="78"/>
  <c r="R86" i="78"/>
  <c r="O86" i="78"/>
  <c r="L86" i="78"/>
  <c r="I86" i="78"/>
  <c r="W86" i="78"/>
  <c r="U87" i="78"/>
  <c r="R87" i="78"/>
  <c r="O87" i="78"/>
  <c r="L87" i="78"/>
  <c r="I87" i="78"/>
  <c r="W87" i="78"/>
  <c r="U88" i="78"/>
  <c r="R88" i="78"/>
  <c r="O88" i="78"/>
  <c r="L88" i="78"/>
  <c r="I88" i="78"/>
  <c r="W88" i="78"/>
  <c r="U89" i="78"/>
  <c r="R89" i="78"/>
  <c r="O89" i="78"/>
  <c r="L89" i="78"/>
  <c r="I89" i="78"/>
  <c r="W89" i="78"/>
  <c r="U91" i="78"/>
  <c r="R91" i="78"/>
  <c r="O91" i="78"/>
  <c r="L91" i="78"/>
  <c r="I91" i="78"/>
  <c r="W91" i="78"/>
  <c r="U92" i="78"/>
  <c r="L92" i="78"/>
  <c r="W92" i="78"/>
  <c r="U93" i="78"/>
  <c r="R93" i="78"/>
  <c r="O93" i="78"/>
  <c r="L93" i="78"/>
  <c r="W93" i="78"/>
  <c r="U94" i="78"/>
  <c r="R94" i="78"/>
  <c r="O94" i="78"/>
  <c r="L94" i="78"/>
  <c r="I94" i="78"/>
  <c r="W94" i="78"/>
  <c r="U95" i="78"/>
  <c r="R95" i="78"/>
  <c r="O95" i="78"/>
  <c r="L95" i="78"/>
  <c r="I95" i="78"/>
  <c r="W95" i="78"/>
  <c r="U96" i="78"/>
  <c r="R96" i="78"/>
  <c r="O96" i="78"/>
  <c r="L96" i="78"/>
  <c r="I96" i="78"/>
  <c r="W96" i="78"/>
  <c r="U97" i="78"/>
  <c r="R97" i="78"/>
  <c r="O97" i="78"/>
  <c r="L97" i="78"/>
  <c r="I97" i="78"/>
  <c r="W97" i="78"/>
  <c r="U98" i="78"/>
  <c r="R98" i="78"/>
  <c r="O98" i="78"/>
  <c r="L98" i="78"/>
  <c r="I98" i="78"/>
  <c r="W98" i="78"/>
  <c r="U99" i="78"/>
  <c r="R99" i="78"/>
  <c r="O99" i="78"/>
  <c r="L99" i="78"/>
  <c r="I99" i="78"/>
  <c r="W99" i="78"/>
  <c r="U100" i="78"/>
  <c r="R100" i="78"/>
  <c r="O100" i="78"/>
  <c r="L100" i="78"/>
  <c r="I100" i="78"/>
  <c r="W100" i="78"/>
  <c r="U101" i="78"/>
  <c r="R101" i="78"/>
  <c r="O101" i="78"/>
  <c r="L101" i="78"/>
  <c r="I101" i="78"/>
  <c r="W101" i="78"/>
  <c r="U102" i="78"/>
  <c r="R102" i="78"/>
  <c r="O102" i="78"/>
  <c r="L102" i="78"/>
  <c r="I102" i="78"/>
  <c r="W102" i="78"/>
  <c r="U103" i="78"/>
  <c r="R103" i="78"/>
  <c r="O103" i="78"/>
  <c r="L103" i="78"/>
  <c r="I103" i="78"/>
  <c r="W103" i="78"/>
  <c r="U104" i="78"/>
  <c r="R104" i="78"/>
  <c r="O104" i="78"/>
  <c r="L104" i="78"/>
  <c r="I104" i="78"/>
  <c r="W104" i="78"/>
  <c r="U105" i="78"/>
  <c r="R105" i="78"/>
  <c r="O105" i="78"/>
  <c r="L105" i="78"/>
  <c r="I105" i="78"/>
  <c r="W105" i="78"/>
  <c r="U106" i="78"/>
  <c r="R106" i="78"/>
  <c r="O106" i="78"/>
  <c r="L106" i="78"/>
  <c r="I106" i="78"/>
  <c r="W106" i="78"/>
  <c r="U107" i="78"/>
  <c r="R107" i="78"/>
  <c r="O107" i="78"/>
  <c r="L107" i="78"/>
  <c r="I107" i="78"/>
  <c r="W107" i="78"/>
  <c r="U108" i="78"/>
  <c r="R108" i="78"/>
  <c r="O108" i="78"/>
  <c r="L108" i="78"/>
  <c r="I108" i="78"/>
  <c r="W108" i="78"/>
  <c r="U109" i="78"/>
  <c r="R109" i="78"/>
  <c r="O109" i="78"/>
  <c r="L109" i="78"/>
  <c r="I109" i="78"/>
  <c r="W109" i="78"/>
  <c r="U110" i="78"/>
  <c r="R110" i="78"/>
  <c r="O110" i="78"/>
  <c r="L110" i="78"/>
  <c r="I110" i="78"/>
  <c r="W110" i="78"/>
  <c r="U111" i="78"/>
  <c r="R111" i="78"/>
  <c r="O111" i="78"/>
  <c r="L111" i="78"/>
  <c r="I111" i="78"/>
  <c r="W111" i="78"/>
  <c r="U112" i="78"/>
  <c r="R112" i="78"/>
  <c r="O112" i="78"/>
  <c r="L112" i="78"/>
  <c r="I112" i="78"/>
  <c r="W112" i="78"/>
  <c r="U113" i="78"/>
  <c r="R113" i="78"/>
  <c r="O113" i="78"/>
  <c r="L113" i="78"/>
  <c r="I113" i="78"/>
  <c r="W113" i="78"/>
  <c r="U114" i="78"/>
  <c r="R114" i="78"/>
  <c r="O114" i="78"/>
  <c r="L114" i="78"/>
  <c r="I114" i="78"/>
  <c r="W114" i="78"/>
  <c r="U115" i="78"/>
  <c r="R115" i="78"/>
  <c r="O115" i="78"/>
  <c r="L115" i="78"/>
  <c r="I115" i="78"/>
  <c r="W115" i="78"/>
  <c r="U116" i="78"/>
  <c r="R116" i="78"/>
  <c r="O116" i="78"/>
  <c r="L116" i="78"/>
  <c r="I116" i="78"/>
  <c r="W116" i="78"/>
  <c r="U117" i="78"/>
  <c r="R117" i="78"/>
  <c r="O117" i="78"/>
  <c r="L117" i="78"/>
  <c r="I117" i="78"/>
  <c r="W117" i="78"/>
  <c r="U118" i="78"/>
  <c r="R118" i="78"/>
  <c r="O118" i="78"/>
  <c r="L118" i="78"/>
  <c r="I118" i="78"/>
  <c r="W118" i="78"/>
  <c r="U119" i="78"/>
  <c r="R119" i="78"/>
  <c r="O119" i="78"/>
  <c r="L119" i="78"/>
  <c r="I119" i="78"/>
  <c r="W119" i="78"/>
  <c r="U120" i="78"/>
  <c r="R120" i="78"/>
  <c r="O120" i="78"/>
  <c r="L120" i="78"/>
  <c r="I120" i="78"/>
  <c r="W120" i="78"/>
  <c r="U121" i="78"/>
  <c r="R121" i="78"/>
  <c r="O121" i="78"/>
  <c r="L121" i="78"/>
  <c r="I121" i="78"/>
  <c r="W121" i="78"/>
  <c r="U122" i="78"/>
  <c r="R122" i="78"/>
  <c r="O122" i="78"/>
  <c r="L122" i="78"/>
  <c r="I122" i="78"/>
  <c r="W122" i="78"/>
  <c r="U123" i="78"/>
  <c r="R123" i="78"/>
  <c r="O123" i="78"/>
  <c r="L123" i="78"/>
  <c r="I123" i="78"/>
  <c r="W123" i="78"/>
  <c r="U124" i="78"/>
  <c r="R124" i="78"/>
  <c r="O124" i="78"/>
  <c r="L124" i="78"/>
  <c r="I124" i="78"/>
  <c r="W124" i="78"/>
  <c r="U125" i="78"/>
  <c r="R125" i="78"/>
  <c r="O125" i="78"/>
  <c r="L125" i="78"/>
  <c r="I125" i="78"/>
  <c r="W125" i="78"/>
  <c r="U126" i="78"/>
  <c r="R126" i="78"/>
  <c r="O126" i="78"/>
  <c r="L126" i="78"/>
  <c r="I126" i="78"/>
  <c r="W126" i="78"/>
  <c r="U127" i="78"/>
  <c r="R127" i="78"/>
  <c r="O127" i="78"/>
  <c r="L127" i="78"/>
  <c r="I127" i="78"/>
  <c r="W127" i="78"/>
  <c r="U128" i="78"/>
  <c r="R128" i="78"/>
  <c r="O128" i="78"/>
  <c r="L128" i="78"/>
  <c r="I128" i="78"/>
  <c r="W128" i="78"/>
  <c r="U129" i="78"/>
  <c r="R129" i="78"/>
  <c r="O129" i="78"/>
  <c r="L129" i="78"/>
  <c r="I129" i="78"/>
  <c r="W129" i="78"/>
  <c r="U130" i="78"/>
  <c r="R130" i="78"/>
  <c r="O130" i="78"/>
  <c r="L130" i="78"/>
  <c r="I130" i="78"/>
  <c r="W130" i="78"/>
  <c r="U131" i="78"/>
  <c r="R131" i="78"/>
  <c r="O131" i="78"/>
  <c r="L131" i="78"/>
  <c r="I131" i="78"/>
  <c r="W131" i="78"/>
  <c r="U132" i="78"/>
  <c r="R132" i="78"/>
  <c r="O132" i="78"/>
  <c r="L132" i="78"/>
  <c r="I132" i="78"/>
  <c r="W132" i="78"/>
  <c r="U133" i="78"/>
  <c r="R133" i="78"/>
  <c r="O133" i="78"/>
  <c r="L133" i="78"/>
  <c r="I133" i="78"/>
  <c r="W133" i="78"/>
  <c r="U134" i="78"/>
  <c r="R134" i="78"/>
  <c r="O134" i="78"/>
  <c r="L134" i="78"/>
  <c r="I134" i="78"/>
  <c r="W134" i="78"/>
  <c r="U135" i="78"/>
  <c r="R135" i="78"/>
  <c r="O135" i="78"/>
  <c r="L135" i="78"/>
  <c r="I135" i="78"/>
  <c r="W135" i="78"/>
  <c r="U136" i="78"/>
  <c r="R136" i="78"/>
  <c r="O136" i="78"/>
  <c r="L136" i="78"/>
  <c r="I136" i="78"/>
  <c r="W136" i="78"/>
  <c r="U137" i="78"/>
  <c r="R137" i="78"/>
  <c r="O137" i="78"/>
  <c r="L137" i="78"/>
  <c r="I137" i="78"/>
  <c r="W137" i="78"/>
  <c r="U138" i="78"/>
  <c r="R138" i="78"/>
  <c r="O138" i="78"/>
  <c r="L138" i="78"/>
  <c r="I138" i="78"/>
  <c r="W138" i="78"/>
  <c r="U139" i="78"/>
  <c r="R139" i="78"/>
  <c r="O139" i="78"/>
  <c r="L139" i="78"/>
  <c r="I139" i="78"/>
  <c r="W139" i="78"/>
  <c r="U140" i="78"/>
  <c r="R140" i="78"/>
  <c r="O140" i="78"/>
  <c r="L140" i="78"/>
  <c r="I140" i="78"/>
  <c r="W140" i="78"/>
  <c r="U141" i="78"/>
  <c r="R141" i="78"/>
  <c r="O141" i="78"/>
  <c r="L141" i="78"/>
  <c r="I141" i="78"/>
  <c r="W141" i="78"/>
  <c r="U142" i="78"/>
  <c r="R142" i="78"/>
  <c r="O142" i="78"/>
  <c r="L142" i="78"/>
  <c r="I142" i="78"/>
  <c r="W142" i="78"/>
  <c r="U143" i="78"/>
  <c r="R143" i="78"/>
  <c r="O143" i="78"/>
  <c r="L143" i="78"/>
  <c r="I143" i="78"/>
  <c r="W143" i="78"/>
  <c r="U144" i="78"/>
  <c r="R144" i="78"/>
  <c r="O144" i="78"/>
  <c r="L144" i="78"/>
  <c r="I144" i="78"/>
  <c r="W144" i="78"/>
  <c r="U145" i="78"/>
  <c r="R145" i="78"/>
  <c r="O145" i="78"/>
  <c r="L145" i="78"/>
  <c r="I145" i="78"/>
  <c r="W145" i="78"/>
  <c r="U146" i="78"/>
  <c r="R146" i="78"/>
  <c r="O146" i="78"/>
  <c r="L146" i="78"/>
  <c r="I146" i="78"/>
  <c r="W146" i="78"/>
  <c r="U147" i="78"/>
  <c r="R147" i="78"/>
  <c r="O147" i="78"/>
  <c r="L147" i="78"/>
  <c r="I147" i="78"/>
  <c r="W147" i="78"/>
  <c r="U148" i="78"/>
  <c r="R148" i="78"/>
  <c r="O148" i="78"/>
  <c r="L148" i="78"/>
  <c r="I148" i="78"/>
  <c r="W148" i="78"/>
  <c r="U149" i="78"/>
  <c r="R149" i="78"/>
  <c r="O149" i="78"/>
  <c r="L149" i="78"/>
  <c r="I149" i="78"/>
  <c r="W149" i="78"/>
  <c r="U150" i="78"/>
  <c r="R150" i="78"/>
  <c r="O150" i="78"/>
  <c r="L150" i="78"/>
  <c r="I150" i="78"/>
  <c r="W150" i="78"/>
  <c r="U151" i="78"/>
  <c r="R151" i="78"/>
  <c r="O151" i="78"/>
  <c r="L151" i="78"/>
  <c r="I151" i="78"/>
  <c r="W151" i="78"/>
  <c r="U152" i="78"/>
  <c r="R152" i="78"/>
  <c r="O152" i="78"/>
  <c r="L152" i="78"/>
  <c r="I152" i="78"/>
  <c r="W152" i="78"/>
  <c r="U153" i="78"/>
  <c r="R153" i="78"/>
  <c r="O153" i="78"/>
  <c r="L153" i="78"/>
  <c r="I153" i="78"/>
  <c r="W153" i="78"/>
  <c r="U154" i="78"/>
  <c r="R154" i="78"/>
  <c r="O154" i="78"/>
  <c r="L154" i="78"/>
  <c r="I154" i="78"/>
  <c r="W154" i="78"/>
  <c r="U155" i="78"/>
  <c r="R155" i="78"/>
  <c r="O155" i="78"/>
  <c r="L155" i="78"/>
  <c r="I155" i="78"/>
  <c r="W155" i="78"/>
  <c r="U156" i="78"/>
  <c r="R156" i="78"/>
  <c r="O156" i="78"/>
  <c r="L156" i="78"/>
  <c r="I156" i="78"/>
  <c r="W156" i="78"/>
  <c r="U157" i="78"/>
  <c r="R157" i="78"/>
  <c r="O157" i="78"/>
  <c r="L157" i="78"/>
  <c r="I157" i="78"/>
  <c r="W157" i="78"/>
  <c r="U158" i="78"/>
  <c r="R158" i="78"/>
  <c r="O158" i="78"/>
  <c r="L158" i="78"/>
  <c r="I158" i="78"/>
  <c r="W158" i="78"/>
  <c r="U159" i="78"/>
  <c r="R159" i="78"/>
  <c r="O159" i="78"/>
  <c r="L159" i="78"/>
  <c r="I159" i="78"/>
  <c r="W159" i="78"/>
  <c r="U160" i="78"/>
  <c r="R160" i="78"/>
  <c r="O160" i="78"/>
  <c r="L160" i="78"/>
  <c r="I160" i="78"/>
  <c r="W160" i="78"/>
  <c r="U161" i="78"/>
  <c r="R161" i="78"/>
  <c r="O161" i="78"/>
  <c r="L161" i="78"/>
  <c r="I161" i="78"/>
  <c r="W161" i="78"/>
  <c r="U164" i="78"/>
  <c r="R164" i="78"/>
  <c r="O164" i="78"/>
  <c r="L164" i="78"/>
  <c r="I164" i="78"/>
  <c r="W164" i="78"/>
  <c r="U167" i="78"/>
  <c r="R167" i="78"/>
  <c r="O167" i="78"/>
  <c r="L167" i="78"/>
  <c r="I167" i="78"/>
  <c r="W167" i="78"/>
  <c r="U168" i="78"/>
  <c r="R168" i="78"/>
  <c r="O168" i="78"/>
  <c r="L168" i="78"/>
  <c r="I168" i="78"/>
  <c r="W168" i="78"/>
  <c r="U173" i="78"/>
  <c r="R173" i="78"/>
  <c r="O173" i="78"/>
  <c r="L173" i="78"/>
  <c r="I173" i="78"/>
  <c r="W173" i="78"/>
  <c r="U176" i="78"/>
  <c r="R176" i="78"/>
  <c r="O176" i="78"/>
  <c r="L176" i="78"/>
  <c r="I176" i="78"/>
  <c r="W176" i="78"/>
  <c r="U177" i="78"/>
  <c r="R177" i="78"/>
  <c r="O177" i="78"/>
  <c r="L177" i="78"/>
  <c r="I177" i="78"/>
  <c r="W177" i="78"/>
  <c r="U179" i="78"/>
  <c r="R179" i="78"/>
  <c r="O179" i="78"/>
  <c r="L179" i="78"/>
  <c r="I179" i="78"/>
  <c r="W179" i="78"/>
  <c r="U180" i="78"/>
  <c r="R180" i="78"/>
  <c r="O180" i="78"/>
  <c r="L180" i="78"/>
  <c r="I180" i="78"/>
  <c r="W180" i="78"/>
  <c r="U185" i="78"/>
  <c r="R185" i="78"/>
  <c r="O185" i="78"/>
  <c r="L185" i="78"/>
  <c r="I185" i="78"/>
  <c r="W185" i="78"/>
  <c r="U187" i="78"/>
  <c r="R187" i="78"/>
  <c r="O187" i="78"/>
  <c r="L187" i="78"/>
  <c r="I187" i="78"/>
  <c r="W187" i="78"/>
  <c r="U188" i="78"/>
  <c r="R188" i="78"/>
  <c r="O188" i="78"/>
  <c r="L188" i="78"/>
  <c r="I188" i="78"/>
  <c r="W188" i="78"/>
  <c r="U190" i="78"/>
  <c r="R190" i="78"/>
  <c r="O190" i="78"/>
  <c r="L190" i="78"/>
  <c r="I190" i="78"/>
  <c r="W190" i="78"/>
  <c r="U192" i="78"/>
  <c r="R192" i="78"/>
  <c r="L192" i="78"/>
  <c r="I192" i="78"/>
  <c r="W192" i="78"/>
  <c r="U193" i="78"/>
  <c r="R193" i="78"/>
  <c r="L193" i="78"/>
  <c r="I193" i="78"/>
  <c r="W193" i="78"/>
  <c r="U194" i="78"/>
  <c r="R194" i="78"/>
  <c r="O194" i="78"/>
  <c r="L194" i="78"/>
  <c r="I194" i="78"/>
  <c r="W194" i="78"/>
  <c r="U195" i="78"/>
  <c r="R195" i="78"/>
  <c r="O195" i="78"/>
  <c r="L195" i="78"/>
  <c r="I195" i="78"/>
  <c r="W195" i="78"/>
  <c r="U196" i="78"/>
  <c r="R196" i="78"/>
  <c r="O196" i="78"/>
  <c r="L196" i="78"/>
  <c r="I196" i="78"/>
  <c r="W196" i="78"/>
  <c r="U197" i="78"/>
  <c r="R197" i="78"/>
  <c r="O197" i="78"/>
  <c r="L197" i="78"/>
  <c r="I197" i="78"/>
  <c r="W197" i="78"/>
  <c r="U198" i="78"/>
  <c r="R198" i="78"/>
  <c r="O198" i="78"/>
  <c r="L198" i="78"/>
  <c r="I198" i="78"/>
  <c r="W198" i="78"/>
  <c r="U199" i="78"/>
  <c r="R199" i="78"/>
  <c r="O199" i="78"/>
  <c r="L199" i="78"/>
  <c r="I199" i="78"/>
  <c r="W199" i="78"/>
  <c r="U200" i="78"/>
  <c r="R200" i="78"/>
  <c r="O200" i="78"/>
  <c r="L200" i="78"/>
  <c r="I200" i="78"/>
  <c r="W200" i="78"/>
  <c r="U201" i="78"/>
  <c r="R201" i="78"/>
  <c r="O201" i="78"/>
  <c r="L201" i="78"/>
  <c r="I201" i="78"/>
  <c r="W201" i="78"/>
  <c r="U202" i="78"/>
  <c r="R202" i="78"/>
  <c r="O202" i="78"/>
  <c r="L202" i="78"/>
  <c r="I202" i="78"/>
  <c r="W202" i="78"/>
  <c r="U203" i="78"/>
  <c r="R203" i="78"/>
  <c r="O203" i="78"/>
  <c r="L203" i="78"/>
  <c r="I203" i="78"/>
  <c r="W203" i="78"/>
  <c r="U204" i="78"/>
  <c r="R204" i="78"/>
  <c r="O204" i="78"/>
  <c r="L204" i="78"/>
  <c r="I204" i="78"/>
  <c r="W204" i="78"/>
  <c r="U205" i="78"/>
  <c r="R205" i="78"/>
  <c r="O205" i="78"/>
  <c r="L205" i="78"/>
  <c r="I205" i="78"/>
  <c r="W205" i="78"/>
  <c r="U206" i="78"/>
  <c r="R206" i="78"/>
  <c r="O206" i="78"/>
  <c r="L206" i="78"/>
  <c r="I206" i="78"/>
  <c r="W206" i="78"/>
  <c r="U207" i="78"/>
  <c r="R207" i="78"/>
  <c r="O207" i="78"/>
  <c r="L207" i="78"/>
  <c r="I207" i="78"/>
  <c r="W207" i="78"/>
  <c r="R208" i="78"/>
  <c r="L208" i="78"/>
  <c r="W208" i="78"/>
  <c r="U209" i="78"/>
  <c r="L209" i="78"/>
  <c r="W209" i="78"/>
  <c r="U210" i="78"/>
  <c r="R210" i="78"/>
  <c r="O210" i="78"/>
  <c r="L210" i="78"/>
  <c r="I210" i="78"/>
  <c r="W210" i="78"/>
  <c r="U211" i="78"/>
  <c r="R211" i="78"/>
  <c r="O211" i="78"/>
  <c r="L211" i="78"/>
  <c r="I211" i="78"/>
  <c r="W211" i="78"/>
  <c r="U212" i="78"/>
  <c r="R212" i="78"/>
  <c r="O212" i="78"/>
  <c r="L212" i="78"/>
  <c r="I212" i="78"/>
  <c r="W212" i="78"/>
  <c r="U213" i="78"/>
  <c r="R213" i="78"/>
  <c r="O213" i="78"/>
  <c r="L213" i="78"/>
  <c r="I213" i="78"/>
  <c r="W213" i="78"/>
  <c r="U214" i="78"/>
  <c r="R214" i="78"/>
  <c r="O214" i="78"/>
  <c r="L214" i="78"/>
  <c r="I214" i="78"/>
  <c r="W214" i="78"/>
  <c r="U215" i="78"/>
  <c r="R215" i="78"/>
  <c r="O215" i="78"/>
  <c r="L215" i="78"/>
  <c r="I215" i="78"/>
  <c r="W215" i="78"/>
  <c r="U216" i="78"/>
  <c r="R216" i="78"/>
  <c r="O216" i="78"/>
  <c r="L216" i="78"/>
  <c r="I216" i="78"/>
  <c r="W216" i="78"/>
  <c r="U217" i="78"/>
  <c r="R217" i="78"/>
  <c r="O217" i="78"/>
  <c r="L217" i="78"/>
  <c r="I217" i="78"/>
  <c r="W217" i="78"/>
  <c r="U218" i="78"/>
  <c r="R218" i="78"/>
  <c r="O218" i="78"/>
  <c r="L218" i="78"/>
  <c r="I218" i="78"/>
  <c r="W218" i="78"/>
  <c r="U219" i="78"/>
  <c r="R219" i="78"/>
  <c r="O219" i="78"/>
  <c r="L219" i="78"/>
  <c r="I219" i="78"/>
  <c r="W219" i="78"/>
  <c r="U220" i="78"/>
  <c r="R220" i="78"/>
  <c r="O220" i="78"/>
  <c r="L220" i="78"/>
  <c r="I220" i="78"/>
  <c r="W220" i="78"/>
  <c r="U221" i="78"/>
  <c r="R221" i="78"/>
  <c r="O221" i="78"/>
  <c r="L221" i="78"/>
  <c r="I221" i="78"/>
  <c r="W221" i="78"/>
  <c r="U222" i="78"/>
  <c r="R222" i="78"/>
  <c r="O222" i="78"/>
  <c r="L222" i="78"/>
  <c r="I222" i="78"/>
  <c r="W222" i="78"/>
  <c r="U223" i="78"/>
  <c r="R223" i="78"/>
  <c r="O223" i="78"/>
  <c r="L223" i="78"/>
  <c r="I223" i="78"/>
  <c r="W223" i="78"/>
  <c r="U224" i="78"/>
  <c r="R224" i="78"/>
  <c r="O224" i="78"/>
  <c r="L224" i="78"/>
  <c r="I224" i="78"/>
  <c r="W224" i="78"/>
  <c r="U225" i="78"/>
  <c r="R225" i="78"/>
  <c r="O225" i="78"/>
  <c r="L225" i="78"/>
  <c r="I225" i="78"/>
  <c r="W225" i="78"/>
  <c r="U226" i="78"/>
  <c r="R226" i="78"/>
  <c r="O226" i="78"/>
  <c r="L226" i="78"/>
  <c r="I226" i="78"/>
  <c r="W226" i="78"/>
  <c r="U227" i="78"/>
  <c r="O227" i="78"/>
  <c r="L227" i="78"/>
  <c r="W227" i="78"/>
  <c r="U228" i="78"/>
  <c r="R228" i="78"/>
  <c r="O228" i="78"/>
  <c r="L228" i="78"/>
  <c r="I228" i="78"/>
  <c r="W228" i="78"/>
  <c r="U229" i="78"/>
  <c r="R229" i="78"/>
  <c r="O229" i="78"/>
  <c r="L229" i="78"/>
  <c r="W229" i="78"/>
  <c r="U230" i="78"/>
  <c r="R230" i="78"/>
  <c r="O230" i="78"/>
  <c r="L230" i="78"/>
  <c r="I230" i="78"/>
  <c r="W230" i="78"/>
  <c r="U231" i="78"/>
  <c r="R231" i="78"/>
  <c r="O231" i="78"/>
  <c r="L231" i="78"/>
  <c r="I231" i="78"/>
  <c r="W231" i="78"/>
  <c r="U232" i="78"/>
  <c r="R232" i="78"/>
  <c r="O232" i="78"/>
  <c r="L232" i="78"/>
  <c r="I232" i="78"/>
  <c r="W232" i="78"/>
  <c r="U233" i="78"/>
  <c r="R233" i="78"/>
  <c r="O233" i="78"/>
  <c r="L233" i="78"/>
  <c r="I233" i="78"/>
  <c r="W233" i="78"/>
  <c r="U234" i="78"/>
  <c r="R234" i="78"/>
  <c r="O234" i="78"/>
  <c r="L234" i="78"/>
  <c r="I234" i="78"/>
  <c r="W234" i="78"/>
  <c r="U235" i="78"/>
  <c r="R235" i="78"/>
  <c r="O235" i="78"/>
  <c r="L235" i="78"/>
  <c r="I235" i="78"/>
  <c r="W235" i="78"/>
  <c r="U236" i="78"/>
  <c r="R236" i="78"/>
  <c r="O236" i="78"/>
  <c r="L236" i="78"/>
  <c r="I236" i="78"/>
  <c r="W236" i="78"/>
  <c r="U237" i="78"/>
  <c r="R237" i="78"/>
  <c r="O237" i="78"/>
  <c r="L237" i="78"/>
  <c r="I237" i="78"/>
  <c r="W237" i="78"/>
  <c r="U238" i="78"/>
  <c r="R238" i="78"/>
  <c r="O238" i="78"/>
  <c r="L238" i="78"/>
  <c r="I238" i="78"/>
  <c r="W238" i="78"/>
  <c r="U239" i="78"/>
  <c r="R239" i="78"/>
  <c r="O239" i="78"/>
  <c r="L239" i="78"/>
  <c r="I239" i="78"/>
  <c r="W239" i="78"/>
  <c r="U240" i="78"/>
  <c r="R240" i="78"/>
  <c r="O240" i="78"/>
  <c r="L240" i="78"/>
  <c r="I240" i="78"/>
  <c r="W240" i="78"/>
  <c r="U241" i="78"/>
  <c r="R241" i="78"/>
  <c r="O241" i="78"/>
  <c r="L241" i="78"/>
  <c r="I241" i="78"/>
  <c r="W241" i="78"/>
  <c r="U242" i="78"/>
  <c r="R242" i="78"/>
  <c r="O242" i="78"/>
  <c r="L242" i="78"/>
  <c r="I242" i="78"/>
  <c r="W242" i="78"/>
  <c r="U243" i="78"/>
  <c r="R243" i="78"/>
  <c r="O243" i="78"/>
  <c r="L243" i="78"/>
  <c r="I243" i="78"/>
  <c r="W243" i="78"/>
  <c r="U244" i="78"/>
  <c r="R244" i="78"/>
  <c r="O244" i="78"/>
  <c r="L244" i="78"/>
  <c r="I244" i="78"/>
  <c r="W244" i="78"/>
  <c r="U245" i="78"/>
  <c r="R245" i="78"/>
  <c r="O245" i="78"/>
  <c r="L245" i="78"/>
  <c r="I245" i="78"/>
  <c r="W245" i="78"/>
  <c r="U246" i="78"/>
  <c r="R246" i="78"/>
  <c r="O246" i="78"/>
  <c r="L246" i="78"/>
  <c r="I246" i="78"/>
  <c r="W246" i="78"/>
  <c r="U247" i="78"/>
  <c r="R247" i="78"/>
  <c r="O247" i="78"/>
  <c r="L247" i="78"/>
  <c r="I247" i="78"/>
  <c r="W247" i="78"/>
  <c r="U248" i="78"/>
  <c r="R248" i="78"/>
  <c r="O248" i="78"/>
  <c r="L248" i="78"/>
  <c r="I248" i="78"/>
  <c r="W248" i="78"/>
  <c r="U249" i="78"/>
  <c r="R249" i="78"/>
  <c r="O249" i="78"/>
  <c r="L249" i="78"/>
  <c r="I249" i="78"/>
  <c r="W249" i="78"/>
  <c r="U250" i="78"/>
  <c r="R250" i="78"/>
  <c r="O250" i="78"/>
  <c r="L250" i="78"/>
  <c r="I250" i="78"/>
  <c r="W250" i="78"/>
  <c r="U251" i="78"/>
  <c r="R251" i="78"/>
  <c r="O251" i="78"/>
  <c r="L251" i="78"/>
  <c r="I251" i="78"/>
  <c r="W251" i="78"/>
  <c r="U252" i="78"/>
  <c r="R252" i="78"/>
  <c r="O252" i="78"/>
  <c r="L252" i="78"/>
  <c r="I252" i="78"/>
  <c r="W252" i="78"/>
  <c r="U253" i="78"/>
  <c r="R253" i="78"/>
  <c r="O253" i="78"/>
  <c r="L253" i="78"/>
  <c r="I253" i="78"/>
  <c r="W253" i="78"/>
  <c r="U254" i="78"/>
  <c r="R254" i="78"/>
  <c r="O254" i="78"/>
  <c r="L254" i="78"/>
  <c r="I254" i="78"/>
  <c r="W254" i="78"/>
  <c r="U255" i="78"/>
  <c r="R255" i="78"/>
  <c r="O255" i="78"/>
  <c r="L255" i="78"/>
  <c r="I255" i="78"/>
  <c r="W255" i="78"/>
  <c r="U256" i="78"/>
  <c r="R256" i="78"/>
  <c r="O256" i="78"/>
  <c r="L256" i="78"/>
  <c r="I256" i="78"/>
  <c r="W256" i="78"/>
  <c r="U257" i="78"/>
  <c r="R257" i="78"/>
  <c r="O257" i="78"/>
  <c r="L257" i="78"/>
  <c r="I257" i="78"/>
  <c r="W257" i="78"/>
  <c r="U258" i="78"/>
  <c r="R258" i="78"/>
  <c r="O258" i="78"/>
  <c r="L258" i="78"/>
  <c r="I258" i="78"/>
  <c r="W258" i="78"/>
  <c r="U259" i="78"/>
  <c r="R259" i="78"/>
  <c r="O259" i="78"/>
  <c r="L259" i="78"/>
  <c r="I259" i="78"/>
  <c r="W259" i="78"/>
  <c r="U260" i="78"/>
  <c r="R260" i="78"/>
  <c r="O260" i="78"/>
  <c r="L260" i="78"/>
  <c r="I260" i="78"/>
  <c r="W260" i="78"/>
  <c r="U261" i="78"/>
  <c r="R261" i="78"/>
  <c r="O261" i="78"/>
  <c r="L261" i="78"/>
  <c r="I261" i="78"/>
  <c r="W261" i="78"/>
  <c r="U262" i="78"/>
  <c r="R262" i="78"/>
  <c r="O262" i="78"/>
  <c r="L262" i="78"/>
  <c r="I262" i="78"/>
  <c r="W262" i="78"/>
  <c r="U263" i="78"/>
  <c r="R263" i="78"/>
  <c r="O263" i="78"/>
  <c r="L263" i="78"/>
  <c r="I263" i="78"/>
  <c r="W263" i="78"/>
  <c r="U264" i="78"/>
  <c r="R264" i="78"/>
  <c r="O264" i="78"/>
  <c r="L264" i="78"/>
  <c r="I264" i="78"/>
  <c r="W264" i="78"/>
  <c r="U265" i="78"/>
  <c r="R265" i="78"/>
  <c r="O265" i="78"/>
  <c r="L265" i="78"/>
  <c r="I265" i="78"/>
  <c r="W265" i="78"/>
  <c r="U266" i="78"/>
  <c r="R266" i="78"/>
  <c r="O266" i="78"/>
  <c r="L266" i="78"/>
  <c r="I266" i="78"/>
  <c r="W266" i="78"/>
  <c r="U267" i="78"/>
  <c r="R267" i="78"/>
  <c r="O267" i="78"/>
  <c r="L267" i="78"/>
  <c r="I267" i="78"/>
  <c r="W267" i="78"/>
  <c r="U268" i="78"/>
  <c r="R268" i="78"/>
  <c r="O268" i="78"/>
  <c r="L268" i="78"/>
  <c r="I268" i="78"/>
  <c r="W268" i="78"/>
  <c r="U269" i="78"/>
  <c r="R269" i="78"/>
  <c r="O269" i="78"/>
  <c r="L269" i="78"/>
  <c r="I269" i="78"/>
  <c r="W269" i="78"/>
  <c r="U270" i="78"/>
  <c r="R270" i="78"/>
  <c r="O270" i="78"/>
  <c r="L270" i="78"/>
  <c r="I270" i="78"/>
  <c r="W270" i="78"/>
  <c r="U271" i="78"/>
  <c r="R271" i="78"/>
  <c r="O271" i="78"/>
  <c r="L271" i="78"/>
  <c r="I271" i="78"/>
  <c r="W271" i="78"/>
  <c r="U272" i="78"/>
  <c r="R272" i="78"/>
  <c r="O272" i="78"/>
  <c r="L272" i="78"/>
  <c r="I272" i="78"/>
  <c r="W272" i="78"/>
  <c r="U273" i="78"/>
  <c r="R273" i="78"/>
  <c r="O273" i="78"/>
  <c r="L273" i="78"/>
  <c r="I273" i="78"/>
  <c r="W273" i="78"/>
  <c r="U274" i="78"/>
  <c r="R274" i="78"/>
  <c r="O274" i="78"/>
  <c r="L274" i="78"/>
  <c r="I274" i="78"/>
  <c r="W274" i="78"/>
  <c r="U275" i="78"/>
  <c r="R275" i="78"/>
  <c r="O275" i="78"/>
  <c r="L275" i="78"/>
  <c r="I275" i="78"/>
  <c r="W275" i="78"/>
  <c r="U276" i="78"/>
  <c r="R276" i="78"/>
  <c r="O276" i="78"/>
  <c r="L276" i="78"/>
  <c r="I276" i="78"/>
  <c r="W276" i="78"/>
  <c r="U277" i="78"/>
  <c r="R277" i="78"/>
  <c r="O277" i="78"/>
  <c r="L277" i="78"/>
  <c r="I277" i="78"/>
  <c r="W277" i="78"/>
  <c r="U278" i="78"/>
  <c r="R278" i="78"/>
  <c r="O278" i="78"/>
  <c r="L278" i="78"/>
  <c r="I278" i="78"/>
  <c r="W278" i="78"/>
  <c r="U279" i="78"/>
  <c r="R279" i="78"/>
  <c r="O279" i="78"/>
  <c r="L279" i="78"/>
  <c r="I279" i="78"/>
  <c r="W279" i="78"/>
  <c r="U280" i="78"/>
  <c r="R280" i="78"/>
  <c r="O280" i="78"/>
  <c r="L280" i="78"/>
  <c r="I280" i="78"/>
  <c r="W280" i="78"/>
  <c r="U281" i="78"/>
  <c r="R281" i="78"/>
  <c r="O281" i="78"/>
  <c r="L281" i="78"/>
  <c r="I281" i="78"/>
  <c r="W281" i="78"/>
  <c r="U282" i="78"/>
  <c r="R282" i="78"/>
  <c r="O282" i="78"/>
  <c r="L282" i="78"/>
  <c r="I282" i="78"/>
  <c r="W282" i="78"/>
  <c r="U283" i="78"/>
  <c r="R283" i="78"/>
  <c r="O283" i="78"/>
  <c r="L283" i="78"/>
  <c r="I283" i="78"/>
  <c r="W283" i="78"/>
  <c r="U284" i="78"/>
  <c r="R284" i="78"/>
  <c r="O284" i="78"/>
  <c r="L284" i="78"/>
  <c r="I284" i="78"/>
  <c r="W284" i="78"/>
  <c r="U285" i="78"/>
  <c r="R285" i="78"/>
  <c r="O285" i="78"/>
  <c r="L285" i="78"/>
  <c r="I285" i="78"/>
  <c r="W285" i="78"/>
  <c r="U286" i="78"/>
  <c r="R286" i="78"/>
  <c r="O286" i="78"/>
  <c r="L286" i="78"/>
  <c r="I286" i="78"/>
  <c r="W286" i="78"/>
  <c r="U287" i="78"/>
  <c r="R287" i="78"/>
  <c r="O287" i="78"/>
  <c r="L287" i="78"/>
  <c r="I287" i="78"/>
  <c r="W287" i="78"/>
  <c r="U290" i="78"/>
  <c r="R290" i="78"/>
  <c r="O290" i="78"/>
  <c r="L290" i="78"/>
  <c r="I290" i="78"/>
  <c r="W290" i="78"/>
  <c r="U291" i="78"/>
  <c r="R291" i="78"/>
  <c r="O291" i="78"/>
  <c r="L291" i="78"/>
  <c r="I291" i="78"/>
  <c r="W291" i="78"/>
  <c r="U292" i="78"/>
  <c r="R292" i="78"/>
  <c r="O292" i="78"/>
  <c r="L292" i="78"/>
  <c r="I292" i="78"/>
  <c r="W292" i="78"/>
  <c r="U293" i="78"/>
  <c r="R293" i="78"/>
  <c r="O293" i="78"/>
  <c r="L293" i="78"/>
  <c r="I293" i="78"/>
  <c r="W293" i="78"/>
  <c r="U294" i="78"/>
  <c r="R294" i="78"/>
  <c r="O294" i="78"/>
  <c r="L294" i="78"/>
  <c r="I294" i="78"/>
  <c r="W294" i="78"/>
  <c r="U295" i="78"/>
  <c r="R295" i="78"/>
  <c r="O295" i="78"/>
  <c r="L295" i="78"/>
  <c r="I295" i="78"/>
  <c r="W295" i="78"/>
  <c r="U296" i="78"/>
  <c r="R296" i="78"/>
  <c r="O296" i="78"/>
  <c r="L296" i="78"/>
  <c r="I296" i="78"/>
  <c r="W296" i="78"/>
  <c r="U297" i="78"/>
  <c r="R297" i="78"/>
  <c r="O297" i="78"/>
  <c r="L297" i="78"/>
  <c r="I297" i="78"/>
  <c r="W297" i="78"/>
  <c r="U298" i="78"/>
  <c r="R298" i="78"/>
  <c r="O298" i="78"/>
  <c r="L298" i="78"/>
  <c r="I298" i="78"/>
  <c r="W298" i="78"/>
  <c r="U299" i="78"/>
  <c r="R299" i="78"/>
  <c r="O299" i="78"/>
  <c r="L299" i="78"/>
  <c r="I299" i="78"/>
  <c r="W299" i="78"/>
  <c r="U300" i="78"/>
  <c r="R300" i="78"/>
  <c r="O300" i="78"/>
  <c r="L300" i="78"/>
  <c r="I300" i="78"/>
  <c r="W300" i="78"/>
  <c r="U301" i="78"/>
  <c r="R301" i="78"/>
  <c r="O301" i="78"/>
  <c r="L301" i="78"/>
  <c r="I301" i="78"/>
  <c r="W301" i="78"/>
  <c r="U302" i="78"/>
  <c r="R302" i="78"/>
  <c r="O302" i="78"/>
  <c r="L302" i="78"/>
  <c r="I302" i="78"/>
  <c r="W302" i="78"/>
  <c r="U303" i="78"/>
  <c r="R303" i="78"/>
  <c r="O303" i="78"/>
  <c r="L303" i="78"/>
  <c r="I303" i="78"/>
  <c r="W303" i="78"/>
  <c r="U304" i="78"/>
  <c r="R304" i="78"/>
  <c r="O304" i="78"/>
  <c r="L304" i="78"/>
  <c r="I304" i="78"/>
  <c r="W304" i="78"/>
  <c r="U305" i="78"/>
  <c r="R305" i="78"/>
  <c r="O305" i="78"/>
  <c r="L305" i="78"/>
  <c r="I305" i="78"/>
  <c r="W305" i="78"/>
  <c r="U306" i="78"/>
  <c r="R306" i="78"/>
  <c r="O306" i="78"/>
  <c r="L306" i="78"/>
  <c r="I306" i="78"/>
  <c r="W306" i="78"/>
  <c r="U307" i="78"/>
  <c r="R307" i="78"/>
  <c r="O307" i="78"/>
  <c r="L307" i="78"/>
  <c r="I307" i="78"/>
  <c r="W307" i="78"/>
  <c r="U308" i="78"/>
  <c r="R308" i="78"/>
  <c r="O308" i="78"/>
  <c r="L308" i="78"/>
  <c r="I308" i="78"/>
  <c r="W308" i="78"/>
  <c r="U309" i="78"/>
  <c r="R309" i="78"/>
  <c r="O309" i="78"/>
  <c r="L309" i="78"/>
  <c r="I309" i="78"/>
  <c r="W309" i="78"/>
  <c r="U310" i="78"/>
  <c r="R310" i="78"/>
  <c r="O310" i="78"/>
  <c r="L310" i="78"/>
  <c r="I310" i="78"/>
  <c r="W310" i="78"/>
  <c r="U311" i="78"/>
  <c r="R311" i="78"/>
  <c r="O311" i="78"/>
  <c r="L311" i="78"/>
  <c r="I311" i="78"/>
  <c r="W311" i="78"/>
  <c r="U312" i="78"/>
  <c r="R312" i="78"/>
  <c r="O312" i="78"/>
  <c r="L312" i="78"/>
  <c r="I312" i="78"/>
  <c r="W312" i="78"/>
  <c r="U313" i="78"/>
  <c r="R313" i="78"/>
  <c r="O313" i="78"/>
  <c r="L313" i="78"/>
  <c r="I313" i="78"/>
  <c r="W313" i="78"/>
  <c r="U314" i="78"/>
  <c r="R314" i="78"/>
  <c r="O314" i="78"/>
  <c r="L314" i="78"/>
  <c r="I314" i="78"/>
  <c r="W314" i="78"/>
  <c r="U315" i="78"/>
  <c r="R315" i="78"/>
  <c r="O315" i="78"/>
  <c r="L315" i="78"/>
  <c r="I315" i="78"/>
  <c r="W315" i="78"/>
  <c r="U320" i="78"/>
  <c r="R320" i="78"/>
  <c r="O320" i="78"/>
  <c r="L320" i="78"/>
  <c r="I320" i="78"/>
  <c r="W320" i="78"/>
  <c r="U321" i="78"/>
  <c r="R321" i="78"/>
  <c r="O321" i="78"/>
  <c r="L321" i="78"/>
  <c r="I321" i="78"/>
  <c r="W321" i="78"/>
  <c r="U322" i="78"/>
  <c r="R322" i="78"/>
  <c r="O322" i="78"/>
  <c r="L322" i="78"/>
  <c r="I322" i="78"/>
  <c r="W322" i="78"/>
  <c r="U323" i="78"/>
  <c r="R323" i="78"/>
  <c r="O323" i="78"/>
  <c r="L323" i="78"/>
  <c r="I323" i="78"/>
  <c r="W323" i="78"/>
  <c r="U324" i="78"/>
  <c r="R324" i="78"/>
  <c r="O324" i="78"/>
  <c r="L324" i="78"/>
  <c r="I324" i="78"/>
  <c r="W324" i="78"/>
  <c r="U325" i="78"/>
  <c r="R325" i="78"/>
  <c r="O325" i="78"/>
  <c r="L325" i="78"/>
  <c r="I325" i="78"/>
  <c r="W325" i="78"/>
  <c r="U326" i="78"/>
  <c r="R326" i="78"/>
  <c r="O326" i="78"/>
  <c r="L326" i="78"/>
  <c r="I326" i="78"/>
  <c r="W326" i="78"/>
  <c r="U327" i="78"/>
  <c r="R327" i="78"/>
  <c r="O327" i="78"/>
  <c r="L327" i="78"/>
  <c r="I327" i="78"/>
  <c r="W327" i="78"/>
  <c r="U328" i="78"/>
  <c r="R328" i="78"/>
  <c r="O328" i="78"/>
  <c r="L328" i="78"/>
  <c r="I328" i="78"/>
  <c r="W328" i="78"/>
  <c r="U329" i="78"/>
  <c r="R329" i="78"/>
  <c r="O329" i="78"/>
  <c r="L329" i="78"/>
  <c r="I329" i="78"/>
  <c r="W329" i="78"/>
  <c r="U330" i="78"/>
  <c r="R330" i="78"/>
  <c r="O330" i="78"/>
  <c r="L330" i="78"/>
  <c r="I330" i="78"/>
  <c r="W330" i="78"/>
  <c r="U331" i="78"/>
  <c r="R331" i="78"/>
  <c r="O331" i="78"/>
  <c r="L331" i="78"/>
  <c r="I331" i="78"/>
  <c r="W331" i="78"/>
  <c r="U332" i="78"/>
  <c r="R332" i="78"/>
  <c r="O332" i="78"/>
  <c r="L332" i="78"/>
  <c r="I332" i="78"/>
  <c r="W332" i="78"/>
  <c r="U333" i="78"/>
  <c r="R333" i="78"/>
  <c r="O333" i="78"/>
  <c r="L333" i="78"/>
  <c r="I333" i="78"/>
  <c r="W333" i="78"/>
  <c r="U334" i="78"/>
  <c r="R334" i="78"/>
  <c r="O334" i="78"/>
  <c r="L334" i="78"/>
  <c r="I334" i="78"/>
  <c r="W334" i="78"/>
  <c r="U335" i="78"/>
  <c r="R335" i="78"/>
  <c r="O335" i="78"/>
  <c r="L335" i="78"/>
  <c r="I335" i="78"/>
  <c r="W335" i="78"/>
  <c r="U336" i="78"/>
  <c r="R336" i="78"/>
  <c r="O336" i="78"/>
  <c r="L336" i="78"/>
  <c r="I336" i="78"/>
  <c r="W336" i="78"/>
  <c r="U337" i="78"/>
  <c r="R337" i="78"/>
  <c r="O337" i="78"/>
  <c r="L337" i="78"/>
  <c r="I337" i="78"/>
  <c r="W337" i="78"/>
  <c r="U338" i="78"/>
  <c r="R338" i="78"/>
  <c r="O338" i="78"/>
  <c r="L338" i="78"/>
  <c r="I338" i="78"/>
  <c r="W338" i="78"/>
  <c r="U339" i="78"/>
  <c r="R339" i="78"/>
  <c r="O339" i="78"/>
  <c r="L339" i="78"/>
  <c r="I339" i="78"/>
  <c r="W339" i="78"/>
  <c r="U340" i="78"/>
  <c r="R340" i="78"/>
  <c r="O340" i="78"/>
  <c r="L340" i="78"/>
  <c r="I340" i="78"/>
  <c r="W340" i="78"/>
  <c r="U341" i="78"/>
  <c r="R341" i="78"/>
  <c r="O341" i="78"/>
  <c r="L341" i="78"/>
  <c r="I341" i="78"/>
  <c r="W341" i="78"/>
  <c r="U342" i="78"/>
  <c r="R342" i="78"/>
  <c r="O342" i="78"/>
  <c r="L342" i="78"/>
  <c r="I342" i="78"/>
  <c r="W342" i="78"/>
  <c r="U343" i="78"/>
  <c r="R343" i="78"/>
  <c r="O343" i="78"/>
  <c r="L343" i="78"/>
  <c r="I343" i="78"/>
  <c r="W343" i="78"/>
  <c r="U344" i="78"/>
  <c r="R344" i="78"/>
  <c r="O344" i="78"/>
  <c r="L344" i="78"/>
  <c r="I344" i="78"/>
  <c r="W344" i="78"/>
  <c r="U345" i="78"/>
  <c r="R345" i="78"/>
  <c r="O345" i="78"/>
  <c r="L345" i="78"/>
  <c r="I345" i="78"/>
  <c r="W345" i="78"/>
  <c r="U346" i="78"/>
  <c r="R346" i="78"/>
  <c r="O346" i="78"/>
  <c r="L346" i="78"/>
  <c r="I346" i="78"/>
  <c r="W346" i="78"/>
  <c r="U347" i="78"/>
  <c r="R347" i="78"/>
  <c r="O347" i="78"/>
  <c r="L347" i="78"/>
  <c r="I347" i="78"/>
  <c r="W347" i="78"/>
  <c r="U348" i="78"/>
  <c r="R348" i="78"/>
  <c r="O348" i="78"/>
  <c r="L348" i="78"/>
  <c r="I348" i="78"/>
  <c r="W348" i="78"/>
  <c r="U349" i="78"/>
  <c r="R349" i="78"/>
  <c r="O349" i="78"/>
  <c r="L349" i="78"/>
  <c r="I349" i="78"/>
  <c r="W349" i="78"/>
  <c r="U350" i="78"/>
  <c r="R350" i="78"/>
  <c r="O350" i="78"/>
  <c r="L350" i="78"/>
  <c r="I350" i="78"/>
  <c r="W350" i="78"/>
  <c r="U351" i="78"/>
  <c r="R351" i="78"/>
  <c r="O351" i="78"/>
  <c r="L351" i="78"/>
  <c r="I351" i="78"/>
  <c r="W351" i="78"/>
  <c r="U352" i="78"/>
  <c r="R352" i="78"/>
  <c r="O352" i="78"/>
  <c r="L352" i="78"/>
  <c r="I352" i="78"/>
  <c r="W352" i="78"/>
  <c r="U353" i="78"/>
  <c r="R353" i="78"/>
  <c r="O353" i="78"/>
  <c r="L353" i="78"/>
  <c r="I353" i="78"/>
  <c r="W353" i="78"/>
  <c r="U354" i="78"/>
  <c r="R354" i="78"/>
  <c r="O354" i="78"/>
  <c r="L354" i="78"/>
  <c r="I354" i="78"/>
  <c r="W354" i="78"/>
  <c r="U355" i="78"/>
  <c r="R355" i="78"/>
  <c r="O355" i="78"/>
  <c r="L355" i="78"/>
  <c r="I355" i="78"/>
  <c r="W355" i="78"/>
  <c r="U356" i="78"/>
  <c r="R356" i="78"/>
  <c r="O356" i="78"/>
  <c r="L356" i="78"/>
  <c r="I356" i="78"/>
  <c r="W356" i="78"/>
  <c r="U357" i="78"/>
  <c r="R357" i="78"/>
  <c r="O357" i="78"/>
  <c r="L357" i="78"/>
  <c r="I357" i="78"/>
  <c r="W357" i="78"/>
  <c r="U358" i="78"/>
  <c r="R358" i="78"/>
  <c r="O358" i="78"/>
  <c r="L358" i="78"/>
  <c r="I358" i="78"/>
  <c r="W358" i="78"/>
  <c r="U359" i="78"/>
  <c r="R359" i="78"/>
  <c r="O359" i="78"/>
  <c r="L359" i="78"/>
  <c r="I359" i="78"/>
  <c r="W359" i="78"/>
  <c r="U360" i="78"/>
  <c r="R360" i="78"/>
  <c r="O360" i="78"/>
  <c r="L360" i="78"/>
  <c r="I360" i="78"/>
  <c r="W360" i="78"/>
  <c r="U361" i="78"/>
  <c r="R361" i="78"/>
  <c r="O361" i="78"/>
  <c r="L361" i="78"/>
  <c r="I361" i="78"/>
  <c r="W361" i="78"/>
  <c r="U362" i="78"/>
  <c r="R362" i="78"/>
  <c r="O362" i="78"/>
  <c r="L362" i="78"/>
  <c r="I362" i="78"/>
  <c r="W362" i="78"/>
  <c r="U363" i="78"/>
  <c r="R363" i="78"/>
  <c r="O363" i="78"/>
  <c r="L363" i="78"/>
  <c r="I363" i="78"/>
  <c r="W363" i="78"/>
  <c r="U364" i="78"/>
  <c r="R364" i="78"/>
  <c r="O364" i="78"/>
  <c r="L364" i="78"/>
  <c r="I364" i="78"/>
  <c r="W364" i="78"/>
  <c r="U365" i="78"/>
  <c r="R365" i="78"/>
  <c r="O365" i="78"/>
  <c r="L365" i="78"/>
  <c r="I365" i="78"/>
  <c r="W365" i="78"/>
  <c r="U366" i="78"/>
  <c r="R366" i="78"/>
  <c r="O366" i="78"/>
  <c r="L366" i="78"/>
  <c r="I366" i="78"/>
  <c r="W366" i="78"/>
  <c r="U367" i="78"/>
  <c r="R367" i="78"/>
  <c r="O367" i="78"/>
  <c r="L367" i="78"/>
  <c r="I367" i="78"/>
  <c r="W367" i="78"/>
  <c r="U368" i="78"/>
  <c r="R368" i="78"/>
  <c r="O368" i="78"/>
  <c r="L368" i="78"/>
  <c r="I368" i="78"/>
  <c r="W368" i="78"/>
  <c r="U369" i="78"/>
  <c r="R369" i="78"/>
  <c r="O369" i="78"/>
  <c r="L369" i="78"/>
  <c r="I369" i="78"/>
  <c r="W369" i="78"/>
  <c r="U370" i="78"/>
  <c r="R370" i="78"/>
  <c r="O370" i="78"/>
  <c r="L370" i="78"/>
  <c r="I370" i="78"/>
  <c r="W370" i="78"/>
  <c r="U371" i="78"/>
  <c r="R371" i="78"/>
  <c r="O371" i="78"/>
  <c r="L371" i="78"/>
  <c r="I371" i="78"/>
  <c r="W371" i="78"/>
  <c r="U372" i="78"/>
  <c r="R372" i="78"/>
  <c r="O372" i="78"/>
  <c r="L372" i="78"/>
  <c r="I372" i="78"/>
  <c r="W372" i="78"/>
  <c r="U373" i="78"/>
  <c r="R373" i="78"/>
  <c r="O373" i="78"/>
  <c r="L373" i="78"/>
  <c r="I373" i="78"/>
  <c r="W373" i="78"/>
  <c r="U374" i="78"/>
  <c r="R374" i="78"/>
  <c r="O374" i="78"/>
  <c r="L374" i="78"/>
  <c r="I374" i="78"/>
  <c r="W374" i="78"/>
  <c r="U375" i="78"/>
  <c r="R375" i="78"/>
  <c r="O375" i="78"/>
  <c r="L375" i="78"/>
  <c r="I375" i="78"/>
  <c r="W375" i="78"/>
  <c r="U376" i="78"/>
  <c r="R376" i="78"/>
  <c r="O376" i="78"/>
  <c r="L376" i="78"/>
  <c r="I376" i="78"/>
  <c r="W376" i="78"/>
  <c r="U377" i="78"/>
  <c r="R377" i="78"/>
  <c r="O377" i="78"/>
  <c r="L377" i="78"/>
  <c r="I377" i="78"/>
  <c r="W377" i="78"/>
  <c r="U378" i="78"/>
  <c r="R378" i="78"/>
  <c r="O378" i="78"/>
  <c r="L378" i="78"/>
  <c r="I378" i="78"/>
  <c r="W378" i="78"/>
  <c r="U379" i="78"/>
  <c r="R379" i="78"/>
  <c r="O379" i="78"/>
  <c r="L379" i="78"/>
  <c r="I379" i="78"/>
  <c r="W379" i="78"/>
  <c r="U380" i="78"/>
  <c r="R380" i="78"/>
  <c r="O380" i="78"/>
  <c r="L380" i="78"/>
  <c r="I380" i="78"/>
  <c r="W380" i="78"/>
  <c r="U382" i="78"/>
  <c r="R382" i="78"/>
  <c r="O382" i="78"/>
  <c r="L382" i="78"/>
  <c r="I382" i="78"/>
  <c r="W382" i="78"/>
  <c r="U383" i="78"/>
  <c r="R383" i="78"/>
  <c r="O383" i="78"/>
  <c r="L383" i="78"/>
  <c r="I383" i="78"/>
  <c r="W383" i="78"/>
  <c r="U384" i="78"/>
  <c r="R384" i="78"/>
  <c r="O384" i="78"/>
  <c r="L384" i="78"/>
  <c r="I384" i="78"/>
  <c r="W384" i="78"/>
  <c r="U385" i="78"/>
  <c r="R385" i="78"/>
  <c r="O385" i="78"/>
  <c r="L385" i="78"/>
  <c r="I385" i="78"/>
  <c r="W385" i="78"/>
  <c r="U386" i="78"/>
  <c r="R386" i="78"/>
  <c r="O386" i="78"/>
  <c r="L386" i="78"/>
  <c r="I386" i="78"/>
  <c r="W386" i="78"/>
  <c r="U389" i="78"/>
  <c r="R389" i="78"/>
  <c r="O389" i="78"/>
  <c r="L389" i="78"/>
  <c r="I389" i="78"/>
  <c r="W389" i="78"/>
  <c r="U390" i="78"/>
  <c r="R390" i="78"/>
  <c r="O390" i="78"/>
  <c r="L390" i="78"/>
  <c r="I390" i="78"/>
  <c r="W390" i="78"/>
  <c r="U391" i="78"/>
  <c r="R391" i="78"/>
  <c r="O391" i="78"/>
  <c r="L391" i="78"/>
  <c r="I391" i="78"/>
  <c r="W391" i="78"/>
  <c r="U392" i="78"/>
  <c r="R392" i="78"/>
  <c r="O392" i="78"/>
  <c r="L392" i="78"/>
  <c r="I392" i="78"/>
  <c r="W392" i="78"/>
  <c r="U393" i="78"/>
  <c r="R393" i="78"/>
  <c r="O393" i="78"/>
  <c r="L393" i="78"/>
  <c r="I393" i="78"/>
  <c r="W393" i="78"/>
  <c r="U394" i="78"/>
  <c r="R394" i="78"/>
  <c r="O394" i="78"/>
  <c r="L394" i="78"/>
  <c r="I394" i="78"/>
  <c r="W394" i="78"/>
  <c r="U395" i="78"/>
  <c r="R395" i="78"/>
  <c r="O395" i="78"/>
  <c r="L395" i="78"/>
  <c r="I395" i="78"/>
  <c r="W395" i="78"/>
  <c r="U396" i="78"/>
  <c r="R396" i="78"/>
  <c r="O396" i="78"/>
  <c r="L396" i="78"/>
  <c r="I396" i="78"/>
  <c r="W396" i="78"/>
  <c r="U397" i="78"/>
  <c r="R397" i="78"/>
  <c r="O397" i="78"/>
  <c r="L397" i="78"/>
  <c r="I397" i="78"/>
  <c r="W397" i="78"/>
  <c r="U398" i="78"/>
  <c r="R398" i="78"/>
  <c r="O398" i="78"/>
  <c r="L398" i="78"/>
  <c r="I398" i="78"/>
  <c r="W398" i="78"/>
  <c r="U399" i="78"/>
  <c r="R399" i="78"/>
  <c r="O399" i="78"/>
  <c r="L399" i="78"/>
  <c r="I399" i="78"/>
  <c r="W399" i="78"/>
  <c r="U400" i="78"/>
  <c r="R400" i="78"/>
  <c r="O400" i="78"/>
  <c r="L400" i="78"/>
  <c r="I400" i="78"/>
  <c r="W400" i="78"/>
  <c r="U401" i="78"/>
  <c r="R401" i="78"/>
  <c r="O401" i="78"/>
  <c r="L401" i="78"/>
  <c r="I401" i="78"/>
  <c r="W401" i="78"/>
  <c r="U402" i="78"/>
  <c r="R402" i="78"/>
  <c r="O402" i="78"/>
  <c r="L402" i="78"/>
  <c r="I402" i="78"/>
  <c r="W402" i="78"/>
  <c r="U403" i="78"/>
  <c r="R403" i="78"/>
  <c r="O403" i="78"/>
  <c r="L403" i="78"/>
  <c r="I403" i="78"/>
  <c r="W403" i="78"/>
  <c r="U404" i="78"/>
  <c r="R404" i="78"/>
  <c r="O404" i="78"/>
  <c r="L404" i="78"/>
  <c r="I404" i="78"/>
  <c r="W404" i="78"/>
  <c r="U405" i="78"/>
  <c r="R405" i="78"/>
  <c r="O405" i="78"/>
  <c r="L405" i="78"/>
  <c r="I405" i="78"/>
  <c r="W405" i="78"/>
  <c r="U406" i="78"/>
  <c r="R406" i="78"/>
  <c r="O406" i="78"/>
  <c r="L406" i="78"/>
  <c r="I406" i="78"/>
  <c r="W406" i="78"/>
  <c r="U407" i="78"/>
  <c r="R407" i="78"/>
  <c r="O407" i="78"/>
  <c r="L407" i="78"/>
  <c r="I407" i="78"/>
  <c r="W407" i="78"/>
  <c r="U408" i="78"/>
  <c r="R408" i="78"/>
  <c r="O408" i="78"/>
  <c r="L408" i="78"/>
  <c r="I408" i="78"/>
  <c r="W408" i="78"/>
  <c r="U409" i="78"/>
  <c r="R409" i="78"/>
  <c r="O409" i="78"/>
  <c r="L409" i="78"/>
  <c r="I409" i="78"/>
  <c r="W409" i="78"/>
  <c r="U410" i="78"/>
  <c r="R410" i="78"/>
  <c r="O410" i="78"/>
  <c r="L410" i="78"/>
  <c r="I410" i="78"/>
  <c r="W410" i="78"/>
  <c r="U411" i="78"/>
  <c r="R411" i="78"/>
  <c r="O411" i="78"/>
  <c r="L411" i="78"/>
  <c r="I411" i="78"/>
  <c r="W411" i="78"/>
  <c r="U412" i="78"/>
  <c r="R412" i="78"/>
  <c r="O412" i="78"/>
  <c r="L412" i="78"/>
  <c r="I412" i="78"/>
  <c r="W412" i="78"/>
  <c r="U413" i="78"/>
  <c r="R413" i="78"/>
  <c r="O413" i="78"/>
  <c r="L413" i="78"/>
  <c r="I413" i="78"/>
  <c r="W413" i="78"/>
  <c r="U414" i="78"/>
  <c r="R414" i="78"/>
  <c r="O414" i="78"/>
  <c r="L414" i="78"/>
  <c r="I414" i="78"/>
  <c r="W414" i="78"/>
  <c r="U415" i="78"/>
  <c r="R415" i="78"/>
  <c r="O415" i="78"/>
  <c r="L415" i="78"/>
  <c r="I415" i="78"/>
  <c r="W415" i="78"/>
  <c r="U418" i="78"/>
  <c r="R418" i="78"/>
  <c r="O418" i="78"/>
  <c r="L418" i="78"/>
  <c r="I418" i="78"/>
  <c r="W418" i="78"/>
  <c r="U419" i="78"/>
  <c r="R419" i="78"/>
  <c r="O419" i="78"/>
  <c r="L419" i="78"/>
  <c r="I419" i="78"/>
  <c r="W419" i="78"/>
  <c r="U420" i="78"/>
  <c r="R420" i="78"/>
  <c r="O420" i="78"/>
  <c r="L420" i="78"/>
  <c r="I420" i="78"/>
  <c r="W420" i="78"/>
  <c r="U421" i="78"/>
  <c r="R421" i="78"/>
  <c r="O421" i="78"/>
  <c r="L421" i="78"/>
  <c r="I421" i="78"/>
  <c r="W421" i="78"/>
  <c r="U423" i="78"/>
  <c r="R423" i="78"/>
  <c r="O423" i="78"/>
  <c r="L423" i="78"/>
  <c r="I423" i="78"/>
  <c r="W423" i="78"/>
  <c r="U424" i="78"/>
  <c r="R424" i="78"/>
  <c r="O424" i="78"/>
  <c r="L424" i="78"/>
  <c r="I424" i="78"/>
  <c r="W424" i="78"/>
  <c r="U425" i="78"/>
  <c r="R425" i="78"/>
  <c r="O425" i="78"/>
  <c r="L425" i="78"/>
  <c r="I425" i="78"/>
  <c r="W425" i="78"/>
  <c r="U426" i="78"/>
  <c r="R426" i="78"/>
  <c r="O426" i="78"/>
  <c r="L426" i="78"/>
  <c r="I426" i="78"/>
  <c r="W426" i="78"/>
  <c r="U427" i="78"/>
  <c r="R427" i="78"/>
  <c r="O427" i="78"/>
  <c r="L427" i="78"/>
  <c r="I427" i="78"/>
  <c r="W427" i="78"/>
  <c r="U428" i="78"/>
  <c r="R428" i="78"/>
  <c r="O428" i="78"/>
  <c r="L428" i="78"/>
  <c r="I428" i="78"/>
  <c r="W428" i="78"/>
  <c r="U429" i="78"/>
  <c r="R429" i="78"/>
  <c r="O429" i="78"/>
  <c r="L429" i="78"/>
  <c r="I429" i="78"/>
  <c r="W429" i="78"/>
  <c r="U430" i="78"/>
  <c r="R430" i="78"/>
  <c r="O430" i="78"/>
  <c r="L430" i="78"/>
  <c r="I430" i="78"/>
  <c r="W430" i="78"/>
  <c r="U431" i="78"/>
  <c r="R431" i="78"/>
  <c r="O431" i="78"/>
  <c r="L431" i="78"/>
  <c r="I431" i="78"/>
  <c r="W431" i="78"/>
  <c r="U432" i="78"/>
  <c r="R432" i="78"/>
  <c r="O432" i="78"/>
  <c r="L432" i="78"/>
  <c r="I432" i="78"/>
  <c r="W432" i="78"/>
  <c r="U433" i="78"/>
  <c r="R433" i="78"/>
  <c r="O433" i="78"/>
  <c r="L433" i="78"/>
  <c r="I433" i="78"/>
  <c r="W433" i="78"/>
  <c r="U434" i="78"/>
  <c r="R434" i="78"/>
  <c r="O434" i="78"/>
  <c r="L434" i="78"/>
  <c r="I434" i="78"/>
  <c r="W434" i="78"/>
  <c r="U435" i="78"/>
  <c r="R435" i="78"/>
  <c r="O435" i="78"/>
  <c r="L435" i="78"/>
  <c r="I435" i="78"/>
  <c r="W435" i="78"/>
  <c r="U436" i="78"/>
  <c r="R436" i="78"/>
  <c r="O436" i="78"/>
  <c r="L436" i="78"/>
  <c r="I436" i="78"/>
  <c r="W436" i="78"/>
  <c r="U437" i="78"/>
  <c r="R437" i="78"/>
  <c r="O437" i="78"/>
  <c r="L437" i="78"/>
  <c r="I437" i="78"/>
  <c r="W437" i="78"/>
  <c r="U438" i="78"/>
  <c r="R438" i="78"/>
  <c r="O438" i="78"/>
  <c r="L438" i="78"/>
  <c r="I438" i="78"/>
  <c r="W438" i="78"/>
  <c r="U439" i="78"/>
  <c r="R439" i="78"/>
  <c r="O439" i="78"/>
  <c r="L439" i="78"/>
  <c r="I439" i="78"/>
  <c r="W439" i="78"/>
  <c r="U440" i="78"/>
  <c r="R440" i="78"/>
  <c r="O440" i="78"/>
  <c r="L440" i="78"/>
  <c r="I440" i="78"/>
  <c r="W440" i="78"/>
  <c r="U441" i="78"/>
  <c r="R441" i="78"/>
  <c r="O441" i="78"/>
  <c r="L441" i="78"/>
  <c r="I441" i="78"/>
  <c r="W441" i="78"/>
  <c r="U442" i="78"/>
  <c r="R442" i="78"/>
  <c r="O442" i="78"/>
  <c r="L442" i="78"/>
  <c r="I442" i="78"/>
  <c r="W442" i="78"/>
  <c r="U443" i="78"/>
  <c r="R443" i="78"/>
  <c r="O443" i="78"/>
  <c r="L443" i="78"/>
  <c r="I443" i="78"/>
  <c r="W443" i="78"/>
  <c r="U444" i="78"/>
  <c r="R444" i="78"/>
  <c r="O444" i="78"/>
  <c r="L444" i="78"/>
  <c r="I444" i="78"/>
  <c r="W444" i="78"/>
  <c r="U445" i="78"/>
  <c r="R445" i="78"/>
  <c r="O445" i="78"/>
  <c r="L445" i="78"/>
  <c r="I445" i="78"/>
  <c r="W445" i="78"/>
  <c r="U446" i="78"/>
  <c r="R446" i="78"/>
  <c r="O446" i="78"/>
  <c r="L446" i="78"/>
  <c r="I446" i="78"/>
  <c r="W446" i="78"/>
  <c r="U447" i="78"/>
  <c r="R447" i="78"/>
  <c r="O447" i="78"/>
  <c r="L447" i="78"/>
  <c r="I447" i="78"/>
  <c r="W447" i="78"/>
  <c r="U448" i="78"/>
  <c r="R448" i="78"/>
  <c r="O448" i="78"/>
  <c r="L448" i="78"/>
  <c r="I448" i="78"/>
  <c r="W448" i="78"/>
  <c r="U449" i="78"/>
  <c r="R449" i="78"/>
  <c r="O449" i="78"/>
  <c r="L449" i="78"/>
  <c r="I449" i="78"/>
  <c r="W449" i="78"/>
  <c r="U450" i="78"/>
  <c r="R450" i="78"/>
  <c r="O450" i="78"/>
  <c r="L450" i="78"/>
  <c r="I450" i="78"/>
  <c r="W450" i="78"/>
  <c r="U451" i="78"/>
  <c r="R451" i="78"/>
  <c r="O451" i="78"/>
  <c r="L451" i="78"/>
  <c r="I451" i="78"/>
  <c r="W451" i="78"/>
  <c r="U452" i="78"/>
  <c r="R452" i="78"/>
  <c r="O452" i="78"/>
  <c r="L452" i="78"/>
  <c r="I452" i="78"/>
  <c r="W452" i="78"/>
  <c r="U453" i="78"/>
  <c r="R453" i="78"/>
  <c r="O453" i="78"/>
  <c r="L453" i="78"/>
  <c r="I453" i="78"/>
  <c r="W453" i="78"/>
  <c r="U454" i="78"/>
  <c r="R454" i="78"/>
  <c r="O454" i="78"/>
  <c r="L454" i="78"/>
  <c r="I454" i="78"/>
  <c r="W454" i="78"/>
  <c r="U455" i="78"/>
  <c r="R455" i="78"/>
  <c r="O455" i="78"/>
  <c r="L455" i="78"/>
  <c r="I455" i="78"/>
  <c r="W455" i="78"/>
  <c r="U456" i="78"/>
  <c r="R456" i="78"/>
  <c r="O456" i="78"/>
  <c r="L456" i="78"/>
  <c r="I456" i="78"/>
  <c r="W456" i="78"/>
  <c r="U457" i="78"/>
  <c r="R457" i="78"/>
  <c r="O457" i="78"/>
  <c r="L457" i="78"/>
  <c r="I457" i="78"/>
  <c r="W457" i="78"/>
  <c r="U458" i="78"/>
  <c r="R458" i="78"/>
  <c r="O458" i="78"/>
  <c r="L458" i="78"/>
  <c r="I458" i="78"/>
  <c r="W458" i="78"/>
  <c r="U460" i="78"/>
  <c r="R460" i="78"/>
  <c r="O460" i="78"/>
  <c r="L460" i="78"/>
  <c r="I460" i="78"/>
  <c r="W460" i="78"/>
  <c r="U462" i="78"/>
  <c r="R462" i="78"/>
  <c r="O462" i="78"/>
  <c r="L462" i="78"/>
  <c r="I462" i="78"/>
  <c r="W462" i="78"/>
  <c r="U463" i="78"/>
  <c r="R463" i="78"/>
  <c r="O463" i="78"/>
  <c r="L463" i="78"/>
  <c r="I463" i="78"/>
  <c r="W463" i="78"/>
  <c r="U464" i="78"/>
  <c r="R464" i="78"/>
  <c r="O464" i="78"/>
  <c r="L464" i="78"/>
  <c r="I464" i="78"/>
  <c r="W464" i="78"/>
  <c r="U465" i="78"/>
  <c r="R465" i="78"/>
  <c r="O465" i="78"/>
  <c r="L465" i="78"/>
  <c r="I465" i="78"/>
  <c r="W465" i="78"/>
  <c r="U466" i="78"/>
  <c r="R466" i="78"/>
  <c r="O466" i="78"/>
  <c r="L466" i="78"/>
  <c r="I466" i="78"/>
  <c r="W466" i="78"/>
  <c r="U467" i="78"/>
  <c r="R467" i="78"/>
  <c r="O467" i="78"/>
  <c r="L467" i="78"/>
  <c r="I467" i="78"/>
  <c r="W467" i="78"/>
  <c r="U468" i="78"/>
  <c r="R468" i="78"/>
  <c r="O468" i="78"/>
  <c r="L468" i="78"/>
  <c r="I468" i="78"/>
  <c r="W468" i="78"/>
  <c r="U469" i="78"/>
  <c r="R469" i="78"/>
  <c r="O469" i="78"/>
  <c r="L469" i="78"/>
  <c r="I469" i="78"/>
  <c r="W469" i="78"/>
  <c r="U470" i="78"/>
  <c r="R470" i="78"/>
  <c r="O470" i="78"/>
  <c r="L470" i="78"/>
  <c r="I470" i="78"/>
  <c r="W470" i="78"/>
  <c r="U471" i="78"/>
  <c r="R471" i="78"/>
  <c r="O471" i="78"/>
  <c r="L471" i="78"/>
  <c r="I471" i="78"/>
  <c r="W471" i="78"/>
  <c r="U472" i="78"/>
  <c r="R472" i="78"/>
  <c r="O472" i="78"/>
  <c r="L472" i="78"/>
  <c r="I472" i="78"/>
  <c r="W472" i="78"/>
  <c r="U473" i="78"/>
  <c r="R473" i="78"/>
  <c r="O473" i="78"/>
  <c r="L473" i="78"/>
  <c r="I473" i="78"/>
  <c r="W473" i="78"/>
  <c r="U474" i="78"/>
  <c r="R474" i="78"/>
  <c r="O474" i="78"/>
  <c r="L474" i="78"/>
  <c r="I474" i="78"/>
  <c r="W474" i="78"/>
  <c r="U475" i="78"/>
  <c r="R475" i="78"/>
  <c r="O475" i="78"/>
  <c r="L475" i="78"/>
  <c r="I475" i="78"/>
  <c r="W475" i="78"/>
  <c r="U476" i="78"/>
  <c r="R476" i="78"/>
  <c r="O476" i="78"/>
  <c r="L476" i="78"/>
  <c r="I476" i="78"/>
  <c r="W476" i="78"/>
  <c r="U477" i="78"/>
  <c r="R477" i="78"/>
  <c r="O477" i="78"/>
  <c r="L477" i="78"/>
  <c r="I477" i="78"/>
  <c r="W477" i="78"/>
  <c r="U478" i="78"/>
  <c r="R478" i="78"/>
  <c r="O478" i="78"/>
  <c r="L478" i="78"/>
  <c r="I478" i="78"/>
  <c r="W478" i="78"/>
  <c r="U479" i="78"/>
  <c r="R479" i="78"/>
  <c r="O479" i="78"/>
  <c r="L479" i="78"/>
  <c r="I479" i="78"/>
  <c r="W479" i="78"/>
  <c r="U481" i="78"/>
  <c r="R481" i="78"/>
  <c r="O481" i="78"/>
  <c r="L481" i="78"/>
  <c r="I481" i="78"/>
  <c r="W481" i="78"/>
  <c r="U482" i="78"/>
  <c r="R482" i="78"/>
  <c r="O482" i="78"/>
  <c r="L482" i="78"/>
  <c r="I482" i="78"/>
  <c r="W482" i="78"/>
  <c r="U483" i="78"/>
  <c r="R483" i="78"/>
  <c r="O483" i="78"/>
  <c r="L483" i="78"/>
  <c r="I483" i="78"/>
  <c r="W483" i="78"/>
  <c r="U484" i="78"/>
  <c r="R484" i="78"/>
  <c r="O484" i="78"/>
  <c r="L484" i="78"/>
  <c r="I484" i="78"/>
  <c r="W484" i="78"/>
  <c r="U485" i="78"/>
  <c r="R485" i="78"/>
  <c r="O485" i="78"/>
  <c r="L485" i="78"/>
  <c r="I485" i="78"/>
  <c r="W485" i="78"/>
  <c r="U486" i="78"/>
  <c r="R486" i="78"/>
  <c r="O486" i="78"/>
  <c r="L486" i="78"/>
  <c r="I486" i="78"/>
  <c r="W486" i="78"/>
  <c r="U487" i="78"/>
  <c r="R487" i="78"/>
  <c r="O487" i="78"/>
  <c r="L487" i="78"/>
  <c r="I487" i="78"/>
  <c r="W487" i="78"/>
  <c r="U488" i="78"/>
  <c r="R488" i="78"/>
  <c r="O488" i="78"/>
  <c r="L488" i="78"/>
  <c r="I488" i="78"/>
  <c r="W488" i="78"/>
  <c r="U489" i="78"/>
  <c r="R489" i="78"/>
  <c r="O489" i="78"/>
  <c r="L489" i="78"/>
  <c r="I489" i="78"/>
  <c r="W489" i="78"/>
  <c r="U490" i="78"/>
  <c r="R490" i="78"/>
  <c r="O490" i="78"/>
  <c r="L490" i="78"/>
  <c r="I490" i="78"/>
  <c r="W490" i="78"/>
  <c r="U491" i="78"/>
  <c r="R491" i="78"/>
  <c r="O491" i="78"/>
  <c r="L491" i="78"/>
  <c r="I491" i="78"/>
  <c r="W491" i="78"/>
  <c r="U492" i="78"/>
  <c r="R492" i="78"/>
  <c r="O492" i="78"/>
  <c r="L492" i="78"/>
  <c r="I492" i="78"/>
  <c r="W492" i="78"/>
  <c r="U493" i="78"/>
  <c r="R493" i="78"/>
  <c r="O493" i="78"/>
  <c r="L493" i="78"/>
  <c r="I493" i="78"/>
  <c r="W493" i="78"/>
  <c r="U494" i="78"/>
  <c r="R494" i="78"/>
  <c r="O494" i="78"/>
  <c r="L494" i="78"/>
  <c r="I494" i="78"/>
  <c r="W494" i="78"/>
  <c r="U495" i="78"/>
  <c r="R495" i="78"/>
  <c r="O495" i="78"/>
  <c r="L495" i="78"/>
  <c r="I495" i="78"/>
  <c r="W495" i="78"/>
  <c r="U496" i="78"/>
  <c r="R496" i="78"/>
  <c r="O496" i="78"/>
  <c r="L496" i="78"/>
  <c r="I496" i="78"/>
  <c r="W496" i="78"/>
  <c r="U497" i="78"/>
  <c r="R497" i="78"/>
  <c r="O497" i="78"/>
  <c r="L497" i="78"/>
  <c r="I497" i="78"/>
  <c r="W497" i="78"/>
  <c r="U498" i="78"/>
  <c r="R498" i="78"/>
  <c r="O498" i="78"/>
  <c r="L498" i="78"/>
  <c r="I498" i="78"/>
  <c r="W498" i="78"/>
  <c r="U499" i="78"/>
  <c r="R499" i="78"/>
  <c r="O499" i="78"/>
  <c r="L499" i="78"/>
  <c r="I499" i="78"/>
  <c r="W499" i="78"/>
  <c r="U500" i="78"/>
  <c r="R500" i="78"/>
  <c r="O500" i="78"/>
  <c r="L500" i="78"/>
  <c r="I500" i="78"/>
  <c r="W500" i="78"/>
  <c r="U501" i="78"/>
  <c r="R501" i="78"/>
  <c r="O501" i="78"/>
  <c r="L501" i="78"/>
  <c r="I501" i="78"/>
  <c r="W501" i="78"/>
  <c r="U502" i="78"/>
  <c r="R502" i="78"/>
  <c r="O502" i="78"/>
  <c r="L502" i="78"/>
  <c r="I502" i="78"/>
  <c r="W502" i="78"/>
  <c r="U503" i="78"/>
  <c r="R503" i="78"/>
  <c r="O503" i="78"/>
  <c r="L503" i="78"/>
  <c r="I503" i="78"/>
  <c r="W503" i="78"/>
  <c r="U504" i="78"/>
  <c r="R504" i="78"/>
  <c r="O504" i="78"/>
  <c r="L504" i="78"/>
  <c r="I504" i="78"/>
  <c r="W504" i="78"/>
  <c r="U505" i="78"/>
  <c r="R505" i="78"/>
  <c r="O505" i="78"/>
  <c r="L505" i="78"/>
  <c r="I505" i="78"/>
  <c r="W505" i="78"/>
  <c r="U506" i="78"/>
  <c r="R506" i="78"/>
  <c r="O506" i="78"/>
  <c r="L506" i="78"/>
  <c r="I506" i="78"/>
  <c r="W506" i="78"/>
  <c r="U507" i="78"/>
  <c r="R507" i="78"/>
  <c r="O507" i="78"/>
  <c r="L507" i="78"/>
  <c r="I507" i="78"/>
  <c r="W507" i="78"/>
  <c r="U508" i="78"/>
  <c r="R508" i="78"/>
  <c r="O508" i="78"/>
  <c r="L508" i="78"/>
  <c r="I508" i="78"/>
  <c r="W508" i="78"/>
  <c r="U509" i="78"/>
  <c r="R509" i="78"/>
  <c r="O509" i="78"/>
  <c r="L509" i="78"/>
  <c r="I509" i="78"/>
  <c r="W509" i="78"/>
  <c r="U510" i="78"/>
  <c r="R510" i="78"/>
  <c r="O510" i="78"/>
  <c r="L510" i="78"/>
  <c r="I510" i="78"/>
  <c r="W510" i="78"/>
  <c r="U511" i="78"/>
  <c r="R511" i="78"/>
  <c r="O511" i="78"/>
  <c r="L511" i="78"/>
  <c r="I511" i="78"/>
  <c r="W511" i="78"/>
  <c r="U512" i="78"/>
  <c r="R512" i="78"/>
  <c r="O512" i="78"/>
  <c r="L512" i="78"/>
  <c r="I512" i="78"/>
  <c r="W512" i="78"/>
  <c r="U513" i="78"/>
  <c r="R513" i="78"/>
  <c r="O513" i="78"/>
  <c r="L513" i="78"/>
  <c r="I513" i="78"/>
  <c r="W513" i="78"/>
  <c r="U514" i="78"/>
  <c r="R514" i="78"/>
  <c r="O514" i="78"/>
  <c r="L514" i="78"/>
  <c r="I514" i="78"/>
  <c r="W514" i="78"/>
  <c r="U515" i="78"/>
  <c r="R515" i="78"/>
  <c r="O515" i="78"/>
  <c r="L515" i="78"/>
  <c r="I515" i="78"/>
  <c r="W515" i="78"/>
  <c r="U516" i="78"/>
  <c r="R516" i="78"/>
  <c r="O516" i="78"/>
  <c r="L516" i="78"/>
  <c r="I516" i="78"/>
  <c r="W516" i="78"/>
  <c r="U517" i="78"/>
  <c r="R517" i="78"/>
  <c r="O517" i="78"/>
  <c r="L517" i="78"/>
  <c r="I517" i="78"/>
  <c r="W517" i="78"/>
  <c r="U518" i="78"/>
  <c r="R518" i="78"/>
  <c r="O518" i="78"/>
  <c r="L518" i="78"/>
  <c r="I518" i="78"/>
  <c r="W518" i="78"/>
  <c r="U519" i="78"/>
  <c r="R519" i="78"/>
  <c r="O519" i="78"/>
  <c r="L519" i="78"/>
  <c r="I519" i="78"/>
  <c r="W519" i="78"/>
  <c r="U520" i="78"/>
  <c r="R520" i="78"/>
  <c r="O520" i="78"/>
  <c r="L520" i="78"/>
  <c r="I520" i="78"/>
  <c r="W520" i="78"/>
  <c r="U521" i="78"/>
  <c r="R521" i="78"/>
  <c r="O521" i="78"/>
  <c r="L521" i="78"/>
  <c r="I521" i="78"/>
  <c r="W521" i="78"/>
  <c r="U522" i="78"/>
  <c r="R522" i="78"/>
  <c r="O522" i="78"/>
  <c r="L522" i="78"/>
  <c r="I522" i="78"/>
  <c r="W522" i="78"/>
  <c r="U523" i="78"/>
  <c r="R523" i="78"/>
  <c r="O523" i="78"/>
  <c r="L523" i="78"/>
  <c r="I523" i="78"/>
  <c r="W523" i="78"/>
  <c r="U524" i="78"/>
  <c r="R524" i="78"/>
  <c r="O524" i="78"/>
  <c r="L524" i="78"/>
  <c r="I524" i="78"/>
  <c r="W524" i="78"/>
  <c r="U525" i="78"/>
  <c r="R525" i="78"/>
  <c r="O525" i="78"/>
  <c r="L525" i="78"/>
  <c r="I525" i="78"/>
  <c r="W525" i="78"/>
  <c r="U526" i="78"/>
  <c r="R526" i="78"/>
  <c r="O526" i="78"/>
  <c r="L526" i="78"/>
  <c r="I526" i="78"/>
  <c r="W526" i="78"/>
  <c r="U527" i="78"/>
  <c r="R527" i="78"/>
  <c r="O527" i="78"/>
  <c r="L527" i="78"/>
  <c r="I527" i="78"/>
  <c r="W527" i="78"/>
  <c r="U528" i="78"/>
  <c r="R528" i="78"/>
  <c r="O528" i="78"/>
  <c r="L528" i="78"/>
  <c r="I528" i="78"/>
  <c r="W528" i="78"/>
  <c r="U529" i="78"/>
  <c r="R529" i="78"/>
  <c r="O529" i="78"/>
  <c r="L529" i="78"/>
  <c r="I529" i="78"/>
  <c r="W529" i="78"/>
  <c r="U530" i="78"/>
  <c r="R530" i="78"/>
  <c r="O530" i="78"/>
  <c r="L530" i="78"/>
  <c r="I530" i="78"/>
  <c r="W530" i="78"/>
  <c r="U531" i="78"/>
  <c r="R531" i="78"/>
  <c r="O531" i="78"/>
  <c r="L531" i="78"/>
  <c r="I531" i="78"/>
  <c r="W531" i="78"/>
  <c r="U532" i="78"/>
  <c r="R532" i="78"/>
  <c r="O532" i="78"/>
  <c r="L532" i="78"/>
  <c r="I532" i="78"/>
  <c r="W532" i="78"/>
  <c r="U533" i="78"/>
  <c r="R533" i="78"/>
  <c r="O533" i="78"/>
  <c r="L533" i="78"/>
  <c r="I533" i="78"/>
  <c r="W533" i="78"/>
  <c r="U534" i="78"/>
  <c r="R534" i="78"/>
  <c r="O534" i="78"/>
  <c r="L534" i="78"/>
  <c r="I534" i="78"/>
  <c r="W534" i="78"/>
  <c r="U535" i="78"/>
  <c r="R535" i="78"/>
  <c r="O535" i="78"/>
  <c r="L535" i="78"/>
  <c r="I535" i="78"/>
  <c r="W535" i="78"/>
  <c r="U536" i="78"/>
  <c r="R536" i="78"/>
  <c r="O536" i="78"/>
  <c r="L536" i="78"/>
  <c r="I536" i="78"/>
  <c r="W536" i="78"/>
  <c r="U537" i="78"/>
  <c r="R537" i="78"/>
  <c r="O537" i="78"/>
  <c r="L537" i="78"/>
  <c r="I537" i="78"/>
  <c r="W537" i="78"/>
  <c r="U538" i="78"/>
  <c r="R538" i="78"/>
  <c r="O538" i="78"/>
  <c r="L538" i="78"/>
  <c r="I538" i="78"/>
  <c r="W538" i="78"/>
  <c r="U539" i="78"/>
  <c r="R539" i="78"/>
  <c r="O539" i="78"/>
  <c r="L539" i="78"/>
  <c r="I539" i="78"/>
  <c r="W539" i="78"/>
  <c r="U540" i="78"/>
  <c r="R540" i="78"/>
  <c r="O540" i="78"/>
  <c r="L540" i="78"/>
  <c r="I540" i="78"/>
  <c r="W540" i="78"/>
  <c r="U541" i="78"/>
  <c r="R541" i="78"/>
  <c r="O541" i="78"/>
  <c r="L541" i="78"/>
  <c r="I541" i="78"/>
  <c r="W541" i="78"/>
  <c r="U542" i="78"/>
  <c r="R542" i="78"/>
  <c r="O542" i="78"/>
  <c r="L542" i="78"/>
  <c r="I542" i="78"/>
  <c r="W542" i="78"/>
  <c r="U543" i="78"/>
  <c r="R543" i="78"/>
  <c r="O543" i="78"/>
  <c r="L543" i="78"/>
  <c r="I543" i="78"/>
  <c r="W543" i="78"/>
  <c r="U544" i="78"/>
  <c r="R544" i="78"/>
  <c r="O544" i="78"/>
  <c r="L544" i="78"/>
  <c r="I544" i="78"/>
  <c r="W544" i="78"/>
  <c r="U545" i="78"/>
  <c r="R545" i="78"/>
  <c r="O545" i="78"/>
  <c r="L545" i="78"/>
  <c r="I545" i="78"/>
  <c r="W545" i="78"/>
  <c r="U546" i="78"/>
  <c r="R546" i="78"/>
  <c r="O546" i="78"/>
  <c r="L546" i="78"/>
  <c r="I546" i="78"/>
  <c r="W546" i="78"/>
  <c r="U547" i="78"/>
  <c r="R547" i="78"/>
  <c r="O547" i="78"/>
  <c r="L547" i="78"/>
  <c r="I547" i="78"/>
  <c r="W547" i="78"/>
  <c r="U548" i="78"/>
  <c r="R548" i="78"/>
  <c r="O548" i="78"/>
  <c r="L548" i="78"/>
  <c r="I548" i="78"/>
  <c r="W548" i="78"/>
  <c r="U549" i="78"/>
  <c r="R549" i="78"/>
  <c r="O549" i="78"/>
  <c r="L549" i="78"/>
  <c r="I549" i="78"/>
  <c r="W549" i="78"/>
  <c r="U550" i="78"/>
  <c r="R550" i="78"/>
  <c r="O550" i="78"/>
  <c r="L550" i="78"/>
  <c r="I550" i="78"/>
  <c r="W550" i="78"/>
  <c r="U551" i="78"/>
  <c r="R551" i="78"/>
  <c r="O551" i="78"/>
  <c r="L551" i="78"/>
  <c r="I551" i="78"/>
  <c r="W551" i="78"/>
  <c r="U552" i="78"/>
  <c r="R552" i="78"/>
  <c r="O552" i="78"/>
  <c r="L552" i="78"/>
  <c r="I552" i="78"/>
  <c r="W552" i="78"/>
  <c r="U553" i="78"/>
  <c r="R553" i="78"/>
  <c r="O553" i="78"/>
  <c r="L553" i="78"/>
  <c r="I553" i="78"/>
  <c r="W553" i="78"/>
  <c r="U554" i="78"/>
  <c r="R554" i="78"/>
  <c r="O554" i="78"/>
  <c r="L554" i="78"/>
  <c r="I554" i="78"/>
  <c r="W554" i="78"/>
  <c r="U555" i="78"/>
  <c r="R555" i="78"/>
  <c r="O555" i="78"/>
  <c r="L555" i="78"/>
  <c r="I555" i="78"/>
  <c r="W555" i="78"/>
  <c r="U556" i="78"/>
  <c r="R556" i="78"/>
  <c r="O556" i="78"/>
  <c r="L556" i="78"/>
  <c r="I556" i="78"/>
  <c r="W556" i="78"/>
  <c r="U557" i="78"/>
  <c r="R557" i="78"/>
  <c r="O557" i="78"/>
  <c r="L557" i="78"/>
  <c r="I557" i="78"/>
  <c r="W557" i="78"/>
  <c r="U558" i="78"/>
  <c r="R558" i="78"/>
  <c r="O558" i="78"/>
  <c r="L558" i="78"/>
  <c r="I558" i="78"/>
  <c r="W558" i="78"/>
  <c r="U559" i="78"/>
  <c r="R559" i="78"/>
  <c r="O559" i="78"/>
  <c r="L559" i="78"/>
  <c r="I559" i="78"/>
  <c r="W559" i="78"/>
  <c r="U560" i="78"/>
  <c r="R560" i="78"/>
  <c r="O560" i="78"/>
  <c r="L560" i="78"/>
  <c r="I560" i="78"/>
  <c r="W560" i="78"/>
  <c r="U561" i="78"/>
  <c r="R561" i="78"/>
  <c r="O561" i="78"/>
  <c r="L561" i="78"/>
  <c r="I561" i="78"/>
  <c r="W561" i="78"/>
  <c r="U562" i="78"/>
  <c r="R562" i="78"/>
  <c r="O562" i="78"/>
  <c r="L562" i="78"/>
  <c r="I562" i="78"/>
  <c r="W562" i="78"/>
  <c r="U563" i="78"/>
  <c r="R563" i="78"/>
  <c r="O563" i="78"/>
  <c r="L563" i="78"/>
  <c r="I563" i="78"/>
  <c r="W563" i="78"/>
  <c r="U564" i="78"/>
  <c r="R564" i="78"/>
  <c r="O564" i="78"/>
  <c r="L564" i="78"/>
  <c r="I564" i="78"/>
  <c r="W564" i="78"/>
  <c r="U565" i="78"/>
  <c r="R565" i="78"/>
  <c r="O565" i="78"/>
  <c r="L565" i="78"/>
  <c r="I565" i="78"/>
  <c r="W565" i="78"/>
  <c r="U566" i="78"/>
  <c r="R566" i="78"/>
  <c r="O566" i="78"/>
  <c r="L566" i="78"/>
  <c r="I566" i="78"/>
  <c r="W566" i="78"/>
  <c r="U567" i="78"/>
  <c r="R567" i="78"/>
  <c r="O567" i="78"/>
  <c r="L567" i="78"/>
  <c r="I567" i="78"/>
  <c r="W567" i="78"/>
  <c r="U568" i="78"/>
  <c r="R568" i="78"/>
  <c r="O568" i="78"/>
  <c r="L568" i="78"/>
  <c r="I568" i="78"/>
  <c r="W568" i="78"/>
  <c r="U569" i="78"/>
  <c r="R569" i="78"/>
  <c r="L569" i="78"/>
  <c r="I569" i="78"/>
  <c r="W569" i="78"/>
  <c r="U570" i="78"/>
  <c r="R570" i="78"/>
  <c r="O570" i="78"/>
  <c r="L570" i="78"/>
  <c r="I570" i="78"/>
  <c r="W570" i="78"/>
  <c r="U571" i="78"/>
  <c r="R571" i="78"/>
  <c r="O571" i="78"/>
  <c r="L571" i="78"/>
  <c r="I571" i="78"/>
  <c r="W571" i="78"/>
  <c r="U572" i="78"/>
  <c r="R572" i="78"/>
  <c r="O572" i="78"/>
  <c r="L572" i="78"/>
  <c r="I572" i="78"/>
  <c r="W572" i="78"/>
  <c r="U573" i="78"/>
  <c r="R573" i="78"/>
  <c r="O573" i="78"/>
  <c r="L573" i="78"/>
  <c r="I573" i="78"/>
  <c r="W573" i="78"/>
  <c r="U574" i="78"/>
  <c r="R574" i="78"/>
  <c r="O574" i="78"/>
  <c r="L574" i="78"/>
  <c r="I574" i="78"/>
  <c r="W574" i="78"/>
  <c r="U575" i="78"/>
  <c r="R575" i="78"/>
  <c r="O575" i="78"/>
  <c r="L575" i="78"/>
  <c r="I575" i="78"/>
  <c r="W575" i="78"/>
  <c r="U576" i="78"/>
  <c r="R576" i="78"/>
  <c r="O576" i="78"/>
  <c r="L576" i="78"/>
  <c r="I576" i="78"/>
  <c r="W576" i="78"/>
  <c r="U578" i="78"/>
  <c r="R578" i="78"/>
  <c r="O578" i="78"/>
  <c r="L578" i="78"/>
  <c r="I578" i="78"/>
  <c r="W578" i="78"/>
  <c r="U579" i="78"/>
  <c r="R579" i="78"/>
  <c r="O579" i="78"/>
  <c r="L579" i="78"/>
  <c r="I579" i="78"/>
  <c r="W579" i="78"/>
  <c r="U580" i="78"/>
  <c r="R580" i="78"/>
  <c r="O580" i="78"/>
  <c r="L580" i="78"/>
  <c r="I580" i="78"/>
  <c r="W580" i="78"/>
  <c r="U581" i="78"/>
  <c r="R581" i="78"/>
  <c r="O581" i="78"/>
  <c r="L581" i="78"/>
  <c r="I581" i="78"/>
  <c r="W581" i="78"/>
  <c r="U582" i="78"/>
  <c r="R582" i="78"/>
  <c r="O582" i="78"/>
  <c r="L582" i="78"/>
  <c r="I582" i="78"/>
  <c r="W582" i="78"/>
  <c r="U583" i="78"/>
  <c r="R583" i="78"/>
  <c r="O583" i="78"/>
  <c r="L583" i="78"/>
  <c r="I583" i="78"/>
  <c r="W583" i="78"/>
  <c r="U584" i="78"/>
  <c r="R584" i="78"/>
  <c r="O584" i="78"/>
  <c r="L584" i="78"/>
  <c r="I584" i="78"/>
  <c r="W584" i="78"/>
  <c r="U585" i="78"/>
  <c r="R585" i="78"/>
  <c r="O585" i="78"/>
  <c r="L585" i="78"/>
  <c r="I585" i="78"/>
  <c r="W585" i="78"/>
  <c r="U586" i="78"/>
  <c r="R586" i="78"/>
  <c r="O586" i="78"/>
  <c r="L586" i="78"/>
  <c r="I586" i="78"/>
  <c r="W586" i="78"/>
  <c r="U589" i="78"/>
  <c r="R589" i="78"/>
  <c r="O589" i="78"/>
  <c r="L589" i="78"/>
  <c r="I589" i="78"/>
  <c r="W589" i="78"/>
  <c r="U592" i="78"/>
  <c r="R592" i="78"/>
  <c r="O592" i="78"/>
  <c r="L592" i="78"/>
  <c r="I592" i="78"/>
  <c r="W592" i="78"/>
  <c r="U594" i="78"/>
  <c r="R594" i="78"/>
  <c r="O594" i="78"/>
  <c r="L594" i="78"/>
  <c r="I594" i="78"/>
  <c r="W594" i="78"/>
  <c r="U595" i="78"/>
  <c r="R595" i="78"/>
  <c r="O595" i="78"/>
  <c r="L595" i="78"/>
  <c r="I595" i="78"/>
  <c r="W595" i="78"/>
  <c r="U596" i="78"/>
  <c r="R596" i="78"/>
  <c r="O596" i="78"/>
  <c r="L596" i="78"/>
  <c r="I596" i="78"/>
  <c r="W596" i="78"/>
  <c r="U597" i="78"/>
  <c r="R597" i="78"/>
  <c r="O597" i="78"/>
  <c r="L597" i="78"/>
  <c r="I597" i="78"/>
  <c r="W597" i="78"/>
  <c r="U598" i="78"/>
  <c r="R598" i="78"/>
  <c r="O598" i="78"/>
  <c r="L598" i="78"/>
  <c r="I598" i="78"/>
  <c r="W598" i="78"/>
  <c r="U599" i="78"/>
  <c r="R599" i="78"/>
  <c r="O599" i="78"/>
  <c r="L599" i="78"/>
  <c r="I599" i="78"/>
  <c r="W599" i="78"/>
  <c r="U600" i="78"/>
  <c r="R600" i="78"/>
  <c r="O600" i="78"/>
  <c r="L600" i="78"/>
  <c r="W600" i="78"/>
  <c r="U601" i="78"/>
  <c r="R601" i="78"/>
  <c r="O601" i="78"/>
  <c r="L601" i="78"/>
  <c r="I601" i="78"/>
  <c r="W601" i="78"/>
  <c r="U602" i="78"/>
  <c r="R602" i="78"/>
  <c r="O602" i="78"/>
  <c r="L602" i="78"/>
  <c r="I602" i="78"/>
  <c r="W602" i="78"/>
  <c r="U603" i="78"/>
  <c r="R603" i="78"/>
  <c r="O603" i="78"/>
  <c r="L603" i="78"/>
  <c r="W603" i="78"/>
  <c r="U5" i="78"/>
  <c r="R5" i="78"/>
  <c r="O5" i="78"/>
  <c r="L5" i="78"/>
  <c r="I5" i="78"/>
  <c r="W5" i="78"/>
  <c r="Q166" i="78"/>
  <c r="S166" i="78"/>
  <c r="P6" i="45"/>
  <c r="N166" i="78"/>
  <c r="P166" i="78"/>
  <c r="O6" i="45"/>
  <c r="K166" i="78"/>
  <c r="M166" i="78"/>
  <c r="N6" i="45"/>
  <c r="H166" i="78"/>
  <c r="J166" i="78"/>
  <c r="M6" i="45"/>
  <c r="T288" i="78"/>
  <c r="V288" i="78"/>
  <c r="Q5" i="45"/>
  <c r="Q288" i="78"/>
  <c r="S288" i="78"/>
  <c r="P5" i="45"/>
  <c r="O5" i="45"/>
  <c r="K288" i="78"/>
  <c r="M288" i="78"/>
  <c r="N5" i="45"/>
  <c r="H288" i="78"/>
  <c r="J288" i="78"/>
  <c r="M5" i="45"/>
  <c r="T163" i="78"/>
  <c r="V163" i="78"/>
  <c r="Q31" i="45"/>
  <c r="Q163" i="78"/>
  <c r="S163" i="78"/>
  <c r="P31" i="45"/>
  <c r="N163" i="78"/>
  <c r="P163" i="78"/>
  <c r="O31" i="45"/>
  <c r="K163" i="78"/>
  <c r="M163" i="78"/>
  <c r="N31" i="45"/>
  <c r="H163" i="78"/>
  <c r="J163" i="78"/>
  <c r="M31" i="45"/>
  <c r="T191" i="78"/>
  <c r="V191" i="78"/>
  <c r="Q30" i="45"/>
  <c r="Q191" i="78"/>
  <c r="S191" i="78"/>
  <c r="P30" i="45"/>
  <c r="N191" i="78"/>
  <c r="P191" i="78"/>
  <c r="O30" i="45"/>
  <c r="K191" i="78"/>
  <c r="M191" i="78"/>
  <c r="N30" i="45"/>
  <c r="H191" i="78"/>
  <c r="J191" i="78"/>
  <c r="M30" i="45"/>
  <c r="T480" i="78"/>
  <c r="V480" i="78"/>
  <c r="Q29" i="45"/>
  <c r="Q480" i="78"/>
  <c r="S480" i="78"/>
  <c r="P29" i="45"/>
  <c r="N480" i="78"/>
  <c r="P480" i="78"/>
  <c r="O29" i="45"/>
  <c r="K480" i="78"/>
  <c r="M480" i="78"/>
  <c r="N29" i="45"/>
  <c r="H480" i="78"/>
  <c r="J480" i="78"/>
  <c r="M29" i="45"/>
  <c r="T38" i="78"/>
  <c r="V38" i="78"/>
  <c r="Q28" i="45"/>
  <c r="Q38" i="78"/>
  <c r="S38" i="78"/>
  <c r="P28" i="45"/>
  <c r="N38" i="78"/>
  <c r="P38" i="78"/>
  <c r="O28" i="45"/>
  <c r="K38" i="78"/>
  <c r="M38" i="78"/>
  <c r="N28" i="45"/>
  <c r="H38" i="78"/>
  <c r="J38" i="78"/>
  <c r="M28" i="45"/>
  <c r="T37" i="78"/>
  <c r="V37" i="78"/>
  <c r="Q27" i="45"/>
  <c r="Q37" i="78"/>
  <c r="S37" i="78"/>
  <c r="P27" i="45"/>
  <c r="N37" i="78"/>
  <c r="P37" i="78"/>
  <c r="O27" i="45"/>
  <c r="K37" i="78"/>
  <c r="M37" i="78"/>
  <c r="N27" i="45"/>
  <c r="H37" i="78"/>
  <c r="J37" i="78"/>
  <c r="M27" i="45"/>
  <c r="T459" i="78"/>
  <c r="V459" i="78"/>
  <c r="Q26" i="45"/>
  <c r="Q459" i="78"/>
  <c r="S459" i="78"/>
  <c r="P26" i="45"/>
  <c r="N459" i="78"/>
  <c r="P459" i="78"/>
  <c r="O26" i="45"/>
  <c r="K459" i="78"/>
  <c r="M459" i="78"/>
  <c r="N26" i="45"/>
  <c r="H459" i="78"/>
  <c r="J459" i="78"/>
  <c r="M26" i="45"/>
  <c r="T42" i="78"/>
  <c r="V42" i="78"/>
  <c r="Q25" i="45"/>
  <c r="Q42" i="78"/>
  <c r="S42" i="78"/>
  <c r="P25" i="45"/>
  <c r="N42" i="78"/>
  <c r="P42" i="78"/>
  <c r="O25" i="45"/>
  <c r="K42" i="78"/>
  <c r="M42" i="78"/>
  <c r="N25" i="45"/>
  <c r="H42" i="78"/>
  <c r="J42" i="78"/>
  <c r="M25" i="45"/>
  <c r="T388" i="78"/>
  <c r="V388" i="78"/>
  <c r="Q24" i="45"/>
  <c r="Q388" i="78"/>
  <c r="S388" i="78"/>
  <c r="P24" i="45"/>
  <c r="N388" i="78"/>
  <c r="P388" i="78"/>
  <c r="O24" i="45"/>
  <c r="K388" i="78"/>
  <c r="M388" i="78"/>
  <c r="N24" i="45"/>
  <c r="H388" i="78"/>
  <c r="J388" i="78"/>
  <c r="M24" i="45"/>
  <c r="T316" i="78"/>
  <c r="V316" i="78"/>
  <c r="Q23" i="45"/>
  <c r="Q316" i="78"/>
  <c r="S316" i="78"/>
  <c r="P23" i="45"/>
  <c r="N316" i="78"/>
  <c r="P316" i="78"/>
  <c r="O23" i="45"/>
  <c r="K316" i="78"/>
  <c r="M316" i="78"/>
  <c r="N23" i="45"/>
  <c r="H316" i="78"/>
  <c r="J316" i="78"/>
  <c r="M23" i="45"/>
  <c r="T178" i="78"/>
  <c r="V178" i="78"/>
  <c r="Q22" i="45"/>
  <c r="Q178" i="78"/>
  <c r="S178" i="78"/>
  <c r="P22" i="45"/>
  <c r="N178" i="78"/>
  <c r="P178" i="78"/>
  <c r="O22" i="45"/>
  <c r="K178" i="78"/>
  <c r="M178" i="78"/>
  <c r="N22" i="45"/>
  <c r="H178" i="78"/>
  <c r="J178" i="78"/>
  <c r="M22" i="45"/>
  <c r="T40" i="78"/>
  <c r="V40" i="78"/>
  <c r="Q21" i="45"/>
  <c r="Q40" i="78"/>
  <c r="S40" i="78"/>
  <c r="P21" i="45"/>
  <c r="N40" i="78"/>
  <c r="P40" i="78"/>
  <c r="O21" i="45"/>
  <c r="K40" i="78"/>
  <c r="M40" i="78"/>
  <c r="N21" i="45"/>
  <c r="H40" i="78"/>
  <c r="J40" i="78"/>
  <c r="M21" i="45"/>
  <c r="T175" i="78"/>
  <c r="V175" i="78"/>
  <c r="Q20" i="45"/>
  <c r="Q175" i="78"/>
  <c r="S175" i="78"/>
  <c r="P20" i="45"/>
  <c r="O20" i="45"/>
  <c r="K175" i="78"/>
  <c r="M175" i="78"/>
  <c r="N20" i="45"/>
  <c r="H175" i="78"/>
  <c r="J175" i="78"/>
  <c r="M20" i="45"/>
  <c r="T36" i="78"/>
  <c r="V36" i="78"/>
  <c r="Q19" i="45"/>
  <c r="Q36" i="78"/>
  <c r="S36" i="78"/>
  <c r="P19" i="45"/>
  <c r="N36" i="78"/>
  <c r="P36" i="78"/>
  <c r="O19" i="45"/>
  <c r="K36" i="78"/>
  <c r="M36" i="78"/>
  <c r="N19" i="45"/>
  <c r="H36" i="78"/>
  <c r="J36" i="78"/>
  <c r="M19" i="45"/>
  <c r="T289" i="78"/>
  <c r="V289" i="78"/>
  <c r="Q18" i="45"/>
  <c r="Q289" i="78"/>
  <c r="S289" i="78"/>
  <c r="P18" i="45"/>
  <c r="N289" i="78"/>
  <c r="P289" i="78"/>
  <c r="O18" i="45"/>
  <c r="K289" i="78"/>
  <c r="M289" i="78"/>
  <c r="N18" i="45"/>
  <c r="H289" i="78"/>
  <c r="J289" i="78"/>
  <c r="M18" i="45"/>
  <c r="L17" i="45"/>
  <c r="T417" i="78"/>
  <c r="V417" i="78"/>
  <c r="Q16" i="45"/>
  <c r="Q417" i="78"/>
  <c r="S417" i="78"/>
  <c r="P16" i="45"/>
  <c r="N417" i="78"/>
  <c r="P417" i="78"/>
  <c r="O16" i="45"/>
  <c r="K417" i="78"/>
  <c r="M417" i="78"/>
  <c r="N16" i="45"/>
  <c r="H417" i="78"/>
  <c r="J417" i="78"/>
  <c r="M16" i="45"/>
  <c r="T319" i="78"/>
  <c r="V319" i="78"/>
  <c r="Q15" i="45"/>
  <c r="Q319" i="78"/>
  <c r="S319" i="78"/>
  <c r="P15" i="45"/>
  <c r="N319" i="78"/>
  <c r="P319" i="78"/>
  <c r="O15" i="45"/>
  <c r="K319" i="78"/>
  <c r="M319" i="78"/>
  <c r="N15" i="45"/>
  <c r="H319" i="78"/>
  <c r="J319" i="78"/>
  <c r="M15" i="45"/>
  <c r="T172" i="78"/>
  <c r="V172" i="78"/>
  <c r="Q14" i="45"/>
  <c r="Q172" i="78"/>
  <c r="S172" i="78"/>
  <c r="P14" i="45"/>
  <c r="N172" i="78"/>
  <c r="P172" i="78"/>
  <c r="O14" i="45"/>
  <c r="K172" i="78"/>
  <c r="M172" i="78"/>
  <c r="N14" i="45"/>
  <c r="H172" i="78"/>
  <c r="J172" i="78"/>
  <c r="M14" i="45"/>
  <c r="T171" i="78"/>
  <c r="V171" i="78"/>
  <c r="Q12" i="45"/>
  <c r="Q171" i="78"/>
  <c r="S171" i="78"/>
  <c r="P12" i="45"/>
  <c r="N171" i="78"/>
  <c r="P171" i="78"/>
  <c r="O12" i="45"/>
  <c r="K171" i="78"/>
  <c r="M171" i="78"/>
  <c r="N12" i="45"/>
  <c r="H171" i="78"/>
  <c r="J171" i="78"/>
  <c r="M12" i="45"/>
  <c r="T170" i="78"/>
  <c r="V170" i="78"/>
  <c r="Q11" i="45"/>
  <c r="Q170" i="78"/>
  <c r="S170" i="78"/>
  <c r="P11" i="45"/>
  <c r="N170" i="78"/>
  <c r="P170" i="78"/>
  <c r="O11" i="45"/>
  <c r="K170" i="78"/>
  <c r="M170" i="78"/>
  <c r="N11" i="45"/>
  <c r="H170" i="78"/>
  <c r="J170" i="78"/>
  <c r="M11" i="45"/>
  <c r="T30" i="78"/>
  <c r="V30" i="78"/>
  <c r="Q10" i="45"/>
  <c r="Q30" i="78"/>
  <c r="S30" i="78"/>
  <c r="P10" i="45"/>
  <c r="N30" i="78"/>
  <c r="P30" i="78"/>
  <c r="O10" i="45"/>
  <c r="K30" i="78"/>
  <c r="M30" i="78"/>
  <c r="N10" i="45"/>
  <c r="H30" i="78"/>
  <c r="J30" i="78"/>
  <c r="M10" i="45"/>
  <c r="Q9" i="45"/>
  <c r="P9" i="45"/>
  <c r="O9" i="45"/>
  <c r="N9" i="45"/>
  <c r="M9" i="45"/>
  <c r="T588" i="78"/>
  <c r="V588" i="78"/>
  <c r="Q8" i="45"/>
  <c r="Q588" i="78"/>
  <c r="S588" i="78"/>
  <c r="P8" i="45"/>
  <c r="N588" i="78"/>
  <c r="P588" i="78"/>
  <c r="O8" i="45"/>
  <c r="K588" i="78"/>
  <c r="M588" i="78"/>
  <c r="N8" i="45"/>
  <c r="H588" i="78"/>
  <c r="J588" i="78"/>
  <c r="M8" i="45"/>
  <c r="T166" i="78"/>
  <c r="V166" i="78"/>
  <c r="Q7" i="45"/>
  <c r="P7" i="45"/>
  <c r="O7" i="45"/>
  <c r="N7" i="45"/>
  <c r="M7" i="45"/>
  <c r="Q6" i="45"/>
  <c r="M4" i="45"/>
  <c r="Q4" i="45"/>
  <c r="P4" i="45"/>
  <c r="O4" i="45"/>
  <c r="N4" i="45"/>
  <c r="L19" i="45"/>
  <c r="G19" i="45"/>
  <c r="W219" i="29"/>
  <c r="Z13" i="67"/>
  <c r="AE13" i="67"/>
  <c r="L10" i="45"/>
  <c r="G10" i="45"/>
  <c r="W210" i="29"/>
  <c r="AM210" i="29"/>
  <c r="L27" i="45"/>
  <c r="G27" i="45"/>
  <c r="W227" i="29"/>
  <c r="L31" i="45"/>
  <c r="G31" i="45"/>
  <c r="W231" i="29"/>
  <c r="R26" i="45"/>
  <c r="J26" i="45"/>
  <c r="W257" i="29"/>
  <c r="AM217" i="29"/>
  <c r="L15" i="45"/>
  <c r="G15" i="45"/>
  <c r="W215" i="29"/>
  <c r="AM215" i="29"/>
  <c r="L23" i="45"/>
  <c r="G23" i="45"/>
  <c r="W223" i="29"/>
  <c r="R8" i="45"/>
  <c r="AM205" i="29"/>
  <c r="AM247" i="29"/>
  <c r="AM219" i="29"/>
  <c r="AM245" i="29"/>
  <c r="AM240" i="29"/>
  <c r="AM251" i="29"/>
  <c r="AM213" i="29"/>
  <c r="AM209" i="29"/>
  <c r="U222" i="29"/>
  <c r="AG222" i="29"/>
  <c r="AG221" i="29"/>
  <c r="AG220" i="29"/>
  <c r="R6" i="45"/>
  <c r="J6" i="45"/>
  <c r="W237" i="29"/>
  <c r="AM237" i="29"/>
  <c r="R10" i="45"/>
  <c r="R14" i="45"/>
  <c r="R18" i="45"/>
  <c r="J18" i="45"/>
  <c r="W249" i="29"/>
  <c r="AM249" i="29"/>
  <c r="R22" i="45"/>
  <c r="J22" i="45"/>
  <c r="W253" i="29"/>
  <c r="AM253" i="29"/>
  <c r="R7" i="45"/>
  <c r="R9" i="45"/>
  <c r="R11" i="45"/>
  <c r="J11" i="45"/>
  <c r="W242" i="29"/>
  <c r="AM242" i="29"/>
  <c r="R13" i="45"/>
  <c r="J13" i="45"/>
  <c r="W244" i="29"/>
  <c r="AM244" i="29"/>
  <c r="R15" i="45"/>
  <c r="J15" i="45"/>
  <c r="W246" i="29"/>
  <c r="AM246" i="29"/>
  <c r="R17" i="45"/>
  <c r="J17" i="45"/>
  <c r="W248" i="29"/>
  <c r="AM248" i="29"/>
  <c r="R19" i="45"/>
  <c r="J19" i="45"/>
  <c r="W250" i="29"/>
  <c r="AM250" i="29"/>
  <c r="R21" i="45"/>
  <c r="J21" i="45"/>
  <c r="W252" i="29"/>
  <c r="AM252" i="29"/>
  <c r="R23" i="45"/>
  <c r="J23" i="45"/>
  <c r="W254" i="29"/>
  <c r="R25" i="45"/>
  <c r="J25" i="45"/>
  <c r="W256" i="29"/>
  <c r="R27" i="45"/>
  <c r="J27" i="45"/>
  <c r="W258" i="29"/>
  <c r="L7" i="45"/>
  <c r="G7" i="45"/>
  <c r="W207" i="29"/>
  <c r="AM207" i="29"/>
  <c r="L8" i="45"/>
  <c r="G8" i="45"/>
  <c r="W208" i="29"/>
  <c r="AM208" i="29"/>
  <c r="L9" i="45"/>
  <c r="L11" i="45"/>
  <c r="G11" i="45"/>
  <c r="W211" i="29"/>
  <c r="AM211" i="29"/>
  <c r="L12" i="45"/>
  <c r="G12" i="45"/>
  <c r="W212" i="29"/>
  <c r="AM212" i="29"/>
  <c r="L16" i="45"/>
  <c r="G16" i="45"/>
  <c r="W216" i="29"/>
  <c r="AM216" i="29"/>
  <c r="L18" i="45"/>
  <c r="G18" i="45"/>
  <c r="W218" i="29"/>
  <c r="AM218" i="29"/>
  <c r="L20" i="45"/>
  <c r="L21" i="45"/>
  <c r="G21" i="45"/>
  <c r="W221" i="29"/>
  <c r="L22" i="45"/>
  <c r="G22" i="45"/>
  <c r="W222" i="29"/>
  <c r="L24" i="45"/>
  <c r="G24" i="45"/>
  <c r="W224" i="29"/>
  <c r="L25" i="45"/>
  <c r="G25" i="45"/>
  <c r="W225" i="29"/>
  <c r="L26" i="45"/>
  <c r="G26" i="45"/>
  <c r="W226" i="29"/>
  <c r="L28" i="45"/>
  <c r="G28" i="45"/>
  <c r="W228" i="29"/>
  <c r="L29" i="45"/>
  <c r="G29" i="45"/>
  <c r="W229" i="29"/>
  <c r="L30" i="45"/>
  <c r="G30" i="45"/>
  <c r="W230" i="29"/>
  <c r="L6" i="45"/>
  <c r="G6" i="45"/>
  <c r="W206" i="29"/>
  <c r="AM206" i="29"/>
  <c r="L14" i="45"/>
  <c r="G14" i="45"/>
  <c r="W214" i="29"/>
  <c r="AM214" i="29"/>
  <c r="J8" i="45"/>
  <c r="W239" i="29"/>
  <c r="AM239" i="29"/>
  <c r="L5" i="45"/>
  <c r="J10" i="45"/>
  <c r="W241" i="29"/>
  <c r="AM241" i="29"/>
  <c r="J12" i="45"/>
  <c r="W243" i="29"/>
  <c r="AM243" i="29"/>
  <c r="L4" i="45"/>
  <c r="G4" i="45"/>
  <c r="W204" i="29"/>
  <c r="AM204" i="29"/>
  <c r="J7" i="45"/>
  <c r="W238" i="29"/>
  <c r="AM238" i="29"/>
  <c r="R5" i="45"/>
  <c r="J5" i="45"/>
  <c r="W236" i="29"/>
  <c r="AM236" i="29"/>
  <c r="R4" i="45"/>
  <c r="J4" i="45"/>
  <c r="W235" i="29"/>
  <c r="AM235" i="29"/>
  <c r="Z14" i="67"/>
  <c r="AE14" i="67"/>
  <c r="Y232" i="29"/>
  <c r="AM222" i="29"/>
  <c r="AA232" i="29"/>
  <c r="AM221" i="29"/>
  <c r="AE232" i="29"/>
  <c r="AC232" i="29"/>
  <c r="AG232" i="29"/>
  <c r="AM220" i="29"/>
  <c r="AA263" i="29"/>
  <c r="AC263" i="29"/>
  <c r="AC32" i="29"/>
  <c r="AE263" i="29"/>
  <c r="AG263" i="29"/>
  <c r="Y263" i="29"/>
  <c r="Y32" i="29"/>
  <c r="V321" i="29"/>
  <c r="V322" i="29"/>
  <c r="V323" i="29"/>
  <c r="V324" i="29"/>
  <c r="V325" i="29"/>
  <c r="V326" i="29"/>
  <c r="V327" i="29"/>
  <c r="V328" i="29"/>
  <c r="V329" i="29"/>
  <c r="V320" i="29"/>
  <c r="U320" i="29"/>
  <c r="U373" i="29"/>
  <c r="AF373" i="29"/>
  <c r="N26" i="78"/>
  <c r="P26" i="78"/>
  <c r="L25" i="76"/>
  <c r="N159" i="78"/>
  <c r="P159" i="78"/>
  <c r="L26" i="76"/>
  <c r="N301" i="78"/>
  <c r="P301" i="78"/>
  <c r="L28" i="76"/>
  <c r="N49" i="78"/>
  <c r="P49" i="78"/>
  <c r="L30" i="76"/>
  <c r="N63" i="78"/>
  <c r="P63" i="78"/>
  <c r="L13" i="76"/>
  <c r="N62" i="78"/>
  <c r="P62" i="78"/>
  <c r="L14" i="76"/>
  <c r="N27" i="78"/>
  <c r="P27" i="78"/>
  <c r="L15" i="76"/>
  <c r="L16" i="76"/>
  <c r="L18" i="76"/>
  <c r="N56" i="78"/>
  <c r="P56" i="78"/>
  <c r="L19" i="76"/>
  <c r="N361" i="78"/>
  <c r="P361" i="78"/>
  <c r="L21" i="76"/>
  <c r="N222" i="78"/>
  <c r="P222" i="78"/>
  <c r="L22" i="76"/>
  <c r="N66" i="78"/>
  <c r="P66" i="78"/>
  <c r="L24" i="76"/>
  <c r="L9" i="76"/>
  <c r="N54" i="78"/>
  <c r="P54" i="78"/>
  <c r="L10" i="76"/>
  <c r="N358" i="78"/>
  <c r="P358" i="78"/>
  <c r="L11" i="76"/>
  <c r="N372" i="78"/>
  <c r="P372" i="78"/>
  <c r="L4" i="76"/>
  <c r="N272" i="78"/>
  <c r="P272" i="78"/>
  <c r="L5" i="76"/>
  <c r="N252" i="78"/>
  <c r="P252" i="78"/>
  <c r="L6" i="76"/>
  <c r="L7" i="76"/>
  <c r="N53" i="78"/>
  <c r="P53" i="78"/>
  <c r="L3" i="76"/>
  <c r="N381" i="78"/>
  <c r="P381" i="78"/>
  <c r="F3" i="76"/>
  <c r="F43" i="76"/>
  <c r="F45" i="76"/>
  <c r="F47" i="76"/>
  <c r="N371" i="78"/>
  <c r="P371" i="78"/>
  <c r="F11" i="76"/>
  <c r="N79" i="78"/>
  <c r="P79" i="78"/>
  <c r="F12" i="76"/>
  <c r="N70" i="78"/>
  <c r="P70" i="78"/>
  <c r="F13" i="76"/>
  <c r="N28" i="78"/>
  <c r="P28" i="78"/>
  <c r="F15" i="76"/>
  <c r="F16" i="76"/>
  <c r="F18" i="76"/>
  <c r="F19" i="76"/>
  <c r="F20" i="76"/>
  <c r="N223" i="78"/>
  <c r="P223" i="78"/>
  <c r="F22" i="76"/>
  <c r="F23" i="76"/>
  <c r="F24" i="76"/>
  <c r="F25" i="76"/>
  <c r="F26" i="76"/>
  <c r="F28" i="76"/>
  <c r="N8" i="78"/>
  <c r="P8" i="78"/>
  <c r="F29" i="76"/>
  <c r="N7" i="78"/>
  <c r="P7" i="78"/>
  <c r="F30" i="76"/>
  <c r="N195" i="78"/>
  <c r="P195" i="78"/>
  <c r="F31" i="76"/>
  <c r="F33" i="76"/>
  <c r="F35" i="76"/>
  <c r="N284" i="78"/>
  <c r="P284" i="78"/>
  <c r="F36" i="76"/>
  <c r="N196" i="78"/>
  <c r="P196" i="78"/>
  <c r="F37" i="76"/>
  <c r="F40" i="76"/>
  <c r="F6" i="76"/>
  <c r="F8" i="76"/>
  <c r="N9" i="78"/>
  <c r="P9" i="78"/>
  <c r="F10" i="76"/>
  <c r="N472" i="78"/>
  <c r="P472" i="78"/>
  <c r="F4" i="76"/>
  <c r="T278" i="78"/>
  <c r="V278" i="78"/>
  <c r="Y48" i="76"/>
  <c r="Q278" i="78"/>
  <c r="S278" i="78"/>
  <c r="X48" i="76"/>
  <c r="N278" i="78"/>
  <c r="P278" i="78"/>
  <c r="W48" i="76"/>
  <c r="K278" i="78"/>
  <c r="M278" i="78"/>
  <c r="V48" i="76"/>
  <c r="H278" i="78"/>
  <c r="J278" i="78"/>
  <c r="U48" i="76"/>
  <c r="T49" i="78"/>
  <c r="V49" i="78"/>
  <c r="Y47" i="76"/>
  <c r="Q49" i="78"/>
  <c r="S49" i="78"/>
  <c r="X47" i="76"/>
  <c r="W47" i="76"/>
  <c r="K49" i="78"/>
  <c r="M49" i="78"/>
  <c r="V47" i="76"/>
  <c r="H49" i="78"/>
  <c r="J49" i="78"/>
  <c r="U47" i="76"/>
  <c r="T379" i="78"/>
  <c r="V379" i="78"/>
  <c r="Y46" i="76"/>
  <c r="Q379" i="78"/>
  <c r="S379" i="78"/>
  <c r="X46" i="76"/>
  <c r="N379" i="78"/>
  <c r="P379" i="78"/>
  <c r="W46" i="76"/>
  <c r="K379" i="78"/>
  <c r="M379" i="78"/>
  <c r="V46" i="76"/>
  <c r="H379" i="78"/>
  <c r="J379" i="78"/>
  <c r="U46" i="76"/>
  <c r="T301" i="78"/>
  <c r="V301" i="78"/>
  <c r="Y45" i="76"/>
  <c r="Q301" i="78"/>
  <c r="S301" i="78"/>
  <c r="X45" i="76"/>
  <c r="W45" i="76"/>
  <c r="K301" i="78"/>
  <c r="M301" i="78"/>
  <c r="V45" i="76"/>
  <c r="H301" i="78"/>
  <c r="J301" i="78"/>
  <c r="U45" i="76"/>
  <c r="T299" i="78"/>
  <c r="V299" i="78"/>
  <c r="Y44" i="76"/>
  <c r="Q299" i="78"/>
  <c r="S299" i="78"/>
  <c r="X44" i="76"/>
  <c r="N299" i="78"/>
  <c r="P299" i="78"/>
  <c r="W44" i="76"/>
  <c r="K299" i="78"/>
  <c r="M299" i="78"/>
  <c r="V44" i="76"/>
  <c r="H299" i="78"/>
  <c r="J299" i="78"/>
  <c r="U44" i="76"/>
  <c r="T159" i="78"/>
  <c r="V159" i="78"/>
  <c r="Y43" i="76"/>
  <c r="Q159" i="78"/>
  <c r="S159" i="78"/>
  <c r="X43" i="76"/>
  <c r="W43" i="76"/>
  <c r="K159" i="78"/>
  <c r="M159" i="78"/>
  <c r="V43" i="76"/>
  <c r="H159" i="78"/>
  <c r="J159" i="78"/>
  <c r="U43" i="76"/>
  <c r="T598" i="78"/>
  <c r="V598" i="78"/>
  <c r="Y42" i="76"/>
  <c r="Q598" i="78"/>
  <c r="S598" i="78"/>
  <c r="X42" i="76"/>
  <c r="N598" i="78"/>
  <c r="P598" i="78"/>
  <c r="W42" i="76"/>
  <c r="K598" i="78"/>
  <c r="M598" i="78"/>
  <c r="V42" i="76"/>
  <c r="H598" i="78"/>
  <c r="J598" i="78"/>
  <c r="U42" i="76"/>
  <c r="T360" i="78"/>
  <c r="V360" i="78"/>
  <c r="Y41" i="76"/>
  <c r="Q360" i="78"/>
  <c r="S360" i="78"/>
  <c r="X41" i="76"/>
  <c r="N360" i="78"/>
  <c r="P360" i="78"/>
  <c r="W41" i="76"/>
  <c r="K360" i="78"/>
  <c r="M360" i="78"/>
  <c r="V41" i="76"/>
  <c r="H360" i="78"/>
  <c r="J360" i="78"/>
  <c r="U41" i="76"/>
  <c r="T56" i="78"/>
  <c r="V56" i="78"/>
  <c r="Y40" i="76"/>
  <c r="Q56" i="78"/>
  <c r="S56" i="78"/>
  <c r="X40" i="76"/>
  <c r="W40" i="76"/>
  <c r="K56" i="78"/>
  <c r="M56" i="78"/>
  <c r="V40" i="76"/>
  <c r="H56" i="78"/>
  <c r="J56" i="78"/>
  <c r="U40" i="76"/>
  <c r="T380" i="78"/>
  <c r="V380" i="78"/>
  <c r="Y39" i="76"/>
  <c r="Q380" i="78"/>
  <c r="S380" i="78"/>
  <c r="X39" i="76"/>
  <c r="N380" i="78"/>
  <c r="P380" i="78"/>
  <c r="W39" i="76"/>
  <c r="K380" i="78"/>
  <c r="M380" i="78"/>
  <c r="V39" i="76"/>
  <c r="H380" i="78"/>
  <c r="J380" i="78"/>
  <c r="U39" i="76"/>
  <c r="T385" i="78"/>
  <c r="V385" i="78"/>
  <c r="Y38" i="76"/>
  <c r="Q385" i="78"/>
  <c r="S385" i="78"/>
  <c r="X38" i="76"/>
  <c r="N385" i="78"/>
  <c r="P385" i="78"/>
  <c r="W38" i="76"/>
  <c r="K385" i="78"/>
  <c r="M385" i="78"/>
  <c r="V38" i="76"/>
  <c r="H385" i="78"/>
  <c r="J385" i="78"/>
  <c r="U38" i="76"/>
  <c r="T196" i="78"/>
  <c r="V196" i="78"/>
  <c r="Y37" i="76"/>
  <c r="Q196" i="78"/>
  <c r="S196" i="78"/>
  <c r="X37" i="76"/>
  <c r="W37" i="76"/>
  <c r="K196" i="78"/>
  <c r="M196" i="78"/>
  <c r="V37" i="76"/>
  <c r="H196" i="78"/>
  <c r="J196" i="78"/>
  <c r="U37" i="76"/>
  <c r="T284" i="78"/>
  <c r="V284" i="78"/>
  <c r="Y36" i="76"/>
  <c r="Q284" i="78"/>
  <c r="S284" i="78"/>
  <c r="X36" i="76"/>
  <c r="W36" i="76"/>
  <c r="K284" i="78"/>
  <c r="M284" i="78"/>
  <c r="V36" i="76"/>
  <c r="H284" i="78"/>
  <c r="J284" i="78"/>
  <c r="U36" i="76"/>
  <c r="Y35" i="76"/>
  <c r="X35" i="76"/>
  <c r="W35" i="76"/>
  <c r="V35" i="76"/>
  <c r="U35" i="76"/>
  <c r="Y34" i="76"/>
  <c r="X34" i="76"/>
  <c r="W34" i="76"/>
  <c r="V34" i="76"/>
  <c r="U34" i="76"/>
  <c r="Y33" i="76"/>
  <c r="X33" i="76"/>
  <c r="W33" i="76"/>
  <c r="V33" i="76"/>
  <c r="U33" i="76"/>
  <c r="T97" i="78"/>
  <c r="V97" i="78"/>
  <c r="Y32" i="76"/>
  <c r="Q97" i="78"/>
  <c r="S97" i="78"/>
  <c r="X32" i="76"/>
  <c r="N97" i="78"/>
  <c r="P97" i="78"/>
  <c r="W32" i="76"/>
  <c r="K97" i="78"/>
  <c r="M97" i="78"/>
  <c r="V32" i="76"/>
  <c r="H97" i="78"/>
  <c r="J97" i="78"/>
  <c r="U32" i="76"/>
  <c r="T195" i="78"/>
  <c r="V195" i="78"/>
  <c r="Y31" i="76"/>
  <c r="Q195" i="78"/>
  <c r="S195" i="78"/>
  <c r="X31" i="76"/>
  <c r="W31" i="76"/>
  <c r="K195" i="78"/>
  <c r="M195" i="78"/>
  <c r="V31" i="76"/>
  <c r="H195" i="78"/>
  <c r="J195" i="78"/>
  <c r="U31" i="76"/>
  <c r="T7" i="78"/>
  <c r="V7" i="78"/>
  <c r="Y30" i="76"/>
  <c r="Q7" i="78"/>
  <c r="S7" i="78"/>
  <c r="X30" i="76"/>
  <c r="W30" i="76"/>
  <c r="K7" i="78"/>
  <c r="M7" i="78"/>
  <c r="V30" i="76"/>
  <c r="H7" i="78"/>
  <c r="J7" i="78"/>
  <c r="U30" i="76"/>
  <c r="T8" i="78"/>
  <c r="V8" i="78"/>
  <c r="Y29" i="76"/>
  <c r="Q8" i="78"/>
  <c r="S8" i="78"/>
  <c r="X29" i="76"/>
  <c r="W29" i="76"/>
  <c r="K8" i="78"/>
  <c r="M8" i="78"/>
  <c r="V29" i="76"/>
  <c r="H8" i="78"/>
  <c r="J8" i="78"/>
  <c r="U29" i="76"/>
  <c r="Y28" i="76"/>
  <c r="X28" i="76"/>
  <c r="W28" i="76"/>
  <c r="V28" i="76"/>
  <c r="U28" i="76"/>
  <c r="Y27" i="76"/>
  <c r="X27" i="76"/>
  <c r="W27" i="76"/>
  <c r="V27" i="76"/>
  <c r="U27" i="76"/>
  <c r="Y26" i="76"/>
  <c r="X26" i="76"/>
  <c r="W26" i="76"/>
  <c r="V26" i="76"/>
  <c r="U26" i="76"/>
  <c r="T27" i="78"/>
  <c r="V27" i="78"/>
  <c r="Y25" i="76"/>
  <c r="Q27" i="78"/>
  <c r="S27" i="78"/>
  <c r="X25" i="76"/>
  <c r="W25" i="76"/>
  <c r="K27" i="78"/>
  <c r="M27" i="78"/>
  <c r="V25" i="76"/>
  <c r="H27" i="78"/>
  <c r="J27" i="78"/>
  <c r="U25" i="76"/>
  <c r="T62" i="78"/>
  <c r="V62" i="78"/>
  <c r="Y24" i="76"/>
  <c r="Q62" i="78"/>
  <c r="S62" i="78"/>
  <c r="X24" i="76"/>
  <c r="W24" i="76"/>
  <c r="K62" i="78"/>
  <c r="M62" i="78"/>
  <c r="V24" i="76"/>
  <c r="H62" i="78"/>
  <c r="J62" i="78"/>
  <c r="U24" i="76"/>
  <c r="T63" i="78"/>
  <c r="V63" i="78"/>
  <c r="Y23" i="76"/>
  <c r="Q63" i="78"/>
  <c r="S63" i="78"/>
  <c r="X23" i="76"/>
  <c r="W23" i="76"/>
  <c r="K63" i="78"/>
  <c r="M63" i="78"/>
  <c r="V23" i="76"/>
  <c r="H63" i="78"/>
  <c r="J63" i="78"/>
  <c r="U23" i="76"/>
  <c r="T223" i="78"/>
  <c r="V223" i="78"/>
  <c r="Y22" i="76"/>
  <c r="Q223" i="78"/>
  <c r="S223" i="78"/>
  <c r="X22" i="76"/>
  <c r="W22" i="76"/>
  <c r="K223" i="78"/>
  <c r="M223" i="78"/>
  <c r="V22" i="76"/>
  <c r="H223" i="78"/>
  <c r="J223" i="78"/>
  <c r="U22" i="76"/>
  <c r="T359" i="78"/>
  <c r="V359" i="78"/>
  <c r="Y21" i="76"/>
  <c r="Q359" i="78"/>
  <c r="S359" i="78"/>
  <c r="X21" i="76"/>
  <c r="N359" i="78"/>
  <c r="P359" i="78"/>
  <c r="W21" i="76"/>
  <c r="K359" i="78"/>
  <c r="M359" i="78"/>
  <c r="V21" i="76"/>
  <c r="H359" i="78"/>
  <c r="J359" i="78"/>
  <c r="U21" i="76"/>
  <c r="T358" i="78"/>
  <c r="V358" i="78"/>
  <c r="Y20" i="76"/>
  <c r="Q358" i="78"/>
  <c r="S358" i="78"/>
  <c r="X20" i="76"/>
  <c r="W20" i="76"/>
  <c r="K358" i="78"/>
  <c r="M358" i="78"/>
  <c r="V20" i="76"/>
  <c r="H358" i="78"/>
  <c r="J358" i="78"/>
  <c r="U20" i="76"/>
  <c r="T54" i="78"/>
  <c r="V54" i="78"/>
  <c r="Y19" i="76"/>
  <c r="Q54" i="78"/>
  <c r="S54" i="78"/>
  <c r="X19" i="76"/>
  <c r="W19" i="76"/>
  <c r="K54" i="78"/>
  <c r="M54" i="78"/>
  <c r="V19" i="76"/>
  <c r="H54" i="78"/>
  <c r="J54" i="78"/>
  <c r="U19" i="76"/>
  <c r="Y18" i="76"/>
  <c r="X18" i="76"/>
  <c r="W18" i="76"/>
  <c r="V18" i="76"/>
  <c r="U18" i="76"/>
  <c r="Y17" i="76"/>
  <c r="X17" i="76"/>
  <c r="W17" i="76"/>
  <c r="V17" i="76"/>
  <c r="U17" i="76"/>
  <c r="Y16" i="76"/>
  <c r="X16" i="76"/>
  <c r="W16" i="76"/>
  <c r="V16" i="76"/>
  <c r="U16" i="76"/>
  <c r="T28" i="78"/>
  <c r="V28" i="78"/>
  <c r="Y15" i="76"/>
  <c r="Q28" i="78"/>
  <c r="S28" i="78"/>
  <c r="X15" i="76"/>
  <c r="W15" i="76"/>
  <c r="K28" i="78"/>
  <c r="M28" i="78"/>
  <c r="V15" i="76"/>
  <c r="H28" i="78"/>
  <c r="J28" i="78"/>
  <c r="U15" i="76"/>
  <c r="T69" i="78"/>
  <c r="V69" i="78"/>
  <c r="Y14" i="76"/>
  <c r="Q69" i="78"/>
  <c r="S69" i="78"/>
  <c r="X14" i="76"/>
  <c r="N69" i="78"/>
  <c r="P69" i="78"/>
  <c r="W14" i="76"/>
  <c r="K69" i="78"/>
  <c r="M69" i="78"/>
  <c r="V14" i="76"/>
  <c r="H69" i="78"/>
  <c r="J69" i="78"/>
  <c r="U14" i="76"/>
  <c r="T70" i="78"/>
  <c r="V70" i="78"/>
  <c r="Y13" i="76"/>
  <c r="Q70" i="78"/>
  <c r="S70" i="78"/>
  <c r="X13" i="76"/>
  <c r="W13" i="76"/>
  <c r="K70" i="78"/>
  <c r="M70" i="78"/>
  <c r="V13" i="76"/>
  <c r="H70" i="78"/>
  <c r="J70" i="78"/>
  <c r="U13" i="76"/>
  <c r="T79" i="78"/>
  <c r="V79" i="78"/>
  <c r="Y12" i="76"/>
  <c r="Q79" i="78"/>
  <c r="S79" i="78"/>
  <c r="X12" i="76"/>
  <c r="W12" i="76"/>
  <c r="K79" i="78"/>
  <c r="M79" i="78"/>
  <c r="V12" i="76"/>
  <c r="H79" i="78"/>
  <c r="J79" i="78"/>
  <c r="U12" i="76"/>
  <c r="T371" i="78"/>
  <c r="V371" i="78"/>
  <c r="Y11" i="76"/>
  <c r="Q371" i="78"/>
  <c r="S371" i="78"/>
  <c r="X11" i="76"/>
  <c r="W11" i="76"/>
  <c r="K371" i="78"/>
  <c r="M371" i="78"/>
  <c r="V11" i="76"/>
  <c r="H371" i="78"/>
  <c r="J371" i="78"/>
  <c r="U11" i="76"/>
  <c r="T9" i="78"/>
  <c r="V9" i="78"/>
  <c r="Y10" i="76"/>
  <c r="Q9" i="78"/>
  <c r="S9" i="78"/>
  <c r="X10" i="76"/>
  <c r="W10" i="76"/>
  <c r="K9" i="78"/>
  <c r="M9" i="78"/>
  <c r="V10" i="76"/>
  <c r="H9" i="78"/>
  <c r="J9" i="78"/>
  <c r="U10" i="76"/>
  <c r="N9" i="76"/>
  <c r="Y8" i="76"/>
  <c r="X8" i="76"/>
  <c r="W8" i="76"/>
  <c r="V8" i="76"/>
  <c r="U8" i="76"/>
  <c r="Y7" i="76"/>
  <c r="X7" i="76"/>
  <c r="W7" i="76"/>
  <c r="V7" i="76"/>
  <c r="U7" i="76"/>
  <c r="Y6" i="76"/>
  <c r="X6" i="76"/>
  <c r="W6" i="76"/>
  <c r="V6" i="76"/>
  <c r="U6" i="76"/>
  <c r="T71" i="78"/>
  <c r="V71" i="78"/>
  <c r="Y5" i="76"/>
  <c r="Q71" i="78"/>
  <c r="S71" i="78"/>
  <c r="X5" i="76"/>
  <c r="N71" i="78"/>
  <c r="P71" i="78"/>
  <c r="W5" i="76"/>
  <c r="K71" i="78"/>
  <c r="M71" i="78"/>
  <c r="V5" i="76"/>
  <c r="H71" i="78"/>
  <c r="J71" i="78"/>
  <c r="U5" i="76"/>
  <c r="T472" i="78"/>
  <c r="V472" i="78"/>
  <c r="Y4" i="76"/>
  <c r="Q472" i="78"/>
  <c r="S472" i="78"/>
  <c r="X4" i="76"/>
  <c r="W4" i="76"/>
  <c r="K472" i="78"/>
  <c r="M472" i="78"/>
  <c r="V4" i="76"/>
  <c r="H472" i="78"/>
  <c r="J472" i="78"/>
  <c r="U4" i="76"/>
  <c r="K381" i="78"/>
  <c r="M381" i="78"/>
  <c r="V3" i="76"/>
  <c r="T381" i="78"/>
  <c r="V381" i="78"/>
  <c r="Y3" i="76"/>
  <c r="Q381" i="78"/>
  <c r="S381" i="78"/>
  <c r="X3" i="76"/>
  <c r="W3" i="76"/>
  <c r="H381" i="78"/>
  <c r="J381" i="78"/>
  <c r="U3" i="76"/>
  <c r="R7" i="76"/>
  <c r="H372" i="78"/>
  <c r="J372" i="78"/>
  <c r="P4" i="76"/>
  <c r="K372" i="78"/>
  <c r="M372" i="78"/>
  <c r="Q4" i="76"/>
  <c r="R4" i="76"/>
  <c r="Q372" i="78"/>
  <c r="S372" i="78"/>
  <c r="S4" i="76"/>
  <c r="T372" i="78"/>
  <c r="V372" i="78"/>
  <c r="T4" i="76"/>
  <c r="H272" i="78"/>
  <c r="J272" i="78"/>
  <c r="P5" i="76"/>
  <c r="K272" i="78"/>
  <c r="M272" i="78"/>
  <c r="Q5" i="76"/>
  <c r="R5" i="76"/>
  <c r="Q272" i="78"/>
  <c r="S272" i="78"/>
  <c r="S5" i="76"/>
  <c r="T272" i="78"/>
  <c r="V272" i="78"/>
  <c r="T5" i="76"/>
  <c r="H252" i="78"/>
  <c r="J252" i="78"/>
  <c r="P6" i="76"/>
  <c r="K252" i="78"/>
  <c r="M252" i="78"/>
  <c r="Q6" i="76"/>
  <c r="R6" i="76"/>
  <c r="Q252" i="78"/>
  <c r="S252" i="78"/>
  <c r="S6" i="76"/>
  <c r="T252" i="78"/>
  <c r="V252" i="78"/>
  <c r="T6" i="76"/>
  <c r="P7" i="76"/>
  <c r="Q7" i="76"/>
  <c r="S7" i="76"/>
  <c r="T7" i="76"/>
  <c r="P8" i="76"/>
  <c r="Q8" i="76"/>
  <c r="R8" i="76"/>
  <c r="S8" i="76"/>
  <c r="T8" i="76"/>
  <c r="P9" i="76"/>
  <c r="Q9" i="76"/>
  <c r="R9" i="76"/>
  <c r="S9" i="76"/>
  <c r="T9" i="76"/>
  <c r="P10" i="76"/>
  <c r="Q10" i="76"/>
  <c r="R10" i="76"/>
  <c r="S10" i="76"/>
  <c r="T10" i="76"/>
  <c r="P11" i="76"/>
  <c r="Q11" i="76"/>
  <c r="R11" i="76"/>
  <c r="S11" i="76"/>
  <c r="T11" i="76"/>
  <c r="P12" i="76"/>
  <c r="Q12" i="76"/>
  <c r="R12" i="76"/>
  <c r="S12" i="76"/>
  <c r="T12" i="76"/>
  <c r="P13" i="76"/>
  <c r="Q13" i="76"/>
  <c r="R13" i="76"/>
  <c r="S13" i="76"/>
  <c r="T13" i="76"/>
  <c r="P14" i="76"/>
  <c r="Q14" i="76"/>
  <c r="R14" i="76"/>
  <c r="S14" i="76"/>
  <c r="T14" i="76"/>
  <c r="P15" i="76"/>
  <c r="Q15" i="76"/>
  <c r="R15" i="76"/>
  <c r="S15" i="76"/>
  <c r="T15" i="76"/>
  <c r="P16" i="76"/>
  <c r="Q16" i="76"/>
  <c r="R16" i="76"/>
  <c r="S16" i="76"/>
  <c r="T16" i="76"/>
  <c r="P17" i="76"/>
  <c r="Q17" i="76"/>
  <c r="R17" i="76"/>
  <c r="S17" i="76"/>
  <c r="T17" i="76"/>
  <c r="P18" i="76"/>
  <c r="Q18" i="76"/>
  <c r="R18" i="76"/>
  <c r="S18" i="76"/>
  <c r="T18" i="76"/>
  <c r="P19" i="76"/>
  <c r="Q19" i="76"/>
  <c r="R19" i="76"/>
  <c r="S19" i="76"/>
  <c r="T19" i="76"/>
  <c r="P20" i="76"/>
  <c r="Q20" i="76"/>
  <c r="R20" i="76"/>
  <c r="S20" i="76"/>
  <c r="T20" i="76"/>
  <c r="H361" i="78"/>
  <c r="J361" i="78"/>
  <c r="P21" i="76"/>
  <c r="K361" i="78"/>
  <c r="M361" i="78"/>
  <c r="Q21" i="76"/>
  <c r="R21" i="76"/>
  <c r="Q361" i="78"/>
  <c r="S361" i="78"/>
  <c r="S21" i="76"/>
  <c r="T361" i="78"/>
  <c r="V361" i="78"/>
  <c r="T21" i="76"/>
  <c r="H222" i="78"/>
  <c r="J222" i="78"/>
  <c r="P22" i="76"/>
  <c r="K222" i="78"/>
  <c r="M222" i="78"/>
  <c r="Q22" i="76"/>
  <c r="R22" i="76"/>
  <c r="Q222" i="78"/>
  <c r="S222" i="78"/>
  <c r="S22" i="76"/>
  <c r="T222" i="78"/>
  <c r="V222" i="78"/>
  <c r="T22" i="76"/>
  <c r="H64" i="78"/>
  <c r="J64" i="78"/>
  <c r="P23" i="76"/>
  <c r="K64" i="78"/>
  <c r="M64" i="78"/>
  <c r="Q23" i="76"/>
  <c r="N64" i="78"/>
  <c r="P64" i="78"/>
  <c r="R23" i="76"/>
  <c r="Q64" i="78"/>
  <c r="S64" i="78"/>
  <c r="S23" i="76"/>
  <c r="T64" i="78"/>
  <c r="V64" i="78"/>
  <c r="T23" i="76"/>
  <c r="H66" i="78"/>
  <c r="J66" i="78"/>
  <c r="P24" i="76"/>
  <c r="K66" i="78"/>
  <c r="M66" i="78"/>
  <c r="Q24" i="76"/>
  <c r="R24" i="76"/>
  <c r="Q66" i="78"/>
  <c r="S66" i="78"/>
  <c r="S24" i="76"/>
  <c r="T66" i="78"/>
  <c r="V66" i="78"/>
  <c r="T24" i="76"/>
  <c r="H26" i="78"/>
  <c r="J26" i="78"/>
  <c r="P25" i="76"/>
  <c r="K26" i="78"/>
  <c r="M26" i="78"/>
  <c r="Q25" i="76"/>
  <c r="R25" i="76"/>
  <c r="Q26" i="78"/>
  <c r="S26" i="78"/>
  <c r="S25" i="76"/>
  <c r="T26" i="78"/>
  <c r="V26" i="78"/>
  <c r="T25" i="76"/>
  <c r="P26" i="76"/>
  <c r="Q26" i="76"/>
  <c r="R26" i="76"/>
  <c r="S26" i="76"/>
  <c r="T26" i="76"/>
  <c r="P27" i="76"/>
  <c r="Q27" i="76"/>
  <c r="R27" i="76"/>
  <c r="S27" i="76"/>
  <c r="T27" i="76"/>
  <c r="P28" i="76"/>
  <c r="Q28" i="76"/>
  <c r="R28" i="76"/>
  <c r="S28" i="76"/>
  <c r="T28" i="76"/>
  <c r="P29" i="76"/>
  <c r="Q29" i="76"/>
  <c r="R29" i="76"/>
  <c r="S29" i="76"/>
  <c r="T29" i="76"/>
  <c r="P30" i="76"/>
  <c r="Q30" i="76"/>
  <c r="R30" i="76"/>
  <c r="S30" i="76"/>
  <c r="T30" i="76"/>
  <c r="P31" i="76"/>
  <c r="Q31" i="76"/>
  <c r="R31" i="76"/>
  <c r="S31" i="76"/>
  <c r="T31" i="76"/>
  <c r="T53" i="78"/>
  <c r="V53" i="78"/>
  <c r="T3" i="76"/>
  <c r="Q53" i="78"/>
  <c r="S53" i="78"/>
  <c r="S3" i="76"/>
  <c r="R3" i="76"/>
  <c r="K53" i="78"/>
  <c r="M53" i="78"/>
  <c r="Q3" i="76"/>
  <c r="H53" i="78"/>
  <c r="J53" i="78"/>
  <c r="P3" i="76"/>
  <c r="T602" i="78"/>
  <c r="V602" i="78"/>
  <c r="Q602" i="78"/>
  <c r="S602" i="78"/>
  <c r="N602" i="78"/>
  <c r="P602" i="78"/>
  <c r="K602" i="78"/>
  <c r="M602" i="78"/>
  <c r="H602" i="78"/>
  <c r="J602" i="78"/>
  <c r="T601" i="78"/>
  <c r="V601" i="78"/>
  <c r="Q601" i="78"/>
  <c r="S601" i="78"/>
  <c r="N601" i="78"/>
  <c r="P601" i="78"/>
  <c r="K601" i="78"/>
  <c r="M601" i="78"/>
  <c r="H601" i="78"/>
  <c r="J601" i="78"/>
  <c r="T599" i="78"/>
  <c r="V599" i="78"/>
  <c r="Q599" i="78"/>
  <c r="S599" i="78"/>
  <c r="N599" i="78"/>
  <c r="P599" i="78"/>
  <c r="K599" i="78"/>
  <c r="M599" i="78"/>
  <c r="H599" i="78"/>
  <c r="J599" i="78"/>
  <c r="T597" i="78"/>
  <c r="V597" i="78"/>
  <c r="Q597" i="78"/>
  <c r="S597" i="78"/>
  <c r="N597" i="78"/>
  <c r="P597" i="78"/>
  <c r="K597" i="78"/>
  <c r="M597" i="78"/>
  <c r="H597" i="78"/>
  <c r="J597" i="78"/>
  <c r="T596" i="78"/>
  <c r="V596" i="78"/>
  <c r="Q596" i="78"/>
  <c r="S596" i="78"/>
  <c r="N596" i="78"/>
  <c r="P596" i="78"/>
  <c r="K596" i="78"/>
  <c r="M596" i="78"/>
  <c r="H596" i="78"/>
  <c r="J596" i="78"/>
  <c r="T595" i="78"/>
  <c r="V595" i="78"/>
  <c r="Q595" i="78"/>
  <c r="S595" i="78"/>
  <c r="N595" i="78"/>
  <c r="P595" i="78"/>
  <c r="K595" i="78"/>
  <c r="M595" i="78"/>
  <c r="H595" i="78"/>
  <c r="J595" i="78"/>
  <c r="T594" i="78"/>
  <c r="V594" i="78"/>
  <c r="Q594" i="78"/>
  <c r="S594" i="78"/>
  <c r="N594" i="78"/>
  <c r="P594" i="78"/>
  <c r="K594" i="78"/>
  <c r="M594" i="78"/>
  <c r="H594" i="78"/>
  <c r="J594" i="78"/>
  <c r="T592" i="78"/>
  <c r="V592" i="78"/>
  <c r="Q592" i="78"/>
  <c r="S592" i="78"/>
  <c r="N592" i="78"/>
  <c r="P592" i="78"/>
  <c r="K592" i="78"/>
  <c r="M592" i="78"/>
  <c r="H592" i="78"/>
  <c r="J592" i="78"/>
  <c r="T589" i="78"/>
  <c r="V589" i="78"/>
  <c r="Q589" i="78"/>
  <c r="S589" i="78"/>
  <c r="N589" i="78"/>
  <c r="P589" i="78"/>
  <c r="K589" i="78"/>
  <c r="M589" i="78"/>
  <c r="H589" i="78"/>
  <c r="J589" i="78"/>
  <c r="T586" i="78"/>
  <c r="V586" i="78"/>
  <c r="Q586" i="78"/>
  <c r="S586" i="78"/>
  <c r="N586" i="78"/>
  <c r="P586" i="78"/>
  <c r="K586" i="78"/>
  <c r="M586" i="78"/>
  <c r="H586" i="78"/>
  <c r="J586" i="78"/>
  <c r="T585" i="78"/>
  <c r="V585" i="78"/>
  <c r="Q585" i="78"/>
  <c r="S585" i="78"/>
  <c r="N585" i="78"/>
  <c r="P585" i="78"/>
  <c r="K585" i="78"/>
  <c r="M585" i="78"/>
  <c r="H585" i="78"/>
  <c r="J585" i="78"/>
  <c r="T584" i="78"/>
  <c r="V584" i="78"/>
  <c r="Q584" i="78"/>
  <c r="S584" i="78"/>
  <c r="N584" i="78"/>
  <c r="P584" i="78"/>
  <c r="K584" i="78"/>
  <c r="M584" i="78"/>
  <c r="H584" i="78"/>
  <c r="J584" i="78"/>
  <c r="T583" i="78"/>
  <c r="V583" i="78"/>
  <c r="Q583" i="78"/>
  <c r="S583" i="78"/>
  <c r="N583" i="78"/>
  <c r="P583" i="78"/>
  <c r="K583" i="78"/>
  <c r="M583" i="78"/>
  <c r="H583" i="78"/>
  <c r="J583" i="78"/>
  <c r="T582" i="78"/>
  <c r="V582" i="78"/>
  <c r="Q582" i="78"/>
  <c r="S582" i="78"/>
  <c r="N582" i="78"/>
  <c r="P582" i="78"/>
  <c r="K582" i="78"/>
  <c r="M582" i="78"/>
  <c r="H582" i="78"/>
  <c r="J582" i="78"/>
  <c r="T581" i="78"/>
  <c r="V581" i="78"/>
  <c r="Q581" i="78"/>
  <c r="S581" i="78"/>
  <c r="N581" i="78"/>
  <c r="P581" i="78"/>
  <c r="K581" i="78"/>
  <c r="M581" i="78"/>
  <c r="H581" i="78"/>
  <c r="J581" i="78"/>
  <c r="T580" i="78"/>
  <c r="V580" i="78"/>
  <c r="Q580" i="78"/>
  <c r="S580" i="78"/>
  <c r="N580" i="78"/>
  <c r="P580" i="78"/>
  <c r="K580" i="78"/>
  <c r="M580" i="78"/>
  <c r="H580" i="78"/>
  <c r="J580" i="78"/>
  <c r="T579" i="78"/>
  <c r="V579" i="78"/>
  <c r="Q579" i="78"/>
  <c r="S579" i="78"/>
  <c r="N579" i="78"/>
  <c r="P579" i="78"/>
  <c r="K579" i="78"/>
  <c r="M579" i="78"/>
  <c r="H579" i="78"/>
  <c r="J579" i="78"/>
  <c r="T578" i="78"/>
  <c r="V578" i="78"/>
  <c r="Q578" i="78"/>
  <c r="S578" i="78"/>
  <c r="N578" i="78"/>
  <c r="P578" i="78"/>
  <c r="K578" i="78"/>
  <c r="M578" i="78"/>
  <c r="H578" i="78"/>
  <c r="J578" i="78"/>
  <c r="T576" i="78"/>
  <c r="V576" i="78"/>
  <c r="Q576" i="78"/>
  <c r="S576" i="78"/>
  <c r="N576" i="78"/>
  <c r="P576" i="78"/>
  <c r="K576" i="78"/>
  <c r="M576" i="78"/>
  <c r="H576" i="78"/>
  <c r="J576" i="78"/>
  <c r="T575" i="78"/>
  <c r="V575" i="78"/>
  <c r="Q575" i="78"/>
  <c r="S575" i="78"/>
  <c r="N575" i="78"/>
  <c r="P575" i="78"/>
  <c r="K575" i="78"/>
  <c r="M575" i="78"/>
  <c r="H575" i="78"/>
  <c r="J575" i="78"/>
  <c r="T574" i="78"/>
  <c r="V574" i="78"/>
  <c r="Q574" i="78"/>
  <c r="S574" i="78"/>
  <c r="N574" i="78"/>
  <c r="P574" i="78"/>
  <c r="K574" i="78"/>
  <c r="M574" i="78"/>
  <c r="H574" i="78"/>
  <c r="J574" i="78"/>
  <c r="T573" i="78"/>
  <c r="V573" i="78"/>
  <c r="Q573" i="78"/>
  <c r="S573" i="78"/>
  <c r="N573" i="78"/>
  <c r="P573" i="78"/>
  <c r="K573" i="78"/>
  <c r="M573" i="78"/>
  <c r="H573" i="78"/>
  <c r="J573" i="78"/>
  <c r="T572" i="78"/>
  <c r="V572" i="78"/>
  <c r="Q572" i="78"/>
  <c r="S572" i="78"/>
  <c r="N572" i="78"/>
  <c r="P572" i="78"/>
  <c r="K572" i="78"/>
  <c r="M572" i="78"/>
  <c r="H572" i="78"/>
  <c r="J572" i="78"/>
  <c r="T571" i="78"/>
  <c r="V571" i="78"/>
  <c r="Q571" i="78"/>
  <c r="S571" i="78"/>
  <c r="N571" i="78"/>
  <c r="P571" i="78"/>
  <c r="K571" i="78"/>
  <c r="M571" i="78"/>
  <c r="H571" i="78"/>
  <c r="J571" i="78"/>
  <c r="T570" i="78"/>
  <c r="V570" i="78"/>
  <c r="Q570" i="78"/>
  <c r="S570" i="78"/>
  <c r="N570" i="78"/>
  <c r="P570" i="78"/>
  <c r="K570" i="78"/>
  <c r="M570" i="78"/>
  <c r="H570" i="78"/>
  <c r="J570" i="78"/>
  <c r="T568" i="78"/>
  <c r="V568" i="78"/>
  <c r="Q568" i="78"/>
  <c r="S568" i="78"/>
  <c r="N568" i="78"/>
  <c r="P568" i="78"/>
  <c r="K568" i="78"/>
  <c r="M568" i="78"/>
  <c r="H568" i="78"/>
  <c r="J568" i="78"/>
  <c r="T567" i="78"/>
  <c r="V567" i="78"/>
  <c r="Q567" i="78"/>
  <c r="S567" i="78"/>
  <c r="N567" i="78"/>
  <c r="P567" i="78"/>
  <c r="K567" i="78"/>
  <c r="M567" i="78"/>
  <c r="H567" i="78"/>
  <c r="J567" i="78"/>
  <c r="T566" i="78"/>
  <c r="V566" i="78"/>
  <c r="Q566" i="78"/>
  <c r="S566" i="78"/>
  <c r="N566" i="78"/>
  <c r="P566" i="78"/>
  <c r="K566" i="78"/>
  <c r="M566" i="78"/>
  <c r="H566" i="78"/>
  <c r="J566" i="78"/>
  <c r="T565" i="78"/>
  <c r="V565" i="78"/>
  <c r="Q565" i="78"/>
  <c r="S565" i="78"/>
  <c r="N565" i="78"/>
  <c r="P565" i="78"/>
  <c r="K565" i="78"/>
  <c r="M565" i="78"/>
  <c r="H565" i="78"/>
  <c r="J565" i="78"/>
  <c r="T564" i="78"/>
  <c r="V564" i="78"/>
  <c r="Q564" i="78"/>
  <c r="S564" i="78"/>
  <c r="N564" i="78"/>
  <c r="P564" i="78"/>
  <c r="K564" i="78"/>
  <c r="M564" i="78"/>
  <c r="H564" i="78"/>
  <c r="J564" i="78"/>
  <c r="T563" i="78"/>
  <c r="V563" i="78"/>
  <c r="Q563" i="78"/>
  <c r="S563" i="78"/>
  <c r="N563" i="78"/>
  <c r="P563" i="78"/>
  <c r="K563" i="78"/>
  <c r="M563" i="78"/>
  <c r="H563" i="78"/>
  <c r="J563" i="78"/>
  <c r="T562" i="78"/>
  <c r="V562" i="78"/>
  <c r="Q562" i="78"/>
  <c r="S562" i="78"/>
  <c r="N562" i="78"/>
  <c r="P562" i="78"/>
  <c r="K562" i="78"/>
  <c r="M562" i="78"/>
  <c r="H562" i="78"/>
  <c r="J562" i="78"/>
  <c r="T561" i="78"/>
  <c r="V561" i="78"/>
  <c r="Q561" i="78"/>
  <c r="S561" i="78"/>
  <c r="N561" i="78"/>
  <c r="P561" i="78"/>
  <c r="K561" i="78"/>
  <c r="M561" i="78"/>
  <c r="H561" i="78"/>
  <c r="J561" i="78"/>
  <c r="T560" i="78"/>
  <c r="V560" i="78"/>
  <c r="Q560" i="78"/>
  <c r="S560" i="78"/>
  <c r="N560" i="78"/>
  <c r="P560" i="78"/>
  <c r="K560" i="78"/>
  <c r="M560" i="78"/>
  <c r="H560" i="78"/>
  <c r="J560" i="78"/>
  <c r="T559" i="78"/>
  <c r="V559" i="78"/>
  <c r="Q559" i="78"/>
  <c r="S559" i="78"/>
  <c r="N559" i="78"/>
  <c r="P559" i="78"/>
  <c r="K559" i="78"/>
  <c r="M559" i="78"/>
  <c r="H559" i="78"/>
  <c r="J559" i="78"/>
  <c r="T558" i="78"/>
  <c r="V558" i="78"/>
  <c r="Q558" i="78"/>
  <c r="S558" i="78"/>
  <c r="N558" i="78"/>
  <c r="P558" i="78"/>
  <c r="K558" i="78"/>
  <c r="M558" i="78"/>
  <c r="H558" i="78"/>
  <c r="J558" i="78"/>
  <c r="T557" i="78"/>
  <c r="V557" i="78"/>
  <c r="Q557" i="78"/>
  <c r="S557" i="78"/>
  <c r="N557" i="78"/>
  <c r="P557" i="78"/>
  <c r="K557" i="78"/>
  <c r="M557" i="78"/>
  <c r="H557" i="78"/>
  <c r="J557" i="78"/>
  <c r="T556" i="78"/>
  <c r="V556" i="78"/>
  <c r="Q556" i="78"/>
  <c r="S556" i="78"/>
  <c r="N556" i="78"/>
  <c r="P556" i="78"/>
  <c r="K556" i="78"/>
  <c r="M556" i="78"/>
  <c r="H556" i="78"/>
  <c r="J556" i="78"/>
  <c r="T555" i="78"/>
  <c r="V555" i="78"/>
  <c r="Q555" i="78"/>
  <c r="S555" i="78"/>
  <c r="N555" i="78"/>
  <c r="P555" i="78"/>
  <c r="K555" i="78"/>
  <c r="M555" i="78"/>
  <c r="H555" i="78"/>
  <c r="J555" i="78"/>
  <c r="T554" i="78"/>
  <c r="V554" i="78"/>
  <c r="Q554" i="78"/>
  <c r="S554" i="78"/>
  <c r="N554" i="78"/>
  <c r="P554" i="78"/>
  <c r="K554" i="78"/>
  <c r="M554" i="78"/>
  <c r="H554" i="78"/>
  <c r="J554" i="78"/>
  <c r="T553" i="78"/>
  <c r="V553" i="78"/>
  <c r="Q553" i="78"/>
  <c r="S553" i="78"/>
  <c r="N553" i="78"/>
  <c r="P553" i="78"/>
  <c r="K553" i="78"/>
  <c r="M553" i="78"/>
  <c r="H553" i="78"/>
  <c r="J553" i="78"/>
  <c r="T552" i="78"/>
  <c r="V552" i="78"/>
  <c r="Q552" i="78"/>
  <c r="S552" i="78"/>
  <c r="N552" i="78"/>
  <c r="P552" i="78"/>
  <c r="K552" i="78"/>
  <c r="M552" i="78"/>
  <c r="H552" i="78"/>
  <c r="J552" i="78"/>
  <c r="T551" i="78"/>
  <c r="V551" i="78"/>
  <c r="Q551" i="78"/>
  <c r="S551" i="78"/>
  <c r="N551" i="78"/>
  <c r="P551" i="78"/>
  <c r="K551" i="78"/>
  <c r="M551" i="78"/>
  <c r="H551" i="78"/>
  <c r="J551" i="78"/>
  <c r="T550" i="78"/>
  <c r="V550" i="78"/>
  <c r="Q550" i="78"/>
  <c r="S550" i="78"/>
  <c r="N550" i="78"/>
  <c r="P550" i="78"/>
  <c r="K550" i="78"/>
  <c r="M550" i="78"/>
  <c r="H550" i="78"/>
  <c r="J550" i="78"/>
  <c r="T549" i="78"/>
  <c r="V549" i="78"/>
  <c r="Q549" i="78"/>
  <c r="S549" i="78"/>
  <c r="N549" i="78"/>
  <c r="P549" i="78"/>
  <c r="K549" i="78"/>
  <c r="M549" i="78"/>
  <c r="H549" i="78"/>
  <c r="J549" i="78"/>
  <c r="T548" i="78"/>
  <c r="V548" i="78"/>
  <c r="Q548" i="78"/>
  <c r="S548" i="78"/>
  <c r="N548" i="78"/>
  <c r="P548" i="78"/>
  <c r="K548" i="78"/>
  <c r="M548" i="78"/>
  <c r="H548" i="78"/>
  <c r="J548" i="78"/>
  <c r="T547" i="78"/>
  <c r="V547" i="78"/>
  <c r="Q547" i="78"/>
  <c r="S547" i="78"/>
  <c r="N547" i="78"/>
  <c r="P547" i="78"/>
  <c r="K547" i="78"/>
  <c r="M547" i="78"/>
  <c r="H547" i="78"/>
  <c r="J547" i="78"/>
  <c r="T546" i="78"/>
  <c r="V546" i="78"/>
  <c r="Q546" i="78"/>
  <c r="S546" i="78"/>
  <c r="N546" i="78"/>
  <c r="P546" i="78"/>
  <c r="K546" i="78"/>
  <c r="M546" i="78"/>
  <c r="H546" i="78"/>
  <c r="J546" i="78"/>
  <c r="T545" i="78"/>
  <c r="V545" i="78"/>
  <c r="Q545" i="78"/>
  <c r="S545" i="78"/>
  <c r="N545" i="78"/>
  <c r="P545" i="78"/>
  <c r="K545" i="78"/>
  <c r="M545" i="78"/>
  <c r="H545" i="78"/>
  <c r="J545" i="78"/>
  <c r="T544" i="78"/>
  <c r="V544" i="78"/>
  <c r="Q544" i="78"/>
  <c r="S544" i="78"/>
  <c r="N544" i="78"/>
  <c r="P544" i="78"/>
  <c r="K544" i="78"/>
  <c r="M544" i="78"/>
  <c r="H544" i="78"/>
  <c r="J544" i="78"/>
  <c r="T543" i="78"/>
  <c r="V543" i="78"/>
  <c r="Q543" i="78"/>
  <c r="S543" i="78"/>
  <c r="N543" i="78"/>
  <c r="P543" i="78"/>
  <c r="K543" i="78"/>
  <c r="M543" i="78"/>
  <c r="H543" i="78"/>
  <c r="J543" i="78"/>
  <c r="T542" i="78"/>
  <c r="V542" i="78"/>
  <c r="Q542" i="78"/>
  <c r="S542" i="78"/>
  <c r="N542" i="78"/>
  <c r="P542" i="78"/>
  <c r="K542" i="78"/>
  <c r="M542" i="78"/>
  <c r="H542" i="78"/>
  <c r="J542" i="78"/>
  <c r="T541" i="78"/>
  <c r="V541" i="78"/>
  <c r="Q541" i="78"/>
  <c r="S541" i="78"/>
  <c r="N541" i="78"/>
  <c r="P541" i="78"/>
  <c r="K541" i="78"/>
  <c r="M541" i="78"/>
  <c r="H541" i="78"/>
  <c r="J541" i="78"/>
  <c r="T540" i="78"/>
  <c r="V540" i="78"/>
  <c r="Q540" i="78"/>
  <c r="S540" i="78"/>
  <c r="N540" i="78"/>
  <c r="P540" i="78"/>
  <c r="K540" i="78"/>
  <c r="M540" i="78"/>
  <c r="H540" i="78"/>
  <c r="J540" i="78"/>
  <c r="T539" i="78"/>
  <c r="V539" i="78"/>
  <c r="Q539" i="78"/>
  <c r="S539" i="78"/>
  <c r="N539" i="78"/>
  <c r="P539" i="78"/>
  <c r="K539" i="78"/>
  <c r="M539" i="78"/>
  <c r="H539" i="78"/>
  <c r="J539" i="78"/>
  <c r="T538" i="78"/>
  <c r="V538" i="78"/>
  <c r="Q538" i="78"/>
  <c r="S538" i="78"/>
  <c r="N538" i="78"/>
  <c r="P538" i="78"/>
  <c r="K538" i="78"/>
  <c r="M538" i="78"/>
  <c r="H538" i="78"/>
  <c r="J538" i="78"/>
  <c r="T537" i="78"/>
  <c r="V537" i="78"/>
  <c r="Q537" i="78"/>
  <c r="S537" i="78"/>
  <c r="N537" i="78"/>
  <c r="P537" i="78"/>
  <c r="K537" i="78"/>
  <c r="M537" i="78"/>
  <c r="H537" i="78"/>
  <c r="J537" i="78"/>
  <c r="T536" i="78"/>
  <c r="V536" i="78"/>
  <c r="Q536" i="78"/>
  <c r="S536" i="78"/>
  <c r="N536" i="78"/>
  <c r="P536" i="78"/>
  <c r="K536" i="78"/>
  <c r="M536" i="78"/>
  <c r="H536" i="78"/>
  <c r="J536" i="78"/>
  <c r="T535" i="78"/>
  <c r="V535" i="78"/>
  <c r="Q535" i="78"/>
  <c r="S535" i="78"/>
  <c r="N535" i="78"/>
  <c r="P535" i="78"/>
  <c r="K535" i="78"/>
  <c r="M535" i="78"/>
  <c r="H535" i="78"/>
  <c r="J535" i="78"/>
  <c r="T534" i="78"/>
  <c r="V534" i="78"/>
  <c r="Q534" i="78"/>
  <c r="S534" i="78"/>
  <c r="N534" i="78"/>
  <c r="P534" i="78"/>
  <c r="K534" i="78"/>
  <c r="M534" i="78"/>
  <c r="H534" i="78"/>
  <c r="J534" i="78"/>
  <c r="T533" i="78"/>
  <c r="V533" i="78"/>
  <c r="Q533" i="78"/>
  <c r="S533" i="78"/>
  <c r="N533" i="78"/>
  <c r="P533" i="78"/>
  <c r="K533" i="78"/>
  <c r="M533" i="78"/>
  <c r="H533" i="78"/>
  <c r="J533" i="78"/>
  <c r="T532" i="78"/>
  <c r="V532" i="78"/>
  <c r="Q532" i="78"/>
  <c r="S532" i="78"/>
  <c r="N532" i="78"/>
  <c r="P532" i="78"/>
  <c r="K532" i="78"/>
  <c r="M532" i="78"/>
  <c r="H532" i="78"/>
  <c r="J532" i="78"/>
  <c r="T531" i="78"/>
  <c r="V531" i="78"/>
  <c r="Q531" i="78"/>
  <c r="S531" i="78"/>
  <c r="N531" i="78"/>
  <c r="P531" i="78"/>
  <c r="K531" i="78"/>
  <c r="M531" i="78"/>
  <c r="H531" i="78"/>
  <c r="J531" i="78"/>
  <c r="T530" i="78"/>
  <c r="V530" i="78"/>
  <c r="Q530" i="78"/>
  <c r="S530" i="78"/>
  <c r="N530" i="78"/>
  <c r="P530" i="78"/>
  <c r="K530" i="78"/>
  <c r="M530" i="78"/>
  <c r="H530" i="78"/>
  <c r="J530" i="78"/>
  <c r="T529" i="78"/>
  <c r="V529" i="78"/>
  <c r="Q529" i="78"/>
  <c r="S529" i="78"/>
  <c r="N529" i="78"/>
  <c r="P529" i="78"/>
  <c r="K529" i="78"/>
  <c r="M529" i="78"/>
  <c r="H529" i="78"/>
  <c r="J529" i="78"/>
  <c r="T528" i="78"/>
  <c r="V528" i="78"/>
  <c r="Q528" i="78"/>
  <c r="S528" i="78"/>
  <c r="N528" i="78"/>
  <c r="P528" i="78"/>
  <c r="K528" i="78"/>
  <c r="M528" i="78"/>
  <c r="H528" i="78"/>
  <c r="J528" i="78"/>
  <c r="T527" i="78"/>
  <c r="V527" i="78"/>
  <c r="Q527" i="78"/>
  <c r="S527" i="78"/>
  <c r="N527" i="78"/>
  <c r="P527" i="78"/>
  <c r="K527" i="78"/>
  <c r="M527" i="78"/>
  <c r="H527" i="78"/>
  <c r="J527" i="78"/>
  <c r="T526" i="78"/>
  <c r="V526" i="78"/>
  <c r="Q526" i="78"/>
  <c r="S526" i="78"/>
  <c r="N526" i="78"/>
  <c r="P526" i="78"/>
  <c r="K526" i="78"/>
  <c r="M526" i="78"/>
  <c r="H526" i="78"/>
  <c r="J526" i="78"/>
  <c r="T525" i="78"/>
  <c r="V525" i="78"/>
  <c r="Q525" i="78"/>
  <c r="S525" i="78"/>
  <c r="N525" i="78"/>
  <c r="P525" i="78"/>
  <c r="K525" i="78"/>
  <c r="M525" i="78"/>
  <c r="H525" i="78"/>
  <c r="J525" i="78"/>
  <c r="T524" i="78"/>
  <c r="V524" i="78"/>
  <c r="Q524" i="78"/>
  <c r="S524" i="78"/>
  <c r="N524" i="78"/>
  <c r="P524" i="78"/>
  <c r="K524" i="78"/>
  <c r="M524" i="78"/>
  <c r="H524" i="78"/>
  <c r="J524" i="78"/>
  <c r="T523" i="78"/>
  <c r="V523" i="78"/>
  <c r="Q523" i="78"/>
  <c r="S523" i="78"/>
  <c r="N523" i="78"/>
  <c r="P523" i="78"/>
  <c r="K523" i="78"/>
  <c r="M523" i="78"/>
  <c r="H523" i="78"/>
  <c r="J523" i="78"/>
  <c r="T522" i="78"/>
  <c r="V522" i="78"/>
  <c r="Q522" i="78"/>
  <c r="S522" i="78"/>
  <c r="N522" i="78"/>
  <c r="P522" i="78"/>
  <c r="K522" i="78"/>
  <c r="M522" i="78"/>
  <c r="H522" i="78"/>
  <c r="J522" i="78"/>
  <c r="T521" i="78"/>
  <c r="V521" i="78"/>
  <c r="Q521" i="78"/>
  <c r="S521" i="78"/>
  <c r="N521" i="78"/>
  <c r="P521" i="78"/>
  <c r="K521" i="78"/>
  <c r="M521" i="78"/>
  <c r="H521" i="78"/>
  <c r="J521" i="78"/>
  <c r="T520" i="78"/>
  <c r="V520" i="78"/>
  <c r="Q520" i="78"/>
  <c r="S520" i="78"/>
  <c r="N520" i="78"/>
  <c r="P520" i="78"/>
  <c r="K520" i="78"/>
  <c r="M520" i="78"/>
  <c r="H520" i="78"/>
  <c r="J520" i="78"/>
  <c r="T519" i="78"/>
  <c r="V519" i="78"/>
  <c r="Q519" i="78"/>
  <c r="S519" i="78"/>
  <c r="N519" i="78"/>
  <c r="P519" i="78"/>
  <c r="K519" i="78"/>
  <c r="M519" i="78"/>
  <c r="H519" i="78"/>
  <c r="J519" i="78"/>
  <c r="T518" i="78"/>
  <c r="V518" i="78"/>
  <c r="Q518" i="78"/>
  <c r="S518" i="78"/>
  <c r="N518" i="78"/>
  <c r="P518" i="78"/>
  <c r="K518" i="78"/>
  <c r="M518" i="78"/>
  <c r="H518" i="78"/>
  <c r="J518" i="78"/>
  <c r="T517" i="78"/>
  <c r="V517" i="78"/>
  <c r="Q517" i="78"/>
  <c r="S517" i="78"/>
  <c r="N517" i="78"/>
  <c r="P517" i="78"/>
  <c r="K517" i="78"/>
  <c r="M517" i="78"/>
  <c r="H517" i="78"/>
  <c r="J517" i="78"/>
  <c r="T516" i="78"/>
  <c r="V516" i="78"/>
  <c r="Q516" i="78"/>
  <c r="S516" i="78"/>
  <c r="N516" i="78"/>
  <c r="P516" i="78"/>
  <c r="K516" i="78"/>
  <c r="M516" i="78"/>
  <c r="H516" i="78"/>
  <c r="J516" i="78"/>
  <c r="T515" i="78"/>
  <c r="V515" i="78"/>
  <c r="Q515" i="78"/>
  <c r="S515" i="78"/>
  <c r="N515" i="78"/>
  <c r="P515" i="78"/>
  <c r="K515" i="78"/>
  <c r="M515" i="78"/>
  <c r="H515" i="78"/>
  <c r="J515" i="78"/>
  <c r="T514" i="78"/>
  <c r="V514" i="78"/>
  <c r="Q514" i="78"/>
  <c r="S514" i="78"/>
  <c r="N514" i="78"/>
  <c r="P514" i="78"/>
  <c r="K514" i="78"/>
  <c r="M514" i="78"/>
  <c r="H514" i="78"/>
  <c r="J514" i="78"/>
  <c r="T513" i="78"/>
  <c r="V513" i="78"/>
  <c r="Q513" i="78"/>
  <c r="S513" i="78"/>
  <c r="N513" i="78"/>
  <c r="P513" i="78"/>
  <c r="K513" i="78"/>
  <c r="M513" i="78"/>
  <c r="H513" i="78"/>
  <c r="J513" i="78"/>
  <c r="T512" i="78"/>
  <c r="V512" i="78"/>
  <c r="Q512" i="78"/>
  <c r="S512" i="78"/>
  <c r="N512" i="78"/>
  <c r="P512" i="78"/>
  <c r="K512" i="78"/>
  <c r="M512" i="78"/>
  <c r="H512" i="78"/>
  <c r="J512" i="78"/>
  <c r="T511" i="78"/>
  <c r="V511" i="78"/>
  <c r="Q511" i="78"/>
  <c r="S511" i="78"/>
  <c r="N511" i="78"/>
  <c r="P511" i="78"/>
  <c r="K511" i="78"/>
  <c r="M511" i="78"/>
  <c r="H511" i="78"/>
  <c r="J511" i="78"/>
  <c r="T510" i="78"/>
  <c r="V510" i="78"/>
  <c r="Q510" i="78"/>
  <c r="S510" i="78"/>
  <c r="N510" i="78"/>
  <c r="P510" i="78"/>
  <c r="K510" i="78"/>
  <c r="M510" i="78"/>
  <c r="H510" i="78"/>
  <c r="J510" i="78"/>
  <c r="T509" i="78"/>
  <c r="V509" i="78"/>
  <c r="Q509" i="78"/>
  <c r="S509" i="78"/>
  <c r="N509" i="78"/>
  <c r="P509" i="78"/>
  <c r="K509" i="78"/>
  <c r="M509" i="78"/>
  <c r="H509" i="78"/>
  <c r="J509" i="78"/>
  <c r="T508" i="78"/>
  <c r="V508" i="78"/>
  <c r="Q508" i="78"/>
  <c r="S508" i="78"/>
  <c r="N508" i="78"/>
  <c r="P508" i="78"/>
  <c r="K508" i="78"/>
  <c r="M508" i="78"/>
  <c r="H508" i="78"/>
  <c r="J508" i="78"/>
  <c r="T507" i="78"/>
  <c r="V507" i="78"/>
  <c r="Q507" i="78"/>
  <c r="S507" i="78"/>
  <c r="N507" i="78"/>
  <c r="P507" i="78"/>
  <c r="K507" i="78"/>
  <c r="M507" i="78"/>
  <c r="H507" i="78"/>
  <c r="J507" i="78"/>
  <c r="T506" i="78"/>
  <c r="V506" i="78"/>
  <c r="Q506" i="78"/>
  <c r="S506" i="78"/>
  <c r="N506" i="78"/>
  <c r="P506" i="78"/>
  <c r="K506" i="78"/>
  <c r="M506" i="78"/>
  <c r="H506" i="78"/>
  <c r="J506" i="78"/>
  <c r="T505" i="78"/>
  <c r="V505" i="78"/>
  <c r="Q505" i="78"/>
  <c r="S505" i="78"/>
  <c r="N505" i="78"/>
  <c r="P505" i="78"/>
  <c r="K505" i="78"/>
  <c r="M505" i="78"/>
  <c r="H505" i="78"/>
  <c r="J505" i="78"/>
  <c r="T504" i="78"/>
  <c r="V504" i="78"/>
  <c r="Q504" i="78"/>
  <c r="S504" i="78"/>
  <c r="N504" i="78"/>
  <c r="P504" i="78"/>
  <c r="K504" i="78"/>
  <c r="M504" i="78"/>
  <c r="H504" i="78"/>
  <c r="J504" i="78"/>
  <c r="T503" i="78"/>
  <c r="V503" i="78"/>
  <c r="Q503" i="78"/>
  <c r="S503" i="78"/>
  <c r="N503" i="78"/>
  <c r="P503" i="78"/>
  <c r="K503" i="78"/>
  <c r="M503" i="78"/>
  <c r="H503" i="78"/>
  <c r="J503" i="78"/>
  <c r="T502" i="78"/>
  <c r="V502" i="78"/>
  <c r="Q502" i="78"/>
  <c r="S502" i="78"/>
  <c r="N502" i="78"/>
  <c r="P502" i="78"/>
  <c r="K502" i="78"/>
  <c r="M502" i="78"/>
  <c r="H502" i="78"/>
  <c r="J502" i="78"/>
  <c r="T501" i="78"/>
  <c r="V501" i="78"/>
  <c r="Q501" i="78"/>
  <c r="S501" i="78"/>
  <c r="N501" i="78"/>
  <c r="P501" i="78"/>
  <c r="K501" i="78"/>
  <c r="M501" i="78"/>
  <c r="H501" i="78"/>
  <c r="J501" i="78"/>
  <c r="T500" i="78"/>
  <c r="V500" i="78"/>
  <c r="Q500" i="78"/>
  <c r="S500" i="78"/>
  <c r="N500" i="78"/>
  <c r="P500" i="78"/>
  <c r="K500" i="78"/>
  <c r="M500" i="78"/>
  <c r="H500" i="78"/>
  <c r="J500" i="78"/>
  <c r="T499" i="78"/>
  <c r="V499" i="78"/>
  <c r="Q499" i="78"/>
  <c r="S499" i="78"/>
  <c r="N499" i="78"/>
  <c r="P499" i="78"/>
  <c r="K499" i="78"/>
  <c r="M499" i="78"/>
  <c r="H499" i="78"/>
  <c r="J499" i="78"/>
  <c r="T498" i="78"/>
  <c r="V498" i="78"/>
  <c r="Q498" i="78"/>
  <c r="S498" i="78"/>
  <c r="N498" i="78"/>
  <c r="P498" i="78"/>
  <c r="K498" i="78"/>
  <c r="M498" i="78"/>
  <c r="H498" i="78"/>
  <c r="J498" i="78"/>
  <c r="T497" i="78"/>
  <c r="V497" i="78"/>
  <c r="Q497" i="78"/>
  <c r="S497" i="78"/>
  <c r="N497" i="78"/>
  <c r="P497" i="78"/>
  <c r="K497" i="78"/>
  <c r="M497" i="78"/>
  <c r="H497" i="78"/>
  <c r="J497" i="78"/>
  <c r="T496" i="78"/>
  <c r="V496" i="78"/>
  <c r="Q496" i="78"/>
  <c r="S496" i="78"/>
  <c r="N496" i="78"/>
  <c r="P496" i="78"/>
  <c r="K496" i="78"/>
  <c r="M496" i="78"/>
  <c r="H496" i="78"/>
  <c r="J496" i="78"/>
  <c r="T495" i="78"/>
  <c r="V495" i="78"/>
  <c r="Q495" i="78"/>
  <c r="S495" i="78"/>
  <c r="N495" i="78"/>
  <c r="P495" i="78"/>
  <c r="K495" i="78"/>
  <c r="M495" i="78"/>
  <c r="H495" i="78"/>
  <c r="J495" i="78"/>
  <c r="T494" i="78"/>
  <c r="V494" i="78"/>
  <c r="Q494" i="78"/>
  <c r="S494" i="78"/>
  <c r="N494" i="78"/>
  <c r="P494" i="78"/>
  <c r="K494" i="78"/>
  <c r="M494" i="78"/>
  <c r="H494" i="78"/>
  <c r="J494" i="78"/>
  <c r="T493" i="78"/>
  <c r="V493" i="78"/>
  <c r="Q493" i="78"/>
  <c r="S493" i="78"/>
  <c r="N493" i="78"/>
  <c r="P493" i="78"/>
  <c r="K493" i="78"/>
  <c r="M493" i="78"/>
  <c r="H493" i="78"/>
  <c r="J493" i="78"/>
  <c r="T492" i="78"/>
  <c r="V492" i="78"/>
  <c r="Q492" i="78"/>
  <c r="S492" i="78"/>
  <c r="N492" i="78"/>
  <c r="P492" i="78"/>
  <c r="K492" i="78"/>
  <c r="M492" i="78"/>
  <c r="H492" i="78"/>
  <c r="J492" i="78"/>
  <c r="T491" i="78"/>
  <c r="V491" i="78"/>
  <c r="Q491" i="78"/>
  <c r="S491" i="78"/>
  <c r="N491" i="78"/>
  <c r="P491" i="78"/>
  <c r="K491" i="78"/>
  <c r="M491" i="78"/>
  <c r="H491" i="78"/>
  <c r="J491" i="78"/>
  <c r="T490" i="78"/>
  <c r="V490" i="78"/>
  <c r="Q490" i="78"/>
  <c r="S490" i="78"/>
  <c r="N490" i="78"/>
  <c r="P490" i="78"/>
  <c r="K490" i="78"/>
  <c r="M490" i="78"/>
  <c r="H490" i="78"/>
  <c r="J490" i="78"/>
  <c r="T489" i="78"/>
  <c r="V489" i="78"/>
  <c r="Q489" i="78"/>
  <c r="S489" i="78"/>
  <c r="N489" i="78"/>
  <c r="P489" i="78"/>
  <c r="K489" i="78"/>
  <c r="M489" i="78"/>
  <c r="H489" i="78"/>
  <c r="J489" i="78"/>
  <c r="T488" i="78"/>
  <c r="V488" i="78"/>
  <c r="Q488" i="78"/>
  <c r="S488" i="78"/>
  <c r="N488" i="78"/>
  <c r="P488" i="78"/>
  <c r="K488" i="78"/>
  <c r="M488" i="78"/>
  <c r="H488" i="78"/>
  <c r="J488" i="78"/>
  <c r="T487" i="78"/>
  <c r="V487" i="78"/>
  <c r="Q487" i="78"/>
  <c r="S487" i="78"/>
  <c r="N487" i="78"/>
  <c r="P487" i="78"/>
  <c r="K487" i="78"/>
  <c r="M487" i="78"/>
  <c r="H487" i="78"/>
  <c r="J487" i="78"/>
  <c r="T486" i="78"/>
  <c r="V486" i="78"/>
  <c r="Q486" i="78"/>
  <c r="S486" i="78"/>
  <c r="N486" i="78"/>
  <c r="P486" i="78"/>
  <c r="K486" i="78"/>
  <c r="M486" i="78"/>
  <c r="H486" i="78"/>
  <c r="J486" i="78"/>
  <c r="T485" i="78"/>
  <c r="V485" i="78"/>
  <c r="Q485" i="78"/>
  <c r="S485" i="78"/>
  <c r="N485" i="78"/>
  <c r="P485" i="78"/>
  <c r="K485" i="78"/>
  <c r="M485" i="78"/>
  <c r="H485" i="78"/>
  <c r="J485" i="78"/>
  <c r="T484" i="78"/>
  <c r="V484" i="78"/>
  <c r="Q484" i="78"/>
  <c r="S484" i="78"/>
  <c r="N484" i="78"/>
  <c r="P484" i="78"/>
  <c r="K484" i="78"/>
  <c r="M484" i="78"/>
  <c r="H484" i="78"/>
  <c r="J484" i="78"/>
  <c r="T483" i="78"/>
  <c r="V483" i="78"/>
  <c r="Q483" i="78"/>
  <c r="S483" i="78"/>
  <c r="N483" i="78"/>
  <c r="P483" i="78"/>
  <c r="K483" i="78"/>
  <c r="M483" i="78"/>
  <c r="H483" i="78"/>
  <c r="J483" i="78"/>
  <c r="T482" i="78"/>
  <c r="V482" i="78"/>
  <c r="Q482" i="78"/>
  <c r="S482" i="78"/>
  <c r="N482" i="78"/>
  <c r="P482" i="78"/>
  <c r="K482" i="78"/>
  <c r="M482" i="78"/>
  <c r="H482" i="78"/>
  <c r="J482" i="78"/>
  <c r="T481" i="78"/>
  <c r="V481" i="78"/>
  <c r="Q481" i="78"/>
  <c r="S481" i="78"/>
  <c r="N481" i="78"/>
  <c r="P481" i="78"/>
  <c r="K481" i="78"/>
  <c r="M481" i="78"/>
  <c r="H481" i="78"/>
  <c r="J481" i="78"/>
  <c r="T479" i="78"/>
  <c r="V479" i="78"/>
  <c r="Q479" i="78"/>
  <c r="S479" i="78"/>
  <c r="N479" i="78"/>
  <c r="P479" i="78"/>
  <c r="K479" i="78"/>
  <c r="M479" i="78"/>
  <c r="H479" i="78"/>
  <c r="J479" i="78"/>
  <c r="T478" i="78"/>
  <c r="V478" i="78"/>
  <c r="Q478" i="78"/>
  <c r="S478" i="78"/>
  <c r="N478" i="78"/>
  <c r="P478" i="78"/>
  <c r="K478" i="78"/>
  <c r="M478" i="78"/>
  <c r="H478" i="78"/>
  <c r="J478" i="78"/>
  <c r="T477" i="78"/>
  <c r="V477" i="78"/>
  <c r="Q477" i="78"/>
  <c r="S477" i="78"/>
  <c r="N477" i="78"/>
  <c r="P477" i="78"/>
  <c r="K477" i="78"/>
  <c r="M477" i="78"/>
  <c r="H477" i="78"/>
  <c r="J477" i="78"/>
  <c r="T476" i="78"/>
  <c r="V476" i="78"/>
  <c r="Q476" i="78"/>
  <c r="S476" i="78"/>
  <c r="N476" i="78"/>
  <c r="P476" i="78"/>
  <c r="K476" i="78"/>
  <c r="M476" i="78"/>
  <c r="H476" i="78"/>
  <c r="J476" i="78"/>
  <c r="T475" i="78"/>
  <c r="V475" i="78"/>
  <c r="Q475" i="78"/>
  <c r="S475" i="78"/>
  <c r="N475" i="78"/>
  <c r="P475" i="78"/>
  <c r="K475" i="78"/>
  <c r="M475" i="78"/>
  <c r="H475" i="78"/>
  <c r="J475" i="78"/>
  <c r="T474" i="78"/>
  <c r="V474" i="78"/>
  <c r="Q474" i="78"/>
  <c r="S474" i="78"/>
  <c r="N474" i="78"/>
  <c r="P474" i="78"/>
  <c r="K474" i="78"/>
  <c r="M474" i="78"/>
  <c r="H474" i="78"/>
  <c r="J474" i="78"/>
  <c r="T473" i="78"/>
  <c r="V473" i="78"/>
  <c r="Q473" i="78"/>
  <c r="S473" i="78"/>
  <c r="N473" i="78"/>
  <c r="P473" i="78"/>
  <c r="K473" i="78"/>
  <c r="M473" i="78"/>
  <c r="H473" i="78"/>
  <c r="J473" i="78"/>
  <c r="T471" i="78"/>
  <c r="V471" i="78"/>
  <c r="Q471" i="78"/>
  <c r="S471" i="78"/>
  <c r="N471" i="78"/>
  <c r="P471" i="78"/>
  <c r="K471" i="78"/>
  <c r="M471" i="78"/>
  <c r="H471" i="78"/>
  <c r="J471" i="78"/>
  <c r="T470" i="78"/>
  <c r="V470" i="78"/>
  <c r="Q470" i="78"/>
  <c r="S470" i="78"/>
  <c r="N470" i="78"/>
  <c r="P470" i="78"/>
  <c r="K470" i="78"/>
  <c r="M470" i="78"/>
  <c r="H470" i="78"/>
  <c r="J470" i="78"/>
  <c r="T469" i="78"/>
  <c r="V469" i="78"/>
  <c r="Q469" i="78"/>
  <c r="S469" i="78"/>
  <c r="N469" i="78"/>
  <c r="P469" i="78"/>
  <c r="K469" i="78"/>
  <c r="M469" i="78"/>
  <c r="H469" i="78"/>
  <c r="J469" i="78"/>
  <c r="T468" i="78"/>
  <c r="V468" i="78"/>
  <c r="Q468" i="78"/>
  <c r="S468" i="78"/>
  <c r="N468" i="78"/>
  <c r="P468" i="78"/>
  <c r="K468" i="78"/>
  <c r="M468" i="78"/>
  <c r="H468" i="78"/>
  <c r="J468" i="78"/>
  <c r="T467" i="78"/>
  <c r="V467" i="78"/>
  <c r="Q467" i="78"/>
  <c r="S467" i="78"/>
  <c r="N467" i="78"/>
  <c r="P467" i="78"/>
  <c r="K467" i="78"/>
  <c r="M467" i="78"/>
  <c r="H467" i="78"/>
  <c r="J467" i="78"/>
  <c r="T466" i="78"/>
  <c r="V466" i="78"/>
  <c r="Q466" i="78"/>
  <c r="S466" i="78"/>
  <c r="N466" i="78"/>
  <c r="P466" i="78"/>
  <c r="K466" i="78"/>
  <c r="M466" i="78"/>
  <c r="H466" i="78"/>
  <c r="J466" i="78"/>
  <c r="T465" i="78"/>
  <c r="V465" i="78"/>
  <c r="Q465" i="78"/>
  <c r="S465" i="78"/>
  <c r="N465" i="78"/>
  <c r="P465" i="78"/>
  <c r="K465" i="78"/>
  <c r="M465" i="78"/>
  <c r="H465" i="78"/>
  <c r="J465" i="78"/>
  <c r="T464" i="78"/>
  <c r="V464" i="78"/>
  <c r="Q464" i="78"/>
  <c r="S464" i="78"/>
  <c r="N464" i="78"/>
  <c r="P464" i="78"/>
  <c r="K464" i="78"/>
  <c r="M464" i="78"/>
  <c r="H464" i="78"/>
  <c r="J464" i="78"/>
  <c r="T463" i="78"/>
  <c r="V463" i="78"/>
  <c r="Q463" i="78"/>
  <c r="S463" i="78"/>
  <c r="N463" i="78"/>
  <c r="P463" i="78"/>
  <c r="K463" i="78"/>
  <c r="M463" i="78"/>
  <c r="H463" i="78"/>
  <c r="J463" i="78"/>
  <c r="T462" i="78"/>
  <c r="V462" i="78"/>
  <c r="Q462" i="78"/>
  <c r="S462" i="78"/>
  <c r="N462" i="78"/>
  <c r="P462" i="78"/>
  <c r="K462" i="78"/>
  <c r="M462" i="78"/>
  <c r="H462" i="78"/>
  <c r="J462" i="78"/>
  <c r="T460" i="78"/>
  <c r="V460" i="78"/>
  <c r="Q460" i="78"/>
  <c r="S460" i="78"/>
  <c r="N460" i="78"/>
  <c r="P460" i="78"/>
  <c r="K460" i="78"/>
  <c r="M460" i="78"/>
  <c r="H460" i="78"/>
  <c r="J460" i="78"/>
  <c r="T458" i="78"/>
  <c r="V458" i="78"/>
  <c r="Q458" i="78"/>
  <c r="S458" i="78"/>
  <c r="N458" i="78"/>
  <c r="P458" i="78"/>
  <c r="K458" i="78"/>
  <c r="M458" i="78"/>
  <c r="H458" i="78"/>
  <c r="J458" i="78"/>
  <c r="T457" i="78"/>
  <c r="V457" i="78"/>
  <c r="Q457" i="78"/>
  <c r="S457" i="78"/>
  <c r="N457" i="78"/>
  <c r="P457" i="78"/>
  <c r="K457" i="78"/>
  <c r="M457" i="78"/>
  <c r="H457" i="78"/>
  <c r="J457" i="78"/>
  <c r="T456" i="78"/>
  <c r="V456" i="78"/>
  <c r="Q456" i="78"/>
  <c r="S456" i="78"/>
  <c r="N456" i="78"/>
  <c r="P456" i="78"/>
  <c r="K456" i="78"/>
  <c r="M456" i="78"/>
  <c r="H456" i="78"/>
  <c r="J456" i="78"/>
  <c r="T455" i="78"/>
  <c r="V455" i="78"/>
  <c r="Q455" i="78"/>
  <c r="S455" i="78"/>
  <c r="N455" i="78"/>
  <c r="P455" i="78"/>
  <c r="K455" i="78"/>
  <c r="M455" i="78"/>
  <c r="H455" i="78"/>
  <c r="J455" i="78"/>
  <c r="T454" i="78"/>
  <c r="V454" i="78"/>
  <c r="Q454" i="78"/>
  <c r="S454" i="78"/>
  <c r="N454" i="78"/>
  <c r="P454" i="78"/>
  <c r="K454" i="78"/>
  <c r="M454" i="78"/>
  <c r="H454" i="78"/>
  <c r="J454" i="78"/>
  <c r="T453" i="78"/>
  <c r="V453" i="78"/>
  <c r="Q453" i="78"/>
  <c r="S453" i="78"/>
  <c r="N453" i="78"/>
  <c r="P453" i="78"/>
  <c r="K453" i="78"/>
  <c r="M453" i="78"/>
  <c r="H453" i="78"/>
  <c r="J453" i="78"/>
  <c r="T452" i="78"/>
  <c r="V452" i="78"/>
  <c r="Q452" i="78"/>
  <c r="S452" i="78"/>
  <c r="N452" i="78"/>
  <c r="P452" i="78"/>
  <c r="K452" i="78"/>
  <c r="M452" i="78"/>
  <c r="H452" i="78"/>
  <c r="J452" i="78"/>
  <c r="T451" i="78"/>
  <c r="V451" i="78"/>
  <c r="Q451" i="78"/>
  <c r="S451" i="78"/>
  <c r="N451" i="78"/>
  <c r="P451" i="78"/>
  <c r="K451" i="78"/>
  <c r="M451" i="78"/>
  <c r="H451" i="78"/>
  <c r="J451" i="78"/>
  <c r="T450" i="78"/>
  <c r="V450" i="78"/>
  <c r="Q450" i="78"/>
  <c r="S450" i="78"/>
  <c r="N450" i="78"/>
  <c r="P450" i="78"/>
  <c r="K450" i="78"/>
  <c r="M450" i="78"/>
  <c r="H450" i="78"/>
  <c r="J450" i="78"/>
  <c r="T449" i="78"/>
  <c r="V449" i="78"/>
  <c r="Q449" i="78"/>
  <c r="S449" i="78"/>
  <c r="N449" i="78"/>
  <c r="P449" i="78"/>
  <c r="K449" i="78"/>
  <c r="M449" i="78"/>
  <c r="H449" i="78"/>
  <c r="J449" i="78"/>
  <c r="T448" i="78"/>
  <c r="V448" i="78"/>
  <c r="Q448" i="78"/>
  <c r="S448" i="78"/>
  <c r="N448" i="78"/>
  <c r="P448" i="78"/>
  <c r="K448" i="78"/>
  <c r="M448" i="78"/>
  <c r="H448" i="78"/>
  <c r="J448" i="78"/>
  <c r="T447" i="78"/>
  <c r="V447" i="78"/>
  <c r="Q447" i="78"/>
  <c r="S447" i="78"/>
  <c r="N447" i="78"/>
  <c r="P447" i="78"/>
  <c r="K447" i="78"/>
  <c r="M447" i="78"/>
  <c r="H447" i="78"/>
  <c r="J447" i="78"/>
  <c r="T446" i="78"/>
  <c r="V446" i="78"/>
  <c r="Q446" i="78"/>
  <c r="S446" i="78"/>
  <c r="N446" i="78"/>
  <c r="P446" i="78"/>
  <c r="K446" i="78"/>
  <c r="M446" i="78"/>
  <c r="H446" i="78"/>
  <c r="J446" i="78"/>
  <c r="T445" i="78"/>
  <c r="V445" i="78"/>
  <c r="Q445" i="78"/>
  <c r="S445" i="78"/>
  <c r="N445" i="78"/>
  <c r="P445" i="78"/>
  <c r="K445" i="78"/>
  <c r="M445" i="78"/>
  <c r="H445" i="78"/>
  <c r="J445" i="78"/>
  <c r="T444" i="78"/>
  <c r="V444" i="78"/>
  <c r="Q444" i="78"/>
  <c r="S444" i="78"/>
  <c r="N444" i="78"/>
  <c r="P444" i="78"/>
  <c r="K444" i="78"/>
  <c r="M444" i="78"/>
  <c r="H444" i="78"/>
  <c r="J444" i="78"/>
  <c r="T443" i="78"/>
  <c r="V443" i="78"/>
  <c r="Q443" i="78"/>
  <c r="S443" i="78"/>
  <c r="N443" i="78"/>
  <c r="P443" i="78"/>
  <c r="K443" i="78"/>
  <c r="M443" i="78"/>
  <c r="H443" i="78"/>
  <c r="J443" i="78"/>
  <c r="T442" i="78"/>
  <c r="V442" i="78"/>
  <c r="Q442" i="78"/>
  <c r="S442" i="78"/>
  <c r="N442" i="78"/>
  <c r="P442" i="78"/>
  <c r="K442" i="78"/>
  <c r="M442" i="78"/>
  <c r="H442" i="78"/>
  <c r="J442" i="78"/>
  <c r="T441" i="78"/>
  <c r="V441" i="78"/>
  <c r="Q441" i="78"/>
  <c r="S441" i="78"/>
  <c r="N441" i="78"/>
  <c r="P441" i="78"/>
  <c r="K441" i="78"/>
  <c r="M441" i="78"/>
  <c r="H441" i="78"/>
  <c r="J441" i="78"/>
  <c r="T440" i="78"/>
  <c r="V440" i="78"/>
  <c r="Q440" i="78"/>
  <c r="S440" i="78"/>
  <c r="N440" i="78"/>
  <c r="P440" i="78"/>
  <c r="K440" i="78"/>
  <c r="M440" i="78"/>
  <c r="H440" i="78"/>
  <c r="J440" i="78"/>
  <c r="T439" i="78"/>
  <c r="V439" i="78"/>
  <c r="Q439" i="78"/>
  <c r="S439" i="78"/>
  <c r="N439" i="78"/>
  <c r="P439" i="78"/>
  <c r="K439" i="78"/>
  <c r="M439" i="78"/>
  <c r="H439" i="78"/>
  <c r="J439" i="78"/>
  <c r="T438" i="78"/>
  <c r="V438" i="78"/>
  <c r="Q438" i="78"/>
  <c r="S438" i="78"/>
  <c r="N438" i="78"/>
  <c r="P438" i="78"/>
  <c r="K438" i="78"/>
  <c r="M438" i="78"/>
  <c r="H438" i="78"/>
  <c r="J438" i="78"/>
  <c r="T437" i="78"/>
  <c r="V437" i="78"/>
  <c r="Q437" i="78"/>
  <c r="S437" i="78"/>
  <c r="N437" i="78"/>
  <c r="P437" i="78"/>
  <c r="K437" i="78"/>
  <c r="M437" i="78"/>
  <c r="H437" i="78"/>
  <c r="J437" i="78"/>
  <c r="T436" i="78"/>
  <c r="V436" i="78"/>
  <c r="Q436" i="78"/>
  <c r="S436" i="78"/>
  <c r="N436" i="78"/>
  <c r="P436" i="78"/>
  <c r="K436" i="78"/>
  <c r="M436" i="78"/>
  <c r="H436" i="78"/>
  <c r="J436" i="78"/>
  <c r="T435" i="78"/>
  <c r="V435" i="78"/>
  <c r="Q435" i="78"/>
  <c r="S435" i="78"/>
  <c r="N435" i="78"/>
  <c r="P435" i="78"/>
  <c r="K435" i="78"/>
  <c r="M435" i="78"/>
  <c r="H435" i="78"/>
  <c r="J435" i="78"/>
  <c r="T434" i="78"/>
  <c r="V434" i="78"/>
  <c r="Q434" i="78"/>
  <c r="S434" i="78"/>
  <c r="N434" i="78"/>
  <c r="P434" i="78"/>
  <c r="K434" i="78"/>
  <c r="M434" i="78"/>
  <c r="H434" i="78"/>
  <c r="J434" i="78"/>
  <c r="T433" i="78"/>
  <c r="V433" i="78"/>
  <c r="Q433" i="78"/>
  <c r="S433" i="78"/>
  <c r="N433" i="78"/>
  <c r="P433" i="78"/>
  <c r="K433" i="78"/>
  <c r="M433" i="78"/>
  <c r="H433" i="78"/>
  <c r="J433" i="78"/>
  <c r="T432" i="78"/>
  <c r="V432" i="78"/>
  <c r="Q432" i="78"/>
  <c r="S432" i="78"/>
  <c r="N432" i="78"/>
  <c r="P432" i="78"/>
  <c r="K432" i="78"/>
  <c r="M432" i="78"/>
  <c r="H432" i="78"/>
  <c r="J432" i="78"/>
  <c r="T431" i="78"/>
  <c r="V431" i="78"/>
  <c r="Q431" i="78"/>
  <c r="S431" i="78"/>
  <c r="N431" i="78"/>
  <c r="P431" i="78"/>
  <c r="K431" i="78"/>
  <c r="M431" i="78"/>
  <c r="H431" i="78"/>
  <c r="J431" i="78"/>
  <c r="T430" i="78"/>
  <c r="V430" i="78"/>
  <c r="Q430" i="78"/>
  <c r="S430" i="78"/>
  <c r="N430" i="78"/>
  <c r="P430" i="78"/>
  <c r="K430" i="78"/>
  <c r="M430" i="78"/>
  <c r="H430" i="78"/>
  <c r="J430" i="78"/>
  <c r="T429" i="78"/>
  <c r="V429" i="78"/>
  <c r="Q429" i="78"/>
  <c r="S429" i="78"/>
  <c r="N429" i="78"/>
  <c r="P429" i="78"/>
  <c r="K429" i="78"/>
  <c r="M429" i="78"/>
  <c r="H429" i="78"/>
  <c r="J429" i="78"/>
  <c r="T428" i="78"/>
  <c r="V428" i="78"/>
  <c r="Q428" i="78"/>
  <c r="S428" i="78"/>
  <c r="N428" i="78"/>
  <c r="P428" i="78"/>
  <c r="K428" i="78"/>
  <c r="M428" i="78"/>
  <c r="H428" i="78"/>
  <c r="J428" i="78"/>
  <c r="T427" i="78"/>
  <c r="V427" i="78"/>
  <c r="Q427" i="78"/>
  <c r="S427" i="78"/>
  <c r="N427" i="78"/>
  <c r="P427" i="78"/>
  <c r="K427" i="78"/>
  <c r="M427" i="78"/>
  <c r="H427" i="78"/>
  <c r="J427" i="78"/>
  <c r="T426" i="78"/>
  <c r="V426" i="78"/>
  <c r="Q426" i="78"/>
  <c r="S426" i="78"/>
  <c r="N426" i="78"/>
  <c r="P426" i="78"/>
  <c r="K426" i="78"/>
  <c r="M426" i="78"/>
  <c r="H426" i="78"/>
  <c r="J426" i="78"/>
  <c r="T425" i="78"/>
  <c r="V425" i="78"/>
  <c r="Q425" i="78"/>
  <c r="S425" i="78"/>
  <c r="N425" i="78"/>
  <c r="P425" i="78"/>
  <c r="K425" i="78"/>
  <c r="M425" i="78"/>
  <c r="H425" i="78"/>
  <c r="J425" i="78"/>
  <c r="T424" i="78"/>
  <c r="V424" i="78"/>
  <c r="Q424" i="78"/>
  <c r="S424" i="78"/>
  <c r="N424" i="78"/>
  <c r="P424" i="78"/>
  <c r="K424" i="78"/>
  <c r="M424" i="78"/>
  <c r="H424" i="78"/>
  <c r="J424" i="78"/>
  <c r="T423" i="78"/>
  <c r="V423" i="78"/>
  <c r="Q423" i="78"/>
  <c r="S423" i="78"/>
  <c r="N423" i="78"/>
  <c r="P423" i="78"/>
  <c r="K423" i="78"/>
  <c r="M423" i="78"/>
  <c r="H423" i="78"/>
  <c r="J423" i="78"/>
  <c r="T421" i="78"/>
  <c r="V421" i="78"/>
  <c r="Q421" i="78"/>
  <c r="S421" i="78"/>
  <c r="N421" i="78"/>
  <c r="P421" i="78"/>
  <c r="K421" i="78"/>
  <c r="M421" i="78"/>
  <c r="H421" i="78"/>
  <c r="J421" i="78"/>
  <c r="T420" i="78"/>
  <c r="V420" i="78"/>
  <c r="Q420" i="78"/>
  <c r="S420" i="78"/>
  <c r="N420" i="78"/>
  <c r="P420" i="78"/>
  <c r="K420" i="78"/>
  <c r="M420" i="78"/>
  <c r="H420" i="78"/>
  <c r="J420" i="78"/>
  <c r="T419" i="78"/>
  <c r="V419" i="78"/>
  <c r="Q419" i="78"/>
  <c r="S419" i="78"/>
  <c r="N419" i="78"/>
  <c r="P419" i="78"/>
  <c r="K419" i="78"/>
  <c r="M419" i="78"/>
  <c r="H419" i="78"/>
  <c r="J419" i="78"/>
  <c r="T418" i="78"/>
  <c r="V418" i="78"/>
  <c r="Q418" i="78"/>
  <c r="S418" i="78"/>
  <c r="N418" i="78"/>
  <c r="P418" i="78"/>
  <c r="K418" i="78"/>
  <c r="M418" i="78"/>
  <c r="H418" i="78"/>
  <c r="J418" i="78"/>
  <c r="T415" i="78"/>
  <c r="V415" i="78"/>
  <c r="Q415" i="78"/>
  <c r="S415" i="78"/>
  <c r="N415" i="78"/>
  <c r="P415" i="78"/>
  <c r="K415" i="78"/>
  <c r="M415" i="78"/>
  <c r="H415" i="78"/>
  <c r="J415" i="78"/>
  <c r="T414" i="78"/>
  <c r="V414" i="78"/>
  <c r="Q414" i="78"/>
  <c r="S414" i="78"/>
  <c r="N414" i="78"/>
  <c r="P414" i="78"/>
  <c r="K414" i="78"/>
  <c r="M414" i="78"/>
  <c r="H414" i="78"/>
  <c r="J414" i="78"/>
  <c r="T413" i="78"/>
  <c r="V413" i="78"/>
  <c r="Q413" i="78"/>
  <c r="S413" i="78"/>
  <c r="N413" i="78"/>
  <c r="P413" i="78"/>
  <c r="K413" i="78"/>
  <c r="M413" i="78"/>
  <c r="H413" i="78"/>
  <c r="J413" i="78"/>
  <c r="T412" i="78"/>
  <c r="V412" i="78"/>
  <c r="Q412" i="78"/>
  <c r="S412" i="78"/>
  <c r="N412" i="78"/>
  <c r="P412" i="78"/>
  <c r="K412" i="78"/>
  <c r="M412" i="78"/>
  <c r="H412" i="78"/>
  <c r="J412" i="78"/>
  <c r="T411" i="78"/>
  <c r="V411" i="78"/>
  <c r="Q411" i="78"/>
  <c r="S411" i="78"/>
  <c r="N411" i="78"/>
  <c r="P411" i="78"/>
  <c r="K411" i="78"/>
  <c r="M411" i="78"/>
  <c r="H411" i="78"/>
  <c r="J411" i="78"/>
  <c r="T410" i="78"/>
  <c r="V410" i="78"/>
  <c r="Q410" i="78"/>
  <c r="S410" i="78"/>
  <c r="N410" i="78"/>
  <c r="P410" i="78"/>
  <c r="K410" i="78"/>
  <c r="M410" i="78"/>
  <c r="H410" i="78"/>
  <c r="J410" i="78"/>
  <c r="T409" i="78"/>
  <c r="V409" i="78"/>
  <c r="Q409" i="78"/>
  <c r="S409" i="78"/>
  <c r="N409" i="78"/>
  <c r="P409" i="78"/>
  <c r="K409" i="78"/>
  <c r="M409" i="78"/>
  <c r="H409" i="78"/>
  <c r="J409" i="78"/>
  <c r="T408" i="78"/>
  <c r="V408" i="78"/>
  <c r="Q408" i="78"/>
  <c r="S408" i="78"/>
  <c r="N408" i="78"/>
  <c r="P408" i="78"/>
  <c r="K408" i="78"/>
  <c r="M408" i="78"/>
  <c r="H408" i="78"/>
  <c r="J408" i="78"/>
  <c r="T407" i="78"/>
  <c r="V407" i="78"/>
  <c r="Q407" i="78"/>
  <c r="S407" i="78"/>
  <c r="N407" i="78"/>
  <c r="P407" i="78"/>
  <c r="K407" i="78"/>
  <c r="M407" i="78"/>
  <c r="H407" i="78"/>
  <c r="J407" i="78"/>
  <c r="T406" i="78"/>
  <c r="V406" i="78"/>
  <c r="Q406" i="78"/>
  <c r="S406" i="78"/>
  <c r="N406" i="78"/>
  <c r="P406" i="78"/>
  <c r="K406" i="78"/>
  <c r="M406" i="78"/>
  <c r="H406" i="78"/>
  <c r="J406" i="78"/>
  <c r="T405" i="78"/>
  <c r="V405" i="78"/>
  <c r="Q405" i="78"/>
  <c r="S405" i="78"/>
  <c r="N405" i="78"/>
  <c r="P405" i="78"/>
  <c r="K405" i="78"/>
  <c r="M405" i="78"/>
  <c r="H405" i="78"/>
  <c r="J405" i="78"/>
  <c r="T404" i="78"/>
  <c r="V404" i="78"/>
  <c r="Q404" i="78"/>
  <c r="S404" i="78"/>
  <c r="N404" i="78"/>
  <c r="P404" i="78"/>
  <c r="K404" i="78"/>
  <c r="M404" i="78"/>
  <c r="H404" i="78"/>
  <c r="J404" i="78"/>
  <c r="T403" i="78"/>
  <c r="V403" i="78"/>
  <c r="Q403" i="78"/>
  <c r="S403" i="78"/>
  <c r="N403" i="78"/>
  <c r="P403" i="78"/>
  <c r="K403" i="78"/>
  <c r="M403" i="78"/>
  <c r="H403" i="78"/>
  <c r="J403" i="78"/>
  <c r="T402" i="78"/>
  <c r="V402" i="78"/>
  <c r="Q402" i="78"/>
  <c r="S402" i="78"/>
  <c r="N402" i="78"/>
  <c r="P402" i="78"/>
  <c r="K402" i="78"/>
  <c r="M402" i="78"/>
  <c r="H402" i="78"/>
  <c r="J402" i="78"/>
  <c r="T401" i="78"/>
  <c r="V401" i="78"/>
  <c r="Q401" i="78"/>
  <c r="S401" i="78"/>
  <c r="N401" i="78"/>
  <c r="P401" i="78"/>
  <c r="K401" i="78"/>
  <c r="M401" i="78"/>
  <c r="H401" i="78"/>
  <c r="J401" i="78"/>
  <c r="T400" i="78"/>
  <c r="V400" i="78"/>
  <c r="Q400" i="78"/>
  <c r="S400" i="78"/>
  <c r="N400" i="78"/>
  <c r="P400" i="78"/>
  <c r="K400" i="78"/>
  <c r="M400" i="78"/>
  <c r="H400" i="78"/>
  <c r="J400" i="78"/>
  <c r="T399" i="78"/>
  <c r="V399" i="78"/>
  <c r="Q399" i="78"/>
  <c r="S399" i="78"/>
  <c r="N399" i="78"/>
  <c r="P399" i="78"/>
  <c r="K399" i="78"/>
  <c r="M399" i="78"/>
  <c r="H399" i="78"/>
  <c r="J399" i="78"/>
  <c r="T398" i="78"/>
  <c r="V398" i="78"/>
  <c r="Q398" i="78"/>
  <c r="S398" i="78"/>
  <c r="N398" i="78"/>
  <c r="P398" i="78"/>
  <c r="K398" i="78"/>
  <c r="M398" i="78"/>
  <c r="H398" i="78"/>
  <c r="J398" i="78"/>
  <c r="T397" i="78"/>
  <c r="V397" i="78"/>
  <c r="Q397" i="78"/>
  <c r="S397" i="78"/>
  <c r="N397" i="78"/>
  <c r="P397" i="78"/>
  <c r="K397" i="78"/>
  <c r="M397" i="78"/>
  <c r="H397" i="78"/>
  <c r="J397" i="78"/>
  <c r="T396" i="78"/>
  <c r="V396" i="78"/>
  <c r="Q396" i="78"/>
  <c r="S396" i="78"/>
  <c r="N396" i="78"/>
  <c r="P396" i="78"/>
  <c r="K396" i="78"/>
  <c r="M396" i="78"/>
  <c r="H396" i="78"/>
  <c r="J396" i="78"/>
  <c r="T395" i="78"/>
  <c r="V395" i="78"/>
  <c r="Q395" i="78"/>
  <c r="S395" i="78"/>
  <c r="N395" i="78"/>
  <c r="P395" i="78"/>
  <c r="K395" i="78"/>
  <c r="M395" i="78"/>
  <c r="H395" i="78"/>
  <c r="T394" i="78"/>
  <c r="V394" i="78"/>
  <c r="Q394" i="78"/>
  <c r="S394" i="78"/>
  <c r="N394" i="78"/>
  <c r="P394" i="78"/>
  <c r="K394" i="78"/>
  <c r="M394" i="78"/>
  <c r="H394" i="78"/>
  <c r="J394" i="78"/>
  <c r="T393" i="78"/>
  <c r="V393" i="78"/>
  <c r="Q393" i="78"/>
  <c r="S393" i="78"/>
  <c r="N393" i="78"/>
  <c r="P393" i="78"/>
  <c r="K393" i="78"/>
  <c r="M393" i="78"/>
  <c r="H393" i="78"/>
  <c r="J393" i="78"/>
  <c r="T392" i="78"/>
  <c r="V392" i="78"/>
  <c r="Q392" i="78"/>
  <c r="S392" i="78"/>
  <c r="N392" i="78"/>
  <c r="P392" i="78"/>
  <c r="K392" i="78"/>
  <c r="M392" i="78"/>
  <c r="H392" i="78"/>
  <c r="J392" i="78"/>
  <c r="T391" i="78"/>
  <c r="V391" i="78"/>
  <c r="Q391" i="78"/>
  <c r="S391" i="78"/>
  <c r="N391" i="78"/>
  <c r="P391" i="78"/>
  <c r="K391" i="78"/>
  <c r="M391" i="78"/>
  <c r="H391" i="78"/>
  <c r="J391" i="78"/>
  <c r="T390" i="78"/>
  <c r="V390" i="78"/>
  <c r="Q390" i="78"/>
  <c r="S390" i="78"/>
  <c r="N390" i="78"/>
  <c r="P390" i="78"/>
  <c r="K390" i="78"/>
  <c r="M390" i="78"/>
  <c r="H390" i="78"/>
  <c r="J390" i="78"/>
  <c r="T389" i="78"/>
  <c r="V389" i="78"/>
  <c r="Q389" i="78"/>
  <c r="S389" i="78"/>
  <c r="N389" i="78"/>
  <c r="P389" i="78"/>
  <c r="K389" i="78"/>
  <c r="M389" i="78"/>
  <c r="H389" i="78"/>
  <c r="J389" i="78"/>
  <c r="T386" i="78"/>
  <c r="V386" i="78"/>
  <c r="Q386" i="78"/>
  <c r="S386" i="78"/>
  <c r="N386" i="78"/>
  <c r="P386" i="78"/>
  <c r="K386" i="78"/>
  <c r="M386" i="78"/>
  <c r="H386" i="78"/>
  <c r="J386" i="78"/>
  <c r="T384" i="78"/>
  <c r="V384" i="78"/>
  <c r="Q384" i="78"/>
  <c r="S384" i="78"/>
  <c r="N384" i="78"/>
  <c r="P384" i="78"/>
  <c r="K384" i="78"/>
  <c r="M384" i="78"/>
  <c r="H384" i="78"/>
  <c r="J384" i="78"/>
  <c r="T383" i="78"/>
  <c r="V383" i="78"/>
  <c r="Q383" i="78"/>
  <c r="S383" i="78"/>
  <c r="N383" i="78"/>
  <c r="P383" i="78"/>
  <c r="K383" i="78"/>
  <c r="M383" i="78"/>
  <c r="H383" i="78"/>
  <c r="J383" i="78"/>
  <c r="T382" i="78"/>
  <c r="V382" i="78"/>
  <c r="Q382" i="78"/>
  <c r="S382" i="78"/>
  <c r="N382" i="78"/>
  <c r="P382" i="78"/>
  <c r="K382" i="78"/>
  <c r="M382" i="78"/>
  <c r="H382" i="78"/>
  <c r="J382" i="78"/>
  <c r="T378" i="78"/>
  <c r="V378" i="78"/>
  <c r="Q378" i="78"/>
  <c r="S378" i="78"/>
  <c r="N378" i="78"/>
  <c r="P378" i="78"/>
  <c r="K378" i="78"/>
  <c r="M378" i="78"/>
  <c r="H378" i="78"/>
  <c r="J378" i="78"/>
  <c r="T377" i="78"/>
  <c r="V377" i="78"/>
  <c r="Q377" i="78"/>
  <c r="S377" i="78"/>
  <c r="N377" i="78"/>
  <c r="P377" i="78"/>
  <c r="K377" i="78"/>
  <c r="M377" i="78"/>
  <c r="H377" i="78"/>
  <c r="J377" i="78"/>
  <c r="T376" i="78"/>
  <c r="V376" i="78"/>
  <c r="Q376" i="78"/>
  <c r="S376" i="78"/>
  <c r="N376" i="78"/>
  <c r="P376" i="78"/>
  <c r="K376" i="78"/>
  <c r="M376" i="78"/>
  <c r="H376" i="78"/>
  <c r="J376" i="78"/>
  <c r="T375" i="78"/>
  <c r="V375" i="78"/>
  <c r="Q375" i="78"/>
  <c r="S375" i="78"/>
  <c r="N375" i="78"/>
  <c r="P375" i="78"/>
  <c r="K375" i="78"/>
  <c r="M375" i="78"/>
  <c r="H375" i="78"/>
  <c r="J375" i="78"/>
  <c r="T374" i="78"/>
  <c r="V374" i="78"/>
  <c r="Q374" i="78"/>
  <c r="S374" i="78"/>
  <c r="N374" i="78"/>
  <c r="P374" i="78"/>
  <c r="K374" i="78"/>
  <c r="M374" i="78"/>
  <c r="H374" i="78"/>
  <c r="J374" i="78"/>
  <c r="T373" i="78"/>
  <c r="V373" i="78"/>
  <c r="Q373" i="78"/>
  <c r="S373" i="78"/>
  <c r="N373" i="78"/>
  <c r="P373" i="78"/>
  <c r="K373" i="78"/>
  <c r="M373" i="78"/>
  <c r="H373" i="78"/>
  <c r="J373" i="78"/>
  <c r="T370" i="78"/>
  <c r="V370" i="78"/>
  <c r="Q370" i="78"/>
  <c r="S370" i="78"/>
  <c r="N370" i="78"/>
  <c r="P370" i="78"/>
  <c r="K370" i="78"/>
  <c r="M370" i="78"/>
  <c r="H370" i="78"/>
  <c r="J370" i="78"/>
  <c r="T369" i="78"/>
  <c r="V369" i="78"/>
  <c r="Q369" i="78"/>
  <c r="S369" i="78"/>
  <c r="N369" i="78"/>
  <c r="P369" i="78"/>
  <c r="K369" i="78"/>
  <c r="M369" i="78"/>
  <c r="H369" i="78"/>
  <c r="J369" i="78"/>
  <c r="T368" i="78"/>
  <c r="V368" i="78"/>
  <c r="Q368" i="78"/>
  <c r="S368" i="78"/>
  <c r="N368" i="78"/>
  <c r="P368" i="78"/>
  <c r="K368" i="78"/>
  <c r="M368" i="78"/>
  <c r="H368" i="78"/>
  <c r="J368" i="78"/>
  <c r="T367" i="78"/>
  <c r="V367" i="78"/>
  <c r="Q367" i="78"/>
  <c r="S367" i="78"/>
  <c r="N367" i="78"/>
  <c r="P367" i="78"/>
  <c r="K367" i="78"/>
  <c r="M367" i="78"/>
  <c r="H367" i="78"/>
  <c r="J367" i="78"/>
  <c r="T366" i="78"/>
  <c r="V366" i="78"/>
  <c r="Q366" i="78"/>
  <c r="S366" i="78"/>
  <c r="N366" i="78"/>
  <c r="P366" i="78"/>
  <c r="K366" i="78"/>
  <c r="M366" i="78"/>
  <c r="H366" i="78"/>
  <c r="J366" i="78"/>
  <c r="T365" i="78"/>
  <c r="V365" i="78"/>
  <c r="Q365" i="78"/>
  <c r="S365" i="78"/>
  <c r="N365" i="78"/>
  <c r="P365" i="78"/>
  <c r="K365" i="78"/>
  <c r="M365" i="78"/>
  <c r="H365" i="78"/>
  <c r="J365" i="78"/>
  <c r="T364" i="78"/>
  <c r="V364" i="78"/>
  <c r="Q364" i="78"/>
  <c r="S364" i="78"/>
  <c r="N364" i="78"/>
  <c r="P364" i="78"/>
  <c r="K364" i="78"/>
  <c r="M364" i="78"/>
  <c r="H364" i="78"/>
  <c r="J364" i="78"/>
  <c r="T363" i="78"/>
  <c r="V363" i="78"/>
  <c r="Q363" i="78"/>
  <c r="S363" i="78"/>
  <c r="N363" i="78"/>
  <c r="P363" i="78"/>
  <c r="K363" i="78"/>
  <c r="M363" i="78"/>
  <c r="H363" i="78"/>
  <c r="J363" i="78"/>
  <c r="T362" i="78"/>
  <c r="V362" i="78"/>
  <c r="Q362" i="78"/>
  <c r="S362" i="78"/>
  <c r="N362" i="78"/>
  <c r="P362" i="78"/>
  <c r="K362" i="78"/>
  <c r="M362" i="78"/>
  <c r="H362" i="78"/>
  <c r="J362" i="78"/>
  <c r="T357" i="78"/>
  <c r="V357" i="78"/>
  <c r="Q357" i="78"/>
  <c r="S357" i="78"/>
  <c r="N357" i="78"/>
  <c r="P357" i="78"/>
  <c r="K357" i="78"/>
  <c r="M357" i="78"/>
  <c r="H357" i="78"/>
  <c r="J357" i="78"/>
  <c r="T356" i="78"/>
  <c r="V356" i="78"/>
  <c r="Q356" i="78"/>
  <c r="S356" i="78"/>
  <c r="N356" i="78"/>
  <c r="P356" i="78"/>
  <c r="K356" i="78"/>
  <c r="M356" i="78"/>
  <c r="H356" i="78"/>
  <c r="J356" i="78"/>
  <c r="T355" i="78"/>
  <c r="V355" i="78"/>
  <c r="Q355" i="78"/>
  <c r="S355" i="78"/>
  <c r="N355" i="78"/>
  <c r="P355" i="78"/>
  <c r="K355" i="78"/>
  <c r="M355" i="78"/>
  <c r="H355" i="78"/>
  <c r="J355" i="78"/>
  <c r="T354" i="78"/>
  <c r="V354" i="78"/>
  <c r="Q354" i="78"/>
  <c r="S354" i="78"/>
  <c r="N354" i="78"/>
  <c r="P354" i="78"/>
  <c r="K354" i="78"/>
  <c r="M354" i="78"/>
  <c r="H354" i="78"/>
  <c r="J354" i="78"/>
  <c r="T353" i="78"/>
  <c r="V353" i="78"/>
  <c r="Q353" i="78"/>
  <c r="S353" i="78"/>
  <c r="N353" i="78"/>
  <c r="P353" i="78"/>
  <c r="K353" i="78"/>
  <c r="M353" i="78"/>
  <c r="H353" i="78"/>
  <c r="J353" i="78"/>
  <c r="T352" i="78"/>
  <c r="V352" i="78"/>
  <c r="Q352" i="78"/>
  <c r="S352" i="78"/>
  <c r="N352" i="78"/>
  <c r="P352" i="78"/>
  <c r="K352" i="78"/>
  <c r="M352" i="78"/>
  <c r="H352" i="78"/>
  <c r="J352" i="78"/>
  <c r="T351" i="78"/>
  <c r="V351" i="78"/>
  <c r="Q351" i="78"/>
  <c r="S351" i="78"/>
  <c r="N351" i="78"/>
  <c r="P351" i="78"/>
  <c r="K351" i="78"/>
  <c r="M351" i="78"/>
  <c r="H351" i="78"/>
  <c r="J351" i="78"/>
  <c r="T350" i="78"/>
  <c r="V350" i="78"/>
  <c r="Q350" i="78"/>
  <c r="S350" i="78"/>
  <c r="N350" i="78"/>
  <c r="P350" i="78"/>
  <c r="K350" i="78"/>
  <c r="M350" i="78"/>
  <c r="H350" i="78"/>
  <c r="J350" i="78"/>
  <c r="T349" i="78"/>
  <c r="V349" i="78"/>
  <c r="Q349" i="78"/>
  <c r="S349" i="78"/>
  <c r="N349" i="78"/>
  <c r="P349" i="78"/>
  <c r="K349" i="78"/>
  <c r="M349" i="78"/>
  <c r="H349" i="78"/>
  <c r="J349" i="78"/>
  <c r="T348" i="78"/>
  <c r="V348" i="78"/>
  <c r="Q348" i="78"/>
  <c r="S348" i="78"/>
  <c r="N348" i="78"/>
  <c r="P348" i="78"/>
  <c r="K348" i="78"/>
  <c r="M348" i="78"/>
  <c r="H348" i="78"/>
  <c r="J348" i="78"/>
  <c r="T347" i="78"/>
  <c r="V347" i="78"/>
  <c r="Q347" i="78"/>
  <c r="S347" i="78"/>
  <c r="N347" i="78"/>
  <c r="P347" i="78"/>
  <c r="K347" i="78"/>
  <c r="M347" i="78"/>
  <c r="H347" i="78"/>
  <c r="J347" i="78"/>
  <c r="T346" i="78"/>
  <c r="V346" i="78"/>
  <c r="Q346" i="78"/>
  <c r="S346" i="78"/>
  <c r="N346" i="78"/>
  <c r="P346" i="78"/>
  <c r="K346" i="78"/>
  <c r="M346" i="78"/>
  <c r="H346" i="78"/>
  <c r="J346" i="78"/>
  <c r="T345" i="78"/>
  <c r="V345" i="78"/>
  <c r="Q345" i="78"/>
  <c r="S345" i="78"/>
  <c r="N345" i="78"/>
  <c r="P345" i="78"/>
  <c r="K345" i="78"/>
  <c r="M345" i="78"/>
  <c r="H345" i="78"/>
  <c r="J345" i="78"/>
  <c r="T344" i="78"/>
  <c r="V344" i="78"/>
  <c r="Q344" i="78"/>
  <c r="S344" i="78"/>
  <c r="N344" i="78"/>
  <c r="P344" i="78"/>
  <c r="K344" i="78"/>
  <c r="M344" i="78"/>
  <c r="H344" i="78"/>
  <c r="J344" i="78"/>
  <c r="T343" i="78"/>
  <c r="V343" i="78"/>
  <c r="Q343" i="78"/>
  <c r="S343" i="78"/>
  <c r="N343" i="78"/>
  <c r="P343" i="78"/>
  <c r="K343" i="78"/>
  <c r="M343" i="78"/>
  <c r="H343" i="78"/>
  <c r="J343" i="78"/>
  <c r="T342" i="78"/>
  <c r="V342" i="78"/>
  <c r="Q342" i="78"/>
  <c r="S342" i="78"/>
  <c r="N342" i="78"/>
  <c r="P342" i="78"/>
  <c r="K342" i="78"/>
  <c r="M342" i="78"/>
  <c r="H342" i="78"/>
  <c r="J342" i="78"/>
  <c r="T341" i="78"/>
  <c r="V341" i="78"/>
  <c r="Q341" i="78"/>
  <c r="S341" i="78"/>
  <c r="N341" i="78"/>
  <c r="P341" i="78"/>
  <c r="K341" i="78"/>
  <c r="M341" i="78"/>
  <c r="H341" i="78"/>
  <c r="J341" i="78"/>
  <c r="T340" i="78"/>
  <c r="V340" i="78"/>
  <c r="Q340" i="78"/>
  <c r="S340" i="78"/>
  <c r="N340" i="78"/>
  <c r="P340" i="78"/>
  <c r="K340" i="78"/>
  <c r="M340" i="78"/>
  <c r="H340" i="78"/>
  <c r="J340" i="78"/>
  <c r="T339" i="78"/>
  <c r="V339" i="78"/>
  <c r="Q339" i="78"/>
  <c r="S339" i="78"/>
  <c r="N339" i="78"/>
  <c r="P339" i="78"/>
  <c r="K339" i="78"/>
  <c r="M339" i="78"/>
  <c r="H339" i="78"/>
  <c r="J339" i="78"/>
  <c r="T338" i="78"/>
  <c r="V338" i="78"/>
  <c r="Q338" i="78"/>
  <c r="S338" i="78"/>
  <c r="N338" i="78"/>
  <c r="P338" i="78"/>
  <c r="K338" i="78"/>
  <c r="M338" i="78"/>
  <c r="H338" i="78"/>
  <c r="J338" i="78"/>
  <c r="T337" i="78"/>
  <c r="V337" i="78"/>
  <c r="Q337" i="78"/>
  <c r="S337" i="78"/>
  <c r="N337" i="78"/>
  <c r="P337" i="78"/>
  <c r="K337" i="78"/>
  <c r="M337" i="78"/>
  <c r="H337" i="78"/>
  <c r="J337" i="78"/>
  <c r="T336" i="78"/>
  <c r="V336" i="78"/>
  <c r="Q336" i="78"/>
  <c r="S336" i="78"/>
  <c r="N336" i="78"/>
  <c r="P336" i="78"/>
  <c r="K336" i="78"/>
  <c r="M336" i="78"/>
  <c r="H336" i="78"/>
  <c r="J336" i="78"/>
  <c r="T335" i="78"/>
  <c r="V335" i="78"/>
  <c r="Q335" i="78"/>
  <c r="S335" i="78"/>
  <c r="N335" i="78"/>
  <c r="P335" i="78"/>
  <c r="K335" i="78"/>
  <c r="M335" i="78"/>
  <c r="H335" i="78"/>
  <c r="J335" i="78"/>
  <c r="T334" i="78"/>
  <c r="V334" i="78"/>
  <c r="Q334" i="78"/>
  <c r="S334" i="78"/>
  <c r="N334" i="78"/>
  <c r="P334" i="78"/>
  <c r="K334" i="78"/>
  <c r="M334" i="78"/>
  <c r="H334" i="78"/>
  <c r="J334" i="78"/>
  <c r="T333" i="78"/>
  <c r="V333" i="78"/>
  <c r="Q333" i="78"/>
  <c r="S333" i="78"/>
  <c r="N333" i="78"/>
  <c r="P333" i="78"/>
  <c r="K333" i="78"/>
  <c r="M333" i="78"/>
  <c r="H333" i="78"/>
  <c r="J333" i="78"/>
  <c r="T332" i="78"/>
  <c r="V332" i="78"/>
  <c r="Q332" i="78"/>
  <c r="S332" i="78"/>
  <c r="N332" i="78"/>
  <c r="P332" i="78"/>
  <c r="K332" i="78"/>
  <c r="M332" i="78"/>
  <c r="H332" i="78"/>
  <c r="J332" i="78"/>
  <c r="T331" i="78"/>
  <c r="V331" i="78"/>
  <c r="Q331" i="78"/>
  <c r="S331" i="78"/>
  <c r="N331" i="78"/>
  <c r="P331" i="78"/>
  <c r="K331" i="78"/>
  <c r="M331" i="78"/>
  <c r="H331" i="78"/>
  <c r="J331" i="78"/>
  <c r="T330" i="78"/>
  <c r="V330" i="78"/>
  <c r="Q330" i="78"/>
  <c r="S330" i="78"/>
  <c r="N330" i="78"/>
  <c r="P330" i="78"/>
  <c r="K330" i="78"/>
  <c r="M330" i="78"/>
  <c r="H330" i="78"/>
  <c r="J330" i="78"/>
  <c r="T329" i="78"/>
  <c r="V329" i="78"/>
  <c r="Q329" i="78"/>
  <c r="S329" i="78"/>
  <c r="N329" i="78"/>
  <c r="P329" i="78"/>
  <c r="K329" i="78"/>
  <c r="M329" i="78"/>
  <c r="H329" i="78"/>
  <c r="J329" i="78"/>
  <c r="T328" i="78"/>
  <c r="V328" i="78"/>
  <c r="Q328" i="78"/>
  <c r="S328" i="78"/>
  <c r="N328" i="78"/>
  <c r="P328" i="78"/>
  <c r="K328" i="78"/>
  <c r="M328" i="78"/>
  <c r="H328" i="78"/>
  <c r="J328" i="78"/>
  <c r="T327" i="78"/>
  <c r="V327" i="78"/>
  <c r="Q327" i="78"/>
  <c r="S327" i="78"/>
  <c r="N327" i="78"/>
  <c r="P327" i="78"/>
  <c r="K327" i="78"/>
  <c r="M327" i="78"/>
  <c r="H327" i="78"/>
  <c r="J327" i="78"/>
  <c r="T326" i="78"/>
  <c r="V326" i="78"/>
  <c r="Q326" i="78"/>
  <c r="S326" i="78"/>
  <c r="N326" i="78"/>
  <c r="P326" i="78"/>
  <c r="K326" i="78"/>
  <c r="M326" i="78"/>
  <c r="H326" i="78"/>
  <c r="J326" i="78"/>
  <c r="T325" i="78"/>
  <c r="V325" i="78"/>
  <c r="Q325" i="78"/>
  <c r="S325" i="78"/>
  <c r="N325" i="78"/>
  <c r="P325" i="78"/>
  <c r="K325" i="78"/>
  <c r="M325" i="78"/>
  <c r="H325" i="78"/>
  <c r="J325" i="78"/>
  <c r="T324" i="78"/>
  <c r="V324" i="78"/>
  <c r="Q324" i="78"/>
  <c r="S324" i="78"/>
  <c r="N324" i="78"/>
  <c r="P324" i="78"/>
  <c r="K324" i="78"/>
  <c r="M324" i="78"/>
  <c r="H324" i="78"/>
  <c r="J324" i="78"/>
  <c r="T323" i="78"/>
  <c r="V323" i="78"/>
  <c r="Q323" i="78"/>
  <c r="S323" i="78"/>
  <c r="N323" i="78"/>
  <c r="P323" i="78"/>
  <c r="K323" i="78"/>
  <c r="M323" i="78"/>
  <c r="H323" i="78"/>
  <c r="J323" i="78"/>
  <c r="T322" i="78"/>
  <c r="V322" i="78"/>
  <c r="Q322" i="78"/>
  <c r="S322" i="78"/>
  <c r="N322" i="78"/>
  <c r="P322" i="78"/>
  <c r="K322" i="78"/>
  <c r="M322" i="78"/>
  <c r="H322" i="78"/>
  <c r="J322" i="78"/>
  <c r="T321" i="78"/>
  <c r="V321" i="78"/>
  <c r="Q321" i="78"/>
  <c r="S321" i="78"/>
  <c r="N321" i="78"/>
  <c r="P321" i="78"/>
  <c r="K321" i="78"/>
  <c r="M321" i="78"/>
  <c r="H321" i="78"/>
  <c r="J321" i="78"/>
  <c r="T320" i="78"/>
  <c r="V320" i="78"/>
  <c r="Q320" i="78"/>
  <c r="S320" i="78"/>
  <c r="N320" i="78"/>
  <c r="P320" i="78"/>
  <c r="K320" i="78"/>
  <c r="M320" i="78"/>
  <c r="H320" i="78"/>
  <c r="J320" i="78"/>
  <c r="T315" i="78"/>
  <c r="V315" i="78"/>
  <c r="Q315" i="78"/>
  <c r="S315" i="78"/>
  <c r="N315" i="78"/>
  <c r="P315" i="78"/>
  <c r="K315" i="78"/>
  <c r="M315" i="78"/>
  <c r="H315" i="78"/>
  <c r="J315" i="78"/>
  <c r="T314" i="78"/>
  <c r="V314" i="78"/>
  <c r="Q314" i="78"/>
  <c r="S314" i="78"/>
  <c r="N314" i="78"/>
  <c r="P314" i="78"/>
  <c r="K314" i="78"/>
  <c r="M314" i="78"/>
  <c r="H314" i="78"/>
  <c r="J314" i="78"/>
  <c r="T313" i="78"/>
  <c r="V313" i="78"/>
  <c r="Q313" i="78"/>
  <c r="S313" i="78"/>
  <c r="N313" i="78"/>
  <c r="P313" i="78"/>
  <c r="K313" i="78"/>
  <c r="M313" i="78"/>
  <c r="H313" i="78"/>
  <c r="J313" i="78"/>
  <c r="T312" i="78"/>
  <c r="V312" i="78"/>
  <c r="Q312" i="78"/>
  <c r="S312" i="78"/>
  <c r="N312" i="78"/>
  <c r="P312" i="78"/>
  <c r="K312" i="78"/>
  <c r="M312" i="78"/>
  <c r="H312" i="78"/>
  <c r="J312" i="78"/>
  <c r="T311" i="78"/>
  <c r="V311" i="78"/>
  <c r="Q311" i="78"/>
  <c r="S311" i="78"/>
  <c r="N311" i="78"/>
  <c r="P311" i="78"/>
  <c r="K311" i="78"/>
  <c r="M311" i="78"/>
  <c r="H311" i="78"/>
  <c r="J311" i="78"/>
  <c r="T310" i="78"/>
  <c r="V310" i="78"/>
  <c r="Q310" i="78"/>
  <c r="S310" i="78"/>
  <c r="N310" i="78"/>
  <c r="P310" i="78"/>
  <c r="K310" i="78"/>
  <c r="M310" i="78"/>
  <c r="H310" i="78"/>
  <c r="J310" i="78"/>
  <c r="T309" i="78"/>
  <c r="V309" i="78"/>
  <c r="Q309" i="78"/>
  <c r="S309" i="78"/>
  <c r="N309" i="78"/>
  <c r="P309" i="78"/>
  <c r="K309" i="78"/>
  <c r="M309" i="78"/>
  <c r="H309" i="78"/>
  <c r="J309" i="78"/>
  <c r="T308" i="78"/>
  <c r="V308" i="78"/>
  <c r="Q308" i="78"/>
  <c r="S308" i="78"/>
  <c r="N308" i="78"/>
  <c r="P308" i="78"/>
  <c r="K308" i="78"/>
  <c r="M308" i="78"/>
  <c r="H308" i="78"/>
  <c r="J308" i="78"/>
  <c r="T307" i="78"/>
  <c r="V307" i="78"/>
  <c r="Q307" i="78"/>
  <c r="S307" i="78"/>
  <c r="N307" i="78"/>
  <c r="P307" i="78"/>
  <c r="K307" i="78"/>
  <c r="M307" i="78"/>
  <c r="H307" i="78"/>
  <c r="J307" i="78"/>
  <c r="T306" i="78"/>
  <c r="V306" i="78"/>
  <c r="Q306" i="78"/>
  <c r="S306" i="78"/>
  <c r="N306" i="78"/>
  <c r="P306" i="78"/>
  <c r="K306" i="78"/>
  <c r="M306" i="78"/>
  <c r="H306" i="78"/>
  <c r="J306" i="78"/>
  <c r="T305" i="78"/>
  <c r="V305" i="78"/>
  <c r="Q305" i="78"/>
  <c r="S305" i="78"/>
  <c r="N305" i="78"/>
  <c r="P305" i="78"/>
  <c r="K305" i="78"/>
  <c r="M305" i="78"/>
  <c r="H305" i="78"/>
  <c r="J305" i="78"/>
  <c r="T304" i="78"/>
  <c r="V304" i="78"/>
  <c r="Q304" i="78"/>
  <c r="S304" i="78"/>
  <c r="N304" i="78"/>
  <c r="P304" i="78"/>
  <c r="K304" i="78"/>
  <c r="M304" i="78"/>
  <c r="H304" i="78"/>
  <c r="J304" i="78"/>
  <c r="T303" i="78"/>
  <c r="V303" i="78"/>
  <c r="Q303" i="78"/>
  <c r="S303" i="78"/>
  <c r="N303" i="78"/>
  <c r="P303" i="78"/>
  <c r="K303" i="78"/>
  <c r="M303" i="78"/>
  <c r="H303" i="78"/>
  <c r="J303" i="78"/>
  <c r="T302" i="78"/>
  <c r="V302" i="78"/>
  <c r="Q302" i="78"/>
  <c r="S302" i="78"/>
  <c r="N302" i="78"/>
  <c r="P302" i="78"/>
  <c r="K302" i="78"/>
  <c r="M302" i="78"/>
  <c r="H302" i="78"/>
  <c r="J302" i="78"/>
  <c r="T300" i="78"/>
  <c r="V300" i="78"/>
  <c r="Q300" i="78"/>
  <c r="S300" i="78"/>
  <c r="N300" i="78"/>
  <c r="P300" i="78"/>
  <c r="K300" i="78"/>
  <c r="M300" i="78"/>
  <c r="H300" i="78"/>
  <c r="J300" i="78"/>
  <c r="T298" i="78"/>
  <c r="V298" i="78"/>
  <c r="Q298" i="78"/>
  <c r="S298" i="78"/>
  <c r="N298" i="78"/>
  <c r="P298" i="78"/>
  <c r="K298" i="78"/>
  <c r="M298" i="78"/>
  <c r="H298" i="78"/>
  <c r="J298" i="78"/>
  <c r="T297" i="78"/>
  <c r="V297" i="78"/>
  <c r="Q297" i="78"/>
  <c r="S297" i="78"/>
  <c r="N297" i="78"/>
  <c r="P297" i="78"/>
  <c r="K297" i="78"/>
  <c r="M297" i="78"/>
  <c r="H297" i="78"/>
  <c r="J297" i="78"/>
  <c r="T296" i="78"/>
  <c r="V296" i="78"/>
  <c r="Q296" i="78"/>
  <c r="S296" i="78"/>
  <c r="N296" i="78"/>
  <c r="P296" i="78"/>
  <c r="K296" i="78"/>
  <c r="M296" i="78"/>
  <c r="H296" i="78"/>
  <c r="J296" i="78"/>
  <c r="T295" i="78"/>
  <c r="V295" i="78"/>
  <c r="Q295" i="78"/>
  <c r="S295" i="78"/>
  <c r="N295" i="78"/>
  <c r="P295" i="78"/>
  <c r="K295" i="78"/>
  <c r="M295" i="78"/>
  <c r="H295" i="78"/>
  <c r="J295" i="78"/>
  <c r="T294" i="78"/>
  <c r="V294" i="78"/>
  <c r="Q294" i="78"/>
  <c r="S294" i="78"/>
  <c r="N294" i="78"/>
  <c r="P294" i="78"/>
  <c r="K294" i="78"/>
  <c r="M294" i="78"/>
  <c r="H294" i="78"/>
  <c r="J294" i="78"/>
  <c r="T293" i="78"/>
  <c r="V293" i="78"/>
  <c r="Q293" i="78"/>
  <c r="S293" i="78"/>
  <c r="N293" i="78"/>
  <c r="P293" i="78"/>
  <c r="K293" i="78"/>
  <c r="M293" i="78"/>
  <c r="H293" i="78"/>
  <c r="J293" i="78"/>
  <c r="T292" i="78"/>
  <c r="V292" i="78"/>
  <c r="Q292" i="78"/>
  <c r="S292" i="78"/>
  <c r="N292" i="78"/>
  <c r="P292" i="78"/>
  <c r="K292" i="78"/>
  <c r="M292" i="78"/>
  <c r="H292" i="78"/>
  <c r="J292" i="78"/>
  <c r="T291" i="78"/>
  <c r="V291" i="78"/>
  <c r="Q291" i="78"/>
  <c r="S291" i="78"/>
  <c r="N291" i="78"/>
  <c r="P291" i="78"/>
  <c r="K291" i="78"/>
  <c r="M291" i="78"/>
  <c r="H291" i="78"/>
  <c r="J291" i="78"/>
  <c r="T290" i="78"/>
  <c r="V290" i="78"/>
  <c r="Q290" i="78"/>
  <c r="S290" i="78"/>
  <c r="N290" i="78"/>
  <c r="P290" i="78"/>
  <c r="K290" i="78"/>
  <c r="M290" i="78"/>
  <c r="H290" i="78"/>
  <c r="J290" i="78"/>
  <c r="T287" i="78"/>
  <c r="V287" i="78"/>
  <c r="Q287" i="78"/>
  <c r="S287" i="78"/>
  <c r="N287" i="78"/>
  <c r="P287" i="78"/>
  <c r="K287" i="78"/>
  <c r="M287" i="78"/>
  <c r="H287" i="78"/>
  <c r="J287" i="78"/>
  <c r="T286" i="78"/>
  <c r="V286" i="78"/>
  <c r="Q286" i="78"/>
  <c r="S286" i="78"/>
  <c r="N286" i="78"/>
  <c r="P286" i="78"/>
  <c r="K286" i="78"/>
  <c r="M286" i="78"/>
  <c r="H286" i="78"/>
  <c r="J286" i="78"/>
  <c r="T285" i="78"/>
  <c r="V285" i="78"/>
  <c r="Q285" i="78"/>
  <c r="S285" i="78"/>
  <c r="N285" i="78"/>
  <c r="P285" i="78"/>
  <c r="K285" i="78"/>
  <c r="M285" i="78"/>
  <c r="H285" i="78"/>
  <c r="J285" i="78"/>
  <c r="T283" i="78"/>
  <c r="V283" i="78"/>
  <c r="Q283" i="78"/>
  <c r="S283" i="78"/>
  <c r="N283" i="78"/>
  <c r="P283" i="78"/>
  <c r="K283" i="78"/>
  <c r="M283" i="78"/>
  <c r="H283" i="78"/>
  <c r="J283" i="78"/>
  <c r="T282" i="78"/>
  <c r="V282" i="78"/>
  <c r="Q282" i="78"/>
  <c r="S282" i="78"/>
  <c r="N282" i="78"/>
  <c r="P282" i="78"/>
  <c r="K282" i="78"/>
  <c r="M282" i="78"/>
  <c r="H282" i="78"/>
  <c r="J282" i="78"/>
  <c r="T281" i="78"/>
  <c r="V281" i="78"/>
  <c r="Q281" i="78"/>
  <c r="S281" i="78"/>
  <c r="N281" i="78"/>
  <c r="P281" i="78"/>
  <c r="K281" i="78"/>
  <c r="M281" i="78"/>
  <c r="H281" i="78"/>
  <c r="J281" i="78"/>
  <c r="T280" i="78"/>
  <c r="V280" i="78"/>
  <c r="Q280" i="78"/>
  <c r="S280" i="78"/>
  <c r="N280" i="78"/>
  <c r="P280" i="78"/>
  <c r="K280" i="78"/>
  <c r="M280" i="78"/>
  <c r="H280" i="78"/>
  <c r="J280" i="78"/>
  <c r="T279" i="78"/>
  <c r="V279" i="78"/>
  <c r="Q279" i="78"/>
  <c r="S279" i="78"/>
  <c r="N279" i="78"/>
  <c r="P279" i="78"/>
  <c r="K279" i="78"/>
  <c r="M279" i="78"/>
  <c r="H279" i="78"/>
  <c r="J279" i="78"/>
  <c r="T277" i="78"/>
  <c r="V277" i="78"/>
  <c r="Q277" i="78"/>
  <c r="S277" i="78"/>
  <c r="N277" i="78"/>
  <c r="P277" i="78"/>
  <c r="K277" i="78"/>
  <c r="M277" i="78"/>
  <c r="H277" i="78"/>
  <c r="J277" i="78"/>
  <c r="T276" i="78"/>
  <c r="V276" i="78"/>
  <c r="Q276" i="78"/>
  <c r="S276" i="78"/>
  <c r="N276" i="78"/>
  <c r="P276" i="78"/>
  <c r="K276" i="78"/>
  <c r="M276" i="78"/>
  <c r="H276" i="78"/>
  <c r="J276" i="78"/>
  <c r="T275" i="78"/>
  <c r="V275" i="78"/>
  <c r="Q275" i="78"/>
  <c r="S275" i="78"/>
  <c r="N275" i="78"/>
  <c r="P275" i="78"/>
  <c r="K275" i="78"/>
  <c r="M275" i="78"/>
  <c r="H275" i="78"/>
  <c r="J275" i="78"/>
  <c r="T274" i="78"/>
  <c r="V274" i="78"/>
  <c r="Q274" i="78"/>
  <c r="S274" i="78"/>
  <c r="N274" i="78"/>
  <c r="P274" i="78"/>
  <c r="K274" i="78"/>
  <c r="M274" i="78"/>
  <c r="H274" i="78"/>
  <c r="J274" i="78"/>
  <c r="T273" i="78"/>
  <c r="V273" i="78"/>
  <c r="Q273" i="78"/>
  <c r="S273" i="78"/>
  <c r="N273" i="78"/>
  <c r="P273" i="78"/>
  <c r="K273" i="78"/>
  <c r="M273" i="78"/>
  <c r="H273" i="78"/>
  <c r="J273" i="78"/>
  <c r="T271" i="78"/>
  <c r="V271" i="78"/>
  <c r="Q271" i="78"/>
  <c r="S271" i="78"/>
  <c r="N271" i="78"/>
  <c r="P271" i="78"/>
  <c r="K271" i="78"/>
  <c r="M271" i="78"/>
  <c r="H271" i="78"/>
  <c r="J271" i="78"/>
  <c r="T270" i="78"/>
  <c r="V270" i="78"/>
  <c r="Q270" i="78"/>
  <c r="S270" i="78"/>
  <c r="N270" i="78"/>
  <c r="P270" i="78"/>
  <c r="K270" i="78"/>
  <c r="M270" i="78"/>
  <c r="H270" i="78"/>
  <c r="J270" i="78"/>
  <c r="T269" i="78"/>
  <c r="V269" i="78"/>
  <c r="Q269" i="78"/>
  <c r="S269" i="78"/>
  <c r="N269" i="78"/>
  <c r="P269" i="78"/>
  <c r="K269" i="78"/>
  <c r="M269" i="78"/>
  <c r="H269" i="78"/>
  <c r="J269" i="78"/>
  <c r="T268" i="78"/>
  <c r="V268" i="78"/>
  <c r="Q268" i="78"/>
  <c r="S268" i="78"/>
  <c r="N268" i="78"/>
  <c r="P268" i="78"/>
  <c r="K268" i="78"/>
  <c r="M268" i="78"/>
  <c r="H268" i="78"/>
  <c r="J268" i="78"/>
  <c r="T267" i="78"/>
  <c r="V267" i="78"/>
  <c r="Q267" i="78"/>
  <c r="S267" i="78"/>
  <c r="N267" i="78"/>
  <c r="P267" i="78"/>
  <c r="K267" i="78"/>
  <c r="M267" i="78"/>
  <c r="H267" i="78"/>
  <c r="J267" i="78"/>
  <c r="T266" i="78"/>
  <c r="V266" i="78"/>
  <c r="Q266" i="78"/>
  <c r="S266" i="78"/>
  <c r="N266" i="78"/>
  <c r="P266" i="78"/>
  <c r="K266" i="78"/>
  <c r="M266" i="78"/>
  <c r="H266" i="78"/>
  <c r="J266" i="78"/>
  <c r="T265" i="78"/>
  <c r="V265" i="78"/>
  <c r="Q265" i="78"/>
  <c r="S265" i="78"/>
  <c r="N265" i="78"/>
  <c r="P265" i="78"/>
  <c r="K265" i="78"/>
  <c r="M265" i="78"/>
  <c r="H265" i="78"/>
  <c r="J265" i="78"/>
  <c r="T264" i="78"/>
  <c r="V264" i="78"/>
  <c r="Q264" i="78"/>
  <c r="S264" i="78"/>
  <c r="N264" i="78"/>
  <c r="P264" i="78"/>
  <c r="K264" i="78"/>
  <c r="M264" i="78"/>
  <c r="H264" i="78"/>
  <c r="J264" i="78"/>
  <c r="T263" i="78"/>
  <c r="V263" i="78"/>
  <c r="Q263" i="78"/>
  <c r="S263" i="78"/>
  <c r="N263" i="78"/>
  <c r="P263" i="78"/>
  <c r="K263" i="78"/>
  <c r="M263" i="78"/>
  <c r="H263" i="78"/>
  <c r="J263" i="78"/>
  <c r="T262" i="78"/>
  <c r="V262" i="78"/>
  <c r="Q262" i="78"/>
  <c r="S262" i="78"/>
  <c r="N262" i="78"/>
  <c r="P262" i="78"/>
  <c r="K262" i="78"/>
  <c r="M262" i="78"/>
  <c r="H262" i="78"/>
  <c r="J262" i="78"/>
  <c r="T261" i="78"/>
  <c r="V261" i="78"/>
  <c r="Q261" i="78"/>
  <c r="S261" i="78"/>
  <c r="N261" i="78"/>
  <c r="P261" i="78"/>
  <c r="K261" i="78"/>
  <c r="M261" i="78"/>
  <c r="H261" i="78"/>
  <c r="J261" i="78"/>
  <c r="T260" i="78"/>
  <c r="V260" i="78"/>
  <c r="Q260" i="78"/>
  <c r="S260" i="78"/>
  <c r="N260" i="78"/>
  <c r="P260" i="78"/>
  <c r="K260" i="78"/>
  <c r="M260" i="78"/>
  <c r="H260" i="78"/>
  <c r="J260" i="78"/>
  <c r="T259" i="78"/>
  <c r="V259" i="78"/>
  <c r="Q259" i="78"/>
  <c r="S259" i="78"/>
  <c r="N259" i="78"/>
  <c r="P259" i="78"/>
  <c r="K259" i="78"/>
  <c r="M259" i="78"/>
  <c r="H259" i="78"/>
  <c r="J259" i="78"/>
  <c r="T258" i="78"/>
  <c r="V258" i="78"/>
  <c r="Q258" i="78"/>
  <c r="S258" i="78"/>
  <c r="N258" i="78"/>
  <c r="P258" i="78"/>
  <c r="K258" i="78"/>
  <c r="M258" i="78"/>
  <c r="H258" i="78"/>
  <c r="J258" i="78"/>
  <c r="T257" i="78"/>
  <c r="V257" i="78"/>
  <c r="Q257" i="78"/>
  <c r="S257" i="78"/>
  <c r="N257" i="78"/>
  <c r="P257" i="78"/>
  <c r="K257" i="78"/>
  <c r="M257" i="78"/>
  <c r="H257" i="78"/>
  <c r="J257" i="78"/>
  <c r="T256" i="78"/>
  <c r="V256" i="78"/>
  <c r="Q256" i="78"/>
  <c r="S256" i="78"/>
  <c r="N256" i="78"/>
  <c r="P256" i="78"/>
  <c r="K256" i="78"/>
  <c r="M256" i="78"/>
  <c r="H256" i="78"/>
  <c r="J256" i="78"/>
  <c r="T255" i="78"/>
  <c r="V255" i="78"/>
  <c r="Q255" i="78"/>
  <c r="S255" i="78"/>
  <c r="N255" i="78"/>
  <c r="P255" i="78"/>
  <c r="K255" i="78"/>
  <c r="M255" i="78"/>
  <c r="H255" i="78"/>
  <c r="J255" i="78"/>
  <c r="T254" i="78"/>
  <c r="V254" i="78"/>
  <c r="Q254" i="78"/>
  <c r="S254" i="78"/>
  <c r="N254" i="78"/>
  <c r="P254" i="78"/>
  <c r="K254" i="78"/>
  <c r="M254" i="78"/>
  <c r="H254" i="78"/>
  <c r="J254" i="78"/>
  <c r="T253" i="78"/>
  <c r="V253" i="78"/>
  <c r="Q253" i="78"/>
  <c r="S253" i="78"/>
  <c r="N253" i="78"/>
  <c r="P253" i="78"/>
  <c r="K253" i="78"/>
  <c r="M253" i="78"/>
  <c r="H253" i="78"/>
  <c r="J253" i="78"/>
  <c r="T251" i="78"/>
  <c r="V251" i="78"/>
  <c r="Q251" i="78"/>
  <c r="S251" i="78"/>
  <c r="N251" i="78"/>
  <c r="P251" i="78"/>
  <c r="K251" i="78"/>
  <c r="M251" i="78"/>
  <c r="H251" i="78"/>
  <c r="J251" i="78"/>
  <c r="T250" i="78"/>
  <c r="V250" i="78"/>
  <c r="Q250" i="78"/>
  <c r="S250" i="78"/>
  <c r="N250" i="78"/>
  <c r="P250" i="78"/>
  <c r="K250" i="78"/>
  <c r="M250" i="78"/>
  <c r="H250" i="78"/>
  <c r="J250" i="78"/>
  <c r="T249" i="78"/>
  <c r="V249" i="78"/>
  <c r="Q249" i="78"/>
  <c r="S249" i="78"/>
  <c r="N249" i="78"/>
  <c r="P249" i="78"/>
  <c r="K249" i="78"/>
  <c r="M249" i="78"/>
  <c r="H249" i="78"/>
  <c r="J249" i="78"/>
  <c r="T248" i="78"/>
  <c r="V248" i="78"/>
  <c r="Q248" i="78"/>
  <c r="S248" i="78"/>
  <c r="N248" i="78"/>
  <c r="P248" i="78"/>
  <c r="K248" i="78"/>
  <c r="M248" i="78"/>
  <c r="H248" i="78"/>
  <c r="J248" i="78"/>
  <c r="T247" i="78"/>
  <c r="V247" i="78"/>
  <c r="Q247" i="78"/>
  <c r="S247" i="78"/>
  <c r="N247" i="78"/>
  <c r="P247" i="78"/>
  <c r="K247" i="78"/>
  <c r="M247" i="78"/>
  <c r="H247" i="78"/>
  <c r="J247" i="78"/>
  <c r="T246" i="78"/>
  <c r="V246" i="78"/>
  <c r="Q246" i="78"/>
  <c r="S246" i="78"/>
  <c r="N246" i="78"/>
  <c r="P246" i="78"/>
  <c r="K246" i="78"/>
  <c r="M246" i="78"/>
  <c r="H246" i="78"/>
  <c r="J246" i="78"/>
  <c r="T245" i="78"/>
  <c r="V245" i="78"/>
  <c r="Q245" i="78"/>
  <c r="S245" i="78"/>
  <c r="N245" i="78"/>
  <c r="P245" i="78"/>
  <c r="K245" i="78"/>
  <c r="M245" i="78"/>
  <c r="H245" i="78"/>
  <c r="J245" i="78"/>
  <c r="T244" i="78"/>
  <c r="V244" i="78"/>
  <c r="Q244" i="78"/>
  <c r="S244" i="78"/>
  <c r="N244" i="78"/>
  <c r="P244" i="78"/>
  <c r="K244" i="78"/>
  <c r="M244" i="78"/>
  <c r="H244" i="78"/>
  <c r="J244" i="78"/>
  <c r="T243" i="78"/>
  <c r="V243" i="78"/>
  <c r="Q243" i="78"/>
  <c r="S243" i="78"/>
  <c r="N243" i="78"/>
  <c r="P243" i="78"/>
  <c r="K243" i="78"/>
  <c r="M243" i="78"/>
  <c r="H243" i="78"/>
  <c r="J243" i="78"/>
  <c r="T242" i="78"/>
  <c r="V242" i="78"/>
  <c r="Q242" i="78"/>
  <c r="S242" i="78"/>
  <c r="N242" i="78"/>
  <c r="P242" i="78"/>
  <c r="K242" i="78"/>
  <c r="M242" i="78"/>
  <c r="H242" i="78"/>
  <c r="J242" i="78"/>
  <c r="T241" i="78"/>
  <c r="V241" i="78"/>
  <c r="Q241" i="78"/>
  <c r="S241" i="78"/>
  <c r="N241" i="78"/>
  <c r="P241" i="78"/>
  <c r="K241" i="78"/>
  <c r="M241" i="78"/>
  <c r="H241" i="78"/>
  <c r="J241" i="78"/>
  <c r="T240" i="78"/>
  <c r="V240" i="78"/>
  <c r="Q240" i="78"/>
  <c r="S240" i="78"/>
  <c r="N240" i="78"/>
  <c r="P240" i="78"/>
  <c r="K240" i="78"/>
  <c r="M240" i="78"/>
  <c r="H240" i="78"/>
  <c r="J240" i="78"/>
  <c r="T239" i="78"/>
  <c r="V239" i="78"/>
  <c r="Q239" i="78"/>
  <c r="S239" i="78"/>
  <c r="N239" i="78"/>
  <c r="P239" i="78"/>
  <c r="K239" i="78"/>
  <c r="M239" i="78"/>
  <c r="H239" i="78"/>
  <c r="J239" i="78"/>
  <c r="T238" i="78"/>
  <c r="V238" i="78"/>
  <c r="Q238" i="78"/>
  <c r="S238" i="78"/>
  <c r="N238" i="78"/>
  <c r="P238" i="78"/>
  <c r="K238" i="78"/>
  <c r="M238" i="78"/>
  <c r="H238" i="78"/>
  <c r="J238" i="78"/>
  <c r="T237" i="78"/>
  <c r="V237" i="78"/>
  <c r="Q237" i="78"/>
  <c r="S237" i="78"/>
  <c r="N237" i="78"/>
  <c r="P237" i="78"/>
  <c r="K237" i="78"/>
  <c r="M237" i="78"/>
  <c r="H237" i="78"/>
  <c r="J237" i="78"/>
  <c r="T236" i="78"/>
  <c r="V236" i="78"/>
  <c r="Q236" i="78"/>
  <c r="S236" i="78"/>
  <c r="N236" i="78"/>
  <c r="P236" i="78"/>
  <c r="K236" i="78"/>
  <c r="M236" i="78"/>
  <c r="H236" i="78"/>
  <c r="J236" i="78"/>
  <c r="T235" i="78"/>
  <c r="V235" i="78"/>
  <c r="Q235" i="78"/>
  <c r="S235" i="78"/>
  <c r="N235" i="78"/>
  <c r="P235" i="78"/>
  <c r="K235" i="78"/>
  <c r="M235" i="78"/>
  <c r="H235" i="78"/>
  <c r="J235" i="78"/>
  <c r="T234" i="78"/>
  <c r="V234" i="78"/>
  <c r="Q234" i="78"/>
  <c r="S234" i="78"/>
  <c r="N234" i="78"/>
  <c r="P234" i="78"/>
  <c r="K234" i="78"/>
  <c r="M234" i="78"/>
  <c r="H234" i="78"/>
  <c r="J234" i="78"/>
  <c r="T233" i="78"/>
  <c r="V233" i="78"/>
  <c r="Q233" i="78"/>
  <c r="S233" i="78"/>
  <c r="N233" i="78"/>
  <c r="P233" i="78"/>
  <c r="K233" i="78"/>
  <c r="M233" i="78"/>
  <c r="H233" i="78"/>
  <c r="J233" i="78"/>
  <c r="T232" i="78"/>
  <c r="V232" i="78"/>
  <c r="Q232" i="78"/>
  <c r="S232" i="78"/>
  <c r="N232" i="78"/>
  <c r="P232" i="78"/>
  <c r="K232" i="78"/>
  <c r="M232" i="78"/>
  <c r="H232" i="78"/>
  <c r="J232" i="78"/>
  <c r="T231" i="78"/>
  <c r="V231" i="78"/>
  <c r="Q231" i="78"/>
  <c r="S231" i="78"/>
  <c r="N231" i="78"/>
  <c r="P231" i="78"/>
  <c r="K231" i="78"/>
  <c r="M231" i="78"/>
  <c r="H231" i="78"/>
  <c r="J231" i="78"/>
  <c r="T230" i="78"/>
  <c r="V230" i="78"/>
  <c r="Q230" i="78"/>
  <c r="S230" i="78"/>
  <c r="N230" i="78"/>
  <c r="P230" i="78"/>
  <c r="K230" i="78"/>
  <c r="M230" i="78"/>
  <c r="H230" i="78"/>
  <c r="J230" i="78"/>
  <c r="T228" i="78"/>
  <c r="V228" i="78"/>
  <c r="Q228" i="78"/>
  <c r="S228" i="78"/>
  <c r="N228" i="78"/>
  <c r="P228" i="78"/>
  <c r="K228" i="78"/>
  <c r="M228" i="78"/>
  <c r="H228" i="78"/>
  <c r="J228" i="78"/>
  <c r="T226" i="78"/>
  <c r="V226" i="78"/>
  <c r="Q226" i="78"/>
  <c r="S226" i="78"/>
  <c r="N226" i="78"/>
  <c r="P226" i="78"/>
  <c r="K226" i="78"/>
  <c r="M226" i="78"/>
  <c r="H226" i="78"/>
  <c r="J226" i="78"/>
  <c r="T225" i="78"/>
  <c r="V225" i="78"/>
  <c r="Q225" i="78"/>
  <c r="S225" i="78"/>
  <c r="N225" i="78"/>
  <c r="P225" i="78"/>
  <c r="K225" i="78"/>
  <c r="M225" i="78"/>
  <c r="H225" i="78"/>
  <c r="J225" i="78"/>
  <c r="T224" i="78"/>
  <c r="V224" i="78"/>
  <c r="Q224" i="78"/>
  <c r="S224" i="78"/>
  <c r="N224" i="78"/>
  <c r="P224" i="78"/>
  <c r="K224" i="78"/>
  <c r="M224" i="78"/>
  <c r="H224" i="78"/>
  <c r="J224" i="78"/>
  <c r="T221" i="78"/>
  <c r="V221" i="78"/>
  <c r="Q221" i="78"/>
  <c r="S221" i="78"/>
  <c r="N221" i="78"/>
  <c r="P221" i="78"/>
  <c r="K221" i="78"/>
  <c r="M221" i="78"/>
  <c r="H221" i="78"/>
  <c r="J221" i="78"/>
  <c r="T220" i="78"/>
  <c r="V220" i="78"/>
  <c r="Q220" i="78"/>
  <c r="S220" i="78"/>
  <c r="N220" i="78"/>
  <c r="P220" i="78"/>
  <c r="K220" i="78"/>
  <c r="M220" i="78"/>
  <c r="H220" i="78"/>
  <c r="J220" i="78"/>
  <c r="T219" i="78"/>
  <c r="V219" i="78"/>
  <c r="Q219" i="78"/>
  <c r="S219" i="78"/>
  <c r="N219" i="78"/>
  <c r="P219" i="78"/>
  <c r="K219" i="78"/>
  <c r="M219" i="78"/>
  <c r="H219" i="78"/>
  <c r="J219" i="78"/>
  <c r="T218" i="78"/>
  <c r="V218" i="78"/>
  <c r="Q218" i="78"/>
  <c r="S218" i="78"/>
  <c r="N218" i="78"/>
  <c r="P218" i="78"/>
  <c r="K218" i="78"/>
  <c r="M218" i="78"/>
  <c r="H218" i="78"/>
  <c r="J218" i="78"/>
  <c r="T217" i="78"/>
  <c r="V217" i="78"/>
  <c r="Q217" i="78"/>
  <c r="S217" i="78"/>
  <c r="N217" i="78"/>
  <c r="P217" i="78"/>
  <c r="K217" i="78"/>
  <c r="M217" i="78"/>
  <c r="H217" i="78"/>
  <c r="J217" i="78"/>
  <c r="T216" i="78"/>
  <c r="V216" i="78"/>
  <c r="Q216" i="78"/>
  <c r="S216" i="78"/>
  <c r="N216" i="78"/>
  <c r="P216" i="78"/>
  <c r="K216" i="78"/>
  <c r="M216" i="78"/>
  <c r="H216" i="78"/>
  <c r="J216" i="78"/>
  <c r="T215" i="78"/>
  <c r="V215" i="78"/>
  <c r="Q215" i="78"/>
  <c r="S215" i="78"/>
  <c r="N215" i="78"/>
  <c r="P215" i="78"/>
  <c r="K215" i="78"/>
  <c r="M215" i="78"/>
  <c r="H215" i="78"/>
  <c r="J215" i="78"/>
  <c r="T214" i="78"/>
  <c r="V214" i="78"/>
  <c r="Q214" i="78"/>
  <c r="S214" i="78"/>
  <c r="N214" i="78"/>
  <c r="P214" i="78"/>
  <c r="K214" i="78"/>
  <c r="M214" i="78"/>
  <c r="H214" i="78"/>
  <c r="J214" i="78"/>
  <c r="T213" i="78"/>
  <c r="V213" i="78"/>
  <c r="Q213" i="78"/>
  <c r="S213" i="78"/>
  <c r="N213" i="78"/>
  <c r="P213" i="78"/>
  <c r="K213" i="78"/>
  <c r="M213" i="78"/>
  <c r="H213" i="78"/>
  <c r="J213" i="78"/>
  <c r="T212" i="78"/>
  <c r="V212" i="78"/>
  <c r="Q212" i="78"/>
  <c r="S212" i="78"/>
  <c r="N212" i="78"/>
  <c r="P212" i="78"/>
  <c r="K212" i="78"/>
  <c r="M212" i="78"/>
  <c r="H212" i="78"/>
  <c r="J212" i="78"/>
  <c r="T211" i="78"/>
  <c r="V211" i="78"/>
  <c r="Q211" i="78"/>
  <c r="S211" i="78"/>
  <c r="N211" i="78"/>
  <c r="P211" i="78"/>
  <c r="K211" i="78"/>
  <c r="M211" i="78"/>
  <c r="H211" i="78"/>
  <c r="J211" i="78"/>
  <c r="T210" i="78"/>
  <c r="V210" i="78"/>
  <c r="Q210" i="78"/>
  <c r="S210" i="78"/>
  <c r="N210" i="78"/>
  <c r="P210" i="78"/>
  <c r="K210" i="78"/>
  <c r="M210" i="78"/>
  <c r="H210" i="78"/>
  <c r="J210" i="78"/>
  <c r="T207" i="78"/>
  <c r="V207" i="78"/>
  <c r="Q207" i="78"/>
  <c r="S207" i="78"/>
  <c r="N207" i="78"/>
  <c r="P207" i="78"/>
  <c r="K207" i="78"/>
  <c r="M207" i="78"/>
  <c r="H207" i="78"/>
  <c r="J207" i="78"/>
  <c r="T206" i="78"/>
  <c r="V206" i="78"/>
  <c r="Q206" i="78"/>
  <c r="S206" i="78"/>
  <c r="N206" i="78"/>
  <c r="P206" i="78"/>
  <c r="K206" i="78"/>
  <c r="M206" i="78"/>
  <c r="H206" i="78"/>
  <c r="J206" i="78"/>
  <c r="T205" i="78"/>
  <c r="V205" i="78"/>
  <c r="Q205" i="78"/>
  <c r="S205" i="78"/>
  <c r="N205" i="78"/>
  <c r="P205" i="78"/>
  <c r="K205" i="78"/>
  <c r="M205" i="78"/>
  <c r="H205" i="78"/>
  <c r="J205" i="78"/>
  <c r="T204" i="78"/>
  <c r="V204" i="78"/>
  <c r="Q204" i="78"/>
  <c r="S204" i="78"/>
  <c r="N204" i="78"/>
  <c r="P204" i="78"/>
  <c r="K204" i="78"/>
  <c r="M204" i="78"/>
  <c r="H204" i="78"/>
  <c r="J204" i="78"/>
  <c r="T203" i="78"/>
  <c r="V203" i="78"/>
  <c r="Q203" i="78"/>
  <c r="S203" i="78"/>
  <c r="N203" i="78"/>
  <c r="P203" i="78"/>
  <c r="K203" i="78"/>
  <c r="H203" i="78"/>
  <c r="J203" i="78"/>
  <c r="T202" i="78"/>
  <c r="V202" i="78"/>
  <c r="Q202" i="78"/>
  <c r="S202" i="78"/>
  <c r="N202" i="78"/>
  <c r="P202" i="78"/>
  <c r="K202" i="78"/>
  <c r="M202" i="78"/>
  <c r="H202" i="78"/>
  <c r="J202" i="78"/>
  <c r="T201" i="78"/>
  <c r="V201" i="78"/>
  <c r="Q201" i="78"/>
  <c r="S201" i="78"/>
  <c r="N201" i="78"/>
  <c r="P201" i="78"/>
  <c r="K201" i="78"/>
  <c r="M201" i="78"/>
  <c r="H201" i="78"/>
  <c r="J201" i="78"/>
  <c r="T200" i="78"/>
  <c r="V200" i="78"/>
  <c r="Q200" i="78"/>
  <c r="S200" i="78"/>
  <c r="N200" i="78"/>
  <c r="P200" i="78"/>
  <c r="K200" i="78"/>
  <c r="M200" i="78"/>
  <c r="H200" i="78"/>
  <c r="J200" i="78"/>
  <c r="T199" i="78"/>
  <c r="V199" i="78"/>
  <c r="Q199" i="78"/>
  <c r="S199" i="78"/>
  <c r="N199" i="78"/>
  <c r="P199" i="78"/>
  <c r="K199" i="78"/>
  <c r="M199" i="78"/>
  <c r="H199" i="78"/>
  <c r="J199" i="78"/>
  <c r="T198" i="78"/>
  <c r="V198" i="78"/>
  <c r="Q198" i="78"/>
  <c r="S198" i="78"/>
  <c r="N198" i="78"/>
  <c r="P198" i="78"/>
  <c r="K198" i="78"/>
  <c r="M198" i="78"/>
  <c r="H198" i="78"/>
  <c r="J198" i="78"/>
  <c r="T197" i="78"/>
  <c r="V197" i="78"/>
  <c r="Q197" i="78"/>
  <c r="S197" i="78"/>
  <c r="N197" i="78"/>
  <c r="P197" i="78"/>
  <c r="K197" i="78"/>
  <c r="M197" i="78"/>
  <c r="H197" i="78"/>
  <c r="J197" i="78"/>
  <c r="T194" i="78"/>
  <c r="V194" i="78"/>
  <c r="Q194" i="78"/>
  <c r="S194" i="78"/>
  <c r="N194" i="78"/>
  <c r="P194" i="78"/>
  <c r="K194" i="78"/>
  <c r="M194" i="78"/>
  <c r="H194" i="78"/>
  <c r="J194" i="78"/>
  <c r="T190" i="78"/>
  <c r="V190" i="78"/>
  <c r="Q190" i="78"/>
  <c r="S190" i="78"/>
  <c r="N190" i="78"/>
  <c r="P190" i="78"/>
  <c r="K190" i="78"/>
  <c r="M190" i="78"/>
  <c r="H190" i="78"/>
  <c r="J190" i="78"/>
  <c r="T188" i="78"/>
  <c r="V188" i="78"/>
  <c r="Q188" i="78"/>
  <c r="S188" i="78"/>
  <c r="N188" i="78"/>
  <c r="P188" i="78"/>
  <c r="K188" i="78"/>
  <c r="M188" i="78"/>
  <c r="H188" i="78"/>
  <c r="J188" i="78"/>
  <c r="T187" i="78"/>
  <c r="V187" i="78"/>
  <c r="Q187" i="78"/>
  <c r="S187" i="78"/>
  <c r="N187" i="78"/>
  <c r="P187" i="78"/>
  <c r="K187" i="78"/>
  <c r="M187" i="78"/>
  <c r="H187" i="78"/>
  <c r="J187" i="78"/>
  <c r="T185" i="78"/>
  <c r="V185" i="78"/>
  <c r="Q185" i="78"/>
  <c r="S185" i="78"/>
  <c r="N185" i="78"/>
  <c r="P185" i="78"/>
  <c r="K185" i="78"/>
  <c r="M185" i="78"/>
  <c r="H185" i="78"/>
  <c r="J185" i="78"/>
  <c r="T180" i="78"/>
  <c r="V180" i="78"/>
  <c r="Q180" i="78"/>
  <c r="S180" i="78"/>
  <c r="N180" i="78"/>
  <c r="P180" i="78"/>
  <c r="K180" i="78"/>
  <c r="M180" i="78"/>
  <c r="H180" i="78"/>
  <c r="J180" i="78"/>
  <c r="T179" i="78"/>
  <c r="V179" i="78"/>
  <c r="Q179" i="78"/>
  <c r="S179" i="78"/>
  <c r="N179" i="78"/>
  <c r="P179" i="78"/>
  <c r="K179" i="78"/>
  <c r="M179" i="78"/>
  <c r="H179" i="78"/>
  <c r="J179" i="78"/>
  <c r="T177" i="78"/>
  <c r="V177" i="78"/>
  <c r="Q177" i="78"/>
  <c r="S177" i="78"/>
  <c r="N177" i="78"/>
  <c r="P177" i="78"/>
  <c r="K177" i="78"/>
  <c r="M177" i="78"/>
  <c r="H177" i="78"/>
  <c r="J177" i="78"/>
  <c r="T176" i="78"/>
  <c r="V176" i="78"/>
  <c r="Q176" i="78"/>
  <c r="S176" i="78"/>
  <c r="N176" i="78"/>
  <c r="P176" i="78"/>
  <c r="K176" i="78"/>
  <c r="M176" i="78"/>
  <c r="H176" i="78"/>
  <c r="J176" i="78"/>
  <c r="T173" i="78"/>
  <c r="V173" i="78"/>
  <c r="Q173" i="78"/>
  <c r="S173" i="78"/>
  <c r="N173" i="78"/>
  <c r="P173" i="78"/>
  <c r="K173" i="78"/>
  <c r="M173" i="78"/>
  <c r="H173" i="78"/>
  <c r="J173" i="78"/>
  <c r="T168" i="78"/>
  <c r="V168" i="78"/>
  <c r="Q168" i="78"/>
  <c r="S168" i="78"/>
  <c r="N168" i="78"/>
  <c r="P168" i="78"/>
  <c r="K168" i="78"/>
  <c r="M168" i="78"/>
  <c r="H168" i="78"/>
  <c r="J168" i="78"/>
  <c r="T167" i="78"/>
  <c r="V167" i="78"/>
  <c r="Q167" i="78"/>
  <c r="S167" i="78"/>
  <c r="N167" i="78"/>
  <c r="P167" i="78"/>
  <c r="K167" i="78"/>
  <c r="M167" i="78"/>
  <c r="H167" i="78"/>
  <c r="J167" i="78"/>
  <c r="T164" i="78"/>
  <c r="V164" i="78"/>
  <c r="Q164" i="78"/>
  <c r="S164" i="78"/>
  <c r="N164" i="78"/>
  <c r="P164" i="78"/>
  <c r="K164" i="78"/>
  <c r="M164" i="78"/>
  <c r="H164" i="78"/>
  <c r="J164" i="78"/>
  <c r="T161" i="78"/>
  <c r="V161" i="78"/>
  <c r="Q161" i="78"/>
  <c r="S161" i="78"/>
  <c r="N161" i="78"/>
  <c r="P161" i="78"/>
  <c r="K161" i="78"/>
  <c r="M161" i="78"/>
  <c r="H161" i="78"/>
  <c r="J161" i="78"/>
  <c r="T160" i="78"/>
  <c r="V160" i="78"/>
  <c r="Q160" i="78"/>
  <c r="S160" i="78"/>
  <c r="N160" i="78"/>
  <c r="P160" i="78"/>
  <c r="K160" i="78"/>
  <c r="M160" i="78"/>
  <c r="H160" i="78"/>
  <c r="J160" i="78"/>
  <c r="T158" i="78"/>
  <c r="V158" i="78"/>
  <c r="Q158" i="78"/>
  <c r="S158" i="78"/>
  <c r="N158" i="78"/>
  <c r="P158" i="78"/>
  <c r="K158" i="78"/>
  <c r="M158" i="78"/>
  <c r="H158" i="78"/>
  <c r="J158" i="78"/>
  <c r="T157" i="78"/>
  <c r="V157" i="78"/>
  <c r="Q157" i="78"/>
  <c r="S157" i="78"/>
  <c r="N157" i="78"/>
  <c r="P157" i="78"/>
  <c r="K157" i="78"/>
  <c r="M157" i="78"/>
  <c r="H157" i="78"/>
  <c r="J157" i="78"/>
  <c r="T156" i="78"/>
  <c r="V156" i="78"/>
  <c r="Q156" i="78"/>
  <c r="S156" i="78"/>
  <c r="N156" i="78"/>
  <c r="P156" i="78"/>
  <c r="K156" i="78"/>
  <c r="M156" i="78"/>
  <c r="H156" i="78"/>
  <c r="J156" i="78"/>
  <c r="T155" i="78"/>
  <c r="V155" i="78"/>
  <c r="Q155" i="78"/>
  <c r="S155" i="78"/>
  <c r="N155" i="78"/>
  <c r="P155" i="78"/>
  <c r="K155" i="78"/>
  <c r="M155" i="78"/>
  <c r="H155" i="78"/>
  <c r="J155" i="78"/>
  <c r="T154" i="78"/>
  <c r="V154" i="78"/>
  <c r="Q154" i="78"/>
  <c r="S154" i="78"/>
  <c r="N154" i="78"/>
  <c r="P154" i="78"/>
  <c r="K154" i="78"/>
  <c r="M154" i="78"/>
  <c r="H154" i="78"/>
  <c r="J154" i="78"/>
  <c r="T153" i="78"/>
  <c r="V153" i="78"/>
  <c r="Q153" i="78"/>
  <c r="S153" i="78"/>
  <c r="N153" i="78"/>
  <c r="P153" i="78"/>
  <c r="K153" i="78"/>
  <c r="M153" i="78"/>
  <c r="H153" i="78"/>
  <c r="J153" i="78"/>
  <c r="T152" i="78"/>
  <c r="V152" i="78"/>
  <c r="Q152" i="78"/>
  <c r="S152" i="78"/>
  <c r="N152" i="78"/>
  <c r="P152" i="78"/>
  <c r="K152" i="78"/>
  <c r="M152" i="78"/>
  <c r="H152" i="78"/>
  <c r="J152" i="78"/>
  <c r="T151" i="78"/>
  <c r="V151" i="78"/>
  <c r="Q151" i="78"/>
  <c r="S151" i="78"/>
  <c r="N151" i="78"/>
  <c r="P151" i="78"/>
  <c r="K151" i="78"/>
  <c r="M151" i="78"/>
  <c r="H151" i="78"/>
  <c r="J151" i="78"/>
  <c r="T150" i="78"/>
  <c r="V150" i="78"/>
  <c r="Q150" i="78"/>
  <c r="S150" i="78"/>
  <c r="N150" i="78"/>
  <c r="P150" i="78"/>
  <c r="K150" i="78"/>
  <c r="M150" i="78"/>
  <c r="H150" i="78"/>
  <c r="J150" i="78"/>
  <c r="T149" i="78"/>
  <c r="V149" i="78"/>
  <c r="Q149" i="78"/>
  <c r="S149" i="78"/>
  <c r="N149" i="78"/>
  <c r="P149" i="78"/>
  <c r="K149" i="78"/>
  <c r="M149" i="78"/>
  <c r="H149" i="78"/>
  <c r="J149" i="78"/>
  <c r="T148" i="78"/>
  <c r="V148" i="78"/>
  <c r="Q148" i="78"/>
  <c r="S148" i="78"/>
  <c r="N148" i="78"/>
  <c r="P148" i="78"/>
  <c r="K148" i="78"/>
  <c r="M148" i="78"/>
  <c r="H148" i="78"/>
  <c r="J148" i="78"/>
  <c r="T147" i="78"/>
  <c r="V147" i="78"/>
  <c r="Q147" i="78"/>
  <c r="S147" i="78"/>
  <c r="N147" i="78"/>
  <c r="P147" i="78"/>
  <c r="K147" i="78"/>
  <c r="M147" i="78"/>
  <c r="H147" i="78"/>
  <c r="J147" i="78"/>
  <c r="T146" i="78"/>
  <c r="V146" i="78"/>
  <c r="Q146" i="78"/>
  <c r="S146" i="78"/>
  <c r="N146" i="78"/>
  <c r="P146" i="78"/>
  <c r="K146" i="78"/>
  <c r="M146" i="78"/>
  <c r="H146" i="78"/>
  <c r="J146" i="78"/>
  <c r="T145" i="78"/>
  <c r="V145" i="78"/>
  <c r="Q145" i="78"/>
  <c r="S145" i="78"/>
  <c r="N145" i="78"/>
  <c r="P145" i="78"/>
  <c r="K145" i="78"/>
  <c r="M145" i="78"/>
  <c r="H145" i="78"/>
  <c r="J145" i="78"/>
  <c r="T144" i="78"/>
  <c r="V144" i="78"/>
  <c r="Q144" i="78"/>
  <c r="S144" i="78"/>
  <c r="N144" i="78"/>
  <c r="P144" i="78"/>
  <c r="K144" i="78"/>
  <c r="M144" i="78"/>
  <c r="H144" i="78"/>
  <c r="J144" i="78"/>
  <c r="T143" i="78"/>
  <c r="V143" i="78"/>
  <c r="Q143" i="78"/>
  <c r="S143" i="78"/>
  <c r="N143" i="78"/>
  <c r="P143" i="78"/>
  <c r="K143" i="78"/>
  <c r="M143" i="78"/>
  <c r="H143" i="78"/>
  <c r="J143" i="78"/>
  <c r="T142" i="78"/>
  <c r="V142" i="78"/>
  <c r="Q142" i="78"/>
  <c r="S142" i="78"/>
  <c r="N142" i="78"/>
  <c r="P142" i="78"/>
  <c r="K142" i="78"/>
  <c r="M142" i="78"/>
  <c r="H142" i="78"/>
  <c r="J142" i="78"/>
  <c r="T141" i="78"/>
  <c r="V141" i="78"/>
  <c r="Q141" i="78"/>
  <c r="S141" i="78"/>
  <c r="N141" i="78"/>
  <c r="P141" i="78"/>
  <c r="K141" i="78"/>
  <c r="M141" i="78"/>
  <c r="H141" i="78"/>
  <c r="J141" i="78"/>
  <c r="T140" i="78"/>
  <c r="V140" i="78"/>
  <c r="Q140" i="78"/>
  <c r="S140" i="78"/>
  <c r="N140" i="78"/>
  <c r="P140" i="78"/>
  <c r="K140" i="78"/>
  <c r="M140" i="78"/>
  <c r="H140" i="78"/>
  <c r="J140" i="78"/>
  <c r="T139" i="78"/>
  <c r="V139" i="78"/>
  <c r="Q139" i="78"/>
  <c r="S139" i="78"/>
  <c r="N139" i="78"/>
  <c r="P139" i="78"/>
  <c r="K139" i="78"/>
  <c r="M139" i="78"/>
  <c r="H139" i="78"/>
  <c r="J139" i="78"/>
  <c r="T138" i="78"/>
  <c r="V138" i="78"/>
  <c r="Q138" i="78"/>
  <c r="S138" i="78"/>
  <c r="N138" i="78"/>
  <c r="P138" i="78"/>
  <c r="K138" i="78"/>
  <c r="M138" i="78"/>
  <c r="H138" i="78"/>
  <c r="J138" i="78"/>
  <c r="T137" i="78"/>
  <c r="V137" i="78"/>
  <c r="Q137" i="78"/>
  <c r="S137" i="78"/>
  <c r="N137" i="78"/>
  <c r="P137" i="78"/>
  <c r="K137" i="78"/>
  <c r="M137" i="78"/>
  <c r="H137" i="78"/>
  <c r="J137" i="78"/>
  <c r="T136" i="78"/>
  <c r="V136" i="78"/>
  <c r="Q136" i="78"/>
  <c r="S136" i="78"/>
  <c r="N136" i="78"/>
  <c r="P136" i="78"/>
  <c r="K136" i="78"/>
  <c r="M136" i="78"/>
  <c r="H136" i="78"/>
  <c r="J136" i="78"/>
  <c r="T135" i="78"/>
  <c r="V135" i="78"/>
  <c r="Q135" i="78"/>
  <c r="S135" i="78"/>
  <c r="N135" i="78"/>
  <c r="P135" i="78"/>
  <c r="K135" i="78"/>
  <c r="M135" i="78"/>
  <c r="H135" i="78"/>
  <c r="J135" i="78"/>
  <c r="T134" i="78"/>
  <c r="V134" i="78"/>
  <c r="Q134" i="78"/>
  <c r="S134" i="78"/>
  <c r="N134" i="78"/>
  <c r="P134" i="78"/>
  <c r="K134" i="78"/>
  <c r="M134" i="78"/>
  <c r="H134" i="78"/>
  <c r="J134" i="78"/>
  <c r="T133" i="78"/>
  <c r="V133" i="78"/>
  <c r="Q133" i="78"/>
  <c r="S133" i="78"/>
  <c r="N133" i="78"/>
  <c r="P133" i="78"/>
  <c r="K133" i="78"/>
  <c r="M133" i="78"/>
  <c r="H133" i="78"/>
  <c r="J133" i="78"/>
  <c r="T132" i="78"/>
  <c r="V132" i="78"/>
  <c r="Q132" i="78"/>
  <c r="S132" i="78"/>
  <c r="N132" i="78"/>
  <c r="P132" i="78"/>
  <c r="K132" i="78"/>
  <c r="M132" i="78"/>
  <c r="H132" i="78"/>
  <c r="J132" i="78"/>
  <c r="T131" i="78"/>
  <c r="V131" i="78"/>
  <c r="Q131" i="78"/>
  <c r="S131" i="78"/>
  <c r="N131" i="78"/>
  <c r="P131" i="78"/>
  <c r="K131" i="78"/>
  <c r="M131" i="78"/>
  <c r="H131" i="78"/>
  <c r="J131" i="78"/>
  <c r="T130" i="78"/>
  <c r="V130" i="78"/>
  <c r="Q130" i="78"/>
  <c r="S130" i="78"/>
  <c r="N130" i="78"/>
  <c r="P130" i="78"/>
  <c r="K130" i="78"/>
  <c r="M130" i="78"/>
  <c r="H130" i="78"/>
  <c r="J130" i="78"/>
  <c r="T129" i="78"/>
  <c r="V129" i="78"/>
  <c r="Q129" i="78"/>
  <c r="S129" i="78"/>
  <c r="N129" i="78"/>
  <c r="P129" i="78"/>
  <c r="K129" i="78"/>
  <c r="M129" i="78"/>
  <c r="H129" i="78"/>
  <c r="J129" i="78"/>
  <c r="T128" i="78"/>
  <c r="V128" i="78"/>
  <c r="Q128" i="78"/>
  <c r="S128" i="78"/>
  <c r="N128" i="78"/>
  <c r="P128" i="78"/>
  <c r="K128" i="78"/>
  <c r="M128" i="78"/>
  <c r="H128" i="78"/>
  <c r="J128" i="78"/>
  <c r="T127" i="78"/>
  <c r="V127" i="78"/>
  <c r="Q127" i="78"/>
  <c r="S127" i="78"/>
  <c r="N127" i="78"/>
  <c r="P127" i="78"/>
  <c r="K127" i="78"/>
  <c r="M127" i="78"/>
  <c r="H127" i="78"/>
  <c r="J127" i="78"/>
  <c r="T126" i="78"/>
  <c r="V126" i="78"/>
  <c r="Q126" i="78"/>
  <c r="S126" i="78"/>
  <c r="N126" i="78"/>
  <c r="P126" i="78"/>
  <c r="K126" i="78"/>
  <c r="M126" i="78"/>
  <c r="H126" i="78"/>
  <c r="J126" i="78"/>
  <c r="T125" i="78"/>
  <c r="V125" i="78"/>
  <c r="Q125" i="78"/>
  <c r="S125" i="78"/>
  <c r="N125" i="78"/>
  <c r="P125" i="78"/>
  <c r="K125" i="78"/>
  <c r="M125" i="78"/>
  <c r="H125" i="78"/>
  <c r="J125" i="78"/>
  <c r="T124" i="78"/>
  <c r="V124" i="78"/>
  <c r="Q124" i="78"/>
  <c r="S124" i="78"/>
  <c r="N124" i="78"/>
  <c r="P124" i="78"/>
  <c r="K124" i="78"/>
  <c r="M124" i="78"/>
  <c r="H124" i="78"/>
  <c r="J124" i="78"/>
  <c r="T123" i="78"/>
  <c r="V123" i="78"/>
  <c r="Q123" i="78"/>
  <c r="S123" i="78"/>
  <c r="N123" i="78"/>
  <c r="P123" i="78"/>
  <c r="K123" i="78"/>
  <c r="M123" i="78"/>
  <c r="H123" i="78"/>
  <c r="J123" i="78"/>
  <c r="T122" i="78"/>
  <c r="V122" i="78"/>
  <c r="Q122" i="78"/>
  <c r="S122" i="78"/>
  <c r="N122" i="78"/>
  <c r="P122" i="78"/>
  <c r="K122" i="78"/>
  <c r="M122" i="78"/>
  <c r="H122" i="78"/>
  <c r="J122" i="78"/>
  <c r="T121" i="78"/>
  <c r="V121" i="78"/>
  <c r="Q121" i="78"/>
  <c r="S121" i="78"/>
  <c r="N121" i="78"/>
  <c r="P121" i="78"/>
  <c r="K121" i="78"/>
  <c r="M121" i="78"/>
  <c r="H121" i="78"/>
  <c r="J121" i="78"/>
  <c r="T120" i="78"/>
  <c r="V120" i="78"/>
  <c r="Q120" i="78"/>
  <c r="S120" i="78"/>
  <c r="N120" i="78"/>
  <c r="P120" i="78"/>
  <c r="K120" i="78"/>
  <c r="M120" i="78"/>
  <c r="H120" i="78"/>
  <c r="J120" i="78"/>
  <c r="T119" i="78"/>
  <c r="V119" i="78"/>
  <c r="Q119" i="78"/>
  <c r="S119" i="78"/>
  <c r="N119" i="78"/>
  <c r="P119" i="78"/>
  <c r="K119" i="78"/>
  <c r="M119" i="78"/>
  <c r="H119" i="78"/>
  <c r="J119" i="78"/>
  <c r="T118" i="78"/>
  <c r="V118" i="78"/>
  <c r="Q118" i="78"/>
  <c r="S118" i="78"/>
  <c r="N118" i="78"/>
  <c r="P118" i="78"/>
  <c r="K118" i="78"/>
  <c r="M118" i="78"/>
  <c r="H118" i="78"/>
  <c r="J118" i="78"/>
  <c r="T117" i="78"/>
  <c r="V117" i="78"/>
  <c r="Q117" i="78"/>
  <c r="S117" i="78"/>
  <c r="N117" i="78"/>
  <c r="P117" i="78"/>
  <c r="K117" i="78"/>
  <c r="M117" i="78"/>
  <c r="H117" i="78"/>
  <c r="J117" i="78"/>
  <c r="T116" i="78"/>
  <c r="V116" i="78"/>
  <c r="Q116" i="78"/>
  <c r="S116" i="78"/>
  <c r="N116" i="78"/>
  <c r="P116" i="78"/>
  <c r="K116" i="78"/>
  <c r="M116" i="78"/>
  <c r="H116" i="78"/>
  <c r="J116" i="78"/>
  <c r="T115" i="78"/>
  <c r="V115" i="78"/>
  <c r="Q115" i="78"/>
  <c r="S115" i="78"/>
  <c r="N115" i="78"/>
  <c r="P115" i="78"/>
  <c r="K115" i="78"/>
  <c r="M115" i="78"/>
  <c r="H115" i="78"/>
  <c r="J115" i="78"/>
  <c r="T114" i="78"/>
  <c r="V114" i="78"/>
  <c r="Q114" i="78"/>
  <c r="S114" i="78"/>
  <c r="N114" i="78"/>
  <c r="P114" i="78"/>
  <c r="K114" i="78"/>
  <c r="M114" i="78"/>
  <c r="H114" i="78"/>
  <c r="J114" i="78"/>
  <c r="T113" i="78"/>
  <c r="V113" i="78"/>
  <c r="Q113" i="78"/>
  <c r="S113" i="78"/>
  <c r="N113" i="78"/>
  <c r="P113" i="78"/>
  <c r="K113" i="78"/>
  <c r="M113" i="78"/>
  <c r="H113" i="78"/>
  <c r="J113" i="78"/>
  <c r="T112" i="78"/>
  <c r="V112" i="78"/>
  <c r="Q112" i="78"/>
  <c r="S112" i="78"/>
  <c r="N112" i="78"/>
  <c r="P112" i="78"/>
  <c r="K112" i="78"/>
  <c r="M112" i="78"/>
  <c r="H112" i="78"/>
  <c r="J112" i="78"/>
  <c r="T111" i="78"/>
  <c r="V111" i="78"/>
  <c r="Q111" i="78"/>
  <c r="S111" i="78"/>
  <c r="N111" i="78"/>
  <c r="P111" i="78"/>
  <c r="K111" i="78"/>
  <c r="M111" i="78"/>
  <c r="H111" i="78"/>
  <c r="J111" i="78"/>
  <c r="T110" i="78"/>
  <c r="V110" i="78"/>
  <c r="Q110" i="78"/>
  <c r="S110" i="78"/>
  <c r="N110" i="78"/>
  <c r="P110" i="78"/>
  <c r="K110" i="78"/>
  <c r="M110" i="78"/>
  <c r="H110" i="78"/>
  <c r="J110" i="78"/>
  <c r="T109" i="78"/>
  <c r="V109" i="78"/>
  <c r="Q109" i="78"/>
  <c r="S109" i="78"/>
  <c r="N109" i="78"/>
  <c r="P109" i="78"/>
  <c r="K109" i="78"/>
  <c r="M109" i="78"/>
  <c r="H109" i="78"/>
  <c r="J109" i="78"/>
  <c r="T108" i="78"/>
  <c r="V108" i="78"/>
  <c r="Q108" i="78"/>
  <c r="S108" i="78"/>
  <c r="N108" i="78"/>
  <c r="P108" i="78"/>
  <c r="K108" i="78"/>
  <c r="M108" i="78"/>
  <c r="H108" i="78"/>
  <c r="J108" i="78"/>
  <c r="T107" i="78"/>
  <c r="V107" i="78"/>
  <c r="Q107" i="78"/>
  <c r="S107" i="78"/>
  <c r="N107" i="78"/>
  <c r="P107" i="78"/>
  <c r="K107" i="78"/>
  <c r="M107" i="78"/>
  <c r="H107" i="78"/>
  <c r="J107" i="78"/>
  <c r="T106" i="78"/>
  <c r="V106" i="78"/>
  <c r="Q106" i="78"/>
  <c r="S106" i="78"/>
  <c r="N106" i="78"/>
  <c r="P106" i="78"/>
  <c r="K106" i="78"/>
  <c r="M106" i="78"/>
  <c r="H106" i="78"/>
  <c r="J106" i="78"/>
  <c r="T105" i="78"/>
  <c r="V105" i="78"/>
  <c r="Q105" i="78"/>
  <c r="S105" i="78"/>
  <c r="N105" i="78"/>
  <c r="P105" i="78"/>
  <c r="K105" i="78"/>
  <c r="M105" i="78"/>
  <c r="H105" i="78"/>
  <c r="J105" i="78"/>
  <c r="T104" i="78"/>
  <c r="V104" i="78"/>
  <c r="Q104" i="78"/>
  <c r="S104" i="78"/>
  <c r="N104" i="78"/>
  <c r="P104" i="78"/>
  <c r="K104" i="78"/>
  <c r="M104" i="78"/>
  <c r="H104" i="78"/>
  <c r="J104" i="78"/>
  <c r="T103" i="78"/>
  <c r="V103" i="78"/>
  <c r="Q103" i="78"/>
  <c r="S103" i="78"/>
  <c r="N103" i="78"/>
  <c r="P103" i="78"/>
  <c r="K103" i="78"/>
  <c r="M103" i="78"/>
  <c r="H103" i="78"/>
  <c r="J103" i="78"/>
  <c r="T102" i="78"/>
  <c r="V102" i="78"/>
  <c r="Q102" i="78"/>
  <c r="S102" i="78"/>
  <c r="N102" i="78"/>
  <c r="P102" i="78"/>
  <c r="K102" i="78"/>
  <c r="M102" i="78"/>
  <c r="H102" i="78"/>
  <c r="J102" i="78"/>
  <c r="T101" i="78"/>
  <c r="V101" i="78"/>
  <c r="Q101" i="78"/>
  <c r="S101" i="78"/>
  <c r="N101" i="78"/>
  <c r="P101" i="78"/>
  <c r="K101" i="78"/>
  <c r="M101" i="78"/>
  <c r="H101" i="78"/>
  <c r="J101" i="78"/>
  <c r="T100" i="78"/>
  <c r="V100" i="78"/>
  <c r="Q100" i="78"/>
  <c r="S100" i="78"/>
  <c r="N100" i="78"/>
  <c r="P100" i="78"/>
  <c r="K100" i="78"/>
  <c r="M100" i="78"/>
  <c r="H100" i="78"/>
  <c r="J100" i="78"/>
  <c r="T99" i="78"/>
  <c r="V99" i="78"/>
  <c r="Q99" i="78"/>
  <c r="S99" i="78"/>
  <c r="N99" i="78"/>
  <c r="P99" i="78"/>
  <c r="K99" i="78"/>
  <c r="M99" i="78"/>
  <c r="H99" i="78"/>
  <c r="J99" i="78"/>
  <c r="T98" i="78"/>
  <c r="V98" i="78"/>
  <c r="Q98" i="78"/>
  <c r="S98" i="78"/>
  <c r="N98" i="78"/>
  <c r="P98" i="78"/>
  <c r="K98" i="78"/>
  <c r="M98" i="78"/>
  <c r="H98" i="78"/>
  <c r="J98" i="78"/>
  <c r="T96" i="78"/>
  <c r="V96" i="78"/>
  <c r="Q96" i="78"/>
  <c r="S96" i="78"/>
  <c r="N96" i="78"/>
  <c r="P96" i="78"/>
  <c r="K96" i="78"/>
  <c r="M96" i="78"/>
  <c r="H96" i="78"/>
  <c r="J96" i="78"/>
  <c r="T95" i="78"/>
  <c r="V95" i="78"/>
  <c r="Q95" i="78"/>
  <c r="S95" i="78"/>
  <c r="N95" i="78"/>
  <c r="P95" i="78"/>
  <c r="K95" i="78"/>
  <c r="M95" i="78"/>
  <c r="H95" i="78"/>
  <c r="J95" i="78"/>
  <c r="T94" i="78"/>
  <c r="V94" i="78"/>
  <c r="Q94" i="78"/>
  <c r="S94" i="78"/>
  <c r="N94" i="78"/>
  <c r="P94" i="78"/>
  <c r="K94" i="78"/>
  <c r="M94" i="78"/>
  <c r="H94" i="78"/>
  <c r="J94" i="78"/>
  <c r="T91" i="78"/>
  <c r="V91" i="78"/>
  <c r="Q91" i="78"/>
  <c r="S91" i="78"/>
  <c r="N91" i="78"/>
  <c r="P91" i="78"/>
  <c r="K91" i="78"/>
  <c r="M91" i="78"/>
  <c r="H91" i="78"/>
  <c r="J91" i="78"/>
  <c r="T89" i="78"/>
  <c r="V89" i="78"/>
  <c r="Q89" i="78"/>
  <c r="S89" i="78"/>
  <c r="N89" i="78"/>
  <c r="P89" i="78"/>
  <c r="K89" i="78"/>
  <c r="M89" i="78"/>
  <c r="H89" i="78"/>
  <c r="J89" i="78"/>
  <c r="T88" i="78"/>
  <c r="V88" i="78"/>
  <c r="Q88" i="78"/>
  <c r="S88" i="78"/>
  <c r="N88" i="78"/>
  <c r="P88" i="78"/>
  <c r="K88" i="78"/>
  <c r="M88" i="78"/>
  <c r="H88" i="78"/>
  <c r="J88" i="78"/>
  <c r="T87" i="78"/>
  <c r="V87" i="78"/>
  <c r="Q87" i="78"/>
  <c r="S87" i="78"/>
  <c r="N87" i="78"/>
  <c r="P87" i="78"/>
  <c r="K87" i="78"/>
  <c r="M87" i="78"/>
  <c r="H87" i="78"/>
  <c r="J87" i="78"/>
  <c r="T86" i="78"/>
  <c r="V86" i="78"/>
  <c r="Q86" i="78"/>
  <c r="S86" i="78"/>
  <c r="N86" i="78"/>
  <c r="P86" i="78"/>
  <c r="K86" i="78"/>
  <c r="M86" i="78"/>
  <c r="H86" i="78"/>
  <c r="J86" i="78"/>
  <c r="T85" i="78"/>
  <c r="V85" i="78"/>
  <c r="Q85" i="78"/>
  <c r="S85" i="78"/>
  <c r="N85" i="78"/>
  <c r="P85" i="78"/>
  <c r="K85" i="78"/>
  <c r="M85" i="78"/>
  <c r="H85" i="78"/>
  <c r="J85" i="78"/>
  <c r="T84" i="78"/>
  <c r="V84" i="78"/>
  <c r="Q84" i="78"/>
  <c r="S84" i="78"/>
  <c r="N84" i="78"/>
  <c r="P84" i="78"/>
  <c r="K84" i="78"/>
  <c r="M84" i="78"/>
  <c r="H84" i="78"/>
  <c r="J84" i="78"/>
  <c r="T83" i="78"/>
  <c r="V83" i="78"/>
  <c r="Q83" i="78"/>
  <c r="S83" i="78"/>
  <c r="N83" i="78"/>
  <c r="P83" i="78"/>
  <c r="K83" i="78"/>
  <c r="M83" i="78"/>
  <c r="H83" i="78"/>
  <c r="J83" i="78"/>
  <c r="T82" i="78"/>
  <c r="V82" i="78"/>
  <c r="Q82" i="78"/>
  <c r="S82" i="78"/>
  <c r="N82" i="78"/>
  <c r="P82" i="78"/>
  <c r="K82" i="78"/>
  <c r="M82" i="78"/>
  <c r="H82" i="78"/>
  <c r="J82" i="78"/>
  <c r="T81" i="78"/>
  <c r="V81" i="78"/>
  <c r="Q81" i="78"/>
  <c r="S81" i="78"/>
  <c r="N81" i="78"/>
  <c r="P81" i="78"/>
  <c r="K81" i="78"/>
  <c r="M81" i="78"/>
  <c r="H81" i="78"/>
  <c r="J81" i="78"/>
  <c r="T80" i="78"/>
  <c r="V80" i="78"/>
  <c r="Q80" i="78"/>
  <c r="S80" i="78"/>
  <c r="N80" i="78"/>
  <c r="P80" i="78"/>
  <c r="K80" i="78"/>
  <c r="M80" i="78"/>
  <c r="H80" i="78"/>
  <c r="J80" i="78"/>
  <c r="T78" i="78"/>
  <c r="V78" i="78"/>
  <c r="Q78" i="78"/>
  <c r="S78" i="78"/>
  <c r="N78" i="78"/>
  <c r="P78" i="78"/>
  <c r="K78" i="78"/>
  <c r="M78" i="78"/>
  <c r="H78" i="78"/>
  <c r="J78" i="78"/>
  <c r="T77" i="78"/>
  <c r="V77" i="78"/>
  <c r="Q77" i="78"/>
  <c r="S77" i="78"/>
  <c r="N77" i="78"/>
  <c r="P77" i="78"/>
  <c r="K77" i="78"/>
  <c r="M77" i="78"/>
  <c r="H77" i="78"/>
  <c r="J77" i="78"/>
  <c r="T76" i="78"/>
  <c r="V76" i="78"/>
  <c r="Q76" i="78"/>
  <c r="S76" i="78"/>
  <c r="N76" i="78"/>
  <c r="P76" i="78"/>
  <c r="K76" i="78"/>
  <c r="M76" i="78"/>
  <c r="H76" i="78"/>
  <c r="J76" i="78"/>
  <c r="T75" i="78"/>
  <c r="V75" i="78"/>
  <c r="Q75" i="78"/>
  <c r="S75" i="78"/>
  <c r="N75" i="78"/>
  <c r="P75" i="78"/>
  <c r="K75" i="78"/>
  <c r="M75" i="78"/>
  <c r="H75" i="78"/>
  <c r="J75" i="78"/>
  <c r="T74" i="78"/>
  <c r="V74" i="78"/>
  <c r="Q74" i="78"/>
  <c r="S74" i="78"/>
  <c r="N74" i="78"/>
  <c r="P74" i="78"/>
  <c r="K74" i="78"/>
  <c r="M74" i="78"/>
  <c r="H74" i="78"/>
  <c r="J74" i="78"/>
  <c r="T73" i="78"/>
  <c r="V73" i="78"/>
  <c r="Q73" i="78"/>
  <c r="S73" i="78"/>
  <c r="N73" i="78"/>
  <c r="P73" i="78"/>
  <c r="K73" i="78"/>
  <c r="M73" i="78"/>
  <c r="H73" i="78"/>
  <c r="J73" i="78"/>
  <c r="T72" i="78"/>
  <c r="V72" i="78"/>
  <c r="Q72" i="78"/>
  <c r="S72" i="78"/>
  <c r="N72" i="78"/>
  <c r="P72" i="78"/>
  <c r="K72" i="78"/>
  <c r="M72" i="78"/>
  <c r="H72" i="78"/>
  <c r="J72" i="78"/>
  <c r="T68" i="78"/>
  <c r="V68" i="78"/>
  <c r="Q68" i="78"/>
  <c r="S68" i="78"/>
  <c r="N68" i="78"/>
  <c r="P68" i="78"/>
  <c r="K68" i="78"/>
  <c r="M68" i="78"/>
  <c r="H68" i="78"/>
  <c r="J68" i="78"/>
  <c r="T67" i="78"/>
  <c r="V67" i="78"/>
  <c r="Q67" i="78"/>
  <c r="S67" i="78"/>
  <c r="N67" i="78"/>
  <c r="P67" i="78"/>
  <c r="K67" i="78"/>
  <c r="M67" i="78"/>
  <c r="H67" i="78"/>
  <c r="J67" i="78"/>
  <c r="T65" i="78"/>
  <c r="V65" i="78"/>
  <c r="Q65" i="78"/>
  <c r="S65" i="78"/>
  <c r="N65" i="78"/>
  <c r="P65" i="78"/>
  <c r="K65" i="78"/>
  <c r="M65" i="78"/>
  <c r="H65" i="78"/>
  <c r="J65" i="78"/>
  <c r="T61" i="78"/>
  <c r="V61" i="78"/>
  <c r="Q61" i="78"/>
  <c r="S61" i="78"/>
  <c r="N61" i="78"/>
  <c r="P61" i="78"/>
  <c r="K61" i="78"/>
  <c r="M61" i="78"/>
  <c r="H61" i="78"/>
  <c r="J61" i="78"/>
  <c r="T60" i="78"/>
  <c r="V60" i="78"/>
  <c r="Q60" i="78"/>
  <c r="S60" i="78"/>
  <c r="N60" i="78"/>
  <c r="P60" i="78"/>
  <c r="K60" i="78"/>
  <c r="M60" i="78"/>
  <c r="H60" i="78"/>
  <c r="J60" i="78"/>
  <c r="T59" i="78"/>
  <c r="V59" i="78"/>
  <c r="Q59" i="78"/>
  <c r="S59" i="78"/>
  <c r="N59" i="78"/>
  <c r="P59" i="78"/>
  <c r="K59" i="78"/>
  <c r="M59" i="78"/>
  <c r="H59" i="78"/>
  <c r="J59" i="78"/>
  <c r="T58" i="78"/>
  <c r="V58" i="78"/>
  <c r="Q58" i="78"/>
  <c r="S58" i="78"/>
  <c r="N58" i="78"/>
  <c r="P58" i="78"/>
  <c r="K58" i="78"/>
  <c r="M58" i="78"/>
  <c r="H58" i="78"/>
  <c r="J58" i="78"/>
  <c r="T57" i="78"/>
  <c r="V57" i="78"/>
  <c r="Q57" i="78"/>
  <c r="S57" i="78"/>
  <c r="N57" i="78"/>
  <c r="P57" i="78"/>
  <c r="K57" i="78"/>
  <c r="M57" i="78"/>
  <c r="H57" i="78"/>
  <c r="J57" i="78"/>
  <c r="T55" i="78"/>
  <c r="V55" i="78"/>
  <c r="Q55" i="78"/>
  <c r="S55" i="78"/>
  <c r="N55" i="78"/>
  <c r="P55" i="78"/>
  <c r="K55" i="78"/>
  <c r="M55" i="78"/>
  <c r="H55" i="78"/>
  <c r="J55" i="78"/>
  <c r="T52" i="78"/>
  <c r="V52" i="78"/>
  <c r="Q52" i="78"/>
  <c r="S52" i="78"/>
  <c r="N52" i="78"/>
  <c r="P52" i="78"/>
  <c r="K52" i="78"/>
  <c r="M52" i="78"/>
  <c r="H52" i="78"/>
  <c r="J52" i="78"/>
  <c r="T51" i="78"/>
  <c r="V51" i="78"/>
  <c r="Q51" i="78"/>
  <c r="S51" i="78"/>
  <c r="N51" i="78"/>
  <c r="P51" i="78"/>
  <c r="K51" i="78"/>
  <c r="M51" i="78"/>
  <c r="H51" i="78"/>
  <c r="J51" i="78"/>
  <c r="T50" i="78"/>
  <c r="V50" i="78"/>
  <c r="Q50" i="78"/>
  <c r="S50" i="78"/>
  <c r="N50" i="78"/>
  <c r="P50" i="78"/>
  <c r="K50" i="78"/>
  <c r="M50" i="78"/>
  <c r="H50" i="78"/>
  <c r="J50" i="78"/>
  <c r="T48" i="78"/>
  <c r="V48" i="78"/>
  <c r="Q48" i="78"/>
  <c r="S48" i="78"/>
  <c r="N48" i="78"/>
  <c r="P48" i="78"/>
  <c r="K48" i="78"/>
  <c r="M48" i="78"/>
  <c r="H48" i="78"/>
  <c r="J48" i="78"/>
  <c r="T47" i="78"/>
  <c r="V47" i="78"/>
  <c r="Q47" i="78"/>
  <c r="S47" i="78"/>
  <c r="N47" i="78"/>
  <c r="P47" i="78"/>
  <c r="K47" i="78"/>
  <c r="M47" i="78"/>
  <c r="H47" i="78"/>
  <c r="J47" i="78"/>
  <c r="T46" i="78"/>
  <c r="V46" i="78"/>
  <c r="Q46" i="78"/>
  <c r="S46" i="78"/>
  <c r="N46" i="78"/>
  <c r="P46" i="78"/>
  <c r="K46" i="78"/>
  <c r="M46" i="78"/>
  <c r="H46" i="78"/>
  <c r="J46" i="78"/>
  <c r="T44" i="78"/>
  <c r="V44" i="78"/>
  <c r="Q44" i="78"/>
  <c r="S44" i="78"/>
  <c r="N44" i="78"/>
  <c r="P44" i="78"/>
  <c r="K44" i="78"/>
  <c r="M44" i="78"/>
  <c r="H44" i="78"/>
  <c r="J44" i="78"/>
  <c r="T41" i="78"/>
  <c r="V41" i="78"/>
  <c r="Q41" i="78"/>
  <c r="S41" i="78"/>
  <c r="N41" i="78"/>
  <c r="P41" i="78"/>
  <c r="K41" i="78"/>
  <c r="M41" i="78"/>
  <c r="H41" i="78"/>
  <c r="J41" i="78"/>
  <c r="T35" i="78"/>
  <c r="V35" i="78"/>
  <c r="Q35" i="78"/>
  <c r="S35" i="78"/>
  <c r="N35" i="78"/>
  <c r="P35" i="78"/>
  <c r="K35" i="78"/>
  <c r="M35" i="78"/>
  <c r="H35" i="78"/>
  <c r="J35" i="78"/>
  <c r="T34" i="78"/>
  <c r="V34" i="78"/>
  <c r="Q34" i="78"/>
  <c r="S34" i="78"/>
  <c r="N34" i="78"/>
  <c r="P34" i="78"/>
  <c r="K34" i="78"/>
  <c r="M34" i="78"/>
  <c r="H34" i="78"/>
  <c r="J34" i="78"/>
  <c r="T33" i="78"/>
  <c r="V33" i="78"/>
  <c r="Q33" i="78"/>
  <c r="S33" i="78"/>
  <c r="N33" i="78"/>
  <c r="P33" i="78"/>
  <c r="K33" i="78"/>
  <c r="M33" i="78"/>
  <c r="H33" i="78"/>
  <c r="J33" i="78"/>
  <c r="T32" i="78"/>
  <c r="V32" i="78"/>
  <c r="Q32" i="78"/>
  <c r="S32" i="78"/>
  <c r="N32" i="78"/>
  <c r="P32" i="78"/>
  <c r="K32" i="78"/>
  <c r="M32" i="78"/>
  <c r="H32" i="78"/>
  <c r="J32" i="78"/>
  <c r="T29" i="78"/>
  <c r="V29" i="78"/>
  <c r="Q29" i="78"/>
  <c r="S29" i="78"/>
  <c r="N29" i="78"/>
  <c r="P29" i="78"/>
  <c r="K29" i="78"/>
  <c r="M29" i="78"/>
  <c r="H29" i="78"/>
  <c r="J29" i="78"/>
  <c r="T25" i="78"/>
  <c r="V25" i="78"/>
  <c r="Q25" i="78"/>
  <c r="S25" i="78"/>
  <c r="N25" i="78"/>
  <c r="P25" i="78"/>
  <c r="K25" i="78"/>
  <c r="M25" i="78"/>
  <c r="H25" i="78"/>
  <c r="J25" i="78"/>
  <c r="T24" i="78"/>
  <c r="V24" i="78"/>
  <c r="Q24" i="78"/>
  <c r="S24" i="78"/>
  <c r="N24" i="78"/>
  <c r="P24" i="78"/>
  <c r="K24" i="78"/>
  <c r="M24" i="78"/>
  <c r="H24" i="78"/>
  <c r="J24" i="78"/>
  <c r="T23" i="78"/>
  <c r="V23" i="78"/>
  <c r="Q23" i="78"/>
  <c r="S23" i="78"/>
  <c r="N23" i="78"/>
  <c r="P23" i="78"/>
  <c r="K23" i="78"/>
  <c r="M23" i="78"/>
  <c r="H23" i="78"/>
  <c r="J23" i="78"/>
  <c r="T22" i="78"/>
  <c r="V22" i="78"/>
  <c r="Q22" i="78"/>
  <c r="S22" i="78"/>
  <c r="N22" i="78"/>
  <c r="P22" i="78"/>
  <c r="K22" i="78"/>
  <c r="M22" i="78"/>
  <c r="H22" i="78"/>
  <c r="J22" i="78"/>
  <c r="T21" i="78"/>
  <c r="V21" i="78"/>
  <c r="Q21" i="78"/>
  <c r="S21" i="78"/>
  <c r="N21" i="78"/>
  <c r="P21" i="78"/>
  <c r="K21" i="78"/>
  <c r="M21" i="78"/>
  <c r="H21" i="78"/>
  <c r="J21" i="78"/>
  <c r="T20" i="78"/>
  <c r="V20" i="78"/>
  <c r="Q20" i="78"/>
  <c r="S20" i="78"/>
  <c r="N20" i="78"/>
  <c r="P20" i="78"/>
  <c r="K20" i="78"/>
  <c r="M20" i="78"/>
  <c r="H20" i="78"/>
  <c r="J20" i="78"/>
  <c r="T19" i="78"/>
  <c r="V19" i="78"/>
  <c r="Q19" i="78"/>
  <c r="S19" i="78"/>
  <c r="N19" i="78"/>
  <c r="P19" i="78"/>
  <c r="K19" i="78"/>
  <c r="M19" i="78"/>
  <c r="H19" i="78"/>
  <c r="J19" i="78"/>
  <c r="T18" i="78"/>
  <c r="V18" i="78"/>
  <c r="Q18" i="78"/>
  <c r="S18" i="78"/>
  <c r="N18" i="78"/>
  <c r="P18" i="78"/>
  <c r="K18" i="78"/>
  <c r="M18" i="78"/>
  <c r="H18" i="78"/>
  <c r="J18" i="78"/>
  <c r="T17" i="78"/>
  <c r="V17" i="78"/>
  <c r="Q17" i="78"/>
  <c r="S17" i="78"/>
  <c r="N17" i="78"/>
  <c r="P17" i="78"/>
  <c r="K17" i="78"/>
  <c r="M17" i="78"/>
  <c r="H17" i="78"/>
  <c r="J17" i="78"/>
  <c r="T16" i="78"/>
  <c r="V16" i="78"/>
  <c r="Q16" i="78"/>
  <c r="S16" i="78"/>
  <c r="N16" i="78"/>
  <c r="P16" i="78"/>
  <c r="K16" i="78"/>
  <c r="M16" i="78"/>
  <c r="H16" i="78"/>
  <c r="J16" i="78"/>
  <c r="T15" i="78"/>
  <c r="V15" i="78"/>
  <c r="Q15" i="78"/>
  <c r="S15" i="78"/>
  <c r="N15" i="78"/>
  <c r="P15" i="78"/>
  <c r="K15" i="78"/>
  <c r="M15" i="78"/>
  <c r="H15" i="78"/>
  <c r="J15" i="78"/>
  <c r="T14" i="78"/>
  <c r="V14" i="78"/>
  <c r="Q14" i="78"/>
  <c r="S14" i="78"/>
  <c r="N14" i="78"/>
  <c r="P14" i="78"/>
  <c r="K14" i="78"/>
  <c r="M14" i="78"/>
  <c r="H14" i="78"/>
  <c r="J14" i="78"/>
  <c r="T13" i="78"/>
  <c r="V13" i="78"/>
  <c r="Q13" i="78"/>
  <c r="S13" i="78"/>
  <c r="N13" i="78"/>
  <c r="P13" i="78"/>
  <c r="K13" i="78"/>
  <c r="M13" i="78"/>
  <c r="H13" i="78"/>
  <c r="J13" i="78"/>
  <c r="T12" i="78"/>
  <c r="V12" i="78"/>
  <c r="Q12" i="78"/>
  <c r="S12" i="78"/>
  <c r="N12" i="78"/>
  <c r="P12" i="78"/>
  <c r="K12" i="78"/>
  <c r="M12" i="78"/>
  <c r="H12" i="78"/>
  <c r="J12" i="78"/>
  <c r="T11" i="78"/>
  <c r="V11" i="78"/>
  <c r="Q11" i="78"/>
  <c r="S11" i="78"/>
  <c r="N11" i="78"/>
  <c r="P11" i="78"/>
  <c r="K11" i="78"/>
  <c r="M11" i="78"/>
  <c r="H11" i="78"/>
  <c r="J11" i="78"/>
  <c r="T10" i="78"/>
  <c r="V10" i="78"/>
  <c r="Q10" i="78"/>
  <c r="S10" i="78"/>
  <c r="N10" i="78"/>
  <c r="P10" i="78"/>
  <c r="K10" i="78"/>
  <c r="M10" i="78"/>
  <c r="H10" i="78"/>
  <c r="J10" i="78"/>
  <c r="T6" i="78"/>
  <c r="V6" i="78"/>
  <c r="Q6" i="78"/>
  <c r="S6" i="78"/>
  <c r="N6" i="78"/>
  <c r="P6" i="78"/>
  <c r="K6" i="78"/>
  <c r="M6" i="78"/>
  <c r="H6" i="78"/>
  <c r="J6" i="78"/>
  <c r="T5" i="78"/>
  <c r="V5" i="78"/>
  <c r="Q5" i="78"/>
  <c r="S5" i="78"/>
  <c r="N5" i="78"/>
  <c r="P5" i="78"/>
  <c r="K5" i="78"/>
  <c r="M5" i="78"/>
  <c r="H5" i="78"/>
  <c r="J5" i="78"/>
  <c r="C1" i="78"/>
  <c r="Z15" i="67"/>
  <c r="AE15" i="67"/>
  <c r="N18" i="76"/>
  <c r="N22" i="76"/>
  <c r="N26" i="76"/>
  <c r="N30" i="76"/>
  <c r="N34" i="76"/>
  <c r="F34" i="76"/>
  <c r="N38" i="76"/>
  <c r="F38" i="76"/>
  <c r="N42" i="76"/>
  <c r="F42" i="76"/>
  <c r="N46" i="76"/>
  <c r="F46" i="76"/>
  <c r="O3" i="76"/>
  <c r="O7" i="76"/>
  <c r="N6" i="76"/>
  <c r="N10" i="76"/>
  <c r="N14" i="76"/>
  <c r="F14" i="76"/>
  <c r="O27" i="76"/>
  <c r="L27" i="76"/>
  <c r="O23" i="76"/>
  <c r="L23" i="76"/>
  <c r="O19" i="76"/>
  <c r="O15" i="76"/>
  <c r="O11" i="76"/>
  <c r="O6" i="76"/>
  <c r="N3" i="76"/>
  <c r="N7" i="76"/>
  <c r="F7" i="76"/>
  <c r="N11" i="76"/>
  <c r="N15" i="76"/>
  <c r="N19" i="76"/>
  <c r="N23" i="76"/>
  <c r="N27" i="76"/>
  <c r="F27" i="76"/>
  <c r="N31" i="76"/>
  <c r="N35" i="76"/>
  <c r="N39" i="76"/>
  <c r="F39" i="76"/>
  <c r="N43" i="76"/>
  <c r="O28" i="76"/>
  <c r="O24" i="76"/>
  <c r="O20" i="76"/>
  <c r="L20" i="76"/>
  <c r="O16" i="76"/>
  <c r="O12" i="76"/>
  <c r="L12" i="76"/>
  <c r="O8" i="76"/>
  <c r="L8" i="76"/>
  <c r="O25" i="76"/>
  <c r="O21" i="76"/>
  <c r="O17" i="76"/>
  <c r="L17" i="76"/>
  <c r="O13" i="76"/>
  <c r="O9" i="76"/>
  <c r="O4" i="76"/>
  <c r="N5" i="76"/>
  <c r="F5" i="76"/>
  <c r="N13" i="76"/>
  <c r="N17" i="76"/>
  <c r="F17" i="76"/>
  <c r="N21" i="76"/>
  <c r="F21" i="76"/>
  <c r="N25" i="76"/>
  <c r="N29" i="76"/>
  <c r="N33" i="76"/>
  <c r="N37" i="76"/>
  <c r="N41" i="76"/>
  <c r="F41" i="76"/>
  <c r="N45" i="76"/>
  <c r="O26" i="76"/>
  <c r="O22" i="76"/>
  <c r="O18" i="76"/>
  <c r="O14" i="76"/>
  <c r="O10" i="76"/>
  <c r="O5" i="76"/>
  <c r="N4" i="76"/>
  <c r="N8" i="76"/>
  <c r="N12" i="76"/>
  <c r="N16" i="76"/>
  <c r="N20" i="76"/>
  <c r="N24" i="76"/>
  <c r="N28" i="76"/>
  <c r="N32" i="76"/>
  <c r="F32" i="76"/>
  <c r="N36" i="76"/>
  <c r="N40" i="76"/>
  <c r="N44" i="76"/>
  <c r="F44" i="76"/>
  <c r="O30" i="76"/>
  <c r="N48" i="76"/>
  <c r="F48" i="76"/>
  <c r="O31" i="76"/>
  <c r="L31" i="76"/>
  <c r="N47" i="76"/>
  <c r="O29" i="76"/>
  <c r="L29" i="76"/>
  <c r="AE32" i="29"/>
  <c r="AA32" i="29"/>
  <c r="AG32" i="29"/>
  <c r="AF320" i="29"/>
  <c r="M203" i="78"/>
  <c r="J395" i="78"/>
  <c r="Z16" i="67"/>
  <c r="AE16" i="67"/>
  <c r="U319" i="29"/>
  <c r="U318" i="29"/>
  <c r="U317" i="29"/>
  <c r="U316" i="29"/>
  <c r="U315" i="29"/>
  <c r="U314" i="29"/>
  <c r="AH314" i="29"/>
  <c r="U313" i="29"/>
  <c r="AH313" i="29"/>
  <c r="U312" i="29"/>
  <c r="U311" i="29"/>
  <c r="U310" i="29"/>
  <c r="U309" i="29"/>
  <c r="U308" i="29"/>
  <c r="U307" i="29"/>
  <c r="U306" i="29"/>
  <c r="U305" i="29"/>
  <c r="U304" i="29"/>
  <c r="U303" i="29"/>
  <c r="U302" i="29"/>
  <c r="U301" i="29"/>
  <c r="U300" i="29"/>
  <c r="U299" i="29"/>
  <c r="U298" i="29"/>
  <c r="U297" i="29"/>
  <c r="U296" i="29"/>
  <c r="U295" i="29"/>
  <c r="U294" i="29"/>
  <c r="U293" i="29"/>
  <c r="U292" i="29"/>
  <c r="U291" i="29"/>
  <c r="U290" i="29"/>
  <c r="U289" i="29"/>
  <c r="U288" i="29"/>
  <c r="U287" i="29"/>
  <c r="U286" i="29"/>
  <c r="U285" i="29"/>
  <c r="U284" i="29"/>
  <c r="U283" i="29"/>
  <c r="U282" i="29"/>
  <c r="U281" i="29"/>
  <c r="U280" i="29"/>
  <c r="U279" i="29"/>
  <c r="Z17" i="67"/>
  <c r="AE17" i="67"/>
  <c r="AB293" i="29"/>
  <c r="U345" i="29"/>
  <c r="AB345" i="29"/>
  <c r="V292" i="29"/>
  <c r="V345" i="29"/>
  <c r="AD296" i="29"/>
  <c r="U349" i="29"/>
  <c r="AD349" i="29"/>
  <c r="V296" i="29"/>
  <c r="V349" i="29"/>
  <c r="U353" i="29"/>
  <c r="AD353" i="29"/>
  <c r="V300" i="29"/>
  <c r="V353" i="29"/>
  <c r="AD304" i="29"/>
  <c r="U357" i="29"/>
  <c r="AD357" i="29"/>
  <c r="V304" i="29"/>
  <c r="V357" i="29"/>
  <c r="AF308" i="29"/>
  <c r="U361" i="29"/>
  <c r="AF361" i="29"/>
  <c r="V308" i="29"/>
  <c r="V361" i="29"/>
  <c r="U365" i="29"/>
  <c r="AH365" i="29"/>
  <c r="V312" i="29"/>
  <c r="V365" i="29"/>
  <c r="U369" i="29"/>
  <c r="V316" i="29"/>
  <c r="V369" i="29"/>
  <c r="Z284" i="29"/>
  <c r="U337" i="29"/>
  <c r="Z337" i="29"/>
  <c r="U332" i="29"/>
  <c r="Z332" i="29"/>
  <c r="V291" i="29"/>
  <c r="V344" i="29"/>
  <c r="AB292" i="29"/>
  <c r="U344" i="29"/>
  <c r="AB344" i="29"/>
  <c r="V295" i="29"/>
  <c r="U348" i="29"/>
  <c r="AD348" i="29"/>
  <c r="V299" i="29"/>
  <c r="V352" i="29"/>
  <c r="U352" i="29"/>
  <c r="AD352" i="29"/>
  <c r="V303" i="29"/>
  <c r="V356" i="29"/>
  <c r="AD303" i="29"/>
  <c r="U356" i="29"/>
  <c r="AD356" i="29"/>
  <c r="V307" i="29"/>
  <c r="V360" i="29"/>
  <c r="AF307" i="29"/>
  <c r="U360" i="29"/>
  <c r="AF360" i="29"/>
  <c r="V311" i="29"/>
  <c r="V364" i="29"/>
  <c r="AF311" i="29"/>
  <c r="U364" i="29"/>
  <c r="AF364" i="29"/>
  <c r="V315" i="29"/>
  <c r="V368" i="29"/>
  <c r="U368" i="29"/>
  <c r="V319" i="29"/>
  <c r="V372" i="29"/>
  <c r="U372" i="29"/>
  <c r="U341" i="29"/>
  <c r="AB341" i="29"/>
  <c r="V288" i="29"/>
  <c r="V341" i="29"/>
  <c r="V287" i="29"/>
  <c r="V340" i="29"/>
  <c r="AB288" i="29"/>
  <c r="U340" i="29"/>
  <c r="AB340" i="29"/>
  <c r="U335" i="29"/>
  <c r="Z335" i="29"/>
  <c r="Z282" i="29"/>
  <c r="AB287" i="29"/>
  <c r="U339" i="29"/>
  <c r="AB339" i="29"/>
  <c r="V286" i="29"/>
  <c r="V339" i="29"/>
  <c r="AB291" i="29"/>
  <c r="U343" i="29"/>
  <c r="AB343" i="29"/>
  <c r="V290" i="29"/>
  <c r="V343" i="29"/>
  <c r="U347" i="29"/>
  <c r="AB347" i="29"/>
  <c r="V294" i="29"/>
  <c r="V347" i="29"/>
  <c r="U351" i="29"/>
  <c r="AD351" i="29"/>
  <c r="V298" i="29"/>
  <c r="V351" i="29"/>
  <c r="AD298" i="29"/>
  <c r="U355" i="29"/>
  <c r="AD355" i="29"/>
  <c r="V302" i="29"/>
  <c r="V355" i="29"/>
  <c r="AD302" i="29"/>
  <c r="AF306" i="29"/>
  <c r="U359" i="29"/>
  <c r="AF359" i="29"/>
  <c r="V306" i="29"/>
  <c r="V359" i="29"/>
  <c r="AF310" i="29"/>
  <c r="U363" i="29"/>
  <c r="AF363" i="29"/>
  <c r="V310" i="29"/>
  <c r="V363" i="29"/>
  <c r="U367" i="29"/>
  <c r="AH367" i="29"/>
  <c r="V314" i="29"/>
  <c r="V367" i="29"/>
  <c r="U371" i="29"/>
  <c r="V318" i="29"/>
  <c r="V371" i="29"/>
  <c r="Z280" i="29"/>
  <c r="U333" i="29"/>
  <c r="Z333" i="29"/>
  <c r="Z283" i="29"/>
  <c r="U336" i="29"/>
  <c r="Z336" i="29"/>
  <c r="U334" i="29"/>
  <c r="Z334" i="29"/>
  <c r="Z285" i="29"/>
  <c r="U338" i="29"/>
  <c r="Z338" i="29"/>
  <c r="V285" i="29"/>
  <c r="U342" i="29"/>
  <c r="AB342" i="29"/>
  <c r="V289" i="29"/>
  <c r="V342" i="29"/>
  <c r="U346" i="29"/>
  <c r="AB346" i="29"/>
  <c r="V293" i="29"/>
  <c r="V346" i="29"/>
  <c r="AB294" i="29"/>
  <c r="U350" i="29"/>
  <c r="AD350" i="29"/>
  <c r="V297" i="29"/>
  <c r="V350" i="29"/>
  <c r="AD297" i="29"/>
  <c r="U354" i="29"/>
  <c r="AD354" i="29"/>
  <c r="V301" i="29"/>
  <c r="V354" i="29"/>
  <c r="AD301" i="29"/>
  <c r="U358" i="29"/>
  <c r="AF358" i="29"/>
  <c r="V305" i="29"/>
  <c r="V358" i="29"/>
  <c r="AF309" i="29"/>
  <c r="U362" i="29"/>
  <c r="AF362" i="29"/>
  <c r="V309" i="29"/>
  <c r="V362" i="29"/>
  <c r="U366" i="29"/>
  <c r="AH366" i="29"/>
  <c r="V313" i="29"/>
  <c r="V366" i="29"/>
  <c r="U370" i="29"/>
  <c r="V317" i="29"/>
  <c r="V370" i="29"/>
  <c r="V283" i="29"/>
  <c r="V336" i="29"/>
  <c r="V281" i="29"/>
  <c r="V334" i="29"/>
  <c r="V280" i="29"/>
  <c r="V333" i="29"/>
  <c r="V284" i="29"/>
  <c r="V337" i="29"/>
  <c r="V279" i="29"/>
  <c r="V332" i="29"/>
  <c r="V282" i="29"/>
  <c r="V335" i="29"/>
  <c r="AH473" i="29"/>
  <c r="AH462" i="29"/>
  <c r="AG469" i="29"/>
  <c r="X759" i="29"/>
  <c r="X760" i="29"/>
  <c r="W731" i="29"/>
  <c r="U726" i="29"/>
  <c r="U725" i="29"/>
  <c r="D23" i="67"/>
  <c r="I6" i="12"/>
  <c r="I9" i="12"/>
  <c r="W691" i="29"/>
  <c r="W690" i="29"/>
  <c r="AJ353" i="29"/>
  <c r="AJ383" i="29"/>
  <c r="AJ377" i="29"/>
  <c r="U329" i="29"/>
  <c r="U328" i="29"/>
  <c r="U327" i="29"/>
  <c r="U326" i="29"/>
  <c r="U325" i="29"/>
  <c r="U324" i="29"/>
  <c r="U323" i="29"/>
  <c r="U322" i="29"/>
  <c r="U321" i="29"/>
  <c r="AB277" i="29"/>
  <c r="E23" i="3"/>
  <c r="D23" i="3"/>
  <c r="E26" i="3"/>
  <c r="D27" i="3"/>
  <c r="D26" i="3"/>
  <c r="Z597" i="29"/>
  <c r="X786" i="29"/>
  <c r="X785" i="29"/>
  <c r="AH760" i="29"/>
  <c r="AG760" i="29"/>
  <c r="AA760" i="29"/>
  <c r="AC760" i="29"/>
  <c r="AE760" i="29"/>
  <c r="AG751" i="29"/>
  <c r="AG753" i="29"/>
  <c r="AE751" i="29"/>
  <c r="AE753" i="29"/>
  <c r="Y459" i="29"/>
  <c r="Y415" i="29"/>
  <c r="Y412" i="29"/>
  <c r="Y411" i="29"/>
  <c r="Y410" i="29"/>
  <c r="X686" i="29"/>
  <c r="X581" i="29"/>
  <c r="X465" i="29"/>
  <c r="X458" i="29"/>
  <c r="X452" i="29"/>
  <c r="X451" i="29"/>
  <c r="X444" i="29"/>
  <c r="X443" i="29"/>
  <c r="X442" i="29"/>
  <c r="W850" i="29"/>
  <c r="I10" i="12"/>
  <c r="F8" i="12"/>
  <c r="C20" i="12"/>
  <c r="I5" i="12"/>
  <c r="F7" i="12"/>
  <c r="F6" i="12"/>
  <c r="F5" i="12"/>
  <c r="AJ373" i="29"/>
  <c r="M59" i="73"/>
  <c r="W466" i="29"/>
  <c r="A3" i="67"/>
  <c r="N18" i="3"/>
  <c r="W716" i="29"/>
  <c r="D18" i="59"/>
  <c r="C19" i="12"/>
  <c r="C22" i="12"/>
  <c r="W851" i="29"/>
  <c r="M13" i="57"/>
  <c r="Z18" i="67"/>
  <c r="AE18" i="67"/>
  <c r="K3" i="76"/>
  <c r="K5" i="76"/>
  <c r="V338" i="29"/>
  <c r="V348" i="29"/>
  <c r="AF322" i="29"/>
  <c r="U375" i="29"/>
  <c r="AF375" i="29"/>
  <c r="AF326" i="29"/>
  <c r="U379" i="29"/>
  <c r="AF379" i="29"/>
  <c r="U374" i="29"/>
  <c r="AF374" i="29"/>
  <c r="AF321" i="29"/>
  <c r="U378" i="29"/>
  <c r="AF378" i="29"/>
  <c r="AF325" i="29"/>
  <c r="AH329" i="29"/>
  <c r="U382" i="29"/>
  <c r="AH382" i="29"/>
  <c r="U377" i="29"/>
  <c r="AF377" i="29"/>
  <c r="AF324" i="29"/>
  <c r="U381" i="29"/>
  <c r="AH381" i="29"/>
  <c r="AH328" i="29"/>
  <c r="AF323" i="29"/>
  <c r="U376" i="29"/>
  <c r="AF376" i="29"/>
  <c r="U380" i="29"/>
  <c r="AH380" i="29"/>
  <c r="AH327" i="29"/>
  <c r="E3" i="76"/>
  <c r="Z279" i="29"/>
  <c r="Z375" i="29"/>
  <c r="AB377" i="29"/>
  <c r="AB373" i="29"/>
  <c r="AD375" i="29"/>
  <c r="AJ374" i="29"/>
  <c r="AJ354" i="29"/>
  <c r="Z376" i="29"/>
  <c r="AB374" i="29"/>
  <c r="AD376" i="29"/>
  <c r="AJ375" i="29"/>
  <c r="Z377" i="29"/>
  <c r="Z373" i="29"/>
  <c r="AB375" i="29"/>
  <c r="AD377" i="29"/>
  <c r="AD373" i="29"/>
  <c r="AJ376" i="29"/>
  <c r="AJ352" i="29"/>
  <c r="Z374" i="29"/>
  <c r="AB376" i="29"/>
  <c r="AD374" i="29"/>
  <c r="AK374" i="29"/>
  <c r="AK373" i="29"/>
  <c r="AK377" i="29"/>
  <c r="AK376" i="29"/>
  <c r="AK375" i="29"/>
  <c r="E27" i="3"/>
  <c r="H27" i="3"/>
  <c r="H26" i="3"/>
  <c r="W42" i="29"/>
  <c r="B30" i="1"/>
  <c r="D10" i="67"/>
  <c r="W51" i="29"/>
  <c r="B39" i="1"/>
  <c r="D19" i="67"/>
  <c r="AD173" i="29"/>
  <c r="AB173" i="29"/>
  <c r="Z173" i="29"/>
  <c r="W273" i="29"/>
  <c r="W272" i="29"/>
  <c r="W710" i="29"/>
  <c r="G59" i="70"/>
  <c r="Z19" i="67"/>
  <c r="AE19" i="67"/>
  <c r="AE373" i="29"/>
  <c r="E5" i="76"/>
  <c r="Z281" i="29"/>
  <c r="Z383" i="29"/>
  <c r="K13" i="76"/>
  <c r="E13" i="76"/>
  <c r="H57" i="70"/>
  <c r="E53" i="70"/>
  <c r="E54" i="70"/>
  <c r="G54" i="70"/>
  <c r="E50" i="70"/>
  <c r="E51" i="70"/>
  <c r="G51" i="70"/>
  <c r="G55" i="70"/>
  <c r="G57" i="70"/>
  <c r="Z20" i="67"/>
  <c r="AE20" i="67"/>
  <c r="AB289" i="29"/>
  <c r="F13" i="46"/>
  <c r="E13" i="46"/>
  <c r="Z21" i="67"/>
  <c r="AE21" i="67"/>
  <c r="F56" i="1"/>
  <c r="W103" i="29"/>
  <c r="C9" i="73"/>
  <c r="Y775" i="29"/>
  <c r="AK33" i="29"/>
  <c r="AJ33" i="29"/>
  <c r="AF185" i="29"/>
  <c r="Z22" i="67"/>
  <c r="AE22" i="67"/>
  <c r="W190" i="29"/>
  <c r="W191" i="29"/>
  <c r="W192" i="29"/>
  <c r="W193" i="29"/>
  <c r="W194" i="29"/>
  <c r="W195" i="29"/>
  <c r="W196" i="29"/>
  <c r="W197" i="29"/>
  <c r="W198" i="29"/>
  <c r="AC198" i="29"/>
  <c r="W189" i="29"/>
  <c r="V199" i="29"/>
  <c r="V190" i="29"/>
  <c r="V191" i="29"/>
  <c r="V192" i="29"/>
  <c r="V193" i="29"/>
  <c r="V194" i="29"/>
  <c r="V195" i="29"/>
  <c r="V196" i="29"/>
  <c r="V197" i="29"/>
  <c r="V198" i="29"/>
  <c r="V189" i="29"/>
  <c r="U190" i="29"/>
  <c r="U191" i="29"/>
  <c r="U192" i="29"/>
  <c r="U193" i="29"/>
  <c r="U194" i="29"/>
  <c r="U195" i="29"/>
  <c r="U196" i="29"/>
  <c r="U197" i="29"/>
  <c r="U198" i="29"/>
  <c r="U199" i="29"/>
  <c r="U189" i="29"/>
  <c r="V177" i="29"/>
  <c r="V178" i="29"/>
  <c r="V179" i="29"/>
  <c r="V180" i="29"/>
  <c r="V181" i="29"/>
  <c r="V182" i="29"/>
  <c r="V183" i="29"/>
  <c r="V184" i="29"/>
  <c r="V185" i="29"/>
  <c r="V186" i="29"/>
  <c r="W177" i="29"/>
  <c r="W178" i="29"/>
  <c r="W179" i="29"/>
  <c r="W180" i="29"/>
  <c r="W181" i="29"/>
  <c r="W182" i="29"/>
  <c r="W183" i="29"/>
  <c r="W184" i="29"/>
  <c r="W185" i="29"/>
  <c r="W176" i="29"/>
  <c r="W758" i="29"/>
  <c r="Z23" i="67"/>
  <c r="AE23" i="67"/>
  <c r="AF198" i="29"/>
  <c r="AJ737" i="29"/>
  <c r="E16" i="1"/>
  <c r="B6" i="53"/>
  <c r="A35" i="57"/>
  <c r="A51" i="53"/>
  <c r="M37" i="53"/>
  <c r="J37" i="53"/>
  <c r="G38" i="53"/>
  <c r="G37" i="53"/>
  <c r="C37" i="53"/>
  <c r="A18" i="53"/>
  <c r="A19" i="53"/>
  <c r="A20" i="53"/>
  <c r="A21" i="53"/>
  <c r="A22" i="53"/>
  <c r="A23" i="53"/>
  <c r="A24" i="53"/>
  <c r="A25" i="53"/>
  <c r="A26" i="53"/>
  <c r="A27" i="53"/>
  <c r="A28" i="53"/>
  <c r="A29" i="53"/>
  <c r="A30" i="53"/>
  <c r="A31" i="53"/>
  <c r="A32" i="53"/>
  <c r="A33" i="53"/>
  <c r="A34" i="53"/>
  <c r="A35" i="53"/>
  <c r="A36" i="53"/>
  <c r="A37" i="53"/>
  <c r="A38" i="53"/>
  <c r="M36" i="53"/>
  <c r="J36" i="53"/>
  <c r="G36" i="53"/>
  <c r="C36" i="53"/>
  <c r="C10" i="57"/>
  <c r="M12" i="57"/>
  <c r="M11" i="57"/>
  <c r="I6" i="57"/>
  <c r="Z24" i="67"/>
  <c r="AE24" i="67"/>
  <c r="M10" i="57"/>
  <c r="J10" i="57"/>
  <c r="G10" i="57"/>
  <c r="B6" i="57"/>
  <c r="A10" i="1"/>
  <c r="AA25" i="53"/>
  <c r="AA26" i="53"/>
  <c r="AA27" i="53"/>
  <c r="AA28" i="53"/>
  <c r="AA29" i="53"/>
  <c r="AA30" i="53"/>
  <c r="AA31" i="53"/>
  <c r="AA32" i="53"/>
  <c r="AA33" i="53"/>
  <c r="AA34" i="53"/>
  <c r="AA35" i="53"/>
  <c r="AA24" i="53"/>
  <c r="P8" i="53"/>
  <c r="R8" i="53"/>
  <c r="S8" i="53"/>
  <c r="E40" i="67"/>
  <c r="C38" i="67"/>
  <c r="C39" i="67"/>
  <c r="C40" i="67"/>
  <c r="C41" i="67"/>
  <c r="C36" i="67"/>
  <c r="D36" i="67"/>
  <c r="C34" i="67"/>
  <c r="C35" i="67"/>
  <c r="C32" i="67"/>
  <c r="D32" i="67"/>
  <c r="C30" i="67"/>
  <c r="D30" i="67"/>
  <c r="C37" i="67"/>
  <c r="D34" i="67"/>
  <c r="C33" i="67"/>
  <c r="C31" i="67"/>
  <c r="A25" i="57"/>
  <c r="A41" i="53"/>
  <c r="T8" i="53"/>
  <c r="D38" i="67"/>
  <c r="T9" i="53"/>
  <c r="U8" i="53"/>
  <c r="V8" i="53"/>
  <c r="L9" i="53"/>
  <c r="L33" i="53"/>
  <c r="L29" i="53"/>
  <c r="L25" i="53"/>
  <c r="L21" i="53"/>
  <c r="L17" i="53"/>
  <c r="L13" i="53"/>
  <c r="T10" i="53"/>
  <c r="T11" i="53"/>
  <c r="U9" i="53"/>
  <c r="W35" i="53"/>
  <c r="W16" i="53"/>
  <c r="W25" i="53"/>
  <c r="R36" i="53"/>
  <c r="R16" i="53"/>
  <c r="AB16" i="53"/>
  <c r="R25" i="53"/>
  <c r="V9" i="53"/>
  <c r="L34" i="53"/>
  <c r="L30" i="53"/>
  <c r="L26" i="53"/>
  <c r="L22" i="53"/>
  <c r="L18" i="53"/>
  <c r="L14" i="53"/>
  <c r="L10" i="53"/>
  <c r="U10" i="53"/>
  <c r="V10" i="53"/>
  <c r="L35" i="53"/>
  <c r="L31" i="53"/>
  <c r="L27" i="53"/>
  <c r="L23" i="53"/>
  <c r="L19" i="53"/>
  <c r="L15" i="53"/>
  <c r="L11" i="53"/>
  <c r="W36" i="53"/>
  <c r="W17" i="53"/>
  <c r="W26" i="53"/>
  <c r="R26" i="53"/>
  <c r="R37" i="53"/>
  <c r="R17" i="53"/>
  <c r="W9" i="53"/>
  <c r="AB17" i="53"/>
  <c r="W10" i="53"/>
  <c r="AE468" i="29"/>
  <c r="W505" i="29"/>
  <c r="W504" i="29"/>
  <c r="O33" i="53"/>
  <c r="B31" i="1"/>
  <c r="T14" i="53"/>
  <c r="B32" i="1"/>
  <c r="O14" i="53"/>
  <c r="B33" i="1"/>
  <c r="T23" i="53"/>
  <c r="B34" i="1"/>
  <c r="B35" i="1"/>
  <c r="Y14" i="53"/>
  <c r="B36" i="1"/>
  <c r="O23" i="53"/>
  <c r="B37" i="1"/>
  <c r="B38" i="1"/>
  <c r="B40" i="1"/>
  <c r="B41" i="1"/>
  <c r="B42" i="1"/>
  <c r="A30" i="1"/>
  <c r="A31" i="1"/>
  <c r="A32" i="1"/>
  <c r="A33" i="1"/>
  <c r="A34" i="1"/>
  <c r="A35" i="1"/>
  <c r="A36" i="1"/>
  <c r="A37" i="1"/>
  <c r="A38" i="1"/>
  <c r="A39" i="1"/>
  <c r="A40" i="1"/>
  <c r="A41" i="1"/>
  <c r="A42" i="1"/>
  <c r="A43" i="1"/>
  <c r="B29" i="1"/>
  <c r="T33" i="53"/>
  <c r="A29" i="1"/>
  <c r="B28" i="1"/>
  <c r="B21" i="1"/>
  <c r="B22" i="1"/>
  <c r="B23" i="1"/>
  <c r="B24" i="1"/>
  <c r="B25" i="1"/>
  <c r="B26" i="1"/>
  <c r="B27" i="1"/>
  <c r="B20" i="1"/>
  <c r="A22" i="1"/>
  <c r="A23" i="1"/>
  <c r="A24" i="1"/>
  <c r="A25" i="1"/>
  <c r="A26" i="1"/>
  <c r="A27" i="1"/>
  <c r="A28" i="1"/>
  <c r="A44" i="1"/>
  <c r="A45" i="1"/>
  <c r="A46" i="1"/>
  <c r="A50" i="1"/>
  <c r="A20" i="1"/>
  <c r="B19" i="1"/>
  <c r="A21" i="1"/>
  <c r="W11" i="29"/>
  <c r="AJ716" i="29"/>
  <c r="AJ744" i="29"/>
  <c r="AJ738" i="29"/>
  <c r="AJ745" i="29"/>
  <c r="AK738" i="29"/>
  <c r="AK745" i="29"/>
  <c r="AK746" i="29"/>
  <c r="AK51" i="29"/>
  <c r="AH745" i="29"/>
  <c r="AF745" i="29"/>
  <c r="AH744" i="29"/>
  <c r="V745" i="29"/>
  <c r="V744" i="29"/>
  <c r="M744" i="29"/>
  <c r="AF743" i="29"/>
  <c r="AE743" i="29"/>
  <c r="AD743" i="29"/>
  <c r="AC743" i="29"/>
  <c r="AB743" i="29"/>
  <c r="AA743" i="29"/>
  <c r="Z743" i="29"/>
  <c r="Y743" i="29"/>
  <c r="X743" i="29"/>
  <c r="AF736" i="29"/>
  <c r="AE736" i="29"/>
  <c r="AD736" i="29"/>
  <c r="AC736" i="29"/>
  <c r="AB736" i="29"/>
  <c r="AA736" i="29"/>
  <c r="Z736" i="29"/>
  <c r="Y736" i="29"/>
  <c r="X736" i="29"/>
  <c r="D5" i="1"/>
  <c r="H5" i="1"/>
  <c r="AJ842" i="29"/>
  <c r="AI842" i="29"/>
  <c r="V848" i="29"/>
  <c r="B47" i="1"/>
  <c r="W849" i="29"/>
  <c r="W847" i="29"/>
  <c r="W846" i="29"/>
  <c r="W845" i="29"/>
  <c r="V851" i="29"/>
  <c r="B50" i="1"/>
  <c r="V850" i="29"/>
  <c r="B49" i="1"/>
  <c r="V849" i="29"/>
  <c r="B48" i="1"/>
  <c r="V847" i="29"/>
  <c r="B46" i="1"/>
  <c r="V846" i="29"/>
  <c r="B45" i="1"/>
  <c r="V845" i="29"/>
  <c r="B44" i="1"/>
  <c r="AJ820" i="29"/>
  <c r="AJ821" i="29"/>
  <c r="AJ822" i="29"/>
  <c r="AJ823" i="29"/>
  <c r="AJ824" i="29"/>
  <c r="AJ825" i="29"/>
  <c r="AJ819" i="29"/>
  <c r="AI820" i="29"/>
  <c r="AI821" i="29"/>
  <c r="AI822" i="29"/>
  <c r="AI823" i="29"/>
  <c r="AI824" i="29"/>
  <c r="AI825" i="29"/>
  <c r="AI819" i="29"/>
  <c r="W819" i="29"/>
  <c r="W788" i="29"/>
  <c r="W787" i="29"/>
  <c r="W786" i="29"/>
  <c r="W785" i="29"/>
  <c r="W775" i="29"/>
  <c r="Z775" i="29"/>
  <c r="E51" i="14"/>
  <c r="AK641" i="29"/>
  <c r="AK642" i="29"/>
  <c r="AK643" i="29"/>
  <c r="AK644" i="29"/>
  <c r="AK640" i="29"/>
  <c r="AK581" i="29"/>
  <c r="AJ581" i="29"/>
  <c r="AI581" i="29"/>
  <c r="AM469" i="29"/>
  <c r="AG505" i="29"/>
  <c r="AH746" i="29"/>
  <c r="AH51" i="29"/>
  <c r="AM745" i="29"/>
  <c r="AJ746" i="29"/>
  <c r="AJ51" i="29"/>
  <c r="AM737" i="29"/>
  <c r="AM739" i="29"/>
  <c r="AI845" i="29"/>
  <c r="V82" i="29"/>
  <c r="V83" i="29"/>
  <c r="V84" i="29"/>
  <c r="V85" i="29"/>
  <c r="V86" i="29"/>
  <c r="V87" i="29"/>
  <c r="V81" i="29"/>
  <c r="P13" i="46"/>
  <c r="O13" i="46"/>
  <c r="N13" i="46"/>
  <c r="M13" i="46"/>
  <c r="L13" i="46"/>
  <c r="K13" i="46"/>
  <c r="J13" i="46"/>
  <c r="I13" i="46"/>
  <c r="H13" i="46"/>
  <c r="G13" i="46"/>
  <c r="V468" i="29"/>
  <c r="V470" i="29"/>
  <c r="V473" i="29"/>
  <c r="AD474" i="29"/>
  <c r="AM474" i="29"/>
  <c r="V472" i="29"/>
  <c r="V474" i="29"/>
  <c r="AD472" i="29"/>
  <c r="W510" i="29"/>
  <c r="AD510" i="29"/>
  <c r="W508" i="29"/>
  <c r="AK503" i="29"/>
  <c r="AJ503" i="29"/>
  <c r="AI503" i="29"/>
  <c r="AH503" i="29"/>
  <c r="AG503" i="29"/>
  <c r="AF503" i="29"/>
  <c r="AE503" i="29"/>
  <c r="AD503" i="29"/>
  <c r="AC503" i="29"/>
  <c r="AB503" i="29"/>
  <c r="AA503" i="29"/>
  <c r="Z503" i="29"/>
  <c r="Y503" i="29"/>
  <c r="X503" i="29"/>
  <c r="AD466" i="29"/>
  <c r="AF466" i="29"/>
  <c r="W509" i="29"/>
  <c r="AD508" i="29"/>
  <c r="AE465" i="29"/>
  <c r="AH509" i="29"/>
  <c r="AF462" i="29"/>
  <c r="AD463" i="29"/>
  <c r="AB461" i="29"/>
  <c r="AD460" i="29"/>
  <c r="AB460" i="29"/>
  <c r="AA459" i="29"/>
  <c r="AA458" i="29"/>
  <c r="AF448" i="29"/>
  <c r="AE444" i="29"/>
  <c r="AB446" i="29"/>
  <c r="W506" i="29"/>
  <c r="W479" i="29"/>
  <c r="W480" i="29"/>
  <c r="W481" i="29"/>
  <c r="W482" i="29"/>
  <c r="W483" i="29"/>
  <c r="W484" i="29"/>
  <c r="W485" i="29"/>
  <c r="W486" i="29"/>
  <c r="W487" i="29"/>
  <c r="W488" i="29"/>
  <c r="W489" i="29"/>
  <c r="W490" i="29"/>
  <c r="W491" i="29"/>
  <c r="W492" i="29"/>
  <c r="W493" i="29"/>
  <c r="W494" i="29"/>
  <c r="W495" i="29"/>
  <c r="W496" i="29"/>
  <c r="W497" i="29"/>
  <c r="W498" i="29"/>
  <c r="W499" i="29"/>
  <c r="W500" i="29"/>
  <c r="W501" i="29"/>
  <c r="W502" i="29"/>
  <c r="W478" i="29"/>
  <c r="V510" i="29"/>
  <c r="V469" i="29"/>
  <c r="W443" i="29"/>
  <c r="W444" i="29"/>
  <c r="W445" i="29"/>
  <c r="W446" i="29"/>
  <c r="W447" i="29"/>
  <c r="W448" i="29"/>
  <c r="W449" i="29"/>
  <c r="W450" i="29"/>
  <c r="W451" i="29"/>
  <c r="W452" i="29"/>
  <c r="W453" i="29"/>
  <c r="W454" i="29"/>
  <c r="W455" i="29"/>
  <c r="W456" i="29"/>
  <c r="W457" i="29"/>
  <c r="W458" i="29"/>
  <c r="W459" i="29"/>
  <c r="W460" i="29"/>
  <c r="W461" i="29"/>
  <c r="W462" i="29"/>
  <c r="W463" i="29"/>
  <c r="W464" i="29"/>
  <c r="W465" i="29"/>
  <c r="W442" i="29"/>
  <c r="V443" i="29"/>
  <c r="V479" i="29"/>
  <c r="V444" i="29"/>
  <c r="V480" i="29"/>
  <c r="V445" i="29"/>
  <c r="V481" i="29"/>
  <c r="V446" i="29"/>
  <c r="V482" i="29"/>
  <c r="V447" i="29"/>
  <c r="V483" i="29"/>
  <c r="V448" i="29"/>
  <c r="V484" i="29"/>
  <c r="V449" i="29"/>
  <c r="V485" i="29"/>
  <c r="V450" i="29"/>
  <c r="V486" i="29"/>
  <c r="V451" i="29"/>
  <c r="V487" i="29"/>
  <c r="V452" i="29"/>
  <c r="V488" i="29"/>
  <c r="V453" i="29"/>
  <c r="V489" i="29"/>
  <c r="V454" i="29"/>
  <c r="V490" i="29"/>
  <c r="V455" i="29"/>
  <c r="V491" i="29"/>
  <c r="V456" i="29"/>
  <c r="V492" i="29"/>
  <c r="V457" i="29"/>
  <c r="V493" i="29"/>
  <c r="V458" i="29"/>
  <c r="V494" i="29"/>
  <c r="V459" i="29"/>
  <c r="V495" i="29"/>
  <c r="V460" i="29"/>
  <c r="V496" i="29"/>
  <c r="V461" i="29"/>
  <c r="V497" i="29"/>
  <c r="V462" i="29"/>
  <c r="V498" i="29"/>
  <c r="V463" i="29"/>
  <c r="V499" i="29"/>
  <c r="V464" i="29"/>
  <c r="V500" i="29"/>
  <c r="V465" i="29"/>
  <c r="V501" i="29"/>
  <c r="V466" i="29"/>
  <c r="V442" i="29"/>
  <c r="V478" i="29"/>
  <c r="Y495" i="29"/>
  <c r="X478" i="29"/>
  <c r="X479" i="29"/>
  <c r="X480" i="29"/>
  <c r="V505" i="29"/>
  <c r="V471" i="29"/>
  <c r="V507" i="29"/>
  <c r="AK501" i="29"/>
  <c r="AG501" i="29"/>
  <c r="X501" i="29"/>
  <c r="AH501" i="29"/>
  <c r="AD501" i="29"/>
  <c r="AI501" i="29"/>
  <c r="AE501" i="29"/>
  <c r="AJ501" i="29"/>
  <c r="AF501" i="29"/>
  <c r="AJ497" i="29"/>
  <c r="AF497" i="29"/>
  <c r="Z497" i="29"/>
  <c r="AK497" i="29"/>
  <c r="AG497" i="29"/>
  <c r="AA497" i="29"/>
  <c r="AH497" i="29"/>
  <c r="AB497" i="29"/>
  <c r="X497" i="29"/>
  <c r="AI497" i="29"/>
  <c r="AE497" i="29"/>
  <c r="Y497" i="29"/>
  <c r="AE493" i="29"/>
  <c r="AA493" i="29"/>
  <c r="AF493" i="29"/>
  <c r="AB493" i="29"/>
  <c r="X493" i="29"/>
  <c r="AG493" i="29"/>
  <c r="AC493" i="29"/>
  <c r="Y493" i="29"/>
  <c r="AK493" i="29"/>
  <c r="AD493" i="29"/>
  <c r="Z493" i="29"/>
  <c r="X489" i="29"/>
  <c r="AH485" i="29"/>
  <c r="AC485" i="29"/>
  <c r="Y485" i="29"/>
  <c r="AJ485" i="29"/>
  <c r="AD485" i="29"/>
  <c r="Z485" i="29"/>
  <c r="AK485" i="29"/>
  <c r="AE485" i="29"/>
  <c r="AA485" i="29"/>
  <c r="AF485" i="29"/>
  <c r="AB485" i="29"/>
  <c r="X485" i="29"/>
  <c r="AK481" i="29"/>
  <c r="AG481" i="29"/>
  <c r="AB481" i="29"/>
  <c r="AH481" i="29"/>
  <c r="AD481" i="29"/>
  <c r="AI481" i="29"/>
  <c r="AE481" i="29"/>
  <c r="X481" i="29"/>
  <c r="AJ481" i="29"/>
  <c r="AF481" i="29"/>
  <c r="Z481" i="29"/>
  <c r="AH505" i="29"/>
  <c r="AD505" i="29"/>
  <c r="Z505" i="29"/>
  <c r="AI505" i="29"/>
  <c r="AE505" i="29"/>
  <c r="AA505" i="29"/>
  <c r="AJ505" i="29"/>
  <c r="AF505" i="29"/>
  <c r="AB505" i="29"/>
  <c r="X505" i="29"/>
  <c r="AK505" i="29"/>
  <c r="AC505" i="29"/>
  <c r="Y505" i="29"/>
  <c r="AJ502" i="29"/>
  <c r="AF502" i="29"/>
  <c r="AA502" i="29"/>
  <c r="AK502" i="29"/>
  <c r="AG502" i="29"/>
  <c r="AB502" i="29"/>
  <c r="X502" i="29"/>
  <c r="AH502" i="29"/>
  <c r="AC502" i="29"/>
  <c r="Y502" i="29"/>
  <c r="AI502" i="29"/>
  <c r="AD502" i="29"/>
  <c r="Z502" i="29"/>
  <c r="AI498" i="29"/>
  <c r="AD498" i="29"/>
  <c r="Z498" i="29"/>
  <c r="AJ498" i="29"/>
  <c r="AE498" i="29"/>
  <c r="AA498" i="29"/>
  <c r="AK498" i="29"/>
  <c r="AF498" i="29"/>
  <c r="AB498" i="29"/>
  <c r="X498" i="29"/>
  <c r="AH498" i="29"/>
  <c r="AC498" i="29"/>
  <c r="Y498" i="29"/>
  <c r="AH494" i="29"/>
  <c r="AD494" i="29"/>
  <c r="X494" i="29"/>
  <c r="AI494" i="29"/>
  <c r="AE494" i="29"/>
  <c r="AA494" i="29"/>
  <c r="AJ494" i="29"/>
  <c r="AF494" i="29"/>
  <c r="AB494" i="29"/>
  <c r="AK494" i="29"/>
  <c r="AG494" i="29"/>
  <c r="AC494" i="29"/>
  <c r="X490" i="29"/>
  <c r="X486" i="29"/>
  <c r="AH482" i="29"/>
  <c r="AA482" i="29"/>
  <c r="AI482" i="29"/>
  <c r="AB482" i="29"/>
  <c r="X482" i="29"/>
  <c r="AJ482" i="29"/>
  <c r="Y482" i="29"/>
  <c r="AK482" i="29"/>
  <c r="AG482" i="29"/>
  <c r="Z482" i="29"/>
  <c r="AJ504" i="29"/>
  <c r="AF504" i="29"/>
  <c r="AB504" i="29"/>
  <c r="X504" i="29"/>
  <c r="AK504" i="29"/>
  <c r="AG504" i="29"/>
  <c r="AC504" i="29"/>
  <c r="Y504" i="29"/>
  <c r="AH504" i="29"/>
  <c r="AD504" i="29"/>
  <c r="Z504" i="29"/>
  <c r="AI504" i="29"/>
  <c r="AE504" i="29"/>
  <c r="AA504" i="29"/>
  <c r="AI499" i="29"/>
  <c r="AC499" i="29"/>
  <c r="Y499" i="29"/>
  <c r="AJ499" i="29"/>
  <c r="AD499" i="29"/>
  <c r="Z499" i="29"/>
  <c r="AK499" i="29"/>
  <c r="AG499" i="29"/>
  <c r="AA499" i="29"/>
  <c r="AH499" i="29"/>
  <c r="AB499" i="29"/>
  <c r="X499" i="29"/>
  <c r="AK495" i="29"/>
  <c r="AG495" i="29"/>
  <c r="AC495" i="29"/>
  <c r="X495" i="29"/>
  <c r="AH495" i="29"/>
  <c r="AD495" i="29"/>
  <c r="AI495" i="29"/>
  <c r="AE495" i="29"/>
  <c r="AA495" i="29"/>
  <c r="AJ495" i="29"/>
  <c r="AF495" i="29"/>
  <c r="AB495" i="29"/>
  <c r="AI491" i="29"/>
  <c r="AE491" i="29"/>
  <c r="AA491" i="29"/>
  <c r="AJ491" i="29"/>
  <c r="AF491" i="29"/>
  <c r="AB491" i="29"/>
  <c r="X491" i="29"/>
  <c r="AK491" i="29"/>
  <c r="AG491" i="29"/>
  <c r="AC491" i="29"/>
  <c r="Y491" i="29"/>
  <c r="AH491" i="29"/>
  <c r="AD491" i="29"/>
  <c r="Z491" i="29"/>
  <c r="AH483" i="29"/>
  <c r="AB483" i="29"/>
  <c r="X483" i="29"/>
  <c r="AI483" i="29"/>
  <c r="AD483" i="29"/>
  <c r="Y483" i="29"/>
  <c r="AJ483" i="29"/>
  <c r="AF483" i="29"/>
  <c r="Z483" i="29"/>
  <c r="AK483" i="29"/>
  <c r="AG483" i="29"/>
  <c r="AA483" i="29"/>
  <c r="AG500" i="29"/>
  <c r="AC500" i="29"/>
  <c r="Y500" i="29"/>
  <c r="AD500" i="29"/>
  <c r="Z500" i="29"/>
  <c r="AE500" i="29"/>
  <c r="AA500" i="29"/>
  <c r="AK500" i="29"/>
  <c r="AF500" i="29"/>
  <c r="AB500" i="29"/>
  <c r="X500" i="29"/>
  <c r="AJ496" i="29"/>
  <c r="AF496" i="29"/>
  <c r="AA496" i="29"/>
  <c r="AK496" i="29"/>
  <c r="AG496" i="29"/>
  <c r="AB496" i="29"/>
  <c r="X496" i="29"/>
  <c r="AH496" i="29"/>
  <c r="AD496" i="29"/>
  <c r="Y496" i="29"/>
  <c r="AI496" i="29"/>
  <c r="AE496" i="29"/>
  <c r="Z496" i="29"/>
  <c r="AK492" i="29"/>
  <c r="AG492" i="29"/>
  <c r="AC492" i="29"/>
  <c r="Y492" i="29"/>
  <c r="AH492" i="29"/>
  <c r="AD492" i="29"/>
  <c r="Z492" i="29"/>
  <c r="AI492" i="29"/>
  <c r="AE492" i="29"/>
  <c r="AA492" i="29"/>
  <c r="AJ492" i="29"/>
  <c r="AF492" i="29"/>
  <c r="AB492" i="29"/>
  <c r="X492" i="29"/>
  <c r="AF484" i="29"/>
  <c r="AB484" i="29"/>
  <c r="X484" i="29"/>
  <c r="AJ484" i="29"/>
  <c r="AC484" i="29"/>
  <c r="Y484" i="29"/>
  <c r="AK484" i="29"/>
  <c r="AD484" i="29"/>
  <c r="Z484" i="29"/>
  <c r="AE484" i="29"/>
  <c r="AA484" i="29"/>
  <c r="AJ480" i="29"/>
  <c r="AF480" i="29"/>
  <c r="AK480" i="29"/>
  <c r="AG480" i="29"/>
  <c r="AH480" i="29"/>
  <c r="AD480" i="29"/>
  <c r="AI480" i="29"/>
  <c r="AE480" i="29"/>
  <c r="W507" i="29"/>
  <c r="AJ506" i="29"/>
  <c r="AF506" i="29"/>
  <c r="AB506" i="29"/>
  <c r="X506" i="29"/>
  <c r="AK506" i="29"/>
  <c r="AG506" i="29"/>
  <c r="AC506" i="29"/>
  <c r="Y506" i="29"/>
  <c r="AH506" i="29"/>
  <c r="AD506" i="29"/>
  <c r="Z506" i="29"/>
  <c r="AI506" i="29"/>
  <c r="AA506" i="29"/>
  <c r="V502" i="29"/>
  <c r="V504" i="29"/>
  <c r="AH507" i="29"/>
  <c r="AD507" i="29"/>
  <c r="Z507" i="29"/>
  <c r="AI507" i="29"/>
  <c r="AE507" i="29"/>
  <c r="AA507" i="29"/>
  <c r="AJ507" i="29"/>
  <c r="AF507" i="29"/>
  <c r="AB507" i="29"/>
  <c r="X507" i="29"/>
  <c r="AK507" i="29"/>
  <c r="AC507" i="29"/>
  <c r="Y507" i="29"/>
  <c r="V508" i="29"/>
  <c r="V506" i="29"/>
  <c r="AJ508" i="29"/>
  <c r="AB508" i="29"/>
  <c r="X508" i="29"/>
  <c r="AK508" i="29"/>
  <c r="AG508" i="29"/>
  <c r="AC508" i="29"/>
  <c r="Y508" i="29"/>
  <c r="AH508" i="29"/>
  <c r="Z508" i="29"/>
  <c r="AI508" i="29"/>
  <c r="AA508" i="29"/>
  <c r="V509" i="29"/>
  <c r="AD509" i="29"/>
  <c r="Z509" i="29"/>
  <c r="AI509" i="29"/>
  <c r="AE509" i="29"/>
  <c r="AA509" i="29"/>
  <c r="AJ509" i="29"/>
  <c r="AF509" i="29"/>
  <c r="AB509" i="29"/>
  <c r="X509" i="29"/>
  <c r="AK509" i="29"/>
  <c r="AC509" i="29"/>
  <c r="Y509" i="29"/>
  <c r="AJ510" i="29"/>
  <c r="AF510" i="29"/>
  <c r="AB510" i="29"/>
  <c r="X510" i="29"/>
  <c r="AK510" i="29"/>
  <c r="AG510" i="29"/>
  <c r="AC510" i="29"/>
  <c r="Y510" i="29"/>
  <c r="AH510" i="29"/>
  <c r="Z510" i="29"/>
  <c r="AI510" i="29"/>
  <c r="AE510" i="29"/>
  <c r="AA510" i="29"/>
  <c r="AK415" i="29"/>
  <c r="AD416" i="29"/>
  <c r="AC415" i="29"/>
  <c r="AB416" i="29"/>
  <c r="AA415" i="29"/>
  <c r="Z416" i="29"/>
  <c r="S12" i="3"/>
  <c r="AI14" i="29"/>
  <c r="AI743" i="29"/>
  <c r="AI736" i="29"/>
  <c r="AI408" i="29"/>
  <c r="AI722" i="29"/>
  <c r="V421" i="29"/>
  <c r="U436" i="29"/>
  <c r="W436" i="29"/>
  <c r="V420" i="29"/>
  <c r="U435" i="29"/>
  <c r="W435" i="29"/>
  <c r="V419" i="29"/>
  <c r="U434" i="29"/>
  <c r="W434" i="29"/>
  <c r="V418" i="29"/>
  <c r="U433" i="29"/>
  <c r="W433" i="29"/>
  <c r="V416" i="29"/>
  <c r="U431" i="29"/>
  <c r="W431" i="29"/>
  <c r="V417" i="29"/>
  <c r="U432" i="29"/>
  <c r="W432" i="29"/>
  <c r="X432" i="29"/>
  <c r="V415" i="29"/>
  <c r="U430" i="29"/>
  <c r="W430" i="29"/>
  <c r="V414" i="29"/>
  <c r="U429" i="29"/>
  <c r="W429" i="29"/>
  <c r="X429" i="29"/>
  <c r="V413" i="29"/>
  <c r="U428" i="29"/>
  <c r="W428" i="29"/>
  <c r="X428" i="29"/>
  <c r="V412" i="29"/>
  <c r="U427" i="29"/>
  <c r="W427" i="29"/>
  <c r="X427" i="29"/>
  <c r="V411" i="29"/>
  <c r="U426" i="29"/>
  <c r="W426" i="29"/>
  <c r="V410" i="29"/>
  <c r="U425" i="29"/>
  <c r="W425" i="29"/>
  <c r="V409" i="29"/>
  <c r="U424" i="29"/>
  <c r="W424" i="29"/>
  <c r="W199" i="29"/>
  <c r="AH199" i="29"/>
  <c r="AD199" i="29"/>
  <c r="AF199" i="29"/>
  <c r="AA199" i="29"/>
  <c r="AB431" i="29"/>
  <c r="AF431" i="29"/>
  <c r="AJ431" i="29"/>
  <c r="AA431" i="29"/>
  <c r="AE431" i="29"/>
  <c r="AI431" i="29"/>
  <c r="X431" i="29"/>
  <c r="Z431" i="29"/>
  <c r="AD431" i="29"/>
  <c r="AH431" i="29"/>
  <c r="Y431" i="29"/>
  <c r="AC431" i="29"/>
  <c r="AG431" i="29"/>
  <c r="AK431" i="29"/>
  <c r="Y436" i="29"/>
  <c r="AC436" i="29"/>
  <c r="AG436" i="29"/>
  <c r="AK436" i="29"/>
  <c r="AB436" i="29"/>
  <c r="AA436" i="29"/>
  <c r="AE436" i="29"/>
  <c r="AI436" i="29"/>
  <c r="AD436" i="29"/>
  <c r="X436" i="29"/>
  <c r="Z426" i="29"/>
  <c r="AD426" i="29"/>
  <c r="AH426" i="29"/>
  <c r="Y426" i="29"/>
  <c r="AC426" i="29"/>
  <c r="AG426" i="29"/>
  <c r="AK426" i="29"/>
  <c r="AB426" i="29"/>
  <c r="AF426" i="29"/>
  <c r="AJ426" i="29"/>
  <c r="X426" i="29"/>
  <c r="AA426" i="29"/>
  <c r="AE426" i="29"/>
  <c r="AI426" i="29"/>
  <c r="Y430" i="29"/>
  <c r="AC430" i="29"/>
  <c r="AG430" i="29"/>
  <c r="AK430" i="29"/>
  <c r="AB430" i="29"/>
  <c r="AA430" i="29"/>
  <c r="AE430" i="29"/>
  <c r="AI430" i="29"/>
  <c r="X430" i="29"/>
  <c r="Z430" i="29"/>
  <c r="AD430" i="29"/>
  <c r="AA425" i="29"/>
  <c r="AE425" i="29"/>
  <c r="AI425" i="29"/>
  <c r="Z425" i="29"/>
  <c r="AD425" i="29"/>
  <c r="AH425" i="29"/>
  <c r="Y425" i="29"/>
  <c r="AC425" i="29"/>
  <c r="AG425" i="29"/>
  <c r="AK425" i="29"/>
  <c r="AB425" i="29"/>
  <c r="AF425" i="29"/>
  <c r="AJ425" i="29"/>
  <c r="X425" i="29"/>
  <c r="H29" i="3"/>
  <c r="L426" i="29"/>
  <c r="K426" i="29"/>
  <c r="J426" i="29"/>
  <c r="I426" i="29"/>
  <c r="H426" i="29"/>
  <c r="G426" i="29"/>
  <c r="J230" i="73"/>
  <c r="K230" i="73"/>
  <c r="L230" i="73"/>
  <c r="M230" i="73"/>
  <c r="AK106" i="29"/>
  <c r="J186" i="73"/>
  <c r="K186" i="73"/>
  <c r="K35" i="73"/>
  <c r="I459" i="73"/>
  <c r="J346" i="73"/>
  <c r="L164" i="73"/>
  <c r="M164" i="73"/>
  <c r="L162" i="73"/>
  <c r="M162" i="73"/>
  <c r="M7" i="73"/>
  <c r="L92" i="73"/>
  <c r="M92" i="73"/>
  <c r="L174" i="73"/>
  <c r="M174" i="73"/>
  <c r="J181" i="73"/>
  <c r="M187" i="73"/>
  <c r="K187" i="73"/>
  <c r="J195" i="73"/>
  <c r="L192" i="73"/>
  <c r="M192" i="73"/>
  <c r="L193" i="73"/>
  <c r="M193" i="73"/>
  <c r="L196" i="73"/>
  <c r="M196" i="73"/>
  <c r="L209" i="73"/>
  <c r="M209" i="73"/>
  <c r="L223" i="73"/>
  <c r="M223" i="73"/>
  <c r="J276" i="73"/>
  <c r="J305" i="73"/>
  <c r="K306" i="73"/>
  <c r="M306" i="73"/>
  <c r="L359" i="73"/>
  <c r="M359" i="73"/>
  <c r="L358" i="73"/>
  <c r="M358" i="73"/>
  <c r="L356" i="73"/>
  <c r="M356" i="73"/>
  <c r="J374" i="73"/>
  <c r="L375" i="73"/>
  <c r="M375" i="73"/>
  <c r="M408" i="73"/>
  <c r="L457" i="73"/>
  <c r="M457" i="73"/>
  <c r="L453" i="73"/>
  <c r="M453" i="73"/>
  <c r="L435" i="73"/>
  <c r="M435" i="73"/>
  <c r="L424" i="73"/>
  <c r="M424" i="73"/>
  <c r="K413" i="73"/>
  <c r="J413" i="73"/>
  <c r="J462" i="73"/>
  <c r="K462" i="73"/>
  <c r="L462" i="73"/>
  <c r="M462" i="73"/>
  <c r="L461" i="73"/>
  <c r="M461" i="73"/>
  <c r="J461" i="73"/>
  <c r="J460" i="73"/>
  <c r="K460" i="73"/>
  <c r="L460" i="73"/>
  <c r="M460" i="73"/>
  <c r="J458" i="73"/>
  <c r="J459" i="73"/>
  <c r="J457" i="73"/>
  <c r="J453" i="73"/>
  <c r="J450" i="73"/>
  <c r="K450" i="73"/>
  <c r="L450" i="73"/>
  <c r="M450" i="73"/>
  <c r="M440" i="73"/>
  <c r="J435" i="73"/>
  <c r="J429" i="73"/>
  <c r="K429" i="73"/>
  <c r="L429" i="73"/>
  <c r="M429" i="73"/>
  <c r="J424" i="73"/>
  <c r="M413" i="73"/>
  <c r="L412" i="73"/>
  <c r="M412" i="73"/>
  <c r="J411" i="73"/>
  <c r="K411" i="73"/>
  <c r="L411" i="73"/>
  <c r="M411" i="73"/>
  <c r="J408" i="73"/>
  <c r="J409" i="73"/>
  <c r="J404" i="73"/>
  <c r="K404" i="73"/>
  <c r="L404" i="73"/>
  <c r="M404" i="73"/>
  <c r="J403" i="73"/>
  <c r="K403" i="73"/>
  <c r="L403" i="73"/>
  <c r="M403" i="73"/>
  <c r="L376" i="73"/>
  <c r="K376" i="73"/>
  <c r="J376" i="73"/>
  <c r="J375" i="73"/>
  <c r="M374" i="73"/>
  <c r="L372" i="73"/>
  <c r="M372" i="73"/>
  <c r="M368" i="73"/>
  <c r="K366" i="73"/>
  <c r="L366" i="73"/>
  <c r="M366" i="73"/>
  <c r="L361" i="73"/>
  <c r="M361" i="73"/>
  <c r="J359" i="73"/>
  <c r="J358" i="73"/>
  <c r="J356" i="73"/>
  <c r="K355" i="73"/>
  <c r="L355" i="73"/>
  <c r="M355" i="73"/>
  <c r="L353" i="73"/>
  <c r="J353" i="73"/>
  <c r="J349" i="73"/>
  <c r="M307" i="73"/>
  <c r="J306" i="73"/>
  <c r="L305" i="73"/>
  <c r="M305" i="73"/>
  <c r="L304" i="73"/>
  <c r="M304" i="73"/>
  <c r="L291" i="73"/>
  <c r="L277" i="73"/>
  <c r="M277" i="73"/>
  <c r="M272" i="73"/>
  <c r="L271" i="73"/>
  <c r="M271" i="73"/>
  <c r="K267" i="73"/>
  <c r="L267" i="73"/>
  <c r="M267" i="73"/>
  <c r="L266" i="73"/>
  <c r="K266" i="73"/>
  <c r="J266" i="73"/>
  <c r="J243" i="73"/>
  <c r="K243" i="73"/>
  <c r="L238" i="73"/>
  <c r="L236" i="73"/>
  <c r="M236" i="73"/>
  <c r="J229" i="73"/>
  <c r="K229" i="73"/>
  <c r="L229" i="73"/>
  <c r="M229" i="73"/>
  <c r="J227" i="73"/>
  <c r="K227" i="73"/>
  <c r="L227" i="73"/>
  <c r="M227" i="73"/>
  <c r="J223" i="73"/>
  <c r="J222" i="73"/>
  <c r="L222" i="73"/>
  <c r="J209" i="73"/>
  <c r="J208" i="73"/>
  <c r="L208" i="73"/>
  <c r="L200" i="73"/>
  <c r="M200" i="73"/>
  <c r="K197" i="73"/>
  <c r="L197" i="73"/>
  <c r="J196" i="73"/>
  <c r="M195" i="73"/>
  <c r="J193" i="73"/>
  <c r="J192" i="73"/>
  <c r="J191" i="73"/>
  <c r="M191" i="73"/>
  <c r="J189" i="73"/>
  <c r="J35" i="73"/>
  <c r="L189" i="73"/>
  <c r="M189" i="73"/>
  <c r="M35" i="73"/>
  <c r="K188" i="73"/>
  <c r="L188" i="73"/>
  <c r="M188" i="73"/>
  <c r="J187" i="73"/>
  <c r="M185" i="73"/>
  <c r="L181" i="73"/>
  <c r="M181" i="73"/>
  <c r="L177" i="73"/>
  <c r="M177" i="73"/>
  <c r="L176" i="73"/>
  <c r="M176" i="73"/>
  <c r="J174" i="73"/>
  <c r="M172" i="73"/>
  <c r="L171" i="73"/>
  <c r="M171" i="73"/>
  <c r="L169" i="73"/>
  <c r="L168" i="73"/>
  <c r="K168" i="73"/>
  <c r="J168" i="73"/>
  <c r="K167" i="73"/>
  <c r="L167" i="73"/>
  <c r="M167" i="73"/>
  <c r="J166" i="73"/>
  <c r="M166" i="73"/>
  <c r="J164" i="73"/>
  <c r="J163" i="73"/>
  <c r="K163" i="73"/>
  <c r="M163" i="73"/>
  <c r="J162" i="73"/>
  <c r="J160" i="73"/>
  <c r="K160" i="73"/>
  <c r="L160" i="73"/>
  <c r="M160" i="73"/>
  <c r="L137" i="73"/>
  <c r="M137" i="73"/>
  <c r="J137" i="73"/>
  <c r="M97" i="73"/>
  <c r="K94" i="73"/>
  <c r="L94" i="73"/>
  <c r="L96" i="73"/>
  <c r="K96" i="73"/>
  <c r="J96" i="73"/>
  <c r="J93" i="73"/>
  <c r="K93" i="73"/>
  <c r="L93" i="73"/>
  <c r="M93" i="73"/>
  <c r="J92" i="73"/>
  <c r="K84" i="73"/>
  <c r="L84" i="73"/>
  <c r="M84" i="73"/>
  <c r="M83" i="73"/>
  <c r="L83" i="73"/>
  <c r="L72" i="73"/>
  <c r="K72" i="73"/>
  <c r="K71" i="73"/>
  <c r="M70" i="73"/>
  <c r="J70" i="73"/>
  <c r="K69" i="73"/>
  <c r="J68" i="73"/>
  <c r="K68" i="73"/>
  <c r="L68" i="73"/>
  <c r="M68" i="73"/>
  <c r="L67" i="73"/>
  <c r="M66" i="73"/>
  <c r="J65" i="73"/>
  <c r="J64" i="73"/>
  <c r="K64" i="73"/>
  <c r="L64" i="73"/>
  <c r="M64" i="73"/>
  <c r="L63" i="73"/>
  <c r="L62" i="73"/>
  <c r="L45" i="73"/>
  <c r="M45" i="73"/>
  <c r="J45" i="73"/>
  <c r="L44" i="73"/>
  <c r="M44" i="73"/>
  <c r="M43" i="73"/>
  <c r="J43" i="73"/>
  <c r="L43" i="73"/>
  <c r="L42" i="73"/>
  <c r="K42" i="73"/>
  <c r="J40" i="73"/>
  <c r="K40" i="73"/>
  <c r="L40" i="73"/>
  <c r="M40" i="73"/>
  <c r="K41" i="73"/>
  <c r="J41" i="73"/>
  <c r="M41" i="73"/>
  <c r="M38" i="73"/>
  <c r="J38" i="73"/>
  <c r="K36" i="73"/>
  <c r="L36" i="73"/>
  <c r="M36" i="73"/>
  <c r="L32" i="73"/>
  <c r="M32" i="73"/>
  <c r="J32" i="73"/>
  <c r="M31" i="73"/>
  <c r="J31" i="73"/>
  <c r="K30" i="73"/>
  <c r="L30" i="73"/>
  <c r="M30" i="73"/>
  <c r="L28" i="73"/>
  <c r="M28" i="73"/>
  <c r="J28" i="73"/>
  <c r="J27" i="73"/>
  <c r="J10" i="73"/>
  <c r="AJ355" i="29"/>
  <c r="AJ356" i="29"/>
  <c r="AK369" i="29"/>
  <c r="AM426" i="29"/>
  <c r="AM411" i="29"/>
  <c r="L186" i="73"/>
  <c r="L35" i="73"/>
  <c r="K458" i="73"/>
  <c r="H25" i="73"/>
  <c r="H18" i="73"/>
  <c r="AJ351" i="29"/>
  <c r="H17" i="73"/>
  <c r="AJ350" i="29"/>
  <c r="H6" i="73"/>
  <c r="AD382" i="29"/>
  <c r="Z382" i="29"/>
  <c r="AB382" i="29"/>
  <c r="AB378" i="29"/>
  <c r="Z378" i="29"/>
  <c r="AK378" i="29"/>
  <c r="AJ378" i="29"/>
  <c r="AD378" i="29"/>
  <c r="Z379" i="29"/>
  <c r="AB379" i="29"/>
  <c r="AD379" i="29"/>
  <c r="AJ379" i="29"/>
  <c r="AB381" i="29"/>
  <c r="AD381" i="29"/>
  <c r="Z381" i="29"/>
  <c r="L458" i="73"/>
  <c r="K459" i="73"/>
  <c r="X272" i="29"/>
  <c r="AK18" i="29"/>
  <c r="AJ18" i="29"/>
  <c r="I29" i="3"/>
  <c r="H28" i="3"/>
  <c r="D28" i="3"/>
  <c r="AI15" i="29"/>
  <c r="E28" i="3"/>
  <c r="I28" i="3"/>
  <c r="AD380" i="29"/>
  <c r="AB380" i="29"/>
  <c r="Z380" i="29"/>
  <c r="AI16" i="29"/>
  <c r="M458" i="73"/>
  <c r="M459" i="73"/>
  <c r="L459" i="73"/>
  <c r="V176" i="29"/>
  <c r="AM170" i="29"/>
  <c r="AF178" i="29"/>
  <c r="AF191" i="29"/>
  <c r="AF184" i="29"/>
  <c r="AF197" i="29"/>
  <c r="AK174" i="29"/>
  <c r="AD174" i="29"/>
  <c r="AC174" i="29"/>
  <c r="Y189" i="29"/>
  <c r="AA174" i="29"/>
  <c r="L47" i="70"/>
  <c r="AF188" i="29"/>
  <c r="AE188" i="29"/>
  <c r="AD188" i="29"/>
  <c r="AC188" i="29"/>
  <c r="AB188" i="29"/>
  <c r="AA188" i="29"/>
  <c r="Z188" i="29"/>
  <c r="Y188" i="29"/>
  <c r="X188" i="29"/>
  <c r="I23" i="70"/>
  <c r="I37" i="70"/>
  <c r="I22" i="70"/>
  <c r="I34" i="70"/>
  <c r="I32" i="70"/>
  <c r="I21" i="70"/>
  <c r="J26" i="70"/>
  <c r="J23" i="70"/>
  <c r="J37" i="70"/>
  <c r="AA176" i="29"/>
  <c r="AA185" i="29"/>
  <c r="AA198" i="29"/>
  <c r="AC178" i="29"/>
  <c r="AC191" i="29"/>
  <c r="AC176" i="29"/>
  <c r="W10" i="70"/>
  <c r="Y182" i="29"/>
  <c r="Y195" i="29"/>
  <c r="Y178" i="29"/>
  <c r="Y191" i="29"/>
  <c r="Y184" i="29"/>
  <c r="Y197" i="29"/>
  <c r="W11" i="70"/>
  <c r="Y183" i="29"/>
  <c r="Y196" i="29"/>
  <c r="W7" i="70"/>
  <c r="Y179" i="29"/>
  <c r="Y192" i="29"/>
  <c r="W8" i="70"/>
  <c r="Y180" i="29"/>
  <c r="Y193" i="29"/>
  <c r="W9" i="70"/>
  <c r="Y181" i="29"/>
  <c r="Y194" i="29"/>
  <c r="Y751" i="29"/>
  <c r="Y185" i="29"/>
  <c r="Y198" i="29"/>
  <c r="W5" i="70"/>
  <c r="Y177" i="29"/>
  <c r="Y190" i="29"/>
  <c r="AD185" i="29"/>
  <c r="AD198" i="29"/>
  <c r="W16" i="70"/>
  <c r="AA180" i="29"/>
  <c r="AA193" i="29"/>
  <c r="AD178" i="29"/>
  <c r="AD191" i="29"/>
  <c r="AA177" i="29"/>
  <c r="AA190" i="29"/>
  <c r="AA181" i="29"/>
  <c r="AA194" i="29"/>
  <c r="AA183" i="29"/>
  <c r="AA196" i="29"/>
  <c r="J27" i="70"/>
  <c r="AA179" i="29"/>
  <c r="AA192" i="29"/>
  <c r="AC182" i="29"/>
  <c r="AC195" i="29"/>
  <c r="AC183" i="29"/>
  <c r="AC196" i="29"/>
  <c r="AC179" i="29"/>
  <c r="AC192" i="29"/>
  <c r="AC184" i="29"/>
  <c r="AC180" i="29"/>
  <c r="AC193" i="29"/>
  <c r="AC181" i="29"/>
  <c r="AC194" i="29"/>
  <c r="AC177" i="29"/>
  <c r="AC190" i="29"/>
  <c r="AA182" i="29"/>
  <c r="AA195" i="29"/>
  <c r="AA178" i="29"/>
  <c r="AA191" i="29"/>
  <c r="AA184" i="29"/>
  <c r="AA197" i="29"/>
  <c r="AA189" i="29"/>
  <c r="AA751" i="29"/>
  <c r="AA753" i="29"/>
  <c r="AC189" i="29"/>
  <c r="AC751" i="29"/>
  <c r="AC753" i="29"/>
  <c r="Y753" i="29"/>
  <c r="Y758" i="29"/>
  <c r="Y760" i="29"/>
  <c r="Y199" i="29"/>
  <c r="AC199" i="29"/>
  <c r="AC197" i="29"/>
  <c r="M47" i="70"/>
  <c r="K47" i="70"/>
  <c r="AB174" i="29"/>
  <c r="Z174" i="29"/>
  <c r="E23" i="70"/>
  <c r="E37" i="70"/>
  <c r="AB184" i="29"/>
  <c r="AB197" i="29"/>
  <c r="AB185" i="29"/>
  <c r="AB198" i="29"/>
  <c r="Z183" i="29"/>
  <c r="Z196" i="29"/>
  <c r="Z184" i="29"/>
  <c r="Z185" i="29"/>
  <c r="Z198" i="29"/>
  <c r="Z199" i="29"/>
  <c r="Z197" i="29"/>
  <c r="AB199" i="29"/>
  <c r="F24" i="3"/>
  <c r="F25" i="3"/>
  <c r="F26" i="3"/>
  <c r="D13" i="71"/>
  <c r="D12" i="71"/>
  <c r="V141" i="29"/>
  <c r="AF140" i="29"/>
  <c r="AE140" i="29"/>
  <c r="AD140" i="29"/>
  <c r="AC140" i="29"/>
  <c r="AB140" i="29"/>
  <c r="AA140" i="29"/>
  <c r="Z140" i="29"/>
  <c r="Y140" i="29"/>
  <c r="X140" i="29"/>
  <c r="V108" i="29"/>
  <c r="U10" i="3"/>
  <c r="V10" i="3"/>
  <c r="E46" i="76"/>
  <c r="U11" i="3"/>
  <c r="V11" i="3"/>
  <c r="E36" i="76"/>
  <c r="AH312" i="29"/>
  <c r="AH383" i="29"/>
  <c r="U9" i="3"/>
  <c r="V9" i="3"/>
  <c r="U8" i="3"/>
  <c r="V8" i="3"/>
  <c r="D10" i="71"/>
  <c r="AC106" i="29"/>
  <c r="E39" i="76"/>
  <c r="K29" i="76"/>
  <c r="K19" i="76"/>
  <c r="E29" i="76"/>
  <c r="E19" i="76"/>
  <c r="AA106" i="29"/>
  <c r="K10" i="76"/>
  <c r="E10" i="76"/>
  <c r="AE106" i="29"/>
  <c r="I26" i="3"/>
  <c r="I27" i="3"/>
  <c r="D8" i="71"/>
  <c r="AK17" i="29"/>
  <c r="K29" i="3"/>
  <c r="AH18" i="29"/>
  <c r="AK14" i="29"/>
  <c r="AK10" i="29"/>
  <c r="AI10" i="29"/>
  <c r="AJ10" i="29"/>
  <c r="AI188" i="29"/>
  <c r="AH67" i="3"/>
  <c r="AG67" i="3"/>
  <c r="AH66" i="3"/>
  <c r="AE66" i="3"/>
  <c r="AE65" i="3"/>
  <c r="AK732" i="29"/>
  <c r="AK697" i="29"/>
  <c r="AK691" i="29"/>
  <c r="AK653" i="29"/>
  <c r="AK628" i="29"/>
  <c r="AK621" i="29"/>
  <c r="AB286" i="29"/>
  <c r="AF305" i="29"/>
  <c r="AF383" i="29"/>
  <c r="AD295" i="29"/>
  <c r="AA107" i="29"/>
  <c r="AA108" i="29"/>
  <c r="AA109" i="29"/>
  <c r="K24" i="76"/>
  <c r="K23" i="76"/>
  <c r="K14" i="76"/>
  <c r="E23" i="76"/>
  <c r="E24" i="76"/>
  <c r="E14" i="76"/>
  <c r="AK822" i="29"/>
  <c r="AK819" i="29"/>
  <c r="AK842" i="29"/>
  <c r="AK821" i="29"/>
  <c r="AK825" i="29"/>
  <c r="AK824" i="29"/>
  <c r="AK820" i="29"/>
  <c r="AK823" i="29"/>
  <c r="AK408" i="29"/>
  <c r="AK743" i="29"/>
  <c r="AK736" i="29"/>
  <c r="AK20" i="29"/>
  <c r="N17" i="3"/>
  <c r="AJ20" i="29"/>
  <c r="AK140" i="29"/>
  <c r="AK188" i="29"/>
  <c r="AI80" i="29"/>
  <c r="AI140" i="29"/>
  <c r="AG66" i="3"/>
  <c r="S13" i="3"/>
  <c r="AK585" i="29"/>
  <c r="AK587" i="29"/>
  <c r="AK43" i="29"/>
  <c r="AK560" i="29"/>
  <c r="AK399" i="29"/>
  <c r="AK52" i="29"/>
  <c r="AK46" i="29"/>
  <c r="AJ14" i="29"/>
  <c r="AI812" i="29"/>
  <c r="AJ732" i="29"/>
  <c r="AI732" i="29"/>
  <c r="AJ697" i="29"/>
  <c r="AI697" i="29"/>
  <c r="AJ691" i="29"/>
  <c r="AI691" i="29"/>
  <c r="AK418" i="29"/>
  <c r="AK409" i="29"/>
  <c r="AI86" i="29"/>
  <c r="AK420" i="29"/>
  <c r="AI87" i="29"/>
  <c r="AI83" i="29"/>
  <c r="AK419" i="29"/>
  <c r="AI81" i="29"/>
  <c r="AI85" i="29"/>
  <c r="AI84" i="29"/>
  <c r="AD299" i="29"/>
  <c r="AD300" i="29"/>
  <c r="AB290" i="29"/>
  <c r="AB383" i="29"/>
  <c r="AJ743" i="29"/>
  <c r="AJ736" i="29"/>
  <c r="AI424" i="29"/>
  <c r="AI433" i="29"/>
  <c r="AI434" i="29"/>
  <c r="AH457" i="29"/>
  <c r="AI435" i="29"/>
  <c r="AI19" i="29"/>
  <c r="AJ188" i="29"/>
  <c r="AJ387" i="29"/>
  <c r="AJ80" i="29"/>
  <c r="AJ140" i="29"/>
  <c r="AI66" i="3"/>
  <c r="N16" i="3"/>
  <c r="AK828" i="29"/>
  <c r="AK818" i="29"/>
  <c r="AK750" i="29"/>
  <c r="AK782" i="29"/>
  <c r="AK841" i="29"/>
  <c r="AK757" i="29"/>
  <c r="AK844" i="29"/>
  <c r="AK798" i="29"/>
  <c r="AK728" i="29"/>
  <c r="AK722" i="29"/>
  <c r="AK671" i="29"/>
  <c r="AK613" i="29"/>
  <c r="AK699" i="29"/>
  <c r="AK685" i="29"/>
  <c r="AK639" i="29"/>
  <c r="AK706" i="29"/>
  <c r="AK696" i="29"/>
  <c r="AK689" i="29"/>
  <c r="AK660" i="29"/>
  <c r="AK648" i="29"/>
  <c r="AK580" i="29"/>
  <c r="AK511" i="29"/>
  <c r="AK476" i="29"/>
  <c r="AK423" i="29"/>
  <c r="AK590" i="29"/>
  <c r="AK544" i="29"/>
  <c r="AK441" i="29"/>
  <c r="AK584" i="29"/>
  <c r="AK394" i="29"/>
  <c r="AK278" i="29"/>
  <c r="AK203" i="29"/>
  <c r="AK107" i="29"/>
  <c r="AK234" i="29"/>
  <c r="AK90" i="29"/>
  <c r="AK267" i="29"/>
  <c r="AK175" i="29"/>
  <c r="AK102" i="29"/>
  <c r="AK387" i="29"/>
  <c r="AK331" i="29"/>
  <c r="AK271" i="29"/>
  <c r="AK80" i="29"/>
  <c r="AK686" i="29"/>
  <c r="AJ85" i="29"/>
  <c r="AK84" i="29"/>
  <c r="AK87" i="29"/>
  <c r="AJ84" i="29"/>
  <c r="AK86" i="29"/>
  <c r="AJ83" i="29"/>
  <c r="AJ86" i="29"/>
  <c r="AJ87" i="29"/>
  <c r="AK81" i="29"/>
  <c r="AJ81" i="29"/>
  <c r="AK85" i="29"/>
  <c r="AK83" i="29"/>
  <c r="AK723" i="29"/>
  <c r="AD383" i="29"/>
  <c r="AK184" i="29"/>
  <c r="AK197" i="29"/>
  <c r="AK185" i="29"/>
  <c r="AK198" i="29"/>
  <c r="AK434" i="29"/>
  <c r="AK435" i="29"/>
  <c r="AK433" i="29"/>
  <c r="AK690" i="29"/>
  <c r="AK692" i="29"/>
  <c r="AK47" i="29"/>
  <c r="AK424" i="29"/>
  <c r="AK452" i="29"/>
  <c r="AK488" i="29"/>
  <c r="AK442" i="29"/>
  <c r="AK478" i="29"/>
  <c r="AK451" i="29"/>
  <c r="AK487" i="29"/>
  <c r="AK450" i="29"/>
  <c r="AK486" i="29"/>
  <c r="AK453" i="29"/>
  <c r="AK489" i="29"/>
  <c r="AK443" i="29"/>
  <c r="AK479" i="29"/>
  <c r="AK454" i="29"/>
  <c r="AK490" i="29"/>
  <c r="AH493" i="29"/>
  <c r="AK429" i="29"/>
  <c r="AK427" i="29"/>
  <c r="AK432" i="29"/>
  <c r="AK428" i="29"/>
  <c r="AK183" i="29"/>
  <c r="AK196" i="29"/>
  <c r="AK182" i="29"/>
  <c r="AK195" i="29"/>
  <c r="AK135" i="29"/>
  <c r="AK168" i="29"/>
  <c r="AK131" i="29"/>
  <c r="AK164" i="29"/>
  <c r="AK127" i="29"/>
  <c r="AK160" i="29"/>
  <c r="AK123" i="29"/>
  <c r="AK156" i="29"/>
  <c r="AK119" i="29"/>
  <c r="AK152" i="29"/>
  <c r="AK115" i="29"/>
  <c r="AK148" i="29"/>
  <c r="AK110" i="29"/>
  <c r="AK143" i="29"/>
  <c r="AK136" i="29"/>
  <c r="AK169" i="29"/>
  <c r="AK132" i="29"/>
  <c r="AK165" i="29"/>
  <c r="AK128" i="29"/>
  <c r="AK161" i="29"/>
  <c r="AK124" i="29"/>
  <c r="AK157" i="29"/>
  <c r="AK120" i="29"/>
  <c r="AK153" i="29"/>
  <c r="AK116" i="29"/>
  <c r="AK149" i="29"/>
  <c r="AK111" i="29"/>
  <c r="AK144" i="29"/>
  <c r="AK114" i="29"/>
  <c r="AK147" i="29"/>
  <c r="AK108" i="29"/>
  <c r="AK133" i="29"/>
  <c r="AK166" i="29"/>
  <c r="AK129" i="29"/>
  <c r="AK162" i="29"/>
  <c r="AK125" i="29"/>
  <c r="AK158" i="29"/>
  <c r="AK121" i="29"/>
  <c r="AK154" i="29"/>
  <c r="AK117" i="29"/>
  <c r="AK150" i="29"/>
  <c r="AK112" i="29"/>
  <c r="AK145" i="29"/>
  <c r="AK137" i="29"/>
  <c r="AK134" i="29"/>
  <c r="AK167" i="29"/>
  <c r="AK130" i="29"/>
  <c r="AK163" i="29"/>
  <c r="AK126" i="29"/>
  <c r="AK159" i="29"/>
  <c r="AK122" i="29"/>
  <c r="AK155" i="29"/>
  <c r="AK118" i="29"/>
  <c r="AK151" i="29"/>
  <c r="AK113" i="29"/>
  <c r="AK146" i="29"/>
  <c r="AK109" i="29"/>
  <c r="AK142" i="29"/>
  <c r="AK595" i="29"/>
  <c r="AK603" i="29"/>
  <c r="AK601" i="29"/>
  <c r="AK591" i="29"/>
  <c r="AK599" i="29"/>
  <c r="AK596" i="29"/>
  <c r="AK604" i="29"/>
  <c r="AK199" i="29"/>
  <c r="AK576" i="29"/>
  <c r="AK437" i="29"/>
  <c r="AK41" i="29"/>
  <c r="AJ628" i="29"/>
  <c r="AI628" i="29"/>
  <c r="AJ621" i="29"/>
  <c r="AI621" i="29"/>
  <c r="AI611" i="29"/>
  <c r="AI610" i="29"/>
  <c r="AI609" i="29"/>
  <c r="AI607" i="29"/>
  <c r="AJ585" i="29"/>
  <c r="AJ587" i="29"/>
  <c r="AI585" i="29"/>
  <c r="AI587" i="29"/>
  <c r="AJ560" i="29"/>
  <c r="AI560" i="29"/>
  <c r="AI383" i="29"/>
  <c r="AI273" i="29"/>
  <c r="AI54" i="29"/>
  <c r="AJ52" i="29"/>
  <c r="AI52" i="29"/>
  <c r="AJ46" i="29"/>
  <c r="AI46" i="29"/>
  <c r="AJ43" i="29"/>
  <c r="AI43" i="29"/>
  <c r="AI35" i="29"/>
  <c r="AJ30" i="29"/>
  <c r="AJ17" i="29"/>
  <c r="Y13" i="70"/>
  <c r="G23" i="70"/>
  <c r="F23" i="70"/>
  <c r="F44" i="70"/>
  <c r="G27" i="70"/>
  <c r="G37" i="70"/>
  <c r="H23" i="70"/>
  <c r="G29" i="70"/>
  <c r="AJ782" i="29"/>
  <c r="AJ750" i="29"/>
  <c r="AJ828" i="29"/>
  <c r="AJ818" i="29"/>
  <c r="AJ798" i="29"/>
  <c r="AJ757" i="29"/>
  <c r="AJ728" i="29"/>
  <c r="AJ844" i="29"/>
  <c r="AJ841" i="29"/>
  <c r="AJ722" i="29"/>
  <c r="AJ699" i="29"/>
  <c r="AJ696" i="29"/>
  <c r="AJ689" i="29"/>
  <c r="AJ706" i="29"/>
  <c r="AJ671" i="29"/>
  <c r="AJ685" i="29"/>
  <c r="AJ660" i="29"/>
  <c r="AJ648" i="29"/>
  <c r="AJ639" i="29"/>
  <c r="AJ613" i="29"/>
  <c r="AJ584" i="29"/>
  <c r="AJ580" i="29"/>
  <c r="AJ511" i="29"/>
  <c r="AJ476" i="29"/>
  <c r="AJ590" i="29"/>
  <c r="AJ544" i="29"/>
  <c r="AJ441" i="29"/>
  <c r="AJ423" i="29"/>
  <c r="AJ394" i="29"/>
  <c r="AJ331" i="29"/>
  <c r="AJ278" i="29"/>
  <c r="AJ267" i="29"/>
  <c r="AJ408" i="29"/>
  <c r="AJ90" i="29"/>
  <c r="AJ175" i="29"/>
  <c r="AJ271" i="29"/>
  <c r="AJ234" i="29"/>
  <c r="AJ203" i="29"/>
  <c r="AJ107" i="29"/>
  <c r="AJ102" i="29"/>
  <c r="AI828" i="29"/>
  <c r="AI818" i="29"/>
  <c r="AI798" i="29"/>
  <c r="AI757" i="29"/>
  <c r="AI844" i="29"/>
  <c r="AI841" i="29"/>
  <c r="AI728" i="29"/>
  <c r="AI782" i="29"/>
  <c r="AI750" i="29"/>
  <c r="AI699" i="29"/>
  <c r="AI696" i="29"/>
  <c r="AI689" i="29"/>
  <c r="AI706" i="29"/>
  <c r="AI685" i="29"/>
  <c r="AI660" i="29"/>
  <c r="AI648" i="29"/>
  <c r="AI671" i="29"/>
  <c r="AI639" i="29"/>
  <c r="AI613" i="29"/>
  <c r="AI584" i="29"/>
  <c r="AI580" i="29"/>
  <c r="AI511" i="29"/>
  <c r="AI476" i="29"/>
  <c r="AI590" i="29"/>
  <c r="AI544" i="29"/>
  <c r="AI441" i="29"/>
  <c r="AI423" i="29"/>
  <c r="AI90" i="29"/>
  <c r="AI387" i="29"/>
  <c r="AI175" i="29"/>
  <c r="AI200" i="29"/>
  <c r="AI31" i="29"/>
  <c r="AI271" i="29"/>
  <c r="AI234" i="29"/>
  <c r="AI203" i="29"/>
  <c r="AI107" i="29"/>
  <c r="AI102" i="29"/>
  <c r="AI394" i="29"/>
  <c r="AI331" i="29"/>
  <c r="AI278" i="29"/>
  <c r="AI267" i="29"/>
  <c r="AI268" i="29"/>
  <c r="AI272" i="29"/>
  <c r="AI274" i="29"/>
  <c r="AI33" i="29"/>
  <c r="F27" i="70"/>
  <c r="AJ686" i="29"/>
  <c r="AI686" i="29"/>
  <c r="AJ454" i="29"/>
  <c r="AJ723" i="29"/>
  <c r="AI723" i="29"/>
  <c r="AH414" i="29"/>
  <c r="AH413" i="29"/>
  <c r="AH428" i="29"/>
  <c r="AI255" i="29"/>
  <c r="AM255" i="29"/>
  <c r="AI256" i="29"/>
  <c r="AM256" i="29"/>
  <c r="AI257" i="29"/>
  <c r="AM257" i="29"/>
  <c r="AI258" i="29"/>
  <c r="AM258" i="29"/>
  <c r="AI254" i="29"/>
  <c r="AI225" i="29"/>
  <c r="AM225" i="29"/>
  <c r="AI226" i="29"/>
  <c r="AM226" i="29"/>
  <c r="AI227" i="29"/>
  <c r="AM227" i="29"/>
  <c r="AI223" i="29"/>
  <c r="AM223" i="29"/>
  <c r="AI224" i="29"/>
  <c r="AH417" i="29"/>
  <c r="AH415" i="29"/>
  <c r="AH442" i="29"/>
  <c r="AH478" i="29"/>
  <c r="AH443" i="29"/>
  <c r="AH479" i="29"/>
  <c r="AJ690" i="29"/>
  <c r="AJ692" i="29"/>
  <c r="AJ47" i="29"/>
  <c r="AH430" i="29"/>
  <c r="AJ186" i="29"/>
  <c r="AH643" i="29"/>
  <c r="AH641" i="29"/>
  <c r="AH640" i="29"/>
  <c r="AH642" i="29"/>
  <c r="AH644" i="29"/>
  <c r="AJ457" i="29"/>
  <c r="AJ464" i="29"/>
  <c r="AJ500" i="29"/>
  <c r="AJ490" i="29"/>
  <c r="AH464" i="29"/>
  <c r="AH500" i="29"/>
  <c r="AH454" i="29"/>
  <c r="AH490" i="29"/>
  <c r="AH453" i="29"/>
  <c r="AH489" i="29"/>
  <c r="AH452" i="29"/>
  <c r="AH488" i="29"/>
  <c r="AH451" i="29"/>
  <c r="AH487" i="29"/>
  <c r="AH450" i="29"/>
  <c r="AH486" i="29"/>
  <c r="AJ421" i="29"/>
  <c r="AJ436" i="29"/>
  <c r="AJ415" i="29"/>
  <c r="AJ430" i="29"/>
  <c r="AJ417" i="29"/>
  <c r="AJ432" i="29"/>
  <c r="AJ185" i="29"/>
  <c r="AJ198" i="29"/>
  <c r="AI429" i="29"/>
  <c r="AJ427" i="29"/>
  <c r="AI427" i="29"/>
  <c r="AI432" i="29"/>
  <c r="AJ429" i="29"/>
  <c r="AJ428" i="29"/>
  <c r="AI428" i="29"/>
  <c r="AJ392" i="29"/>
  <c r="AJ399" i="29"/>
  <c r="AJ183" i="29"/>
  <c r="AJ196" i="29"/>
  <c r="AJ182" i="29"/>
  <c r="AJ195" i="29"/>
  <c r="AJ184" i="29"/>
  <c r="AJ197" i="29"/>
  <c r="AI690" i="29"/>
  <c r="AI692" i="29"/>
  <c r="AI47" i="29"/>
  <c r="I27" i="70"/>
  <c r="G44" i="70"/>
  <c r="H37" i="70"/>
  <c r="F37" i="70"/>
  <c r="H27" i="70"/>
  <c r="AI641" i="29"/>
  <c r="AJ604" i="29"/>
  <c r="AI442" i="29"/>
  <c r="AJ642" i="29"/>
  <c r="AJ643" i="29"/>
  <c r="AI591" i="29"/>
  <c r="AI449" i="29"/>
  <c r="AI596" i="29"/>
  <c r="AJ591" i="29"/>
  <c r="AI644" i="29"/>
  <c r="AJ599" i="29"/>
  <c r="AI453" i="29"/>
  <c r="AI452" i="29"/>
  <c r="AJ595" i="29"/>
  <c r="AI601" i="29"/>
  <c r="AI640" i="29"/>
  <c r="AI595" i="29"/>
  <c r="AJ644" i="29"/>
  <c r="AJ452" i="29"/>
  <c r="AI443" i="29"/>
  <c r="AI643" i="29"/>
  <c r="AJ601" i="29"/>
  <c r="AJ641" i="29"/>
  <c r="AI448" i="29"/>
  <c r="AJ640" i="29"/>
  <c r="AI454" i="29"/>
  <c r="AJ451" i="29"/>
  <c r="AI451" i="29"/>
  <c r="AJ443" i="29"/>
  <c r="AI604" i="29"/>
  <c r="AI603" i="29"/>
  <c r="AJ603" i="29"/>
  <c r="AJ453" i="29"/>
  <c r="AI450" i="29"/>
  <c r="AJ596" i="29"/>
  <c r="AI599" i="29"/>
  <c r="AI642" i="29"/>
  <c r="AJ442" i="29"/>
  <c r="AJ450" i="29"/>
  <c r="AM254" i="29"/>
  <c r="AM263" i="29"/>
  <c r="AI263" i="29"/>
  <c r="AI232" i="29"/>
  <c r="AM224" i="29"/>
  <c r="AM232" i="29"/>
  <c r="AI488" i="29"/>
  <c r="AJ487" i="29"/>
  <c r="AJ478" i="29"/>
  <c r="AJ486" i="29"/>
  <c r="AJ479" i="29"/>
  <c r="AI479" i="29"/>
  <c r="AJ488" i="29"/>
  <c r="AI490" i="29"/>
  <c r="AI478" i="29"/>
  <c r="AI484" i="29"/>
  <c r="AI653" i="29"/>
  <c r="AJ653" i="29"/>
  <c r="AI485" i="29"/>
  <c r="AI486" i="29"/>
  <c r="AI487" i="29"/>
  <c r="AJ489" i="29"/>
  <c r="AI489" i="29"/>
  <c r="AJ199" i="29"/>
  <c r="AI437" i="29"/>
  <c r="AI41" i="29"/>
  <c r="AJ435" i="29"/>
  <c r="AJ424" i="29"/>
  <c r="AJ433" i="29"/>
  <c r="AJ434" i="29"/>
  <c r="AJ493" i="29"/>
  <c r="L3" i="57"/>
  <c r="M35" i="53"/>
  <c r="J35" i="53"/>
  <c r="G35" i="53"/>
  <c r="C35" i="53"/>
  <c r="M32" i="53"/>
  <c r="J32" i="53"/>
  <c r="G32" i="53"/>
  <c r="C32" i="53"/>
  <c r="M24" i="53"/>
  <c r="J24" i="53"/>
  <c r="G24" i="53"/>
  <c r="C24" i="53"/>
  <c r="M12" i="53"/>
  <c r="J12" i="53"/>
  <c r="G12" i="53"/>
  <c r="C12" i="53"/>
  <c r="M16" i="53"/>
  <c r="J16" i="53"/>
  <c r="G16" i="53"/>
  <c r="C16" i="53"/>
  <c r="M20" i="53"/>
  <c r="J20" i="53"/>
  <c r="C20" i="53"/>
  <c r="AI32" i="29"/>
  <c r="AJ437" i="29"/>
  <c r="AJ41" i="29"/>
  <c r="AI850" i="29"/>
  <c r="AJ850" i="29"/>
  <c r="AK850" i="29"/>
  <c r="W848" i="29"/>
  <c r="C5" i="12"/>
  <c r="AI848" i="29"/>
  <c r="AJ848" i="29"/>
  <c r="AK848" i="29"/>
  <c r="W732" i="29"/>
  <c r="M9" i="57"/>
  <c r="J9" i="57"/>
  <c r="G9" i="57"/>
  <c r="C9" i="57"/>
  <c r="W799" i="29"/>
  <c r="D57" i="14"/>
  <c r="E50" i="14"/>
  <c r="D60" i="14"/>
  <c r="D59" i="14"/>
  <c r="D58" i="14"/>
  <c r="E52" i="14"/>
  <c r="E53" i="14"/>
  <c r="AI67" i="3"/>
  <c r="W709" i="29"/>
  <c r="Z30" i="29"/>
  <c r="AB30" i="29"/>
  <c r="AD30" i="29"/>
  <c r="AF30" i="29"/>
  <c r="AH30" i="29"/>
  <c r="AF722" i="29"/>
  <c r="Z750" i="29"/>
  <c r="W793" i="29"/>
  <c r="W792" i="29"/>
  <c r="W791" i="29"/>
  <c r="W790" i="29"/>
  <c r="W789" i="29"/>
  <c r="W784" i="29"/>
  <c r="W783" i="29"/>
  <c r="W824" i="29"/>
  <c r="W823" i="29"/>
  <c r="W822" i="29"/>
  <c r="W821" i="29"/>
  <c r="W820" i="29"/>
  <c r="AH653" i="29"/>
  <c r="AK852" i="29"/>
  <c r="AK851" i="29"/>
  <c r="U845" i="29"/>
  <c r="AF746" i="29"/>
  <c r="AF51" i="29"/>
  <c r="AI851" i="29"/>
  <c r="AJ851" i="29"/>
  <c r="W700" i="29"/>
  <c r="AK700" i="29"/>
  <c r="AK48" i="29"/>
  <c r="AM744" i="29"/>
  <c r="AM746" i="29"/>
  <c r="AJ710" i="29"/>
  <c r="AI700" i="29"/>
  <c r="AI48" i="29"/>
  <c r="AJ700" i="29"/>
  <c r="AJ48" i="29"/>
  <c r="AH691" i="29"/>
  <c r="AC691" i="29"/>
  <c r="AD691" i="29"/>
  <c r="AE691" i="29"/>
  <c r="AF691" i="29"/>
  <c r="AG691" i="29"/>
  <c r="AB691" i="29"/>
  <c r="Z691" i="29"/>
  <c r="Y691" i="29"/>
  <c r="AA691" i="29"/>
  <c r="AB680" i="29"/>
  <c r="W679" i="29"/>
  <c r="AA679" i="29"/>
  <c r="W678" i="29"/>
  <c r="AA678" i="29"/>
  <c r="W677" i="29"/>
  <c r="AA677" i="29"/>
  <c r="W676" i="29"/>
  <c r="AA676" i="29"/>
  <c r="W675" i="29"/>
  <c r="AB675" i="29"/>
  <c r="W674" i="29"/>
  <c r="AB674" i="29"/>
  <c r="W673" i="29"/>
  <c r="AB673" i="29"/>
  <c r="W672" i="29"/>
  <c r="AB672" i="29"/>
  <c r="AM665" i="29"/>
  <c r="AM666" i="29"/>
  <c r="AM667" i="29"/>
  <c r="AM668" i="29"/>
  <c r="AM669" i="29"/>
  <c r="AB679" i="29"/>
  <c r="AE621" i="29"/>
  <c r="AF621" i="29"/>
  <c r="AG621" i="29"/>
  <c r="AH621" i="29"/>
  <c r="AE628" i="29"/>
  <c r="AF628" i="29"/>
  <c r="AG628" i="29"/>
  <c r="AH628" i="29"/>
  <c r="Y621" i="29"/>
  <c r="Z621" i="29"/>
  <c r="AA621" i="29"/>
  <c r="AB621" i="29"/>
  <c r="AC621" i="29"/>
  <c r="AD621" i="29"/>
  <c r="Y628" i="29"/>
  <c r="Z628" i="29"/>
  <c r="AA628" i="29"/>
  <c r="AB628" i="29"/>
  <c r="AC628" i="29"/>
  <c r="AD628" i="29"/>
  <c r="X621" i="29"/>
  <c r="X628" i="29"/>
  <c r="AG607" i="29"/>
  <c r="AG609" i="29"/>
  <c r="AG611" i="29"/>
  <c r="AG610" i="29"/>
  <c r="AC607" i="29"/>
  <c r="AC608" i="29"/>
  <c r="AC609" i="29"/>
  <c r="AE609" i="29"/>
  <c r="AE607" i="29"/>
  <c r="AE606" i="29"/>
  <c r="W592" i="29"/>
  <c r="W593" i="29"/>
  <c r="W594" i="29"/>
  <c r="W595" i="29"/>
  <c r="W596" i="29"/>
  <c r="W597" i="29"/>
  <c r="W599" i="29"/>
  <c r="W600" i="29"/>
  <c r="W601" i="29"/>
  <c r="W602" i="29"/>
  <c r="W603" i="29"/>
  <c r="W604" i="29"/>
  <c r="W606" i="29"/>
  <c r="W607" i="29"/>
  <c r="W608" i="29"/>
  <c r="W609" i="29"/>
  <c r="W610" i="29"/>
  <c r="W611" i="29"/>
  <c r="W591" i="29"/>
  <c r="AH581" i="29"/>
  <c r="AH585" i="29"/>
  <c r="X585" i="29"/>
  <c r="AC560" i="29"/>
  <c r="AD560" i="29"/>
  <c r="AE560" i="29"/>
  <c r="AF560" i="29"/>
  <c r="AG560" i="29"/>
  <c r="AH560" i="29"/>
  <c r="AB560" i="29"/>
  <c r="AA560" i="29"/>
  <c r="Y560" i="29"/>
  <c r="Z560" i="29"/>
  <c r="X560" i="29"/>
  <c r="AF537" i="29"/>
  <c r="AF541" i="29"/>
  <c r="AF540" i="29"/>
  <c r="AF539" i="29"/>
  <c r="AF538" i="29"/>
  <c r="AF535" i="29"/>
  <c r="AF533" i="29"/>
  <c r="AF532" i="29"/>
  <c r="AF531" i="29"/>
  <c r="AF528" i="29"/>
  <c r="AF520" i="29"/>
  <c r="AC526" i="29"/>
  <c r="AC525" i="29"/>
  <c r="AC524" i="29"/>
  <c r="AC522" i="29"/>
  <c r="AC521" i="29"/>
  <c r="AC516" i="29"/>
  <c r="AC515" i="29"/>
  <c r="X533" i="29"/>
  <c r="X526" i="29"/>
  <c r="X525" i="29"/>
  <c r="X524" i="29"/>
  <c r="X522" i="29"/>
  <c r="X521" i="29"/>
  <c r="X520" i="29"/>
  <c r="X519" i="29"/>
  <c r="X516" i="29"/>
  <c r="X515" i="29"/>
  <c r="X488" i="29"/>
  <c r="X487" i="29"/>
  <c r="X576" i="29"/>
  <c r="AC476" i="29"/>
  <c r="AM416" i="29"/>
  <c r="AH399" i="29"/>
  <c r="AF399" i="29"/>
  <c r="AD399" i="29"/>
  <c r="AB399" i="29"/>
  <c r="AG273" i="29"/>
  <c r="AE273" i="29"/>
  <c r="AC273" i="29"/>
  <c r="AA273" i="29"/>
  <c r="X273" i="29"/>
  <c r="AF18" i="29"/>
  <c r="AD18" i="29"/>
  <c r="AB18" i="29"/>
  <c r="Z18" i="29"/>
  <c r="AH697" i="29"/>
  <c r="AH700" i="29"/>
  <c r="AG743" i="29"/>
  <c r="AG736" i="29"/>
  <c r="AH188" i="29"/>
  <c r="AH743" i="29"/>
  <c r="AH736" i="29"/>
  <c r="AG140" i="29"/>
  <c r="AG188" i="29"/>
  <c r="AH278" i="29"/>
  <c r="AH140" i="29"/>
  <c r="AH271" i="29"/>
  <c r="W9" i="29"/>
  <c r="W8" i="29"/>
  <c r="U820" i="29"/>
  <c r="U821" i="29"/>
  <c r="U822" i="29"/>
  <c r="U823" i="29"/>
  <c r="U824" i="29"/>
  <c r="U825" i="29"/>
  <c r="AK835" i="29"/>
  <c r="U819" i="29"/>
  <c r="U809" i="29"/>
  <c r="AC726" i="29"/>
  <c r="AC732" i="29"/>
  <c r="AC725" i="29"/>
  <c r="AC731" i="29"/>
  <c r="U723" i="29"/>
  <c r="AK729" i="29"/>
  <c r="V641" i="29"/>
  <c r="V642" i="29"/>
  <c r="V643" i="29"/>
  <c r="V645" i="29"/>
  <c r="V640" i="29"/>
  <c r="U642" i="29"/>
  <c r="U643" i="29"/>
  <c r="U641" i="29"/>
  <c r="U640" i="29"/>
  <c r="V607" i="29"/>
  <c r="V608" i="29"/>
  <c r="V609" i="29"/>
  <c r="V610" i="29"/>
  <c r="V611" i="29"/>
  <c r="V606" i="29"/>
  <c r="V600" i="29"/>
  <c r="V601" i="29"/>
  <c r="V602" i="29"/>
  <c r="V603" i="29"/>
  <c r="V604" i="29"/>
  <c r="V599" i="29"/>
  <c r="V592" i="29"/>
  <c r="V593" i="29"/>
  <c r="V594" i="29"/>
  <c r="V595" i="29"/>
  <c r="V596" i="29"/>
  <c r="V597" i="29"/>
  <c r="V591" i="29"/>
  <c r="U542" i="29"/>
  <c r="V529" i="29"/>
  <c r="V530" i="29"/>
  <c r="V531" i="29"/>
  <c r="V532" i="29"/>
  <c r="V533" i="29"/>
  <c r="V534" i="29"/>
  <c r="V535" i="29"/>
  <c r="V536" i="29"/>
  <c r="V537" i="29"/>
  <c r="V538" i="29"/>
  <c r="V539" i="29"/>
  <c r="V540" i="29"/>
  <c r="V541" i="29"/>
  <c r="V528" i="29"/>
  <c r="U527" i="29"/>
  <c r="V514" i="29"/>
  <c r="V515" i="29"/>
  <c r="V516" i="29"/>
  <c r="V517" i="29"/>
  <c r="V518" i="29"/>
  <c r="V519" i="29"/>
  <c r="V520" i="29"/>
  <c r="V521" i="29"/>
  <c r="V522" i="29"/>
  <c r="V523" i="29"/>
  <c r="V524" i="29"/>
  <c r="V525" i="29"/>
  <c r="V526" i="29"/>
  <c r="V513" i="29"/>
  <c r="U512" i="29"/>
  <c r="U82" i="29"/>
  <c r="U83" i="29"/>
  <c r="U84" i="29"/>
  <c r="U85" i="29"/>
  <c r="U86" i="29"/>
  <c r="U87" i="29"/>
  <c r="U81" i="29"/>
  <c r="AF844" i="29"/>
  <c r="AE844" i="29"/>
  <c r="AD844" i="29"/>
  <c r="AC844" i="29"/>
  <c r="AB844" i="29"/>
  <c r="AA844" i="29"/>
  <c r="Z844" i="29"/>
  <c r="Y844" i="29"/>
  <c r="X844" i="29"/>
  <c r="AL842" i="29"/>
  <c r="AF841" i="29"/>
  <c r="AE841" i="29"/>
  <c r="AD841" i="29"/>
  <c r="AC841" i="29"/>
  <c r="AB841" i="29"/>
  <c r="AA841" i="29"/>
  <c r="Z841" i="29"/>
  <c r="Y841" i="29"/>
  <c r="X841" i="29"/>
  <c r="AF828" i="29"/>
  <c r="AE828" i="29"/>
  <c r="AD828" i="29"/>
  <c r="AC828" i="29"/>
  <c r="AB828" i="29"/>
  <c r="AA828" i="29"/>
  <c r="Z828" i="29"/>
  <c r="Y828" i="29"/>
  <c r="X828" i="29"/>
  <c r="V829" i="29"/>
  <c r="W829" i="29"/>
  <c r="W802" i="29"/>
  <c r="AF818" i="29"/>
  <c r="AE818" i="29"/>
  <c r="AD818" i="29"/>
  <c r="AC818" i="29"/>
  <c r="AB818" i="29"/>
  <c r="AA818" i="29"/>
  <c r="Z818" i="29"/>
  <c r="Y818" i="29"/>
  <c r="X818" i="29"/>
  <c r="AL812" i="29"/>
  <c r="AG812" i="29"/>
  <c r="AE812" i="29"/>
  <c r="AC812" i="29"/>
  <c r="AA812" i="29"/>
  <c r="Y812" i="29"/>
  <c r="X811" i="29"/>
  <c r="AM811" i="29"/>
  <c r="AF798" i="29"/>
  <c r="AE798" i="29"/>
  <c r="AD798" i="29"/>
  <c r="AC798" i="29"/>
  <c r="AB798" i="29"/>
  <c r="AA798" i="29"/>
  <c r="Z798" i="29"/>
  <c r="Y798" i="29"/>
  <c r="X798" i="29"/>
  <c r="V799" i="29"/>
  <c r="AF782" i="29"/>
  <c r="AE782" i="29"/>
  <c r="AD782" i="29"/>
  <c r="AC782" i="29"/>
  <c r="AB782" i="29"/>
  <c r="AA782" i="29"/>
  <c r="Z782" i="29"/>
  <c r="Y782" i="29"/>
  <c r="X782" i="29"/>
  <c r="Z773" i="29"/>
  <c r="AE770" i="29"/>
  <c r="AD770" i="29"/>
  <c r="AF757" i="29"/>
  <c r="AE757" i="29"/>
  <c r="AD757" i="29"/>
  <c r="AC757" i="29"/>
  <c r="AB757" i="29"/>
  <c r="AA757" i="29"/>
  <c r="Z757" i="29"/>
  <c r="Y757" i="29"/>
  <c r="X757" i="29"/>
  <c r="AF750" i="29"/>
  <c r="AE750" i="29"/>
  <c r="AD750" i="29"/>
  <c r="AC750" i="29"/>
  <c r="AB750" i="29"/>
  <c r="AA750" i="29"/>
  <c r="Y750" i="29"/>
  <c r="X750" i="29"/>
  <c r="AH732" i="29"/>
  <c r="AG732" i="29"/>
  <c r="AF732" i="29"/>
  <c r="AE732" i="29"/>
  <c r="AD732" i="29"/>
  <c r="AA732" i="29"/>
  <c r="U732" i="29"/>
  <c r="U731" i="29"/>
  <c r="U730" i="29"/>
  <c r="U729" i="29"/>
  <c r="AF728" i="29"/>
  <c r="AE728" i="29"/>
  <c r="AD728" i="29"/>
  <c r="AC728" i="29"/>
  <c r="AB728" i="29"/>
  <c r="AA728" i="29"/>
  <c r="Z728" i="29"/>
  <c r="Y728" i="29"/>
  <c r="X728" i="29"/>
  <c r="AE722" i="29"/>
  <c r="AD722" i="29"/>
  <c r="AC722" i="29"/>
  <c r="AB722" i="29"/>
  <c r="AA722" i="29"/>
  <c r="Z722" i="29"/>
  <c r="Y722" i="29"/>
  <c r="X722" i="29"/>
  <c r="AH388" i="29"/>
  <c r="AJ389" i="29"/>
  <c r="AK829" i="29"/>
  <c r="U398" i="29"/>
  <c r="AI835" i="29"/>
  <c r="AJ835" i="29"/>
  <c r="AI729" i="29"/>
  <c r="AI733" i="29"/>
  <c r="AI50" i="29"/>
  <c r="AJ729" i="29"/>
  <c r="AI829" i="29"/>
  <c r="AJ829" i="29"/>
  <c r="U724" i="29"/>
  <c r="AD388" i="29"/>
  <c r="AD389" i="29"/>
  <c r="AM716" i="29"/>
  <c r="AM732" i="29"/>
  <c r="AM714" i="29"/>
  <c r="AJ733" i="29"/>
  <c r="AJ50" i="29"/>
  <c r="AK733" i="29"/>
  <c r="AK50" i="29"/>
  <c r="AH724" i="29"/>
  <c r="AH730" i="29"/>
  <c r="AF724" i="29"/>
  <c r="AF730" i="29"/>
  <c r="V831" i="29"/>
  <c r="W831" i="29"/>
  <c r="AK831" i="29"/>
  <c r="V830" i="29"/>
  <c r="W830" i="29"/>
  <c r="AK830" i="29"/>
  <c r="V800" i="29"/>
  <c r="W800" i="29"/>
  <c r="V832" i="29"/>
  <c r="W832" i="29"/>
  <c r="AK832" i="29"/>
  <c r="AJ832" i="29"/>
  <c r="AI832" i="29"/>
  <c r="AJ831" i="29"/>
  <c r="AI831" i="29"/>
  <c r="AJ830" i="29"/>
  <c r="AI830" i="29"/>
  <c r="AM730" i="29"/>
  <c r="AM724" i="29"/>
  <c r="W803" i="29"/>
  <c r="W804" i="29"/>
  <c r="AM710" i="29"/>
  <c r="V833" i="29"/>
  <c r="W833" i="29"/>
  <c r="AK833" i="29"/>
  <c r="V801" i="29"/>
  <c r="W801" i="29"/>
  <c r="AJ833" i="29"/>
  <c r="AI833" i="29"/>
  <c r="V835" i="29"/>
  <c r="V834" i="29"/>
  <c r="W834" i="29"/>
  <c r="AK834" i="29"/>
  <c r="AK837" i="29"/>
  <c r="AK59" i="29"/>
  <c r="V802" i="29"/>
  <c r="AF706" i="29"/>
  <c r="AE706" i="29"/>
  <c r="AD706" i="29"/>
  <c r="AC706" i="29"/>
  <c r="AB706" i="29"/>
  <c r="AA706" i="29"/>
  <c r="Z706" i="29"/>
  <c r="Y706" i="29"/>
  <c r="X706" i="29"/>
  <c r="AF699" i="29"/>
  <c r="AE699" i="29"/>
  <c r="AD699" i="29"/>
  <c r="AC699" i="29"/>
  <c r="AB699" i="29"/>
  <c r="AA699" i="29"/>
  <c r="Z699" i="29"/>
  <c r="Y699" i="29"/>
  <c r="X699" i="29"/>
  <c r="AL697" i="29"/>
  <c r="AL700" i="29"/>
  <c r="AF696" i="29"/>
  <c r="AE696" i="29"/>
  <c r="AD696" i="29"/>
  <c r="AC696" i="29"/>
  <c r="AB696" i="29"/>
  <c r="AA696" i="29"/>
  <c r="Z696" i="29"/>
  <c r="Y696" i="29"/>
  <c r="X696" i="29"/>
  <c r="AF689" i="29"/>
  <c r="AE689" i="29"/>
  <c r="AD689" i="29"/>
  <c r="AC689" i="29"/>
  <c r="AB689" i="29"/>
  <c r="AA689" i="29"/>
  <c r="Z689" i="29"/>
  <c r="Y689" i="29"/>
  <c r="X689" i="29"/>
  <c r="U691" i="29"/>
  <c r="AJ834" i="29"/>
  <c r="AJ837" i="29"/>
  <c r="AJ59" i="29"/>
  <c r="AI834" i="29"/>
  <c r="AI837" i="29"/>
  <c r="AI59" i="29"/>
  <c r="V803" i="29"/>
  <c r="X690" i="29"/>
  <c r="U690" i="29"/>
  <c r="AF685" i="29"/>
  <c r="AE685" i="29"/>
  <c r="AD685" i="29"/>
  <c r="AC685" i="29"/>
  <c r="AB685" i="29"/>
  <c r="AA685" i="29"/>
  <c r="Z685" i="29"/>
  <c r="Y685" i="29"/>
  <c r="X685" i="29"/>
  <c r="AM680" i="29"/>
  <c r="U680" i="29"/>
  <c r="AF671" i="29"/>
  <c r="AE671" i="29"/>
  <c r="AD671" i="29"/>
  <c r="AC671" i="29"/>
  <c r="AB671" i="29"/>
  <c r="AA671" i="29"/>
  <c r="Z671" i="29"/>
  <c r="Y671" i="29"/>
  <c r="X671" i="29"/>
  <c r="U674" i="29"/>
  <c r="U673" i="29"/>
  <c r="U672" i="29"/>
  <c r="AF660" i="29"/>
  <c r="AE660" i="29"/>
  <c r="AD660" i="29"/>
  <c r="AC660" i="29"/>
  <c r="AB660" i="29"/>
  <c r="AA660" i="29"/>
  <c r="Z660" i="29"/>
  <c r="Y660" i="29"/>
  <c r="X660" i="29"/>
  <c r="AL656" i="29"/>
  <c r="AM655" i="29"/>
  <c r="AF648" i="29"/>
  <c r="AE648" i="29"/>
  <c r="AD648" i="29"/>
  <c r="AC648" i="29"/>
  <c r="AB648" i="29"/>
  <c r="AA648" i="29"/>
  <c r="Z648" i="29"/>
  <c r="Y648" i="29"/>
  <c r="X648" i="29"/>
  <c r="AM646" i="29"/>
  <c r="U654" i="29"/>
  <c r="W654" i="29"/>
  <c r="AM679" i="29"/>
  <c r="AM661" i="29"/>
  <c r="AM662" i="29"/>
  <c r="AM663" i="29"/>
  <c r="AM664" i="29"/>
  <c r="AM678" i="29"/>
  <c r="AM677" i="29"/>
  <c r="U677" i="29"/>
  <c r="V804" i="29"/>
  <c r="U652" i="29"/>
  <c r="W652" i="29"/>
  <c r="AK652" i="29"/>
  <c r="AH652" i="29"/>
  <c r="AI652" i="29"/>
  <c r="AJ652" i="29"/>
  <c r="AM645" i="29"/>
  <c r="V805" i="29"/>
  <c r="W805" i="29"/>
  <c r="U678" i="29"/>
  <c r="U675" i="29"/>
  <c r="U676" i="29"/>
  <c r="U679" i="29"/>
  <c r="U651" i="29"/>
  <c r="W651" i="29"/>
  <c r="AK651" i="29"/>
  <c r="AH651" i="29"/>
  <c r="AI651" i="29"/>
  <c r="AJ651" i="29"/>
  <c r="V806" i="29"/>
  <c r="W806" i="29"/>
  <c r="U650" i="29"/>
  <c r="W650" i="29"/>
  <c r="AK650" i="29"/>
  <c r="AH650" i="29"/>
  <c r="AI650" i="29"/>
  <c r="AJ650" i="29"/>
  <c r="V807" i="29"/>
  <c r="W807" i="29"/>
  <c r="U649" i="29"/>
  <c r="AF639" i="29"/>
  <c r="AE639" i="29"/>
  <c r="AD639" i="29"/>
  <c r="AC639" i="29"/>
  <c r="AB639" i="29"/>
  <c r="AA639" i="29"/>
  <c r="Z639" i="29"/>
  <c r="Y639" i="29"/>
  <c r="X639" i="29"/>
  <c r="AG638" i="29"/>
  <c r="AE638" i="29"/>
  <c r="AC638" i="29"/>
  <c r="AA638" i="29"/>
  <c r="Z638" i="29"/>
  <c r="Y638" i="29"/>
  <c r="U628" i="29"/>
  <c r="U621" i="29"/>
  <c r="AF613" i="29"/>
  <c r="AE613" i="29"/>
  <c r="AD613" i="29"/>
  <c r="AC613" i="29"/>
  <c r="AB613" i="29"/>
  <c r="AA613" i="29"/>
  <c r="Z613" i="29"/>
  <c r="Y613" i="29"/>
  <c r="X613" i="29"/>
  <c r="U634" i="29"/>
  <c r="W634" i="29"/>
  <c r="AK634" i="29"/>
  <c r="U633" i="29"/>
  <c r="W633" i="29"/>
  <c r="AK633" i="29"/>
  <c r="U632" i="29"/>
  <c r="W632" i="29"/>
  <c r="AK632" i="29"/>
  <c r="U631" i="29"/>
  <c r="W631" i="29"/>
  <c r="AK631" i="29"/>
  <c r="U630" i="29"/>
  <c r="W630" i="29"/>
  <c r="AK630" i="29"/>
  <c r="AC606" i="29"/>
  <c r="AA606" i="29"/>
  <c r="U629" i="29"/>
  <c r="W629" i="29"/>
  <c r="AK629" i="29"/>
  <c r="AJ630" i="29"/>
  <c r="AI630" i="29"/>
  <c r="AJ634" i="29"/>
  <c r="AI634" i="29"/>
  <c r="AI633" i="29"/>
  <c r="AJ633" i="29"/>
  <c r="AJ632" i="29"/>
  <c r="AI632" i="29"/>
  <c r="AI629" i="29"/>
  <c r="AJ629" i="29"/>
  <c r="AI631" i="29"/>
  <c r="AJ631" i="29"/>
  <c r="AH631" i="29"/>
  <c r="AB631" i="29"/>
  <c r="X631" i="29"/>
  <c r="AG631" i="29"/>
  <c r="Z631" i="29"/>
  <c r="AF631" i="29"/>
  <c r="Y631" i="29"/>
  <c r="AE631" i="29"/>
  <c r="AD631" i="29"/>
  <c r="AC631" i="29"/>
  <c r="AA631" i="29"/>
  <c r="AF633" i="29"/>
  <c r="Y633" i="29"/>
  <c r="AC633" i="29"/>
  <c r="AE633" i="29"/>
  <c r="AB633" i="29"/>
  <c r="AA633" i="29"/>
  <c r="X633" i="29"/>
  <c r="AH633" i="29"/>
  <c r="Z633" i="29"/>
  <c r="AD633" i="29"/>
  <c r="AG633" i="29"/>
  <c r="AA632" i="29"/>
  <c r="Z632" i="29"/>
  <c r="AD632" i="29"/>
  <c r="AH632" i="29"/>
  <c r="Y632" i="29"/>
  <c r="AC632" i="29"/>
  <c r="AF632" i="29"/>
  <c r="AB632" i="29"/>
  <c r="X632" i="29"/>
  <c r="AE632" i="29"/>
  <c r="AG632" i="29"/>
  <c r="AC629" i="29"/>
  <c r="AA629" i="29"/>
  <c r="AG629" i="29"/>
  <c r="AB629" i="29"/>
  <c r="AF629" i="29"/>
  <c r="Z629" i="29"/>
  <c r="Y629" i="29"/>
  <c r="X629" i="29"/>
  <c r="AH629" i="29"/>
  <c r="AD629" i="29"/>
  <c r="AE629" i="29"/>
  <c r="AH630" i="29"/>
  <c r="AB630" i="29"/>
  <c r="AF630" i="29"/>
  <c r="Z630" i="29"/>
  <c r="X630" i="29"/>
  <c r="AE630" i="29"/>
  <c r="Y630" i="29"/>
  <c r="AD630" i="29"/>
  <c r="AG630" i="29"/>
  <c r="AC630" i="29"/>
  <c r="AA630" i="29"/>
  <c r="AH634" i="29"/>
  <c r="AA634" i="29"/>
  <c r="AF634" i="29"/>
  <c r="Z634" i="29"/>
  <c r="AD634" i="29"/>
  <c r="X634" i="29"/>
  <c r="AE634" i="29"/>
  <c r="Y634" i="29"/>
  <c r="AC634" i="29"/>
  <c r="AB634" i="29"/>
  <c r="AG634" i="29"/>
  <c r="W649" i="29"/>
  <c r="AK649" i="29"/>
  <c r="AB638" i="29"/>
  <c r="AF638" i="29"/>
  <c r="AD638" i="29"/>
  <c r="AM610" i="29"/>
  <c r="AM611" i="29"/>
  <c r="AM608" i="29"/>
  <c r="AM609" i="29"/>
  <c r="AM606" i="29"/>
  <c r="AM607" i="29"/>
  <c r="V808" i="29"/>
  <c r="W808" i="29"/>
  <c r="V809" i="29"/>
  <c r="W809" i="29"/>
  <c r="U627" i="29"/>
  <c r="W627" i="29"/>
  <c r="AK627" i="29"/>
  <c r="AH649" i="29"/>
  <c r="AI649" i="29"/>
  <c r="AJ649" i="29"/>
  <c r="AI627" i="29"/>
  <c r="AJ627" i="29"/>
  <c r="AM634" i="29"/>
  <c r="AM632" i="29"/>
  <c r="AM633" i="29"/>
  <c r="W656" i="29"/>
  <c r="U626" i="29"/>
  <c r="W626" i="29"/>
  <c r="AK626" i="29"/>
  <c r="U625" i="29"/>
  <c r="W625" i="29"/>
  <c r="AK625" i="29"/>
  <c r="U624" i="29"/>
  <c r="W624" i="29"/>
  <c r="AK624" i="29"/>
  <c r="AM600" i="29"/>
  <c r="U623" i="29"/>
  <c r="W623" i="29"/>
  <c r="AK623" i="29"/>
  <c r="U622" i="29"/>
  <c r="W622" i="29"/>
  <c r="AK622" i="29"/>
  <c r="U620" i="29"/>
  <c r="W620" i="29"/>
  <c r="AK620" i="29"/>
  <c r="U619" i="29"/>
  <c r="W619" i="29"/>
  <c r="AK619" i="29"/>
  <c r="U618" i="29"/>
  <c r="W618" i="29"/>
  <c r="AM594" i="29"/>
  <c r="U617" i="29"/>
  <c r="W617" i="29"/>
  <c r="AK617" i="29"/>
  <c r="AM593" i="29"/>
  <c r="U616" i="29"/>
  <c r="W616" i="29"/>
  <c r="AK616" i="29"/>
  <c r="U615" i="29"/>
  <c r="W615" i="29"/>
  <c r="AK615" i="29"/>
  <c r="U614" i="29"/>
  <c r="AF590" i="29"/>
  <c r="AE590" i="29"/>
  <c r="AD590" i="29"/>
  <c r="AC590" i="29"/>
  <c r="AB590" i="29"/>
  <c r="AA590" i="29"/>
  <c r="Z590" i="29"/>
  <c r="Y590" i="29"/>
  <c r="AF584" i="29"/>
  <c r="AE584" i="29"/>
  <c r="AD584" i="29"/>
  <c r="AC584" i="29"/>
  <c r="AB584" i="29"/>
  <c r="AA584" i="29"/>
  <c r="Z584" i="29"/>
  <c r="Y584" i="29"/>
  <c r="X584" i="29"/>
  <c r="AF580" i="29"/>
  <c r="AE580" i="29"/>
  <c r="AD580" i="29"/>
  <c r="AC580" i="29"/>
  <c r="AB580" i="29"/>
  <c r="AA580" i="29"/>
  <c r="Z580" i="29"/>
  <c r="Y580" i="29"/>
  <c r="X580" i="29"/>
  <c r="AM575" i="29"/>
  <c r="AF544" i="29"/>
  <c r="AE544" i="29"/>
  <c r="AD544" i="29"/>
  <c r="AC544" i="29"/>
  <c r="AB544" i="29"/>
  <c r="AA544" i="29"/>
  <c r="Z544" i="29"/>
  <c r="Y544" i="29"/>
  <c r="X544" i="29"/>
  <c r="U544" i="29"/>
  <c r="U575" i="29"/>
  <c r="V574" i="29"/>
  <c r="V573" i="29"/>
  <c r="V572" i="29"/>
  <c r="V568" i="29"/>
  <c r="AF534" i="29"/>
  <c r="AM534" i="29"/>
  <c r="V567" i="29"/>
  <c r="V566" i="29"/>
  <c r="V565" i="29"/>
  <c r="V564" i="29"/>
  <c r="AF530" i="29"/>
  <c r="AM530" i="29"/>
  <c r="V563" i="29"/>
  <c r="V562" i="29"/>
  <c r="U560" i="29"/>
  <c r="V559" i="29"/>
  <c r="V558" i="29"/>
  <c r="AF523" i="29"/>
  <c r="AM523" i="29"/>
  <c r="V555" i="29"/>
  <c r="V554" i="29"/>
  <c r="V552" i="29"/>
  <c r="AF518" i="29"/>
  <c r="V551" i="29"/>
  <c r="V550" i="29"/>
  <c r="V548" i="29"/>
  <c r="V546" i="29"/>
  <c r="U545" i="29"/>
  <c r="AF511" i="29"/>
  <c r="AE511" i="29"/>
  <c r="AD511" i="29"/>
  <c r="AC511" i="29"/>
  <c r="AB511" i="29"/>
  <c r="AA511" i="29"/>
  <c r="Z511" i="29"/>
  <c r="Y511" i="29"/>
  <c r="X511" i="29"/>
  <c r="AF476" i="29"/>
  <c r="AE476" i="29"/>
  <c r="AD476" i="29"/>
  <c r="AB476" i="29"/>
  <c r="AA476" i="29"/>
  <c r="Z476" i="29"/>
  <c r="Y476" i="29"/>
  <c r="X476" i="29"/>
  <c r="AK618" i="29"/>
  <c r="X618" i="29"/>
  <c r="W614" i="29"/>
  <c r="AI614" i="29"/>
  <c r="AI615" i="29"/>
  <c r="AJ615" i="29"/>
  <c r="AJ622" i="29"/>
  <c r="AI622" i="29"/>
  <c r="AI625" i="29"/>
  <c r="AJ625" i="29"/>
  <c r="AI617" i="29"/>
  <c r="AJ617" i="29"/>
  <c r="AJ620" i="29"/>
  <c r="AI620" i="29"/>
  <c r="AJ624" i="29"/>
  <c r="AI624" i="29"/>
  <c r="AI619" i="29"/>
  <c r="AJ619" i="29"/>
  <c r="AJ616" i="29"/>
  <c r="AI616" i="29"/>
  <c r="AJ618" i="29"/>
  <c r="AI618" i="29"/>
  <c r="AI623" i="29"/>
  <c r="AJ623" i="29"/>
  <c r="AJ626" i="29"/>
  <c r="AI626" i="29"/>
  <c r="AE615" i="29"/>
  <c r="AB615" i="29"/>
  <c r="AH615" i="29"/>
  <c r="AA615" i="29"/>
  <c r="AG615" i="29"/>
  <c r="AD615" i="29"/>
  <c r="AF615" i="29"/>
  <c r="AC615" i="29"/>
  <c r="AF625" i="29"/>
  <c r="Z625" i="29"/>
  <c r="X625" i="29"/>
  <c r="Y625" i="29"/>
  <c r="AD625" i="29"/>
  <c r="AH625" i="29"/>
  <c r="AB625" i="29"/>
  <c r="AG625" i="29"/>
  <c r="AA625" i="29"/>
  <c r="AE616" i="29"/>
  <c r="Z616" i="29"/>
  <c r="AD616" i="29"/>
  <c r="X616" i="29"/>
  <c r="AH616" i="29"/>
  <c r="Y616" i="29"/>
  <c r="AC616" i="29"/>
  <c r="AG616" i="29"/>
  <c r="AB616" i="29"/>
  <c r="AF616" i="29"/>
  <c r="AA616" i="29"/>
  <c r="AE623" i="29"/>
  <c r="AB623" i="29"/>
  <c r="AH623" i="29"/>
  <c r="AA623" i="29"/>
  <c r="X623" i="29"/>
  <c r="AG623" i="29"/>
  <c r="Z623" i="29"/>
  <c r="AD623" i="29"/>
  <c r="AF623" i="29"/>
  <c r="Y623" i="29"/>
  <c r="AC623" i="29"/>
  <c r="AE617" i="29"/>
  <c r="AB617" i="29"/>
  <c r="AH617" i="29"/>
  <c r="AA617" i="29"/>
  <c r="AG617" i="29"/>
  <c r="Z617" i="29"/>
  <c r="AD617" i="29"/>
  <c r="AF617" i="29"/>
  <c r="Y617" i="29"/>
  <c r="AC617" i="29"/>
  <c r="X617" i="29"/>
  <c r="AA620" i="29"/>
  <c r="AE620" i="29"/>
  <c r="X620" i="29"/>
  <c r="Z620" i="29"/>
  <c r="AD620" i="29"/>
  <c r="AH620" i="29"/>
  <c r="Y620" i="29"/>
  <c r="AC620" i="29"/>
  <c r="AG620" i="29"/>
  <c r="AB620" i="29"/>
  <c r="AF620" i="29"/>
  <c r="V553" i="29"/>
  <c r="AM537" i="29"/>
  <c r="AM518" i="29"/>
  <c r="V556" i="29"/>
  <c r="V557" i="29"/>
  <c r="V561" i="29"/>
  <c r="V549" i="29"/>
  <c r="V547" i="29"/>
  <c r="V570" i="29"/>
  <c r="V569" i="29"/>
  <c r="V571" i="29"/>
  <c r="X614" i="29"/>
  <c r="AK614" i="29"/>
  <c r="AK635" i="29"/>
  <c r="AK44" i="29"/>
  <c r="AJ614" i="29"/>
  <c r="AJ635" i="29"/>
  <c r="AJ44" i="29"/>
  <c r="AI635" i="29"/>
  <c r="AI44" i="29"/>
  <c r="AM456" i="29"/>
  <c r="AF446" i="29"/>
  <c r="AF482" i="29"/>
  <c r="AF441" i="29"/>
  <c r="AE441" i="29"/>
  <c r="AD441" i="29"/>
  <c r="AC441" i="29"/>
  <c r="AB441" i="29"/>
  <c r="AA441" i="29"/>
  <c r="Z441" i="29"/>
  <c r="Y441" i="29"/>
  <c r="X441" i="29"/>
  <c r="AF423" i="29"/>
  <c r="AE423" i="29"/>
  <c r="AD423" i="29"/>
  <c r="AC423" i="29"/>
  <c r="AB423" i="29"/>
  <c r="AA423" i="29"/>
  <c r="Z423" i="29"/>
  <c r="Y423" i="29"/>
  <c r="X423" i="29"/>
  <c r="AF408" i="29"/>
  <c r="AE408" i="29"/>
  <c r="AD408" i="29"/>
  <c r="AC408" i="29"/>
  <c r="AB408" i="29"/>
  <c r="AA408" i="29"/>
  <c r="Z408" i="29"/>
  <c r="Y408" i="29"/>
  <c r="AL400" i="29"/>
  <c r="AF394" i="29"/>
  <c r="AE394" i="29"/>
  <c r="AD394" i="29"/>
  <c r="AC394" i="29"/>
  <c r="AB394" i="29"/>
  <c r="AA394" i="29"/>
  <c r="Z394" i="29"/>
  <c r="Y394" i="29"/>
  <c r="X394" i="29"/>
  <c r="AF387" i="29"/>
  <c r="AE387" i="29"/>
  <c r="AD387" i="29"/>
  <c r="AC387" i="29"/>
  <c r="AB387" i="29"/>
  <c r="AA387" i="29"/>
  <c r="Z387" i="29"/>
  <c r="Y387" i="29"/>
  <c r="X387" i="29"/>
  <c r="AF331" i="29"/>
  <c r="AE331" i="29"/>
  <c r="AD331" i="29"/>
  <c r="AC331" i="29"/>
  <c r="AB331" i="29"/>
  <c r="AA331" i="29"/>
  <c r="Z331" i="29"/>
  <c r="Y331" i="29"/>
  <c r="X331" i="29"/>
  <c r="AF278" i="29"/>
  <c r="AE278" i="29"/>
  <c r="AD278" i="29"/>
  <c r="AC278" i="29"/>
  <c r="AB278" i="29"/>
  <c r="AA278" i="29"/>
  <c r="Z278" i="29"/>
  <c r="Y278" i="29"/>
  <c r="X278" i="29"/>
  <c r="U273" i="29"/>
  <c r="U272" i="29"/>
  <c r="AF271" i="29"/>
  <c r="AE271" i="29"/>
  <c r="AD271" i="29"/>
  <c r="AC271" i="29"/>
  <c r="AB271" i="29"/>
  <c r="AA271" i="29"/>
  <c r="Z271" i="29"/>
  <c r="Y271" i="29"/>
  <c r="X271" i="29"/>
  <c r="AG268" i="29"/>
  <c r="AG272" i="29"/>
  <c r="AF267" i="29"/>
  <c r="AE267" i="29"/>
  <c r="AD267" i="29"/>
  <c r="AC267" i="29"/>
  <c r="AB267" i="29"/>
  <c r="AA267" i="29"/>
  <c r="Z267" i="29"/>
  <c r="Y267" i="29"/>
  <c r="X267" i="29"/>
  <c r="AF234" i="29"/>
  <c r="AE234" i="29"/>
  <c r="AD234" i="29"/>
  <c r="AC234" i="29"/>
  <c r="AB234" i="29"/>
  <c r="AA234" i="29"/>
  <c r="Z234" i="29"/>
  <c r="Y234" i="29"/>
  <c r="X234" i="29"/>
  <c r="AF203" i="29"/>
  <c r="AE203" i="29"/>
  <c r="AD203" i="29"/>
  <c r="AC203" i="29"/>
  <c r="AB203" i="29"/>
  <c r="AA203" i="29"/>
  <c r="Z203" i="29"/>
  <c r="Y203" i="29"/>
  <c r="X203" i="29"/>
  <c r="AF175" i="29"/>
  <c r="AE175" i="29"/>
  <c r="AD175" i="29"/>
  <c r="AC175" i="29"/>
  <c r="AB175" i="29"/>
  <c r="AA175" i="29"/>
  <c r="Z175" i="29"/>
  <c r="Y175" i="29"/>
  <c r="X175" i="29"/>
  <c r="AL171" i="29"/>
  <c r="X171" i="29"/>
  <c r="AF107" i="29"/>
  <c r="AE107" i="29"/>
  <c r="AD107" i="29"/>
  <c r="AC107" i="29"/>
  <c r="AC108" i="29"/>
  <c r="AB107" i="29"/>
  <c r="Z107" i="29"/>
  <c r="Y107" i="29"/>
  <c r="X107" i="29"/>
  <c r="AF102" i="29"/>
  <c r="AE102" i="29"/>
  <c r="AD102" i="29"/>
  <c r="AC102" i="29"/>
  <c r="AB102" i="29"/>
  <c r="AA102" i="29"/>
  <c r="Z102" i="29"/>
  <c r="Y102" i="29"/>
  <c r="X102" i="29"/>
  <c r="W97" i="29"/>
  <c r="W96" i="29"/>
  <c r="W95" i="29"/>
  <c r="W94" i="29"/>
  <c r="W93" i="29"/>
  <c r="W92" i="29"/>
  <c r="W91" i="29"/>
  <c r="AI91" i="29"/>
  <c r="AF90" i="29"/>
  <c r="AE90" i="29"/>
  <c r="AD90" i="29"/>
  <c r="AC90" i="29"/>
  <c r="AB90" i="29"/>
  <c r="AA90" i="29"/>
  <c r="Z90" i="29"/>
  <c r="Y90" i="29"/>
  <c r="X90" i="29"/>
  <c r="AI96" i="29"/>
  <c r="AK96" i="29"/>
  <c r="AJ96" i="29"/>
  <c r="AJ91" i="29"/>
  <c r="AK91" i="29"/>
  <c r="AI95" i="29"/>
  <c r="AJ95" i="29"/>
  <c r="AK95" i="29"/>
  <c r="AI94" i="29"/>
  <c r="AK94" i="29"/>
  <c r="AJ94" i="29"/>
  <c r="AI93" i="29"/>
  <c r="AK93" i="29"/>
  <c r="AJ93" i="29"/>
  <c r="AI97" i="29"/>
  <c r="AK97" i="29"/>
  <c r="AJ97" i="29"/>
  <c r="AK92" i="29"/>
  <c r="AJ92" i="29"/>
  <c r="AD417" i="29"/>
  <c r="AD432" i="29"/>
  <c r="AB417" i="29"/>
  <c r="AB432" i="29"/>
  <c r="AD427" i="29"/>
  <c r="AB429" i="29"/>
  <c r="AB428" i="29"/>
  <c r="AD429" i="29"/>
  <c r="AB427" i="29"/>
  <c r="Y427" i="29"/>
  <c r="AC118" i="29"/>
  <c r="AC125" i="29"/>
  <c r="AC111" i="29"/>
  <c r="AC128" i="29"/>
  <c r="AC123" i="29"/>
  <c r="AC114" i="29"/>
  <c r="AC109" i="29"/>
  <c r="AC121" i="29"/>
  <c r="AC124" i="29"/>
  <c r="AC119" i="29"/>
  <c r="AC135" i="29"/>
  <c r="AC136" i="29"/>
  <c r="AC134" i="29"/>
  <c r="AC131" i="29"/>
  <c r="AC117" i="29"/>
  <c r="AC133" i="29"/>
  <c r="AC120" i="29"/>
  <c r="AC115" i="29"/>
  <c r="AC126" i="29"/>
  <c r="AC112" i="29"/>
  <c r="AC129" i="29"/>
  <c r="AC116" i="29"/>
  <c r="AC132" i="29"/>
  <c r="AC122" i="29"/>
  <c r="AC110" i="29"/>
  <c r="AC127" i="29"/>
  <c r="AC130" i="29"/>
  <c r="AC113" i="29"/>
  <c r="AA137" i="29"/>
  <c r="AA142" i="29"/>
  <c r="AA121" i="29"/>
  <c r="AA154" i="29"/>
  <c r="AA120" i="29"/>
  <c r="AA153" i="29"/>
  <c r="AA136" i="29"/>
  <c r="AA169" i="29"/>
  <c r="AA123" i="29"/>
  <c r="AA156" i="29"/>
  <c r="AA118" i="29"/>
  <c r="AA151" i="29"/>
  <c r="AA117" i="29"/>
  <c r="AA150" i="29"/>
  <c r="AA116" i="29"/>
  <c r="AA149" i="29"/>
  <c r="AA132" i="29"/>
  <c r="AA165" i="29"/>
  <c r="AA114" i="29"/>
  <c r="AA147" i="29"/>
  <c r="AA119" i="29"/>
  <c r="AA152" i="29"/>
  <c r="AA135" i="29"/>
  <c r="AA168" i="29"/>
  <c r="AA113" i="29"/>
  <c r="AA146" i="29"/>
  <c r="AA130" i="29"/>
  <c r="AA163" i="29"/>
  <c r="AA131" i="29"/>
  <c r="AA164" i="29"/>
  <c r="AA112" i="29"/>
  <c r="AA145" i="29"/>
  <c r="AA126" i="29"/>
  <c r="AA159" i="29"/>
  <c r="AA129" i="29"/>
  <c r="AA162" i="29"/>
  <c r="AA110" i="29"/>
  <c r="AA143" i="29"/>
  <c r="AA128" i="29"/>
  <c r="AA161" i="29"/>
  <c r="AA115" i="29"/>
  <c r="AA148" i="29"/>
  <c r="AA125" i="29"/>
  <c r="AA158" i="29"/>
  <c r="AA133" i="29"/>
  <c r="AA166" i="29"/>
  <c r="AA111" i="29"/>
  <c r="AA144" i="29"/>
  <c r="AA124" i="29"/>
  <c r="AA157" i="29"/>
  <c r="AA127" i="29"/>
  <c r="AA160" i="29"/>
  <c r="AA122" i="29"/>
  <c r="AA155" i="29"/>
  <c r="AA134" i="29"/>
  <c r="AA167" i="29"/>
  <c r="AE115" i="29"/>
  <c r="AE135" i="29"/>
  <c r="AE113" i="29"/>
  <c r="AE130" i="29"/>
  <c r="AE117" i="29"/>
  <c r="AE136" i="29"/>
  <c r="AE119" i="29"/>
  <c r="AE109" i="29"/>
  <c r="AE126" i="29"/>
  <c r="AE112" i="29"/>
  <c r="AE129" i="29"/>
  <c r="AE114" i="29"/>
  <c r="AE124" i="29"/>
  <c r="AE120" i="29"/>
  <c r="AE128" i="29"/>
  <c r="AE131" i="29"/>
  <c r="AE127" i="29"/>
  <c r="AE122" i="29"/>
  <c r="AE108" i="29"/>
  <c r="AE125" i="29"/>
  <c r="AE123" i="29"/>
  <c r="AE110" i="29"/>
  <c r="AE118" i="29"/>
  <c r="AE134" i="29"/>
  <c r="AE121" i="29"/>
  <c r="AE116" i="29"/>
  <c r="AE132" i="29"/>
  <c r="AE133" i="29"/>
  <c r="AE111" i="29"/>
  <c r="X383" i="29"/>
  <c r="X263" i="29"/>
  <c r="AG274" i="29"/>
  <c r="U396" i="29"/>
  <c r="AM389" i="29"/>
  <c r="X274" i="29"/>
  <c r="AD395" i="29"/>
  <c r="AD428" i="29"/>
  <c r="AJ396" i="29"/>
  <c r="AK396" i="29"/>
  <c r="AB396" i="29"/>
  <c r="AD396" i="29"/>
  <c r="AH396" i="29"/>
  <c r="AF396" i="29"/>
  <c r="AM388" i="29"/>
  <c r="AF80" i="29"/>
  <c r="AE80" i="29"/>
  <c r="AD80" i="29"/>
  <c r="AC80" i="29"/>
  <c r="AB80" i="29"/>
  <c r="AA80" i="29"/>
  <c r="Z80" i="29"/>
  <c r="Y80" i="29"/>
  <c r="X80" i="29"/>
  <c r="AG54" i="29"/>
  <c r="AE54" i="29"/>
  <c r="AC54" i="29"/>
  <c r="AA54" i="29"/>
  <c r="Z54" i="29"/>
  <c r="Y54" i="29"/>
  <c r="AH52" i="29"/>
  <c r="AG52" i="29"/>
  <c r="AE52" i="29"/>
  <c r="AC52" i="29"/>
  <c r="AA52" i="29"/>
  <c r="Y52" i="29"/>
  <c r="X52" i="29"/>
  <c r="AH48" i="29"/>
  <c r="AH46" i="29"/>
  <c r="AG46" i="29"/>
  <c r="AF46" i="29"/>
  <c r="AE46" i="29"/>
  <c r="AD46" i="29"/>
  <c r="AC46" i="29"/>
  <c r="Z46" i="29"/>
  <c r="Y46" i="29"/>
  <c r="X46" i="29"/>
  <c r="X34" i="29"/>
  <c r="AG33" i="29"/>
  <c r="Z33" i="29"/>
  <c r="X33" i="29"/>
  <c r="X32" i="29"/>
  <c r="X30" i="29"/>
  <c r="AF15" i="29"/>
  <c r="AG80" i="29"/>
  <c r="AG12" i="29"/>
  <c r="AG11" i="29"/>
  <c r="AH395" i="29"/>
  <c r="AF395" i="29"/>
  <c r="AB395" i="29"/>
  <c r="AK395" i="29"/>
  <c r="AJ395" i="29"/>
  <c r="AM396" i="29"/>
  <c r="AM51" i="29"/>
  <c r="H39" i="1"/>
  <c r="E19" i="67"/>
  <c r="AG844" i="29"/>
  <c r="AG828" i="29"/>
  <c r="AG798" i="29"/>
  <c r="AG782" i="29"/>
  <c r="AG757" i="29"/>
  <c r="AG750" i="29"/>
  <c r="AG728" i="29"/>
  <c r="AG722" i="29"/>
  <c r="AG841" i="29"/>
  <c r="AG818" i="29"/>
  <c r="AG699" i="29"/>
  <c r="AG696" i="29"/>
  <c r="AG689" i="29"/>
  <c r="AG660" i="29"/>
  <c r="AG648" i="29"/>
  <c r="AG671" i="29"/>
  <c r="AG685" i="29"/>
  <c r="AG613" i="29"/>
  <c r="AG639" i="29"/>
  <c r="AG590" i="29"/>
  <c r="AG511" i="29"/>
  <c r="AG580" i="29"/>
  <c r="AG544" i="29"/>
  <c r="AG584" i="29"/>
  <c r="AG476" i="29"/>
  <c r="AG423" i="29"/>
  <c r="AG441" i="29"/>
  <c r="AG331" i="29"/>
  <c r="AG175" i="29"/>
  <c r="AG408" i="29"/>
  <c r="AG394" i="29"/>
  <c r="AG234" i="29"/>
  <c r="AG387" i="29"/>
  <c r="AG271" i="29"/>
  <c r="AG203" i="29"/>
  <c r="AG278" i="29"/>
  <c r="AG102" i="29"/>
  <c r="AG107" i="29"/>
  <c r="AG267" i="29"/>
  <c r="AG90" i="29"/>
  <c r="AH841" i="29"/>
  <c r="AH818" i="29"/>
  <c r="AH757" i="29"/>
  <c r="AH728" i="29"/>
  <c r="AH722" i="29"/>
  <c r="AH844" i="29"/>
  <c r="AH828" i="29"/>
  <c r="AH750" i="29"/>
  <c r="AH798" i="29"/>
  <c r="AH782" i="29"/>
  <c r="AH699" i="29"/>
  <c r="AH696" i="29"/>
  <c r="AH689" i="29"/>
  <c r="AH671" i="29"/>
  <c r="AH648" i="29"/>
  <c r="AH660" i="29"/>
  <c r="AH685" i="29"/>
  <c r="AH613" i="29"/>
  <c r="AH639" i="29"/>
  <c r="AH584" i="29"/>
  <c r="AH476" i="29"/>
  <c r="AH590" i="29"/>
  <c r="AH511" i="29"/>
  <c r="AH580" i="29"/>
  <c r="AH544" i="29"/>
  <c r="AH423" i="29"/>
  <c r="AH441" i="29"/>
  <c r="AH267" i="29"/>
  <c r="AH331" i="29"/>
  <c r="AH175" i="29"/>
  <c r="AH408" i="29"/>
  <c r="AH394" i="29"/>
  <c r="AH234" i="29"/>
  <c r="AH387" i="29"/>
  <c r="AH203" i="29"/>
  <c r="AH90" i="29"/>
  <c r="AH102" i="29"/>
  <c r="AH107" i="29"/>
  <c r="AM410" i="29"/>
  <c r="U97" i="29"/>
  <c r="AH80" i="29"/>
  <c r="M2" i="29"/>
  <c r="N8" i="29"/>
  <c r="N3" i="29"/>
  <c r="O11" i="29"/>
  <c r="O8" i="29"/>
  <c r="O3" i="29"/>
  <c r="O12" i="29"/>
  <c r="S8" i="29"/>
  <c r="N10" i="29"/>
  <c r="P10" i="29"/>
  <c r="M11" i="29"/>
  <c r="N11" i="29"/>
  <c r="P11" i="29"/>
  <c r="M12" i="29"/>
  <c r="N12" i="29"/>
  <c r="P12" i="29"/>
  <c r="M13" i="29"/>
  <c r="N13" i="29"/>
  <c r="P13" i="29"/>
  <c r="G481" i="29"/>
  <c r="H481" i="29"/>
  <c r="I481" i="29"/>
  <c r="J481" i="29"/>
  <c r="K481" i="29"/>
  <c r="L481" i="29"/>
  <c r="G482" i="29"/>
  <c r="H482" i="29"/>
  <c r="I482" i="29"/>
  <c r="J482" i="29"/>
  <c r="K482" i="29"/>
  <c r="L482" i="29"/>
  <c r="G506" i="29"/>
  <c r="H506" i="29"/>
  <c r="I506" i="29"/>
  <c r="J506" i="29"/>
  <c r="K506" i="29"/>
  <c r="L506" i="29"/>
  <c r="G576" i="29"/>
  <c r="H576" i="29"/>
  <c r="I576" i="29"/>
  <c r="J576" i="29"/>
  <c r="K576" i="29"/>
  <c r="L576" i="29"/>
  <c r="G577" i="29"/>
  <c r="H577" i="29"/>
  <c r="I577" i="29"/>
  <c r="J577" i="29"/>
  <c r="K577" i="29"/>
  <c r="L577" i="29"/>
  <c r="G578" i="29"/>
  <c r="H578" i="29"/>
  <c r="I578" i="29"/>
  <c r="J578" i="29"/>
  <c r="K578" i="29"/>
  <c r="L578" i="29"/>
  <c r="G579" i="29"/>
  <c r="H579" i="29"/>
  <c r="I579" i="29"/>
  <c r="J579" i="29"/>
  <c r="K579" i="29"/>
  <c r="L579" i="29"/>
  <c r="H690" i="29"/>
  <c r="I690" i="29"/>
  <c r="J690" i="29"/>
  <c r="K690" i="29"/>
  <c r="L690" i="29"/>
  <c r="G845" i="29"/>
  <c r="B12" i="50"/>
  <c r="AI457" i="29"/>
  <c r="AI464" i="29"/>
  <c r="AH448" i="29"/>
  <c r="AH88" i="29"/>
  <c r="AH418" i="29"/>
  <c r="AH81" i="29"/>
  <c r="AH84" i="29"/>
  <c r="AH85" i="29"/>
  <c r="AH89" i="29"/>
  <c r="AH82" i="29"/>
  <c r="AH87" i="29"/>
  <c r="AH409" i="29"/>
  <c r="AH86" i="29"/>
  <c r="AH419" i="29"/>
  <c r="AH723" i="29"/>
  <c r="AH420" i="29"/>
  <c r="AH83" i="29"/>
  <c r="AM395" i="29"/>
  <c r="AF413" i="29"/>
  <c r="AF414" i="29"/>
  <c r="AF415" i="29"/>
  <c r="AH421" i="29"/>
  <c r="AH436" i="29"/>
  <c r="AF421" i="29"/>
  <c r="AH197" i="29"/>
  <c r="AM186" i="29"/>
  <c r="AH195" i="29"/>
  <c r="AH196" i="29"/>
  <c r="AI493" i="29"/>
  <c r="AH91" i="29"/>
  <c r="AH92" i="29"/>
  <c r="AH93" i="29"/>
  <c r="AH94" i="29"/>
  <c r="AH95" i="29"/>
  <c r="AH96" i="29"/>
  <c r="AH97" i="29"/>
  <c r="AH484" i="29"/>
  <c r="AH576" i="29"/>
  <c r="AI500" i="29"/>
  <c r="AH435" i="29"/>
  <c r="AH434" i="29"/>
  <c r="AH433" i="29"/>
  <c r="AH424" i="29"/>
  <c r="AF417" i="29"/>
  <c r="AF430" i="29"/>
  <c r="AH729" i="29"/>
  <c r="AH733" i="29"/>
  <c r="AH50" i="29"/>
  <c r="U96" i="29"/>
  <c r="AF436" i="29"/>
  <c r="U95" i="29"/>
  <c r="U94" i="29"/>
  <c r="AE200" i="29"/>
  <c r="AE31" i="29"/>
  <c r="Y200" i="29"/>
  <c r="Y31" i="29"/>
  <c r="AC200" i="29"/>
  <c r="AC31" i="29"/>
  <c r="AA200" i="29"/>
  <c r="AA31" i="29"/>
  <c r="X200" i="29"/>
  <c r="X31" i="29"/>
  <c r="AG200" i="29"/>
  <c r="AG31" i="29"/>
  <c r="U93" i="29"/>
  <c r="U92" i="29"/>
  <c r="U91" i="29"/>
  <c r="F15" i="12"/>
  <c r="F14" i="12"/>
  <c r="F13" i="12"/>
  <c r="C15" i="12"/>
  <c r="C14" i="12"/>
  <c r="C13" i="12"/>
  <c r="C7" i="12"/>
  <c r="Q6" i="12"/>
  <c r="Q4" i="12"/>
  <c r="C6" i="12"/>
  <c r="Q5" i="12"/>
  <c r="F45" i="11"/>
  <c r="M43" i="11"/>
  <c r="M42" i="11"/>
  <c r="M41" i="11"/>
  <c r="M40" i="11"/>
  <c r="M39" i="11"/>
  <c r="M38" i="11"/>
  <c r="M37" i="11"/>
  <c r="M36" i="11"/>
  <c r="M35" i="11"/>
  <c r="M34" i="11"/>
  <c r="M33" i="11"/>
  <c r="M32" i="11"/>
  <c r="M31" i="11"/>
  <c r="M30" i="11"/>
  <c r="M28" i="11"/>
  <c r="M27" i="11"/>
  <c r="M26" i="11"/>
  <c r="M25" i="11"/>
  <c r="M24" i="11"/>
  <c r="M23" i="11"/>
  <c r="M22" i="11"/>
  <c r="M21" i="11"/>
  <c r="M20" i="11"/>
  <c r="M19" i="11"/>
  <c r="M18" i="11"/>
  <c r="M17" i="11"/>
  <c r="M16" i="11"/>
  <c r="M15" i="11"/>
  <c r="L43" i="11"/>
  <c r="L42" i="11"/>
  <c r="L41" i="11"/>
  <c r="L40" i="11"/>
  <c r="L39" i="11"/>
  <c r="L38" i="11"/>
  <c r="L37" i="11"/>
  <c r="L36" i="11"/>
  <c r="L35" i="11"/>
  <c r="L34" i="11"/>
  <c r="L33" i="11"/>
  <c r="L32" i="11"/>
  <c r="L31" i="11"/>
  <c r="L30" i="11"/>
  <c r="L28" i="11"/>
  <c r="L27" i="11"/>
  <c r="L26" i="11"/>
  <c r="L25" i="11"/>
  <c r="L24" i="11"/>
  <c r="L23" i="11"/>
  <c r="L22" i="11"/>
  <c r="L21" i="11"/>
  <c r="L20" i="11"/>
  <c r="L19" i="11"/>
  <c r="L18" i="11"/>
  <c r="L17" i="11"/>
  <c r="L16" i="11"/>
  <c r="L15" i="11"/>
  <c r="J43" i="11"/>
  <c r="J42" i="11"/>
  <c r="J41" i="11"/>
  <c r="J40" i="11"/>
  <c r="J39" i="11"/>
  <c r="J38" i="11"/>
  <c r="J37" i="11"/>
  <c r="J36" i="11"/>
  <c r="J35" i="11"/>
  <c r="J34" i="11"/>
  <c r="J33" i="11"/>
  <c r="J32" i="11"/>
  <c r="J31" i="11"/>
  <c r="J30" i="11"/>
  <c r="J28" i="11"/>
  <c r="J27" i="11"/>
  <c r="J26" i="11"/>
  <c r="J25" i="11"/>
  <c r="J24" i="11"/>
  <c r="J23" i="11"/>
  <c r="J22" i="11"/>
  <c r="J21" i="11"/>
  <c r="J20" i="11"/>
  <c r="J19" i="11"/>
  <c r="J18" i="11"/>
  <c r="J17" i="11"/>
  <c r="J16" i="11"/>
  <c r="J15" i="11"/>
  <c r="K43" i="11"/>
  <c r="K42" i="11"/>
  <c r="K41" i="11"/>
  <c r="K40" i="11"/>
  <c r="K39" i="11"/>
  <c r="K38" i="11"/>
  <c r="K37" i="11"/>
  <c r="K36" i="11"/>
  <c r="K35" i="11"/>
  <c r="K34" i="11"/>
  <c r="K33" i="11"/>
  <c r="K32" i="11"/>
  <c r="K31" i="11"/>
  <c r="K30" i="11"/>
  <c r="K28" i="11"/>
  <c r="K27" i="11"/>
  <c r="K26" i="11"/>
  <c r="K25" i="11"/>
  <c r="K24" i="11"/>
  <c r="K23" i="11"/>
  <c r="K22" i="11"/>
  <c r="K21" i="11"/>
  <c r="K20" i="11"/>
  <c r="K19" i="11"/>
  <c r="K18" i="11"/>
  <c r="K17" i="11"/>
  <c r="K16" i="11"/>
  <c r="K15" i="11"/>
  <c r="F47" i="11"/>
  <c r="F46" i="11"/>
  <c r="F44" i="11"/>
  <c r="F43" i="11"/>
  <c r="F42" i="11"/>
  <c r="F41" i="11"/>
  <c r="F40" i="11"/>
  <c r="F38" i="11"/>
  <c r="F37" i="11"/>
  <c r="F36" i="11"/>
  <c r="F35" i="11"/>
  <c r="F34" i="11"/>
  <c r="F33" i="11"/>
  <c r="F32" i="11"/>
  <c r="F27" i="11"/>
  <c r="F26" i="11"/>
  <c r="F25" i="11"/>
  <c r="F24" i="11"/>
  <c r="F23" i="11"/>
  <c r="F22" i="11"/>
  <c r="F21" i="11"/>
  <c r="F20" i="11"/>
  <c r="F19" i="11"/>
  <c r="F18" i="11"/>
  <c r="F17" i="11"/>
  <c r="F16" i="11"/>
  <c r="F15" i="11"/>
  <c r="E47" i="11"/>
  <c r="E46" i="11"/>
  <c r="E45" i="11"/>
  <c r="E44" i="11"/>
  <c r="E43" i="11"/>
  <c r="E42" i="11"/>
  <c r="E41" i="11"/>
  <c r="E40" i="11"/>
  <c r="E38" i="11"/>
  <c r="E37" i="11"/>
  <c r="E36" i="11"/>
  <c r="E35" i="11"/>
  <c r="E34" i="11"/>
  <c r="E33" i="11"/>
  <c r="E32" i="11"/>
  <c r="E30" i="11"/>
  <c r="E29" i="11"/>
  <c r="E28" i="11"/>
  <c r="E27" i="11"/>
  <c r="E26" i="11"/>
  <c r="E25" i="11"/>
  <c r="E24" i="11"/>
  <c r="E23" i="11"/>
  <c r="E22" i="11"/>
  <c r="E21" i="11"/>
  <c r="E20" i="11"/>
  <c r="E19" i="11"/>
  <c r="E18" i="11"/>
  <c r="E17" i="11"/>
  <c r="E16" i="11"/>
  <c r="E15" i="11"/>
  <c r="D47" i="11"/>
  <c r="D46" i="11"/>
  <c r="D45" i="11"/>
  <c r="D44" i="11"/>
  <c r="D43" i="11"/>
  <c r="D42" i="11"/>
  <c r="D41" i="11"/>
  <c r="D40" i="11"/>
  <c r="D38" i="11"/>
  <c r="D37" i="11"/>
  <c r="D36" i="11"/>
  <c r="D35" i="11"/>
  <c r="D34" i="11"/>
  <c r="D33" i="11"/>
  <c r="D32" i="11"/>
  <c r="D30" i="11"/>
  <c r="D29" i="11"/>
  <c r="D28" i="11"/>
  <c r="D27" i="11"/>
  <c r="D26" i="11"/>
  <c r="D25" i="11"/>
  <c r="D24" i="11"/>
  <c r="D23" i="11"/>
  <c r="D22" i="11"/>
  <c r="D21" i="11"/>
  <c r="D20" i="11"/>
  <c r="D19" i="11"/>
  <c r="D18" i="11"/>
  <c r="D17" i="11"/>
  <c r="D16" i="11"/>
  <c r="D15" i="11"/>
  <c r="C47" i="11"/>
  <c r="C46" i="11"/>
  <c r="C45" i="11"/>
  <c r="C44" i="11"/>
  <c r="C43" i="11"/>
  <c r="C42" i="11"/>
  <c r="C41" i="11"/>
  <c r="C40" i="11"/>
  <c r="C38" i="11"/>
  <c r="C37" i="11"/>
  <c r="C36" i="11"/>
  <c r="C35" i="11"/>
  <c r="C34" i="11"/>
  <c r="C33" i="11"/>
  <c r="C32" i="11"/>
  <c r="C30" i="11"/>
  <c r="C29" i="11"/>
  <c r="C28" i="11"/>
  <c r="C27" i="11"/>
  <c r="C25" i="11"/>
  <c r="C23" i="11"/>
  <c r="C22" i="11"/>
  <c r="C21" i="11"/>
  <c r="C20" i="11"/>
  <c r="C19" i="11"/>
  <c r="C18" i="11"/>
  <c r="C17" i="11"/>
  <c r="C16" i="11"/>
  <c r="C15" i="11"/>
  <c r="W515" i="29"/>
  <c r="W519" i="29"/>
  <c r="W523" i="29"/>
  <c r="W528" i="29"/>
  <c r="W532" i="29"/>
  <c r="W536" i="29"/>
  <c r="W540" i="29"/>
  <c r="W548" i="29"/>
  <c r="W552" i="29"/>
  <c r="W556" i="29"/>
  <c r="W561" i="29"/>
  <c r="W565" i="29"/>
  <c r="W569" i="29"/>
  <c r="W573" i="29"/>
  <c r="W514" i="29"/>
  <c r="W518" i="29"/>
  <c r="W522" i="29"/>
  <c r="W526" i="29"/>
  <c r="W531" i="29"/>
  <c r="W535" i="29"/>
  <c r="W539" i="29"/>
  <c r="W547" i="29"/>
  <c r="W551" i="29"/>
  <c r="W555" i="29"/>
  <c r="W559" i="29"/>
  <c r="W564" i="29"/>
  <c r="W568" i="29"/>
  <c r="W572" i="29"/>
  <c r="W513" i="29"/>
  <c r="W517" i="29"/>
  <c r="W521" i="29"/>
  <c r="W525" i="29"/>
  <c r="W530" i="29"/>
  <c r="W534" i="29"/>
  <c r="W538" i="29"/>
  <c r="W546" i="29"/>
  <c r="W550" i="29"/>
  <c r="W554" i="29"/>
  <c r="W558" i="29"/>
  <c r="W563" i="29"/>
  <c r="W567" i="29"/>
  <c r="W571" i="29"/>
  <c r="W516" i="29"/>
  <c r="W520" i="29"/>
  <c r="W524" i="29"/>
  <c r="W529" i="29"/>
  <c r="W533" i="29"/>
  <c r="W537" i="29"/>
  <c r="W541" i="29"/>
  <c r="W549" i="29"/>
  <c r="W553" i="29"/>
  <c r="W557" i="29"/>
  <c r="W562" i="29"/>
  <c r="W566" i="29"/>
  <c r="W570" i="29"/>
  <c r="W574" i="29"/>
  <c r="J22" i="70"/>
  <c r="J34" i="70"/>
  <c r="J32" i="70"/>
  <c r="AG558" i="29"/>
  <c r="AC556" i="29"/>
  <c r="AD562" i="29"/>
  <c r="AK563" i="29"/>
  <c r="AK546" i="29"/>
  <c r="AK564" i="29"/>
  <c r="AK547" i="29"/>
  <c r="AK565" i="29"/>
  <c r="AK548" i="29"/>
  <c r="AK559" i="29"/>
  <c r="AK561" i="29"/>
  <c r="AK566" i="29"/>
  <c r="AK549" i="29"/>
  <c r="AK567" i="29"/>
  <c r="AK550" i="29"/>
  <c r="AK568" i="29"/>
  <c r="AK551" i="29"/>
  <c r="AK569" i="29"/>
  <c r="AK552" i="29"/>
  <c r="Y572" i="29"/>
  <c r="AG555" i="29"/>
  <c r="AG573" i="29"/>
  <c r="X556" i="29"/>
  <c r="X562" i="29"/>
  <c r="Y573" i="29"/>
  <c r="AD556" i="29"/>
  <c r="AF561" i="29"/>
  <c r="AB556" i="29"/>
  <c r="AE559" i="29"/>
  <c r="AF573" i="29"/>
  <c r="X561" i="29"/>
  <c r="AH556" i="29"/>
  <c r="AG556" i="29"/>
  <c r="AA556" i="29"/>
  <c r="Z572" i="29"/>
  <c r="X573" i="29"/>
  <c r="AH573" i="29"/>
  <c r="Z573" i="29"/>
  <c r="Y556" i="29"/>
  <c r="AE556" i="29"/>
  <c r="AH561" i="29"/>
  <c r="Z556" i="29"/>
  <c r="AF556" i="29"/>
  <c r="AK570" i="29"/>
  <c r="AK553" i="29"/>
  <c r="AK556" i="29"/>
  <c r="AK562" i="29"/>
  <c r="AK571" i="29"/>
  <c r="AK554" i="29"/>
  <c r="AK572" i="29"/>
  <c r="AK555" i="29"/>
  <c r="AK573" i="29"/>
  <c r="AK574" i="29"/>
  <c r="AK557" i="29"/>
  <c r="AG564" i="29"/>
  <c r="X547" i="29"/>
  <c r="AF548" i="29"/>
  <c r="AF559" i="29"/>
  <c r="AG561" i="29"/>
  <c r="AE562" i="29"/>
  <c r="AK558" i="29"/>
  <c r="X574" i="29"/>
  <c r="AI574" i="29"/>
  <c r="AJ574" i="29"/>
  <c r="X557" i="29"/>
  <c r="AI557" i="29"/>
  <c r="AJ557" i="29"/>
  <c r="AI568" i="29"/>
  <c r="AJ568" i="29"/>
  <c r="AI553" i="29"/>
  <c r="AJ553" i="29"/>
  <c r="AI563" i="29"/>
  <c r="AJ563" i="29"/>
  <c r="AI564" i="29"/>
  <c r="AJ564" i="29"/>
  <c r="AI547" i="29"/>
  <c r="AJ547" i="29"/>
  <c r="AI548" i="29"/>
  <c r="AJ548" i="29"/>
  <c r="AH566" i="29"/>
  <c r="AI566" i="29"/>
  <c r="AJ566" i="29"/>
  <c r="AI549" i="29"/>
  <c r="AJ549" i="29"/>
  <c r="AI558" i="29"/>
  <c r="AJ558" i="29"/>
  <c r="AI559" i="29"/>
  <c r="AJ559" i="29"/>
  <c r="AI561" i="29"/>
  <c r="AJ561" i="29"/>
  <c r="Z561" i="29"/>
  <c r="AE567" i="29"/>
  <c r="AI567" i="29"/>
  <c r="AJ567" i="29"/>
  <c r="Z550" i="29"/>
  <c r="AI550" i="29"/>
  <c r="AJ550" i="29"/>
  <c r="AE551" i="29"/>
  <c r="AI551" i="29"/>
  <c r="AJ551" i="29"/>
  <c r="Z569" i="29"/>
  <c r="AI569" i="29"/>
  <c r="AJ569" i="29"/>
  <c r="AG552" i="29"/>
  <c r="AI552" i="29"/>
  <c r="AJ552" i="29"/>
  <c r="AI570" i="29"/>
  <c r="AJ570" i="29"/>
  <c r="AI546" i="29"/>
  <c r="AJ546" i="29"/>
  <c r="AI565" i="29"/>
  <c r="AJ565" i="29"/>
  <c r="AI562" i="29"/>
  <c r="AJ562" i="29"/>
  <c r="AI571" i="29"/>
  <c r="AJ571" i="29"/>
  <c r="AI554" i="29"/>
  <c r="AJ554" i="29"/>
  <c r="AI572" i="29"/>
  <c r="AJ572" i="29"/>
  <c r="AI555" i="29"/>
  <c r="AJ555" i="29"/>
  <c r="AI573" i="29"/>
  <c r="AJ573" i="29"/>
  <c r="AI556" i="29"/>
  <c r="AJ556" i="29"/>
  <c r="AH565" i="29"/>
  <c r="Y561" i="29"/>
  <c r="AH574" i="29"/>
  <c r="X551" i="29"/>
  <c r="Z552" i="29"/>
  <c r="AH567" i="29"/>
  <c r="AG550" i="29"/>
  <c r="AA569" i="29"/>
  <c r="AH568" i="29"/>
  <c r="AG562" i="29"/>
  <c r="X571" i="29"/>
  <c r="AG554" i="29"/>
  <c r="AH554" i="29"/>
  <c r="AH562" i="29"/>
  <c r="Z562" i="29"/>
  <c r="Z571" i="29"/>
  <c r="AB562" i="29"/>
  <c r="Y562" i="29"/>
  <c r="AF562" i="29"/>
  <c r="AA562" i="29"/>
  <c r="AG553" i="29"/>
  <c r="AF563" i="29"/>
  <c r="AH546" i="29"/>
  <c r="AF564" i="29"/>
  <c r="AH547" i="29"/>
  <c r="AG565" i="29"/>
  <c r="AH548" i="29"/>
  <c r="Y567" i="29"/>
  <c r="AA563" i="29"/>
  <c r="AG568" i="29"/>
  <c r="AH564" i="29"/>
  <c r="AC551" i="29"/>
  <c r="AB569" i="29"/>
  <c r="AH552" i="29"/>
  <c r="AD548" i="29"/>
  <c r="Y570" i="29"/>
  <c r="AG549" i="29"/>
  <c r="AG557" i="29"/>
  <c r="Z563" i="29"/>
  <c r="AG546" i="29"/>
  <c r="X568" i="29"/>
  <c r="Y551" i="29"/>
  <c r="AH551" i="29"/>
  <c r="AF569" i="29"/>
  <c r="AF565" i="29"/>
  <c r="AB552" i="29"/>
  <c r="AC548" i="29"/>
  <c r="Y563" i="29"/>
  <c r="AD550" i="29"/>
  <c r="AF568" i="29"/>
  <c r="X564" i="29"/>
  <c r="AA551" i="29"/>
  <c r="AG547" i="29"/>
  <c r="AC569" i="29"/>
  <c r="Z565" i="29"/>
  <c r="AE548" i="29"/>
  <c r="Z574" i="29"/>
  <c r="AG574" i="29"/>
  <c r="AF557" i="29"/>
  <c r="AD557" i="29"/>
  <c r="AC567" i="29"/>
  <c r="X567" i="29"/>
  <c r="AH563" i="29"/>
  <c r="AC563" i="29"/>
  <c r="AB550" i="29"/>
  <c r="AF574" i="29"/>
  <c r="AF570" i="29"/>
  <c r="AC557" i="29"/>
  <c r="AH557" i="29"/>
  <c r="AD549" i="29"/>
  <c r="AB567" i="29"/>
  <c r="AD567" i="29"/>
  <c r="AF567" i="29"/>
  <c r="AE563" i="29"/>
  <c r="AD563" i="29"/>
  <c r="AG563" i="29"/>
  <c r="X550" i="29"/>
  <c r="AH550" i="29"/>
  <c r="Y568" i="29"/>
  <c r="Z568" i="29"/>
  <c r="Y564" i="29"/>
  <c r="Z564" i="29"/>
  <c r="AB551" i="29"/>
  <c r="AD551" i="29"/>
  <c r="AF551" i="29"/>
  <c r="X569" i="29"/>
  <c r="AH569" i="29"/>
  <c r="AD569" i="29"/>
  <c r="Y565" i="29"/>
  <c r="X565" i="29"/>
  <c r="AF552" i="29"/>
  <c r="X552" i="29"/>
  <c r="AG548" i="29"/>
  <c r="X548" i="29"/>
  <c r="Z567" i="29"/>
  <c r="AF550" i="29"/>
  <c r="AC550" i="29"/>
  <c r="X546" i="29"/>
  <c r="Y574" i="29"/>
  <c r="AE557" i="29"/>
  <c r="AG567" i="29"/>
  <c r="AA567" i="29"/>
  <c r="X563" i="29"/>
  <c r="AB563" i="29"/>
  <c r="AE550" i="29"/>
  <c r="Z551" i="29"/>
  <c r="AG551" i="29"/>
  <c r="Y569" i="29"/>
  <c r="AG569" i="29"/>
  <c r="AD552" i="29"/>
  <c r="AH570" i="29"/>
  <c r="AE558" i="29"/>
  <c r="AG559" i="29"/>
  <c r="W576" i="29"/>
  <c r="AE549" i="29"/>
  <c r="X554" i="29"/>
  <c r="AH572" i="29"/>
  <c r="X555" i="29"/>
  <c r="Z570" i="29"/>
  <c r="AB570" i="29"/>
  <c r="AH549" i="29"/>
  <c r="AH571" i="29"/>
  <c r="AD558" i="29"/>
  <c r="AC558" i="29"/>
  <c r="AD554" i="29"/>
  <c r="AE554" i="29"/>
  <c r="AF572" i="29"/>
  <c r="AC559" i="29"/>
  <c r="AD559" i="29"/>
  <c r="AF555" i="29"/>
  <c r="AE555" i="29"/>
  <c r="AA570" i="29"/>
  <c r="AF566" i="29"/>
  <c r="AG570" i="29"/>
  <c r="AE570" i="29"/>
  <c r="X570" i="29"/>
  <c r="X566" i="29"/>
  <c r="AF553" i="29"/>
  <c r="AF549" i="29"/>
  <c r="AC549" i="29"/>
  <c r="Y571" i="29"/>
  <c r="AF571" i="29"/>
  <c r="X558" i="29"/>
  <c r="AH558" i="29"/>
  <c r="AF554" i="29"/>
  <c r="AC554" i="29"/>
  <c r="AG572" i="29"/>
  <c r="X572" i="29"/>
  <c r="X559" i="29"/>
  <c r="AH559" i="29"/>
  <c r="AD555" i="29"/>
  <c r="AC555" i="29"/>
  <c r="AC570" i="29"/>
  <c r="AD570" i="29"/>
  <c r="AG566" i="29"/>
  <c r="X553" i="29"/>
  <c r="AH553" i="29"/>
  <c r="X549" i="29"/>
  <c r="AG571" i="29"/>
  <c r="AF558" i="29"/>
  <c r="AH555" i="29"/>
  <c r="D21" i="59"/>
  <c r="D20" i="59"/>
  <c r="C21" i="59"/>
  <c r="C20" i="59"/>
  <c r="F33" i="50"/>
  <c r="E20" i="59"/>
  <c r="AJ576" i="29"/>
  <c r="AJ42" i="29"/>
  <c r="AI576" i="29"/>
  <c r="AI42" i="29"/>
  <c r="AK42" i="29"/>
  <c r="AK845" i="29"/>
  <c r="AJ845" i="29"/>
  <c r="AC64" i="3"/>
  <c r="AD64" i="3"/>
  <c r="AE67" i="3"/>
  <c r="G42" i="14"/>
  <c r="G41" i="14"/>
  <c r="G40" i="14"/>
  <c r="G39" i="14"/>
  <c r="G44" i="14"/>
  <c r="C44" i="14"/>
  <c r="C43" i="14"/>
  <c r="C42" i="14"/>
  <c r="C41" i="14"/>
  <c r="C40" i="14"/>
  <c r="C39" i="14"/>
  <c r="G43" i="14"/>
  <c r="W708" i="29"/>
  <c r="AC11" i="3"/>
  <c r="AD11" i="3"/>
  <c r="AE11" i="3"/>
  <c r="X587" i="29"/>
  <c r="X43" i="29"/>
  <c r="X723" i="29"/>
  <c r="X83" i="29"/>
  <c r="X592" i="29"/>
  <c r="X599" i="29"/>
  <c r="X84" i="29"/>
  <c r="X86" i="29"/>
  <c r="X601" i="29"/>
  <c r="X82" i="29"/>
  <c r="X596" i="29"/>
  <c r="X87" i="29"/>
  <c r="X604" i="29"/>
  <c r="X603" i="29"/>
  <c r="X81" i="29"/>
  <c r="X85" i="29"/>
  <c r="X615" i="29"/>
  <c r="E29" i="67"/>
  <c r="X424" i="29"/>
  <c r="X433" i="29"/>
  <c r="X434" i="29"/>
  <c r="X435" i="29"/>
  <c r="X91" i="29"/>
  <c r="X97" i="29"/>
  <c r="X96" i="29"/>
  <c r="X95" i="29"/>
  <c r="X94" i="29"/>
  <c r="X93" i="29"/>
  <c r="X92" i="29"/>
  <c r="X824" i="29"/>
  <c r="X834" i="29"/>
  <c r="X820" i="29"/>
  <c r="X830" i="29"/>
  <c r="X823" i="29"/>
  <c r="X833" i="29"/>
  <c r="X825" i="29"/>
  <c r="X821" i="29"/>
  <c r="X831" i="29"/>
  <c r="X822" i="29"/>
  <c r="X832" i="29"/>
  <c r="X819" i="29"/>
  <c r="X829" i="29"/>
  <c r="X20" i="29"/>
  <c r="X642" i="29"/>
  <c r="X651" i="29"/>
  <c r="X780" i="29"/>
  <c r="X789" i="29"/>
  <c r="X687" i="29"/>
  <c r="X691" i="29"/>
  <c r="X641" i="29"/>
  <c r="X650" i="29"/>
  <c r="X787" i="29"/>
  <c r="X803" i="29"/>
  <c r="AM803" i="29"/>
  <c r="X802" i="29"/>
  <c r="AM802" i="29"/>
  <c r="W13" i="29"/>
  <c r="X697" i="29"/>
  <c r="X700" i="29"/>
  <c r="X48" i="29"/>
  <c r="X732" i="29"/>
  <c r="X640" i="29"/>
  <c r="X649" i="29"/>
  <c r="X643" i="29"/>
  <c r="X652" i="29"/>
  <c r="X788" i="29"/>
  <c r="X804" i="29"/>
  <c r="AM804" i="29"/>
  <c r="AM708" i="29"/>
  <c r="X644" i="29"/>
  <c r="X653" i="29"/>
  <c r="X842" i="29"/>
  <c r="X729" i="29"/>
  <c r="X624" i="29"/>
  <c r="X622" i="29"/>
  <c r="X627" i="29"/>
  <c r="X626" i="29"/>
  <c r="X619" i="29"/>
  <c r="X793" i="29"/>
  <c r="X794" i="29"/>
  <c r="X790" i="29"/>
  <c r="X783" i="29"/>
  <c r="X799" i="29"/>
  <c r="X810" i="29"/>
  <c r="AM810" i="29"/>
  <c r="X791" i="29"/>
  <c r="X784" i="29"/>
  <c r="X792" i="29"/>
  <c r="F29" i="67"/>
  <c r="AM687" i="29"/>
  <c r="X849" i="29"/>
  <c r="X845" i="29"/>
  <c r="X850" i="29"/>
  <c r="X846" i="29"/>
  <c r="X851" i="29"/>
  <c r="X847" i="29"/>
  <c r="X848" i="29"/>
  <c r="X437" i="29"/>
  <c r="X733" i="29"/>
  <c r="X50" i="29"/>
  <c r="M5" i="3"/>
  <c r="L6" i="3"/>
  <c r="A26" i="57"/>
  <c r="AM691" i="29"/>
  <c r="X692" i="29"/>
  <c r="X47" i="29"/>
  <c r="F9" i="47"/>
  <c r="F24" i="47"/>
  <c r="G9" i="1"/>
  <c r="W711" i="29"/>
  <c r="AM712" i="29"/>
  <c r="X711" i="29"/>
  <c r="F8" i="47"/>
  <c r="F22" i="47"/>
  <c r="F26" i="47"/>
  <c r="F27" i="47"/>
  <c r="D16" i="14"/>
  <c r="E16" i="14"/>
  <c r="F16" i="14"/>
  <c r="G16" i="14"/>
  <c r="H16" i="14"/>
  <c r="I16" i="14"/>
  <c r="C16" i="14"/>
  <c r="AI106" i="29"/>
  <c r="AI108" i="29"/>
  <c r="D11" i="71"/>
  <c r="AG106" i="29"/>
  <c r="AG110" i="29"/>
  <c r="AG16" i="29"/>
  <c r="AG136" i="29"/>
  <c r="AG169" i="29"/>
  <c r="AG135" i="29"/>
  <c r="AG168" i="29"/>
  <c r="AG114" i="29"/>
  <c r="AG147" i="29"/>
  <c r="AG137" i="29"/>
  <c r="AG113" i="29"/>
  <c r="AG146" i="29"/>
  <c r="AG132" i="29"/>
  <c r="AG165" i="29"/>
  <c r="AG112" i="29"/>
  <c r="AG145" i="29"/>
  <c r="AG130" i="29"/>
  <c r="AG163" i="29"/>
  <c r="AG128" i="29"/>
  <c r="AG161" i="29"/>
  <c r="AG119" i="29"/>
  <c r="AG152" i="29"/>
  <c r="AG131" i="29"/>
  <c r="AG164" i="29"/>
  <c r="AG121" i="29"/>
  <c r="AG154" i="29"/>
  <c r="AG127" i="29"/>
  <c r="AG160" i="29"/>
  <c r="AG133" i="29"/>
  <c r="AG166" i="29"/>
  <c r="AG126" i="29"/>
  <c r="AG159" i="29"/>
  <c r="AG123" i="29"/>
  <c r="AG156" i="29"/>
  <c r="AG120" i="29"/>
  <c r="AG153" i="29"/>
  <c r="AG116" i="29"/>
  <c r="AG149" i="29"/>
  <c r="AG115" i="29"/>
  <c r="AG148" i="29"/>
  <c r="AG134" i="29"/>
  <c r="AG167" i="29"/>
  <c r="AG143" i="29"/>
  <c r="AG125" i="29"/>
  <c r="AG158" i="29"/>
  <c r="AG109" i="29"/>
  <c r="AG142" i="29"/>
  <c r="AG129" i="29"/>
  <c r="AG162" i="29"/>
  <c r="AG108" i="29"/>
  <c r="AG111" i="29"/>
  <c r="AG144" i="29"/>
  <c r="AG124" i="29"/>
  <c r="AG157" i="29"/>
  <c r="AG122" i="29"/>
  <c r="AG155" i="29"/>
  <c r="AG118" i="29"/>
  <c r="AG151" i="29"/>
  <c r="AG117" i="29"/>
  <c r="AG150" i="29"/>
  <c r="AI132" i="29"/>
  <c r="AI165" i="29"/>
  <c r="AI116" i="29"/>
  <c r="AI149" i="29"/>
  <c r="AI133" i="29"/>
  <c r="AI166" i="29"/>
  <c r="AI117" i="29"/>
  <c r="AI150" i="29"/>
  <c r="AI126" i="29"/>
  <c r="AI159" i="29"/>
  <c r="AI109" i="29"/>
  <c r="AI142" i="29"/>
  <c r="AI123" i="29"/>
  <c r="AI156" i="29"/>
  <c r="AI136" i="29"/>
  <c r="AI169" i="29"/>
  <c r="AI120" i="29"/>
  <c r="AI153" i="29"/>
  <c r="AI114" i="29"/>
  <c r="AI147" i="29"/>
  <c r="AI121" i="29"/>
  <c r="AI154" i="29"/>
  <c r="AI130" i="29"/>
  <c r="AI163" i="29"/>
  <c r="AI141" i="29"/>
  <c r="AI124" i="29"/>
  <c r="AI157" i="29"/>
  <c r="AI137" i="29"/>
  <c r="AI125" i="29"/>
  <c r="AI158" i="29"/>
  <c r="AI134" i="29"/>
  <c r="AI167" i="29"/>
  <c r="AI118" i="29"/>
  <c r="AI151" i="29"/>
  <c r="AI131" i="29"/>
  <c r="AI164" i="29"/>
  <c r="AI115" i="29"/>
  <c r="AI148" i="29"/>
  <c r="AI128" i="29"/>
  <c r="AI161" i="29"/>
  <c r="AI111" i="29"/>
  <c r="AI144" i="29"/>
  <c r="AI129" i="29"/>
  <c r="AI162" i="29"/>
  <c r="AI112" i="29"/>
  <c r="AI145" i="29"/>
  <c r="AI122" i="29"/>
  <c r="AI155" i="29"/>
  <c r="AI135" i="29"/>
  <c r="AI168" i="29"/>
  <c r="AI119" i="29"/>
  <c r="AI152" i="29"/>
  <c r="AI113" i="29"/>
  <c r="AI146" i="29"/>
  <c r="AI127" i="29"/>
  <c r="AI160" i="29"/>
  <c r="AI110" i="29"/>
  <c r="AI143" i="29"/>
  <c r="D577" i="29"/>
  <c r="D542" i="29"/>
  <c r="D527" i="29"/>
  <c r="L497" i="29"/>
  <c r="K497" i="29"/>
  <c r="J497" i="29"/>
  <c r="I497" i="29"/>
  <c r="H497" i="29"/>
  <c r="G497" i="29"/>
  <c r="AI171" i="29"/>
  <c r="D575" i="29"/>
  <c r="C15" i="29"/>
  <c r="B15" i="29"/>
  <c r="C70" i="11"/>
  <c r="C69" i="11"/>
  <c r="C68" i="11"/>
  <c r="C67" i="11"/>
  <c r="C66" i="11"/>
  <c r="C65" i="11"/>
  <c r="C64" i="11"/>
  <c r="C63" i="11"/>
  <c r="C62" i="11"/>
  <c r="C61" i="11"/>
  <c r="C60" i="11"/>
  <c r="C59" i="11"/>
  <c r="C58" i="11"/>
  <c r="C57" i="11"/>
  <c r="C56" i="11"/>
  <c r="C55" i="11"/>
  <c r="C54" i="11"/>
  <c r="C53" i="11"/>
  <c r="C52" i="11"/>
  <c r="C51" i="11"/>
  <c r="C50" i="11"/>
  <c r="C49"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D49" i="11"/>
  <c r="E114" i="11"/>
  <c r="D50" i="11"/>
  <c r="E115" i="11"/>
  <c r="D51" i="11"/>
  <c r="E116" i="11"/>
  <c r="D52" i="11"/>
  <c r="E117" i="11"/>
  <c r="D53" i="11"/>
  <c r="E118" i="11"/>
  <c r="D54" i="11"/>
  <c r="E119" i="11"/>
  <c r="D55" i="11"/>
  <c r="E120" i="11"/>
  <c r="D56" i="11"/>
  <c r="E121" i="11"/>
  <c r="D57" i="11"/>
  <c r="E122" i="11"/>
  <c r="D58" i="11"/>
  <c r="E123" i="11"/>
  <c r="D59" i="11"/>
  <c r="E124" i="11"/>
  <c r="D60" i="11"/>
  <c r="E125" i="11"/>
  <c r="D61" i="11"/>
  <c r="E126" i="11"/>
  <c r="D62" i="11"/>
  <c r="E127" i="11"/>
  <c r="D63" i="11"/>
  <c r="E128" i="11"/>
  <c r="D64" i="11"/>
  <c r="E129" i="11"/>
  <c r="D65" i="11"/>
  <c r="E130" i="11"/>
  <c r="D66" i="11"/>
  <c r="E131" i="11"/>
  <c r="D67" i="11"/>
  <c r="E132" i="11"/>
  <c r="D68" i="11"/>
  <c r="E133" i="11"/>
  <c r="D69" i="11"/>
  <c r="E134" i="11"/>
  <c r="D70" i="11"/>
  <c r="E135" i="11"/>
  <c r="E136" i="11"/>
  <c r="H424" i="29"/>
  <c r="F69" i="11"/>
  <c r="F57" i="11"/>
  <c r="F61" i="11"/>
  <c r="F53" i="11"/>
  <c r="F70" i="11"/>
  <c r="F58" i="11"/>
  <c r="F49" i="11"/>
  <c r="F68" i="11"/>
  <c r="F60" i="11"/>
  <c r="F56" i="11"/>
  <c r="F52" i="11"/>
  <c r="F66" i="11"/>
  <c r="F50" i="11"/>
  <c r="F64" i="11"/>
  <c r="F62" i="11"/>
  <c r="F54" i="11"/>
  <c r="F65" i="11"/>
  <c r="F67" i="11"/>
  <c r="F63" i="11"/>
  <c r="F59" i="11"/>
  <c r="F55" i="11"/>
  <c r="F51" i="11"/>
  <c r="J494" i="29"/>
  <c r="AM567" i="29"/>
  <c r="AM563" i="29"/>
  <c r="J495" i="29"/>
  <c r="J496" i="29"/>
  <c r="K495" i="29"/>
  <c r="L495" i="29"/>
  <c r="K494" i="29"/>
  <c r="L494" i="29"/>
  <c r="L496" i="29"/>
  <c r="K496" i="29"/>
  <c r="B9" i="11"/>
  <c r="D9" i="11"/>
  <c r="U645" i="29"/>
  <c r="AH42" i="29"/>
  <c r="AM500" i="29"/>
  <c r="X42" i="29"/>
  <c r="AM570" i="29"/>
  <c r="AM556" i="29"/>
  <c r="AM510" i="29"/>
  <c r="AM551" i="29"/>
  <c r="G496" i="29"/>
  <c r="G494" i="29"/>
  <c r="G484" i="29"/>
  <c r="G495" i="29"/>
  <c r="X654" i="29"/>
  <c r="AG654" i="29"/>
  <c r="AK654" i="29"/>
  <c r="AK656" i="29"/>
  <c r="AK45" i="29"/>
  <c r="Y654" i="29"/>
  <c r="Z654" i="29"/>
  <c r="AA654" i="29"/>
  <c r="AF654" i="29"/>
  <c r="AC654" i="29"/>
  <c r="AD654" i="29"/>
  <c r="AJ654" i="29"/>
  <c r="AJ656" i="29"/>
  <c r="AJ45" i="29"/>
  <c r="AI654" i="29"/>
  <c r="AI656" i="29"/>
  <c r="AI45" i="29"/>
  <c r="AE654" i="29"/>
  <c r="AH654" i="29"/>
  <c r="AB654" i="29"/>
  <c r="AM654" i="29"/>
  <c r="E7" i="47"/>
  <c r="F7" i="47"/>
  <c r="D7" i="71"/>
  <c r="Y106" i="29"/>
  <c r="AJ108" i="29"/>
  <c r="AF108" i="29"/>
  <c r="AH108" i="29"/>
  <c r="AE16" i="29"/>
  <c r="AE268" i="29"/>
  <c r="AE272" i="29"/>
  <c r="AE274" i="29"/>
  <c r="AE33" i="29"/>
  <c r="Y16" i="29"/>
  <c r="Y268" i="29"/>
  <c r="Y272" i="29"/>
  <c r="AM707" i="29"/>
  <c r="AK847" i="29"/>
  <c r="K2" i="13"/>
  <c r="K3" i="13"/>
  <c r="Y131" i="29"/>
  <c r="Y122" i="29"/>
  <c r="Y108" i="29"/>
  <c r="Y141" i="29"/>
  <c r="Y123" i="29"/>
  <c r="Y110" i="29"/>
  <c r="Y124" i="29"/>
  <c r="Y129" i="29"/>
  <c r="Y116" i="29"/>
  <c r="Y109" i="29"/>
  <c r="AM108" i="29"/>
  <c r="Y130" i="29"/>
  <c r="Y120" i="29"/>
  <c r="Y134" i="29"/>
  <c r="Y128" i="29"/>
  <c r="Y113" i="29"/>
  <c r="Y119" i="29"/>
  <c r="Y137" i="29"/>
  <c r="Y117" i="29"/>
  <c r="Y114" i="29"/>
  <c r="Y118" i="29"/>
  <c r="Y121" i="29"/>
  <c r="Y135" i="29"/>
  <c r="Y133" i="29"/>
  <c r="Y132" i="29"/>
  <c r="Y127" i="29"/>
  <c r="Y115" i="29"/>
  <c r="Y126" i="29"/>
  <c r="Y136" i="29"/>
  <c r="Y111" i="29"/>
  <c r="Y125" i="29"/>
  <c r="Y112" i="29"/>
  <c r="AJ847" i="29"/>
  <c r="AI847" i="29"/>
  <c r="Y160" i="29"/>
  <c r="AM127" i="29"/>
  <c r="Y158" i="29"/>
  <c r="AM125" i="29"/>
  <c r="Y145" i="29"/>
  <c r="AM112" i="29"/>
  <c r="Y157" i="29"/>
  <c r="AM124" i="29"/>
  <c r="Y151" i="29"/>
  <c r="AM118" i="29"/>
  <c r="Y155" i="29"/>
  <c r="AM122" i="29"/>
  <c r="Y163" i="29"/>
  <c r="AM130" i="29"/>
  <c r="Y144" i="29"/>
  <c r="AM111" i="29"/>
  <c r="Y168" i="29"/>
  <c r="AM135" i="29"/>
  <c r="Y148" i="29"/>
  <c r="AM115" i="29"/>
  <c r="Y162" i="29"/>
  <c r="AM129" i="29"/>
  <c r="Y166" i="29"/>
  <c r="AM133" i="29"/>
  <c r="Y152" i="29"/>
  <c r="AM119" i="29"/>
  <c r="Y169" i="29"/>
  <c r="AM136" i="29"/>
  <c r="Y164" i="29"/>
  <c r="AM131" i="29"/>
  <c r="Y165" i="29"/>
  <c r="AM132" i="29"/>
  <c r="Y154" i="29"/>
  <c r="AM121" i="29"/>
  <c r="Y167" i="29"/>
  <c r="AM134" i="29"/>
  <c r="Y142" i="29"/>
  <c r="AM109" i="29"/>
  <c r="Y150" i="29"/>
  <c r="AM117" i="29"/>
  <c r="Y161" i="29"/>
  <c r="AM128" i="29"/>
  <c r="Y153" i="29"/>
  <c r="AM120" i="29"/>
  <c r="Y149" i="29"/>
  <c r="AM116" i="29"/>
  <c r="Y159" i="29"/>
  <c r="AM126" i="29"/>
  <c r="Y143" i="29"/>
  <c r="AM110" i="29"/>
  <c r="Y147" i="29"/>
  <c r="AM114" i="29"/>
  <c r="Y146" i="29"/>
  <c r="AM113" i="29"/>
  <c r="Y156" i="29"/>
  <c r="AM123" i="29"/>
  <c r="G690" i="29"/>
  <c r="B32" i="50"/>
  <c r="G31" i="50"/>
  <c r="F31" i="50"/>
  <c r="F30" i="50"/>
  <c r="F29" i="50"/>
  <c r="F28" i="50"/>
  <c r="F27" i="50"/>
  <c r="F26" i="50"/>
  <c r="F25" i="50"/>
  <c r="F24" i="50"/>
  <c r="G30" i="50"/>
  <c r="G29" i="50"/>
  <c r="G28" i="50"/>
  <c r="H31" i="50"/>
  <c r="H30" i="50"/>
  <c r="H29" i="50"/>
  <c r="H28" i="50"/>
  <c r="H26" i="50"/>
  <c r="H25" i="50"/>
  <c r="H24" i="50"/>
  <c r="A27" i="50"/>
  <c r="G27" i="50"/>
  <c r="A26" i="50"/>
  <c r="G26" i="50"/>
  <c r="A25" i="50"/>
  <c r="A24" i="50"/>
  <c r="G25" i="50"/>
  <c r="C12" i="57"/>
  <c r="G11" i="57"/>
  <c r="C11" i="57"/>
  <c r="G12" i="57"/>
  <c r="J11" i="57"/>
  <c r="J12" i="57"/>
  <c r="G24" i="50"/>
  <c r="H27" i="50"/>
  <c r="AH17" i="29"/>
  <c r="AM673" i="29"/>
  <c r="AM675" i="29"/>
  <c r="AM674" i="29"/>
  <c r="B30" i="50"/>
  <c r="B29" i="50"/>
  <c r="B28" i="50"/>
  <c r="I17" i="57"/>
  <c r="J17" i="57"/>
  <c r="K17" i="57"/>
  <c r="A17" i="57"/>
  <c r="L17" i="57"/>
  <c r="M17" i="57"/>
  <c r="J10" i="53"/>
  <c r="M10" i="53"/>
  <c r="J11" i="53"/>
  <c r="M11" i="53"/>
  <c r="J13" i="53"/>
  <c r="M13" i="53"/>
  <c r="J14" i="53"/>
  <c r="M14" i="53"/>
  <c r="J15" i="53"/>
  <c r="M15" i="53"/>
  <c r="J17" i="53"/>
  <c r="M17" i="53"/>
  <c r="J18" i="53"/>
  <c r="M18" i="53"/>
  <c r="J19" i="53"/>
  <c r="M19" i="53"/>
  <c r="J21" i="53"/>
  <c r="M21" i="53"/>
  <c r="J22" i="53"/>
  <c r="M22" i="53"/>
  <c r="J23" i="53"/>
  <c r="M23" i="53"/>
  <c r="J25" i="53"/>
  <c r="M25" i="53"/>
  <c r="J26" i="53"/>
  <c r="M26" i="53"/>
  <c r="J27" i="53"/>
  <c r="M27" i="53"/>
  <c r="J28" i="53"/>
  <c r="M28" i="53"/>
  <c r="J29" i="53"/>
  <c r="M29" i="53"/>
  <c r="J30" i="53"/>
  <c r="M30" i="53"/>
  <c r="J31" i="53"/>
  <c r="M31" i="53"/>
  <c r="J33" i="53"/>
  <c r="M33" i="53"/>
  <c r="J34" i="53"/>
  <c r="M34" i="53"/>
  <c r="J38" i="53"/>
  <c r="M38" i="53"/>
  <c r="M9" i="53"/>
  <c r="J9" i="53"/>
  <c r="B16" i="50"/>
  <c r="G17" i="57"/>
  <c r="C17" i="57"/>
  <c r="G34" i="53"/>
  <c r="C34" i="53"/>
  <c r="G33" i="53"/>
  <c r="C33" i="53"/>
  <c r="Y11" i="50"/>
  <c r="B22" i="50"/>
  <c r="B21" i="50"/>
  <c r="H425" i="29"/>
  <c r="G592" i="29"/>
  <c r="G37" i="13"/>
  <c r="H37" i="13"/>
  <c r="AM425" i="29"/>
  <c r="AM431" i="29"/>
  <c r="AH298" i="29"/>
  <c r="AH321" i="29"/>
  <c r="AH374" i="29"/>
  <c r="AM374" i="29"/>
  <c r="AH351" i="29"/>
  <c r="AK319" i="29"/>
  <c r="AJ329" i="29"/>
  <c r="AJ382" i="29"/>
  <c r="AJ314" i="29"/>
  <c r="AJ316" i="29"/>
  <c r="AJ369" i="29"/>
  <c r="AJ328" i="29"/>
  <c r="AJ381" i="29"/>
  <c r="AJ315" i="29"/>
  <c r="AJ319" i="29"/>
  <c r="AJ327" i="29"/>
  <c r="AJ380" i="29"/>
  <c r="AH326" i="29"/>
  <c r="AH379" i="29"/>
  <c r="AH316" i="29"/>
  <c r="AH369" i="29"/>
  <c r="AH296" i="29"/>
  <c r="AH349" i="29"/>
  <c r="AH294" i="29"/>
  <c r="AH347" i="29"/>
  <c r="AH287" i="29"/>
  <c r="AH293" i="29"/>
  <c r="AH346" i="29"/>
  <c r="AH285" i="29"/>
  <c r="AH338" i="29"/>
  <c r="AH319" i="29"/>
  <c r="AH325" i="29"/>
  <c r="AH378" i="29"/>
  <c r="AM378" i="29"/>
  <c r="AH292" i="29"/>
  <c r="AH345" i="29"/>
  <c r="AH295" i="29"/>
  <c r="AH348" i="29"/>
  <c r="AH318" i="29"/>
  <c r="AH290" i="29"/>
  <c r="AH291" i="29"/>
  <c r="AH344" i="29"/>
  <c r="AH282" i="29"/>
  <c r="AH335" i="29"/>
  <c r="AH283" i="29"/>
  <c r="AH336" i="29"/>
  <c r="AH284" i="29"/>
  <c r="AH337" i="29"/>
  <c r="AH311" i="29"/>
  <c r="AH320" i="29"/>
  <c r="AH373" i="29"/>
  <c r="AM373" i="29"/>
  <c r="AH288" i="29"/>
  <c r="AH308" i="29"/>
  <c r="AH306" i="29"/>
  <c r="AH286" i="29"/>
  <c r="AH309" i="29"/>
  <c r="AH303" i="29"/>
  <c r="AH356" i="29"/>
  <c r="AH301" i="29"/>
  <c r="AH354" i="29"/>
  <c r="AH310" i="29"/>
  <c r="AH322" i="29"/>
  <c r="AH375" i="29"/>
  <c r="AM375" i="29"/>
  <c r="AH315" i="29"/>
  <c r="AH304" i="29"/>
  <c r="AH317" i="29"/>
  <c r="AH305" i="29"/>
  <c r="AH302" i="29"/>
  <c r="AH355" i="29"/>
  <c r="AH297" i="29"/>
  <c r="AH350" i="29"/>
  <c r="AH299" i="29"/>
  <c r="AH352" i="29"/>
  <c r="AH307" i="29"/>
  <c r="AH300" i="29"/>
  <c r="AH353" i="29"/>
  <c r="AJ290" i="29"/>
  <c r="AJ288" i="29"/>
  <c r="AK279" i="29"/>
  <c r="AK286" i="29"/>
  <c r="AK290" i="29"/>
  <c r="AK288" i="29"/>
  <c r="AH279" i="29"/>
  <c r="AJ293" i="29"/>
  <c r="AJ346" i="29"/>
  <c r="AJ294" i="29"/>
  <c r="AJ347" i="29"/>
  <c r="AJ291" i="29"/>
  <c r="AJ344" i="29"/>
  <c r="AK293" i="29"/>
  <c r="AK346" i="29"/>
  <c r="AK294" i="29"/>
  <c r="AK347" i="29"/>
  <c r="AK291" i="29"/>
  <c r="AK344" i="29"/>
  <c r="AJ279" i="29"/>
  <c r="AJ286" i="29"/>
  <c r="AB285" i="29"/>
  <c r="AB338" i="29"/>
  <c r="Z319" i="29"/>
  <c r="AD319" i="29"/>
  <c r="Z311" i="29"/>
  <c r="Z305" i="29"/>
  <c r="Z292" i="29"/>
  <c r="Z345" i="29"/>
  <c r="Z316" i="29"/>
  <c r="Z369" i="29"/>
  <c r="Z291" i="29"/>
  <c r="Z302" i="29"/>
  <c r="Z355" i="29"/>
  <c r="Z297" i="29"/>
  <c r="Z350" i="29"/>
  <c r="Z307" i="29"/>
  <c r="AD313" i="29"/>
  <c r="AD286" i="29"/>
  <c r="AD290" i="29"/>
  <c r="AD288" i="29"/>
  <c r="AD285" i="29"/>
  <c r="AD338" i="29"/>
  <c r="AD279" i="29"/>
  <c r="AB315" i="29"/>
  <c r="AB313" i="29"/>
  <c r="AB305" i="29"/>
  <c r="AB303" i="29"/>
  <c r="AB356" i="29"/>
  <c r="AB299" i="29"/>
  <c r="AB352" i="29"/>
  <c r="AF286" i="29"/>
  <c r="AF290" i="29"/>
  <c r="AF315" i="29"/>
  <c r="AF317" i="29"/>
  <c r="AF283" i="29"/>
  <c r="AF336" i="29"/>
  <c r="AF285" i="29"/>
  <c r="AF338" i="29"/>
  <c r="AF284" i="29"/>
  <c r="AF337" i="29"/>
  <c r="AB295" i="29"/>
  <c r="AB348" i="29"/>
  <c r="AF304" i="29"/>
  <c r="AF329" i="29"/>
  <c r="AF382" i="29"/>
  <c r="Z306" i="29"/>
  <c r="Z293" i="29"/>
  <c r="Z287" i="29"/>
  <c r="Z313" i="29"/>
  <c r="Z286" i="29"/>
  <c r="Z312" i="29"/>
  <c r="Z298" i="29"/>
  <c r="Z351" i="29"/>
  <c r="Z294" i="29"/>
  <c r="AD309" i="29"/>
  <c r="AD314" i="29"/>
  <c r="AD312" i="29"/>
  <c r="AD318" i="29"/>
  <c r="AD317" i="29"/>
  <c r="AD283" i="29"/>
  <c r="AD336" i="29"/>
  <c r="AB316" i="29"/>
  <c r="AB369" i="29"/>
  <c r="AB309" i="29"/>
  <c r="AB312" i="29"/>
  <c r="AB318" i="29"/>
  <c r="AB302" i="29"/>
  <c r="AB355" i="29"/>
  <c r="AB284" i="29"/>
  <c r="AB337" i="29"/>
  <c r="AB298" i="29"/>
  <c r="AB351" i="29"/>
  <c r="AB307" i="29"/>
  <c r="AF312" i="29"/>
  <c r="AF316" i="29"/>
  <c r="AF369" i="29"/>
  <c r="AF293" i="29"/>
  <c r="AF346" i="29"/>
  <c r="AF313" i="29"/>
  <c r="AF299" i="29"/>
  <c r="AF352" i="29"/>
  <c r="AF301" i="29"/>
  <c r="AF354" i="29"/>
  <c r="AF294" i="29"/>
  <c r="AF347" i="29"/>
  <c r="AF279" i="29"/>
  <c r="AF303" i="29"/>
  <c r="AF356" i="29"/>
  <c r="AB319" i="29"/>
  <c r="AF327" i="29"/>
  <c r="AF380" i="29"/>
  <c r="AF319" i="29"/>
  <c r="Z295" i="29"/>
  <c r="Z348" i="29"/>
  <c r="Z288" i="29"/>
  <c r="Z317" i="29"/>
  <c r="Z309" i="29"/>
  <c r="Z314" i="29"/>
  <c r="Z308" i="29"/>
  <c r="Z303" i="29"/>
  <c r="Z356" i="29"/>
  <c r="Z301" i="29"/>
  <c r="Z354" i="29"/>
  <c r="AD292" i="29"/>
  <c r="AD345" i="29"/>
  <c r="AD315" i="29"/>
  <c r="AD308" i="29"/>
  <c r="AD311" i="29"/>
  <c r="AD310" i="29"/>
  <c r="AD282" i="29"/>
  <c r="AD335" i="29"/>
  <c r="AD307" i="29"/>
  <c r="AB304" i="29"/>
  <c r="AB308" i="29"/>
  <c r="AB311" i="29"/>
  <c r="AB317" i="29"/>
  <c r="AB300" i="29"/>
  <c r="AB353" i="29"/>
  <c r="AB301" i="29"/>
  <c r="AB354" i="29"/>
  <c r="AB279" i="29"/>
  <c r="AF296" i="29"/>
  <c r="AF349" i="29"/>
  <c r="AF318" i="29"/>
  <c r="AF288" i="29"/>
  <c r="AF292" i="29"/>
  <c r="AF345" i="29"/>
  <c r="AF297" i="29"/>
  <c r="AF350" i="29"/>
  <c r="AF282" i="29"/>
  <c r="AF335" i="29"/>
  <c r="AF300" i="29"/>
  <c r="AF353" i="29"/>
  <c r="AF298" i="29"/>
  <c r="AF351" i="29"/>
  <c r="AD305" i="29"/>
  <c r="AD358" i="29"/>
  <c r="AF328" i="29"/>
  <c r="AF381" i="29"/>
  <c r="Z290" i="29"/>
  <c r="Z318" i="29"/>
  <c r="Z310" i="29"/>
  <c r="Z304" i="29"/>
  <c r="Z315" i="29"/>
  <c r="Z296" i="29"/>
  <c r="Z349" i="29"/>
  <c r="Z299" i="29"/>
  <c r="Z352" i="29"/>
  <c r="Z300" i="29"/>
  <c r="Z353" i="29"/>
  <c r="AD287" i="29"/>
  <c r="AD316" i="29"/>
  <c r="AD369" i="29"/>
  <c r="AD291" i="29"/>
  <c r="AD344" i="29"/>
  <c r="AD306" i="29"/>
  <c r="AD359" i="29"/>
  <c r="AD293" i="29"/>
  <c r="AD346" i="29"/>
  <c r="AD284" i="29"/>
  <c r="AD337" i="29"/>
  <c r="AD294" i="29"/>
  <c r="AD347" i="29"/>
  <c r="AB314" i="29"/>
  <c r="AB296" i="29"/>
  <c r="AB349" i="29"/>
  <c r="AB306" i="29"/>
  <c r="AB310" i="29"/>
  <c r="AB283" i="29"/>
  <c r="AB336" i="29"/>
  <c r="AB282" i="29"/>
  <c r="AB335" i="29"/>
  <c r="AB297" i="29"/>
  <c r="AB350" i="29"/>
  <c r="AF291" i="29"/>
  <c r="AF344" i="29"/>
  <c r="AF295" i="29"/>
  <c r="AF348" i="29"/>
  <c r="AF314" i="29"/>
  <c r="AF287" i="29"/>
  <c r="AF302" i="29"/>
  <c r="AF355" i="29"/>
  <c r="AK313" i="29"/>
  <c r="AK312" i="29"/>
  <c r="AJ312" i="29"/>
  <c r="AJ313" i="29"/>
  <c r="AK310" i="29"/>
  <c r="AJ306" i="29"/>
  <c r="AK311" i="29"/>
  <c r="AK296" i="29"/>
  <c r="AK308" i="29"/>
  <c r="AJ304" i="29"/>
  <c r="AJ357" i="29"/>
  <c r="AJ309" i="29"/>
  <c r="AK306" i="29"/>
  <c r="AK304" i="29"/>
  <c r="AK309" i="29"/>
  <c r="AK362" i="29"/>
  <c r="AJ305" i="29"/>
  <c r="AJ358" i="29"/>
  <c r="AK305" i="29"/>
  <c r="AJ310" i="29"/>
  <c r="AJ311" i="29"/>
  <c r="AJ364" i="29"/>
  <c r="AJ296" i="29"/>
  <c r="AJ349" i="29"/>
  <c r="AJ308" i="29"/>
  <c r="AK317" i="29"/>
  <c r="AK318" i="29"/>
  <c r="AJ317" i="29"/>
  <c r="AJ318" i="29"/>
  <c r="AJ391" i="29"/>
  <c r="AD391" i="29"/>
  <c r="X41" i="29"/>
  <c r="L3" i="13"/>
  <c r="L2" i="13"/>
  <c r="L4" i="13"/>
  <c r="L5" i="13"/>
  <c r="L6" i="13"/>
  <c r="AM290" i="29"/>
  <c r="AM279" i="29"/>
  <c r="AM369" i="29"/>
  <c r="Z347" i="29"/>
  <c r="AM347" i="29"/>
  <c r="AM294" i="29"/>
  <c r="Z344" i="29"/>
  <c r="AM344" i="29"/>
  <c r="AM291" i="29"/>
  <c r="AM288" i="29"/>
  <c r="Z346" i="29"/>
  <c r="AM346" i="29"/>
  <c r="AM293" i="29"/>
  <c r="AM319" i="29"/>
  <c r="AK363" i="29"/>
  <c r="AK368" i="29"/>
  <c r="AJ368" i="29"/>
  <c r="AH368" i="29"/>
  <c r="AF368" i="29"/>
  <c r="AD368" i="29"/>
  <c r="AB368" i="29"/>
  <c r="Z368" i="29"/>
  <c r="AK367" i="29"/>
  <c r="AJ367" i="29"/>
  <c r="Z367" i="29"/>
  <c r="AD367" i="29"/>
  <c r="AF367" i="29"/>
  <c r="AB367" i="29"/>
  <c r="AK370" i="29"/>
  <c r="AK371" i="29"/>
  <c r="AJ370" i="29"/>
  <c r="AJ371" i="29"/>
  <c r="AJ359" i="29"/>
  <c r="AK365" i="29"/>
  <c r="AK364" i="29"/>
  <c r="AJ365" i="29"/>
  <c r="AK361" i="29"/>
  <c r="AK366" i="29"/>
  <c r="AH341" i="29"/>
  <c r="AJ341" i="29"/>
  <c r="AK341" i="29"/>
  <c r="Z341" i="29"/>
  <c r="AF341" i="29"/>
  <c r="AD341" i="29"/>
  <c r="AH343" i="29"/>
  <c r="AK343" i="29"/>
  <c r="AJ343" i="29"/>
  <c r="AF343" i="29"/>
  <c r="AD343" i="29"/>
  <c r="Z343" i="29"/>
  <c r="AH360" i="29"/>
  <c r="AB360" i="29"/>
  <c r="Z360" i="29"/>
  <c r="AD360" i="29"/>
  <c r="AH361" i="29"/>
  <c r="AB361" i="29"/>
  <c r="Z361" i="29"/>
  <c r="AD361" i="29"/>
  <c r="AF366" i="29"/>
  <c r="Z366" i="29"/>
  <c r="AB366" i="29"/>
  <c r="AD366" i="29"/>
  <c r="AH359" i="29"/>
  <c r="Z359" i="29"/>
  <c r="AB359" i="29"/>
  <c r="AH364" i="29"/>
  <c r="AB364" i="29"/>
  <c r="Z364" i="29"/>
  <c r="AD364" i="29"/>
  <c r="AD365" i="29"/>
  <c r="AB365" i="29"/>
  <c r="Z365" i="29"/>
  <c r="AF365" i="29"/>
  <c r="AK372" i="29"/>
  <c r="AJ372" i="29"/>
  <c r="AH372" i="29"/>
  <c r="AB372" i="29"/>
  <c r="AF372" i="29"/>
  <c r="Z372" i="29"/>
  <c r="AD372" i="29"/>
  <c r="AH363" i="29"/>
  <c r="Z363" i="29"/>
  <c r="AB363" i="29"/>
  <c r="AD363" i="29"/>
  <c r="AK332" i="29"/>
  <c r="AB332" i="29"/>
  <c r="AF332" i="29"/>
  <c r="AJ332" i="29"/>
  <c r="AH332" i="29"/>
  <c r="AD332" i="29"/>
  <c r="AH370" i="29"/>
  <c r="AD370" i="29"/>
  <c r="AF370" i="29"/>
  <c r="AB370" i="29"/>
  <c r="Z370" i="29"/>
  <c r="AH340" i="29"/>
  <c r="AD340" i="29"/>
  <c r="AF340" i="29"/>
  <c r="Z340" i="29"/>
  <c r="AH358" i="29"/>
  <c r="AB358" i="29"/>
  <c r="Z358" i="29"/>
  <c r="AH371" i="29"/>
  <c r="Z371" i="29"/>
  <c r="AF371" i="29"/>
  <c r="AB371" i="29"/>
  <c r="AD371" i="29"/>
  <c r="AH339" i="29"/>
  <c r="AJ339" i="29"/>
  <c r="AK339" i="29"/>
  <c r="Z339" i="29"/>
  <c r="AF339" i="29"/>
  <c r="AD339" i="29"/>
  <c r="AH357" i="29"/>
  <c r="Z357" i="29"/>
  <c r="AF357" i="29"/>
  <c r="AB357" i="29"/>
  <c r="AH362" i="29"/>
  <c r="AD362" i="29"/>
  <c r="AB362" i="29"/>
  <c r="Z362" i="29"/>
  <c r="AJ363" i="29"/>
  <c r="AJ362" i="29"/>
  <c r="AJ361" i="29"/>
  <c r="AJ366" i="29"/>
  <c r="AK358" i="29"/>
  <c r="AK349" i="29"/>
  <c r="AM349" i="29"/>
  <c r="AK360" i="29"/>
  <c r="AM312" i="29"/>
  <c r="AK356" i="29"/>
  <c r="AM356" i="29"/>
  <c r="AM309" i="29"/>
  <c r="AK359" i="29"/>
  <c r="AM308" i="29"/>
  <c r="AM317" i="29"/>
  <c r="AM304" i="29"/>
  <c r="AK354" i="29"/>
  <c r="AM354" i="29"/>
  <c r="AK351" i="29"/>
  <c r="AM351" i="29"/>
  <c r="AK352" i="29"/>
  <c r="AM352" i="29"/>
  <c r="AK350" i="29"/>
  <c r="AM350" i="29"/>
  <c r="AM313" i="29"/>
  <c r="AM305" i="29"/>
  <c r="AK355" i="29"/>
  <c r="AM355" i="29"/>
  <c r="AK357" i="29"/>
  <c r="AM310" i="29"/>
  <c r="AM318" i="29"/>
  <c r="AJ390" i="29"/>
  <c r="AH398" i="29"/>
  <c r="AF398" i="29"/>
  <c r="AD398" i="29"/>
  <c r="AJ398" i="29"/>
  <c r="AB398" i="29"/>
  <c r="AK398" i="29"/>
  <c r="AD390" i="29"/>
  <c r="U397" i="29"/>
  <c r="AM391" i="29"/>
  <c r="AE35" i="29"/>
  <c r="AA35" i="29"/>
  <c r="X35" i="29"/>
  <c r="AG35" i="29"/>
  <c r="AC35" i="29"/>
  <c r="Y35" i="29"/>
  <c r="B31" i="50"/>
  <c r="AM365" i="29"/>
  <c r="AM343" i="29"/>
  <c r="AM368" i="29"/>
  <c r="AM357" i="29"/>
  <c r="AM339" i="29"/>
  <c r="AM364" i="29"/>
  <c r="AM359" i="29"/>
  <c r="AM366" i="29"/>
  <c r="AM362" i="29"/>
  <c r="AM361" i="29"/>
  <c r="AM367" i="29"/>
  <c r="AM358" i="29"/>
  <c r="AM332" i="29"/>
  <c r="AM363" i="29"/>
  <c r="AM341" i="29"/>
  <c r="AM371" i="29"/>
  <c r="AM370" i="29"/>
  <c r="AM372" i="29"/>
  <c r="AM398" i="29"/>
  <c r="AD397" i="29"/>
  <c r="AD400" i="29"/>
  <c r="AD35" i="29"/>
  <c r="AB397" i="29"/>
  <c r="AB400" i="29"/>
  <c r="AB35" i="29"/>
  <c r="AH397" i="29"/>
  <c r="AH400" i="29"/>
  <c r="AH35" i="29"/>
  <c r="AF397" i="29"/>
  <c r="AF400" i="29"/>
  <c r="AF35" i="29"/>
  <c r="AK397" i="29"/>
  <c r="AK400" i="29"/>
  <c r="AK35" i="29"/>
  <c r="AJ397" i="29"/>
  <c r="AJ400" i="29"/>
  <c r="AJ35" i="29"/>
  <c r="AM390" i="29"/>
  <c r="AM676" i="29"/>
  <c r="AA681" i="29"/>
  <c r="AA46" i="29"/>
  <c r="AM399" i="29"/>
  <c r="AB681" i="29"/>
  <c r="AB46" i="29"/>
  <c r="AM672" i="29"/>
  <c r="AM397" i="29"/>
  <c r="AM400" i="29"/>
  <c r="Z35" i="29"/>
  <c r="AM35" i="29"/>
  <c r="H27" i="1"/>
  <c r="E8" i="67"/>
  <c r="AM681" i="29"/>
  <c r="AM46" i="29"/>
  <c r="H34" i="1"/>
  <c r="E14" i="67"/>
  <c r="K11" i="57"/>
  <c r="AK98" i="29"/>
  <c r="AK88" i="29"/>
  <c r="AJ98" i="29"/>
  <c r="AJ88" i="29"/>
  <c r="AK103" i="29"/>
  <c r="AK29" i="29"/>
  <c r="AK28" i="29"/>
  <c r="X88" i="29"/>
  <c r="AJ103" i="29"/>
  <c r="AJ29" i="29"/>
  <c r="AJ28" i="29"/>
  <c r="G10" i="53"/>
  <c r="G9" i="53"/>
  <c r="C38" i="53"/>
  <c r="G31" i="53"/>
  <c r="C31" i="53"/>
  <c r="G30" i="53"/>
  <c r="C30" i="53"/>
  <c r="G29" i="53"/>
  <c r="C29" i="53"/>
  <c r="G28" i="53"/>
  <c r="C28" i="53"/>
  <c r="G27" i="53"/>
  <c r="C27" i="53"/>
  <c r="G26" i="53"/>
  <c r="C26" i="53"/>
  <c r="G25" i="53"/>
  <c r="C25" i="53"/>
  <c r="G23" i="53"/>
  <c r="C23" i="53"/>
  <c r="G22" i="53"/>
  <c r="C22" i="53"/>
  <c r="G21" i="53"/>
  <c r="C21" i="53"/>
  <c r="C19" i="53"/>
  <c r="C18" i="53"/>
  <c r="C17" i="53"/>
  <c r="G15" i="53"/>
  <c r="C15" i="53"/>
  <c r="G14" i="53"/>
  <c r="C14" i="53"/>
  <c r="G13" i="53"/>
  <c r="C13" i="53"/>
  <c r="G11" i="53"/>
  <c r="C11" i="53"/>
  <c r="C10" i="53"/>
  <c r="C9" i="53"/>
  <c r="H6" i="53"/>
  <c r="H6" i="57"/>
  <c r="B13" i="50"/>
  <c r="B19" i="50"/>
  <c r="B18" i="50"/>
  <c r="B17" i="50"/>
  <c r="B14" i="50"/>
  <c r="B11" i="50"/>
  <c r="B9" i="50"/>
  <c r="R7" i="50"/>
  <c r="BA14" i="50"/>
  <c r="L7" i="50"/>
  <c r="K7" i="50"/>
  <c r="R6" i="50"/>
  <c r="K8" i="50"/>
  <c r="K10" i="50"/>
  <c r="K20" i="50"/>
  <c r="K19" i="50"/>
  <c r="K11" i="50"/>
  <c r="K9" i="50"/>
  <c r="AI20" i="50"/>
  <c r="AG20" i="50"/>
  <c r="AK20" i="50"/>
  <c r="AI19" i="50"/>
  <c r="AC18" i="50"/>
  <c r="Y18" i="50"/>
  <c r="AI18" i="50"/>
  <c r="O18" i="50"/>
  <c r="K18" i="50"/>
  <c r="BA17" i="50"/>
  <c r="AF17" i="50"/>
  <c r="AC17" i="50"/>
  <c r="Y17" i="50"/>
  <c r="AI17" i="50"/>
  <c r="AA18" i="50"/>
  <c r="O17" i="50"/>
  <c r="K17" i="50"/>
  <c r="AA16" i="50"/>
  <c r="Y16" i="50"/>
  <c r="AI16" i="50"/>
  <c r="AA17" i="50"/>
  <c r="O16" i="50"/>
  <c r="K16" i="50"/>
  <c r="AA15" i="50"/>
  <c r="Y15" i="50"/>
  <c r="AI15" i="50"/>
  <c r="O15" i="50"/>
  <c r="K15" i="50"/>
  <c r="BA20" i="50"/>
  <c r="AC14" i="50"/>
  <c r="Y14" i="50"/>
  <c r="AI14" i="50"/>
  <c r="O14" i="50"/>
  <c r="K14" i="50"/>
  <c r="AA13" i="50"/>
  <c r="Y13" i="50"/>
  <c r="AI13" i="50"/>
  <c r="AA14" i="50"/>
  <c r="O13" i="50"/>
  <c r="K13" i="50"/>
  <c r="AC12" i="50"/>
  <c r="Y12" i="50"/>
  <c r="AI12" i="50"/>
  <c r="O12" i="50"/>
  <c r="K12" i="50"/>
  <c r="AI11" i="50"/>
  <c r="AA12" i="50"/>
  <c r="AL10" i="50"/>
  <c r="AA10" i="50"/>
  <c r="Y10" i="50"/>
  <c r="AI10" i="50"/>
  <c r="AA11" i="50"/>
  <c r="AC9" i="50"/>
  <c r="Y9" i="50"/>
  <c r="AI9" i="50"/>
  <c r="S7" i="50"/>
  <c r="M7" i="50"/>
  <c r="L6" i="50"/>
  <c r="S6" i="50"/>
  <c r="M8" i="50"/>
  <c r="N8" i="50"/>
  <c r="N7" i="50"/>
  <c r="N6" i="50"/>
  <c r="M6" i="50"/>
  <c r="L8" i="50"/>
  <c r="T7" i="50"/>
  <c r="AM9" i="50"/>
  <c r="AM10" i="50"/>
  <c r="AA9" i="50"/>
  <c r="AL9" i="50"/>
  <c r="K6" i="50"/>
  <c r="U7" i="50"/>
  <c r="T6" i="50"/>
  <c r="U6" i="50"/>
  <c r="X801" i="29"/>
  <c r="AM801" i="29"/>
  <c r="X800" i="29"/>
  <c r="AM800" i="29"/>
  <c r="B27" i="50"/>
  <c r="B26" i="50"/>
  <c r="B25" i="50"/>
  <c r="H40" i="13"/>
  <c r="H38" i="13"/>
  <c r="G40" i="13"/>
  <c r="E40" i="13"/>
  <c r="E39" i="13"/>
  <c r="E37" i="13"/>
  <c r="Z769" i="29"/>
  <c r="AM799" i="29"/>
  <c r="AK284" i="29"/>
  <c r="AK337" i="29"/>
  <c r="AJ284" i="29"/>
  <c r="AJ337" i="29"/>
  <c r="AM337" i="29"/>
  <c r="AD289" i="29"/>
  <c r="AD342" i="29"/>
  <c r="AF289" i="29"/>
  <c r="AF342" i="29"/>
  <c r="Z289" i="29"/>
  <c r="Z342" i="29"/>
  <c r="AH289" i="29"/>
  <c r="AH342" i="29"/>
  <c r="AJ287" i="29"/>
  <c r="AJ340" i="29"/>
  <c r="AK287" i="29"/>
  <c r="AK340" i="29"/>
  <c r="AM284" i="29"/>
  <c r="AM340" i="29"/>
  <c r="AM287" i="29"/>
  <c r="X837" i="29"/>
  <c r="X59" i="29"/>
  <c r="F67" i="29"/>
  <c r="E21" i="70"/>
  <c r="F26" i="70"/>
  <c r="Z17" i="29"/>
  <c r="G427" i="29"/>
  <c r="L425" i="29"/>
  <c r="K425" i="29"/>
  <c r="J425" i="29"/>
  <c r="I425" i="29"/>
  <c r="G425" i="29"/>
  <c r="K424" i="29"/>
  <c r="J424" i="29"/>
  <c r="I424" i="29"/>
  <c r="G424" i="29"/>
  <c r="E440" i="29"/>
  <c r="J24" i="70"/>
  <c r="J38" i="70"/>
  <c r="J36" i="70"/>
  <c r="J41" i="70"/>
  <c r="J47" i="70"/>
  <c r="J48" i="70"/>
  <c r="K4" i="70"/>
  <c r="AE15" i="29"/>
  <c r="V5" i="70"/>
  <c r="V4" i="70"/>
  <c r="A13" i="5"/>
  <c r="A14" i="5"/>
  <c r="A10" i="5"/>
  <c r="A11" i="5"/>
  <c r="AJ281" i="29"/>
  <c r="AJ334" i="29"/>
  <c r="AK281" i="29"/>
  <c r="AK334" i="29"/>
  <c r="AK380" i="29"/>
  <c r="AD281" i="29"/>
  <c r="AD334" i="29"/>
  <c r="AF281" i="29"/>
  <c r="AF334" i="29"/>
  <c r="AB281" i="29"/>
  <c r="AB334" i="29"/>
  <c r="AH281" i="29"/>
  <c r="AH334" i="29"/>
  <c r="AJ285" i="29"/>
  <c r="AJ338" i="29"/>
  <c r="AK285" i="29"/>
  <c r="AK338" i="29"/>
  <c r="AJ292" i="29"/>
  <c r="AJ345" i="29"/>
  <c r="AK292" i="29"/>
  <c r="AK345" i="29"/>
  <c r="AJ283" i="29"/>
  <c r="AJ336" i="29"/>
  <c r="AK283" i="29"/>
  <c r="AK336" i="29"/>
  <c r="AK382" i="29"/>
  <c r="AM286" i="29"/>
  <c r="AM336" i="29"/>
  <c r="AM338" i="29"/>
  <c r="AM345" i="29"/>
  <c r="AM334" i="29"/>
  <c r="AM382" i="29"/>
  <c r="AM380" i="29"/>
  <c r="AM281" i="29"/>
  <c r="AF280" i="29"/>
  <c r="AF333" i="29"/>
  <c r="AD280" i="29"/>
  <c r="AD333" i="29"/>
  <c r="AB280" i="29"/>
  <c r="AB333" i="29"/>
  <c r="AH280" i="29"/>
  <c r="AH333" i="29"/>
  <c r="AJ280" i="29"/>
  <c r="AJ333" i="29"/>
  <c r="AK280" i="29"/>
  <c r="AK333" i="29"/>
  <c r="AJ289" i="29"/>
  <c r="AJ342" i="29"/>
  <c r="AK289" i="29"/>
  <c r="AK342" i="29"/>
  <c r="AK282" i="29"/>
  <c r="AK335" i="29"/>
  <c r="AK381" i="29"/>
  <c r="AJ282" i="29"/>
  <c r="AJ335" i="29"/>
  <c r="AM285" i="29"/>
  <c r="AM292" i="29"/>
  <c r="AM311" i="29"/>
  <c r="AM283" i="29"/>
  <c r="AH601" i="29"/>
  <c r="AH603" i="29"/>
  <c r="AH599" i="29"/>
  <c r="AH595" i="29"/>
  <c r="AH591" i="29"/>
  <c r="AH604" i="29"/>
  <c r="AH596" i="29"/>
  <c r="AM342" i="29"/>
  <c r="AM335" i="29"/>
  <c r="AM333" i="29"/>
  <c r="AK379" i="29"/>
  <c r="AM381" i="29"/>
  <c r="AM280" i="29"/>
  <c r="AH432" i="29"/>
  <c r="AH427" i="29"/>
  <c r="AH429" i="29"/>
  <c r="AM289" i="29"/>
  <c r="AH619" i="29"/>
  <c r="AH618" i="29"/>
  <c r="AH622" i="29"/>
  <c r="AH624" i="29"/>
  <c r="AH614" i="29"/>
  <c r="AH626" i="29"/>
  <c r="AH627" i="29"/>
  <c r="AM282" i="29"/>
  <c r="AH822" i="29"/>
  <c r="AH832" i="29"/>
  <c r="AH820" i="29"/>
  <c r="AH830" i="29"/>
  <c r="AH821" i="29"/>
  <c r="AH831" i="29"/>
  <c r="AH819" i="29"/>
  <c r="AH829" i="29"/>
  <c r="AH825" i="29"/>
  <c r="AH835" i="29"/>
  <c r="AH824" i="29"/>
  <c r="AH834" i="29"/>
  <c r="AH842" i="29"/>
  <c r="AH823" i="29"/>
  <c r="AH833" i="29"/>
  <c r="AH686" i="29"/>
  <c r="AH690" i="29"/>
  <c r="AH587" i="29"/>
  <c r="AH43" i="29"/>
  <c r="AH20" i="29"/>
  <c r="AH324" i="29"/>
  <c r="AH377" i="29"/>
  <c r="AM377" i="29"/>
  <c r="AM379" i="29"/>
  <c r="AK295" i="29"/>
  <c r="AK348" i="29"/>
  <c r="AJ307" i="29"/>
  <c r="AJ360" i="29"/>
  <c r="AK307" i="29"/>
  <c r="AK353" i="29"/>
  <c r="AM353" i="29"/>
  <c r="AJ295" i="29"/>
  <c r="AJ348" i="29"/>
  <c r="AH850" i="29"/>
  <c r="AH848" i="29"/>
  <c r="AH437" i="29"/>
  <c r="AH847" i="29"/>
  <c r="AH845" i="29"/>
  <c r="AH851" i="29"/>
  <c r="AH98" i="29"/>
  <c r="AH103" i="29"/>
  <c r="AM360" i="29"/>
  <c r="AM348" i="29"/>
  <c r="AH323" i="29"/>
  <c r="AH376" i="29"/>
  <c r="AK383" i="29"/>
  <c r="AM296" i="29"/>
  <c r="AH29" i="29"/>
  <c r="AH28" i="29"/>
  <c r="AH692" i="29"/>
  <c r="AH47" i="29"/>
  <c r="AH837" i="29"/>
  <c r="J21" i="70"/>
  <c r="H25" i="3"/>
  <c r="E25" i="3"/>
  <c r="D25" i="3"/>
  <c r="H24" i="3"/>
  <c r="F22" i="70"/>
  <c r="E24" i="3"/>
  <c r="F21" i="70"/>
  <c r="D24" i="3"/>
  <c r="F24" i="70"/>
  <c r="H23" i="3"/>
  <c r="E22" i="70"/>
  <c r="AM376" i="29"/>
  <c r="AM383" i="29"/>
  <c r="AM295" i="29"/>
  <c r="G24" i="70"/>
  <c r="H24" i="70"/>
  <c r="E24" i="70"/>
  <c r="E38" i="70"/>
  <c r="E36" i="70"/>
  <c r="E41" i="70"/>
  <c r="E47" i="70"/>
  <c r="E48" i="70"/>
  <c r="E4" i="70"/>
  <c r="P4" i="70"/>
  <c r="I24" i="70"/>
  <c r="I38" i="70"/>
  <c r="I36" i="70"/>
  <c r="I41" i="70"/>
  <c r="H22" i="70"/>
  <c r="H34" i="70"/>
  <c r="H32" i="70"/>
  <c r="G22" i="70"/>
  <c r="G34" i="70"/>
  <c r="G32" i="70"/>
  <c r="D9" i="71"/>
  <c r="F45" i="70"/>
  <c r="F43" i="70"/>
  <c r="E34" i="70"/>
  <c r="E32" i="70"/>
  <c r="F34" i="70"/>
  <c r="F32" i="70"/>
  <c r="F38" i="70"/>
  <c r="F36" i="70"/>
  <c r="F41" i="70"/>
  <c r="G26" i="70"/>
  <c r="H21" i="70"/>
  <c r="G21" i="70"/>
  <c r="AA15" i="29"/>
  <c r="AC15" i="29"/>
  <c r="AF17" i="29"/>
  <c r="Y15" i="29"/>
  <c r="AA16" i="29"/>
  <c r="AA268" i="29"/>
  <c r="AA272" i="29"/>
  <c r="AC16" i="29"/>
  <c r="AC268" i="29"/>
  <c r="AG15" i="29"/>
  <c r="AB17" i="29"/>
  <c r="AD17" i="29"/>
  <c r="AM307" i="29"/>
  <c r="AM415" i="29"/>
  <c r="AH59" i="29"/>
  <c r="I25" i="3"/>
  <c r="I23" i="3"/>
  <c r="I24" i="3"/>
  <c r="AK34" i="29"/>
  <c r="AJ34" i="29"/>
  <c r="F47" i="70"/>
  <c r="F48" i="70"/>
  <c r="F4" i="70"/>
  <c r="I47" i="70"/>
  <c r="I48" i="70"/>
  <c r="N4" i="70"/>
  <c r="AG141" i="29"/>
  <c r="AE169" i="29"/>
  <c r="AE153" i="29"/>
  <c r="AC147" i="29"/>
  <c r="AE147" i="29"/>
  <c r="AK141" i="29"/>
  <c r="AE141" i="29"/>
  <c r="AC141" i="29"/>
  <c r="AC137" i="29"/>
  <c r="AA141" i="29"/>
  <c r="AE168" i="29"/>
  <c r="AE164" i="29"/>
  <c r="AE160" i="29"/>
  <c r="AE156" i="29"/>
  <c r="AE152" i="29"/>
  <c r="AE148" i="29"/>
  <c r="AE155" i="29"/>
  <c r="AE165" i="29"/>
  <c r="AE161" i="29"/>
  <c r="AE157" i="29"/>
  <c r="AE149" i="29"/>
  <c r="AE159" i="29"/>
  <c r="AE151" i="29"/>
  <c r="AE166" i="29"/>
  <c r="AE162" i="29"/>
  <c r="AE158" i="29"/>
  <c r="AE154" i="29"/>
  <c r="AE150" i="29"/>
  <c r="AE167" i="29"/>
  <c r="AE163" i="29"/>
  <c r="AE143" i="29"/>
  <c r="AE144" i="29"/>
  <c r="AE145" i="29"/>
  <c r="AE146" i="29"/>
  <c r="AE142" i="29"/>
  <c r="AE137" i="29"/>
  <c r="AM268" i="29"/>
  <c r="H38" i="70"/>
  <c r="H36" i="70"/>
  <c r="H41" i="70"/>
  <c r="I26" i="70"/>
  <c r="G38" i="70"/>
  <c r="G36" i="70"/>
  <c r="G41" i="70"/>
  <c r="H26" i="70"/>
  <c r="G45" i="70"/>
  <c r="G43" i="70"/>
  <c r="Y269" i="29"/>
  <c r="Y273" i="29"/>
  <c r="AC272" i="29"/>
  <c r="AM272" i="29"/>
  <c r="AA274" i="29"/>
  <c r="AA33" i="29"/>
  <c r="AM306" i="29"/>
  <c r="AM430" i="29"/>
  <c r="AH41" i="29"/>
  <c r="P6" i="70"/>
  <c r="Z178" i="29"/>
  <c r="Z191" i="29"/>
  <c r="AM147" i="29"/>
  <c r="P5" i="70"/>
  <c r="Z177" i="29"/>
  <c r="P7" i="70"/>
  <c r="P8" i="70"/>
  <c r="P9" i="70"/>
  <c r="Q4" i="70"/>
  <c r="Q10" i="70"/>
  <c r="Z182" i="29"/>
  <c r="Z195" i="29"/>
  <c r="Q7" i="70"/>
  <c r="Q5" i="70"/>
  <c r="Q8" i="70"/>
  <c r="Q9" i="70"/>
  <c r="Z181" i="29"/>
  <c r="Z194" i="29"/>
  <c r="AK171" i="29"/>
  <c r="AK30" i="29"/>
  <c r="AI30" i="29"/>
  <c r="G4" i="70"/>
  <c r="R11" i="70"/>
  <c r="AM141" i="29"/>
  <c r="AC148" i="29"/>
  <c r="AM148" i="29"/>
  <c r="AC163" i="29"/>
  <c r="AM163" i="29"/>
  <c r="AC162" i="29"/>
  <c r="AM162" i="29"/>
  <c r="AC166" i="29"/>
  <c r="AM166" i="29"/>
  <c r="AC161" i="29"/>
  <c r="AM161" i="29"/>
  <c r="AC160" i="29"/>
  <c r="AM160" i="29"/>
  <c r="AC146" i="29"/>
  <c r="AM146" i="29"/>
  <c r="AC143" i="29"/>
  <c r="AM143" i="29"/>
  <c r="AC159" i="29"/>
  <c r="AM159" i="29"/>
  <c r="AC154" i="29"/>
  <c r="AM154" i="29"/>
  <c r="AC158" i="29"/>
  <c r="AM158" i="29"/>
  <c r="AC157" i="29"/>
  <c r="AM157" i="29"/>
  <c r="AC156" i="29"/>
  <c r="AM156" i="29"/>
  <c r="AC142" i="29"/>
  <c r="AM142" i="29"/>
  <c r="AC144" i="29"/>
  <c r="AM144" i="29"/>
  <c r="AC155" i="29"/>
  <c r="AM155" i="29"/>
  <c r="AC152" i="29"/>
  <c r="AM152" i="29"/>
  <c r="AC150" i="29"/>
  <c r="AM150" i="29"/>
  <c r="AC153" i="29"/>
  <c r="AM153" i="29"/>
  <c r="AC169" i="29"/>
  <c r="AM169" i="29"/>
  <c r="AC168" i="29"/>
  <c r="AM168" i="29"/>
  <c r="AC145" i="29"/>
  <c r="AM145" i="29"/>
  <c r="AC151" i="29"/>
  <c r="AM151" i="29"/>
  <c r="AC167" i="29"/>
  <c r="AM167" i="29"/>
  <c r="AC149" i="29"/>
  <c r="AM149" i="29"/>
  <c r="AC165" i="29"/>
  <c r="AM165" i="29"/>
  <c r="AC164" i="29"/>
  <c r="AM164" i="29"/>
  <c r="H47" i="70"/>
  <c r="H48" i="70"/>
  <c r="G47" i="70"/>
  <c r="G48" i="70"/>
  <c r="H4" i="70"/>
  <c r="S4" i="70"/>
  <c r="AM269" i="29"/>
  <c r="AC274" i="29"/>
  <c r="AC33" i="29"/>
  <c r="AM273" i="29"/>
  <c r="AM274" i="29"/>
  <c r="Y274" i="29"/>
  <c r="Y33" i="29"/>
  <c r="R6" i="70"/>
  <c r="AB178" i="29"/>
  <c r="AB191" i="29"/>
  <c r="Z176" i="29"/>
  <c r="Z751" i="29"/>
  <c r="Z758" i="29"/>
  <c r="Z180" i="29"/>
  <c r="Z193" i="29"/>
  <c r="Z179" i="29"/>
  <c r="Z192" i="29"/>
  <c r="Z190" i="29"/>
  <c r="P16" i="70"/>
  <c r="AM171" i="29"/>
  <c r="AM172" i="29"/>
  <c r="Q16" i="70"/>
  <c r="AM32" i="29"/>
  <c r="H24" i="1"/>
  <c r="E6" i="67"/>
  <c r="R4" i="70"/>
  <c r="AB176" i="29"/>
  <c r="V10" i="70"/>
  <c r="V11" i="70"/>
  <c r="V7" i="70"/>
  <c r="V8" i="70"/>
  <c r="V9" i="70"/>
  <c r="M4" i="70"/>
  <c r="R8" i="70"/>
  <c r="R5" i="70"/>
  <c r="R9" i="70"/>
  <c r="R7" i="70"/>
  <c r="I4" i="70"/>
  <c r="T11" i="70"/>
  <c r="S8" i="70"/>
  <c r="S9" i="70"/>
  <c r="AB181" i="29"/>
  <c r="AB194" i="29"/>
  <c r="S5" i="70"/>
  <c r="S11" i="70"/>
  <c r="AB183" i="29"/>
  <c r="AB196" i="29"/>
  <c r="S10" i="70"/>
  <c r="AB182" i="29"/>
  <c r="AB195" i="29"/>
  <c r="J4" i="70"/>
  <c r="S7" i="70"/>
  <c r="Y4" i="70"/>
  <c r="Y9" i="70"/>
  <c r="AK181" i="29"/>
  <c r="AK194" i="29"/>
  <c r="Y8" i="70"/>
  <c r="AK180" i="29"/>
  <c r="AK193" i="29"/>
  <c r="Y6" i="70"/>
  <c r="AK178" i="29"/>
  <c r="AK191" i="29"/>
  <c r="Y7" i="70"/>
  <c r="AK179" i="29"/>
  <c r="AK192" i="29"/>
  <c r="Y5" i="70"/>
  <c r="AK177" i="29"/>
  <c r="AK190" i="29"/>
  <c r="AM33" i="29"/>
  <c r="H25" i="1"/>
  <c r="Z753" i="29"/>
  <c r="Z189" i="29"/>
  <c r="X7" i="70"/>
  <c r="AH179" i="29"/>
  <c r="X8" i="70"/>
  <c r="AH180" i="29"/>
  <c r="X5" i="70"/>
  <c r="AH177" i="29"/>
  <c r="X6" i="70"/>
  <c r="AH178" i="29"/>
  <c r="X4" i="70"/>
  <c r="AB179" i="29"/>
  <c r="AB192" i="29"/>
  <c r="AB189" i="29"/>
  <c r="AB751" i="29"/>
  <c r="AB177" i="29"/>
  <c r="AB190" i="29"/>
  <c r="AB180" i="29"/>
  <c r="AB193" i="29"/>
  <c r="AF179" i="29"/>
  <c r="AF192" i="29"/>
  <c r="AF182" i="29"/>
  <c r="AF195" i="29"/>
  <c r="AJ179" i="29"/>
  <c r="AJ192" i="29"/>
  <c r="AF183" i="29"/>
  <c r="AF196" i="29"/>
  <c r="AK176" i="29"/>
  <c r="AK189" i="29"/>
  <c r="V16" i="70"/>
  <c r="T7" i="70"/>
  <c r="T5" i="70"/>
  <c r="T12" i="70"/>
  <c r="AD184" i="29"/>
  <c r="X13" i="70"/>
  <c r="AH185" i="29"/>
  <c r="R16" i="70"/>
  <c r="X9" i="70"/>
  <c r="AH181" i="29"/>
  <c r="U10" i="70"/>
  <c r="AD182" i="29"/>
  <c r="AD195" i="29"/>
  <c r="T4" i="70"/>
  <c r="T9" i="70"/>
  <c r="S16" i="70"/>
  <c r="U8" i="70"/>
  <c r="AD180" i="29"/>
  <c r="AD193" i="29"/>
  <c r="U11" i="70"/>
  <c r="AD183" i="29"/>
  <c r="AD196" i="29"/>
  <c r="U4" i="70"/>
  <c r="U7" i="70"/>
  <c r="U9" i="70"/>
  <c r="U5" i="70"/>
  <c r="AK846" i="29"/>
  <c r="AK849" i="29"/>
  <c r="Z760" i="29"/>
  <c r="Z52" i="29"/>
  <c r="AD177" i="29"/>
  <c r="AD190" i="29"/>
  <c r="AH176" i="29"/>
  <c r="AH751" i="29"/>
  <c r="AH753" i="29"/>
  <c r="AJ176" i="29"/>
  <c r="AJ189" i="29"/>
  <c r="AH192" i="29"/>
  <c r="AF176" i="29"/>
  <c r="AD181" i="29"/>
  <c r="AD194" i="29"/>
  <c r="AH190" i="29"/>
  <c r="AF177" i="29"/>
  <c r="AF190" i="29"/>
  <c r="AD176" i="29"/>
  <c r="AF180" i="29"/>
  <c r="AF193" i="29"/>
  <c r="AF181" i="29"/>
  <c r="AF194" i="29"/>
  <c r="AB758" i="29"/>
  <c r="AB760" i="29"/>
  <c r="AB52" i="29"/>
  <c r="AB753" i="29"/>
  <c r="AH198" i="29"/>
  <c r="AM198" i="29"/>
  <c r="AD179" i="29"/>
  <c r="AD192" i="29"/>
  <c r="AM199" i="29"/>
  <c r="AD197" i="29"/>
  <c r="AM197" i="29"/>
  <c r="AK853" i="29"/>
  <c r="AK60" i="29"/>
  <c r="AK61" i="29"/>
  <c r="AH194" i="29"/>
  <c r="AJ181" i="29"/>
  <c r="AJ194" i="29"/>
  <c r="AH193" i="29"/>
  <c r="AJ180" i="29"/>
  <c r="AJ193" i="29"/>
  <c r="AJ177" i="29"/>
  <c r="AJ190" i="29"/>
  <c r="AH191" i="29"/>
  <c r="AJ178" i="29"/>
  <c r="AJ191" i="29"/>
  <c r="AH846" i="29"/>
  <c r="AK200" i="29"/>
  <c r="X16" i="70"/>
  <c r="T16" i="70"/>
  <c r="U16" i="70"/>
  <c r="AI846" i="29"/>
  <c r="AJ846" i="29"/>
  <c r="AI849" i="29"/>
  <c r="AJ849" i="29"/>
  <c r="AH849" i="29"/>
  <c r="X809" i="29"/>
  <c r="AM809" i="29"/>
  <c r="P861" i="29"/>
  <c r="X808" i="29"/>
  <c r="AM808" i="29"/>
  <c r="X807" i="29"/>
  <c r="AM807" i="29"/>
  <c r="X806" i="29"/>
  <c r="AM806" i="29"/>
  <c r="AH189" i="29"/>
  <c r="AH200" i="29"/>
  <c r="AF189" i="29"/>
  <c r="AF751" i="29"/>
  <c r="AD189" i="29"/>
  <c r="AD751" i="29"/>
  <c r="AK751" i="29"/>
  <c r="AM190" i="29"/>
  <c r="AM194" i="29"/>
  <c r="P19" i="70"/>
  <c r="Q19" i="70"/>
  <c r="AM191" i="29"/>
  <c r="AK31" i="29"/>
  <c r="AK36" i="29"/>
  <c r="AI853" i="29"/>
  <c r="AI60" i="29"/>
  <c r="AI61" i="29"/>
  <c r="AJ853" i="29"/>
  <c r="AJ60" i="29"/>
  <c r="AJ61" i="29"/>
  <c r="AM193" i="29"/>
  <c r="AM195" i="29"/>
  <c r="AJ200" i="29"/>
  <c r="AH853" i="29"/>
  <c r="AH60" i="29"/>
  <c r="AH61" i="29"/>
  <c r="AM176" i="29"/>
  <c r="AM196" i="29"/>
  <c r="AM192" i="29"/>
  <c r="X853" i="29"/>
  <c r="X60" i="29"/>
  <c r="X805" i="29"/>
  <c r="AM805" i="29"/>
  <c r="AM812" i="29"/>
  <c r="D530" i="29"/>
  <c r="AM189" i="29"/>
  <c r="AD753" i="29"/>
  <c r="AD758" i="29"/>
  <c r="AM751" i="29"/>
  <c r="AM753" i="29"/>
  <c r="AF758" i="29"/>
  <c r="AF760" i="29"/>
  <c r="AF52" i="29"/>
  <c r="AF753" i="29"/>
  <c r="AJ31" i="29"/>
  <c r="AJ36" i="29"/>
  <c r="X61" i="29"/>
  <c r="G700" i="29"/>
  <c r="D570" i="29"/>
  <c r="AD760" i="29"/>
  <c r="AD52" i="29"/>
  <c r="AM52" i="29"/>
  <c r="H40" i="1"/>
  <c r="E20" i="67"/>
  <c r="AM758" i="29"/>
  <c r="AM760" i="29"/>
  <c r="G432" i="29"/>
  <c r="L424" i="29"/>
  <c r="G429" i="29"/>
  <c r="G428" i="29"/>
  <c r="AG171" i="29"/>
  <c r="AG30" i="29"/>
  <c r="AA171" i="29"/>
  <c r="AC171" i="29"/>
  <c r="AE171" i="29"/>
  <c r="AC30" i="29"/>
  <c r="AE30" i="29"/>
  <c r="AA30" i="29"/>
  <c r="Y171" i="29"/>
  <c r="Y30" i="29"/>
  <c r="B87" i="29"/>
  <c r="B86" i="29"/>
  <c r="B84" i="29"/>
  <c r="AM30" i="29"/>
  <c r="H22" i="1"/>
  <c r="E4" i="67"/>
  <c r="B82" i="29"/>
  <c r="K37" i="53"/>
  <c r="N2" i="29"/>
  <c r="R2" i="29"/>
  <c r="Q2" i="29"/>
  <c r="O2" i="29"/>
  <c r="P2" i="29"/>
  <c r="G624" i="29"/>
  <c r="D518" i="29"/>
  <c r="D523" i="29"/>
  <c r="D537" i="29"/>
  <c r="H636" i="29"/>
  <c r="H638" i="29"/>
  <c r="H635" i="29"/>
  <c r="H637" i="29"/>
  <c r="H634" i="29"/>
  <c r="H639" i="29"/>
  <c r="H633" i="29"/>
  <c r="I633" i="29"/>
  <c r="J633" i="29"/>
  <c r="L633" i="29"/>
  <c r="K633" i="29"/>
  <c r="I636" i="29"/>
  <c r="L637" i="29"/>
  <c r="K635" i="29"/>
  <c r="I639" i="29"/>
  <c r="K639" i="29"/>
  <c r="L638" i="29"/>
  <c r="I637" i="29"/>
  <c r="K638" i="29"/>
  <c r="L636" i="29"/>
  <c r="J638" i="29"/>
  <c r="L639" i="29"/>
  <c r="J639" i="29"/>
  <c r="K634" i="29"/>
  <c r="J634" i="29"/>
  <c r="K637" i="29"/>
  <c r="I638" i="29"/>
  <c r="J636" i="29"/>
  <c r="L634" i="29"/>
  <c r="I634" i="29"/>
  <c r="K636" i="29"/>
  <c r="J637" i="29"/>
  <c r="G636" i="29"/>
  <c r="L623" i="29"/>
  <c r="J635" i="29"/>
  <c r="G622" i="29"/>
  <c r="G635" i="29"/>
  <c r="G638" i="29"/>
  <c r="G623" i="29"/>
  <c r="G637" i="29"/>
  <c r="G634" i="29"/>
  <c r="G632" i="29"/>
  <c r="G625" i="29"/>
  <c r="I635" i="29"/>
  <c r="AM617" i="29"/>
  <c r="AM623" i="29"/>
  <c r="AM628" i="29"/>
  <c r="G633" i="29"/>
  <c r="AL635" i="29"/>
  <c r="X635" i="29"/>
  <c r="X44" i="29"/>
  <c r="AH635" i="29"/>
  <c r="AH44" i="29"/>
  <c r="AM621" i="29"/>
  <c r="AM629" i="29"/>
  <c r="AM630" i="29"/>
  <c r="AM620" i="29"/>
  <c r="AM616" i="29"/>
  <c r="AM631" i="29"/>
  <c r="X98" i="29"/>
  <c r="X103" i="29"/>
  <c r="G98" i="29"/>
  <c r="X28" i="29"/>
  <c r="G103" i="29"/>
  <c r="X29" i="29"/>
  <c r="X36" i="29"/>
  <c r="B24" i="50"/>
  <c r="L635" i="29"/>
  <c r="X656" i="29"/>
  <c r="X45" i="29"/>
  <c r="AB34" i="29"/>
  <c r="Z34" i="29"/>
  <c r="AH34" i="29"/>
  <c r="AE383" i="29"/>
  <c r="AC383" i="29"/>
  <c r="Y383" i="29"/>
  <c r="AD34" i="29"/>
  <c r="AG383" i="29"/>
  <c r="AH656" i="29"/>
  <c r="AH45" i="29"/>
  <c r="AF34" i="29"/>
  <c r="AA383" i="29"/>
  <c r="G483" i="29"/>
  <c r="J25" i="50"/>
  <c r="J24" i="50"/>
  <c r="J31" i="50"/>
  <c r="J30" i="50"/>
  <c r="J32" i="50"/>
  <c r="J28" i="50"/>
  <c r="J27" i="50"/>
  <c r="J26" i="50"/>
  <c r="J29" i="50"/>
  <c r="J15" i="50"/>
  <c r="J10" i="50"/>
  <c r="AM200" i="29"/>
  <c r="AM34" i="29"/>
  <c r="H26" i="1"/>
  <c r="E7" i="67"/>
  <c r="AG10" i="50"/>
  <c r="AK10" i="50"/>
  <c r="AG15" i="50"/>
  <c r="AK15" i="50"/>
  <c r="AM185" i="29"/>
  <c r="AH31" i="29"/>
  <c r="AF200" i="29"/>
  <c r="AF31" i="29"/>
  <c r="AM182" i="29"/>
  <c r="AM181" i="29"/>
  <c r="AM183" i="29"/>
  <c r="AM180" i="29"/>
  <c r="Z200" i="29"/>
  <c r="Z31" i="29"/>
  <c r="AM184" i="29"/>
  <c r="AD200" i="29"/>
  <c r="AM179" i="29"/>
  <c r="AM177" i="29"/>
  <c r="AM178" i="29"/>
  <c r="AB200" i="29"/>
  <c r="D556" i="29"/>
  <c r="D551" i="29"/>
  <c r="D560" i="29"/>
  <c r="D563" i="29"/>
  <c r="AB31" i="29"/>
  <c r="AD31" i="29"/>
  <c r="J21" i="50"/>
  <c r="AM31" i="29"/>
  <c r="H23" i="1"/>
  <c r="E5" i="67"/>
  <c r="J22" i="50"/>
  <c r="L17" i="50"/>
  <c r="L19" i="50"/>
  <c r="M11" i="50"/>
  <c r="M19" i="50"/>
  <c r="M14" i="50"/>
  <c r="L20" i="50"/>
  <c r="M9" i="50"/>
  <c r="L9" i="50"/>
  <c r="L13" i="50"/>
  <c r="M17" i="50"/>
  <c r="M20" i="50"/>
  <c r="L16" i="50"/>
  <c r="M16" i="50"/>
  <c r="M12" i="50"/>
  <c r="M18" i="50"/>
  <c r="M15" i="50"/>
  <c r="L10" i="50"/>
  <c r="L15" i="50"/>
  <c r="L18" i="50"/>
  <c r="L11" i="50"/>
  <c r="L14" i="50"/>
  <c r="M10" i="50"/>
  <c r="L12" i="50"/>
  <c r="M13" i="50"/>
  <c r="K38" i="53"/>
  <c r="N12" i="50"/>
  <c r="AH12" i="50"/>
  <c r="N11" i="50"/>
  <c r="AH11" i="50"/>
  <c r="N19" i="50"/>
  <c r="AH19" i="50"/>
  <c r="N20" i="50"/>
  <c r="AH20" i="50"/>
  <c r="AJ20" i="50"/>
  <c r="N15" i="50"/>
  <c r="AH15" i="50"/>
  <c r="AJ15" i="50"/>
  <c r="N9" i="50"/>
  <c r="AH9" i="50"/>
  <c r="N10" i="50"/>
  <c r="AH10" i="50"/>
  <c r="AJ10" i="50"/>
  <c r="N13" i="50"/>
  <c r="AH13" i="50"/>
  <c r="N14" i="50"/>
  <c r="AH14" i="50"/>
  <c r="N16" i="50"/>
  <c r="AH16" i="50"/>
  <c r="N18" i="50"/>
  <c r="AH18" i="50"/>
  <c r="N17" i="50"/>
  <c r="AH17" i="50"/>
  <c r="H624" i="29"/>
  <c r="H623" i="29"/>
  <c r="J623" i="29"/>
  <c r="K623" i="29"/>
  <c r="I623" i="29"/>
  <c r="D534" i="29"/>
  <c r="M758" i="29"/>
  <c r="J19" i="50"/>
  <c r="J17" i="50"/>
  <c r="J18" i="50"/>
  <c r="J9" i="50"/>
  <c r="D567" i="29"/>
  <c r="J14" i="50"/>
  <c r="AG14" i="50"/>
  <c r="J11" i="50"/>
  <c r="J16" i="50"/>
  <c r="AG16" i="50"/>
  <c r="AG19" i="50"/>
  <c r="AK19" i="50"/>
  <c r="AG17" i="50"/>
  <c r="AG18" i="50"/>
  <c r="AG11" i="50"/>
  <c r="AK11" i="50"/>
  <c r="AJ19" i="50"/>
  <c r="AK17" i="50"/>
  <c r="AJ17" i="50"/>
  <c r="AK18" i="50"/>
  <c r="AJ18" i="50"/>
  <c r="AK14" i="50"/>
  <c r="AJ14" i="50"/>
  <c r="AJ16" i="50"/>
  <c r="AK16" i="50"/>
  <c r="AG9" i="50"/>
  <c r="J13" i="50"/>
  <c r="AG13" i="50"/>
  <c r="AJ11" i="50"/>
  <c r="J12" i="50"/>
  <c r="AG12" i="50"/>
  <c r="AJ9" i="50"/>
  <c r="AK9" i="50"/>
  <c r="AK13" i="50"/>
  <c r="AJ13" i="50"/>
  <c r="AJ12" i="50"/>
  <c r="AK12" i="50"/>
  <c r="T20" i="50"/>
  <c r="R22" i="50"/>
  <c r="S22" i="50"/>
  <c r="S21" i="50"/>
  <c r="S20" i="50"/>
  <c r="T22" i="50"/>
  <c r="R21" i="50"/>
  <c r="T21" i="50"/>
  <c r="R20" i="50"/>
  <c r="U20" i="50"/>
  <c r="U21" i="50"/>
  <c r="AU21" i="50"/>
  <c r="U22" i="50"/>
  <c r="AU22" i="50"/>
  <c r="V21" i="50"/>
  <c r="V22" i="50"/>
  <c r="AF428" i="29"/>
  <c r="AF429" i="29"/>
  <c r="AF432" i="29"/>
  <c r="AF427" i="29"/>
  <c r="AM503" i="29"/>
  <c r="AG429" i="29"/>
  <c r="AG427" i="29"/>
  <c r="AG428" i="29"/>
  <c r="AG432" i="29"/>
  <c r="L484" i="29"/>
  <c r="R8" i="29"/>
  <c r="R3" i="29"/>
  <c r="L624" i="29"/>
  <c r="L632" i="29"/>
  <c r="L625" i="29"/>
  <c r="L670" i="29"/>
  <c r="L428" i="29"/>
  <c r="L429" i="29"/>
  <c r="L432" i="29"/>
  <c r="L592" i="29"/>
  <c r="L483" i="29"/>
  <c r="AE427" i="29"/>
  <c r="AE432" i="29"/>
  <c r="AE429" i="29"/>
  <c r="AE428" i="29"/>
  <c r="L845" i="29"/>
  <c r="K484" i="29"/>
  <c r="AM455" i="29"/>
  <c r="AM464" i="29"/>
  <c r="AM504" i="29"/>
  <c r="AM467" i="29"/>
  <c r="AM468" i="29"/>
  <c r="AM457" i="29"/>
  <c r="AM505" i="29"/>
  <c r="Q8" i="29"/>
  <c r="L427" i="29"/>
  <c r="L622" i="29"/>
  <c r="L700" i="29"/>
  <c r="K632" i="29"/>
  <c r="K624" i="29"/>
  <c r="K625" i="29"/>
  <c r="L98" i="29"/>
  <c r="P8" i="29"/>
  <c r="P3" i="29"/>
  <c r="O13" i="29"/>
  <c r="Q3" i="29"/>
  <c r="L103" i="29"/>
  <c r="K429" i="29"/>
  <c r="K428" i="29"/>
  <c r="K432" i="29"/>
  <c r="AC427" i="29"/>
  <c r="AC428" i="29"/>
  <c r="AC429" i="29"/>
  <c r="AC432" i="29"/>
  <c r="K427" i="29"/>
  <c r="K622" i="29"/>
  <c r="K700" i="29"/>
  <c r="K592" i="29"/>
  <c r="J632" i="29"/>
  <c r="J625" i="29"/>
  <c r="J624" i="29"/>
  <c r="K483" i="29"/>
  <c r="K845" i="29"/>
  <c r="D536" i="29"/>
  <c r="K98" i="29"/>
  <c r="J428" i="29"/>
  <c r="J429" i="29"/>
  <c r="J432" i="29"/>
  <c r="AA427" i="29"/>
  <c r="AA432" i="29"/>
  <c r="AA429" i="29"/>
  <c r="AA428" i="29"/>
  <c r="J427" i="29"/>
  <c r="J484" i="29"/>
  <c r="J622" i="29"/>
  <c r="J700" i="29"/>
  <c r="D569" i="29"/>
  <c r="T861" i="29"/>
  <c r="K103" i="29"/>
  <c r="J592" i="29"/>
  <c r="I625" i="29"/>
  <c r="I632" i="29"/>
  <c r="S861" i="29"/>
  <c r="D540" i="29"/>
  <c r="D541" i="29"/>
  <c r="D531" i="29"/>
  <c r="I428" i="29"/>
  <c r="I429" i="29"/>
  <c r="I432" i="29"/>
  <c r="J845" i="29"/>
  <c r="D528" i="29"/>
  <c r="J98" i="29"/>
  <c r="D535" i="29"/>
  <c r="J483" i="29"/>
  <c r="D529" i="29"/>
  <c r="D538" i="29"/>
  <c r="D532" i="29"/>
  <c r="D539" i="29"/>
  <c r="I845" i="29"/>
  <c r="I484" i="29"/>
  <c r="I700" i="29"/>
  <c r="I494" i="29"/>
  <c r="I495" i="29"/>
  <c r="D571" i="29"/>
  <c r="J103" i="29"/>
  <c r="D574" i="29"/>
  <c r="D565" i="29"/>
  <c r="I624" i="29"/>
  <c r="D568" i="29"/>
  <c r="D561" i="29"/>
  <c r="I622" i="29"/>
  <c r="I496" i="29"/>
  <c r="D562" i="29"/>
  <c r="I592" i="29"/>
  <c r="D573" i="29"/>
  <c r="D564" i="29"/>
  <c r="D572" i="29"/>
  <c r="I427" i="29"/>
  <c r="I483" i="29"/>
  <c r="I98" i="29"/>
  <c r="R861" i="29"/>
  <c r="I103" i="29"/>
  <c r="Y432" i="29"/>
  <c r="Y428" i="29"/>
  <c r="Y429" i="29"/>
  <c r="Z428" i="29"/>
  <c r="AM428" i="29"/>
  <c r="Z432" i="29"/>
  <c r="AM432" i="29"/>
  <c r="Z429" i="29"/>
  <c r="AM429" i="29"/>
  <c r="Z427" i="29"/>
  <c r="AM427" i="29"/>
  <c r="AM413" i="29"/>
  <c r="AM417" i="29"/>
  <c r="AM493" i="29"/>
  <c r="AM412" i="29"/>
  <c r="AM414" i="29"/>
  <c r="E19" i="29"/>
  <c r="AM491" i="29"/>
  <c r="AM492" i="29"/>
  <c r="AM852" i="29"/>
  <c r="K763" i="29"/>
  <c r="H761" i="29"/>
  <c r="H763" i="29"/>
  <c r="J763" i="29"/>
  <c r="O779" i="29"/>
  <c r="K761" i="29"/>
  <c r="Q779" i="29"/>
  <c r="P779" i="29"/>
  <c r="J761" i="29"/>
  <c r="N779" i="29"/>
  <c r="L763" i="29"/>
  <c r="I763" i="29"/>
  <c r="L761" i="29"/>
  <c r="I761" i="29"/>
  <c r="M779" i="29"/>
  <c r="H625" i="29"/>
  <c r="H632" i="29"/>
  <c r="H622" i="29"/>
  <c r="H700" i="29"/>
  <c r="D526" i="29"/>
  <c r="D525" i="29"/>
  <c r="H427" i="29"/>
  <c r="D522" i="29"/>
  <c r="D515" i="29"/>
  <c r="H429" i="29"/>
  <c r="H432" i="29"/>
  <c r="D514" i="29"/>
  <c r="D524" i="29"/>
  <c r="D513" i="29"/>
  <c r="H592" i="29"/>
  <c r="D516" i="29"/>
  <c r="D520" i="29"/>
  <c r="H428" i="29"/>
  <c r="D521" i="29"/>
  <c r="D517" i="29"/>
  <c r="D519" i="29"/>
  <c r="D533" i="29"/>
  <c r="H98" i="29"/>
  <c r="D554" i="29"/>
  <c r="H483" i="29"/>
  <c r="H484" i="29"/>
  <c r="Q861" i="29"/>
  <c r="D553" i="29"/>
  <c r="H845" i="29"/>
  <c r="D548" i="29"/>
  <c r="D555" i="29"/>
  <c r="H494" i="29"/>
  <c r="H496" i="29"/>
  <c r="D546" i="29"/>
  <c r="D547" i="29"/>
  <c r="D552" i="29"/>
  <c r="D550" i="29"/>
  <c r="D549" i="29"/>
  <c r="D557" i="29"/>
  <c r="D558" i="29"/>
  <c r="D559" i="29"/>
  <c r="D566" i="29"/>
  <c r="H495" i="29"/>
  <c r="H103" i="29"/>
  <c r="F68" i="29"/>
  <c r="AH36" i="29"/>
  <c r="D576" i="29"/>
  <c r="E32" i="67"/>
  <c r="AA686" i="29"/>
  <c r="AA83" i="29"/>
  <c r="AA451" i="29"/>
  <c r="AA521" i="29"/>
  <c r="AA409" i="29"/>
  <c r="AA640" i="29"/>
  <c r="AA514" i="29"/>
  <c r="AA644" i="29"/>
  <c r="AA420" i="29"/>
  <c r="AA723" i="29"/>
  <c r="AA519" i="29"/>
  <c r="AA450" i="29"/>
  <c r="AC445" i="29"/>
  <c r="AA86" i="29"/>
  <c r="AA85" i="29"/>
  <c r="AA81" i="29"/>
  <c r="AA445" i="29"/>
  <c r="AA522" i="29"/>
  <c r="AA516" i="29"/>
  <c r="AA604" i="29"/>
  <c r="AA517" i="29"/>
  <c r="AA454" i="29"/>
  <c r="AA82" i="29"/>
  <c r="AA442" i="29"/>
  <c r="AA595" i="29"/>
  <c r="AA596" i="29"/>
  <c r="AA642" i="29"/>
  <c r="AA591" i="29"/>
  <c r="AA599" i="29"/>
  <c r="AA533" i="29"/>
  <c r="AA601" i="29"/>
  <c r="AA84" i="29"/>
  <c r="AA513" i="29"/>
  <c r="AA418" i="29"/>
  <c r="AA520" i="29"/>
  <c r="AA643" i="29"/>
  <c r="AA525" i="29"/>
  <c r="AA444" i="29"/>
  <c r="AA87" i="29"/>
  <c r="AA526" i="29"/>
  <c r="AA419" i="29"/>
  <c r="AA453" i="29"/>
  <c r="AA443" i="29"/>
  <c r="AA515" i="29"/>
  <c r="AA465" i="29"/>
  <c r="AA452" i="29"/>
  <c r="AA603" i="29"/>
  <c r="AA524" i="29"/>
  <c r="AA641" i="29"/>
  <c r="AA650" i="29"/>
  <c r="AA651" i="29"/>
  <c r="AA614" i="29"/>
  <c r="AA552" i="29"/>
  <c r="AA550" i="29"/>
  <c r="AC481" i="29"/>
  <c r="AA481" i="29"/>
  <c r="AA501" i="29"/>
  <c r="AA435" i="29"/>
  <c r="AA434" i="29"/>
  <c r="AA433" i="29"/>
  <c r="AA424" i="29"/>
  <c r="AA96" i="29"/>
  <c r="AA93" i="29"/>
  <c r="AA94" i="29"/>
  <c r="AA97" i="29"/>
  <c r="AA95" i="29"/>
  <c r="AA91" i="29"/>
  <c r="AA88" i="29"/>
  <c r="AA92" i="29"/>
  <c r="AA624" i="29"/>
  <c r="AA488" i="29"/>
  <c r="AA729" i="29"/>
  <c r="AA733" i="29"/>
  <c r="AA50" i="29"/>
  <c r="AA479" i="29"/>
  <c r="AA486" i="29"/>
  <c r="AA649" i="29"/>
  <c r="AA619" i="29"/>
  <c r="AA554" i="29"/>
  <c r="AA548" i="29"/>
  <c r="AA652" i="29"/>
  <c r="AA490" i="29"/>
  <c r="AA487" i="29"/>
  <c r="AA559" i="29"/>
  <c r="AA618" i="29"/>
  <c r="AA557" i="29"/>
  <c r="AA480" i="29"/>
  <c r="AA566" i="29"/>
  <c r="AA478" i="29"/>
  <c r="AA489" i="29"/>
  <c r="AA627" i="29"/>
  <c r="AA690" i="29"/>
  <c r="AA692" i="29"/>
  <c r="AA47" i="29"/>
  <c r="AA653" i="29"/>
  <c r="AA553" i="29"/>
  <c r="AA558" i="29"/>
  <c r="AA546" i="29"/>
  <c r="AA549" i="29"/>
  <c r="AA626" i="29"/>
  <c r="AA547" i="29"/>
  <c r="AA622" i="29"/>
  <c r="AA555" i="29"/>
  <c r="E31" i="67"/>
  <c r="E34" i="67"/>
  <c r="E37" i="67"/>
  <c r="AA821" i="29"/>
  <c r="AA831" i="29"/>
  <c r="AA825" i="29"/>
  <c r="AA835" i="29"/>
  <c r="AA842" i="29"/>
  <c r="AA19" i="29"/>
  <c r="AA581" i="29"/>
  <c r="AA585" i="29"/>
  <c r="AA587" i="29"/>
  <c r="AA43" i="29"/>
  <c r="AA697" i="29"/>
  <c r="AA700" i="29"/>
  <c r="AA48" i="29"/>
  <c r="Z732" i="29"/>
  <c r="AA823" i="29"/>
  <c r="AA833" i="29"/>
  <c r="AA820" i="29"/>
  <c r="AA830" i="29"/>
  <c r="AA824" i="29"/>
  <c r="AA834" i="29"/>
  <c r="AA822" i="29"/>
  <c r="AA832" i="29"/>
  <c r="AA819" i="29"/>
  <c r="AA829" i="29"/>
  <c r="E38" i="67"/>
  <c r="S11" i="3"/>
  <c r="X3" i="67"/>
  <c r="AG842" i="29"/>
  <c r="E35" i="67"/>
  <c r="AH63" i="3"/>
  <c r="V3" i="67"/>
  <c r="Z591" i="29"/>
  <c r="Z595" i="29"/>
  <c r="Z596" i="29"/>
  <c r="AC446" i="29"/>
  <c r="AC461" i="29"/>
  <c r="AD446" i="29"/>
  <c r="AC447" i="29"/>
  <c r="AG473" i="29"/>
  <c r="AF595" i="29"/>
  <c r="AC444" i="29"/>
  <c r="Z458" i="29"/>
  <c r="AD591" i="29"/>
  <c r="AC87" i="29"/>
  <c r="AC541" i="29"/>
  <c r="Z81" i="29"/>
  <c r="AD514" i="29"/>
  <c r="AF472" i="29"/>
  <c r="Z641" i="29"/>
  <c r="AC644" i="29"/>
  <c r="Z87" i="29"/>
  <c r="AC604" i="29"/>
  <c r="Z603" i="29"/>
  <c r="Z516" i="29"/>
  <c r="AG723" i="29"/>
  <c r="AC596" i="29"/>
  <c r="AF686" i="29"/>
  <c r="AC419" i="29"/>
  <c r="AC723" i="29"/>
  <c r="AC81" i="29"/>
  <c r="AG83" i="29"/>
  <c r="AG82" i="29"/>
  <c r="AG453" i="29"/>
  <c r="AG452" i="29"/>
  <c r="AG601" i="29"/>
  <c r="AG640" i="29"/>
  <c r="AF644" i="29"/>
  <c r="AF640" i="29"/>
  <c r="AF641" i="29"/>
  <c r="AC465" i="29"/>
  <c r="Z643" i="29"/>
  <c r="Z533" i="29"/>
  <c r="AC418" i="29"/>
  <c r="AC513" i="29"/>
  <c r="Z465" i="29"/>
  <c r="Z601" i="29"/>
  <c r="AD452" i="29"/>
  <c r="AD539" i="29"/>
  <c r="Z723" i="29"/>
  <c r="Z515" i="29"/>
  <c r="AC535" i="29"/>
  <c r="AD533" i="29"/>
  <c r="AD451" i="29"/>
  <c r="Z444" i="29"/>
  <c r="AC540" i="29"/>
  <c r="AC642" i="29"/>
  <c r="AF83" i="29"/>
  <c r="AD528" i="29"/>
  <c r="Z521" i="29"/>
  <c r="AD643" i="29"/>
  <c r="Z82" i="29"/>
  <c r="AD723" i="29"/>
  <c r="AF454" i="29"/>
  <c r="Z599" i="29"/>
  <c r="Z418" i="29"/>
  <c r="AC595" i="29"/>
  <c r="AD535" i="29"/>
  <c r="AC409" i="29"/>
  <c r="AD86" i="29"/>
  <c r="AF409" i="29"/>
  <c r="AD642" i="29"/>
  <c r="AF450" i="29"/>
  <c r="AF596" i="29"/>
  <c r="AD531" i="29"/>
  <c r="AC443" i="29"/>
  <c r="AC538" i="29"/>
  <c r="AG86" i="29"/>
  <c r="AC519" i="29"/>
  <c r="AG85" i="29"/>
  <c r="AD442" i="29"/>
  <c r="Z450" i="29"/>
  <c r="AD595" i="29"/>
  <c r="Z420" i="29"/>
  <c r="AC453" i="29"/>
  <c r="AC529" i="29"/>
  <c r="AD640" i="29"/>
  <c r="AC442" i="29"/>
  <c r="AG442" i="29"/>
  <c r="AG596" i="29"/>
  <c r="AG643" i="29"/>
  <c r="AG454" i="29"/>
  <c r="AG599" i="29"/>
  <c r="AF642" i="29"/>
  <c r="AC460" i="29"/>
  <c r="AC641" i="29"/>
  <c r="AF514" i="29"/>
  <c r="Z84" i="29"/>
  <c r="AF443" i="29"/>
  <c r="AD540" i="29"/>
  <c r="AC420" i="29"/>
  <c r="AC85" i="29"/>
  <c r="AF420" i="29"/>
  <c r="Z419" i="29"/>
  <c r="AD644" i="29"/>
  <c r="AC601" i="29"/>
  <c r="AF452" i="29"/>
  <c r="AF591" i="29"/>
  <c r="AD443" i="29"/>
  <c r="AD450" i="29"/>
  <c r="AC514" i="29"/>
  <c r="Z443" i="29"/>
  <c r="Z85" i="29"/>
  <c r="Z442" i="29"/>
  <c r="AF513" i="29"/>
  <c r="AF723" i="29"/>
  <c r="AD420" i="29"/>
  <c r="AG603" i="29"/>
  <c r="AF463" i="29"/>
  <c r="Z451" i="29"/>
  <c r="AF604" i="29"/>
  <c r="AD84" i="29"/>
  <c r="Z83" i="29"/>
  <c r="AC643" i="29"/>
  <c r="AC451" i="29"/>
  <c r="AC454" i="29"/>
  <c r="AD596" i="29"/>
  <c r="AD453" i="29"/>
  <c r="Z642" i="29"/>
  <c r="AF82" i="29"/>
  <c r="AD641" i="29"/>
  <c r="AF453" i="29"/>
  <c r="AD409" i="29"/>
  <c r="AD83" i="29"/>
  <c r="AD520" i="29"/>
  <c r="AD532" i="29"/>
  <c r="AC528" i="29"/>
  <c r="AD81" i="29"/>
  <c r="AG642" i="29"/>
  <c r="AG644" i="29"/>
  <c r="AG595" i="29"/>
  <c r="AG451" i="29"/>
  <c r="AG604" i="29"/>
  <c r="AD461" i="29"/>
  <c r="AG448" i="29"/>
  <c r="AG462" i="29"/>
  <c r="Z452" i="29"/>
  <c r="AF418" i="29"/>
  <c r="AC531" i="29"/>
  <c r="AG420" i="29"/>
  <c r="AC520" i="29"/>
  <c r="Z454" i="29"/>
  <c r="Z524" i="29"/>
  <c r="AF601" i="29"/>
  <c r="Z604" i="29"/>
  <c r="AG84" i="29"/>
  <c r="Z522" i="29"/>
  <c r="AG418" i="29"/>
  <c r="Z459" i="29"/>
  <c r="AC599" i="29"/>
  <c r="AC603" i="29"/>
  <c r="AG409" i="29"/>
  <c r="Z514" i="29"/>
  <c r="AC686" i="29"/>
  <c r="AF451" i="29"/>
  <c r="Z409" i="29"/>
  <c r="AF599" i="29"/>
  <c r="AC86" i="29"/>
  <c r="AF84" i="29"/>
  <c r="AD87" i="29"/>
  <c r="Z513" i="29"/>
  <c r="AC539" i="29"/>
  <c r="AF86" i="29"/>
  <c r="AD603" i="29"/>
  <c r="Z640" i="29"/>
  <c r="AG88" i="29"/>
  <c r="AC602" i="29"/>
  <c r="AC533" i="29"/>
  <c r="AC452" i="29"/>
  <c r="AF85" i="29"/>
  <c r="AC82" i="29"/>
  <c r="AC83" i="29"/>
  <c r="AF419" i="29"/>
  <c r="AD454" i="29"/>
  <c r="AF603" i="29"/>
  <c r="Z453" i="29"/>
  <c r="AD418" i="29"/>
  <c r="AD538" i="29"/>
  <c r="AF87" i="29"/>
  <c r="AG471" i="29"/>
  <c r="Z525" i="29"/>
  <c r="AD82" i="29"/>
  <c r="AG443" i="29"/>
  <c r="AG641" i="29"/>
  <c r="AG591" i="29"/>
  <c r="AG686" i="29"/>
  <c r="AG450" i="29"/>
  <c r="AF643" i="29"/>
  <c r="AG449" i="29"/>
  <c r="AG81" i="29"/>
  <c r="AF442" i="29"/>
  <c r="AD85" i="29"/>
  <c r="AG419" i="29"/>
  <c r="AC84" i="29"/>
  <c r="Z686" i="29"/>
  <c r="AG87" i="29"/>
  <c r="AC640" i="29"/>
  <c r="Z86" i="29"/>
  <c r="AD541" i="29"/>
  <c r="Z644" i="29"/>
  <c r="AD599" i="29"/>
  <c r="AD513" i="29"/>
  <c r="AD604" i="29"/>
  <c r="AD419" i="29"/>
  <c r="AC591" i="29"/>
  <c r="AC450" i="29"/>
  <c r="AD601" i="29"/>
  <c r="AD686" i="29"/>
  <c r="AF81" i="29"/>
  <c r="Z526" i="29"/>
  <c r="Z520" i="29"/>
  <c r="AC532" i="29"/>
  <c r="Z618" i="29"/>
  <c r="Z614" i="29"/>
  <c r="AD482" i="29"/>
  <c r="AC483" i="29"/>
  <c r="AC497" i="29"/>
  <c r="AC482" i="29"/>
  <c r="Z650" i="29"/>
  <c r="AG651" i="29"/>
  <c r="AF651" i="29"/>
  <c r="AD651" i="29"/>
  <c r="AC651" i="29"/>
  <c r="Z651" i="29"/>
  <c r="Z424" i="29"/>
  <c r="Z690" i="29"/>
  <c r="Z692" i="29"/>
  <c r="Z47" i="29"/>
  <c r="Z823" i="29"/>
  <c r="Z833" i="29"/>
  <c r="Z824" i="29"/>
  <c r="Z834" i="29"/>
  <c r="Z820" i="29"/>
  <c r="Z830" i="29"/>
  <c r="Z821" i="29"/>
  <c r="Z831" i="29"/>
  <c r="Z697" i="29"/>
  <c r="Z825" i="29"/>
  <c r="Z835" i="29"/>
  <c r="Z822" i="29"/>
  <c r="Z832" i="29"/>
  <c r="Z581" i="29"/>
  <c r="Z585" i="29"/>
  <c r="Z587" i="29"/>
  <c r="Z43" i="29"/>
  <c r="Z819" i="29"/>
  <c r="Z829" i="29"/>
  <c r="Z653" i="29"/>
  <c r="Z652" i="29"/>
  <c r="Z649" i="29"/>
  <c r="AA837" i="29"/>
  <c r="AA59" i="29"/>
  <c r="AA437" i="29"/>
  <c r="AA41" i="29"/>
  <c r="AA98" i="29"/>
  <c r="AA103" i="29"/>
  <c r="AA29" i="29"/>
  <c r="AA656" i="29"/>
  <c r="AA45" i="29"/>
  <c r="AA576" i="29"/>
  <c r="AA42" i="29"/>
  <c r="AG94" i="29"/>
  <c r="AG92" i="29"/>
  <c r="AG97" i="29"/>
  <c r="AG91" i="29"/>
  <c r="AG95" i="29"/>
  <c r="AG93" i="29"/>
  <c r="AG96" i="29"/>
  <c r="AG489" i="29"/>
  <c r="AG478" i="29"/>
  <c r="AG485" i="29"/>
  <c r="AM485" i="29"/>
  <c r="AM449" i="29"/>
  <c r="AG433" i="29"/>
  <c r="AG479" i="29"/>
  <c r="AG424" i="29"/>
  <c r="AG490" i="29"/>
  <c r="AG498" i="29"/>
  <c r="AM498" i="29"/>
  <c r="AM462" i="29"/>
  <c r="AG507" i="29"/>
  <c r="AM507" i="29"/>
  <c r="AM471" i="29"/>
  <c r="AG434" i="29"/>
  <c r="AG435" i="29"/>
  <c r="AG484" i="29"/>
  <c r="AM484" i="29"/>
  <c r="AM448" i="29"/>
  <c r="AG488" i="29"/>
  <c r="AG486" i="29"/>
  <c r="AM473" i="29"/>
  <c r="AG509" i="29"/>
  <c r="AM509" i="29"/>
  <c r="AG487" i="29"/>
  <c r="AG622" i="29"/>
  <c r="AG653" i="29"/>
  <c r="AG627" i="29"/>
  <c r="AG690" i="29"/>
  <c r="AG692" i="29"/>
  <c r="AG47" i="29"/>
  <c r="AG624" i="29"/>
  <c r="AG626" i="29"/>
  <c r="AG619" i="29"/>
  <c r="AG649" i="29"/>
  <c r="AG729" i="29"/>
  <c r="AG733" i="29"/>
  <c r="AG50" i="29"/>
  <c r="AG618" i="29"/>
  <c r="AG614" i="29"/>
  <c r="AG652" i="29"/>
  <c r="AG650" i="29"/>
  <c r="AF489" i="29"/>
  <c r="AF508" i="29"/>
  <c r="AF486" i="29"/>
  <c r="AF487" i="29"/>
  <c r="AF490" i="29"/>
  <c r="AF488" i="29"/>
  <c r="AF499" i="29"/>
  <c r="AF424" i="29"/>
  <c r="AF435" i="29"/>
  <c r="AF433" i="29"/>
  <c r="AF434" i="29"/>
  <c r="AF91" i="29"/>
  <c r="AF88" i="29"/>
  <c r="AF94" i="29"/>
  <c r="AF93" i="29"/>
  <c r="AF96" i="29"/>
  <c r="AF95" i="29"/>
  <c r="AF97" i="29"/>
  <c r="AF92" i="29"/>
  <c r="AF618" i="29"/>
  <c r="AF626" i="29"/>
  <c r="AF627" i="29"/>
  <c r="AF622" i="29"/>
  <c r="AF619" i="29"/>
  <c r="AF650" i="29"/>
  <c r="AF652" i="29"/>
  <c r="AF624" i="29"/>
  <c r="AF653" i="29"/>
  <c r="AF479" i="29"/>
  <c r="AF478" i="29"/>
  <c r="AF547" i="29"/>
  <c r="AF546" i="29"/>
  <c r="AF729" i="29"/>
  <c r="AF733" i="29"/>
  <c r="AF50" i="29"/>
  <c r="AF649" i="29"/>
  <c r="AF614" i="29"/>
  <c r="AF690" i="29"/>
  <c r="AF692" i="29"/>
  <c r="AF47" i="29"/>
  <c r="AC614" i="29"/>
  <c r="AC480" i="29"/>
  <c r="AC501" i="29"/>
  <c r="AC496" i="29"/>
  <c r="AM496" i="29"/>
  <c r="AM460" i="29"/>
  <c r="AC486" i="29"/>
  <c r="AC487" i="29"/>
  <c r="AC488" i="29"/>
  <c r="AC489" i="29"/>
  <c r="AC424" i="29"/>
  <c r="AC434" i="29"/>
  <c r="AC433" i="29"/>
  <c r="AC435" i="29"/>
  <c r="AC94" i="29"/>
  <c r="AC97" i="29"/>
  <c r="AC93" i="29"/>
  <c r="AC95" i="29"/>
  <c r="AC91" i="29"/>
  <c r="AC88" i="29"/>
  <c r="AC96" i="29"/>
  <c r="AC92" i="29"/>
  <c r="AC571" i="29"/>
  <c r="AC561" i="29"/>
  <c r="AC626" i="29"/>
  <c r="AC619" i="29"/>
  <c r="AC564" i="29"/>
  <c r="AC479" i="29"/>
  <c r="AC690" i="29"/>
  <c r="AC692" i="29"/>
  <c r="AC47" i="29"/>
  <c r="AC624" i="29"/>
  <c r="AC627" i="29"/>
  <c r="AC568" i="29"/>
  <c r="AC653" i="29"/>
  <c r="AC574" i="29"/>
  <c r="AC546" i="29"/>
  <c r="AC566" i="29"/>
  <c r="AC490" i="29"/>
  <c r="AC547" i="29"/>
  <c r="AC650" i="29"/>
  <c r="AC562" i="29"/>
  <c r="AM562" i="29"/>
  <c r="AM529" i="29"/>
  <c r="AC573" i="29"/>
  <c r="AC729" i="29"/>
  <c r="AC618" i="29"/>
  <c r="AC625" i="29"/>
  <c r="AC652" i="29"/>
  <c r="AC553" i="29"/>
  <c r="AC649" i="29"/>
  <c r="AC565" i="29"/>
  <c r="AC552" i="29"/>
  <c r="AC572" i="29"/>
  <c r="AC478" i="29"/>
  <c r="AC622" i="29"/>
  <c r="AD729" i="29"/>
  <c r="AD733" i="29"/>
  <c r="AD50" i="29"/>
  <c r="AD690" i="29"/>
  <c r="AD692" i="29"/>
  <c r="AD47" i="29"/>
  <c r="AD653" i="29"/>
  <c r="AD649" i="29"/>
  <c r="AD650" i="29"/>
  <c r="AD652" i="29"/>
  <c r="AD568" i="29"/>
  <c r="AD626" i="29"/>
  <c r="AD619" i="29"/>
  <c r="AD622" i="29"/>
  <c r="AD618" i="29"/>
  <c r="AD614" i="29"/>
  <c r="AD627" i="29"/>
  <c r="AD546" i="29"/>
  <c r="AD564" i="29"/>
  <c r="AD566" i="29"/>
  <c r="AD574" i="29"/>
  <c r="AD571" i="29"/>
  <c r="AD624" i="29"/>
  <c r="AD565" i="29"/>
  <c r="AD553" i="29"/>
  <c r="AD573" i="29"/>
  <c r="AD572" i="29"/>
  <c r="AD547" i="29"/>
  <c r="AD561" i="29"/>
  <c r="AD487" i="29"/>
  <c r="AD479" i="29"/>
  <c r="AD489" i="29"/>
  <c r="AD490" i="29"/>
  <c r="AD486" i="29"/>
  <c r="AD497" i="29"/>
  <c r="AM461" i="29"/>
  <c r="AD478" i="29"/>
  <c r="AD488" i="29"/>
  <c r="AD424" i="29"/>
  <c r="AD435" i="29"/>
  <c r="AD433" i="29"/>
  <c r="AD434" i="29"/>
  <c r="AD96" i="29"/>
  <c r="AD97" i="29"/>
  <c r="AD94" i="29"/>
  <c r="AD92" i="29"/>
  <c r="AD95" i="29"/>
  <c r="AD93" i="29"/>
  <c r="AD91" i="29"/>
  <c r="AD88" i="29"/>
  <c r="Z494" i="29"/>
  <c r="Z501" i="29"/>
  <c r="Z495" i="29"/>
  <c r="AM495" i="29"/>
  <c r="AM459" i="29"/>
  <c r="Z433" i="29"/>
  <c r="Z435" i="29"/>
  <c r="Z436" i="29"/>
  <c r="AM436" i="29"/>
  <c r="AM421" i="29"/>
  <c r="Z434" i="29"/>
  <c r="Z97" i="29"/>
  <c r="Z96" i="29"/>
  <c r="Z91" i="29"/>
  <c r="Z88" i="29"/>
  <c r="Z93" i="29"/>
  <c r="Z92" i="29"/>
  <c r="Z95" i="29"/>
  <c r="Z94" i="29"/>
  <c r="Z487" i="29"/>
  <c r="Z557" i="29"/>
  <c r="Z619" i="29"/>
  <c r="Z566" i="29"/>
  <c r="Z558" i="29"/>
  <c r="Z488" i="29"/>
  <c r="Z553" i="29"/>
  <c r="Z489" i="29"/>
  <c r="Z479" i="29"/>
  <c r="Z478" i="29"/>
  <c r="Z627" i="29"/>
  <c r="Z626" i="29"/>
  <c r="Z547" i="29"/>
  <c r="Z729" i="29"/>
  <c r="Z733" i="29"/>
  <c r="Z50" i="29"/>
  <c r="Z486" i="29"/>
  <c r="Z559" i="29"/>
  <c r="Z554" i="29"/>
  <c r="Z490" i="29"/>
  <c r="Z546" i="29"/>
  <c r="Z555" i="29"/>
  <c r="Z548" i="29"/>
  <c r="Z549" i="29"/>
  <c r="Z622" i="29"/>
  <c r="Z480" i="29"/>
  <c r="Z624" i="29"/>
  <c r="AI65" i="3"/>
  <c r="AG19" i="29"/>
  <c r="AG825" i="29"/>
  <c r="AG835" i="29"/>
  <c r="AG822" i="29"/>
  <c r="AG832" i="29"/>
  <c r="AG819" i="29"/>
  <c r="AG829" i="29"/>
  <c r="AG821" i="29"/>
  <c r="AG831" i="29"/>
  <c r="AG581" i="29"/>
  <c r="AG585" i="29"/>
  <c r="AG587" i="29"/>
  <c r="AG43" i="29"/>
  <c r="AG697" i="29"/>
  <c r="AG700" i="29"/>
  <c r="AG48" i="29"/>
  <c r="AG824" i="29"/>
  <c r="AG834" i="29"/>
  <c r="AG823" i="29"/>
  <c r="AG833" i="29"/>
  <c r="AG820" i="29"/>
  <c r="AG830" i="29"/>
  <c r="AF20" i="29"/>
  <c r="AF821" i="29"/>
  <c r="AF831" i="29"/>
  <c r="AF825" i="29"/>
  <c r="AF835" i="29"/>
  <c r="AF820" i="29"/>
  <c r="AF830" i="29"/>
  <c r="AF822" i="29"/>
  <c r="AF832" i="29"/>
  <c r="AF824" i="29"/>
  <c r="AF834" i="29"/>
  <c r="AF823" i="29"/>
  <c r="AF833" i="29"/>
  <c r="AF697" i="29"/>
  <c r="AF700" i="29"/>
  <c r="AF48" i="29"/>
  <c r="AF819" i="29"/>
  <c r="AF829" i="29"/>
  <c r="AF842" i="29"/>
  <c r="AF581" i="29"/>
  <c r="AF585" i="29"/>
  <c r="AF587" i="29"/>
  <c r="AF43" i="29"/>
  <c r="AC822" i="29"/>
  <c r="AC832" i="29"/>
  <c r="AC821" i="29"/>
  <c r="AC831" i="29"/>
  <c r="AC819" i="29"/>
  <c r="AC829" i="29"/>
  <c r="AC825" i="29"/>
  <c r="AC835" i="29"/>
  <c r="AC581" i="29"/>
  <c r="AC585" i="29"/>
  <c r="AC587" i="29"/>
  <c r="AC43" i="29"/>
  <c r="AC842" i="29"/>
  <c r="AC19" i="29"/>
  <c r="AC824" i="29"/>
  <c r="AC834" i="29"/>
  <c r="AC823" i="29"/>
  <c r="AC833" i="29"/>
  <c r="AC697" i="29"/>
  <c r="AC700" i="29"/>
  <c r="AC48" i="29"/>
  <c r="AC820" i="29"/>
  <c r="AC830" i="29"/>
  <c r="AA635" i="29"/>
  <c r="AA44" i="29"/>
  <c r="AD842" i="29"/>
  <c r="AD825" i="29"/>
  <c r="AD835" i="29"/>
  <c r="AD823" i="29"/>
  <c r="AD833" i="29"/>
  <c r="AD821" i="29"/>
  <c r="AD831" i="29"/>
  <c r="AD819" i="29"/>
  <c r="AD829" i="29"/>
  <c r="AD824" i="29"/>
  <c r="AD834" i="29"/>
  <c r="AD822" i="29"/>
  <c r="AD832" i="29"/>
  <c r="AD820" i="29"/>
  <c r="AD830" i="29"/>
  <c r="AD697" i="29"/>
  <c r="AD700" i="29"/>
  <c r="AD48" i="29"/>
  <c r="AD581" i="29"/>
  <c r="AD585" i="29"/>
  <c r="AD587" i="29"/>
  <c r="AD43" i="29"/>
  <c r="AD20" i="29"/>
  <c r="AI63" i="3"/>
  <c r="E33" i="67"/>
  <c r="AH62" i="3"/>
  <c r="U3" i="67"/>
  <c r="Z842" i="29"/>
  <c r="Z20" i="29"/>
  <c r="Z700" i="29"/>
  <c r="Z48" i="29"/>
  <c r="AA845" i="29"/>
  <c r="AA848" i="29"/>
  <c r="AA846" i="29"/>
  <c r="AA847" i="29"/>
  <c r="AA850" i="29"/>
  <c r="AA849" i="29"/>
  <c r="AA851" i="29"/>
  <c r="AB85" i="29"/>
  <c r="AB596" i="29"/>
  <c r="AB453" i="29"/>
  <c r="AB84" i="29"/>
  <c r="AB83" i="29"/>
  <c r="AB603" i="29"/>
  <c r="AB525" i="29"/>
  <c r="AB641" i="29"/>
  <c r="AB528" i="29"/>
  <c r="AB515" i="29"/>
  <c r="AB82" i="29"/>
  <c r="AB86" i="29"/>
  <c r="AB723" i="29"/>
  <c r="AB452" i="29"/>
  <c r="AB540" i="29"/>
  <c r="AB533" i="29"/>
  <c r="AB591" i="29"/>
  <c r="AB444" i="29"/>
  <c r="AB443" i="29"/>
  <c r="AB409" i="29"/>
  <c r="AB450" i="29"/>
  <c r="AB514" i="29"/>
  <c r="AB642" i="29"/>
  <c r="AB520" i="29"/>
  <c r="AB420" i="29"/>
  <c r="AB81" i="29"/>
  <c r="AB604" i="29"/>
  <c r="AB644" i="29"/>
  <c r="AB640" i="29"/>
  <c r="AB538" i="29"/>
  <c r="AB535" i="29"/>
  <c r="AB522" i="29"/>
  <c r="AB539" i="29"/>
  <c r="AB465" i="29"/>
  <c r="AB521" i="29"/>
  <c r="AB541" i="29"/>
  <c r="AB643" i="29"/>
  <c r="AB532" i="29"/>
  <c r="AB599" i="29"/>
  <c r="AB524" i="29"/>
  <c r="AB454" i="29"/>
  <c r="AB418" i="29"/>
  <c r="AB686" i="29"/>
  <c r="AB531" i="29"/>
  <c r="AB451" i="29"/>
  <c r="AB526" i="29"/>
  <c r="AB87" i="29"/>
  <c r="AI82" i="29"/>
  <c r="AB419" i="29"/>
  <c r="AB601" i="29"/>
  <c r="AB513" i="29"/>
  <c r="AB442" i="29"/>
  <c r="AB595" i="29"/>
  <c r="AB516" i="29"/>
  <c r="AM497" i="29"/>
  <c r="AB651" i="29"/>
  <c r="AB729" i="29"/>
  <c r="Z850" i="29"/>
  <c r="Z846" i="29"/>
  <c r="Z851" i="29"/>
  <c r="Z847" i="29"/>
  <c r="Z848" i="29"/>
  <c r="Z849" i="29"/>
  <c r="Z845" i="29"/>
  <c r="AA28" i="29"/>
  <c r="AA36" i="29"/>
  <c r="AI88" i="29"/>
  <c r="AI92" i="29"/>
  <c r="AI98" i="29"/>
  <c r="AI28" i="29"/>
  <c r="Z837" i="29"/>
  <c r="Z59" i="29"/>
  <c r="AG837" i="29"/>
  <c r="AG59" i="29"/>
  <c r="AC656" i="29"/>
  <c r="AC45" i="29"/>
  <c r="AA853" i="29"/>
  <c r="AA60" i="29"/>
  <c r="AA61" i="29"/>
  <c r="AC837" i="29"/>
  <c r="AC59" i="29"/>
  <c r="Z98" i="29"/>
  <c r="Z28" i="29"/>
  <c r="AG656" i="29"/>
  <c r="AG45" i="29"/>
  <c r="Z437" i="29"/>
  <c r="Z41" i="29"/>
  <c r="AC635" i="29"/>
  <c r="AC44" i="29"/>
  <c r="AC98" i="29"/>
  <c r="AC28" i="29"/>
  <c r="AC437" i="29"/>
  <c r="AC41" i="29"/>
  <c r="AG437" i="29"/>
  <c r="AG41" i="29"/>
  <c r="AB690" i="29"/>
  <c r="AB692" i="29"/>
  <c r="AB47" i="29"/>
  <c r="AB653" i="29"/>
  <c r="AB650" i="29"/>
  <c r="AB649" i="29"/>
  <c r="AB652" i="29"/>
  <c r="AB553" i="29"/>
  <c r="AB618" i="29"/>
  <c r="AB627" i="29"/>
  <c r="AB624" i="29"/>
  <c r="AB622" i="29"/>
  <c r="AB548" i="29"/>
  <c r="AA532" i="29"/>
  <c r="AB565" i="29"/>
  <c r="AB558" i="29"/>
  <c r="AA541" i="29"/>
  <c r="AB574" i="29"/>
  <c r="AB614" i="29"/>
  <c r="AB547" i="29"/>
  <c r="AA538" i="29"/>
  <c r="AB571" i="29"/>
  <c r="AA535" i="29"/>
  <c r="AB568" i="29"/>
  <c r="AB549" i="29"/>
  <c r="AB619" i="29"/>
  <c r="AB626" i="29"/>
  <c r="AB557" i="29"/>
  <c r="AA528" i="29"/>
  <c r="AB561" i="29"/>
  <c r="AA531" i="29"/>
  <c r="AB564" i="29"/>
  <c r="AB559" i="29"/>
  <c r="AB554" i="29"/>
  <c r="AB546" i="29"/>
  <c r="AA540" i="29"/>
  <c r="AB573" i="29"/>
  <c r="AB566" i="29"/>
  <c r="AA539" i="29"/>
  <c r="AB572" i="29"/>
  <c r="AB555" i="29"/>
  <c r="AB480" i="29"/>
  <c r="AB501" i="29"/>
  <c r="AB487" i="29"/>
  <c r="AB478" i="29"/>
  <c r="AB489" i="29"/>
  <c r="AB479" i="29"/>
  <c r="AB490" i="29"/>
  <c r="AB486" i="29"/>
  <c r="AB488" i="29"/>
  <c r="AB435" i="29"/>
  <c r="AB434" i="29"/>
  <c r="AB424" i="29"/>
  <c r="AB433" i="29"/>
  <c r="AB93" i="29"/>
  <c r="AB96" i="29"/>
  <c r="AB94" i="29"/>
  <c r="AB97" i="29"/>
  <c r="AB91" i="29"/>
  <c r="AB88" i="29"/>
  <c r="AB92" i="29"/>
  <c r="AB95" i="29"/>
  <c r="AC851" i="29"/>
  <c r="AC850" i="29"/>
  <c r="AC846" i="29"/>
  <c r="AC848" i="29"/>
  <c r="AC849" i="29"/>
  <c r="AC845" i="29"/>
  <c r="AC847" i="29"/>
  <c r="E30" i="67"/>
  <c r="AG847" i="29"/>
  <c r="AG845" i="29"/>
  <c r="AG850" i="29"/>
  <c r="AG848" i="29"/>
  <c r="AG846" i="29"/>
  <c r="AG849" i="29"/>
  <c r="AG851" i="29"/>
  <c r="AI103" i="29"/>
  <c r="AI29" i="29"/>
  <c r="AF837" i="29"/>
  <c r="AF59" i="29"/>
  <c r="AD437" i="29"/>
  <c r="AD41" i="29"/>
  <c r="AF576" i="29"/>
  <c r="AF42" i="29"/>
  <c r="AD851" i="29"/>
  <c r="AD848" i="29"/>
  <c r="AD850" i="29"/>
  <c r="AD845" i="29"/>
  <c r="AD847" i="29"/>
  <c r="AD846" i="29"/>
  <c r="AD849" i="29"/>
  <c r="AF847" i="29"/>
  <c r="AF845" i="29"/>
  <c r="AF848" i="29"/>
  <c r="AF849" i="29"/>
  <c r="AF850" i="29"/>
  <c r="AF851" i="29"/>
  <c r="AF846" i="29"/>
  <c r="Z656" i="29"/>
  <c r="Z45" i="29"/>
  <c r="AD837" i="29"/>
  <c r="AD59" i="29"/>
  <c r="AD635" i="29"/>
  <c r="AD44" i="29"/>
  <c r="AD656" i="29"/>
  <c r="AD45" i="29"/>
  <c r="AF656" i="29"/>
  <c r="AF45" i="29"/>
  <c r="AF98" i="29"/>
  <c r="AF437" i="29"/>
  <c r="AF41" i="29"/>
  <c r="AG98" i="29"/>
  <c r="AB842" i="29"/>
  <c r="AB825" i="29"/>
  <c r="AB835" i="29"/>
  <c r="AB823" i="29"/>
  <c r="AB833" i="29"/>
  <c r="AB821" i="29"/>
  <c r="AB831" i="29"/>
  <c r="AB819" i="29"/>
  <c r="AB829" i="29"/>
  <c r="AB824" i="29"/>
  <c r="AB834" i="29"/>
  <c r="AB822" i="29"/>
  <c r="AB832" i="29"/>
  <c r="AB820" i="29"/>
  <c r="AB830" i="29"/>
  <c r="AB697" i="29"/>
  <c r="AB700" i="29"/>
  <c r="AB48" i="29"/>
  <c r="AB581" i="29"/>
  <c r="AB585" i="29"/>
  <c r="AB587" i="29"/>
  <c r="AB43" i="29"/>
  <c r="AB20" i="29"/>
  <c r="AI62" i="3"/>
  <c r="E36" i="67"/>
  <c r="W3" i="67"/>
  <c r="Y3" i="67"/>
  <c r="AG635" i="29"/>
  <c r="AG44" i="29"/>
  <c r="Z576" i="29"/>
  <c r="Z42" i="29"/>
  <c r="AD98" i="29"/>
  <c r="AD576" i="29"/>
  <c r="AD42" i="29"/>
  <c r="AC576" i="29"/>
  <c r="AC42" i="29"/>
  <c r="AF635" i="29"/>
  <c r="AF44" i="29"/>
  <c r="AG576" i="29"/>
  <c r="AG42" i="29"/>
  <c r="AC733" i="29"/>
  <c r="AC50" i="29"/>
  <c r="Y591" i="29"/>
  <c r="Y596" i="29"/>
  <c r="Y595" i="29"/>
  <c r="AE463" i="29"/>
  <c r="Y514" i="29"/>
  <c r="AE533" i="29"/>
  <c r="Y86" i="29"/>
  <c r="Y601" i="29"/>
  <c r="AE419" i="29"/>
  <c r="AE596" i="29"/>
  <c r="AE602" i="29"/>
  <c r="AE472" i="29"/>
  <c r="AE447" i="29"/>
  <c r="Y451" i="29"/>
  <c r="AE538" i="29"/>
  <c r="Y603" i="29"/>
  <c r="Y516" i="29"/>
  <c r="Y643" i="29"/>
  <c r="Y517" i="29"/>
  <c r="AE418" i="29"/>
  <c r="Y420" i="29"/>
  <c r="AE452" i="29"/>
  <c r="Y641" i="29"/>
  <c r="Y443" i="29"/>
  <c r="Y533" i="29"/>
  <c r="AE451" i="29"/>
  <c r="AE531" i="29"/>
  <c r="Y642" i="29"/>
  <c r="AE514" i="29"/>
  <c r="Y85" i="29"/>
  <c r="Y520" i="29"/>
  <c r="AE643" i="29"/>
  <c r="AE520" i="29"/>
  <c r="Y644" i="29"/>
  <c r="Y592" i="29"/>
  <c r="AE603" i="29"/>
  <c r="AE409" i="29"/>
  <c r="AE591" i="29"/>
  <c r="Y458" i="29"/>
  <c r="AE83" i="29"/>
  <c r="Y445" i="29"/>
  <c r="AE604" i="29"/>
  <c r="AE453" i="29"/>
  <c r="Y526" i="29"/>
  <c r="Y452" i="29"/>
  <c r="AE470" i="29"/>
  <c r="AE513" i="29"/>
  <c r="AE84" i="29"/>
  <c r="AE454" i="29"/>
  <c r="Y519" i="29"/>
  <c r="AE466" i="29"/>
  <c r="AE535" i="29"/>
  <c r="Y599" i="29"/>
  <c r="Y450" i="29"/>
  <c r="AE540" i="29"/>
  <c r="Y442" i="29"/>
  <c r="AE640" i="29"/>
  <c r="AE686" i="29"/>
  <c r="Y83" i="29"/>
  <c r="Y513" i="29"/>
  <c r="Y686" i="29"/>
  <c r="Y454" i="29"/>
  <c r="AE595" i="29"/>
  <c r="AE601" i="29"/>
  <c r="Y81" i="29"/>
  <c r="Y522" i="29"/>
  <c r="Y418" i="29"/>
  <c r="Y444" i="29"/>
  <c r="AE450" i="29"/>
  <c r="Y453" i="29"/>
  <c r="AE641" i="29"/>
  <c r="Y87" i="29"/>
  <c r="Y465" i="29"/>
  <c r="AE87" i="29"/>
  <c r="AE539" i="29"/>
  <c r="AE541" i="29"/>
  <c r="Y525" i="29"/>
  <c r="Y515" i="29"/>
  <c r="Y82" i="29"/>
  <c r="Y524" i="29"/>
  <c r="Y640" i="29"/>
  <c r="AE86" i="29"/>
  <c r="Y521" i="29"/>
  <c r="Y419" i="29"/>
  <c r="AE532" i="29"/>
  <c r="AE85" i="29"/>
  <c r="AE599" i="29"/>
  <c r="AE446" i="29"/>
  <c r="Y723" i="29"/>
  <c r="AE81" i="29"/>
  <c r="AE528" i="29"/>
  <c r="AE723" i="29"/>
  <c r="AE420" i="29"/>
  <c r="AE442" i="29"/>
  <c r="Y409" i="29"/>
  <c r="AE644" i="29"/>
  <c r="Z592" i="29"/>
  <c r="AE443" i="29"/>
  <c r="AE642" i="29"/>
  <c r="AE82" i="29"/>
  <c r="AE519" i="29"/>
  <c r="AE536" i="29"/>
  <c r="Y84" i="29"/>
  <c r="Y604" i="29"/>
  <c r="E18" i="59"/>
  <c r="Y478" i="29"/>
  <c r="Z615" i="29"/>
  <c r="Z635" i="29"/>
  <c r="Z44" i="29"/>
  <c r="Y618" i="29"/>
  <c r="Y614" i="29"/>
  <c r="AE499" i="29"/>
  <c r="AM499" i="29"/>
  <c r="AM463" i="29"/>
  <c r="H6" i="3"/>
  <c r="W12" i="29"/>
  <c r="Y650" i="29"/>
  <c r="AE651" i="29"/>
  <c r="Y652" i="29"/>
  <c r="AM709" i="29"/>
  <c r="AM418" i="29"/>
  <c r="Y690" i="29"/>
  <c r="Y823" i="29"/>
  <c r="Y833" i="29"/>
  <c r="Y824" i="29"/>
  <c r="Y834" i="29"/>
  <c r="Y820" i="29"/>
  <c r="Y830" i="29"/>
  <c r="Y697" i="29"/>
  <c r="Y825" i="29"/>
  <c r="Y835" i="29"/>
  <c r="Y821" i="29"/>
  <c r="Y831" i="29"/>
  <c r="Y581" i="29"/>
  <c r="Y822" i="29"/>
  <c r="Y832" i="29"/>
  <c r="Y819" i="29"/>
  <c r="Y829" i="29"/>
  <c r="Y653" i="29"/>
  <c r="Y651" i="29"/>
  <c r="Y649" i="29"/>
  <c r="AI61" i="3"/>
  <c r="M8" i="29"/>
  <c r="M3" i="29"/>
  <c r="O10" i="29"/>
  <c r="AI36" i="29"/>
  <c r="AC103" i="29"/>
  <c r="AC29" i="29"/>
  <c r="AC36" i="29"/>
  <c r="Z103" i="29"/>
  <c r="Z29" i="29"/>
  <c r="Z36" i="29"/>
  <c r="AM602" i="29"/>
  <c r="AM591" i="29"/>
  <c r="AM723" i="29"/>
  <c r="AM595" i="29"/>
  <c r="AG853" i="29"/>
  <c r="AG60" i="29"/>
  <c r="AG61" i="29"/>
  <c r="Z853" i="29"/>
  <c r="Z60" i="29"/>
  <c r="Z61" i="29"/>
  <c r="AC853" i="29"/>
  <c r="AC60" i="29"/>
  <c r="AC61" i="29"/>
  <c r="AM536" i="29"/>
  <c r="AE569" i="29"/>
  <c r="AM569" i="29"/>
  <c r="AE490" i="29"/>
  <c r="AE479" i="29"/>
  <c r="AE489" i="29"/>
  <c r="AE487" i="29"/>
  <c r="AE502" i="29"/>
  <c r="AM502" i="29"/>
  <c r="AM466" i="29"/>
  <c r="AE488" i="29"/>
  <c r="AE486" i="29"/>
  <c r="AE483" i="29"/>
  <c r="AM483" i="29"/>
  <c r="AM447" i="29"/>
  <c r="AM470" i="29"/>
  <c r="AE506" i="29"/>
  <c r="AM506" i="29"/>
  <c r="AE478" i="29"/>
  <c r="AM446" i="29"/>
  <c r="AE482" i="29"/>
  <c r="AM482" i="29"/>
  <c r="AE508" i="29"/>
  <c r="AM508" i="29"/>
  <c r="AM472" i="29"/>
  <c r="AE434" i="29"/>
  <c r="AE435" i="29"/>
  <c r="AE433" i="29"/>
  <c r="AE424" i="29"/>
  <c r="AE94" i="29"/>
  <c r="AE96" i="29"/>
  <c r="AE92" i="29"/>
  <c r="AE97" i="29"/>
  <c r="AE95" i="29"/>
  <c r="AE93" i="29"/>
  <c r="AE91" i="29"/>
  <c r="AE88" i="29"/>
  <c r="AE564" i="29"/>
  <c r="AE624" i="29"/>
  <c r="AE653" i="29"/>
  <c r="AE652" i="29"/>
  <c r="AE573" i="29"/>
  <c r="AE574" i="29"/>
  <c r="AE572" i="29"/>
  <c r="AE626" i="29"/>
  <c r="AE571" i="29"/>
  <c r="AE547" i="29"/>
  <c r="AE625" i="29"/>
  <c r="AM625" i="29"/>
  <c r="AE568" i="29"/>
  <c r="AE561" i="29"/>
  <c r="AE614" i="29"/>
  <c r="AE619" i="29"/>
  <c r="AE546" i="29"/>
  <c r="AE565" i="29"/>
  <c r="AE649" i="29"/>
  <c r="AE622" i="29"/>
  <c r="AE627" i="29"/>
  <c r="AE566" i="29"/>
  <c r="AE650" i="29"/>
  <c r="AE729" i="29"/>
  <c r="AE553" i="29"/>
  <c r="AE690" i="29"/>
  <c r="AE692" i="29"/>
  <c r="AE47" i="29"/>
  <c r="AE552" i="29"/>
  <c r="AE618" i="29"/>
  <c r="Y91" i="29"/>
  <c r="Y88" i="29"/>
  <c r="AM81" i="29"/>
  <c r="Y615" i="29"/>
  <c r="AM592" i="29"/>
  <c r="Y550" i="29"/>
  <c r="AM550" i="29"/>
  <c r="AM517" i="29"/>
  <c r="AM519" i="29"/>
  <c r="Y552" i="29"/>
  <c r="Y501" i="29"/>
  <c r="AM501" i="29"/>
  <c r="AM465" i="29"/>
  <c r="Y494" i="29"/>
  <c r="AM494" i="29"/>
  <c r="AM458" i="29"/>
  <c r="Y481" i="29"/>
  <c r="AM481" i="29"/>
  <c r="AM445" i="29"/>
  <c r="Y480" i="29"/>
  <c r="AM480" i="29"/>
  <c r="AM444" i="29"/>
  <c r="Y433" i="29"/>
  <c r="AM420" i="29"/>
  <c r="Y435" i="29"/>
  <c r="Y424" i="29"/>
  <c r="AM409" i="29"/>
  <c r="Y434" i="29"/>
  <c r="AM419" i="29"/>
  <c r="Y94" i="29"/>
  <c r="AM84" i="29"/>
  <c r="Y95" i="29"/>
  <c r="AM85" i="29"/>
  <c r="Y93" i="29"/>
  <c r="AM83" i="29"/>
  <c r="Y97" i="29"/>
  <c r="AM87" i="29"/>
  <c r="Y92" i="29"/>
  <c r="AM82" i="29"/>
  <c r="Y96" i="29"/>
  <c r="AM86" i="29"/>
  <c r="Y626" i="29"/>
  <c r="AM603" i="29"/>
  <c r="AM644" i="29"/>
  <c r="Y559" i="29"/>
  <c r="AM559" i="29"/>
  <c r="AM526" i="29"/>
  <c r="Y627" i="29"/>
  <c r="AM604" i="29"/>
  <c r="AM643" i="29"/>
  <c r="Y546" i="29"/>
  <c r="AM513" i="29"/>
  <c r="Y729" i="29"/>
  <c r="Y733" i="29"/>
  <c r="Y50" i="29"/>
  <c r="Y549" i="29"/>
  <c r="AM549" i="29"/>
  <c r="AM516" i="29"/>
  <c r="Y486" i="29"/>
  <c r="AM450" i="29"/>
  <c r="Y547" i="29"/>
  <c r="AM514" i="29"/>
  <c r="Y490" i="29"/>
  <c r="AM454" i="29"/>
  <c r="Y487" i="29"/>
  <c r="AM451" i="29"/>
  <c r="Y548" i="29"/>
  <c r="AM548" i="29"/>
  <c r="AM515" i="29"/>
  <c r="AM640" i="29"/>
  <c r="Y489" i="29"/>
  <c r="AM453" i="29"/>
  <c r="Y488" i="29"/>
  <c r="AM452" i="29"/>
  <c r="AM442" i="29"/>
  <c r="Y624" i="29"/>
  <c r="AM601" i="29"/>
  <c r="Y554" i="29"/>
  <c r="AM554" i="29"/>
  <c r="AM521" i="29"/>
  <c r="Y553" i="29"/>
  <c r="AM520" i="29"/>
  <c r="AM711" i="29"/>
  <c r="Y555" i="29"/>
  <c r="AM555" i="29"/>
  <c r="AM522" i="29"/>
  <c r="Y619" i="29"/>
  <c r="AM596" i="29"/>
  <c r="Y557" i="29"/>
  <c r="AM557" i="29"/>
  <c r="AM524" i="29"/>
  <c r="Y558" i="29"/>
  <c r="AM558" i="29"/>
  <c r="AM525" i="29"/>
  <c r="Y479" i="29"/>
  <c r="AM443" i="29"/>
  <c r="Y622" i="29"/>
  <c r="AM599" i="29"/>
  <c r="AM641" i="29"/>
  <c r="AM642" i="29"/>
  <c r="Y566" i="29"/>
  <c r="AM533" i="29"/>
  <c r="AM686" i="29"/>
  <c r="AD103" i="29"/>
  <c r="AD29" i="29"/>
  <c r="AD28" i="29"/>
  <c r="AB850" i="29"/>
  <c r="AB851" i="29"/>
  <c r="AB848" i="29"/>
  <c r="AB845" i="29"/>
  <c r="AB847" i="29"/>
  <c r="AB849" i="29"/>
  <c r="AB846" i="29"/>
  <c r="AF28" i="29"/>
  <c r="AF103" i="29"/>
  <c r="AF29" i="29"/>
  <c r="AA573" i="29"/>
  <c r="AM540" i="29"/>
  <c r="AB837" i="29"/>
  <c r="AB59" i="29"/>
  <c r="AD853" i="29"/>
  <c r="AD60" i="29"/>
  <c r="AD61" i="29"/>
  <c r="AE697" i="29"/>
  <c r="AE700" i="29"/>
  <c r="AE48" i="29"/>
  <c r="AB732" i="29"/>
  <c r="AB733" i="29"/>
  <c r="AB50" i="29"/>
  <c r="AE825" i="29"/>
  <c r="AE835" i="29"/>
  <c r="AE819" i="29"/>
  <c r="AE829" i="29"/>
  <c r="AE824" i="29"/>
  <c r="AE834" i="29"/>
  <c r="AE822" i="29"/>
  <c r="AE832" i="29"/>
  <c r="AE820" i="29"/>
  <c r="AE830" i="29"/>
  <c r="AE19" i="29"/>
  <c r="AE823" i="29"/>
  <c r="AE833" i="29"/>
  <c r="AE821" i="29"/>
  <c r="AE831" i="29"/>
  <c r="AE581" i="29"/>
  <c r="AE585" i="29"/>
  <c r="AE587" i="29"/>
  <c r="AE43" i="29"/>
  <c r="AE842" i="29"/>
  <c r="AI64" i="3"/>
  <c r="AI68" i="3"/>
  <c r="AI69" i="3"/>
  <c r="AI70" i="3"/>
  <c r="E42" i="67"/>
  <c r="F30" i="67"/>
  <c r="F31" i="67"/>
  <c r="F32" i="67"/>
  <c r="F33" i="67"/>
  <c r="F34" i="67"/>
  <c r="F35" i="67"/>
  <c r="F36" i="67"/>
  <c r="F37" i="67"/>
  <c r="F38" i="67"/>
  <c r="F39" i="67"/>
  <c r="F40" i="67"/>
  <c r="F41" i="67"/>
  <c r="AA561" i="29"/>
  <c r="AM528" i="29"/>
  <c r="AA571" i="29"/>
  <c r="AM538" i="29"/>
  <c r="AA574" i="29"/>
  <c r="AM541" i="29"/>
  <c r="AF853" i="29"/>
  <c r="AF60" i="29"/>
  <c r="AF61" i="29"/>
  <c r="AB437" i="29"/>
  <c r="AB41" i="29"/>
  <c r="AB576" i="29"/>
  <c r="AB42" i="29"/>
  <c r="AB656" i="29"/>
  <c r="AB45" i="29"/>
  <c r="AG103" i="29"/>
  <c r="AG29" i="29"/>
  <c r="AG28" i="29"/>
  <c r="Y842" i="29"/>
  <c r="Y19" i="29"/>
  <c r="AA565" i="29"/>
  <c r="AM532" i="29"/>
  <c r="AA572" i="29"/>
  <c r="AM539" i="29"/>
  <c r="AA564" i="29"/>
  <c r="AM531" i="29"/>
  <c r="AA568" i="29"/>
  <c r="AM535" i="29"/>
  <c r="AB98" i="29"/>
  <c r="AB635" i="29"/>
  <c r="AB44" i="29"/>
  <c r="AN19" i="29"/>
  <c r="AM614" i="29"/>
  <c r="AM618" i="29"/>
  <c r="AM97" i="29"/>
  <c r="AM93" i="29"/>
  <c r="G763" i="29"/>
  <c r="M10" i="29"/>
  <c r="L779" i="29"/>
  <c r="Y851" i="29"/>
  <c r="Y847" i="29"/>
  <c r="Y848" i="29"/>
  <c r="Y849" i="29"/>
  <c r="Y845" i="29"/>
  <c r="Y850" i="29"/>
  <c r="Y846" i="29"/>
  <c r="G761" i="29"/>
  <c r="AM487" i="29"/>
  <c r="AM572" i="29"/>
  <c r="AM622" i="29"/>
  <c r="AM619" i="29"/>
  <c r="AM651" i="29"/>
  <c r="AM565" i="29"/>
  <c r="AM574" i="29"/>
  <c r="AM561" i="29"/>
  <c r="AM489" i="29"/>
  <c r="AM650" i="29"/>
  <c r="AM490" i="29"/>
  <c r="AM652" i="29"/>
  <c r="AM626" i="29"/>
  <c r="AM568" i="29"/>
  <c r="AM653" i="29"/>
  <c r="AM92" i="29"/>
  <c r="AM433" i="29"/>
  <c r="AM564" i="29"/>
  <c r="AM94" i="29"/>
  <c r="AM566" i="29"/>
  <c r="AM553" i="29"/>
  <c r="AM624" i="29"/>
  <c r="AM488" i="29"/>
  <c r="AM627" i="29"/>
  <c r="AM96" i="29"/>
  <c r="AM95" i="29"/>
  <c r="AM434" i="29"/>
  <c r="AG36" i="29"/>
  <c r="AM435" i="29"/>
  <c r="AM547" i="29"/>
  <c r="AE98" i="29"/>
  <c r="AE28" i="29"/>
  <c r="AE656" i="29"/>
  <c r="AE45" i="29"/>
  <c r="AE437" i="29"/>
  <c r="AE41" i="29"/>
  <c r="AE733" i="29"/>
  <c r="AE50" i="29"/>
  <c r="AM50" i="29"/>
  <c r="AM729" i="29"/>
  <c r="AM733" i="29"/>
  <c r="AE837" i="29"/>
  <c r="AE59" i="29"/>
  <c r="AE635" i="29"/>
  <c r="AE44" i="29"/>
  <c r="AM479" i="29"/>
  <c r="AM546" i="29"/>
  <c r="AM88" i="29"/>
  <c r="AF36" i="29"/>
  <c r="Y700" i="29"/>
  <c r="AM697" i="29"/>
  <c r="AM834" i="29"/>
  <c r="AM824" i="29"/>
  <c r="AM615" i="29"/>
  <c r="Y635" i="29"/>
  <c r="Y44" i="29"/>
  <c r="AM835" i="29"/>
  <c r="AM825" i="29"/>
  <c r="AM832" i="29"/>
  <c r="AM822" i="29"/>
  <c r="M6" i="3"/>
  <c r="Y576" i="29"/>
  <c r="Y42" i="29"/>
  <c r="AM478" i="29"/>
  <c r="AM91" i="29"/>
  <c r="Y98" i="29"/>
  <c r="AB853" i="29"/>
  <c r="AB60" i="29"/>
  <c r="AB61" i="29"/>
  <c r="AD36" i="29"/>
  <c r="AM486" i="29"/>
  <c r="AM552" i="29"/>
  <c r="AB103" i="29"/>
  <c r="AB29" i="29"/>
  <c r="AB28" i="29"/>
  <c r="AM842" i="29"/>
  <c r="Y692" i="29"/>
  <c r="Y47" i="29"/>
  <c r="AM47" i="29"/>
  <c r="H35" i="1"/>
  <c r="E15" i="67"/>
  <c r="AM690" i="29"/>
  <c r="AM692" i="29"/>
  <c r="AM424" i="29"/>
  <c r="Y437" i="29"/>
  <c r="AM830" i="29"/>
  <c r="AM820" i="29"/>
  <c r="Y585" i="29"/>
  <c r="AM581" i="29"/>
  <c r="AM819" i="29"/>
  <c r="A15" i="1"/>
  <c r="AM833" i="29"/>
  <c r="AM823" i="29"/>
  <c r="AM831" i="29"/>
  <c r="AM821" i="29"/>
  <c r="AE851" i="29"/>
  <c r="AE848" i="29"/>
  <c r="AE847" i="29"/>
  <c r="AE845" i="29"/>
  <c r="AE850" i="29"/>
  <c r="AE849" i="29"/>
  <c r="AE846" i="29"/>
  <c r="Y656" i="29"/>
  <c r="Y45" i="29"/>
  <c r="AM649" i="29"/>
  <c r="AM571" i="29"/>
  <c r="AM573" i="29"/>
  <c r="AE576" i="29"/>
  <c r="AE42" i="29"/>
  <c r="E21" i="59"/>
  <c r="H38" i="1"/>
  <c r="E18" i="67"/>
  <c r="AM437" i="29"/>
  <c r="AM45" i="29"/>
  <c r="H33" i="1"/>
  <c r="AM635" i="29"/>
  <c r="AE103" i="29"/>
  <c r="AE29" i="29"/>
  <c r="AE36" i="29"/>
  <c r="AM656" i="29"/>
  <c r="AM98" i="29"/>
  <c r="AM44" i="29"/>
  <c r="H32" i="1"/>
  <c r="E12" i="67"/>
  <c r="AM850" i="29"/>
  <c r="H49" i="1"/>
  <c r="E24" i="67"/>
  <c r="AM848" i="29"/>
  <c r="H47" i="1"/>
  <c r="AE853" i="29"/>
  <c r="AE60" i="29"/>
  <c r="AE61" i="29"/>
  <c r="AM846" i="29"/>
  <c r="H45" i="1"/>
  <c r="AM847" i="29"/>
  <c r="H46" i="1"/>
  <c r="AM849" i="29"/>
  <c r="H48" i="1"/>
  <c r="AM851" i="29"/>
  <c r="H50" i="1"/>
  <c r="AB36" i="29"/>
  <c r="Y837" i="29"/>
  <c r="AM829" i="29"/>
  <c r="Z15" i="53"/>
  <c r="Y48" i="29"/>
  <c r="AM700" i="29"/>
  <c r="Y41" i="29"/>
  <c r="AM845" i="29"/>
  <c r="Y853" i="29"/>
  <c r="Y60" i="29"/>
  <c r="Y28" i="29"/>
  <c r="Y103" i="29"/>
  <c r="Y587" i="29"/>
  <c r="Y43" i="29"/>
  <c r="AM43" i="29"/>
  <c r="H31" i="1"/>
  <c r="E11" i="67"/>
  <c r="AM585" i="29"/>
  <c r="AM587" i="29"/>
  <c r="AM42" i="29"/>
  <c r="H30" i="1"/>
  <c r="E10" i="67"/>
  <c r="AC69" i="3"/>
  <c r="AC70" i="3"/>
  <c r="AI71" i="3"/>
  <c r="V709" i="29"/>
  <c r="L7" i="3"/>
  <c r="M7" i="3"/>
  <c r="AM576" i="29"/>
  <c r="U24" i="53"/>
  <c r="T29" i="53"/>
  <c r="E13" i="67"/>
  <c r="AM48" i="29"/>
  <c r="H36" i="1"/>
  <c r="E16" i="67"/>
  <c r="K13" i="57"/>
  <c r="P15" i="53"/>
  <c r="AM60" i="29"/>
  <c r="L8" i="3"/>
  <c r="M8" i="3"/>
  <c r="U15" i="53"/>
  <c r="AM28" i="29"/>
  <c r="AM41" i="29"/>
  <c r="Y59" i="29"/>
  <c r="AM837" i="29"/>
  <c r="Y29" i="29"/>
  <c r="AM29" i="29"/>
  <c r="H21" i="1"/>
  <c r="AM103" i="29"/>
  <c r="P34" i="53"/>
  <c r="H44" i="1"/>
  <c r="AM853" i="29"/>
  <c r="Y20" i="53"/>
  <c r="X715" i="29"/>
  <c r="E23" i="67"/>
  <c r="AI6" i="67"/>
  <c r="Z55" i="29"/>
  <c r="Z63" i="29"/>
  <c r="AK55" i="29"/>
  <c r="AK63" i="29"/>
  <c r="Y55" i="29"/>
  <c r="AG55" i="29"/>
  <c r="AG63" i="29"/>
  <c r="AD55" i="29"/>
  <c r="AD63" i="29"/>
  <c r="AD65" i="29"/>
  <c r="AC55" i="29"/>
  <c r="AC63" i="29"/>
  <c r="X812" i="29"/>
  <c r="X54" i="29"/>
  <c r="AM54" i="29"/>
  <c r="H42" i="1"/>
  <c r="E22" i="67"/>
  <c r="AA55" i="29"/>
  <c r="AA63" i="29"/>
  <c r="P24" i="53"/>
  <c r="O29" i="53"/>
  <c r="Z765" i="29"/>
  <c r="O20" i="53"/>
  <c r="AE55" i="29"/>
  <c r="AE63" i="29"/>
  <c r="AM715" i="29"/>
  <c r="AB55" i="29"/>
  <c r="AB63" i="29"/>
  <c r="AF55" i="29"/>
  <c r="AF63" i="29"/>
  <c r="AF65" i="29"/>
  <c r="AJ55" i="29"/>
  <c r="AJ63" i="29"/>
  <c r="AI55" i="29"/>
  <c r="AI63" i="29"/>
  <c r="H41" i="1"/>
  <c r="E21" i="67"/>
  <c r="L9" i="3"/>
  <c r="M9" i="3"/>
  <c r="Y36" i="29"/>
  <c r="H20" i="1"/>
  <c r="E3" i="67"/>
  <c r="AM36" i="29"/>
  <c r="AM713" i="29"/>
  <c r="AH55" i="29"/>
  <c r="AH63" i="29"/>
  <c r="Y61" i="29"/>
  <c r="AM59" i="29"/>
  <c r="AM61" i="29"/>
  <c r="H29" i="1"/>
  <c r="O40" i="53"/>
  <c r="T20" i="53"/>
  <c r="O1" i="67"/>
  <c r="O3" i="67"/>
  <c r="P1" i="67"/>
  <c r="P3" i="67"/>
  <c r="Q1" i="67"/>
  <c r="Q3" i="67"/>
  <c r="R1" i="67"/>
  <c r="R3" i="67"/>
  <c r="O6" i="53"/>
  <c r="E9" i="67"/>
  <c r="AI4" i="67"/>
  <c r="Y63" i="29"/>
  <c r="AB65" i="29"/>
  <c r="Z65" i="29"/>
  <c r="G38" i="67"/>
  <c r="AF38" i="67"/>
  <c r="AG65" i="29"/>
  <c r="G37" i="67"/>
  <c r="AF37" i="67"/>
  <c r="G36" i="67"/>
  <c r="AF36" i="67"/>
  <c r="AE65" i="29"/>
  <c r="G35" i="67"/>
  <c r="AF35" i="67"/>
  <c r="G34" i="67"/>
  <c r="AF34" i="67"/>
  <c r="AC65" i="29"/>
  <c r="G33" i="67"/>
  <c r="AF33" i="67"/>
  <c r="G32" i="67"/>
  <c r="AF32" i="67"/>
  <c r="AA65" i="29"/>
  <c r="G31" i="67"/>
  <c r="AF31" i="67"/>
  <c r="X55" i="29"/>
  <c r="X63" i="29"/>
  <c r="AM717" i="29"/>
  <c r="AA64" i="29"/>
  <c r="AC64" i="29"/>
  <c r="AI64" i="29"/>
  <c r="AE64" i="29"/>
  <c r="L10" i="3"/>
  <c r="M10" i="3"/>
  <c r="U34" i="53"/>
  <c r="G39" i="67"/>
  <c r="AF39" i="67"/>
  <c r="AG64" i="29"/>
  <c r="AI3" i="67"/>
  <c r="K10" i="57"/>
  <c r="M3" i="67"/>
  <c r="M4" i="67"/>
  <c r="M5" i="67"/>
  <c r="M6" i="67"/>
  <c r="M7" i="67"/>
  <c r="M8" i="67"/>
  <c r="M9" i="67"/>
  <c r="M10" i="67"/>
  <c r="M11" i="67"/>
  <c r="M12" i="67"/>
  <c r="M13" i="67"/>
  <c r="M14" i="67"/>
  <c r="M15" i="67"/>
  <c r="M16" i="67"/>
  <c r="M17" i="67"/>
  <c r="M18" i="67"/>
  <c r="M19" i="67"/>
  <c r="M20" i="67"/>
  <c r="M21" i="67"/>
  <c r="M22" i="67"/>
  <c r="M23" i="67"/>
  <c r="M24" i="67"/>
  <c r="N1" i="67"/>
  <c r="N3" i="67"/>
  <c r="X65" i="29"/>
  <c r="J53" i="1"/>
  <c r="Y64" i="29"/>
  <c r="Y65" i="29"/>
  <c r="G29" i="67"/>
  <c r="AF29" i="67"/>
  <c r="G30" i="67"/>
  <c r="AF30" i="67"/>
  <c r="H37" i="1"/>
  <c r="AM55" i="29"/>
  <c r="AM63" i="29"/>
  <c r="AM65" i="29"/>
  <c r="L11" i="3"/>
  <c r="M11" i="3"/>
  <c r="A20" i="57"/>
  <c r="T39" i="53"/>
  <c r="P6" i="53"/>
  <c r="H51" i="1"/>
  <c r="Q27" i="3"/>
  <c r="E17" i="67"/>
  <c r="G42" i="67"/>
  <c r="K9" i="57"/>
  <c r="P6" i="57"/>
  <c r="L12" i="3"/>
  <c r="M12" i="3"/>
  <c r="Q23" i="3"/>
  <c r="Q26" i="3"/>
  <c r="J54" i="1"/>
  <c r="L13" i="3"/>
  <c r="M13" i="3"/>
  <c r="A21" i="57"/>
  <c r="L6" i="57"/>
  <c r="E25" i="67"/>
  <c r="L3" i="67"/>
  <c r="L4" i="67"/>
  <c r="AI5" i="67"/>
  <c r="AI7" i="67"/>
  <c r="AG3" i="67"/>
  <c r="D59" i="1"/>
  <c r="J51" i="1"/>
  <c r="Q24" i="3"/>
  <c r="L5" i="67"/>
  <c r="L6" i="67"/>
  <c r="L7" i="67"/>
  <c r="L8" i="67"/>
  <c r="L9" i="67"/>
  <c r="L10" i="67"/>
  <c r="L11" i="67"/>
  <c r="L12" i="67"/>
  <c r="L13" i="67"/>
  <c r="L14" i="67"/>
  <c r="L15" i="67"/>
  <c r="L16" i="67"/>
  <c r="L17" i="67"/>
  <c r="L18" i="67"/>
  <c r="L19" i="67"/>
  <c r="L20" i="67"/>
  <c r="L21" i="67"/>
  <c r="L22" i="67"/>
  <c r="L23" i="67"/>
  <c r="L24" i="67"/>
  <c r="AG4" i="67"/>
  <c r="AG5" i="67"/>
  <c r="AG6" i="67"/>
  <c r="L14" i="3"/>
  <c r="M14" i="3"/>
  <c r="S3" i="67"/>
  <c r="S4" i="67"/>
  <c r="S5" i="67"/>
  <c r="S6" i="67"/>
  <c r="S7" i="67"/>
  <c r="S8" i="67"/>
  <c r="S9" i="67"/>
  <c r="S10" i="67"/>
  <c r="S11" i="67"/>
  <c r="S12" i="67"/>
  <c r="S13" i="67"/>
  <c r="S14" i="67"/>
  <c r="S15" i="67"/>
  <c r="S16" i="67"/>
  <c r="S17" i="67"/>
  <c r="S18" i="67"/>
  <c r="S19" i="67"/>
  <c r="S20" i="67"/>
  <c r="S21" i="67"/>
  <c r="S22" i="67"/>
  <c r="S23" i="67"/>
  <c r="S24" i="67"/>
  <c r="A2" i="67"/>
  <c r="L15" i="3"/>
  <c r="M15" i="3"/>
  <c r="L16" i="3"/>
  <c r="M16" i="3"/>
  <c r="R16" i="50"/>
  <c r="R11" i="50"/>
  <c r="R13" i="50"/>
  <c r="R9" i="50"/>
  <c r="R18" i="50"/>
  <c r="S10" i="50"/>
  <c r="R12" i="50"/>
  <c r="R14" i="50"/>
  <c r="R17" i="50"/>
  <c r="R15" i="50"/>
  <c r="R19" i="50"/>
  <c r="R10" i="50"/>
  <c r="V10" i="50"/>
  <c r="U10" i="50"/>
  <c r="AU10" i="50"/>
  <c r="AB10" i="50"/>
  <c r="AD10" i="50"/>
  <c r="L17" i="3"/>
  <c r="M17" i="3"/>
  <c r="L18" i="3"/>
  <c r="M18" i="3"/>
  <c r="L19" i="3"/>
  <c r="M19" i="3"/>
  <c r="T10" i="50"/>
  <c r="S17" i="50"/>
  <c r="S12" i="50"/>
  <c r="S11" i="50"/>
  <c r="S15" i="50"/>
  <c r="S19" i="50"/>
  <c r="S18" i="50"/>
  <c r="S14" i="50"/>
  <c r="S9" i="50"/>
  <c r="S16" i="50"/>
  <c r="S13" i="50"/>
  <c r="AB11" i="50"/>
  <c r="AD11" i="50"/>
  <c r="AE11" i="50"/>
  <c r="AB16" i="50"/>
  <c r="AD16" i="50"/>
  <c r="AB13" i="50"/>
  <c r="AD13" i="50"/>
  <c r="U11" i="50"/>
  <c r="AU11" i="50"/>
  <c r="U13" i="50"/>
  <c r="AU13" i="50"/>
  <c r="V16" i="50"/>
  <c r="AB9" i="50"/>
  <c r="AD9" i="50"/>
  <c r="AE9" i="50"/>
  <c r="AB18" i="50"/>
  <c r="AD18" i="50"/>
  <c r="AE18" i="50"/>
  <c r="AB15" i="50"/>
  <c r="AD15" i="50"/>
  <c r="AB17" i="50"/>
  <c r="AD17" i="50"/>
  <c r="AE17" i="50"/>
  <c r="AB14" i="50"/>
  <c r="AD14" i="50"/>
  <c r="AE14" i="50"/>
  <c r="AB12" i="50"/>
  <c r="BB17" i="50"/>
  <c r="P9" i="53"/>
  <c r="H9" i="1"/>
  <c r="A27" i="57"/>
  <c r="A42" i="53"/>
  <c r="T15" i="50"/>
  <c r="T11" i="50"/>
  <c r="T17" i="50"/>
  <c r="T18" i="50"/>
  <c r="T14" i="50"/>
  <c r="T19" i="50"/>
  <c r="T13" i="50"/>
  <c r="T9" i="50"/>
  <c r="T16" i="50"/>
  <c r="T12" i="50"/>
  <c r="U19" i="50"/>
  <c r="AU19" i="50"/>
  <c r="U12" i="50"/>
  <c r="AU12" i="50"/>
  <c r="U14" i="50"/>
  <c r="AU14" i="50"/>
  <c r="U15" i="50"/>
  <c r="AU15" i="50"/>
  <c r="U16" i="50"/>
  <c r="AU16" i="50"/>
  <c r="U17" i="50"/>
  <c r="AU17" i="50"/>
  <c r="U18" i="50"/>
  <c r="AU18" i="50"/>
  <c r="V14" i="50"/>
  <c r="V19" i="50"/>
  <c r="V17" i="50"/>
  <c r="V11" i="50"/>
  <c r="V13" i="50"/>
  <c r="V18" i="50"/>
  <c r="V15" i="50"/>
  <c r="U9" i="50"/>
  <c r="AU9" i="50"/>
  <c r="V12" i="50"/>
  <c r="BB14" i="50"/>
  <c r="BB19" i="50"/>
  <c r="AD12" i="50"/>
  <c r="AE12" i="50"/>
  <c r="BB18" i="50"/>
  <c r="P10" i="53"/>
  <c r="R9" i="53"/>
  <c r="P21" i="53"/>
  <c r="P17" i="53"/>
  <c r="P30" i="53"/>
  <c r="V9" i="50"/>
  <c r="L9" i="57"/>
  <c r="L10" i="57"/>
  <c r="L11" i="57"/>
  <c r="L12" i="57"/>
  <c r="L13" i="57"/>
  <c r="R10" i="53"/>
  <c r="U11" i="53"/>
  <c r="V11" i="53"/>
  <c r="W11" i="53"/>
  <c r="W28" i="53"/>
  <c r="S9" i="53"/>
  <c r="S11" i="53"/>
  <c r="R11" i="53"/>
  <c r="R12" i="53"/>
  <c r="U21" i="53"/>
  <c r="W18" i="53"/>
  <c r="AB18" i="53"/>
  <c r="U30" i="53"/>
  <c r="R38" i="53"/>
  <c r="W27" i="53"/>
  <c r="R18" i="53"/>
  <c r="W37" i="53"/>
  <c r="R27" i="53"/>
  <c r="Z21" i="53"/>
  <c r="P41" i="53"/>
  <c r="U40" i="53"/>
  <c r="U37" i="53"/>
  <c r="K31" i="53"/>
  <c r="P27" i="53"/>
  <c r="K15" i="53"/>
  <c r="P26" i="53"/>
  <c r="K14" i="53"/>
  <c r="P25" i="53"/>
  <c r="K13" i="53"/>
  <c r="U18" i="53"/>
  <c r="K23" i="53"/>
  <c r="U27" i="53"/>
  <c r="K27" i="53"/>
  <c r="P16" i="53"/>
  <c r="K9" i="53"/>
  <c r="Z17" i="53"/>
  <c r="Z16" i="53"/>
  <c r="L36" i="53"/>
  <c r="L37" i="53"/>
  <c r="L32" i="53"/>
  <c r="L24" i="53"/>
  <c r="L16" i="53"/>
  <c r="L20" i="53"/>
  <c r="L38" i="53"/>
  <c r="L28" i="53"/>
  <c r="L12" i="53"/>
  <c r="P37" i="53"/>
  <c r="P36" i="53"/>
  <c r="U25" i="53"/>
  <c r="U26" i="53"/>
  <c r="U16" i="53"/>
  <c r="U17" i="53"/>
  <c r="Z18" i="53"/>
  <c r="P18" i="53"/>
  <c r="P38" i="53"/>
  <c r="K19" i="53"/>
  <c r="U28" i="53"/>
  <c r="U29" i="53"/>
  <c r="V25" i="53"/>
  <c r="R28" i="53"/>
  <c r="P28" i="53"/>
  <c r="P29" i="53"/>
  <c r="R19" i="53"/>
  <c r="P19" i="53"/>
  <c r="P20" i="53"/>
  <c r="O21" i="53"/>
  <c r="W19" i="53"/>
  <c r="U19" i="53"/>
  <c r="AB19" i="53"/>
  <c r="Z19" i="53"/>
  <c r="Z20" i="53"/>
  <c r="W38" i="53"/>
  <c r="U38" i="53"/>
  <c r="R39" i="53"/>
  <c r="P39" i="53"/>
  <c r="P40" i="53"/>
  <c r="Q37" i="53"/>
  <c r="K18" i="53"/>
  <c r="K34" i="53"/>
  <c r="K21" i="53"/>
  <c r="K25" i="53"/>
  <c r="L6" i="53"/>
  <c r="O5" i="53"/>
  <c r="K22" i="53"/>
  <c r="K26" i="53"/>
  <c r="K10" i="53"/>
  <c r="K35" i="53"/>
  <c r="K11" i="53"/>
  <c r="K17" i="53"/>
  <c r="K33" i="53"/>
  <c r="Q16" i="53"/>
  <c r="I9" i="53"/>
  <c r="Q18" i="53"/>
  <c r="I19" i="53"/>
  <c r="Q17" i="53"/>
  <c r="I26" i="53"/>
  <c r="AA16" i="53"/>
  <c r="Y21" i="53"/>
  <c r="K24" i="53"/>
  <c r="K32" i="53"/>
  <c r="V27" i="53"/>
  <c r="U35" i="53"/>
  <c r="T30" i="53"/>
  <c r="V28" i="53"/>
  <c r="U36" i="53"/>
  <c r="K28" i="53"/>
  <c r="K16" i="53"/>
  <c r="Q28" i="53"/>
  <c r="Q38" i="53"/>
  <c r="O41" i="53"/>
  <c r="K36" i="53"/>
  <c r="AA19" i="53"/>
  <c r="Q19" i="53"/>
  <c r="K12" i="53"/>
  <c r="Q39" i="53"/>
  <c r="K20" i="53"/>
  <c r="AA18" i="53"/>
  <c r="V26" i="53"/>
  <c r="AA17" i="53"/>
  <c r="Q36" i="53"/>
  <c r="U20" i="53"/>
  <c r="V19" i="53"/>
  <c r="Q40" i="53"/>
  <c r="I14" i="53"/>
  <c r="I11" i="53"/>
  <c r="V29" i="53"/>
  <c r="AA20" i="53"/>
  <c r="I27" i="53"/>
  <c r="I35" i="53"/>
  <c r="I15" i="53"/>
  <c r="I31" i="53"/>
  <c r="I23" i="53"/>
  <c r="I22" i="53"/>
  <c r="I10" i="53"/>
  <c r="I18" i="53"/>
  <c r="I30" i="53"/>
  <c r="I34" i="53"/>
  <c r="K29" i="53"/>
  <c r="U39" i="53"/>
  <c r="V35" i="53"/>
  <c r="V16" i="53"/>
  <c r="T21" i="53"/>
  <c r="V18" i="53"/>
  <c r="V17" i="53"/>
  <c r="Q20" i="53"/>
  <c r="I25" i="53"/>
  <c r="I33" i="53"/>
  <c r="I13" i="53"/>
  <c r="I29" i="53"/>
  <c r="I17" i="53"/>
  <c r="I21" i="53"/>
  <c r="O30" i="53"/>
  <c r="Q26" i="53"/>
  <c r="Q25" i="53"/>
  <c r="Q27" i="53"/>
  <c r="K30" i="53"/>
  <c r="I32" i="53"/>
  <c r="I16" i="53"/>
  <c r="I36" i="53"/>
  <c r="I20" i="53"/>
  <c r="I24" i="53"/>
  <c r="I12" i="53"/>
  <c r="I28" i="53"/>
  <c r="V20" i="53"/>
  <c r="Q29" i="53"/>
  <c r="V36" i="53"/>
  <c r="T40" i="53"/>
  <c r="V37" i="53"/>
  <c r="V38" i="53"/>
  <c r="V39" i="53"/>
</calcChain>
</file>

<file path=xl/comments1.xml><?xml version="1.0" encoding="utf-8"?>
<comments xmlns="http://schemas.openxmlformats.org/spreadsheetml/2006/main">
  <authors>
    <author>cruz.ma</author>
  </authors>
  <commentList>
    <comment ref="B9" authorId="0">
      <text>
        <r>
          <rPr>
            <b/>
            <sz val="8"/>
            <color indexed="81"/>
            <rFont val="Tahoma"/>
            <family val="2"/>
          </rPr>
          <t>cruz.ma:</t>
        </r>
        <r>
          <rPr>
            <sz val="8"/>
            <color indexed="81"/>
            <rFont val="Tahoma"/>
            <family val="2"/>
          </rPr>
          <t xml:space="preserve">
Aerated Drilling Associates</t>
        </r>
      </text>
    </comment>
    <comment ref="B11" authorId="0">
      <text>
        <r>
          <rPr>
            <b/>
            <sz val="8"/>
            <color indexed="81"/>
            <rFont val="Tahoma"/>
            <family val="2"/>
          </rPr>
          <t>cruz.ma:</t>
        </r>
        <r>
          <rPr>
            <sz val="8"/>
            <color indexed="81"/>
            <rFont val="Tahoma"/>
            <family val="2"/>
          </rPr>
          <t xml:space="preserve">
Weatherford</t>
        </r>
      </text>
    </comment>
    <comment ref="AD11" authorId="0">
      <text>
        <r>
          <rPr>
            <b/>
            <sz val="8"/>
            <color indexed="81"/>
            <rFont val="Tahoma"/>
            <family val="2"/>
          </rPr>
          <t>cruz.ma:</t>
        </r>
        <r>
          <rPr>
            <sz val="8"/>
            <color indexed="81"/>
            <rFont val="Tahoma"/>
            <family val="2"/>
          </rPr>
          <t xml:space="preserve">
forex losses</t>
        </r>
      </text>
    </comment>
    <comment ref="B12" authorId="0">
      <text>
        <r>
          <rPr>
            <b/>
            <sz val="8"/>
            <color indexed="81"/>
            <rFont val="Tahoma"/>
            <family val="2"/>
          </rPr>
          <t>cruz.ma:</t>
        </r>
        <r>
          <rPr>
            <sz val="8"/>
            <color indexed="81"/>
            <rFont val="Tahoma"/>
            <family val="2"/>
          </rPr>
          <t xml:space="preserve">
Halliburton</t>
        </r>
      </text>
    </comment>
    <comment ref="B13" authorId="0">
      <text>
        <r>
          <rPr>
            <b/>
            <sz val="8"/>
            <color indexed="81"/>
            <rFont val="Tahoma"/>
            <family val="2"/>
          </rPr>
          <t>cruz.ma:</t>
        </r>
        <r>
          <rPr>
            <sz val="8"/>
            <color indexed="81"/>
            <rFont val="Tahoma"/>
            <family val="2"/>
          </rPr>
          <t xml:space="preserve">
Halliburton</t>
        </r>
      </text>
    </comment>
    <comment ref="B14" authorId="0">
      <text>
        <r>
          <rPr>
            <b/>
            <sz val="8"/>
            <color indexed="81"/>
            <rFont val="Tahoma"/>
            <family val="2"/>
          </rPr>
          <t>cruz.ma:</t>
        </r>
        <r>
          <rPr>
            <sz val="8"/>
            <color indexed="81"/>
            <rFont val="Tahoma"/>
            <family val="2"/>
          </rPr>
          <t xml:space="preserve">
BHI</t>
        </r>
      </text>
    </comment>
    <comment ref="B17" authorId="0">
      <text>
        <r>
          <rPr>
            <b/>
            <sz val="8"/>
            <color indexed="81"/>
            <rFont val="Tahoma"/>
            <family val="2"/>
          </rPr>
          <t>cruz.ma:</t>
        </r>
        <r>
          <rPr>
            <sz val="8"/>
            <color indexed="81"/>
            <rFont val="Tahoma"/>
            <family val="2"/>
          </rPr>
          <t xml:space="preserve">
Weatherford</t>
        </r>
      </text>
    </comment>
    <comment ref="B18" authorId="0">
      <text>
        <r>
          <rPr>
            <b/>
            <sz val="8"/>
            <color indexed="81"/>
            <rFont val="Tahoma"/>
            <family val="2"/>
          </rPr>
          <t>cruz.ma:</t>
        </r>
        <r>
          <rPr>
            <sz val="8"/>
            <color indexed="81"/>
            <rFont val="Tahoma"/>
            <family val="2"/>
          </rPr>
          <t xml:space="preserve">
BJ wells</t>
        </r>
      </text>
    </comment>
    <comment ref="AF43" authorId="0">
      <text>
        <r>
          <rPr>
            <b/>
            <sz val="8"/>
            <color indexed="81"/>
            <rFont val="Tahoma"/>
            <family val="2"/>
          </rPr>
          <t>cruz.ma:</t>
        </r>
        <r>
          <rPr>
            <sz val="8"/>
            <color indexed="81"/>
            <rFont val="Tahoma"/>
            <family val="2"/>
          </rPr>
          <t xml:space="preserve">
Tin to check</t>
        </r>
      </text>
    </comment>
    <comment ref="AF46" authorId="0">
      <text>
        <r>
          <rPr>
            <b/>
            <sz val="8"/>
            <color indexed="81"/>
            <rFont val="Tahoma"/>
            <family val="2"/>
          </rPr>
          <t>cruz.ma:</t>
        </r>
        <r>
          <rPr>
            <sz val="8"/>
            <color indexed="81"/>
            <rFont val="Tahoma"/>
            <family val="2"/>
          </rPr>
          <t xml:space="preserve">
Tin to check</t>
        </r>
      </text>
    </comment>
  </commentList>
</comments>
</file>

<file path=xl/comments2.xml><?xml version="1.0" encoding="utf-8"?>
<comments xmlns="http://schemas.openxmlformats.org/spreadsheetml/2006/main">
  <authors>
    <author>reguis.mu</author>
  </authors>
  <commentList>
    <comment ref="E38" authorId="0">
      <text>
        <r>
          <rPr>
            <b/>
            <sz val="9"/>
            <color indexed="81"/>
            <rFont val="Tahoma"/>
            <family val="2"/>
          </rPr>
          <t>reguis.mu:</t>
        </r>
        <r>
          <rPr>
            <sz val="9"/>
            <color indexed="81"/>
            <rFont val="Tahoma"/>
            <family val="2"/>
          </rPr>
          <t xml:space="preserve">
changed from 175K to 150K as per advised of RAE - 2/10/16</t>
        </r>
      </text>
    </comment>
    <comment ref="G38" authorId="0">
      <text>
        <r>
          <rPr>
            <b/>
            <sz val="9"/>
            <color indexed="81"/>
            <rFont val="Tahoma"/>
            <family val="2"/>
          </rPr>
          <t>reguis.mu:</t>
        </r>
        <r>
          <rPr>
            <sz val="9"/>
            <color indexed="81"/>
            <rFont val="Tahoma"/>
            <family val="2"/>
          </rPr>
          <t xml:space="preserve">
changed from 11K to 16K as per advised of RAE - 2/10/16</t>
        </r>
      </text>
    </comment>
  </commentList>
</comments>
</file>

<file path=xl/comments3.xml><?xml version="1.0" encoding="utf-8"?>
<comments xmlns="http://schemas.openxmlformats.org/spreadsheetml/2006/main">
  <authors>
    <author>cruz.ma</author>
  </authors>
  <commentList>
    <comment ref="A12" authorId="0">
      <text>
        <r>
          <rPr>
            <b/>
            <sz val="8"/>
            <color indexed="81"/>
            <rFont val="Tahoma"/>
            <family val="2"/>
          </rPr>
          <t>2 trips per day</t>
        </r>
      </text>
    </comment>
    <comment ref="C12" authorId="0">
      <text>
        <r>
          <rPr>
            <sz val="8"/>
            <color indexed="81"/>
            <rFont val="Tahoma"/>
            <family val="2"/>
          </rPr>
          <t>2 trips per day</t>
        </r>
      </text>
    </comment>
  </commentList>
</comments>
</file>

<file path=xl/comments4.xml><?xml version="1.0" encoding="utf-8"?>
<comments xmlns="http://schemas.openxmlformats.org/spreadsheetml/2006/main">
  <authors>
    <author>reguis.mu</author>
  </authors>
  <commentList>
    <comment ref="P6" authorId="0">
      <text>
        <r>
          <rPr>
            <b/>
            <sz val="9"/>
            <color indexed="81"/>
            <rFont val="Tahoma"/>
            <family val="2"/>
          </rPr>
          <t>reguis.mu:</t>
        </r>
        <r>
          <rPr>
            <sz val="9"/>
            <color indexed="81"/>
            <rFont val="Tahoma"/>
            <family val="2"/>
          </rPr>
          <t xml:space="preserve">
amount is based on 2016 actual depreciation - from Accounting (as per Reilgen Codilla).
2016 budget is only 1.8M, some assets maybe budgetted with different cost center not under DG</t>
        </r>
      </text>
    </comment>
  </commentList>
</comments>
</file>

<file path=xl/comments5.xml><?xml version="1.0" encoding="utf-8"?>
<comments xmlns="http://schemas.openxmlformats.org/spreadsheetml/2006/main">
  <authors>
    <author>Arvin Jose A. Gomez</author>
    <author>gomez.aj</author>
  </authors>
  <commentList>
    <comment ref="F16" authorId="0">
      <text>
        <r>
          <rPr>
            <b/>
            <sz val="9"/>
            <color indexed="81"/>
            <rFont val="Tahoma"/>
            <family val="2"/>
          </rPr>
          <t>Arvin Jose A. Gomez:</t>
        </r>
        <r>
          <rPr>
            <sz val="9"/>
            <color indexed="81"/>
            <rFont val="Tahoma"/>
            <family val="2"/>
          </rPr>
          <t xml:space="preserve">
41169 - Wrong Code
</t>
        </r>
      </text>
    </comment>
    <comment ref="H42" authorId="1">
      <text>
        <r>
          <rPr>
            <b/>
            <sz val="9"/>
            <color indexed="81"/>
            <rFont val="Tahoma"/>
            <family val="2"/>
          </rPr>
          <t>gomez.aj:</t>
        </r>
        <r>
          <rPr>
            <sz val="9"/>
            <color indexed="81"/>
            <rFont val="Tahoma"/>
            <family val="2"/>
          </rPr>
          <t xml:space="preserve">
97 joints not part of 13-3/8" inventory
</t>
        </r>
      </text>
    </comment>
    <comment ref="F49" authorId="0">
      <text>
        <r>
          <rPr>
            <b/>
            <sz val="9"/>
            <color indexed="81"/>
            <rFont val="Tahoma"/>
            <family val="2"/>
          </rPr>
          <t>Arvin Jose A. Gomez:</t>
        </r>
        <r>
          <rPr>
            <sz val="9"/>
            <color indexed="81"/>
            <rFont val="Tahoma"/>
            <family val="2"/>
          </rPr>
          <t xml:space="preserve">
'13-3/8" x 17-1/2" CENTRALIZER 
 (BOW TYPE)</t>
        </r>
      </text>
    </comment>
    <comment ref="F50" authorId="0">
      <text>
        <r>
          <rPr>
            <b/>
            <sz val="9"/>
            <color indexed="81"/>
            <rFont val="Tahoma"/>
            <family val="2"/>
          </rPr>
          <t>Arvin Jose A. Gomez:</t>
        </r>
        <r>
          <rPr>
            <sz val="9"/>
            <color indexed="81"/>
            <rFont val="Tahoma"/>
            <family val="2"/>
          </rPr>
          <t xml:space="preserve">
MC# for Deletion
</t>
        </r>
      </text>
    </comment>
    <comment ref="F51" authorId="0">
      <text>
        <r>
          <rPr>
            <b/>
            <sz val="9"/>
            <color indexed="81"/>
            <rFont val="Tahoma"/>
            <family val="2"/>
          </rPr>
          <t>Arvin Jose A. Gomez:</t>
        </r>
        <r>
          <rPr>
            <sz val="9"/>
            <color indexed="81"/>
            <rFont val="Tahoma"/>
            <family val="2"/>
          </rPr>
          <t xml:space="preserve">
MC# for Deletion
</t>
        </r>
      </text>
    </comment>
    <comment ref="E52" authorId="1">
      <text>
        <r>
          <rPr>
            <b/>
            <sz val="9"/>
            <color indexed="81"/>
            <rFont val="Tahoma"/>
            <family val="2"/>
          </rPr>
          <t>gomez.aj:</t>
        </r>
        <r>
          <rPr>
            <sz val="9"/>
            <color indexed="81"/>
            <rFont val="Tahoma"/>
            <family val="2"/>
          </rPr>
          <t xml:space="preserve">
29864</t>
        </r>
      </text>
    </comment>
    <comment ref="H56" authorId="1">
      <text>
        <r>
          <rPr>
            <b/>
            <sz val="9"/>
            <color indexed="81"/>
            <rFont val="Tahoma"/>
            <family val="2"/>
          </rPr>
          <t>gomez.aj:</t>
        </r>
        <r>
          <rPr>
            <sz val="9"/>
            <color indexed="81"/>
            <rFont val="Tahoma"/>
            <family val="2"/>
          </rPr>
          <t xml:space="preserve">
Option not no buy.  We will use Float Shoe</t>
        </r>
      </text>
    </comment>
    <comment ref="H57" authorId="1">
      <text>
        <r>
          <rPr>
            <b/>
            <sz val="9"/>
            <color indexed="81"/>
            <rFont val="Tahoma"/>
            <family val="2"/>
          </rPr>
          <t>gomez.aj:</t>
        </r>
        <r>
          <rPr>
            <sz val="9"/>
            <color indexed="81"/>
            <rFont val="Tahoma"/>
            <family val="2"/>
          </rPr>
          <t xml:space="preserve">
9634-pack-off bushing
13465- drill pipe wiper plug (rigger)
13466 -LWP</t>
        </r>
      </text>
    </comment>
    <comment ref="H63" authorId="1">
      <text>
        <r>
          <rPr>
            <b/>
            <sz val="9"/>
            <color indexed="81"/>
            <rFont val="Tahoma"/>
            <family val="2"/>
          </rPr>
          <t>gomez.aj:</t>
        </r>
        <r>
          <rPr>
            <sz val="9"/>
            <color indexed="81"/>
            <rFont val="Tahoma"/>
            <family val="2"/>
          </rPr>
          <t xml:space="preserve">
Includes SL Boss and BTC Casings</t>
        </r>
      </text>
    </comment>
    <comment ref="E68" authorId="0">
      <text>
        <r>
          <rPr>
            <b/>
            <sz val="9"/>
            <color indexed="81"/>
            <rFont val="Tahoma"/>
            <family val="2"/>
          </rPr>
          <t>Arvin Jose A. Gomez:</t>
        </r>
        <r>
          <rPr>
            <sz val="9"/>
            <color indexed="81"/>
            <rFont val="Tahoma"/>
            <family val="2"/>
          </rPr>
          <t xml:space="preserve">
14331 - SLB
67985 - BTC</t>
        </r>
      </text>
    </comment>
    <comment ref="F68" authorId="0">
      <text>
        <r>
          <rPr>
            <b/>
            <sz val="9"/>
            <color indexed="81"/>
            <rFont val="Tahoma"/>
            <family val="2"/>
          </rPr>
          <t>Arvin Jose A. Gomez:</t>
        </r>
        <r>
          <rPr>
            <sz val="9"/>
            <color indexed="81"/>
            <rFont val="Tahoma"/>
            <family val="2"/>
          </rPr>
          <t xml:space="preserve">
MC# - SLB</t>
        </r>
      </text>
    </comment>
    <comment ref="H82" authorId="1">
      <text>
        <r>
          <rPr>
            <b/>
            <sz val="9"/>
            <color indexed="81"/>
            <rFont val="Tahoma"/>
            <family val="2"/>
          </rPr>
          <t>gomez.aj:</t>
        </r>
        <r>
          <rPr>
            <sz val="9"/>
            <color indexed="81"/>
            <rFont val="Tahoma"/>
            <family val="2"/>
          </rPr>
          <t xml:space="preserve">
Buffer Quantity for Relining of Wells
2x 800 m / 11.5 m per joint</t>
        </r>
      </text>
    </comment>
    <comment ref="H83" authorId="1">
      <text>
        <r>
          <rPr>
            <b/>
            <sz val="9"/>
            <color indexed="81"/>
            <rFont val="Tahoma"/>
            <family val="2"/>
          </rPr>
          <t>gomez.aj:</t>
        </r>
        <r>
          <rPr>
            <sz val="9"/>
            <color indexed="81"/>
            <rFont val="Tahoma"/>
            <family val="2"/>
          </rPr>
          <t xml:space="preserve">
Buffer Quantity for Relining of Wells
2x 800 m / 11.5 m per joint</t>
        </r>
      </text>
    </comment>
    <comment ref="H85" authorId="1">
      <text>
        <r>
          <rPr>
            <b/>
            <sz val="9"/>
            <color indexed="81"/>
            <rFont val="Tahoma"/>
            <family val="2"/>
          </rPr>
          <t>gomez.aj:</t>
        </r>
        <r>
          <rPr>
            <sz val="9"/>
            <color indexed="81"/>
            <rFont val="Tahoma"/>
            <family val="2"/>
          </rPr>
          <t xml:space="preserve">
Stock Levels are based on  3 year data projection ____???
Buffer for this casing size is 1 well</t>
        </r>
      </text>
    </comment>
    <comment ref="H86" authorId="1">
      <text>
        <r>
          <rPr>
            <b/>
            <sz val="9"/>
            <color indexed="81"/>
            <rFont val="Tahoma"/>
            <family val="2"/>
          </rPr>
          <t>gomez.aj:</t>
        </r>
        <r>
          <rPr>
            <sz val="9"/>
            <color indexed="81"/>
            <rFont val="Tahoma"/>
            <family val="2"/>
          </rPr>
          <t xml:space="preserve">
per JV and GRC, no need</t>
        </r>
      </text>
    </comment>
    <comment ref="E92" authorId="1">
      <text>
        <r>
          <rPr>
            <b/>
            <sz val="9"/>
            <color indexed="81"/>
            <rFont val="Tahoma"/>
            <family val="2"/>
          </rPr>
          <t>gomez.aj:</t>
        </r>
        <r>
          <rPr>
            <sz val="9"/>
            <color indexed="81"/>
            <rFont val="Tahoma"/>
            <family val="2"/>
          </rPr>
          <t xml:space="preserve">
10416 - BESTOLIFE SLB (Premium Thread Compound &amp; Bestolife Storage Compound)</t>
        </r>
      </text>
    </comment>
    <comment ref="E93" authorId="1">
      <text>
        <r>
          <rPr>
            <b/>
            <sz val="9"/>
            <color indexed="81"/>
            <rFont val="Tahoma"/>
            <family val="2"/>
          </rPr>
          <t>gomez.aj:</t>
        </r>
        <r>
          <rPr>
            <sz val="9"/>
            <color indexed="81"/>
            <rFont val="Tahoma"/>
            <family val="2"/>
          </rPr>
          <t xml:space="preserve">
10421   - (FORUM-BTC)</t>
        </r>
      </text>
    </comment>
    <comment ref="E94" authorId="1">
      <text>
        <r>
          <rPr>
            <b/>
            <sz val="9"/>
            <color indexed="81"/>
            <rFont val="Tahoma"/>
            <family val="2"/>
          </rPr>
          <t>gomez.aj:</t>
        </r>
        <r>
          <rPr>
            <sz val="9"/>
            <color indexed="81"/>
            <rFont val="Tahoma"/>
            <family val="2"/>
          </rPr>
          <t xml:space="preserve">
110533 - Bestolife
</t>
        </r>
      </text>
    </comment>
  </commentList>
</comments>
</file>

<file path=xl/comments6.xml><?xml version="1.0" encoding="utf-8"?>
<comments xmlns="http://schemas.openxmlformats.org/spreadsheetml/2006/main">
  <authors>
    <author>reguis.mu</author>
    <author>Jan Kenneth O. Nora</author>
  </authors>
  <commentList>
    <comment ref="H6" authorId="0">
      <text>
        <r>
          <rPr>
            <b/>
            <sz val="9"/>
            <color indexed="81"/>
            <rFont val="Tahoma"/>
            <family val="2"/>
          </rPr>
          <t>reguis.mu:</t>
        </r>
        <r>
          <rPr>
            <sz val="9"/>
            <color indexed="81"/>
            <rFont val="Tahoma"/>
            <family val="2"/>
          </rPr>
          <t xml:space="preserve">
w/o Rig move &amp; Completion days</t>
        </r>
      </text>
    </comment>
    <comment ref="AB10" authorId="0">
      <text>
        <r>
          <rPr>
            <b/>
            <sz val="9"/>
            <color indexed="81"/>
            <rFont val="Tahoma"/>
            <family val="2"/>
          </rPr>
          <t>reguis.mu:</t>
        </r>
        <r>
          <rPr>
            <sz val="9"/>
            <color indexed="81"/>
            <rFont val="Tahoma"/>
            <family val="2"/>
          </rPr>
          <t xml:space="preserve">
</t>
        </r>
      </text>
    </comment>
    <comment ref="D31" authorId="0">
      <text>
        <r>
          <rPr>
            <b/>
            <sz val="9"/>
            <color indexed="81"/>
            <rFont val="Tahoma"/>
            <family val="2"/>
          </rPr>
          <t>reguis.mu:</t>
        </r>
        <r>
          <rPr>
            <sz val="9"/>
            <color indexed="81"/>
            <rFont val="Tahoma"/>
            <family val="2"/>
          </rPr>
          <t xml:space="preserve">
updated as of Feb. 3, 2016</t>
        </r>
      </text>
    </comment>
    <comment ref="D32" authorId="0">
      <text>
        <r>
          <rPr>
            <b/>
            <sz val="9"/>
            <color indexed="81"/>
            <rFont val="Tahoma"/>
            <family val="2"/>
          </rPr>
          <t>reguis.mu:</t>
        </r>
        <r>
          <rPr>
            <sz val="9"/>
            <color indexed="81"/>
            <rFont val="Tahoma"/>
            <family val="2"/>
          </rPr>
          <t xml:space="preserve">
updated as of Feb. 23, 2016</t>
        </r>
      </text>
    </comment>
    <comment ref="AI61" authorId="0">
      <text>
        <r>
          <rPr>
            <b/>
            <sz val="9"/>
            <color indexed="81"/>
            <rFont val="Tahoma"/>
            <family val="2"/>
          </rPr>
          <t>JON:</t>
        </r>
        <r>
          <rPr>
            <sz val="9"/>
            <color indexed="81"/>
            <rFont val="Tahoma"/>
            <family val="2"/>
          </rPr>
          <t xml:space="preserve">
Addition of surface drilling days to surface flat spot if big hole</t>
        </r>
      </text>
    </comment>
    <comment ref="AD70" authorId="1">
      <text>
        <r>
          <rPr>
            <b/>
            <sz val="9"/>
            <color indexed="81"/>
            <rFont val="Tahoma"/>
            <family val="2"/>
          </rPr>
          <t>JON/AZDG:</t>
        </r>
        <r>
          <rPr>
            <sz val="9"/>
            <color indexed="81"/>
            <rFont val="Tahoma"/>
            <family val="2"/>
          </rPr>
          <t xml:space="preserve">
9 days is consistent on any hole size or number of liners</t>
        </r>
      </text>
    </comment>
  </commentList>
</comments>
</file>

<file path=xl/comments7.xml><?xml version="1.0" encoding="utf-8"?>
<comments xmlns="http://schemas.openxmlformats.org/spreadsheetml/2006/main">
  <authors>
    <author>reguis.mu</author>
    <author>cruz.ma</author>
  </authors>
  <commentList>
    <comment ref="B6" authorId="0">
      <text>
        <r>
          <rPr>
            <b/>
            <sz val="9"/>
            <color indexed="81"/>
            <rFont val="Tahoma"/>
            <family val="2"/>
          </rPr>
          <t>reguis.mu:</t>
        </r>
        <r>
          <rPr>
            <sz val="9"/>
            <color indexed="81"/>
            <rFont val="Tahoma"/>
            <family val="2"/>
          </rPr>
          <t xml:space="preserve">
2/10/16- changed from 2 to 3 as per advised of AZDG</t>
        </r>
      </text>
    </comment>
    <comment ref="D6" authorId="0">
      <text>
        <r>
          <rPr>
            <b/>
            <sz val="9"/>
            <color indexed="81"/>
            <rFont val="Tahoma"/>
            <family val="2"/>
          </rPr>
          <t>reguis.mu:</t>
        </r>
        <r>
          <rPr>
            <sz val="9"/>
            <color indexed="81"/>
            <rFont val="Tahoma"/>
            <family val="2"/>
          </rPr>
          <t xml:space="preserve">
2/10/16- changed from 2 to 3 as per advised of AZDG</t>
        </r>
      </text>
    </comment>
    <comment ref="C24" authorId="0">
      <text>
        <r>
          <rPr>
            <b/>
            <sz val="9"/>
            <color indexed="81"/>
            <rFont val="Tahoma"/>
            <family val="2"/>
          </rPr>
          <t>reguis.mu:</t>
        </r>
        <r>
          <rPr>
            <sz val="9"/>
            <color indexed="81"/>
            <rFont val="Tahoma"/>
            <family val="2"/>
          </rPr>
          <t xml:space="preserve">
updated on 2/3/16 (from qty 1 to 0 - as advised by JMP </t>
        </r>
      </text>
    </comment>
    <comment ref="C26" authorId="0">
      <text>
        <r>
          <rPr>
            <b/>
            <sz val="9"/>
            <color indexed="81"/>
            <rFont val="Tahoma"/>
            <family val="2"/>
          </rPr>
          <t>reguis.mu:</t>
        </r>
        <r>
          <rPr>
            <sz val="9"/>
            <color indexed="81"/>
            <rFont val="Tahoma"/>
            <family val="2"/>
          </rPr>
          <t xml:space="preserve">
2/10/16 - changed from 0 to 1 (MFM)</t>
        </r>
      </text>
    </comment>
    <comment ref="I30" authorId="1">
      <text>
        <r>
          <rPr>
            <b/>
            <sz val="8"/>
            <color indexed="81"/>
            <rFont val="Tahoma"/>
            <family val="2"/>
          </rPr>
          <t>same rate with 7"</t>
        </r>
      </text>
    </comment>
    <comment ref="B32" authorId="1">
      <text>
        <r>
          <rPr>
            <b/>
            <sz val="8"/>
            <color indexed="81"/>
            <rFont val="Tahoma"/>
            <family val="2"/>
          </rPr>
          <t>same rate with 7"</t>
        </r>
      </text>
    </comment>
    <comment ref="B52" authorId="1">
      <text>
        <r>
          <rPr>
            <b/>
            <sz val="8"/>
            <color indexed="81"/>
            <rFont val="Tahoma"/>
            <family val="2"/>
          </rPr>
          <t>12-1/4"</t>
        </r>
      </text>
    </comment>
    <comment ref="B54" authorId="1">
      <text>
        <r>
          <rPr>
            <b/>
            <sz val="8"/>
            <color indexed="81"/>
            <rFont val="Tahoma"/>
            <family val="2"/>
          </rPr>
          <t>25.75" - 16.75"</t>
        </r>
      </text>
    </comment>
    <comment ref="B55" authorId="1">
      <text>
        <r>
          <rPr>
            <b/>
            <sz val="8"/>
            <color indexed="81"/>
            <rFont val="Tahoma"/>
            <family val="2"/>
          </rPr>
          <t>1st BIH</t>
        </r>
      </text>
    </comment>
    <comment ref="A88" authorId="1">
      <text>
        <r>
          <rPr>
            <b/>
            <sz val="8"/>
            <color indexed="81"/>
            <rFont val="Tahoma"/>
            <family val="2"/>
          </rPr>
          <t>same rate with 7"</t>
        </r>
      </text>
    </comment>
    <comment ref="A116" authorId="1">
      <text>
        <r>
          <rPr>
            <b/>
            <sz val="8"/>
            <color indexed="81"/>
            <rFont val="Tahoma"/>
            <family val="2"/>
          </rPr>
          <t>12-1/4"</t>
        </r>
      </text>
    </comment>
    <comment ref="A118" authorId="1">
      <text>
        <r>
          <rPr>
            <b/>
            <sz val="8"/>
            <color indexed="81"/>
            <rFont val="Tahoma"/>
            <family val="2"/>
          </rPr>
          <t>25.75" - 16.75"</t>
        </r>
      </text>
    </comment>
    <comment ref="A119" authorId="1">
      <text>
        <r>
          <rPr>
            <b/>
            <sz val="8"/>
            <color indexed="81"/>
            <rFont val="Tahoma"/>
            <family val="2"/>
          </rPr>
          <t>1st BIH</t>
        </r>
      </text>
    </comment>
  </commentList>
</comments>
</file>

<file path=xl/comments8.xml><?xml version="1.0" encoding="utf-8"?>
<comments xmlns="http://schemas.openxmlformats.org/spreadsheetml/2006/main">
  <authors>
    <author>cruz.ma</author>
  </authors>
  <commentList>
    <comment ref="A6" authorId="0">
      <text>
        <r>
          <rPr>
            <b/>
            <sz val="8"/>
            <color indexed="81"/>
            <rFont val="Tahoma"/>
            <family val="2"/>
          </rPr>
          <t>Supervisor</t>
        </r>
      </text>
    </comment>
    <comment ref="A7" authorId="0">
      <text>
        <r>
          <rPr>
            <b/>
            <sz val="8"/>
            <color indexed="81"/>
            <rFont val="Tahoma"/>
            <family val="2"/>
          </rPr>
          <t>operator</t>
        </r>
      </text>
    </comment>
  </commentList>
</comments>
</file>

<file path=xl/comments9.xml><?xml version="1.0" encoding="utf-8"?>
<comments xmlns="http://schemas.openxmlformats.org/spreadsheetml/2006/main">
  <authors>
    <author>cruz.ma</author>
    <author>reguis.mu</author>
  </authors>
  <commentList>
    <comment ref="I5" authorId="0">
      <text>
        <r>
          <rPr>
            <b/>
            <sz val="8"/>
            <color indexed="81"/>
            <rFont val="Tahoma"/>
            <family val="2"/>
          </rPr>
          <t>cruz.ma:</t>
        </r>
        <r>
          <rPr>
            <sz val="8"/>
            <color indexed="81"/>
            <rFont val="Tahoma"/>
            <family val="2"/>
          </rPr>
          <t xml:space="preserve">
TP cesar castanos</t>
        </r>
      </text>
    </comment>
    <comment ref="E43" authorId="1">
      <text>
        <r>
          <rPr>
            <b/>
            <sz val="9"/>
            <color indexed="81"/>
            <rFont val="Tahoma"/>
            <family val="2"/>
          </rPr>
          <t>reguis.mu:</t>
        </r>
        <r>
          <rPr>
            <sz val="9"/>
            <color indexed="81"/>
            <rFont val="Tahoma"/>
            <family val="2"/>
          </rPr>
          <t xml:space="preserve">
Based on Rig 2 Cost</t>
        </r>
      </text>
    </comment>
  </commentList>
</comments>
</file>

<file path=xl/comments10.xml><?xml version="1.0" encoding="utf-8"?>
<comments xmlns="http://schemas.openxmlformats.org/spreadsheetml/2006/main">
  <authors>
    <author>reguis.mu</author>
    <author>cruz.ma</author>
    <author>manuel.r</author>
  </authors>
  <commentList>
    <comment ref="AB89" authorId="0">
      <text>
        <r>
          <rPr>
            <b/>
            <sz val="9"/>
            <color indexed="81"/>
            <rFont val="Tahoma"/>
            <family val="2"/>
          </rPr>
          <t>reguis.mu:</t>
        </r>
        <r>
          <rPr>
            <sz val="9"/>
            <color indexed="81"/>
            <rFont val="Tahoma"/>
            <family val="2"/>
          </rPr>
          <t xml:space="preserve">
less 2 days for CHF Welding-charged to standby -c/o Jake Nora</t>
        </r>
      </text>
    </comment>
    <comment ref="U432" authorId="1">
      <text>
        <r>
          <rPr>
            <b/>
            <sz val="8"/>
            <color indexed="81"/>
            <rFont val="Tahoma"/>
            <family val="2"/>
          </rPr>
          <t>cruz.ma:</t>
        </r>
        <r>
          <rPr>
            <sz val="8"/>
            <color indexed="81"/>
            <rFont val="Tahoma"/>
            <family val="2"/>
          </rPr>
          <t xml:space="preserve">
for removal</t>
        </r>
      </text>
    </comment>
    <comment ref="V445" authorId="1">
      <text>
        <r>
          <rPr>
            <b/>
            <sz val="8"/>
            <color indexed="81"/>
            <rFont val="Tahoma"/>
            <family val="2"/>
          </rPr>
          <t>per hour</t>
        </r>
      </text>
    </comment>
    <comment ref="AM449" authorId="0">
      <text>
        <r>
          <rPr>
            <b/>
            <sz val="9"/>
            <color indexed="81"/>
            <rFont val="Tahoma"/>
            <family val="2"/>
          </rPr>
          <t>reguis.mu:</t>
        </r>
        <r>
          <rPr>
            <sz val="9"/>
            <color indexed="81"/>
            <rFont val="Tahoma"/>
            <family val="2"/>
          </rPr>
          <t xml:space="preserve">
No Reamer if Bighole-as per Jherson</t>
        </r>
      </text>
    </comment>
    <comment ref="V450" authorId="1">
      <text>
        <r>
          <rPr>
            <b/>
            <sz val="8"/>
            <color indexed="81"/>
            <rFont val="Tahoma"/>
            <family val="2"/>
          </rPr>
          <t>per hour</t>
        </r>
      </text>
    </comment>
    <comment ref="W502" authorId="2">
      <text>
        <r>
          <rPr>
            <b/>
            <sz val="9"/>
            <color indexed="81"/>
            <rFont val="Tahoma"/>
            <family val="2"/>
          </rPr>
          <t>manuel.r:</t>
        </r>
        <r>
          <rPr>
            <sz val="9"/>
            <color indexed="81"/>
            <rFont val="Tahoma"/>
            <family val="2"/>
          </rPr>
          <t xml:space="preserve">
</t>
        </r>
      </text>
    </comment>
    <comment ref="AB591" authorId="0">
      <text>
        <r>
          <rPr>
            <b/>
            <sz val="9"/>
            <color indexed="81"/>
            <rFont val="Tahoma"/>
            <family val="2"/>
          </rPr>
          <t>reguis.mu:</t>
        </r>
        <r>
          <rPr>
            <sz val="9"/>
            <color indexed="81"/>
            <rFont val="Tahoma"/>
            <family val="2"/>
          </rPr>
          <t xml:space="preserve">
less 2 days for CHF Welding-charged to standby -c/o Jake Nora</t>
        </r>
      </text>
    </comment>
    <comment ref="AB592" authorId="0">
      <text>
        <r>
          <rPr>
            <b/>
            <sz val="9"/>
            <color indexed="81"/>
            <rFont val="Tahoma"/>
            <family val="2"/>
          </rPr>
          <t>reguis.mu:</t>
        </r>
        <r>
          <rPr>
            <sz val="9"/>
            <color indexed="81"/>
            <rFont val="Tahoma"/>
            <family val="2"/>
          </rPr>
          <t xml:space="preserve">
standby during CHF Welding - c/o Jake Nora
</t>
        </r>
      </text>
    </comment>
    <comment ref="AH686" authorId="0">
      <text>
        <r>
          <rPr>
            <b/>
            <sz val="9"/>
            <color indexed="81"/>
            <rFont val="Tahoma"/>
            <family val="2"/>
          </rPr>
          <t>reguis.mu:</t>
        </r>
        <r>
          <rPr>
            <sz val="9"/>
            <color indexed="81"/>
            <rFont val="Tahoma"/>
            <family val="2"/>
          </rPr>
          <t xml:space="preserve">
as per advise by RB Manuel,  TD to completion still charge using operating rate</t>
        </r>
      </text>
    </comment>
  </commentList>
</comments>
</file>

<file path=xl/sharedStrings.xml><?xml version="1.0" encoding="utf-8"?>
<sst xmlns="http://schemas.openxmlformats.org/spreadsheetml/2006/main" count="9459" uniqueCount="2720">
  <si>
    <t>AUTHORITY FOR EXPENDITURE</t>
  </si>
  <si>
    <t>AFE CONTROL No.</t>
  </si>
  <si>
    <t>F1 068 (REV 04/98)</t>
  </si>
  <si>
    <t>COMPANY</t>
  </si>
  <si>
    <t>LOCATION</t>
  </si>
  <si>
    <t>DATE PREPARED</t>
  </si>
  <si>
    <t>ENERGY DEV'T. CORP.</t>
  </si>
  <si>
    <t>EXPENDITURES (Check appropriate box)</t>
  </si>
  <si>
    <t>AFE ADMINISTRATOR</t>
  </si>
  <si>
    <t>CHARGE ACCOUNT/LA No.</t>
  </si>
  <si>
    <t>Capital</t>
  </si>
  <si>
    <t>Operating</t>
  </si>
  <si>
    <t>PROJECT DESCRIPTION (Indicate the activity category and a brief description of the project.)</t>
  </si>
  <si>
    <t>ESTIMATED SPUD  DATE</t>
  </si>
  <si>
    <t>ESTIMATED COMPLETION DATE</t>
  </si>
  <si>
    <t>PROJECT TYPE (Check appropriate box)</t>
  </si>
  <si>
    <t>Scope of Activity:</t>
  </si>
  <si>
    <t>Rig Mobilization</t>
  </si>
  <si>
    <t>Geoscientific Investigation</t>
  </si>
  <si>
    <t>Drilling of Well</t>
  </si>
  <si>
    <t>Well Drilling</t>
  </si>
  <si>
    <t>Completion Test</t>
  </si>
  <si>
    <t>Infrastructure / Civil Works</t>
  </si>
  <si>
    <t>Others   (Specify)</t>
  </si>
  <si>
    <t>( Including Rig Mobilization)</t>
  </si>
  <si>
    <t>EXPENSE CODE</t>
  </si>
  <si>
    <t>NATURE OF EXPENDITURE</t>
  </si>
  <si>
    <t>AMOUNT</t>
  </si>
  <si>
    <t>T O T A L</t>
  </si>
  <si>
    <t>BUDGET AVAILMENT</t>
  </si>
  <si>
    <t>SIGNATURES (Print Name &amp; Sign / Indicate Date Signed)</t>
  </si>
  <si>
    <t>AMOUNT (In MP)</t>
  </si>
  <si>
    <t>REQUESTED BY</t>
  </si>
  <si>
    <t>Total Budget for the Project</t>
  </si>
  <si>
    <t>Less:  Previous AFEs Issued</t>
  </si>
  <si>
    <t>RECOMMENDED BY</t>
  </si>
  <si>
    <t>Budget Balance Before This AFE</t>
  </si>
  <si>
    <t>REVIEWED/ENDORSED BY</t>
  </si>
  <si>
    <t>Less: This AFE MP</t>
  </si>
  <si>
    <t>Budget Balance After This AFE</t>
  </si>
  <si>
    <t>APPROVED BY</t>
  </si>
  <si>
    <t>days</t>
  </si>
  <si>
    <t>DRLG</t>
  </si>
  <si>
    <t>RIG MOVE</t>
  </si>
  <si>
    <t>WELL NAME :</t>
  </si>
  <si>
    <t>TOTAL DEPTH :</t>
  </si>
  <si>
    <t>TOTAL, PHP</t>
  </si>
  <si>
    <t>WELLNAME</t>
  </si>
  <si>
    <t>TOTAL DAYS</t>
  </si>
  <si>
    <t>RIG</t>
  </si>
  <si>
    <t>RIG 16</t>
  </si>
  <si>
    <t>PROJECT LOC.</t>
  </si>
  <si>
    <t>LGBU</t>
  </si>
  <si>
    <t>meters/day</t>
  </si>
  <si>
    <t>Regular Hole</t>
  </si>
  <si>
    <t>YES</t>
  </si>
  <si>
    <t>TARGET DEPTH</t>
  </si>
  <si>
    <t>RIG MOVE FROM</t>
  </si>
  <si>
    <t>PAD</t>
  </si>
  <si>
    <t>Big Hole</t>
  </si>
  <si>
    <t>NO</t>
  </si>
  <si>
    <t>RH or BH ?</t>
  </si>
  <si>
    <t>RIG MOVE DAYS</t>
  </si>
  <si>
    <t>DOUBLE LINER?</t>
  </si>
  <si>
    <t>SCIENTIFIC DRILLING INC.</t>
  </si>
  <si>
    <t>PROJECT</t>
  </si>
  <si>
    <t>RIG 5</t>
  </si>
  <si>
    <t>SAME PAD</t>
  </si>
  <si>
    <t>HOLE/CASING SUMARY</t>
  </si>
  <si>
    <t>SIZE, in</t>
  </si>
  <si>
    <t>DEPTH, m</t>
  </si>
  <si>
    <t>ACID SECTION</t>
  </si>
  <si>
    <t>HOLE</t>
  </si>
  <si>
    <t>CASING</t>
  </si>
  <si>
    <t>RIG 12</t>
  </si>
  <si>
    <t>HALLIBURTON DIRECTIONAL CO.</t>
  </si>
  <si>
    <t>SURFACE</t>
  </si>
  <si>
    <t>RIG 14</t>
  </si>
  <si>
    <t>INTERMEDIATE</t>
  </si>
  <si>
    <t>RIG 15</t>
  </si>
  <si>
    <t>PRODUCTION CSG</t>
  </si>
  <si>
    <t>PROD'N LINER 1</t>
  </si>
  <si>
    <t>PROD'N LINER 2</t>
  </si>
  <si>
    <t>FOREX, PHP/US$</t>
  </si>
  <si>
    <t>DIESEL, PHP/Liter</t>
  </si>
  <si>
    <t>HOLE SIZE</t>
  </si>
  <si>
    <t>CASING SIZES</t>
  </si>
  <si>
    <t>CASING ID</t>
  </si>
  <si>
    <t>RH</t>
  </si>
  <si>
    <t>DRLG LINER</t>
  </si>
  <si>
    <t>FLAT</t>
  </si>
  <si>
    <t>PROD'N LINER 3</t>
  </si>
  <si>
    <t>COST CENTER</t>
  </si>
  <si>
    <t>CT</t>
  </si>
  <si>
    <t>DRILLING</t>
  </si>
  <si>
    <t>ENERGY DEVELOPMENT CORPORATION</t>
  </si>
  <si>
    <t>RUN LINERS/ CSG-CMT'G/BOP</t>
  </si>
  <si>
    <t>WELL COST ESTIMATE</t>
  </si>
  <si>
    <t>TIE BACK</t>
  </si>
  <si>
    <t>WASH LINERS</t>
  </si>
  <si>
    <t>COMPLETION</t>
  </si>
  <si>
    <t>TOTAL</t>
  </si>
  <si>
    <t>RIG USED :</t>
  </si>
  <si>
    <t>daily cost</t>
  </si>
  <si>
    <t>casing/cmtg cost</t>
  </si>
  <si>
    <t>drilling cost</t>
  </si>
  <si>
    <t>perf'n/acid cost</t>
  </si>
  <si>
    <t>surface</t>
  </si>
  <si>
    <t>FOREX  :</t>
  </si>
  <si>
    <t>intermdiate</t>
  </si>
  <si>
    <t>TOTAL DRILLING DAYS:</t>
  </si>
  <si>
    <t>DIESEL  :</t>
  </si>
  <si>
    <t>prod csg</t>
  </si>
  <si>
    <t>RIG MOVE DAYS:</t>
  </si>
  <si>
    <t>prod liner</t>
  </si>
  <si>
    <t>PRODUCTION</t>
  </si>
  <si>
    <t>prod liner 2</t>
  </si>
  <si>
    <t>Hole Size Diameter,  Inches</t>
  </si>
  <si>
    <t>Hole Depths, Meters</t>
  </si>
  <si>
    <t>Casing Size Diameter, Inches</t>
  </si>
  <si>
    <t>Casing Depths, Meters</t>
  </si>
  <si>
    <t>Drilling Duration per Hole Size, days</t>
  </si>
  <si>
    <t>Flat Spot Duration per Hole Size, days</t>
  </si>
  <si>
    <t>SUB TOTALS</t>
  </si>
  <si>
    <t>MATERIALS AND SUPPLIES</t>
  </si>
  <si>
    <t>Cement and Additives</t>
  </si>
  <si>
    <t>Rockbits</t>
  </si>
  <si>
    <t>PURCHASED SERVICES</t>
  </si>
  <si>
    <t>Professional/Technical Services</t>
  </si>
  <si>
    <t>Rig Move</t>
  </si>
  <si>
    <t>EQUIPMENT RENTAL</t>
  </si>
  <si>
    <t>Equipment Rental</t>
  </si>
  <si>
    <t>Cost / Interval</t>
  </si>
  <si>
    <t>Total Drilling</t>
  </si>
  <si>
    <t>N A T U R E   O F   E X P E N S E</t>
  </si>
  <si>
    <t>A. MATERIALS AND SUPPLIES</t>
  </si>
  <si>
    <t>FUEL</t>
  </si>
  <si>
    <t>intermediate</t>
  </si>
  <si>
    <t>QTY</t>
  </si>
  <si>
    <t>EQUIPMENT</t>
  </si>
  <si>
    <t>Liters / Day</t>
  </si>
  <si>
    <t>TOTAL, LITERS</t>
  </si>
  <si>
    <t>Rig</t>
  </si>
  <si>
    <t>Crane</t>
  </si>
  <si>
    <t>Cementing Unit</t>
  </si>
  <si>
    <t>Forkloader</t>
  </si>
  <si>
    <t>Air Drilling Equipment</t>
  </si>
  <si>
    <t>COST</t>
  </si>
  <si>
    <t>UNIT COST</t>
  </si>
  <si>
    <t>50-T Crane</t>
  </si>
  <si>
    <t>LUBRICANTS (10% OF FUEL COST)</t>
  </si>
  <si>
    <t>MUD CHEMICALS</t>
  </si>
  <si>
    <t>QUANTITIES</t>
  </si>
  <si>
    <t>UNIT</t>
  </si>
  <si>
    <t>OS-1</t>
  </si>
  <si>
    <t>OS-1L</t>
  </si>
  <si>
    <t>Zinc Carbonate</t>
  </si>
  <si>
    <t>Sodium Bicarbonate</t>
  </si>
  <si>
    <t>Soda Ash</t>
  </si>
  <si>
    <t>CEMENT &amp; ADDITIVES</t>
  </si>
  <si>
    <t>gal</t>
  </si>
  <si>
    <t>COST (BJ Rates)</t>
  </si>
  <si>
    <t>ROCKBITS</t>
  </si>
  <si>
    <t>piece</t>
  </si>
  <si>
    <t>DRILLING SUPPLIES</t>
  </si>
  <si>
    <t>Shale Shaker Screens</t>
  </si>
  <si>
    <t>32" TCI Cutters</t>
  </si>
  <si>
    <t>set</t>
  </si>
  <si>
    <t>CASINGS &amp; WELLHEAD</t>
  </si>
  <si>
    <t>joint</t>
  </si>
  <si>
    <t>lot</t>
  </si>
  <si>
    <t>C.  TOTAL COST OF PURCHASED SERVICES</t>
  </si>
  <si>
    <t>PROFESSIONAL &amp; TECHNICAL SERVICES</t>
  </si>
  <si>
    <t>1.  CEMENTING</t>
  </si>
  <si>
    <t>per job</t>
  </si>
  <si>
    <t>Top Job</t>
  </si>
  <si>
    <t>Cement Plug</t>
  </si>
  <si>
    <t>per day</t>
  </si>
  <si>
    <t>Batch Mixer Operator</t>
  </si>
  <si>
    <t>RATE, US$</t>
  </si>
  <si>
    <t>2.  DIRECTIONAL DRILLING</t>
  </si>
  <si>
    <t>ITEM</t>
  </si>
  <si>
    <t>3. MUD ENGINEERING</t>
  </si>
  <si>
    <t>MUD ENGINEER</t>
  </si>
  <si>
    <t>4. AERATED DRILLING</t>
  </si>
  <si>
    <t>Equipment Operating Rate</t>
  </si>
  <si>
    <t>Equipment Standby Rate</t>
  </si>
  <si>
    <t>/ day for 2 pax</t>
  </si>
  <si>
    <t>/ day for 4 pax</t>
  </si>
  <si>
    <t>CONSUMABLES</t>
  </si>
  <si>
    <t>Rotating Rubber Head</t>
  </si>
  <si>
    <t>per piece</t>
  </si>
  <si>
    <t>Corrosion Inhibitor</t>
  </si>
  <si>
    <t>per drum</t>
  </si>
  <si>
    <t>Defoamer</t>
  </si>
  <si>
    <t>Surfactant</t>
  </si>
  <si>
    <t>Rotating Head Refurbishment</t>
  </si>
  <si>
    <t>each</t>
  </si>
  <si>
    <t>FV and Sub Inspection and Refurbishment</t>
  </si>
  <si>
    <t>per move</t>
  </si>
  <si>
    <t>COST (ADA Rates)</t>
  </si>
  <si>
    <t>5. JARS AND SHOCK TOOLS</t>
  </si>
  <si>
    <t>lump sum</t>
  </si>
  <si>
    <t>RATE, PHP</t>
  </si>
  <si>
    <t>CHF WELDING</t>
  </si>
  <si>
    <t>8. CASING RUNNING SERVICES</t>
  </si>
  <si>
    <t>RUNNING SERVICE</t>
  </si>
  <si>
    <t>PER DAY</t>
  </si>
  <si>
    <t>Standby Rate</t>
  </si>
  <si>
    <t>RATE</t>
  </si>
  <si>
    <t>TOTAL # OF TRIPS</t>
  </si>
  <si>
    <t>NO. OF HRS/TRIPS</t>
  </si>
  <si>
    <t>40 FT HI-BED TRAILER</t>
  </si>
  <si>
    <t>40 FT SEMI-LOW BED TRAILER (35T)</t>
  </si>
  <si>
    <t>35 FT LOW BED TRAILER (60T)</t>
  </si>
  <si>
    <t>LCT</t>
  </si>
  <si>
    <t>70-T CRANE</t>
  </si>
  <si>
    <t>50-T CRANE</t>
  </si>
  <si>
    <t>PAYLOADER</t>
  </si>
  <si>
    <t>FORKLOADER</t>
  </si>
  <si>
    <t>TOWING EQUIPMENT</t>
  </si>
  <si>
    <t>BOOM TRUCK</t>
  </si>
  <si>
    <t>D.  TOTAL COST OF RENTALS</t>
  </si>
  <si>
    <t>50T CRANE</t>
  </si>
  <si>
    <t>70T CRANE</t>
  </si>
  <si>
    <t>5TUT PUMP</t>
  </si>
  <si>
    <t>MUD TANKS (OPERATING)</t>
  </si>
  <si>
    <t>MUD TANKS (STANDBY)</t>
  </si>
  <si>
    <t>MUD TANKS (GENSET)</t>
  </si>
  <si>
    <t>MUD TANKS (MOB-DEMOB CHARGES)</t>
  </si>
  <si>
    <t>MUD TANKS (GENSET, MOB-DEMOB)</t>
  </si>
  <si>
    <t>CUTTINGS CORRAL (MOB)</t>
  </si>
  <si>
    <t>CUTTINGS CORRAL (OPERATING)</t>
  </si>
  <si>
    <t>CUTTINGS CORRAL (STANDBY)</t>
  </si>
  <si>
    <t>29-1/2" BOP RENTAL</t>
  </si>
  <si>
    <t>VSAT</t>
  </si>
  <si>
    <t>HOURLY</t>
  </si>
  <si>
    <t>DAILY</t>
  </si>
  <si>
    <t>LUMP SUM</t>
  </si>
  <si>
    <t>1) Regular Hole: $34,000 per month or ~$1133 per day + $370 per day (Jampro) = ~$1,550 per day (30 days per month)</t>
  </si>
  <si>
    <t>2) Big Hole: $50,000 + $34,000 per month (Reg. hole Package) = $2,800 per day (30 days per month), with Jampro</t>
  </si>
  <si>
    <t>F</t>
  </si>
  <si>
    <t>REGULAR HOLE</t>
  </si>
  <si>
    <t>BIG HOLE</t>
  </si>
  <si>
    <t>26" CASING (X56, 203 ppf, LEOPARD SD)</t>
  </si>
  <si>
    <t>20" CASING (K55, 133 ppf, BTC)</t>
  </si>
  <si>
    <t>26" FLOAT SHOE (Stab-In/Latch-In, Butt-Weld)</t>
  </si>
  <si>
    <t>20" FLOAT SHOE</t>
  </si>
  <si>
    <t>26" CENTRALIZER (26" x 32")</t>
  </si>
  <si>
    <t>20" FLOAT COLLAR (Stab-In/Latch-In)</t>
  </si>
  <si>
    <t>18-5/8" FLOAT SHOE</t>
  </si>
  <si>
    <t>20" CENTRALIZER (20" x 26")</t>
  </si>
  <si>
    <t>18-5/8" FLOAT COLLAR</t>
  </si>
  <si>
    <t>13-3/8" CASING (L80, 68 ppf, SL Boss)</t>
  </si>
  <si>
    <t>13-3/8" FLOAT SHOE (SL Boss)</t>
  </si>
  <si>
    <t>18-5/8" CEMENT BASKET (18-5/8" x 23")</t>
  </si>
  <si>
    <t>13-3/8" FLOAT COLLAR (SL Boss)</t>
  </si>
  <si>
    <t>13-3/8" CENTRALIZER (13-3/8" x 17-1/2")</t>
  </si>
  <si>
    <t>13-3/8" STAND-OFF CENTRALIZER (13-3/8" x 18-1/4")</t>
  </si>
  <si>
    <t>13-3/8" CEMENT BASKET (13-3/8" x 17-1/2")</t>
  </si>
  <si>
    <t>9-5/8" CASING (L80, 47 ppf, SL Boss)</t>
  </si>
  <si>
    <t>9-5/8" FLOAT SHOE ( SL Boss)</t>
  </si>
  <si>
    <t>9-5/8" FLOAT COLLAR ( SL Boss)</t>
  </si>
  <si>
    <t>9-5/8" CENTRALIZER (9-5/8" x 12-1/4")</t>
  </si>
  <si>
    <t>9-5/8" STAND-OFF CENTRALIZER (9-5/8" x 12")</t>
  </si>
  <si>
    <t>9-5/8" CEMENT BASKET (9-5/8" x 12-1/4")</t>
  </si>
  <si>
    <t>9-5/8" TIE-BACK, LINER HANGER (9-5/8" X 13-3/8")</t>
  </si>
  <si>
    <t>8-5/8" LINER HANGER (8-5/8" x 10-3/4")</t>
  </si>
  <si>
    <t>7" LINER HANGER (7" x 9-5/8")</t>
  </si>
  <si>
    <t>20-3/4" x 3M (900S) CASING HEAD FLANGE</t>
  </si>
  <si>
    <t>20-3/4" x 3M x 13-5/8" x 3M EXPANSION SPOOL</t>
  </si>
  <si>
    <t>13-5/8" x 3M (900S) CASING HEAD FLANGE)</t>
  </si>
  <si>
    <t>12" x 900S MASTER VALVE</t>
  </si>
  <si>
    <t>13-5/8" x 3M x 11" x 3M EXPANSION SPOOL</t>
  </si>
  <si>
    <t>3-1/8" x 3m WING VALVES</t>
  </si>
  <si>
    <t>10" x 900S MASTER VALVE</t>
  </si>
  <si>
    <t>3-1/8" x 3M WING VALVES</t>
  </si>
  <si>
    <t>weatheford jars &amp; shocktool</t>
  </si>
  <si>
    <t>SHOCKTOOL</t>
  </si>
  <si>
    <t>4¾" DNT JAR</t>
  </si>
  <si>
    <t>REDRESS</t>
  </si>
  <si>
    <t>Directional Engineer</t>
  </si>
  <si>
    <t>MWD Engineer</t>
  </si>
  <si>
    <t>9-5/8" Mud Motor, rental</t>
  </si>
  <si>
    <t>9-5/8" Mud Motor, run charge</t>
  </si>
  <si>
    <t>9-5/8" Mud Motor, redress</t>
  </si>
  <si>
    <t>8" Mud Motor, rental</t>
  </si>
  <si>
    <t>8" Mud Motor, run charge</t>
  </si>
  <si>
    <t>8" Mud Motor, redress</t>
  </si>
  <si>
    <t>6-1/2" Mud Motor, rental</t>
  </si>
  <si>
    <t>6-3/4" Mud Motor, rental</t>
  </si>
  <si>
    <t>6-1/2" Mud Motor, run charge</t>
  </si>
  <si>
    <t>6-3/4" Mud Motor, run charge</t>
  </si>
  <si>
    <t>6-1/2" Mud Motor, redress</t>
  </si>
  <si>
    <t>MWD, operating</t>
  </si>
  <si>
    <t>MWD, rental</t>
  </si>
  <si>
    <t>EMS, rental</t>
  </si>
  <si>
    <t>EMS, redress</t>
  </si>
  <si>
    <t>8" Pony NMDC</t>
  </si>
  <si>
    <t>8" NMDC</t>
  </si>
  <si>
    <t>6-1/2" Pony NMDC</t>
  </si>
  <si>
    <t>6-1/2" NMDC</t>
  </si>
  <si>
    <t>26" Roller Reamer</t>
  </si>
  <si>
    <t>26" Donut Stabilizer</t>
  </si>
  <si>
    <t>26" Roller Reamer Redress</t>
  </si>
  <si>
    <t>26" Motor Sleeve Redress</t>
  </si>
  <si>
    <t>8" Motor Sleeve Redress</t>
  </si>
  <si>
    <t>6-1/2" Motor Sleeve Redress</t>
  </si>
  <si>
    <t>MWD Battery Charge</t>
  </si>
  <si>
    <t>LIH INSURANCE CHARGE SURFACE</t>
  </si>
  <si>
    <t>LIH INSURANCE CHARGE INTERMEDIATE</t>
  </si>
  <si>
    <t>LIH INSURANCE CHARGE PRODUCTION</t>
  </si>
  <si>
    <t>LIH INSURANCE CHARGE LINERS</t>
  </si>
  <si>
    <t>17-3/8" Motor Sleeve Redress</t>
  </si>
  <si>
    <t>OTHER TOOLS RENTAL</t>
  </si>
  <si>
    <t>9-1/2'' x 30' NMDC Daily Rental</t>
  </si>
  <si>
    <t>9-1/2'' x 10' SNMDC Daily Rental</t>
  </si>
  <si>
    <t>8'' x 30' NMDC Daily Rental</t>
  </si>
  <si>
    <t>8'' x 10' SNMDC Daily Rental</t>
  </si>
  <si>
    <t>6-1/2'' x 30' NMDC Daily Rental</t>
  </si>
  <si>
    <t>6-1/2'' x 10' SNMDC Daily Rental</t>
  </si>
  <si>
    <t>RIG NO.</t>
  </si>
  <si>
    <t>DAY RATE</t>
  </si>
  <si>
    <t>FIELD</t>
  </si>
  <si>
    <t>GENEX RATE</t>
  </si>
  <si>
    <t>SERVICE FEE</t>
  </si>
  <si>
    <t>THERMAPRIME</t>
  </si>
  <si>
    <t>BGBU</t>
  </si>
  <si>
    <t>RIG 10</t>
  </si>
  <si>
    <t>50T CRANE</t>
  </si>
  <si>
    <t>IDS</t>
  </si>
  <si>
    <t>Rig Move</t>
  </si>
  <si>
    <t>NO OF TRIPS</t>
  </si>
  <si>
    <t>HOURS / DAY</t>
  </si>
  <si>
    <t>COSL</t>
  </si>
  <si>
    <t>ADA</t>
  </si>
  <si>
    <t>ACID EQUIP</t>
  </si>
  <si>
    <t>BJ</t>
  </si>
  <si>
    <t>HBT</t>
  </si>
  <si>
    <t>SLBT</t>
  </si>
  <si>
    <t>LBT</t>
  </si>
  <si>
    <t>Bacon Manito</t>
  </si>
  <si>
    <t>Tongonan</t>
  </si>
  <si>
    <t>Mt Apo</t>
  </si>
  <si>
    <t>MOB/DEMOB</t>
  </si>
  <si>
    <t>1-5 KM</t>
  </si>
  <si>
    <t>5-10 KM</t>
  </si>
  <si>
    <t>&gt; 10 KM</t>
  </si>
  <si>
    <t>40-ftr High Bed Trailer</t>
  </si>
  <si>
    <t>40-ftr Semi Low Bed Trailer (35 T)</t>
  </si>
  <si>
    <t>35-ftr Low Bed Trailer (60 T)</t>
  </si>
  <si>
    <t>70-T Crane</t>
  </si>
  <si>
    <t>Payloader</t>
  </si>
  <si>
    <t>Towing Equipment</t>
  </si>
  <si>
    <t>Boomtruck</t>
  </si>
  <si>
    <t>%</t>
  </si>
  <si>
    <t>Fuel</t>
  </si>
  <si>
    <t>BH</t>
  </si>
  <si>
    <t>6. CHF INSTALLATION and NDT Inspection</t>
  </si>
  <si>
    <t>Drilling Schedule</t>
  </si>
  <si>
    <t>32"</t>
  </si>
  <si>
    <t>PHP</t>
  </si>
  <si>
    <t>USD</t>
  </si>
  <si>
    <t>7. MUD LOGGING SERVICES</t>
  </si>
  <si>
    <t>RATE, US</t>
  </si>
  <si>
    <t>7" Perforated CASING (K55, 26 ppf, BTC)</t>
  </si>
  <si>
    <t>7" Blank CASING (K55, 26 ppf, BTC)</t>
  </si>
  <si>
    <t>HALLIBURTON</t>
  </si>
  <si>
    <t>EMS, operating</t>
  </si>
  <si>
    <t>26" Stabilizer</t>
  </si>
  <si>
    <t>23" Stabilizer</t>
  </si>
  <si>
    <t>16"/ 16-1/2" Stabilizer</t>
  </si>
  <si>
    <t>9" NMDC</t>
  </si>
  <si>
    <t>12-1/4" Stabilizer</t>
  </si>
  <si>
    <t>8-1/2" Stabilizer</t>
  </si>
  <si>
    <t>EMS Redress</t>
  </si>
  <si>
    <t>Tubular Redress</t>
  </si>
  <si>
    <t>ALL</t>
  </si>
  <si>
    <t>MAGBU</t>
  </si>
  <si>
    <t>NIGBU</t>
  </si>
  <si>
    <t>DG</t>
  </si>
  <si>
    <t>DM CAPAPAS                    Date:</t>
  </si>
  <si>
    <t>EB PANTANGCO               Date:</t>
  </si>
  <si>
    <t>LEYTE GEOTHERMAL PRODUCTION FIELD</t>
  </si>
  <si>
    <t>TO</t>
  </si>
  <si>
    <t>AERATED?</t>
  </si>
  <si>
    <t>Drill and/or Flat</t>
  </si>
  <si>
    <t>Days</t>
  </si>
  <si>
    <t>TOTAL  DRILLING COST</t>
  </si>
  <si>
    <t>Cost without Rig Move</t>
  </si>
  <si>
    <t>Difference</t>
  </si>
  <si>
    <t>Start</t>
  </si>
  <si>
    <t>End</t>
  </si>
  <si>
    <t>DSURFACE</t>
  </si>
  <si>
    <t>FSURFACE</t>
  </si>
  <si>
    <t>DINTERMEDIATE</t>
  </si>
  <si>
    <t>FINTERMEDIATE</t>
  </si>
  <si>
    <t>DPRODUCTION</t>
  </si>
  <si>
    <t>FPRODUCTION</t>
  </si>
  <si>
    <t>DLINER 1</t>
  </si>
  <si>
    <t>FLINER1</t>
  </si>
  <si>
    <t>DLINER 2</t>
  </si>
  <si>
    <t>FLINER2</t>
  </si>
  <si>
    <t>Total</t>
  </si>
  <si>
    <t>410 A - Cementing Services</t>
  </si>
  <si>
    <t>410 B - Directional Drilling Services</t>
  </si>
  <si>
    <t>410 C - Mud Engineering Services</t>
  </si>
  <si>
    <t xml:space="preserve">410 D - Aerated Drilling Services         </t>
  </si>
  <si>
    <t>410 E - Jars and Shock Tools</t>
  </si>
  <si>
    <t>Daily</t>
  </si>
  <si>
    <t>AFE</t>
  </si>
  <si>
    <t>Surface</t>
  </si>
  <si>
    <t>Duration</t>
  </si>
  <si>
    <t xml:space="preserve">410 H - Casing Running Services         </t>
  </si>
  <si>
    <t>Item No.</t>
  </si>
  <si>
    <t>Cost Center</t>
  </si>
  <si>
    <t>Asset Number</t>
  </si>
  <si>
    <t>Material Number</t>
  </si>
  <si>
    <t>Description</t>
  </si>
  <si>
    <t>Delivery Date</t>
  </si>
  <si>
    <t>Valuation Price</t>
  </si>
  <si>
    <t>PR REQUEST FORM A</t>
  </si>
  <si>
    <t>Document No.</t>
  </si>
  <si>
    <t>Requestor:</t>
  </si>
  <si>
    <t>Doc. Type</t>
  </si>
  <si>
    <t>Header</t>
  </si>
  <si>
    <t>Requistion Date</t>
  </si>
  <si>
    <t>Estimated Cost</t>
  </si>
  <si>
    <t>NB</t>
  </si>
  <si>
    <t>Item Category</t>
  </si>
  <si>
    <t>Account Assignment Category</t>
  </si>
  <si>
    <t>Order No.</t>
  </si>
  <si>
    <t>Material No.</t>
  </si>
  <si>
    <t>UOM</t>
  </si>
  <si>
    <t>Additional Item Text</t>
  </si>
  <si>
    <t>Plant</t>
  </si>
  <si>
    <t>DG; AERATED FLUIDS DRILLING 1</t>
  </si>
  <si>
    <t>DG; CASING RUNNING</t>
  </si>
  <si>
    <t>DG; DRILLING FLUIDS</t>
  </si>
  <si>
    <t>DG; RENTAL OF JARS AND SHOCKTOOLS</t>
  </si>
  <si>
    <t>DG; WELL CEMENTING</t>
  </si>
  <si>
    <t>Item Notes:</t>
  </si>
  <si>
    <t>Asset Custodian:</t>
  </si>
  <si>
    <t>Tracking Number:</t>
  </si>
  <si>
    <t>Docushare Links:</t>
  </si>
  <si>
    <t>Requestor</t>
  </si>
  <si>
    <t>Approved by:</t>
  </si>
  <si>
    <t>SDI</t>
  </si>
  <si>
    <t>OA NAME</t>
  </si>
  <si>
    <t>AFE NAME</t>
  </si>
  <si>
    <t>Account Assignment Cat.</t>
  </si>
  <si>
    <t xml:space="preserve">Cost Center </t>
  </si>
  <si>
    <t>UoM</t>
  </si>
  <si>
    <t>VALUATION PRICE = AFE AMOUNT</t>
  </si>
  <si>
    <t>OA Reference No.</t>
  </si>
  <si>
    <t>Target Value</t>
  </si>
  <si>
    <t>Net Price (OA)</t>
  </si>
  <si>
    <t>Your Reference</t>
  </si>
  <si>
    <t>Validity Start</t>
  </si>
  <si>
    <t>Validity End</t>
  </si>
  <si>
    <t>U</t>
  </si>
  <si>
    <t>72675</t>
  </si>
  <si>
    <t>LOT</t>
  </si>
  <si>
    <t>DG; AERATED FLUIDS DRILLING 2</t>
  </si>
  <si>
    <t>DG; FISHING AND RE-ENTRY</t>
  </si>
  <si>
    <t>SBU</t>
  </si>
  <si>
    <t>PLANT</t>
  </si>
  <si>
    <t>Daily Cost</t>
  </si>
  <si>
    <t>Payment Schedule</t>
  </si>
  <si>
    <t>60 days</t>
  </si>
  <si>
    <t>30 days</t>
  </si>
  <si>
    <t>Terms*</t>
  </si>
  <si>
    <t>*from receipt of undisputed invoice</t>
  </si>
  <si>
    <t>Accruals</t>
  </si>
  <si>
    <t>Lumpsum Monthly**</t>
  </si>
  <si>
    <t>**Except for personnel mobilization from abroad and additional equipment mobilization from abroad</t>
  </si>
  <si>
    <t>Cut off every 21st of the Month</t>
  </si>
  <si>
    <t>Cut off every 21st of the Month***</t>
  </si>
  <si>
    <t>***Personnel, equipment and tools are invloved.  Accrual is difficult for chemicals.</t>
  </si>
  <si>
    <t>JAN</t>
  </si>
  <si>
    <t>FEB</t>
  </si>
  <si>
    <t>MAR</t>
  </si>
  <si>
    <t>APR</t>
  </si>
  <si>
    <t>MAY</t>
  </si>
  <si>
    <t>JUN</t>
  </si>
  <si>
    <t>JUL</t>
  </si>
  <si>
    <t>AUG</t>
  </si>
  <si>
    <t>SEP</t>
  </si>
  <si>
    <t>OCT</t>
  </si>
  <si>
    <t>NOV</t>
  </si>
  <si>
    <t>DEC</t>
  </si>
  <si>
    <t>9-5/8" Super Extended PDM Tool, rental</t>
  </si>
  <si>
    <t>Series 96 Stabilizer Mandrel per Day</t>
  </si>
  <si>
    <t>Series 77 Stabilizer Mandrel per Day</t>
  </si>
  <si>
    <t>Series 62 Stabilizer Mandrel per Day</t>
  </si>
  <si>
    <t>950 if two rig are operating at a time</t>
  </si>
  <si>
    <t>655 if two rigs are operating at a time</t>
  </si>
  <si>
    <t>17 1/2" Stabilizer Sleeves</t>
  </si>
  <si>
    <t>12 1/2" Stabilizer Sleeves</t>
  </si>
  <si>
    <t>8 1/2" Stabilizer Sleeves</t>
  </si>
  <si>
    <t>12-1/8" Motor Sleeve Redress</t>
  </si>
  <si>
    <t>9-3/4" Motor Sleeve Redress</t>
  </si>
  <si>
    <t>22-1/2" Motor Sleeve Redress</t>
  </si>
  <si>
    <t>9 5/8" PDM/SEPS Insurance</t>
  </si>
  <si>
    <t>6 3/4" PDM Daily Insurance</t>
  </si>
  <si>
    <t>8" PDM/SEPS Daily Insurance</t>
  </si>
  <si>
    <t>Equipment Mobilization</t>
  </si>
  <si>
    <t>Equipment Demobilization</t>
  </si>
  <si>
    <t>MWD Tubulars redress charge</t>
  </si>
  <si>
    <t>% of fuel cost</t>
  </si>
  <si>
    <t>Mobilization</t>
  </si>
  <si>
    <t>Cover Sheet</t>
  </si>
  <si>
    <t>Allocated Costs</t>
  </si>
  <si>
    <t>Equipment</t>
  </si>
  <si>
    <t>Casing Running</t>
  </si>
  <si>
    <t>CGS &amp; ACCS Others</t>
  </si>
  <si>
    <t>Mud Summary</t>
  </si>
  <si>
    <t>Jars and Shock Tools</t>
  </si>
  <si>
    <t>ADA Cost</t>
  </si>
  <si>
    <t>DVD Input</t>
  </si>
  <si>
    <t>INPUT</t>
  </si>
  <si>
    <t>Cost Details</t>
  </si>
  <si>
    <t>Cost Details - Drill and Flat</t>
  </si>
  <si>
    <t>Cost Summary</t>
  </si>
  <si>
    <t>Sheet Name</t>
  </si>
  <si>
    <t>Data Resource</t>
  </si>
  <si>
    <t>PR Template</t>
  </si>
  <si>
    <t>For Upload</t>
  </si>
  <si>
    <t>Part I - AFE</t>
  </si>
  <si>
    <t>Part III - Cost Monitoring</t>
  </si>
  <si>
    <t>Total Planned Cost Per Hole Section</t>
  </si>
  <si>
    <t>Cummulative Daily Cost</t>
  </si>
  <si>
    <t>IDS Data</t>
  </si>
  <si>
    <t>Summary</t>
  </si>
  <si>
    <t>21-1/4" Banjo Box (Optional)</t>
  </si>
  <si>
    <t>Actual Days</t>
  </si>
  <si>
    <t>Average</t>
  </si>
  <si>
    <t>Per SAP</t>
  </si>
  <si>
    <t>Accrual</t>
  </si>
  <si>
    <t>Actual Cost per IDS</t>
  </si>
  <si>
    <t>Planned Schedule of Cost</t>
  </si>
  <si>
    <t>Summary Comparison</t>
  </si>
  <si>
    <t>Deviation %</t>
  </si>
  <si>
    <t>Additional Item text</t>
  </si>
  <si>
    <t>in PHP</t>
  </si>
  <si>
    <t>in USD</t>
  </si>
  <si>
    <t>SAP</t>
  </si>
  <si>
    <t>100</t>
  </si>
  <si>
    <t>Part II - 3-Month Cash Flow Forecast</t>
  </si>
  <si>
    <t>Part IV - Cost Review / Variance Analysis</t>
  </si>
  <si>
    <t>Monthly schedule of cost of contracted services (excluding material cost)</t>
  </si>
  <si>
    <t>Process improvement proposals:</t>
  </si>
  <si>
    <t>- Weekly update of charging from contractor.</t>
  </si>
  <si>
    <t>- Contractor to provide daily cost to DS. DS to validate and upload to IDS. Submit signed copy to HO for validation of DE, SPOC, and CC. For attachment to billing.</t>
  </si>
  <si>
    <t>- For repairs and other claims, SPOC will email to DE, DS, CC, the nature and cost claim/repair. Will be considered on third payment schedule.</t>
  </si>
  <si>
    <t>Budgeted Cost</t>
  </si>
  <si>
    <t>Actual Cost</t>
  </si>
  <si>
    <t>Budgeted Cost Based on Actual Days*</t>
  </si>
  <si>
    <t>*Shows how much the budget would be had we used as basis the actual days.</t>
  </si>
  <si>
    <t>We can quantify the effect of overrun.</t>
  </si>
  <si>
    <t>Remaining variance may be due to:</t>
  </si>
  <si>
    <t>- programmed cost not incurred</t>
  </si>
  <si>
    <t>- efficiencies</t>
  </si>
  <si>
    <t>- inefficiencies</t>
  </si>
  <si>
    <t>Unfavorable</t>
  </si>
  <si>
    <t>Favorable</t>
  </si>
  <si>
    <t>- downtime</t>
  </si>
  <si>
    <t>- unprogrammed cost</t>
  </si>
  <si>
    <t>Schedule Variance</t>
  </si>
  <si>
    <t>Budgeted Days</t>
  </si>
  <si>
    <t>Actual Days less Downtime</t>
  </si>
  <si>
    <t>Control Point</t>
  </si>
  <si>
    <t>PLANNING</t>
  </si>
  <si>
    <t>EXECUTION</t>
  </si>
  <si>
    <t>FEEDBACK</t>
  </si>
  <si>
    <t>Running Cost (Actual Cost)</t>
  </si>
  <si>
    <t>Output:</t>
  </si>
  <si>
    <t>Projected Cost at Completion (Forecast)</t>
  </si>
  <si>
    <t>Alert when to evaluate and consider request for supplemental budget</t>
  </si>
  <si>
    <t>Cash Flow Forecast</t>
  </si>
  <si>
    <t>Variance Analysis</t>
  </si>
  <si>
    <t>Actual Cost Per Meter</t>
  </si>
  <si>
    <t>Total Well Cost</t>
  </si>
  <si>
    <t>Lessons learned - For consideration to subsequent wells</t>
  </si>
  <si>
    <t>Program</t>
  </si>
  <si>
    <t>Output</t>
  </si>
  <si>
    <t>Data on variance such as downtime, price changes and volume of materials used</t>
  </si>
  <si>
    <t>Budgeted Cost (AFE)</t>
  </si>
  <si>
    <t>Daily Schedule of Cost</t>
  </si>
  <si>
    <t>- Prepare AFE</t>
  </si>
  <si>
    <t>DE, CC</t>
  </si>
  <si>
    <t>- AFE Review</t>
  </si>
  <si>
    <t>DS, Manager, CC</t>
  </si>
  <si>
    <t>CC</t>
  </si>
  <si>
    <t>- Clear the review comments</t>
  </si>
  <si>
    <t>Daily Cost Schedule</t>
  </si>
  <si>
    <t>Offline PR</t>
  </si>
  <si>
    <t>PR for Upload</t>
  </si>
  <si>
    <t>- Cost per Day based on budget (Daily Cost Checklist)</t>
  </si>
  <si>
    <t>- Projected Cost = actual Cost to date + budgeted Cost to complete</t>
  </si>
  <si>
    <t>CC, DE, DS</t>
  </si>
  <si>
    <t xml:space="preserve">Cost Variance </t>
  </si>
  <si>
    <t>CC, DE</t>
  </si>
  <si>
    <t>Obtain downtime and its cost</t>
  </si>
  <si>
    <t>Investigate the excess of actual days less downtime, to the planned days</t>
  </si>
  <si>
    <t>Quantify the total effect to well cost</t>
  </si>
  <si>
    <t>Volume Variance</t>
  </si>
  <si>
    <t>Time Variance</t>
  </si>
  <si>
    <t>Compare budgeted volume of materials, equipment, and personnel to the actual quantity</t>
  </si>
  <si>
    <t>Reconcile the Budget to Actual</t>
  </si>
  <si>
    <t>Summarize unprogrammed and budgted but unused cost.</t>
  </si>
  <si>
    <t>Investigate further variance, if any.</t>
  </si>
  <si>
    <t>This may inlcude:</t>
  </si>
  <si>
    <t>- under or overbudgeted items</t>
  </si>
  <si>
    <t>- Rate of penetration</t>
  </si>
  <si>
    <t>Summarize the lessons learned from the drilling project</t>
  </si>
  <si>
    <t>- unprogrammed cost, or programmed cost not incurred</t>
  </si>
  <si>
    <t>- Cost per Meter</t>
  </si>
  <si>
    <t>Persons Involve</t>
  </si>
  <si>
    <t>- As actual cost is incurred, it will replace the scheduled Cost</t>
  </si>
  <si>
    <t>Notes</t>
  </si>
  <si>
    <t>Can we delete the identical cost items in IDS?</t>
  </si>
  <si>
    <t>Can we standardize the cost details?</t>
  </si>
  <si>
    <t>Can we request this on DAT?</t>
  </si>
  <si>
    <t>- Compare ROP/CPM to historical ROP/CPM</t>
  </si>
  <si>
    <t>Target ROP</t>
  </si>
  <si>
    <t xml:space="preserve"> - will serve as a checklist for DS to avoid uncaptured cost.</t>
  </si>
  <si>
    <t>Comparison of Running Cost based on AFE</t>
  </si>
  <si>
    <t>Investigate cost forecast that might exceed the budget by 15% and evaluate if request for supplemental budget is needed.</t>
  </si>
  <si>
    <t>Advantage: More timely and accurate cost input on IDS.</t>
  </si>
  <si>
    <t>Price Variance - NA</t>
  </si>
  <si>
    <t>Well Cost Control Program</t>
  </si>
  <si>
    <t>DRILLING DAYS</t>
  </si>
  <si>
    <t>TARGET ROP</t>
  </si>
  <si>
    <t>No. Of Days Used During Rig Move</t>
  </si>
  <si>
    <t>Lubricants (Oil, grease, etc.)</t>
  </si>
  <si>
    <t>Single Liner</t>
  </si>
  <si>
    <t>Double Liner</t>
  </si>
  <si>
    <t>Standard Flatspots</t>
  </si>
  <si>
    <t>Based on EDC official rates or BSP prevailing rate whichever is higher</t>
  </si>
  <si>
    <t xml:space="preserve">RIG NO. </t>
  </si>
  <si>
    <t>OPS</t>
  </si>
  <si>
    <t>MAINT</t>
  </si>
  <si>
    <t>LOG</t>
  </si>
  <si>
    <t>Year Budget</t>
  </si>
  <si>
    <t>26"</t>
  </si>
  <si>
    <t>23"</t>
  </si>
  <si>
    <t>17"</t>
  </si>
  <si>
    <t>Reg. Hole</t>
  </si>
  <si>
    <t>Rock Bit</t>
  </si>
  <si>
    <t>LINER1</t>
  </si>
  <si>
    <t>LINER2</t>
  </si>
  <si>
    <t>LINER3</t>
  </si>
  <si>
    <t>SMITH</t>
  </si>
  <si>
    <t>HUGHES</t>
  </si>
  <si>
    <t>Per day</t>
  </si>
  <si>
    <t>Rig 14</t>
  </si>
  <si>
    <t>Rig 12</t>
  </si>
  <si>
    <t>Casing ID, inch</t>
  </si>
  <si>
    <t>FROM</t>
  </si>
  <si>
    <t>TRANSHIPMENT</t>
  </si>
  <si>
    <t>12 1/4"</t>
  </si>
  <si>
    <t>8"</t>
  </si>
  <si>
    <t>All</t>
  </si>
  <si>
    <t>Last</t>
  </si>
  <si>
    <t>Issues</t>
  </si>
  <si>
    <t>Developer's codes</t>
  </si>
  <si>
    <t>8-1/2" or 7-3/4 or 7-1/2" Stabilizers</t>
  </si>
  <si>
    <t>12-1/4" Stabilizers</t>
  </si>
  <si>
    <t>DLINER2</t>
  </si>
  <si>
    <t>DLINER1</t>
  </si>
  <si>
    <t>Ok to delete? - no</t>
  </si>
  <si>
    <t>20-3/4" / 21-1/4" Rotating Head</t>
  </si>
  <si>
    <t>Air Drilling Supervisor</t>
  </si>
  <si>
    <t>Air Drilling Operator</t>
  </si>
  <si>
    <t>RIGMOVE</t>
  </si>
  <si>
    <t>3 days for FLINER for 2 supervisors. Allowance before DINTERMEDIATE, for 2 days.</t>
  </si>
  <si>
    <t>DAYS</t>
  </si>
  <si>
    <t>PHASE</t>
  </si>
  <si>
    <t>to combine? - separate</t>
  </si>
  <si>
    <t>Ok to delete? - last phase</t>
  </si>
  <si>
    <t>Ok to delete? - default do not budget</t>
  </si>
  <si>
    <t>Rates and Renumeration</t>
  </si>
  <si>
    <t>Definition</t>
  </si>
  <si>
    <t>Value</t>
  </si>
  <si>
    <t>Inclusive of</t>
  </si>
  <si>
    <t>Contract No. Reference</t>
  </si>
  <si>
    <t>Average ROP Day Rate</t>
  </si>
  <si>
    <t>mpd</t>
  </si>
  <si>
    <t>Spud to before Completion test (DOC isolation plug, POOH and ready for completion)</t>
  </si>
  <si>
    <t>Sch 3- Table 1</t>
  </si>
  <si>
    <t>Base Day Rate</t>
  </si>
  <si>
    <t>same as ROP definition*</t>
  </si>
  <si>
    <t>Crane rental, trucking services during drilling</t>
  </si>
  <si>
    <t>Sch 3- Rates and Renumeration</t>
  </si>
  <si>
    <t>-Start of completion to RR
-Catch all</t>
  </si>
  <si>
    <r>
      <t xml:space="preserve">Sch 3- Rates and Renumeration
Clause 6.6.2.C(Inspection); 
Clause 18.3 (Suspension); Clause 21.1 (Demob); 
Clause 21.9.1 and </t>
    </r>
    <r>
      <rPr>
        <sz val="10"/>
        <color rgb="FFFF0000"/>
        <rFont val="Arial"/>
        <family val="2"/>
      </rPr>
      <t>21.9.2*</t>
    </r>
    <r>
      <rPr>
        <sz val="10"/>
        <color rgb="FF000000"/>
        <rFont val="Arial"/>
      </rPr>
      <t xml:space="preserve"> (Company delay before move)
Clause 23.5.3(Delay to damage to TPWSI's downhole Eqt)</t>
    </r>
  </si>
  <si>
    <t>Move Fee</t>
  </si>
  <si>
    <t>Lot</t>
  </si>
  <si>
    <t>1 time move fee</t>
  </si>
  <si>
    <t>Sch 3-A</t>
  </si>
  <si>
    <t>Rig Move Rate</t>
  </si>
  <si>
    <t xml:space="preserve">BDR x 13 days </t>
  </si>
  <si>
    <t>Additional Payment</t>
  </si>
  <si>
    <t>Monthly</t>
  </si>
  <si>
    <t>Montly starting March 14, 2014 as supplementary payment</t>
  </si>
  <si>
    <t>pro-rated</t>
  </si>
  <si>
    <t>Regardless if driling or standby</t>
  </si>
  <si>
    <t>Penalty Payment</t>
  </si>
  <si>
    <t>Well</t>
  </si>
  <si>
    <t>Refer to table 1 (reduction of ROP)</t>
  </si>
  <si>
    <t>Sch 3 - Table 1</t>
  </si>
  <si>
    <t>Well Bonus</t>
  </si>
  <si>
    <t>No LIH; no environmental incident; no LTI</t>
  </si>
  <si>
    <t>Clause 21.4</t>
  </si>
  <si>
    <t>Well ROP Bonus</t>
  </si>
  <si>
    <t>Well ROP Bonus= (Average ROP - Base ROP) * ROP Rate * Safety Rate</t>
  </si>
  <si>
    <t>s</t>
  </si>
  <si>
    <t>* not defined in BDR shall be defined as Standby Rate</t>
  </si>
  <si>
    <t>Standby</t>
  </si>
  <si>
    <t>Base</t>
  </si>
  <si>
    <t>Addl</t>
  </si>
  <si>
    <t>For Rig 16, check if included in rig rental.</t>
  </si>
  <si>
    <t>Mud Logging Service - Operating</t>
  </si>
  <si>
    <t>Mud Logging Service - Standby</t>
  </si>
  <si>
    <t>SURFACE TO INTERMEDIATE</t>
  </si>
  <si>
    <t>SURFACE TO PRODUCTION</t>
  </si>
  <si>
    <t>LINER</t>
  </si>
  <si>
    <t>PRODUCTION TO LINER</t>
  </si>
  <si>
    <t>180-T CRANE</t>
  </si>
  <si>
    <t>Obtain SAP data</t>
  </si>
  <si>
    <t>Site to Manila</t>
  </si>
  <si>
    <t>Hi-Bed</t>
  </si>
  <si>
    <t>35T Semi-Low Bed Trailer</t>
  </si>
  <si>
    <t>60T Low-Bed Trailer</t>
  </si>
  <si>
    <t>100T Low-Bed Trailer</t>
  </si>
  <si>
    <t>Peripherals Price List</t>
  </si>
  <si>
    <t>Used During</t>
  </si>
  <si>
    <t>Service vehicle</t>
  </si>
  <si>
    <t>(As per advised by EDC) Transportation within site of EDC personnel, EDC-employed personnel, third party personnel, EDC supplied equipment, and personnel to operate such supplied equipment. (sched 1 B2a)</t>
  </si>
  <si>
    <t>Handling and Hauling</t>
  </si>
  <si>
    <t>LGPF</t>
  </si>
  <si>
    <t>BGPF</t>
  </si>
  <si>
    <t>MGPF</t>
  </si>
  <si>
    <t>SNGPF</t>
  </si>
  <si>
    <t>per trip</t>
  </si>
  <si>
    <t>Bulldozer</t>
  </si>
  <si>
    <t>50 tonner Crane</t>
  </si>
  <si>
    <t>70 Tonner Crane</t>
  </si>
  <si>
    <t>160 Tonner Crane</t>
  </si>
  <si>
    <t>Manlift</t>
  </si>
  <si>
    <t>Internet for EDC and third party personnel</t>
  </si>
  <si>
    <t>Logistics should give estimate of no. Of trips and equipment to be used</t>
  </si>
  <si>
    <t>Included in DG budget</t>
  </si>
  <si>
    <t>Completion Time (days)</t>
  </si>
  <si>
    <t>Description (Size of CHF x Size of Casing)</t>
  </si>
  <si>
    <t>DESCO</t>
  </si>
  <si>
    <t>TESCO</t>
  </si>
  <si>
    <t>11” CHF X 7” Casing</t>
  </si>
  <si>
    <t>11” CHF X 7-5/8” Casing</t>
  </si>
  <si>
    <t>11” CHF X 9- 5/8” Casing</t>
  </si>
  <si>
    <t>13-5/8" CHF X 13-3/8" Casing</t>
  </si>
  <si>
    <t>20-3/4" CHF X 18-5/8" Casing</t>
  </si>
  <si>
    <t>20-3/4" CHF X 20" Casing</t>
  </si>
  <si>
    <t>21-1/4" CHF X 20" Casing</t>
  </si>
  <si>
    <t>Mob/Demob of Equipment</t>
  </si>
  <si>
    <t>Mob/Demob of Personnel</t>
  </si>
  <si>
    <t>Service Vehicle (Day Rate)</t>
  </si>
  <si>
    <t>CHF Casing</t>
  </si>
  <si>
    <t>CHF</t>
  </si>
  <si>
    <t>40-FT HBT (MLA-SITE/SITE-MLA)</t>
  </si>
  <si>
    <t>Manila to Site</t>
  </si>
  <si>
    <t>35T LBT</t>
  </si>
  <si>
    <t>40ft HBT</t>
  </si>
  <si>
    <t>Handling/Hauling</t>
  </si>
  <si>
    <t>Summary  of Rates</t>
  </si>
  <si>
    <t>For update - done</t>
  </si>
  <si>
    <t>Standby, even if not used by the well</t>
  </si>
  <si>
    <t>180T CRANE</t>
  </si>
  <si>
    <t>Rate</t>
  </si>
  <si>
    <t>Hours per day</t>
  </si>
  <si>
    <t>PR</t>
  </si>
  <si>
    <t>Remarks</t>
  </si>
  <si>
    <t>Billing cut off</t>
  </si>
  <si>
    <t>Php</t>
  </si>
  <si>
    <t>Projected cost for Jan. was based on start of rig move on Dec 23, while accrual starts only on Jan 2. ADA did not charge rental for the whole month of Dec. Due to FM.</t>
  </si>
  <si>
    <t>Effect of losses on forex fluctuations</t>
  </si>
  <si>
    <t>DG; DIRECTIONAL DRILLING (SDI)</t>
  </si>
  <si>
    <t xml:space="preserve">1. Variance is due to delay in spud in, which in turn cause us to engage DD and MWD engr in a later date (Jan 8, 2014; 12% savings)
2. (Due to delay in spud in) Less MWD operating charge (Jan 13, 2014; 6% savings)
3. Two MWD was budgeted, but only one was actually rented (10%)
4. Roller reamer were not really necessary to the operation but included in the budget (2% savings)
</t>
  </si>
  <si>
    <t>DG; DIRECTIONAL DRILLING (HAL)</t>
  </si>
  <si>
    <t>Variance is due to delay in spud-in, (mud engr was charged only on Jan 3, and Jan 7 onwards).</t>
  </si>
  <si>
    <t>Personnel</t>
  </si>
  <si>
    <t xml:space="preserve">Directional engr and MWD engr was engaged only on Jan 8, 2014. </t>
  </si>
  <si>
    <t>due to delayed spud in (engaged on Jan 13, 2014)</t>
  </si>
  <si>
    <t>two MWD was budgeted but only 1 MWD was actually rented</t>
  </si>
  <si>
    <t>DG; DRILLING RIG SERVICES</t>
  </si>
  <si>
    <t>26" Roller Reamer + Stabilizer</t>
  </si>
  <si>
    <t>No charge</t>
  </si>
  <si>
    <t>PR cost distribution assumptions:</t>
  </si>
  <si>
    <t>Concerns when comparing to actual cost</t>
  </si>
  <si>
    <t>Drilling project will run based on planned schedule</t>
  </si>
  <si>
    <t>Drilling project may run faster than the schedule or may be delayed.</t>
  </si>
  <si>
    <t>Cost is identified and divided to every phase (i.e., rig move, dsurface, fsurface, etc.)</t>
  </si>
  <si>
    <t>Cost is incurred equally in a phase</t>
  </si>
  <si>
    <t xml:space="preserve">Some cost are fully incurred in early or later days of a phase.  </t>
  </si>
  <si>
    <t>Cut off of monthly cost is 21st of the month</t>
  </si>
  <si>
    <t>Some consumables are delivered earlier than during actual usage.</t>
  </si>
  <si>
    <t>No forex fluctuation</t>
  </si>
  <si>
    <t>To be provided by BUs?</t>
  </si>
  <si>
    <t>OPEN HOLE LENGTH</t>
  </si>
  <si>
    <t>Standby Personnel and Equipment</t>
  </si>
  <si>
    <t>Per day of delay</t>
  </si>
  <si>
    <t>RE-INJECTION</t>
  </si>
  <si>
    <t>MUD LOGGING</t>
  </si>
  <si>
    <t>Fuel Per Day</t>
  </si>
  <si>
    <t>Unit</t>
  </si>
  <si>
    <t>Currency</t>
  </si>
  <si>
    <t>WELLHEAD</t>
  </si>
  <si>
    <t>ROP Bonus</t>
  </si>
  <si>
    <t>Sch 3- Rates and Remuneration</t>
  </si>
  <si>
    <t>Clause 21.3.4</t>
  </si>
  <si>
    <t>No LIH/LTI/Environmental Incident Bonus</t>
  </si>
  <si>
    <t>Rig 5</t>
  </si>
  <si>
    <t>Rent Drill Pipes?</t>
  </si>
  <si>
    <t>No. Of joints</t>
  </si>
  <si>
    <t>DRILL PIPES</t>
  </si>
  <si>
    <t>Rental of S-135 Pipes</t>
  </si>
  <si>
    <t>Post rental inspection</t>
  </si>
  <si>
    <t>joint / day</t>
  </si>
  <si>
    <t>Service Vehicle; Daily</t>
  </si>
  <si>
    <t>Standby Rate; Daily</t>
  </si>
  <si>
    <t>CHF; 11” CHF X 7” Casing</t>
  </si>
  <si>
    <t>CHF; 11” CHF X 7-5/8” Casing</t>
  </si>
  <si>
    <t>CHF; 11” CHF X 9- 5/8” Casing</t>
  </si>
  <si>
    <t>CHF; 13-5/8" CHF X 13-3/8" Casing</t>
  </si>
  <si>
    <t>CHF; 20-3/4" CHF X 18-5/8" Casing</t>
  </si>
  <si>
    <t>CHF; 20-3/4" CHF X 20" Casing</t>
  </si>
  <si>
    <t>CHF; 21-1/4" CHF X 20" Casing</t>
  </si>
  <si>
    <t>CHF; Mob/Demob of Equipment - BGPF</t>
  </si>
  <si>
    <t>CHF; Mob/Demob of Equipment - LGPF</t>
  </si>
  <si>
    <t>CHF; Mob/Demob of Equipment - MGPF</t>
  </si>
  <si>
    <t>CHF; Mob/Demob of Equipment - SNGPF</t>
  </si>
  <si>
    <t>CHF; Mob/Demob of Personnel - BGPF</t>
  </si>
  <si>
    <t>CHF; Mob/Demob of Personnel - LGPF</t>
  </si>
  <si>
    <t>CHF; Mob/Demob of Personnel - MGPF</t>
  </si>
  <si>
    <t>CHF; Mob/Demob of Personnel- SNGPF</t>
  </si>
  <si>
    <t>CHF; Service Vehicle; Daily - BGPF</t>
  </si>
  <si>
    <t>CHF; Service Vehicle; Daily - LGPF</t>
  </si>
  <si>
    <t>CHF; Service Vehicle; Daily - MGPF</t>
  </si>
  <si>
    <t>CHF; Service Vehicle; Daily - SNGPF</t>
  </si>
  <si>
    <t>CHF; Standby Rate; Daily</t>
  </si>
  <si>
    <t>CHF; Mob/Demob of Equipment - BGBU</t>
  </si>
  <si>
    <t>CHF; Mob/Demob of Equipment - LGBU</t>
  </si>
  <si>
    <t>CHF; Mob/Demob of Equipment - NIGBU</t>
  </si>
  <si>
    <t>CHF; Mob/Demob of Personnel - BGBU</t>
  </si>
  <si>
    <t>CHF; Mob/Demob of Personnel - LGBU</t>
  </si>
  <si>
    <t>CHF; Mob/Demob of Personnel - MAGBU</t>
  </si>
  <si>
    <t>CHF; Mob/Demob of Equipment - MAGBU</t>
  </si>
  <si>
    <t>CHF; Mob/Demob of Personnel- NIGBU</t>
  </si>
  <si>
    <t>CHF; Service Vehicle; Daily - BGBU</t>
  </si>
  <si>
    <t>CHF; Service Vehicle; Daily - LGBU</t>
  </si>
  <si>
    <t>CHF; Service Vehicle; Daily - MAGBU</t>
  </si>
  <si>
    <t>CHF; Service Vehicle; Daily - NIGBU</t>
  </si>
  <si>
    <t>DG; MUD LOGGING</t>
  </si>
  <si>
    <t>26" UG &amp; FG Stabilizers</t>
  </si>
  <si>
    <t>23" UG Stabilizers</t>
  </si>
  <si>
    <t>23" FG Stabilizers</t>
  </si>
  <si>
    <t>17" UG Stabilizers</t>
  </si>
  <si>
    <t>12-1/4" UG Stabilizers</t>
  </si>
  <si>
    <t>9-7/8" UG Stabilizers</t>
  </si>
  <si>
    <t>8-1/2" UG Stabilizers</t>
  </si>
  <si>
    <t>6-1/2" UG Stabilizers</t>
  </si>
  <si>
    <t>CHF; Standby Rate; Daily, Equipment</t>
  </si>
  <si>
    <t>CHF; Standby Rate; Daily, Personnel</t>
  </si>
  <si>
    <t>CHF; Standby Rate; Daily, Boom Truck</t>
  </si>
  <si>
    <t>Standby Rate; Daily, Personnel</t>
  </si>
  <si>
    <t>Standby Rate; Daily, Equipment</t>
  </si>
  <si>
    <t>Standby Equipment</t>
  </si>
  <si>
    <t>Standby Personnel</t>
  </si>
  <si>
    <t>Standby Boom Truck</t>
  </si>
  <si>
    <t>Standby Rate; Daily, Boom Truck</t>
  </si>
  <si>
    <t>114434</t>
  </si>
  <si>
    <t>114435</t>
  </si>
  <si>
    <t>114431</t>
  </si>
  <si>
    <t>114432</t>
  </si>
  <si>
    <t>114468</t>
  </si>
  <si>
    <t>114429</t>
  </si>
  <si>
    <t>114438</t>
  </si>
  <si>
    <t>114454</t>
  </si>
  <si>
    <t>114455</t>
  </si>
  <si>
    <t>per hour</t>
  </si>
  <si>
    <t>WTL</t>
  </si>
  <si>
    <t>NON DESTRUCTIVE TESTING SERVICE</t>
  </si>
  <si>
    <t>REGUIS.MU</t>
  </si>
  <si>
    <t>Drilling Engineer</t>
  </si>
  <si>
    <t>Warehouse Cost</t>
  </si>
  <si>
    <t>Uneditable</t>
  </si>
  <si>
    <t>Enter hardcoded data</t>
  </si>
  <si>
    <t>Drop-down list</t>
  </si>
  <si>
    <t>Edit only for change in assumptions (requires permission)</t>
  </si>
  <si>
    <t>Cell Fill Color guides:</t>
  </si>
  <si>
    <t>Other Assumptions</t>
  </si>
  <si>
    <t>RIG 1</t>
  </si>
  <si>
    <t>RIG 2</t>
  </si>
  <si>
    <t>Rig 1</t>
  </si>
  <si>
    <t>Rig 2</t>
  </si>
  <si>
    <t>Rig Allocated Charges</t>
  </si>
  <si>
    <t/>
  </si>
  <si>
    <t>FORMATION EVALUATION</t>
  </si>
  <si>
    <t>9-7/8" Stabilizer</t>
  </si>
  <si>
    <t>6-1/2" Stabilizer</t>
  </si>
  <si>
    <t>DESCRIPTION</t>
  </si>
  <si>
    <t>A. FOR 32" &amp; 17" HOLE (to be shipped while Rig move)</t>
  </si>
  <si>
    <t>A. FOR 26" &amp; 17" HOLE (to be shipped while Rig move)</t>
  </si>
  <si>
    <t>1ST SET</t>
  </si>
  <si>
    <t>26" UG Stabilizers</t>
  </si>
  <si>
    <t>26" FG Stabilizers</t>
  </si>
  <si>
    <t>B. FOR 12-1/4" &amp; 8-1/2" HOLE (to be shipped while drilling of 17" Hole)</t>
  </si>
  <si>
    <t>2ND SET</t>
  </si>
  <si>
    <t>B. FOR 12-1/4" HOLE (to be shipped while drilling of 17" Hole)</t>
  </si>
  <si>
    <t>6-1/2"or 6-3/4" Mud Motor, rental</t>
  </si>
  <si>
    <t>6-1/2" or 6-3/4" Mud Motor, run charge</t>
  </si>
  <si>
    <t>C. TOOLS FOR  9-7/8" &amp; 8-1/2" (to be shipped while drilling 12-1/4" Hole)</t>
  </si>
  <si>
    <t>6-1/2" or 6-3/4" Mud Motor, redress</t>
  </si>
  <si>
    <t>3RD SET</t>
  </si>
  <si>
    <t>OTHER TOOLS</t>
  </si>
  <si>
    <t>OTHERS</t>
  </si>
  <si>
    <t>MUR INPUTS</t>
  </si>
  <si>
    <t>UNIT PRICE</t>
  </si>
  <si>
    <t>RATE (US$)</t>
  </si>
  <si>
    <t>BIGHOLE</t>
  </si>
  <si>
    <t>HOLE SECTION</t>
  </si>
  <si>
    <t>AVERAGE</t>
  </si>
  <si>
    <t>PS</t>
  </si>
  <si>
    <t>12-1/4"</t>
  </si>
  <si>
    <t>8-1/2"</t>
  </si>
  <si>
    <t>9-7/8"</t>
  </si>
  <si>
    <t>FUEL LITERS/DAY CONSUMPTION OF RIG</t>
  </si>
  <si>
    <t>0 LTI</t>
  </si>
  <si>
    <t>1 LTI</t>
  </si>
  <si>
    <t>2 LTI</t>
  </si>
  <si>
    <t>AVE ROP</t>
  </si>
  <si>
    <t>Year 1 and Year 2</t>
  </si>
  <si>
    <t>AVERAGE ROP DAY RATE</t>
  </si>
  <si>
    <t>per joint</t>
  </si>
  <si>
    <t>FOR RIGS 5,12&amp;14 ONLY</t>
  </si>
  <si>
    <t>HRs/DAY (OPERATIONS)</t>
  </si>
  <si>
    <t>HRs/DAY (RIG MOVE)</t>
  </si>
  <si>
    <t>UNIT RATES</t>
  </si>
  <si>
    <t>PAD TO PAD</t>
  </si>
  <si>
    <t>WITHIN PAD</t>
  </si>
  <si>
    <t>TRANSSHIPMENT COST (THIRD PARTY EQUIPMENT)</t>
  </si>
  <si>
    <t>NO. OF HRS</t>
  </si>
  <si>
    <t>QTY DURING RIG MOB</t>
  </si>
  <si>
    <t>QTY DURING OPERATIONS</t>
  </si>
  <si>
    <t>TOTAL TRUCK LOADS</t>
  </si>
  <si>
    <t>18-5/8" CASING (K55, 114 ppf, BTC)</t>
  </si>
  <si>
    <t>PROPER CHARGING REFERENCE</t>
  </si>
  <si>
    <t>Fuel for service vehicle and all equipment</t>
  </si>
  <si>
    <t>shouldered by EDC</t>
  </si>
  <si>
    <t>shouldered by TP - part of daily rate</t>
  </si>
  <si>
    <t>CLAUSE</t>
  </si>
  <si>
    <t>Matrix of Responsibility
Schedule 1:C (</t>
  </si>
  <si>
    <t>TPWSI Meals</t>
  </si>
  <si>
    <t>TPWSI Accom</t>
  </si>
  <si>
    <t>EDC</t>
  </si>
  <si>
    <t>TPSWSI</t>
  </si>
  <si>
    <t>Y</t>
  </si>
  <si>
    <t>At the cost of:</t>
  </si>
  <si>
    <t>Matrix of Responsibility
Schedule 1:G.6 (Camp, Meals and Accom)</t>
  </si>
  <si>
    <t>Matrix of Responsibility
Schedule 1:G.5 (Camp, Meals and Accom)</t>
  </si>
  <si>
    <t>Matrix of Responsibility
Schedule 1:G.8 (Camp, Meals and Accom)</t>
  </si>
  <si>
    <t>3rd Party Meals  &amp; Accom (EDC Contractor)</t>
  </si>
  <si>
    <t>TPWSI 3rd Party Meals &amp; Accom</t>
  </si>
  <si>
    <t>SCHEDULE 3-A: RIG MOVE RATES</t>
  </si>
  <si>
    <t>Peripherals</t>
  </si>
  <si>
    <t>Meals &amp; Accom</t>
  </si>
  <si>
    <t>PERIPHERALS</t>
  </si>
  <si>
    <t>shoudered by TPWSI- part of daily rate</t>
  </si>
  <si>
    <t>shouldered by EDC - charged to Genex</t>
  </si>
  <si>
    <t>shouldered by EDC - (NIGBU ACCOM -charged to Genex)</t>
  </si>
  <si>
    <t>Per well</t>
  </si>
  <si>
    <t>ROP</t>
  </si>
  <si>
    <t>Note: EDC owned Rig</t>
  </si>
  <si>
    <t>TPWSI Accom - provided by EDC BU cost. Only NIGBU has budget in Genex</t>
  </si>
  <si>
    <t>Not specified</t>
  </si>
  <si>
    <t>part of daily rate</t>
  </si>
  <si>
    <t>Fuel for TPWSI service vehicle - budgetted under Genex</t>
  </si>
  <si>
    <t>TPWSI Meals, 3rd party, DG Personnel - part of TP fee</t>
  </si>
  <si>
    <t>Others -Drilling Peripherals</t>
  </si>
  <si>
    <t>Others: Drilling Peripherals</t>
  </si>
  <si>
    <t>ORIGIN - DESTINATION</t>
  </si>
  <si>
    <t>W/ 15 % Handling Fee</t>
  </si>
  <si>
    <t>NIGBU - MAGBU</t>
  </si>
  <si>
    <t>LGBU - MAGBU</t>
  </si>
  <si>
    <t>LGBU - NIGBU</t>
  </si>
  <si>
    <t>NIGBU - BGBU</t>
  </si>
  <si>
    <t>RIG 2 (NIGBU - MAGBU)</t>
  </si>
  <si>
    <t>RIG 1 (LGBU - MAGBU)</t>
  </si>
  <si>
    <t>RIG 1 (LGBU - NIGBU)</t>
  </si>
  <si>
    <t>RIG 2 (NIGBU - BGBU)</t>
  </si>
  <si>
    <t>Rig 12 (NIGBU - MAGBU)</t>
  </si>
  <si>
    <t>INTERISLAND RIG MOVE</t>
  </si>
  <si>
    <t>Days - Initial ROP</t>
  </si>
  <si>
    <t>Days - Effective ROP</t>
  </si>
  <si>
    <t>Note: For any changes in DOP wherein Rig assignment has changed, just put additional row on the above table. Cost will be provided by Logistics Group c/o Vir Aquino</t>
  </si>
  <si>
    <t>INSURANCE</t>
  </si>
  <si>
    <t>DEPRECIATION</t>
  </si>
  <si>
    <t>RIG OML DAILY RATE</t>
  </si>
  <si>
    <t>GENEX DAILY RATE</t>
  </si>
  <si>
    <t>Note: Rig 14 has no Insterisland Rigmove cost. To get from VA Aquino if needed.</t>
  </si>
  <si>
    <t xml:space="preserve">Consumptions per Hole Interval </t>
  </si>
  <si>
    <t>(drums/hole section)</t>
  </si>
  <si>
    <t>Cement Cutters</t>
  </si>
  <si>
    <t>Rate / sx</t>
  </si>
  <si>
    <t>Other Cementing Services</t>
  </si>
  <si>
    <t>CEMENT CUTTERS</t>
  </si>
  <si>
    <t xml:space="preserve">CEMENT CUTTERS </t>
  </si>
  <si>
    <t>sacks</t>
  </si>
  <si>
    <t>OTHER CEMENTING SERVICES</t>
  </si>
  <si>
    <t>Updates</t>
  </si>
  <si>
    <t>11/5/15 - added boomtruck as per Raffy Manuel</t>
  </si>
  <si>
    <t xml:space="preserve">5202000 - Fuels     </t>
  </si>
  <si>
    <t xml:space="preserve">5203000 - Lubricants (Oil, Grease, etc.)     </t>
  </si>
  <si>
    <t>5213000 - Mud and Chemicals</t>
  </si>
  <si>
    <t xml:space="preserve">5214000 - Cement and Additives          </t>
  </si>
  <si>
    <t xml:space="preserve">5215000 - Rockbits            </t>
  </si>
  <si>
    <t xml:space="preserve">5216000 - Drilling Supplies           </t>
  </si>
  <si>
    <t>5221000 - Casings</t>
  </si>
  <si>
    <t>5467000 - Cementing Services</t>
  </si>
  <si>
    <t>5468000 - Mud Engineering Services</t>
  </si>
  <si>
    <t xml:space="preserve">5470000 - Aerated Drilling Services         </t>
  </si>
  <si>
    <t>5472000 - Mud Logging Services</t>
  </si>
  <si>
    <t xml:space="preserve">5471000 - Casing Running Services         </t>
  </si>
  <si>
    <t>5463000 - Drilling Rig Services</t>
  </si>
  <si>
    <t>5503000 - Drill Pipes</t>
  </si>
  <si>
    <t>5465000 - Other Cementing Services</t>
  </si>
  <si>
    <t xml:space="preserve">5411000 - Handling, Hauling, Towing &amp; Del.        </t>
  </si>
  <si>
    <t>5431000 - Rig Mobilization Charges</t>
  </si>
  <si>
    <t>5503000 - Equipment Rental</t>
  </si>
  <si>
    <t>5253000 - Wellhead</t>
  </si>
  <si>
    <t>DRILLING RIG SERVICES - Rigmob</t>
  </si>
  <si>
    <t>Mob/Demob Drillpipes</t>
  </si>
  <si>
    <t>WELL TYPE</t>
  </si>
  <si>
    <t>YES/NO</t>
  </si>
  <si>
    <t>DRILL PIPES MOB/DEMOB</t>
  </si>
  <si>
    <t>WITHIN SITE</t>
  </si>
  <si>
    <t>IMPORT</t>
  </si>
  <si>
    <t>N/A</t>
  </si>
  <si>
    <t>Transshipment Drillpipes</t>
  </si>
  <si>
    <t>Transshipment DrillPipes</t>
  </si>
  <si>
    <t>TRUCK RATE</t>
  </si>
  <si>
    <t>FIXED RATE</t>
  </si>
  <si>
    <t>RIG ALLOCATED CHARGES</t>
  </si>
  <si>
    <t>114433</t>
  </si>
  <si>
    <t>72557</t>
  </si>
  <si>
    <t xml:space="preserve">Note: If well is regular and there is existing bighole package, the cost for bighole package should be charged to Genex. </t>
  </si>
  <si>
    <t>CRS</t>
  </si>
  <si>
    <t>DURATION OF WELL</t>
  </si>
  <si>
    <t>DD/MWD</t>
  </si>
  <si>
    <t>MUD</t>
  </si>
  <si>
    <t>DURING CHF INSTALLATION (EST. 10 DAYS)</t>
  </si>
  <si>
    <t>CHF INSPECTION</t>
  </si>
  <si>
    <t>ON CALL (EST. 4 DAYS/HOLE SECTION). FOR VERIFICATION IF THIS WILL BE INCLUDED IN THE AFE BUDGET</t>
  </si>
  <si>
    <t>DURATION OF WELL. FOR VERIFICATION IF THIS WILL BE INCLUDED IN THE AFE BUDGET</t>
  </si>
  <si>
    <t>EDC DRIVER</t>
  </si>
  <si>
    <t>3RD PARTY</t>
  </si>
  <si>
    <t>Meals: 808/day/pax</t>
  </si>
  <si>
    <t xml:space="preserve">Note: </t>
  </si>
  <si>
    <t>Facility for accommodation is being provided by EDC</t>
  </si>
  <si>
    <t>Accommodation cost means payment for services (laundry, janitorial) &amp; maintenance for EDC camp</t>
  </si>
  <si>
    <t>MEALS &amp; ACCOMMODATION</t>
  </si>
  <si>
    <t>CONTRACTOR</t>
  </si>
  <si>
    <t># OF PERSON</t>
  </si>
  <si>
    <t>MEAL</t>
  </si>
  <si>
    <t>ACCOMMODATION</t>
  </si>
  <si>
    <t>REMARKS</t>
  </si>
  <si>
    <t>CEMENTING</t>
  </si>
  <si>
    <t>MEALS</t>
  </si>
  <si>
    <t>ACCOM</t>
  </si>
  <si>
    <t>TOTAL COST</t>
  </si>
  <si>
    <t>DURATION</t>
  </si>
  <si>
    <t>DESCRIPTIONS</t>
  </si>
  <si>
    <t>DAILY RATE</t>
  </si>
  <si>
    <t>OTHERS (BOOMTRUCK DRIVER &amp; SV DRIVER)</t>
  </si>
  <si>
    <t>*Date Updated: Nov. 24,2015</t>
  </si>
  <si>
    <t>UPDATED RIG MOVE COST AS OF SEPT. 23,2015 (C/O VER AQUINO)</t>
  </si>
  <si>
    <t>Transhipment Cost (Fixed Rate - Import)</t>
  </si>
  <si>
    <t>Transhipment Cost (Truck Rate - Import)</t>
  </si>
  <si>
    <t>per/ truck</t>
  </si>
  <si>
    <t>per import</t>
  </si>
  <si>
    <t>RENTAL - BIGHOLE ONLY</t>
  </si>
  <si>
    <t>TRANSHIPT- SINGLE</t>
  </si>
  <si>
    <t>TRANSHIPT - BOTH</t>
  </si>
  <si>
    <t>PASSWORD: MUR</t>
  </si>
  <si>
    <t>For transportation of EDC supplied equipment and consumables within the site. (sched. 1 B6)</t>
  </si>
  <si>
    <t>Casing Repair</t>
  </si>
  <si>
    <t>5469000 - Jars and Shock Tools</t>
  </si>
  <si>
    <t>DRILLING RIG SERVICES - Well Completion</t>
  </si>
  <si>
    <t>Duties</t>
  </si>
  <si>
    <t>EAARN</t>
  </si>
  <si>
    <t>BOOMTRUCK (Within Site)</t>
  </si>
  <si>
    <t>Rig 2 Service Contract</t>
  </si>
  <si>
    <t>ANCILLARIES</t>
  </si>
  <si>
    <t>Backup Booster Standby</t>
  </si>
  <si>
    <t>Backup Booster Operating</t>
  </si>
  <si>
    <t>Mist Pump Standby</t>
  </si>
  <si>
    <t>Mist Pump Operating</t>
  </si>
  <si>
    <t>Supervisor Mobilization</t>
  </si>
  <si>
    <t>Check with actual</t>
  </si>
  <si>
    <t>BACKUP JAR</t>
  </si>
  <si>
    <t>1st Run</t>
  </si>
  <si>
    <t>Re-run</t>
  </si>
  <si>
    <t>`</t>
  </si>
  <si>
    <t>Accom: 723/pax/day</t>
  </si>
  <si>
    <t>changed rate tot PhP 723.00 as of memo RBM</t>
  </si>
  <si>
    <t>BENTONITE API</t>
  </si>
  <si>
    <t>Caustic Soda</t>
  </si>
  <si>
    <t>TANNATHIN</t>
  </si>
  <si>
    <t>CMC TECH LV</t>
  </si>
  <si>
    <t>POLYPAC UL</t>
  </si>
  <si>
    <t>SP-101</t>
  </si>
  <si>
    <t>KLA-GARD</t>
  </si>
  <si>
    <t>DEFOAM-A</t>
  </si>
  <si>
    <t>CONQOR 202-B</t>
  </si>
  <si>
    <t>CONQOR 303 A</t>
  </si>
  <si>
    <t>DUOVIS</t>
  </si>
  <si>
    <t>RESINEX II</t>
  </si>
  <si>
    <t>FIXED FEE - Rigmove</t>
  </si>
  <si>
    <t>Handling/Hauling (Allocated)</t>
  </si>
  <si>
    <t>Allocated Handling Hauling</t>
  </si>
  <si>
    <t>Site</t>
  </si>
  <si>
    <t>Annual Budget</t>
  </si>
  <si>
    <t>Daily Rate</t>
  </si>
  <si>
    <t>INTERISLAND RIGMOVE (ALLOCATED)</t>
  </si>
  <si>
    <t>Allocated Interisland Rigmove</t>
  </si>
  <si>
    <t>Programmed Drilling Days</t>
  </si>
  <si>
    <t># of Wells</t>
  </si>
  <si>
    <t>Transshipment of SLB Cementing Package</t>
  </si>
  <si>
    <t>Casings</t>
  </si>
  <si>
    <t>Cementing Services</t>
  </si>
  <si>
    <t>Wellhead</t>
  </si>
  <si>
    <t xml:space="preserve">Fuels     </t>
  </si>
  <si>
    <t>Mud and Chemicals</t>
  </si>
  <si>
    <t xml:space="preserve">Cement and Additives          </t>
  </si>
  <si>
    <t xml:space="preserve">Rockbits            </t>
  </si>
  <si>
    <t>Mud Engineering Services</t>
  </si>
  <si>
    <t xml:space="preserve">Aerated Drilling Services         </t>
  </si>
  <si>
    <t>Welding Services</t>
  </si>
  <si>
    <t>Mud Logging Services</t>
  </si>
  <si>
    <t xml:space="preserve">Casing Running Services         </t>
  </si>
  <si>
    <t>Drilling Rig Services</t>
  </si>
  <si>
    <t xml:space="preserve">Handling, Hauling, Towing &amp; Del.        </t>
  </si>
  <si>
    <t>Rig Mobilization Charges</t>
  </si>
  <si>
    <t>8" PWD Tool</t>
  </si>
  <si>
    <t>8" PWD Tool Circulating Hours</t>
  </si>
  <si>
    <t>10-3/4" CASING (K55, 40.5ppf, BTC) PERFORATED</t>
  </si>
  <si>
    <t>10-3/4" FLOAT COLLAR (K55, 40.5ppf, BTC, S)</t>
  </si>
  <si>
    <t>10-3/4" FLOAT SHOE (K55, 40.5ppf, BTC)</t>
  </si>
  <si>
    <t>10-3/4" CENTRALIZER (10-3/4" x 12-1/4")</t>
  </si>
  <si>
    <t>10-3/4" CEMENT BASKET (10-3/4" x 12-1/4")</t>
  </si>
  <si>
    <t>10-3/4" LINER HANGER (10-3/4" X 13-3/8")</t>
  </si>
  <si>
    <t>8-5/8" CASING (K55, 24ppf, BTC) BLANK</t>
  </si>
  <si>
    <t>RIG MOB</t>
  </si>
  <si>
    <t>RIG RELEASE</t>
  </si>
  <si>
    <t>JE JUMAWAN</t>
  </si>
  <si>
    <t>TOTAL DAYS (RM-RR)</t>
  </si>
  <si>
    <t>BUDGET (PHP)</t>
  </si>
  <si>
    <t>Item</t>
  </si>
  <si>
    <t xml:space="preserve">  Cost  </t>
  </si>
  <si>
    <t>Contractor</t>
  </si>
  <si>
    <t>Petron</t>
  </si>
  <si>
    <t>Consumables</t>
  </si>
  <si>
    <t>Schlumberger</t>
  </si>
  <si>
    <t>Services</t>
  </si>
  <si>
    <t>Smith and Baker Hughes</t>
  </si>
  <si>
    <t xml:space="preserve">Genex </t>
  </si>
  <si>
    <t>Halliburton</t>
  </si>
  <si>
    <t>Weatherford</t>
  </si>
  <si>
    <t xml:space="preserve">ThermaPrime </t>
  </si>
  <si>
    <t>Drill Pipes</t>
  </si>
  <si>
    <t>ALLOCATED COST BUDGET</t>
  </si>
  <si>
    <t>INTERISLAND COST'</t>
  </si>
  <si>
    <t>2017 Proposed Budget</t>
  </si>
  <si>
    <t>Basis</t>
  </si>
  <si>
    <t>no program for 2017</t>
  </si>
  <si>
    <t>Month 1</t>
  </si>
  <si>
    <t>Month 2</t>
  </si>
  <si>
    <t>Month 3</t>
  </si>
  <si>
    <t>Month 4</t>
  </si>
  <si>
    <t>No. of days</t>
  </si>
  <si>
    <t>Silica</t>
  </si>
  <si>
    <t>Fluid loss</t>
  </si>
  <si>
    <t>Dispersant</t>
  </si>
  <si>
    <t>Antifoam</t>
  </si>
  <si>
    <t>Retarder</t>
  </si>
  <si>
    <t>Extender</t>
  </si>
  <si>
    <t>Casing size</t>
  </si>
  <si>
    <t>in</t>
  </si>
  <si>
    <t>casing ID</t>
  </si>
  <si>
    <t>casing depth</t>
  </si>
  <si>
    <t>ft</t>
  </si>
  <si>
    <t>hole size</t>
  </si>
  <si>
    <t>Last Casing size</t>
  </si>
  <si>
    <t>Last casing depth</t>
  </si>
  <si>
    <t>Top of cement depth</t>
  </si>
  <si>
    <t>length of tail slurry</t>
  </si>
  <si>
    <t>Shoe joint volume</t>
  </si>
  <si>
    <t>cuft</t>
  </si>
  <si>
    <t>casing capacity</t>
  </si>
  <si>
    <t>Open hole volume</t>
  </si>
  <si>
    <t>Total length of OH</t>
  </si>
  <si>
    <t>Annulus capacity</t>
  </si>
  <si>
    <t>OH excess volume</t>
  </si>
  <si>
    <t xml:space="preserve">OH percentage </t>
  </si>
  <si>
    <t>Casing hole volume</t>
  </si>
  <si>
    <t>Total length cased hole</t>
  </si>
  <si>
    <t>Total slurry volume</t>
  </si>
  <si>
    <t>bbl</t>
  </si>
  <si>
    <t>D047 (gps)</t>
  </si>
  <si>
    <t>D155 (gps)</t>
  </si>
  <si>
    <t>D065 (lbs)</t>
  </si>
  <si>
    <t>D800 (lbs)</t>
  </si>
  <si>
    <t>D066 (lbs)</t>
  </si>
  <si>
    <t>D112 (lbs)</t>
  </si>
  <si>
    <t>D020 (lbs)</t>
  </si>
  <si>
    <t>D255 (lbs)</t>
  </si>
  <si>
    <t>shoe join length</t>
  </si>
  <si>
    <t>cuft/ft</t>
  </si>
  <si>
    <t>Basic</t>
  </si>
  <si>
    <t>Micro Silica</t>
  </si>
  <si>
    <t>Price</t>
  </si>
  <si>
    <t xml:space="preserve">Acid </t>
  </si>
  <si>
    <t>Intermediate</t>
  </si>
  <si>
    <t>Liner</t>
  </si>
  <si>
    <t>Tie-back</t>
  </si>
  <si>
    <t>Yield</t>
  </si>
  <si>
    <t>D197 (gps)</t>
  </si>
  <si>
    <t>Retarder, L</t>
  </si>
  <si>
    <t>SC</t>
  </si>
  <si>
    <t>IC</t>
  </si>
  <si>
    <t>DL</t>
  </si>
  <si>
    <t>TB</t>
  </si>
  <si>
    <t xml:space="preserve">Slurry volume calculation </t>
  </si>
  <si>
    <t>Reline</t>
  </si>
  <si>
    <t>ROP Input</t>
  </si>
  <si>
    <t>RELINE</t>
  </si>
  <si>
    <t>DLINER3</t>
  </si>
  <si>
    <t>FLINER3</t>
  </si>
  <si>
    <t>RIGRELEASE</t>
  </si>
  <si>
    <t>7-7/8"</t>
  </si>
  <si>
    <t>7"xSCC</t>
  </si>
  <si>
    <t>FRELINE</t>
  </si>
  <si>
    <t>IF CELL IS BLANK OR ZERO</t>
  </si>
  <si>
    <t>PWD</t>
  </si>
  <si>
    <t>ALUMINUM STEARATE</t>
  </si>
  <si>
    <t>CONQOR 404</t>
  </si>
  <si>
    <t>Lube 167</t>
  </si>
  <si>
    <t>M-I PAC R</t>
  </si>
  <si>
    <t>POLYPAC R</t>
  </si>
  <si>
    <t>POLY-PLUS</t>
  </si>
  <si>
    <t>POLY-PLUS DRY</t>
  </si>
  <si>
    <t>POLYSAL T</t>
  </si>
  <si>
    <t>Safe Cor</t>
  </si>
  <si>
    <t>SAFE-CIDE</t>
  </si>
  <si>
    <t>TACKLE (liquid)</t>
  </si>
  <si>
    <t>TACKLE (dry)</t>
  </si>
  <si>
    <t>10 kg bag</t>
  </si>
  <si>
    <t>1 MT BB</t>
  </si>
  <si>
    <t>25 kg bag</t>
  </si>
  <si>
    <t>55 gal dr</t>
  </si>
  <si>
    <t>5 gal can</t>
  </si>
  <si>
    <t>50 lb bag</t>
  </si>
  <si>
    <t>25 lt can</t>
  </si>
  <si>
    <t>110lb</t>
  </si>
  <si>
    <t>lb</t>
  </si>
  <si>
    <t>Cement</t>
  </si>
  <si>
    <t>D907 (110lb)</t>
  </si>
  <si>
    <t>Liner plug</t>
  </si>
  <si>
    <t>Liner Plug</t>
  </si>
  <si>
    <t>100 sacks</t>
  </si>
  <si>
    <t>CP</t>
  </si>
  <si>
    <t>Qty</t>
  </si>
  <si>
    <t>SAP RUN DATE:</t>
  </si>
  <si>
    <t>LEGEND:</t>
  </si>
  <si>
    <t>COMMON INVENTORY</t>
  </si>
  <si>
    <t>PERIOD:</t>
  </si>
  <si>
    <t>11/16 to 01/17</t>
  </si>
  <si>
    <t>SAP Material Description</t>
  </si>
  <si>
    <t>Proposed New Material Description</t>
  </si>
  <si>
    <t>Material Group</t>
  </si>
  <si>
    <t>SECTOR</t>
  </si>
  <si>
    <t>Mat Type</t>
  </si>
  <si>
    <t>MILL; TAPER, 6-1/8" O.D.</t>
  </si>
  <si>
    <t>MILLING TOOLS</t>
  </si>
  <si>
    <t>ASY</t>
  </si>
  <si>
    <t>ERSA</t>
  </si>
  <si>
    <t>CASING; SIZE: 26'', 207-237PPF, K55, R3,</t>
  </si>
  <si>
    <t>CASING; 26", 203 PPF, X56, LSD, ERW</t>
  </si>
  <si>
    <t>CASINGS</t>
  </si>
  <si>
    <t>PC</t>
  </si>
  <si>
    <t>CASING;10-3/4"40.5PPF K55,R3,BTC,SCC,API</t>
  </si>
  <si>
    <t>CASING; 10-3/4", 40.5 PPF, K55, BTC,BLNK</t>
  </si>
  <si>
    <t>HIBE</t>
  </si>
  <si>
    <t>CASING;10-3/4";40.5PPF K55;R3;PERFORATED</t>
  </si>
  <si>
    <t>LEN</t>
  </si>
  <si>
    <t>CENTRALIZER; MODIFIED,TYPE 330 TOP-CO FO</t>
  </si>
  <si>
    <t>CENTRALIZER; 9-5/8" X 13-3/8", STAND OFF</t>
  </si>
  <si>
    <t>CENTRALIZERS</t>
  </si>
  <si>
    <t>COLLAR; FLOAT, 9-5/8"O.D.,NON ROTATING,</t>
  </si>
  <si>
    <t>COLLAR; FLOAT, 9-5/8", 47#, L80, BTC,DF</t>
  </si>
  <si>
    <t>FLOAT EQUIPMENT</t>
  </si>
  <si>
    <t>COLLAR;FLOAT,13-3/8"O.D. DIFFERENTIAL FI</t>
  </si>
  <si>
    <t>COLLAR; FLOAT, 13-3/8", 68#, L80, BTC,DF</t>
  </si>
  <si>
    <t>COLLAR;FLOAT,9-5/8"O.D. DIFFERENTIAL FIL</t>
  </si>
  <si>
    <t>PLUG;BOTTOM;13-3/8" O.D.</t>
  </si>
  <si>
    <t>WIPER PLUGS</t>
  </si>
  <si>
    <t>PLUG;BOTTOM;9-5/8" O.D. NON ROTATING</t>
  </si>
  <si>
    <t>PLUG; BOTTOM, 9-5/8" OD, NON ROTATING</t>
  </si>
  <si>
    <t>PLUG;TOP;13-3/8" O.D.</t>
  </si>
  <si>
    <t>PLUG; TOP, 13-3/8" OD</t>
  </si>
  <si>
    <t>PLUG;TOP;9-5/8" O.D. NON ROTATING</t>
  </si>
  <si>
    <t>PLUG; TOP, 9-5/8" OD, NON ROTATING</t>
  </si>
  <si>
    <t>SHOE; FLOAT,13-3/8"O.D. DIFFERENTIAL FIL</t>
  </si>
  <si>
    <t>SHOE; FLOAT, 13-3/8", 68#, L80, BTC,DF</t>
  </si>
  <si>
    <t>SET</t>
  </si>
  <si>
    <t>SHOE; FLOAT,9-5/8"O.D. DIFFERENTIAL FILL</t>
  </si>
  <si>
    <t>SHOE; FLOAT, 9-5/8", 47#, L80, BTC,DF</t>
  </si>
  <si>
    <t>SLIP; DRILL COLLAR, 4-3/4", VARCO PN-257</t>
  </si>
  <si>
    <t>SLIP; DRILL COLLAR, 4-3/4" OD</t>
  </si>
  <si>
    <t>DRILL COLLARS</t>
  </si>
  <si>
    <t>SLIP; DRILL COLLAR, DCS-R, 6-1/2" VARCO</t>
  </si>
  <si>
    <t>SLIP; 8"-9-1/2" DRILL COLLAR, DCS-L (12</t>
  </si>
  <si>
    <t>ADDITIVE; MUD, FLUID LOSS CONTROL, HI-TE</t>
  </si>
  <si>
    <t>ADDITIVE; MUD, FLUID LOSS CONTROL</t>
  </si>
  <si>
    <t>CHEMICALS</t>
  </si>
  <si>
    <t>ADDITIVE; MUD, SP-300</t>
  </si>
  <si>
    <t>BAG</t>
  </si>
  <si>
    <t>BASKET; CEMENT METAL PETAL,  13-3/8" O.D</t>
  </si>
  <si>
    <t>BASKET; CEMENT METAL PETAL,  9-5/8", HAL</t>
  </si>
  <si>
    <t>BASKET; CEMENT 9-5/8" X 12-1/4", MPB</t>
  </si>
  <si>
    <t>BASKET; CEMENT,13-3/8" X 17",METAL PETAL</t>
  </si>
  <si>
    <t>BASKET; CEMENT 13-3/8" X 17", MPB</t>
  </si>
  <si>
    <t>CEMENT BASKET; 18-5/8'' X 23'', METAL PE</t>
  </si>
  <si>
    <t>BASKET; CEMENT 18-5/8'' X 23'', MPB</t>
  </si>
  <si>
    <t>ADDITIVE;CEMENT;A-3L;SODIUM SILICATE;BJ;</t>
  </si>
  <si>
    <t>DR</t>
  </si>
  <si>
    <t>BIT; MILLTOOTH,12-1/4",IADC 217 W/#24/32</t>
  </si>
  <si>
    <t>BIT; ROLLER CONE,17'',(IADC 515/525)</t>
  </si>
  <si>
    <t>ROCKBIT; 17", TCI, IADC 525, HUGHES</t>
  </si>
  <si>
    <t>BIT; PDC, 12-1/4"</t>
  </si>
  <si>
    <t>ROCKBIT; 12-1/4", PDC;</t>
  </si>
  <si>
    <t>BIT; PDC, 9-7/8",6"BLADE,16MM CUTTER,W/B</t>
  </si>
  <si>
    <t>ROCKBIT; 9-7/8", PDC;</t>
  </si>
  <si>
    <t>NEAR BIT; STABILIZER SLEEVE, 8-1/2" OD,</t>
  </si>
  <si>
    <t>STABILIZERS</t>
  </si>
  <si>
    <t>BIT;ROLLER CONE,23",W/ 24/32 NOZZLE, 7-5</t>
  </si>
  <si>
    <t>ROCKBIT; 23", TCI, IADC 515, SMITH</t>
  </si>
  <si>
    <t>BIT;ROLLER CONE,9-7/8",W/ 24/32 NOZZLE,4</t>
  </si>
  <si>
    <t>ROCKBIT; 9-7/8", TCI, IADC 637, SMITH</t>
  </si>
  <si>
    <t>BIT;ROLLER CONE,7-7/8",W/ 24/32 NOZZLE,4</t>
  </si>
  <si>
    <t>ROCKBIT; 7-7/8", TCI, IADC 637, SMITH</t>
  </si>
  <si>
    <t>BIT;MILLTOOTH,6-1/8", W/ 24/32 NOZZLE,3-</t>
  </si>
  <si>
    <t>ROCKBIT; 6-1/8", MT, IADC 117, SMITH</t>
  </si>
  <si>
    <t>BIT; MILLTOOTH,8-1/2",IADC 117 W/#24/32N</t>
  </si>
  <si>
    <t>ROCKBIT; 8-1/2", MT, IADC 117, SMITH</t>
  </si>
  <si>
    <t>BIT; MILLTOOTH,8-1/2",IADC 217 W/#24/32N</t>
  </si>
  <si>
    <t>ROCKBIT; 8-1/2", MT, IADC 217, SMITH</t>
  </si>
  <si>
    <t>BIT; 6-1/2"ROLLER CONE TCI</t>
  </si>
  <si>
    <t>ROCKBIT; 6-1/2", MT, IADC 537, SMITH</t>
  </si>
  <si>
    <t>ROCKBIT; 7-7/8", TCI, IADC 517, SMITH</t>
  </si>
  <si>
    <t>BOLT; STUD, 7/8"DIA.,  X 6-1/4", W/ 2 HE</t>
  </si>
  <si>
    <t>BOLT; STUD, 7/8" DIA X 6-1/4" L, W/2 HEX</t>
  </si>
  <si>
    <t>WELLHEAD EQUIPMENT</t>
  </si>
  <si>
    <t>BOLT; STUD, 1-3/8"DIA.,   X  10 "</t>
  </si>
  <si>
    <t>BOLT; STUD, 1-3/8" DIA X 10" L, W/2 HEX</t>
  </si>
  <si>
    <t>BOLT;STUD;1-3/8#X10-3/4#;W/2 HEX NUTS;B7</t>
  </si>
  <si>
    <t>BOLT; STUD,1-3/8" DIA X 10-3/4"L,W/2 HEX</t>
  </si>
  <si>
    <t>BUSHING; PACK-OFF, 10-3/4"</t>
  </si>
  <si>
    <t>BUSHING; PACK-OFF, 10-3/4" OD, 40.5 PPF</t>
  </si>
  <si>
    <t>ADDITIVE;CEMENT;A-7;CALCIUM CHLORIDE;BJ;</t>
  </si>
  <si>
    <t>ADDITIVE; CEMENT, A-7, CALCIUM CHLORIDE</t>
  </si>
  <si>
    <t>ADDITIVE;CEMENT;FP-9L;ANTI-FOAMER;BJ;</t>
  </si>
  <si>
    <t>ADDITIVE; CEMENT, FP-9L, ANTI-FOAMER</t>
  </si>
  <si>
    <t>CASING; STEEL, 7", K55 RT, BLANK, 26 PPF</t>
  </si>
  <si>
    <t>CASING; 7", 26 PPF, K55, BTC, BLANK</t>
  </si>
  <si>
    <t>CASING; STEEL, 18-5/8" OD, K55, 87.5 PPF</t>
  </si>
  <si>
    <t>CASING; 18-5/8", 87.5 PPF, K55, BTC</t>
  </si>
  <si>
    <t>CASING; STEEL, 5" OD K-55, SEAMLESS,  BL</t>
  </si>
  <si>
    <t>CASING; 5", 15 PPF, K55, SL FLUSH, BLANK</t>
  </si>
  <si>
    <t>CASING; STEEL, 7" X 40', SLOTTED</t>
  </si>
  <si>
    <t>CASING; STEEL, 20" OC, K-55, 133.0 PPR,</t>
  </si>
  <si>
    <t>CASING; 20", 133 PPF, K55, BTC</t>
  </si>
  <si>
    <t>CASING; STEEL,13-3/8"OD, L80, 68 PPF, AP</t>
  </si>
  <si>
    <t>CASING; 13-3/8", 68 PPF, L80, BTC</t>
  </si>
  <si>
    <t>CASING; STEEL,13-3/8",68PPF,L-80,API SML</t>
  </si>
  <si>
    <t>CASING; 13-3/8", 68 PPF, L80, SLB</t>
  </si>
  <si>
    <t>CASING; STEEL,9-5/8",47PPF,L-80,API SMLS</t>
  </si>
  <si>
    <t>CASING; 9-5/8", 47 PPF, L80, SLB, BLANK</t>
  </si>
  <si>
    <t>CASING; STEEL,24" OD, 125.5 PPF, SPIRAL</t>
  </si>
  <si>
    <t>CASING; 24", 125.5 PPF, BEVEL END,SPIRAL</t>
  </si>
  <si>
    <t>CASING; STEEL,13-3/8"OD, K-55, 68 PPF,AP</t>
  </si>
  <si>
    <t>CASING; 13-3/8", 68 PPF, K55, BTC</t>
  </si>
  <si>
    <t>CASING; STEEL, 9-5/8", K55, SLOTTED, 43.</t>
  </si>
  <si>
    <t>CASING; 9-5/8", 43.5 PPF, L80, BTC,PERF.</t>
  </si>
  <si>
    <t>CASING; STEEL, 13-3/8" OD, K-55, 72.0PPF</t>
  </si>
  <si>
    <t>CASING; 13-3/8", 72 PPF, K55, BTC</t>
  </si>
  <si>
    <t>ADDITIVE;CEMENT;R-15LS;BJ;</t>
  </si>
  <si>
    <t>ADDITIVE; CEMENT, R-15LS</t>
  </si>
  <si>
    <t>CENTRALIZER; 13-3/8" X 17",WELDED BOW SP</t>
  </si>
  <si>
    <t>CENTRALIZER; 13-3/8" X 17", BOW TYPE</t>
  </si>
  <si>
    <t>KG</t>
  </si>
  <si>
    <t>CENTRALIZER; 13-3/8" X 18-5/8", STAND-OF</t>
  </si>
  <si>
    <t>CENTRALIZER; 13-3/8" X 18-5/8",STAND OFF</t>
  </si>
  <si>
    <t>CENTRALIZER; STAND-OFF, 9-5/8" X 13-3/8"</t>
  </si>
  <si>
    <t>CENTRALIZER; 13-3/8'' CASING X 18-1/4''</t>
  </si>
  <si>
    <t>CENTRALIZER; 13-3/8'' X 20", STAND OFF</t>
  </si>
  <si>
    <t>CENTRALIZER; CASING N-W, STRGHT,  9-5/8"</t>
  </si>
  <si>
    <t>CENTRALIZER; 9-5/8" X 12-1/4", BOW TYPE</t>
  </si>
  <si>
    <t>CENTRALIZER; CASING N-W, STRGHT, 13-3/8"</t>
  </si>
  <si>
    <t>CENTRALIZER; SIZE: 24-1/2'' X 30'',WELDE</t>
  </si>
  <si>
    <t>CENTRALIZER; 24-1/2'' X 30'', BOW TYPE</t>
  </si>
  <si>
    <t>CENTRALIZER; 18-5/8'' X 23,WELDED BOW SP</t>
  </si>
  <si>
    <t>CENTRALIZER; 18-5/8'' X 23", BOW TYPE</t>
  </si>
  <si>
    <t>CENTRALIZER; 18-5/8" X 24"(FOR 26" 203 P</t>
  </si>
  <si>
    <t>CENTRALIZER; 18-5/8 X 26", STAND OFF</t>
  </si>
  <si>
    <t>CENTRALIZER;26" X 32",WELDED BOW SPRING,</t>
  </si>
  <si>
    <t>CENTRALIZER; 26" X 32", BOW TYPE</t>
  </si>
  <si>
    <t>COLLAR; FLOAT,13-3/8",SPRING LOADED PLUN</t>
  </si>
  <si>
    <t>COLLAR; FLOAT, 13-3/8", 68#, L80,SL BOSS</t>
  </si>
  <si>
    <t>COLLAR; DRILL, 3-1/2"NC 26 (AS PER ATTAC</t>
  </si>
  <si>
    <t>COLLAR; DRILL, SPIRAL, 3-1/2" X 1-1/2"</t>
  </si>
  <si>
    <t>COLLAR; CEMENTING, SIZE: 18-5/8'', 114PP</t>
  </si>
  <si>
    <t>COLLAR; FLOAT, 18-5/8", 114#, K55,BTC,DV</t>
  </si>
  <si>
    <t>COLLAR; DRILL, 9-1/2" OD X 2-13/16"ID,SP</t>
  </si>
  <si>
    <t>COLLAR; DRILL, SPIRAL, 9-1/2" X 2-13/16"</t>
  </si>
  <si>
    <t>COLLAR;DRILL,8-1/4"OD X 2-13/16"ID,SPIRA</t>
  </si>
  <si>
    <t>COLLAR; DRILL, SPIRAL, 8-1/4" X 2-13/16"</t>
  </si>
  <si>
    <t>COLLAR; DRILL, 4-3/4" OD X 2-1/4"ID,SPIR</t>
  </si>
  <si>
    <t>COLLAR; DRILL, SPIRAL, 4-3/4" X 2-1/4"</t>
  </si>
  <si>
    <t>COLLAR; DRILL, 6-1/2" OD X 2-1/4" ID, SP</t>
  </si>
  <si>
    <t>COLLAR; DRILL, SPIRAL, 6-1/2" X 2-1/4"</t>
  </si>
  <si>
    <t>COLLAR; FLOAT, 18-5/8'',114PPF, K55, BTC</t>
  </si>
  <si>
    <t>COLLAR; FLOAT, 18-5/8", 114#, K55, BTC</t>
  </si>
  <si>
    <t>COLLAR; STAB-IN, 18-5/8", PLUNGER TYPE V</t>
  </si>
  <si>
    <t>COLLAR; DRILL, NON-MAGNETIC, 9-1/2" OD X</t>
  </si>
  <si>
    <t>COLLAR; DRILL, NON-MAG, 9-1/2" X 3"</t>
  </si>
  <si>
    <t>COLLAR; DRILL, NON-MAGNETIC, 8-1/4" OD X</t>
  </si>
  <si>
    <t>COLLAR; DRILL, NON-MAG,8-1/4" X 2-13/16"</t>
  </si>
  <si>
    <t>COLLAR; FLOAT,10-3/4",40.5PPF, K55,BTC,S</t>
  </si>
  <si>
    <t>COLLAR; FLOAT, 10-3/4", 40.5#, K55, BTC</t>
  </si>
  <si>
    <t>COLLAR; FLOAT,18-5/8",114PPF,K55,BTC,STA</t>
  </si>
  <si>
    <t>COLLAR; FLOAT,18-5/8",114#, K55,BTC,SILI</t>
  </si>
  <si>
    <t>ADDITIVE;CEMENT;S-8;SILICA FLOUR;BJ;</t>
  </si>
  <si>
    <t>ADDITIVE; CEMENT, S-8, SILICA FLOUR</t>
  </si>
  <si>
    <t>ALDEHYDE;GLUTARALDEHYDE 25%;BIOCIDE;BAKE</t>
  </si>
  <si>
    <t>ALUMINUM STEARATE;DEFOAMING AGENT;BAKER</t>
  </si>
  <si>
    <t>ALUMINUM STEARATE; DEFOAMING AGENT</t>
  </si>
  <si>
    <t>AMINE COMPOUND;AMI-TEC;CORROSION INHIBIT</t>
  </si>
  <si>
    <t>INHIBITOR; CORROSION, AMINE COMPOUND</t>
  </si>
  <si>
    <t>BARITE; MELBAR</t>
  </si>
  <si>
    <t>ML</t>
  </si>
  <si>
    <t>CUTTER; TCI, 32",FOR 32" HOLE OPENER</t>
  </si>
  <si>
    <t>CUTTER; TCI, 32" OD, FOR 32" HOLE OPENER</t>
  </si>
  <si>
    <t>HOLE OPENERS</t>
  </si>
  <si>
    <t>BENTONITE; NATURAL SODIUM MONTMORILLONIT</t>
  </si>
  <si>
    <t>FLANGE; CASING HEAD, 20-3/4" X 3M</t>
  </si>
  <si>
    <t>FLANGE; CASING HEAD, 13-5/8" X 3M</t>
  </si>
  <si>
    <t>FLOAT;COLLAR;9-5/8";</t>
  </si>
  <si>
    <t>COLLAR; FLOAT, 9-5/8", , L80, BTC</t>
  </si>
  <si>
    <t>GUIDE SHOE,7'',23PPF,K55,BTC SCC</t>
  </si>
  <si>
    <t>SHOE; GUIDE, 7", 23#, K55, BTC</t>
  </si>
  <si>
    <t>HANGER;LINER,DBL SLIP,9-5/8" X 7"(SEE SP</t>
  </si>
  <si>
    <t>HANGER; LINER, 7" X 9-5/8", SLB</t>
  </si>
  <si>
    <t>LINER HANGERS</t>
  </si>
  <si>
    <t>HANGER; LINER, 10-3/4" X 13-3/8", MECHAN</t>
  </si>
  <si>
    <t>HANGER; LINER, 10-3/4" X 13-3/8"</t>
  </si>
  <si>
    <t>BENTONITE; WYOMING, 1,000KGS/BAG</t>
  </si>
  <si>
    <t>MILL;CONVEX;4-1/4" OD</t>
  </si>
  <si>
    <t>MILL; CONVEX, 4-1/4" OD</t>
  </si>
  <si>
    <t>MILL;CONVEX;6-1/8" OD</t>
  </si>
  <si>
    <t>MILL; CONVEX, 6-1/8" OD</t>
  </si>
  <si>
    <t>MILL;CONVEX;8-1/2" OD</t>
  </si>
  <si>
    <t>MILL; CONVEX, 8-1/2" OD</t>
  </si>
  <si>
    <t>MILL;WATERMELON;4-1/4" OD</t>
  </si>
  <si>
    <t>MILL; WATERMELON, 4-1/4" OD</t>
  </si>
  <si>
    <t>MILL;WATERMELON;6-1/8" OD</t>
  </si>
  <si>
    <t>MILL; WATERMELON, 6-1/8" OD</t>
  </si>
  <si>
    <t>MILL;WATERMELON;8-1/2" OD</t>
  </si>
  <si>
    <t>MILL; WATERMELON, 8-1/2" OD</t>
  </si>
  <si>
    <t>NIPPLE;STAB-IN;4-1/2</t>
  </si>
  <si>
    <t>NIPPLE; STAB-IN, 4-1/2" IF</t>
  </si>
  <si>
    <t>NOZZLE; JET, 18/32",FOR 12-1/4" RB,ROCKB</t>
  </si>
  <si>
    <t>ROCKBIT NOZZLES</t>
  </si>
  <si>
    <t>NOZZLE; JET, 18/32",FOR 8-1/2" RB,ROCKBI</t>
  </si>
  <si>
    <t>NOZZLE; JET, 20/32",FOR 12-1/4" RB,ROCKB</t>
  </si>
  <si>
    <t>NOZZLE; JET, 22/32",FOR 12-1/4" RB,ROCKB</t>
  </si>
  <si>
    <t>NOZZLE; JET, 24/32",FOR 12-1/4" RB,ROCKB</t>
  </si>
  <si>
    <t>NOZZLE; JET, 22/32",FOR 8-1/2" RB,ROCKBI</t>
  </si>
  <si>
    <t>NOZZLE; JET, 24/32, FOR 26" ROCK BIT, HU</t>
  </si>
  <si>
    <t>NOZZLE; JET, 28/32, FOR 26" ROCK BIT, HU</t>
  </si>
  <si>
    <t>NOZZLE; JET, 18/32",FOR 8-1/2" RB, ROCKB</t>
  </si>
  <si>
    <t>NOZZLE; JET, 20/32",FOR 26" ROCKBIT, HUG</t>
  </si>
  <si>
    <t>NOZZLE; JET, 20/32",FOR 8-1/2" RB, ROCKB</t>
  </si>
  <si>
    <t>NOZZLE; JET, 22/32",FOR 26" ROCKBIT, HUG</t>
  </si>
  <si>
    <t>NOZZLE; JET, 22/32",FOR 8-1/2" RB, ROCKB</t>
  </si>
  <si>
    <t>NOZZLE;26/32",TCI SERIES 100, 17"&amp;23"ROC</t>
  </si>
  <si>
    <t>NOZZLE; FF13, WITH STOP RING, HUGHES</t>
  </si>
  <si>
    <t>NOZZLE; FF16, WITH STOP RING, HUGHES</t>
  </si>
  <si>
    <t>NOZZLE; JET, 20/32, FOR 12-1/4" RB, HUGH</t>
  </si>
  <si>
    <t>NOZZLE; JET, 24/32" FOR 8-1/2"RB SMITH</t>
  </si>
  <si>
    <t>NOZZLE; JET, 22/32",FOR 17-1/2" RB,ROCKB</t>
  </si>
  <si>
    <t>PAC</t>
  </si>
  <si>
    <t>NOZZLE; JET, 18/32, FOR 17-1/2" RB, SMIT</t>
  </si>
  <si>
    <t>NOZZLE; JET, 20/32, FOR 17-1/2" RB, SMIT</t>
  </si>
  <si>
    <t>NOZZLE; JET, 24/32" FOR 8-1/2"RB HUGHES</t>
  </si>
  <si>
    <t>NOZZLE; FOR 8-3/8"-14" HUGHES ROCKBIT, 2</t>
  </si>
  <si>
    <t>GAL</t>
  </si>
  <si>
    <t>OPENER;HOLE;30";W/ 9-1/2" DIA. BODY;</t>
  </si>
  <si>
    <t>OPENER; HOLE, 30", W/ 9-1/2" DIA. BODY</t>
  </si>
  <si>
    <t>PIPE;DRILL;HEAVY WEIGHT;5" OD X 3" ID X</t>
  </si>
  <si>
    <t>PIPE; DRILL, 5" OD, HEAVY WEIGHT</t>
  </si>
  <si>
    <t>PIPE;DRILL;3-1/2" HEAVY WEIGHT</t>
  </si>
  <si>
    <t>PIPE; DRILL, 3-1/2" OD, HEAVY WEIGHT</t>
  </si>
  <si>
    <t>PIPE;DRILL;5";(AS PER ATTACHED TDS)</t>
  </si>
  <si>
    <t>PIPE; DRILL, 5" OD, GRADE VM-105</t>
  </si>
  <si>
    <t>PLUG;WIPER;DRILL PIPE</t>
  </si>
  <si>
    <t>PLUG; WIPER, DRILL PIPE</t>
  </si>
  <si>
    <t>PLUG;LINER WIPER;10-3/4"</t>
  </si>
  <si>
    <t>PLUG; LINER WIPER, 10-3/4" OD</t>
  </si>
  <si>
    <t>PLUG;BOTTOM;CEMENTING;RUBBER; 9-5/8"</t>
  </si>
  <si>
    <t>PLUG; BOTTOM, 9-5/8" OD, CEMENTING</t>
  </si>
  <si>
    <t>PLUG;NON-ROTATING IT</t>
  </si>
  <si>
    <t>PLUG; NON-ROTATING,9-5/8" OD, BOTTOM</t>
  </si>
  <si>
    <t>PLUG;13-3/8"MODIFIED;TYPE 777 TOP-CO LP;</t>
  </si>
  <si>
    <t>PLUG; MODIFIED, 13-3/8" OD, CEMENTING</t>
  </si>
  <si>
    <t>PLUG;TOP;NON-ROTATIN</t>
  </si>
  <si>
    <t>PLUG; NON-ROTATIN, 9-5/8", TOP</t>
  </si>
  <si>
    <t>PLUG;TOP;CEMENTING;RUBBER; 9-5/8"</t>
  </si>
  <si>
    <t>PLUG; TOP, 9-5/8" OD, CEMENTING</t>
  </si>
  <si>
    <t>PLUG;LINER WIPER;7"</t>
  </si>
  <si>
    <t>PLUG; LINER WIPER, 7" OD</t>
  </si>
  <si>
    <t>PROTECTOR;THREAD CASING RUBBER;FOR 13-3/</t>
  </si>
  <si>
    <t>PROTECTOR;THREAD CASING RUBBER,FOR 13-3/</t>
  </si>
  <si>
    <t>PIPE PROTECTOR</t>
  </si>
  <si>
    <t>PROTECTOR;THREAD;20" CASING</t>
  </si>
  <si>
    <t>PROTECTOR;BETTIS RUBBER;RDPB5"</t>
  </si>
  <si>
    <t>PROTECTOR;THREAD CASING RUBBER;FOR 7" CA</t>
  </si>
  <si>
    <t>PROTECTOR; PIN, 7" BTC CASING</t>
  </si>
  <si>
    <t>PROTECTOR;THREAD CASING RUBBER;FOR 9-5/8</t>
  </si>
  <si>
    <t>PROTECTOR;THREAD CASING RUBBER,FOR 9-5/8</t>
  </si>
  <si>
    <t>PROTECTOR;THREAD;PLASTIC;4-1/2";IF BOX</t>
  </si>
  <si>
    <t>PROTECTOR;THREAD;PLASTIC; 4-1/2" IF BOX</t>
  </si>
  <si>
    <t>PROTECTOR;THREAD;PLASTIC;  6-5/8";REG BO</t>
  </si>
  <si>
    <t>PROTECTOR;THREAD;PLASTIC;  6-5/8",REG BO</t>
  </si>
  <si>
    <t>PROTECTOR;THREAD;PLASTIC;7-5/8";REG BOX</t>
  </si>
  <si>
    <t>PROTECTOR;THREAD;PLASTIC; 7-5/8",REG BOX</t>
  </si>
  <si>
    <t>PROTECTOR;THREAD CASING RUBBER;FOR 7-5/8</t>
  </si>
  <si>
    <t>PROTECTOR;THREAD CASING RUBBER,FOR 7-5/8</t>
  </si>
  <si>
    <t>PIPE;DRILL;GRADE G;5"</t>
  </si>
  <si>
    <t>PIPE; DRILL, 5" OD, GRADE G</t>
  </si>
  <si>
    <t>PT</t>
  </si>
  <si>
    <t>PIPE;DRILL;3-1/2"OD;GR G;13.3LBS/FT;SMLS</t>
  </si>
  <si>
    <t>PIPE; DRILL, 3-1/2" OD, GRADE G</t>
  </si>
  <si>
    <t>PIPE;DRILL;GRADE E;3-1/2"</t>
  </si>
  <si>
    <t>PIPE; DRILL, 3-1/2" OD, GRADE E</t>
  </si>
  <si>
    <t>PIPE;DRILL;GRADE E;5"</t>
  </si>
  <si>
    <t>PIPE; DRILL, 5" OD, GRADE E</t>
  </si>
  <si>
    <t>REAMER; NEARBIT, 23", 3 POINT REAMER, W/</t>
  </si>
  <si>
    <t>REAMER; NEARBIT, 23", 3 POINT REAMER</t>
  </si>
  <si>
    <t>REAMERS</t>
  </si>
  <si>
    <t>REAMER; STRING, 23", 3 POINT REAMER W/9-</t>
  </si>
  <si>
    <t>REAMER; STRING, 23", 3 POINT REAMER</t>
  </si>
  <si>
    <t>RING; CORROSION, 4-1/2"IF &amp; 5"X HOLE</t>
  </si>
  <si>
    <t>RING; CORROSION, 4-1/2" IF X 5" HOLE</t>
  </si>
  <si>
    <t>RING; SEAL; OVAL; SS316; R53</t>
  </si>
  <si>
    <t>RING; SEAL, OVAL, SS316, R53</t>
  </si>
  <si>
    <t>RING; CORROSION, 4-3/16" OD X 0.2135" ID</t>
  </si>
  <si>
    <t>ROCKBIT; 12-1/4"DIA, TRICONE, IADC CODE</t>
  </si>
  <si>
    <t>ROCKBIT; 12-1/4", TCI, IADC 537, HUGHES</t>
  </si>
  <si>
    <t>ROCKBIT; 6", IADC 517,SMITH,MODEL-MXL-M3</t>
  </si>
  <si>
    <t>ROCKBIT; 6", TCI, IADC 537, SMITH</t>
  </si>
  <si>
    <t>ROCKBIT; 12-1/4",PDC HUGHES, MODEL-HDC40</t>
  </si>
  <si>
    <t>ROCKBIT; 12-1/4", PDC, HUGHES</t>
  </si>
  <si>
    <t>ROCKBIT; 12-1/4",PDC SMITH, MODEL-MI716</t>
  </si>
  <si>
    <t>ROCKBIT; 12-1/4", PDC, SMITH</t>
  </si>
  <si>
    <t>ROCKBIT; 17", 7-5/8 REG PIN UP CONN. IAD</t>
  </si>
  <si>
    <t>ROCKBIT; 17", TCI, IADC 525, SMITH</t>
  </si>
  <si>
    <t>ROCKBIT; 8-1/2"DIA, TRICONE, IADC CODE 5</t>
  </si>
  <si>
    <t>ROCKBIT; 8-1/2", TCI, IADC 517; HUGES</t>
  </si>
  <si>
    <t>ROCKBIT; 12-1/4", TCI, IADC 637</t>
  </si>
  <si>
    <t>ROCKBIT; 12-1/4",HUGHES,MXL-M55DH1</t>
  </si>
  <si>
    <t>ROCKBIT; 12-1/4", TCI, IADC 637, HUGHES</t>
  </si>
  <si>
    <t>ROCKBIT; 12-1/4",SMITH, GFI-20HODPS</t>
  </si>
  <si>
    <t>ROCKBIT; 12-1/4", TCI, IADC 517, SMITH</t>
  </si>
  <si>
    <t>ROCKBIT; 12-1/4",SMITH, GFI-30HODPS</t>
  </si>
  <si>
    <t>ROCKBIT; 12-1/4", TCI, IADC 537, SMITH</t>
  </si>
  <si>
    <t>ROCKBIT; 12-1/4",SMITH, GFI-55HODPS</t>
  </si>
  <si>
    <t>ROCKBIT; 12-1/4", TCI, IADC 637, SMITH</t>
  </si>
  <si>
    <t>ROCKBIT; 8-1/2",HUGHES,MXL-M30DH1</t>
  </si>
  <si>
    <t>ROCKBIT; 8-1/2", TCI, IADC 537, HUGHES</t>
  </si>
  <si>
    <t>ROCKBIT; 8-1/2",HUGHES,MXL-M55DH1</t>
  </si>
  <si>
    <t>ROCKBIT; 8-1/2", TCI, IADC 637, HUGHES</t>
  </si>
  <si>
    <t>ROCKBIT; 8-1/2",PDC,SMITH, MI716</t>
  </si>
  <si>
    <t>ROCKBIT; 8-1/2", PDC, SMITH</t>
  </si>
  <si>
    <t>ROCKBIT; 8-1/2",SMITH, GFI-20HODPS</t>
  </si>
  <si>
    <t>ROCKBIT; 8-1/2", TCI, IADC 517, SMITH</t>
  </si>
  <si>
    <t>ROCKBIT; 8-1/2",SMITH, GFI-30HODPS</t>
  </si>
  <si>
    <t>ROCKBIT; 8-1/2", TCI, IADC 537, SMITH</t>
  </si>
  <si>
    <t>ROCKBIT; 8-1/2",SMITH, GFI-55HODPS</t>
  </si>
  <si>
    <t>ROCKBIT; 8-1/2", TCI, IADC 637, SMITH</t>
  </si>
  <si>
    <t>ROCKBIT;22";TRICONE;</t>
  </si>
  <si>
    <t>ROCKBIT; 22", TCI, IADC 515, SECURITY</t>
  </si>
  <si>
    <t>ROCKBIT; 9-7/8", IADC 637</t>
  </si>
  <si>
    <t>ROCKBIT; 9-7/8", TCI, IADC 637, HUGHES</t>
  </si>
  <si>
    <t>ROCKBIT; 7-7/8"IADC-537</t>
  </si>
  <si>
    <t>ROCKBIT; 7-7/8", TCI, IADC 537, HUGHES</t>
  </si>
  <si>
    <t>ROCKBIT; 7-7/8"IADC-637</t>
  </si>
  <si>
    <t>ROCKBIT; 7-7/8", TCI, IADC 637, HUGHES</t>
  </si>
  <si>
    <t>ROCKBIT;12-1/4";TRICONE;IADC 517</t>
  </si>
  <si>
    <t>ROCKBIT; 12-1/4", TCI, IADC 517, HUGHES</t>
  </si>
  <si>
    <t>ROCKBIT; 8-1/2"DIA, TRICONE, IADC CODE 2</t>
  </si>
  <si>
    <t>ROCKBIT; 8-1/2", MT, IADC 217, HUGHES</t>
  </si>
  <si>
    <t>ROCKBIT; 8-1/2",PDC,HUGHES,HCD408ZX</t>
  </si>
  <si>
    <t>ROCKBIT; 8-1/2", PDC, HUGHES</t>
  </si>
  <si>
    <t>ROCKBIT;5-5/8";TRICO</t>
  </si>
  <si>
    <t>ROCKBIT; 5-5/8"; TCI</t>
  </si>
  <si>
    <t>ROCKBIT; 22"; TRICONE</t>
  </si>
  <si>
    <t>BIT; ROCK, SIZE: 23'' WITH CENTER JET, 7</t>
  </si>
  <si>
    <t>ROCKBIT; 23", TCI, IADC 515, HUGHES</t>
  </si>
  <si>
    <t>PAA</t>
  </si>
  <si>
    <t>BIT; ROCK, 6-3/4'' HUGHES IADC 517</t>
  </si>
  <si>
    <t>ROCKBIT; 6-3/4", TCI, IADC 517, HUGHES</t>
  </si>
  <si>
    <t>BIT; ROCK, 6" IADC 224</t>
  </si>
  <si>
    <t>ROCKBIT; 6", MT, IADC 117, SMITH</t>
  </si>
  <si>
    <t>RING; SEAL; OVAL S316; R31</t>
  </si>
  <si>
    <t>RING; SEAL, OVAL, S316, R31</t>
  </si>
  <si>
    <t>RING; SEAL; OVAL, SS316; R57</t>
  </si>
  <si>
    <t>RING; SEAL, OVAL, SS316, R57</t>
  </si>
  <si>
    <t>SHOE; FLOAT, 13-3/8",SPRING LOADED PLUNG</t>
  </si>
  <si>
    <t>SHOE; FLOAT, 13-3/8", 68#, L80, SL BOSS</t>
  </si>
  <si>
    <t>SHOE; GUIDE, 10-3/4'' DIA.,CEMENT TYPE B</t>
  </si>
  <si>
    <t>SHOE; GUIDE, 10-3/4", 40.5#, K55, BTC</t>
  </si>
  <si>
    <t>SHOE; GUIDE, 8-5/8'' DIA. ,CEMENT TYPE B</t>
  </si>
  <si>
    <t>SHOE; GUIDE, 8-5/8", 24#, K55, BTC</t>
  </si>
  <si>
    <t>SHOE;FLOAT;STEEL;9-5</t>
  </si>
  <si>
    <t>SHOE; FLOAT, 9-5/8", 47#, L80, BTC</t>
  </si>
  <si>
    <t>SHOE; FLOAT, STAB-IN, 20", 94 PPF, BTC,</t>
  </si>
  <si>
    <t>SHOE; FLOAT, 20", 94#, K55, BTC, STAB-IN</t>
  </si>
  <si>
    <t>SHOE;FLOAT;18-5/8"</t>
  </si>
  <si>
    <t>SHOE; FLOAT, 18-5/8", 87.5#, K55, BTC</t>
  </si>
  <si>
    <t>SHOE; FLOAT, 10-3/4", 40.5PPF, K55, BTC,</t>
  </si>
  <si>
    <t>SHOE; FLOAT, 10-3/4", 40.5#, K55, BTC</t>
  </si>
  <si>
    <t>SHOE;FLOAT;BUTTRESS;</t>
  </si>
  <si>
    <t>SHOE; FLOAT, 20", 94#, K55, BTC</t>
  </si>
  <si>
    <t>BENTONITE;MILGEL;VISCOSIFIER;BAKER HUGHE</t>
  </si>
  <si>
    <t>BENTONITE; VISCOSIFIER, MILGEL</t>
  </si>
  <si>
    <t>SLEEVE;STABILIZER;12</t>
  </si>
  <si>
    <t>STABILIZER; 12-1/4" OD, SLEEVE</t>
  </si>
  <si>
    <t>SLEEVE; STABILIZER, 9-5/8"OD,SERIES 62</t>
  </si>
  <si>
    <t>STABILIZER; 9-7/8" OD, SLEEVE</t>
  </si>
  <si>
    <t>SLEEVE;STABILIZER;17</t>
  </si>
  <si>
    <t>STABILIZER; 17"-1/2" OD, SLEEVE</t>
  </si>
  <si>
    <t>SLEEVE; STABILIZER,9-7/8'' OD. SERIES 62</t>
  </si>
  <si>
    <t>STABILIZER; 9-7/8'' OD, SLEEVE</t>
  </si>
  <si>
    <t>BIOCIDE;GLUTE 16;25 LITERS/CAN</t>
  </si>
  <si>
    <t>BIOCIDE; GLUTE 16</t>
  </si>
  <si>
    <t>SPOOL; EXPANSION, 13-5/8" X 11" X  3M</t>
  </si>
  <si>
    <t>SPOOL; EXPANSION, 20-3/4" X 13-5/8" X 3M</t>
  </si>
  <si>
    <t>STABILIZER; NEARBIT, 9-7/8,W/ 8"DIA., BO</t>
  </si>
  <si>
    <t>STABILIZER; NEARBIT, 9-7/8" OD</t>
  </si>
  <si>
    <t>STABILIZER; STRING, 9-7/8", W/ 8" DIA.,</t>
  </si>
  <si>
    <t>STABILIZER; STRING, 9-7/8" OD</t>
  </si>
  <si>
    <t>STABILIZER; STRING, 8-1/2" OD, SERIES 62</t>
  </si>
  <si>
    <t>STABILIZER; STRING, 8-1/2" OD</t>
  </si>
  <si>
    <t>STABILIZER; SLEEVE,17'' OD SERIES 96,DRE</t>
  </si>
  <si>
    <t>STABILIZER; 17'' OD, SLEEVE</t>
  </si>
  <si>
    <t>STABILIZER; NEARBIT, 7-7/8" W/ 6-1/2" DI</t>
  </si>
  <si>
    <t>STABILIZER; NEARBIT, 7-7/8" OD</t>
  </si>
  <si>
    <t>STABILIZER; STRING, 7-7/8" W/ 6-1/2 DIA.</t>
  </si>
  <si>
    <t>STABILIZER; STRING, 7-7/8" OD</t>
  </si>
  <si>
    <t>STABILIZER;INTEGRAL STRING;26";110"</t>
  </si>
  <si>
    <t>STABILIZER; STRING, 26" OD, INTEGRAL</t>
  </si>
  <si>
    <t>STABILIZER;INTEGRAL NEAR BIT;26";110"</t>
  </si>
  <si>
    <t xml:space="preserve">STABILIZER; NEAR BIT, 26" OD, INTEGRAL </t>
  </si>
  <si>
    <t>STABILIZER;STRING;17-1/2"X88"</t>
  </si>
  <si>
    <t>STABILIZER;NEAR BIT;77 SLEEVE;12-1/4"</t>
  </si>
  <si>
    <t>STABILIZER; NEAR BIT, 12-1/4" OD, SLEEVE</t>
  </si>
  <si>
    <t>STABILIZER;STRING;12-1/4";SERIES77;8-1/4</t>
  </si>
  <si>
    <t>STABILIZER; STRING; 12-1/4" OD</t>
  </si>
  <si>
    <t>STABILIZER;NEAR BIT;17-1/2"OD;SERIES 96</t>
  </si>
  <si>
    <t>TIE-BACK; LINER HANGER; 9-5/8" x 13-3/8"</t>
  </si>
  <si>
    <t>TIE-BACK; LINER HANGER, 9-5/8" x 13-3/8"</t>
  </si>
  <si>
    <t>TIE-BACK; LINER HANGER;13-3/8" x 18-5/8"</t>
  </si>
  <si>
    <t>TIE-BACK; LINER HANGER,13-3/8" x 18-5/8"</t>
  </si>
  <si>
    <t>BLEND;FL-25;FLUID LOSS;BJ;</t>
  </si>
  <si>
    <t>BLEND; FLUID LOSS, FL-25</t>
  </si>
  <si>
    <t>VALVE;GATE;EXPANDING;TCV;3-1/8" DIA X 3M</t>
  </si>
  <si>
    <t>VALVE;GATE,EXPANDING,TCV,3-1/8" DIA X 3M</t>
  </si>
  <si>
    <t>VALVE;GATE;EXPANDING;TCV;12"DIA X CLS600</t>
  </si>
  <si>
    <t>VALVE;GATE,EXPANDING,TCV,12"DIA X CLS600</t>
  </si>
  <si>
    <t>VALVE;GATE;EXPANDING;TCV;12"DIA X CLS900</t>
  </si>
  <si>
    <t>VALVE;GATE,EXPANDING,TCV,12"DIA X CLS900</t>
  </si>
  <si>
    <t>VALVE;GATE;EXPANDING;TCV;10"DIA X CLS600</t>
  </si>
  <si>
    <t>VALVE;GATE,EXPANDING,TCV,10"DIA X CLS600</t>
  </si>
  <si>
    <t>VALVE;GATE;EXPANDING;TCV;10"DIA X CLS900</t>
  </si>
  <si>
    <t>VALVE;GATE,EXPANDING,TCV,10"DIA X CLS900</t>
  </si>
  <si>
    <t>VALVE;GATE;EXPANDING;TCV;3-1/8" DIA X 2M</t>
  </si>
  <si>
    <t>VALVE;GATE,EXPANDING,TCV,3-1/8" DIA X 2M</t>
  </si>
  <si>
    <t>LINER; TIE BACK, 13-3/8"</t>
  </si>
  <si>
    <t>TIE-BACK; L. HANGER, 13-3/8" x 18-5/8"</t>
  </si>
  <si>
    <t>CALCIUM CARBONATE; FINE WHITE POWDER,</t>
  </si>
  <si>
    <t>COUPLING, 9-5/8", K-55, 5CT, BTC</t>
  </si>
  <si>
    <t>COUPLING; 9-5/8", K-55, 5CT, BTC</t>
  </si>
  <si>
    <t>CASING COUPLINGS</t>
  </si>
  <si>
    <t>FT</t>
  </si>
  <si>
    <t>CASING,PIPE STEEL,20"OD,K55,94PPF,BTC,R3</t>
  </si>
  <si>
    <t>L</t>
  </si>
  <si>
    <t>BIT; CORE, 7- 7/ 8" X 4 "</t>
  </si>
  <si>
    <t>CORE BITS</t>
  </si>
  <si>
    <t>CENTRALIZER; CASING N-W, STRGHT, 18-5/8"</t>
  </si>
  <si>
    <t>CENTRALIZER; 18-5/8" X 23", BOW TYPE</t>
  </si>
  <si>
    <t>PROTECTOR;RUBBER DRILL PIPE,5"ID</t>
  </si>
  <si>
    <t>PROTECTOR; DRILL PIPE, 5"ID x 7-1/4"</t>
  </si>
  <si>
    <t>CENTRALIZER; CASING N-W, STRGHT,  7"</t>
  </si>
  <si>
    <t>CENTRALIZER; 7" X 8-1/2", BOW TYPE</t>
  </si>
  <si>
    <t>ROCKBIT,12-1/4"DIA,TRICONE, AIDC CODE, H</t>
  </si>
  <si>
    <t>ROCKBIT; 12-1/4", TCI, REED</t>
  </si>
  <si>
    <t>CENTRALIZER; CASING N-W, STRGHT, 20 "</t>
  </si>
  <si>
    <t>CENTRALIZER; 20" X 26", BOW TYPE</t>
  </si>
  <si>
    <t>CASING; STEEL, 7-5/8" X 29.7 LBS</t>
  </si>
  <si>
    <t>PLUG; BOTTOM, CEMENTING, RUBBER, 13-3/8"</t>
  </si>
  <si>
    <t>PLUG; BOTTOM, 13-3/8" OD, CEMENTING</t>
  </si>
  <si>
    <t>ROCKBIT; 6-1/4"DIA,TRICONE,IADC CODE,HUG</t>
  </si>
  <si>
    <t>ROCKBIT; 6-1/4", MT, IADC 117, HUGHES</t>
  </si>
  <si>
    <t>SHOE; FLOAT, BUTTRESS,  7 "</t>
  </si>
  <si>
    <t>SHOE; FLOAT, 7", 26#, K55, BTC</t>
  </si>
  <si>
    <t>HANGER; LINER, 7 " X  4-1/2"</t>
  </si>
  <si>
    <t>HANGER; LINER, 7 " X 4-1/2"</t>
  </si>
  <si>
    <t>NIPPLE; STAB-IN, 3-1/2 OD</t>
  </si>
  <si>
    <t>NIPPLE; STAB-IN, 3-1/2" OD</t>
  </si>
  <si>
    <t>HANGER; SETTING, 9-5/8"</t>
  </si>
  <si>
    <t>HANGER; SETTING TOOL, 9-5/8" OD</t>
  </si>
  <si>
    <t>SETTING TOOLS</t>
  </si>
  <si>
    <t>STINGER; STAB-IN, 4-1/2"</t>
  </si>
  <si>
    <t>STINGER; DRILL PIPE, STAB-IN, 4-1/2" IF</t>
  </si>
  <si>
    <t>HANGER; LINER, 9-5/8" X  7-5/8"</t>
  </si>
  <si>
    <t>PLUG; TOP, CEMENTING, RUBBER, 13-3/8"</t>
  </si>
  <si>
    <t>PLUG; TOP, 13-3/8" OD, CEMENTING</t>
  </si>
  <si>
    <t>ROCKBIT; 6", API, 3-1/2 REG. CONN.</t>
  </si>
  <si>
    <t>COLLAR; STAB-IN, 7" WITH BUTTRESS THREAD</t>
  </si>
  <si>
    <t>COLLAR; FLOAT,7", 26#,K55,BTC, STAB-IN</t>
  </si>
  <si>
    <t>HANGER; LINER, MECHANICAL, 5" X 7-5/8"</t>
  </si>
  <si>
    <t>HANGER; LINER, 5" X 7-5/8"</t>
  </si>
  <si>
    <t>NOZZLE; ROCKBIT, STD TYPE, SIZE 20/32 &amp;</t>
  </si>
  <si>
    <t>COLLAR;FLOAT;7";CRA</t>
  </si>
  <si>
    <t>COLLAR; FLOAT, 7", 26#, L80, VAM, CRA</t>
  </si>
  <si>
    <t>M</t>
  </si>
  <si>
    <t>SHEAR PIN; BRASS, 5/16" - 18</t>
  </si>
  <si>
    <t>COUPLING;18-5/8#;114 PPF;K55;BTC</t>
  </si>
  <si>
    <t>COUPLING; 18-5/8", 114 PPF, L-80, BTC</t>
  </si>
  <si>
    <t>CLAMP; STOPPER, CENTRALIZER,  9-5/8"</t>
  </si>
  <si>
    <t>CENTRALIZER; CLAMP, STOPPER, 9-5/8" OD</t>
  </si>
  <si>
    <t>FLOAT; COLLAR, 20 "</t>
  </si>
  <si>
    <t>COLLAR; FLOAT, 20", 94#, K55, BTC</t>
  </si>
  <si>
    <t>NIPPLE;STAB-IN,18-5/8",FOR 5" DRILL PIPE</t>
  </si>
  <si>
    <t>SHOE;FLOAT;7";CRA</t>
  </si>
  <si>
    <t>SHOE; FLOAT, 7", 26#, L80, VAM, CRA</t>
  </si>
  <si>
    <t>NOZZLE; JET, HUGHES, FK18</t>
  </si>
  <si>
    <t>NOZZLE; SERIES 100, 22/32"</t>
  </si>
  <si>
    <t>ROCKBIT; 6", ATJ22</t>
  </si>
  <si>
    <t>SHOE; GUIDE, 7"</t>
  </si>
  <si>
    <t>SHOE; GUIDE, 7", 26#, K55, BTC</t>
  </si>
  <si>
    <t>CENTRALIZER; SPECIAL LATCH ON RIDGID 9-5</t>
  </si>
  <si>
    <t>COLLAR; 2 STAGE CEMENTING, 7" / JC DVC 3</t>
  </si>
  <si>
    <t>CALCIUM; CHLORIDE</t>
  </si>
  <si>
    <t>CALCIUM CARBONATE; FINE WHITE POWDER</t>
  </si>
  <si>
    <t>CENTRALIZER; DRILL PIPE; SIZE 5" X 24" O</t>
  </si>
  <si>
    <t>CENTRALIZER; DRILL PIPE, 5" X 24"</t>
  </si>
  <si>
    <t>BOX</t>
  </si>
  <si>
    <t>CASING; 7", 23PPF, K55,R3,BTC SCC, API 5</t>
  </si>
  <si>
    <t>CASING; 7", 23 PPF, K55, BTC, PERF.</t>
  </si>
  <si>
    <t>CASING;8-5/8"24PPF,K55,R3,BTC,SCC,API 5C</t>
  </si>
  <si>
    <t>CASING; 8-5/8", 24 PPF, K55, BTC, PERF.</t>
  </si>
  <si>
    <t>COUPLING; 10-3/4", 40.5PPF,K55,BTC,SCC C</t>
  </si>
  <si>
    <t>COUPLING; 10-3/4", 40.5PPF, K55, BTC,SCC</t>
  </si>
  <si>
    <t>COUPLING; 7", 23PPF,K55,BTC,SCC CASING</t>
  </si>
  <si>
    <t>COUPLING; 7", 23 PPF, K55, BTC</t>
  </si>
  <si>
    <t>COUPLING; 8-5/8", 24PPF,K55,BTC,SCC CASI</t>
  </si>
  <si>
    <t>COUPLING; 8-5/8", 24PPF, K55, BTC, SCC</t>
  </si>
  <si>
    <t>ROCKBIT; 26"DIA, TRICONE, IADC CODE 515</t>
  </si>
  <si>
    <t>ROCKBIT; 26", TCI, IADC 515, SMITH</t>
  </si>
  <si>
    <t>BIT; ROLLER CONE 9-7/8", WITH 24/32 NOZZ</t>
  </si>
  <si>
    <t>ROCKBIT; 9-7/8", TCI, IADC 537, SMITH</t>
  </si>
  <si>
    <t>HANGER; LINER, 8-5/8",24PPF X 7",23PPF</t>
  </si>
  <si>
    <t>HANGER; LINER, 7" X 8-5/8"</t>
  </si>
  <si>
    <t>FLOAT; COLLAR,  7 "    8RT</t>
  </si>
  <si>
    <t>COLLAR; FLOAT, 7", 26#, K55, BTC</t>
  </si>
  <si>
    <t>COLLAR; FLOAT, 9-5/8"</t>
  </si>
  <si>
    <t>COLLAR; FLOAT, 9-5/8", 47#, K55, BTC</t>
  </si>
  <si>
    <t>PLUG; 9-5/8", MODIFIED</t>
  </si>
  <si>
    <t>PLUG; MODIFIED, 9-5/8" OD, CEMENTING</t>
  </si>
  <si>
    <t>TOOL;SETTING,KELLY BAR,4-1/2IF BOX X 3-1</t>
  </si>
  <si>
    <t>TOOL; SETTING, KELLY BAR, 4-1/2"X3-1/2"</t>
  </si>
  <si>
    <t>COLLAR;VALVE,DIFF.,13-3/8"(SEE ATTACHED</t>
  </si>
  <si>
    <t>COLLAR; FLOAT, 13-3/8", 114#, L80,BTC,DV</t>
  </si>
  <si>
    <t>RING; CORROSION, 4-1/2"IF, 4.185"OD X 3.</t>
  </si>
  <si>
    <t>CEMENT; CLASS G</t>
  </si>
  <si>
    <t>CLAYTROL;AMINE ACID COMPLEX;SHALE STABIL</t>
  </si>
  <si>
    <t>CLAYTROL; SHALE STABILZER, AMINE ACID</t>
  </si>
  <si>
    <t>PL</t>
  </si>
  <si>
    <t>COMPOUND; LUBRICATING, BAKER SEAL</t>
  </si>
  <si>
    <t>COMPOUND; PIPE FREEING MILFREE</t>
  </si>
  <si>
    <t>COMPOUND; PIPE FREEING</t>
  </si>
  <si>
    <t>COMPOUND; PREMIUM THREAD,TUBULAR SEALANT</t>
  </si>
  <si>
    <t>COMPOUND; TUBULAR SEALANT,PREMIUM THREAD</t>
  </si>
  <si>
    <t>COMPOUND; STORAGE, "BESTOLIFE"</t>
  </si>
  <si>
    <t>COMPOUND; THREAD, NON-METALLIC</t>
  </si>
  <si>
    <t>DART; DRILL PIPE, 4-1/2"</t>
  </si>
  <si>
    <t>PLUG; WIPER, DRILL PIPE, 4-1/2"</t>
  </si>
  <si>
    <t>MILL;TAPERED;17.25"OD;7-5/8"API REG PIN</t>
  </si>
  <si>
    <t>MILL;CONVEX;17.25"OD;7-5/8"API REG PIN</t>
  </si>
  <si>
    <t>MILL;WATERMELON;17.25"OD;7-5/8" API REG</t>
  </si>
  <si>
    <t>MILL;CONVEX;12-1/4"OD;6-5/8"API REG PIN</t>
  </si>
  <si>
    <t>MILL; CONVEX, 12-1/4" OD</t>
  </si>
  <si>
    <t>MILL;CONVEX;9-7/8"OD;4-1/2"XH</t>
  </si>
  <si>
    <t>MILL; CONVEX, 9-7/8" OD</t>
  </si>
  <si>
    <t>MILL;CONVEX;7-7/8"OD;4-1/2"API REG PIN</t>
  </si>
  <si>
    <t>MILL; CONVEX, 7-7/8" OD</t>
  </si>
  <si>
    <t>MILL;TAPERED;12-1/4"OD;6-5/8"API REG PIN</t>
  </si>
  <si>
    <t>MILL; TAPERED, 12-1/4" OD</t>
  </si>
  <si>
    <t>MILL;TAPERED;7-7/8"OD;4-1/2"API REG PIN</t>
  </si>
  <si>
    <t>MILL; TAPERED, 7-7/8" OD</t>
  </si>
  <si>
    <t>MILL;TAPERED;9-7/8"OD;4-1/2"XH</t>
  </si>
  <si>
    <t>MILL; TAPERED, 9-7/8" OD</t>
  </si>
  <si>
    <t>MILL;WATERMELON;12-1/4";6-5/8" REG BOX&amp;P</t>
  </si>
  <si>
    <t>MILL; WATERMELON, 12-1/4" OD</t>
  </si>
  <si>
    <t>MILL;WATERMELON;9-7/8"OD;4-1/2"XH BOX&amp;P</t>
  </si>
  <si>
    <t>MILL; WATERMELON, 9-7/8" OD</t>
  </si>
  <si>
    <t>MILL;WATERMELON;7-7/8"OD;4-1/2"XH BOX&amp;P</t>
  </si>
  <si>
    <t>MILL; WATERMELON, 7-7/8" OD</t>
  </si>
  <si>
    <t>ROCKBIT;7-7/8";PDC;MODEL MI716LVBPX;WITH</t>
  </si>
  <si>
    <t>ROCKBIT; 7-7/8", PDC, SMITH</t>
  </si>
  <si>
    <t>ROCKBIT;9-7/8";TRICONE;MDL VMD-C30CDVHX1</t>
  </si>
  <si>
    <t>ROCKBIT; 9-7/8", TCI, IADC 537, HUGHES</t>
  </si>
  <si>
    <t>ROCKBIT;9-7/8";PDC;MDL QD507U4K3</t>
  </si>
  <si>
    <t>ROCKBIT; 9-7/8", PDC, HUGHES</t>
  </si>
  <si>
    <t>ROCKBIT;9-7/8";PDC;MODEL MI716LVBPX;WITH</t>
  </si>
  <si>
    <t>ROCKBIT; 9-7/8", PDC, SMITH</t>
  </si>
  <si>
    <t>COUPLING;CASING;9-5/8", 47 PPF, L-80;BTC</t>
  </si>
  <si>
    <t>COUPLING; 9-5/8", 47 PPF, L-80, BTC</t>
  </si>
  <si>
    <t>COUPLING;CASING;13-3/8", 68 PPF, L-80;BT</t>
  </si>
  <si>
    <t>COUPLING; 13-3/8", 68 PPF, L-80, BTC</t>
  </si>
  <si>
    <t>PROTECTOR;8-5/8" BTC CSG THD;COMP;CEL;</t>
  </si>
  <si>
    <t>PROTECTOR; BOX, 8-5/8" BTC CASING</t>
  </si>
  <si>
    <t>PROTECTOR;9-5/8" BTC CSG THD;COMP;CEL;</t>
  </si>
  <si>
    <t>PROTECTOR; BOX, 9-5/8" BTC CASING</t>
  </si>
  <si>
    <t>PROTECTOR;13-3/8" BTC CSG THD;COMP;CEL;</t>
  </si>
  <si>
    <t>PROTECTOR; BOX, 13-3/8" BTC CASING</t>
  </si>
  <si>
    <t>PROTECTOR;18-5/8" BTC CSG THD;COMP;CEL;</t>
  </si>
  <si>
    <t>PROTECTOR; BOX, 18-5/8" CASING</t>
  </si>
  <si>
    <t>PROTECTOR;20" BTC CSG THD;COMP;CEL;</t>
  </si>
  <si>
    <t>PROTECTOR; BOX, 20" BTC CASING</t>
  </si>
  <si>
    <t>PROTECTOR;9-5/8" SLB CSG THD;COMP;CEL;</t>
  </si>
  <si>
    <t>PROTECTOR; BOX, 9-5/8" SLB CASING</t>
  </si>
  <si>
    <t>PROTECTOR;13-3/8" SLB CSG THD;COMP;CEL;</t>
  </si>
  <si>
    <t>PROTECTOR; BOX, 13-3/8" SLB CASING</t>
  </si>
  <si>
    <t>PROTECTOR;PIN;8-5/8" BTC CSGTHD;COMP;CEL</t>
  </si>
  <si>
    <t>PROTECTOR; PIN, 8-5/8" BTC CASING</t>
  </si>
  <si>
    <t>PROTECTOR;PIN;9-5/8" BTC CSGTHD;COMP;CEL</t>
  </si>
  <si>
    <t>PROTECTOR; PIN, 9-5/8" BTC CASING</t>
  </si>
  <si>
    <t>PROTECTOR;PIN;13-5/8"BTC CSGTHD;COMP;CEL</t>
  </si>
  <si>
    <t>PROTECTOR; PIN, 13-3/8" BTC CASING</t>
  </si>
  <si>
    <t>PROTECTOR;PIN;18-5/8"BTC CSGTHD;COMP;CEL</t>
  </si>
  <si>
    <t>PROTECTOR; PIN, 18-5/8" BTC CASING</t>
  </si>
  <si>
    <t>PROTECTOR;PIN;20" BTC CSG THD;COMP;CEL;</t>
  </si>
  <si>
    <t>PROTECTOR; PIN, 20" BTC CASING</t>
  </si>
  <si>
    <t>PROTECTOR;PIN;9-5/8" SLB CSGTHD;COMP;CEL</t>
  </si>
  <si>
    <t>PROTECTOR; PIN, 9-5/8" SLB CASING</t>
  </si>
  <si>
    <t>PROTECTOR;PIN;13-3/8"SLB CSGTHD;COMP;CEL</t>
  </si>
  <si>
    <t>PROTECTOR; PIN, 13-3/8" SLB CASING</t>
  </si>
  <si>
    <t>COMPOUND; THREAD SEALANT/LUBRICATING</t>
  </si>
  <si>
    <t>COMPOUND; THREAD, STORAGE COMPOUND"BESTO</t>
  </si>
  <si>
    <t>COMPOUND; THREAD, STORAGE, CASING</t>
  </si>
  <si>
    <t>CAN</t>
  </si>
  <si>
    <t>DEFOAMER; MUD, 55 GALS/DRUM</t>
  </si>
  <si>
    <t>DEFOAMER; MUD</t>
  </si>
  <si>
    <t>DEFOAMER;LD-10;SILICON BASED DEFOAMER;BH</t>
  </si>
  <si>
    <t>DEFOAMER; SILICON BASED</t>
  </si>
  <si>
    <t>DISPERSANT;CEMENT;CD-32;BJ;</t>
  </si>
  <si>
    <t>DISPERSANT; CEMENT, CD-32</t>
  </si>
  <si>
    <t>GYPSUM</t>
  </si>
  <si>
    <t>KIT</t>
  </si>
  <si>
    <t>INHIBITOR; CORROSION, COAT FILM TYPE, 55</t>
  </si>
  <si>
    <t>INHIBITOR; CORROSION, COAT FILM TYPE</t>
  </si>
  <si>
    <t>INHIBITOR; CORROSION,SCAVENGER DISSOLVED</t>
  </si>
  <si>
    <t>INHIBITOR;CORROSION;KD-40;BAKER HUGHES;</t>
  </si>
  <si>
    <t>INHIBITOR; CORROSION, SPECIAL, KD-40</t>
  </si>
  <si>
    <t>KEM-SEAL;AAC;FILTRATION CONTROL AGENT;BA</t>
  </si>
  <si>
    <t>AGENT; FILTRATION CONTROL, SPECIAL</t>
  </si>
  <si>
    <t>LCM; MIXTURE OF WOOD &amp; CELLULOSE FIBER,</t>
  </si>
  <si>
    <t>LOST CIRCULATION MATERIAL; WOOD FIBER</t>
  </si>
  <si>
    <t>LIGNITE; DRILLING MUD DISPERSANT/DEFLOCC</t>
  </si>
  <si>
    <t>DISPERSANT; MUD, LIGNITE</t>
  </si>
  <si>
    <t>MILL;WATERMELON;17.25"OD;7-5/8"API RP;</t>
  </si>
  <si>
    <t>LIGNOSULFONATE; CHROMEFREE,DRILLING MUD</t>
  </si>
  <si>
    <t>DISPERSANT; MUD, LIGNOSULFONATE</t>
  </si>
  <si>
    <t>LIME; CALCIUM HYDROXIDE (CA COH2)</t>
  </si>
  <si>
    <t>LUBRICANT; SPOTTING FLUID ADDITIVE</t>
  </si>
  <si>
    <t>SCAVENGER;OXYGEN;NOXYGEN-L;BAKER HUGHES;</t>
  </si>
  <si>
    <t>SCAVENGER; OXYGEN, NOXYGEN-L</t>
  </si>
  <si>
    <t>SILICA; FLOUR</t>
  </si>
  <si>
    <t>SODA ASH</t>
  </si>
  <si>
    <t>SODIUM SILICATE</t>
  </si>
  <si>
    <t>CENTRALIZER;STAB-IN DP;5"X18-5/8";</t>
  </si>
  <si>
    <t>CENTRALIZER; DRILL PIPE, 5" X 18-5/8"</t>
  </si>
  <si>
    <t>CENTRALIZER;STAB-IN DP;5"X26";WELDED;</t>
  </si>
  <si>
    <t>CENTRALIZER; DRILL PIPE, 5" X 26"</t>
  </si>
  <si>
    <t>SHOE;FLOAT;13-3/8";68PPF;L-80;BTC;</t>
  </si>
  <si>
    <t>SHOE; FLOAT, 13-3/8", 68#, L80, BTC</t>
  </si>
  <si>
    <t>COLLAR;FLOAT;13-3/8";68PPF;L-80;BTC;</t>
  </si>
  <si>
    <t>COLLAR; FLOAT, 13-3/8", 68#, L80, BTC</t>
  </si>
  <si>
    <t>SHOE;FLOAT;9-5/8";47PPF;L-80;BTC;</t>
  </si>
  <si>
    <t>COLLAR;FLOAT;9-5/8";47PPF;L-80;BTC;</t>
  </si>
  <si>
    <t>COLLAR; FLOAT, 9-5/8", 47#, L80, BTC</t>
  </si>
  <si>
    <t>CENTRALIZER; DRILL PIPE,5"X18-5/8",87.5P</t>
  </si>
  <si>
    <t>HEAD;CEMENT PLUG DROPPING;NC50 PIN CONN;</t>
  </si>
  <si>
    <t>HEAD; CEMENT, PLUG DROPPING, NC50 PIN</t>
  </si>
  <si>
    <t>STINGER;CEMENT(SLICK JT);4-1/2"ODX10'LG;</t>
  </si>
  <si>
    <t>STINGER; CEMENTING, 4-1/2" OD X 10' LEN</t>
  </si>
  <si>
    <t>HANGER; LINER,9-5/8",47PPF X 7",26PPF,K5</t>
  </si>
  <si>
    <t>HANGER; LINER, 7" X 9-5/8"</t>
  </si>
  <si>
    <t>TOOL;SETTING;F/13-3/8"X9-5/8" L. HANGER;</t>
  </si>
  <si>
    <t>HANGER; SETTING TOOL, 9-5/8" x 13-3/8"</t>
  </si>
  <si>
    <t>COLLAR; FLOAT, 10-3/4", STAB-IN/LATCH-IN</t>
  </si>
  <si>
    <t>COLLAR; FLOAT,10-3/4",40.5#,K55,BTC,SILI</t>
  </si>
  <si>
    <t>COLLAR; FLOAT, 9-5/8", STAB-IN/LATCH-IN</t>
  </si>
  <si>
    <t>COLLAR; FLOAT, 9-5/8", 47#, L80,BTC,SILI</t>
  </si>
  <si>
    <t>COLLAR; FLOAT, 8-5/8", STAB-IN/LATCH-IN</t>
  </si>
  <si>
    <t>COLLAR; FLOAT, 8-5/8", 24#, K55,BTC,SILI</t>
  </si>
  <si>
    <t>COLLAR; FLOAT, 13-3/8", STAB-IN/LATCH-IN</t>
  </si>
  <si>
    <t>COLLAR; FLOAT, 13-3/8", 68#,L80,BTC,SILI</t>
  </si>
  <si>
    <t>SHOE;FLOAT,18-5/8",114PPF,K55,BTC</t>
  </si>
  <si>
    <t>SHOE; FLOAT, 18-5/8", 114#, K55, BTC</t>
  </si>
  <si>
    <t>SHOE;FLOAT,20",133PPFK55,BTCSTABLATCH-IN</t>
  </si>
  <si>
    <t>SHOE; FLOAT, 20", 133#, K55, BTC, SILI</t>
  </si>
  <si>
    <t>CENTRALIZER;10-3/4"X13-3/8";68PPF;</t>
  </si>
  <si>
    <t>CENTRALIZER; 10-3/4" X 13-3/8",STAND OFF</t>
  </si>
  <si>
    <t>CASING; 7", K-55, 26 PPF,R3,BTC,SS304,SM</t>
  </si>
  <si>
    <t>CASING; 7", 26 PPF, K55, SS304, BTC</t>
  </si>
  <si>
    <t>CASING; CENTRALIZER, DRILL PIPE, 5" X 20</t>
  </si>
  <si>
    <t>CENTRALIZER; DRILL PIPE, 5" X 20"</t>
  </si>
  <si>
    <t>CASING;STEEL,13-3/8"OD,K-55, 54.5 PPF,AP</t>
  </si>
  <si>
    <t>CASING; 13-3/8", 54.5 PPF, K55, BTC</t>
  </si>
  <si>
    <t>CASING; STEEL,5"OD,K-55,15 PPF,API SEAML</t>
  </si>
  <si>
    <t>CASING; 5", 15 PPF, K55, SL FLUSH, PERF.</t>
  </si>
  <si>
    <t>CASING; STEEL, 7"OD,K-55,26.PPF, API SEA</t>
  </si>
  <si>
    <t>CASING; 7", 26 PPF, K55, BTC, PERF.</t>
  </si>
  <si>
    <t>CASING; STEEL, 9-5/8"OD,K-55,47.PPF,API</t>
  </si>
  <si>
    <t>CASING; 9-5/8", 47 PPF, K55, BTC, BLANK</t>
  </si>
  <si>
    <t>CASING; 26'' OD, X-56,203PPF,R3,LEOPARD</t>
  </si>
  <si>
    <t>CASING; STEEL, 9-5/8"OD, L-80,47PPF,API</t>
  </si>
  <si>
    <t>CASING; 9-5/8", 47 PPF, L80, BTC, BLANK</t>
  </si>
  <si>
    <t>CASING; STEEL, 20" OD, K55, 94 PPF</t>
  </si>
  <si>
    <t>CASING; 20", 94 PPF, K55, BTC</t>
  </si>
  <si>
    <t>HANGER; LINER, 10-3/4" X 13-3/8", SETTIN</t>
  </si>
  <si>
    <t>HANGER; SETTING TOOL, 10-3/4" X 13-3/8"</t>
  </si>
  <si>
    <t>HANGER; LINER, 8-5/8" X 10-3/4",MECHANIC</t>
  </si>
  <si>
    <t>HANGER; LINER, 8-5/8" X 10-3/4"</t>
  </si>
  <si>
    <t>HANGER;LINER,7",26PPF X 5",15PPF,K55,SL</t>
  </si>
  <si>
    <t>BIT; 17',ROLLER CONE,(IADC 615/625/635)</t>
  </si>
  <si>
    <t>ROCKBIT; 17", TCI, IADC 615, SMITH</t>
  </si>
  <si>
    <t>BIT; MILLTOOTH,7-7/8",IADC 217 W/#24/32N</t>
  </si>
  <si>
    <t>ROCKBIT; 7-7/8", MT, IADC, 217, SMITH</t>
  </si>
  <si>
    <t>BIT;MILLTOOTH,6-1/2", W/ 24/32 NOZZLE,4-</t>
  </si>
  <si>
    <t>ROCKBIT; 6-1/2", MT, IADC 117, SMITH</t>
  </si>
  <si>
    <t>BASKET; CEMENT, 13-3/8" X 17-1/2"METAL P</t>
  </si>
  <si>
    <t>BASKET; CEMENT 13-3/8" X 17-1/2", MPB</t>
  </si>
  <si>
    <t>HANGER; LINER,MECHANICAL SET,7" X 8-5/8"</t>
  </si>
  <si>
    <t>COLLAR; DRILL, SLICK, 4-3/4"OD X 2"ID</t>
  </si>
  <si>
    <t>COLLAR; DRILL, SLICK, 4-3/4" X 2"</t>
  </si>
  <si>
    <t>ADAPTER;SHEAR PIN, W/6 HOLES,FOR 1/4"DIA</t>
  </si>
  <si>
    <t>ADAPTER; SHEAR PIN, 6 x 1/4"DIA. HOLES</t>
  </si>
  <si>
    <t>BUSHING; PACK-OFF, 8-5/8", 24PPF,K55,BTC</t>
  </si>
  <si>
    <t>BUSHING; PACK-OFF, 8-5/8" OD, 24 PPF</t>
  </si>
  <si>
    <t>COLLAR; FLOAT, 8-5/8",24 PFF,K55,BTC,SCC</t>
  </si>
  <si>
    <t>COLLAR; FLOAT, 8-5/8", 24#, L80, BTC</t>
  </si>
  <si>
    <t>PLUG; LINER WIPER, 8-5/8"</t>
  </si>
  <si>
    <t>PLUG; LINER WIPER, 8-5/8" OD</t>
  </si>
  <si>
    <t>PLUG; WIPER, DRILL PIPE, 5" OD</t>
  </si>
  <si>
    <t>SHOE; FLOAT, 8-5/8",24PPF,K55,BTC,SCC</t>
  </si>
  <si>
    <t>SHOE; FLOAT, 8-5/8", 24#, K55, BTC</t>
  </si>
  <si>
    <t>NOZZLE; 22/32", "FL",FOR 17" &amp; 23" ROCKB</t>
  </si>
  <si>
    <t>NOZZLE; 24/32", "FL",FOR 17" &amp; 23" ROCKB</t>
  </si>
  <si>
    <t>NOZZLE; 26/32", "FL",FOR 17" &amp; 23" ROCKB</t>
  </si>
  <si>
    <t>NOZZLE;22/32",TCI SERIES 100, 17"&amp;23"ROC</t>
  </si>
  <si>
    <t>NOZZLE;24/32",TCI SERIES 100, 17"&amp;23"ROC</t>
  </si>
  <si>
    <t>NOZZLE;CENTER,18/32,"FK/VK",17"&amp; 23"ROCK</t>
  </si>
  <si>
    <t>NOZZLE;CENTER,18/32,100 SHORT,FOR 17"ROC</t>
  </si>
  <si>
    <t>NOZZLE;CENTER,18/32,100 LONG,FOR 23"ROCK</t>
  </si>
  <si>
    <t>NOZZLE;CENTER,20/32,"FK/VK",17"&amp; 23"ROCK</t>
  </si>
  <si>
    <t>NOZZLE;CENTER,20/32,100 SHORT,FOR 17"ROC</t>
  </si>
  <si>
    <t>NOZZLE;CENTER,20/32,100 LONG,FOR 23"ROCK</t>
  </si>
  <si>
    <t>NOZZLE;CENTER,22/32,"FK/VK",17"&amp; 23"ROCK</t>
  </si>
  <si>
    <t>NOZZLE;CENTER,22/32,100 SHORT,FOR 17"ROC</t>
  </si>
  <si>
    <t>NOZZLE;CENTER,22/32,100 LONG,FOR 23"ROCK</t>
  </si>
  <si>
    <t>CENTRALIZER; 10-3/4'' X 12-1/4'',WELDED</t>
  </si>
  <si>
    <t>CENTRALIZER; 10-3/4'' X 2-1/4'',BOW TYPE</t>
  </si>
  <si>
    <t>TOOL; SETTING,MECH.,FOR 7'',26PPF X 5" 1</t>
  </si>
  <si>
    <t>DART; DRILL PIPE, 5"/4-1/2" O.D.</t>
  </si>
  <si>
    <t>ROCKBIT; 12-1/4", MT, IADC 217, HUGHES</t>
  </si>
  <si>
    <t>BIT; MILLTOOTH,9-7/8",IADC 217 W/#24/32N</t>
  </si>
  <si>
    <t>ROCKBIT; 9-7/8", MT, IADC 217, SMITH</t>
  </si>
  <si>
    <t>STABILIZER; STRING,6" W/ 4-3/4"DIA. BODY</t>
  </si>
  <si>
    <t>STABILIZER; STRING, 6" OD</t>
  </si>
  <si>
    <t>STABILIZER; NEAR BIT, 6", W/ 4-3/4'" DIA</t>
  </si>
  <si>
    <t>STABILIZER; NEAR BIT, 6" OD</t>
  </si>
  <si>
    <t>BIT; ROLLER CONE, (WITH THE FOLLOWING FE</t>
  </si>
  <si>
    <t>ROCKBIT; 7-7/8", TCI, IADC 517, HUGHES</t>
  </si>
  <si>
    <t>COMPOUND; TOOL JOINT</t>
  </si>
  <si>
    <t>COMPOUND; TOOL JOINT, KOPR-KOTE</t>
  </si>
  <si>
    <t>ROCKBIT; 7-7/8", TCI, IADC 537, SMITH</t>
  </si>
  <si>
    <t>ROCKBIT; 9-7/8", TCI, IADC 517, SMITH</t>
  </si>
  <si>
    <t>ROCKBIT; 9-7/8", TCI, IADC 517, HUGHES</t>
  </si>
  <si>
    <t>CASING;CRA;SM25CRW-125;7";R3;SEAMLESS\</t>
  </si>
  <si>
    <t>CASING; 7", 26 PPF, SM25CRW, VAM TOP HC</t>
  </si>
  <si>
    <t>CASING; STEEL,  7" X 35 LBS/FT X 40'</t>
  </si>
  <si>
    <t>CASING; PERFRTD, 7-5/8" X 25.26 K5, ATLA</t>
  </si>
  <si>
    <t>CASING; 7-5/8",25.26 PPF,K55,ATLAS,PERF.</t>
  </si>
  <si>
    <t>SULFONATED ORGANIC MATERIAL</t>
  </si>
  <si>
    <t>ROL</t>
  </si>
  <si>
    <t>TUBELOCK; BAKERLOCK</t>
  </si>
  <si>
    <t>COMPOUND; THREAD LOCKING</t>
  </si>
  <si>
    <t>W.O. DEFOAM;ALCOHOL BASED DEFOAMER;BAKER</t>
  </si>
  <si>
    <t>DEFOAMER; ALCOHOL BASED</t>
  </si>
  <si>
    <t>ZINC CARBONATE;HYDROGEN SULPHIDE SCAVENG</t>
  </si>
  <si>
    <t>SCAVENGER; H2S , ZINC CARBONATE</t>
  </si>
  <si>
    <t>COUPLING; CRA, SM25CRW-125, 7", 26PPF</t>
  </si>
  <si>
    <t>COUPLING; 7", 26PPF, SM25CRW-125, VAM</t>
  </si>
  <si>
    <t>Mill; Convex, 12-1/4" OD</t>
  </si>
  <si>
    <t>SHOE;FLOAT,26",203PPFX56,LSDSTABLATCH-IN</t>
  </si>
  <si>
    <t>SHOE; FLOAT, 26", 203#, X56, LSD, SILI</t>
  </si>
  <si>
    <t>Sleeve; Stabilizer, 7.875" OD</t>
  </si>
  <si>
    <t>STABILIZER; 7-7/8" OD, SLEEVE</t>
  </si>
  <si>
    <t>COLLAR; DRILL, 6-1/2" X 2-1/4", 19'OAL</t>
  </si>
  <si>
    <t>Collar; Drill, 6-1/2"x 2-1/4", 19'OAL,NM</t>
  </si>
  <si>
    <t>COLLAR; DRILL, NON-MAG, 6-1/2" X 2-1/4"</t>
  </si>
  <si>
    <t>Opener; Hole, Arm, 32"</t>
  </si>
  <si>
    <t>OPENER; HOLE, ARM, 32" OD</t>
  </si>
  <si>
    <t>ROCKBIT; 6-1/4", MT, IADC 117, SMITH</t>
  </si>
  <si>
    <t>ROCKBIT; 6-1/8" DIA, TRICONE, IADC 537</t>
  </si>
  <si>
    <t>ROCKBIT; 6-1/8", TCI, IADC 537, SMITH</t>
  </si>
  <si>
    <t>COUPLING; 20'', 133 PPF, K55, BTC</t>
  </si>
  <si>
    <t>COUPLING; 7", 26 PPF, K55, BTC</t>
  </si>
  <si>
    <t>COUPLING; 18-5/8#, 87.5 PPF, L-80, BTC</t>
  </si>
  <si>
    <t>COUPLING; 18-5/8", 87.5 PPF, L-80, BTC</t>
  </si>
  <si>
    <t>BOLT;STUD;2"DIAX15¼"L;CS,B7M,W/2HEX NUTS</t>
  </si>
  <si>
    <t>BOLT; STUD, 2" DIA X 15-1/4" L, W/2 HEX</t>
  </si>
  <si>
    <t>RING; SEAL; OVAL; SS316; R-74</t>
  </si>
  <si>
    <t>RING; SEAL, OVAL, SS316, R74</t>
  </si>
  <si>
    <t>PIPE; SPIRAL WELDED; ASTM A-139; 26"x12M</t>
  </si>
  <si>
    <t>PIPE; SPIRAL,26" X 16MM X 12M,ASTM A-139</t>
  </si>
  <si>
    <t>CASING; STEEL; 18-5/8'', K55, 114PPF, GC</t>
  </si>
  <si>
    <t>CASING; 18-5/8'', 114 PPF, K55, GEOCONN</t>
  </si>
  <si>
    <t>CASING; STEEL; 13-3/8", 68 PPF, L80, GC</t>
  </si>
  <si>
    <t>CASING; 13-3/8", 68 PPF, L80, GEOCONN</t>
  </si>
  <si>
    <t>COUPLING; 9-5/8", 43.5 PPF, K55, BTC</t>
  </si>
  <si>
    <t>ROCKBIT; 26", 3CN, IADC 435, HUGHES</t>
  </si>
  <si>
    <t>ROCKBIT; 26", TCI, IADC 435, HUGHES</t>
  </si>
  <si>
    <t>ROCKBIT; 12-1/4", 3CN, IADC 817, SMITH</t>
  </si>
  <si>
    <t>ROCKBIT; 12-1/4", TCI, IADC 817, SMITH</t>
  </si>
  <si>
    <t>ROCKBIT; 8-1/2", 3CN, IADC 737, SMITH</t>
  </si>
  <si>
    <t>ROCKBIT; 8-1/2", TCI, IADC 737, SMITH</t>
  </si>
  <si>
    <t>ROCKBIT; 26", 3CN, IADC 435, SMITH</t>
  </si>
  <si>
    <t>ROCKBIT; 8-1/2", 3CN, IADC 817, SMITH</t>
  </si>
  <si>
    <t>ROCKBIT; 8-1/2", TCI, IADC 817, SMITH</t>
  </si>
  <si>
    <t>ROCKBIT; 5-7/8", MT, IADC 117, SMITH</t>
  </si>
  <si>
    <t>ROCKBIT; 12-1/4", 3CN, IADC 547, HUGHES</t>
  </si>
  <si>
    <t>ROCKBIT; 12-1/4", TCI, IADC 547, HUGHES</t>
  </si>
  <si>
    <t>ROCKBIT; 17", 3CN, IADC 615, SMITH</t>
  </si>
  <si>
    <t>ROCKBIT; 26", 3CN, IADC 515, SMITH</t>
  </si>
  <si>
    <t>ROCKBIT; 26", TCI, IADC 515, HUGHES</t>
  </si>
  <si>
    <t>ROCKBIT; 7-7/8", MT, IADC 217, HUGHES</t>
  </si>
  <si>
    <t>ROCKBIT; 7-7/8", PDC, HUGHES</t>
  </si>
  <si>
    <t>ROCKBIT; 8-1/2", MT, IADC 117, HUGHES</t>
  </si>
  <si>
    <t>ROCKBIT; 9-7/8", MT, IADC 117, HUGHES</t>
  </si>
  <si>
    <t>ADAPTOR; LINER, 13-3/8" x 10-3/4"</t>
  </si>
  <si>
    <t>ADAPTOR; LINER, 10-3/4" X 8-5/8"</t>
  </si>
  <si>
    <t>ADAPTOR; LINER, 8-5/8" X 7"</t>
  </si>
  <si>
    <t>ADAPTOR; LINER, 13-3/8" X 9-5/8"</t>
  </si>
  <si>
    <t>ADAPTOR; LINER, 9-5/8" X 7"</t>
  </si>
  <si>
    <t>VALVE;GATE;EXPANDING;3";CLASS 900</t>
  </si>
  <si>
    <t>VALVE;GATE,EXPANDING,TCV,3" DIA X 3M</t>
  </si>
  <si>
    <t>ROCKBIT; 4-1/8", MT, IADC 221, SMITH</t>
  </si>
  <si>
    <t>Material Code</t>
  </si>
  <si>
    <t>7" CASING (K55, 24ppf, BTC) BLANK</t>
  </si>
  <si>
    <t>7" CASING (K55, 23ppf, BTC, SCC) PERFORATED</t>
  </si>
  <si>
    <t>8-5/8" CASING (K55, 24ppf, BTC, SCC) PERFORATED</t>
  </si>
  <si>
    <t xml:space="preserve">8-5/8" FLOAT SHOE </t>
  </si>
  <si>
    <t>18-5/8" CENTRALIZER (18-5/8" x 24")</t>
  </si>
  <si>
    <t>SAMDI</t>
  </si>
  <si>
    <t>Copied from other site's price</t>
  </si>
  <si>
    <t>MILL; TAPER, 6-1/8" OD</t>
  </si>
  <si>
    <t>CASING; 10-3/4", 40.5 PPF, K55,BTC,PERF.</t>
  </si>
  <si>
    <t>CASING; 18-5/8", 114 PPF, K55, BTC</t>
  </si>
  <si>
    <t>PLUG; BOTTOM, 13-3/8" OD</t>
  </si>
  <si>
    <t>SLIP; DRILL COLLAR, 6-1/2" OD</t>
  </si>
  <si>
    <t>SLIP; DRILL COLLAR, 8" OD - 9-1/2" OD</t>
  </si>
  <si>
    <t>ADDITIVE; CEMENT, A-3L, SODIUM SILICATE</t>
  </si>
  <si>
    <t>ROCKBIT; 12-1/4", MT, IADC 217, SMITH</t>
  </si>
  <si>
    <t>STABILIZER; NEAR BIT, 8-1/2" OD, SLEEVE</t>
  </si>
  <si>
    <t>7" LINER HANGER (8-5/8" x 7")</t>
  </si>
  <si>
    <t>EQUIPMENT RENTAL,JOB CHARGE AND PERSONNEL CHARGE</t>
  </si>
  <si>
    <t>Unit Price, USD</t>
  </si>
  <si>
    <t>Quantity</t>
  </si>
  <si>
    <t>Amount, US$</t>
  </si>
  <si>
    <t>Cementing Primary Equipment</t>
  </si>
  <si>
    <t>26" Circulating Swedge</t>
  </si>
  <si>
    <t>18 5/8" Circulating Swedge</t>
  </si>
  <si>
    <t>20 - 18 5/8" CMT Head</t>
  </si>
  <si>
    <t>13 3/8" MST</t>
  </si>
  <si>
    <t>13 3/8" CBP</t>
  </si>
  <si>
    <t>EA</t>
  </si>
  <si>
    <t>Per job</t>
  </si>
  <si>
    <t>Cementing Casing</t>
  </si>
  <si>
    <t>Sub-total for Equipment</t>
  </si>
  <si>
    <t>UM</t>
  </si>
  <si>
    <t>Cementing Engineer/Supervisor</t>
  </si>
  <si>
    <t>Equipment Operator/Helper</t>
  </si>
  <si>
    <t>MT/ET (call out)</t>
  </si>
  <si>
    <t>Toolman(call out)</t>
  </si>
  <si>
    <t>Sub-total for Personnel</t>
  </si>
  <si>
    <t>Total Cost for Rental;Job Charges and Personnel</t>
  </si>
  <si>
    <t>Total Cost</t>
  </si>
  <si>
    <t>9 5/8" MST</t>
  </si>
  <si>
    <t>9 5/8" CBP</t>
  </si>
  <si>
    <t>Particulars</t>
  </si>
  <si>
    <t>Monthly Rate</t>
  </si>
  <si>
    <t>Hourly Rate</t>
  </si>
  <si>
    <t>6-3/4" PWD Tool</t>
  </si>
  <si>
    <t>Circulating Hours</t>
  </si>
  <si>
    <t>PWD Engineer</t>
  </si>
  <si>
    <t>Mob / Demob</t>
  </si>
  <si>
    <t>26"-17</t>
  </si>
  <si>
    <t>9-7/8"-7/78", 8-1/2"</t>
  </si>
  <si>
    <t>17", 12-1/4"</t>
  </si>
  <si>
    <t>pax</t>
  </si>
  <si>
    <t>tool</t>
  </si>
  <si>
    <t>hr</t>
  </si>
  <si>
    <t>day</t>
  </si>
  <si>
    <t>Water Pump</t>
  </si>
  <si>
    <t>Rig Trucks (Forkloader, Man lift, Back Hoe, Payloader, Boom Truck)</t>
  </si>
  <si>
    <t>per hole section</t>
  </si>
  <si>
    <t>Tower Lights (Genset)</t>
  </si>
  <si>
    <t>Fuel per day</t>
  </si>
  <si>
    <t>9. DRILLING RIG SERVICES</t>
  </si>
  <si>
    <t>40-FT HBT (Within SITE)-therma</t>
  </si>
  <si>
    <t>Hr</t>
  </si>
  <si>
    <t>FUEL TRUCK (Within Site)</t>
  </si>
  <si>
    <t>a</t>
  </si>
  <si>
    <t>b rig 5</t>
  </si>
  <si>
    <t>site</t>
  </si>
  <si>
    <t>rig rate</t>
  </si>
  <si>
    <t>INTER-ISLAND COST</t>
  </si>
  <si>
    <t>BACMAN GEOTHERMAL PRODUCTION FIELD</t>
  </si>
  <si>
    <t>NEGROS ISLAND GEOTHERMAL PRODUCTION FIELD</t>
  </si>
  <si>
    <t>MT. APO GEOTHERMAL PRODUCTION FIELD</t>
  </si>
  <si>
    <t>5425000 - CHF Welding Services</t>
  </si>
  <si>
    <t>COMPLETION TEST</t>
  </si>
  <si>
    <t>Wireline + Survey</t>
  </si>
  <si>
    <t>DHV</t>
  </si>
  <si>
    <t>JA VILLAROMAN</t>
  </si>
  <si>
    <t>MS DE VERA</t>
  </si>
  <si>
    <t>MFM                                       JE JUMAWAN</t>
  </si>
  <si>
    <t>Phase</t>
  </si>
  <si>
    <t>Depths</t>
  </si>
  <si>
    <t>ACTIVITIES</t>
  </si>
  <si>
    <t>No. of Days</t>
  </si>
  <si>
    <t>Cumulative Days</t>
  </si>
  <si>
    <t>RIG MOBILIZATION</t>
  </si>
  <si>
    <t>SH</t>
  </si>
  <si>
    <t xml:space="preserve">OPEN 26" PILOT HOLE TO 32" SURFACE HOLE , RIH 26" CASINGS, CASING CEMENTING, BOP OPERATIONS </t>
  </si>
  <si>
    <t>IH1</t>
  </si>
  <si>
    <t>IC1</t>
  </si>
  <si>
    <t>RIH 18-5/8" CASING, CASING CEMENTING, CHF WELDING &amp; BOP OPERATIONS</t>
  </si>
  <si>
    <t>DH1</t>
  </si>
  <si>
    <t>DL1</t>
  </si>
  <si>
    <t>RIH 13-3/8" CASINGS, CASING CEMENTING</t>
  </si>
  <si>
    <t>PH1</t>
  </si>
  <si>
    <t>PL1</t>
  </si>
  <si>
    <t>RIH 10-3/4" LINER, CONDUCT STABILIZATION CEMENTING</t>
  </si>
  <si>
    <t>PH2</t>
  </si>
  <si>
    <t>PL2</t>
  </si>
  <si>
    <t xml:space="preserve">RIH 8-5/8" LINER, RIH 13-3/8" </t>
  </si>
  <si>
    <t>TB1</t>
  </si>
  <si>
    <t>TIE-BACK CASING, TIE-BACK CASING CEMENTING, NIPPLE DOWN BOP, INSTALL MASTER VALVE, DRILL OUT BRIDGE PLUG</t>
  </si>
  <si>
    <t>CMP</t>
  </si>
  <si>
    <t>COMPLETION TEST, LAYDOWN TUBULARS, RIG RELEASE</t>
  </si>
  <si>
    <t>Spud to Rig Release</t>
  </si>
  <si>
    <t>Cost/Phase</t>
  </si>
  <si>
    <t>End of Month</t>
  </si>
  <si>
    <t>PR DETAILS</t>
  </si>
  <si>
    <t>Month</t>
  </si>
  <si>
    <t>MF MISSION</t>
  </si>
  <si>
    <t>BU</t>
  </si>
  <si>
    <t>Field</t>
  </si>
  <si>
    <t>BU Head</t>
  </si>
  <si>
    <t>No contract</t>
  </si>
  <si>
    <t>bbbl/ft</t>
  </si>
  <si>
    <t>5466000 - Directional Drilling Services</t>
  </si>
  <si>
    <t>5465000 - Completion Test -Wireline</t>
  </si>
  <si>
    <t>DOWNHOLE DRILLING TUBULAR RENTAL SERVICE</t>
  </si>
  <si>
    <t>CHANGES</t>
  </si>
  <si>
    <t>Date</t>
  </si>
  <si>
    <t>Re-arrangement of Rig Services cost;</t>
  </si>
  <si>
    <t xml:space="preserve">Casings/Rockbits cost from SAP; </t>
  </si>
  <si>
    <t>Allocated cost for 2017;</t>
  </si>
  <si>
    <t>Calibration of Handling/Hauling cost;</t>
  </si>
  <si>
    <t>Included liner 3 and reline option;</t>
  </si>
  <si>
    <t>Updated allocated cost, inter-island cost</t>
  </si>
  <si>
    <t>SPOC</t>
  </si>
  <si>
    <t>RSR</t>
  </si>
  <si>
    <t>Discounts on HB, PWD, calibration of no. of tools.</t>
  </si>
  <si>
    <t>Discounts on ADA Rates.</t>
  </si>
  <si>
    <t>JON</t>
  </si>
  <si>
    <t>Calibration of new contracts (MUD)</t>
  </si>
  <si>
    <t>Calibration of new contracts (CEMENT)</t>
  </si>
  <si>
    <t>MFM</t>
  </si>
  <si>
    <t>rig move days</t>
  </si>
  <si>
    <t>35% discount</t>
  </si>
  <si>
    <t>11% discount</t>
  </si>
  <si>
    <t>3-well average</t>
  </si>
  <si>
    <t>included acid-slurry</t>
  </si>
  <si>
    <t>AJAG</t>
  </si>
  <si>
    <t>per site</t>
  </si>
  <si>
    <t>Calibration of fuel consumption using average of 3 wells (MG48D, MG49D, MG50D);</t>
  </si>
  <si>
    <t>MUR</t>
  </si>
  <si>
    <t>VAA</t>
  </si>
  <si>
    <t>based on 1.31.2017 DOP</t>
  </si>
  <si>
    <t>requested by AZDG</t>
  </si>
  <si>
    <t>Corrections on regular hole errors (fuel, lubricants, cementing, DD, rig services cost) &amp; bits cost</t>
  </si>
  <si>
    <t>Spud to TD</t>
  </si>
  <si>
    <t>Spud to RR</t>
  </si>
  <si>
    <t>ROP (mpd)</t>
  </si>
  <si>
    <t>NOTE:</t>
  </si>
  <si>
    <t>Included Perfect Well, Stretch, Average and Best Well Days Scenario</t>
  </si>
  <si>
    <t>DWOP preparation</t>
  </si>
  <si>
    <t>Included 8" NMDC Pony for 12-1/4" OH PWD</t>
  </si>
  <si>
    <t>9-5/8" Perforated CASING (K55, 45.5 ppf, BTC)</t>
  </si>
  <si>
    <t>Included option to use regular sizes perforated casings in the PL1 and PL2</t>
  </si>
  <si>
    <t>Requested by RBM</t>
  </si>
  <si>
    <t>Requested by RSR</t>
  </si>
  <si>
    <t>SG5D</t>
  </si>
  <si>
    <t>LG7D</t>
  </si>
  <si>
    <t>Revised DG cost for SG5D and LG7D</t>
  </si>
  <si>
    <t>Requested by MUR</t>
  </si>
  <si>
    <t>Revised to delete surface hole/casing and no rig move cost for "zero" move days</t>
  </si>
  <si>
    <t>JJL SORIANO</t>
  </si>
  <si>
    <t>2017 Proposed Budget + HO allocated</t>
  </si>
  <si>
    <t>Revised interisland cost for NIGBU</t>
  </si>
  <si>
    <t>Hole</t>
  </si>
  <si>
    <t>CSG</t>
  </si>
  <si>
    <t>ID</t>
  </si>
  <si>
    <t>Regular Bottom Section for BH?</t>
  </si>
  <si>
    <t>Revised surface hole to include option to drill 23"OH</t>
  </si>
  <si>
    <t>Regular bottom for BH?</t>
  </si>
  <si>
    <t>Deleted 23" OH option, Casing error</t>
  </si>
  <si>
    <t>Revised mud log rate based on new contract</t>
  </si>
  <si>
    <t>Mud Log Rate</t>
  </si>
  <si>
    <t>Revised DG cost for SG5D and LG7D. No more rig 5, thus, not shared DG Cost.</t>
  </si>
  <si>
    <t>Prodril/Petrostem</t>
  </si>
  <si>
    <t>PERFORATION SERVICES</t>
  </si>
  <si>
    <t>Corrected PH2/PL2 for DD, casings, cement and fuel in not double liner</t>
  </si>
  <si>
    <t>Requested by AZDG</t>
  </si>
  <si>
    <t>26" OD Casing, 203ppf, Grade  X56, LSD</t>
  </si>
  <si>
    <t>26" FLOAT SHOE, SILI w/ accs.</t>
  </si>
  <si>
    <t>26" x 32" Centralizer, Bow Type</t>
  </si>
  <si>
    <t>Corrosion Ring, 4-1/2"IF &amp; 5"X Hole</t>
  </si>
  <si>
    <t>Thread Locking Compound * Baker Lock</t>
  </si>
  <si>
    <t>Thread Sealant * Premium Thread Compound</t>
  </si>
  <si>
    <t>Unit cost</t>
  </si>
  <si>
    <t>Size</t>
  </si>
  <si>
    <t>18-5/8" OD Casing, 114PPF, K55, BTC</t>
  </si>
  <si>
    <t>18-5/8" Float Shoe, BTC</t>
  </si>
  <si>
    <t>18-5/8" Float Collar, 114PPF, BTC SILI w/ accs</t>
  </si>
  <si>
    <t>18-5/8" x 23" Centralizer, Stand-off</t>
  </si>
  <si>
    <t>18-5/8" x 23" Centralizer, Bow Type</t>
  </si>
  <si>
    <t>18-5/8" x 23" Metal Petal Basket</t>
  </si>
  <si>
    <t>13-3/8" OD Casing; 68 PPF, Grade L80, BTC</t>
  </si>
  <si>
    <t>13-3/8" Float Shoe; 68ppf, BTC</t>
  </si>
  <si>
    <t>13-3/8" Float Collar, 68ppf, BTC</t>
  </si>
  <si>
    <t>13-3/8" x 17" Centralizer (Bow Type) with pins</t>
  </si>
  <si>
    <t>13-3/8" x 17" Centralizer (Stand-Off) with pins</t>
  </si>
  <si>
    <t>13-3/8" x 17" Cement Metal Petal Basket</t>
  </si>
  <si>
    <t>13-3/8" x 18-5/8" Liner Hanger and tie-back system, RIGGER (with setting tool)</t>
  </si>
  <si>
    <t>10-3/4" OD Casing; 40.5 PPF, K55, PERFORATED</t>
  </si>
  <si>
    <t>10-3/4" OD Casing; 40.5 PPF, K55, BLANK</t>
  </si>
  <si>
    <t>10-3/4" Guide Shoe, BTC</t>
  </si>
  <si>
    <t>10-3/4" x 13-3/8" Liner Adaptor, Rigger</t>
  </si>
  <si>
    <t>Compound Thread Locking (bakerlock)</t>
  </si>
  <si>
    <t>Compound Thread Sealant (PTC)</t>
  </si>
  <si>
    <t>Liner Adaptor 13-3/8" X 9-5/8" (Liner Hanger)</t>
  </si>
  <si>
    <t>9-5/8" OD Casing; 47 PPF, Grade L80 (Blank)  BTC</t>
  </si>
  <si>
    <t>8-5/8" OD Casing; 24 PPF, Grade K55 (Perforated)</t>
  </si>
  <si>
    <t>8-5/8" Guide Shoe</t>
  </si>
  <si>
    <t>8-5/8" x 10-3/4" Liner Hanger/Adaptor</t>
  </si>
  <si>
    <t>No.</t>
  </si>
  <si>
    <t>Primary OD</t>
  </si>
  <si>
    <t>A</t>
  </si>
  <si>
    <t>10"</t>
  </si>
  <si>
    <t>Attributes</t>
  </si>
  <si>
    <t>Wellhead Equip't</t>
  </si>
  <si>
    <t>SAP Code
MC#1</t>
  </si>
  <si>
    <t>SAP Code
MC#2</t>
  </si>
  <si>
    <t>31-JAN-17 
SAP
Valuation</t>
  </si>
  <si>
    <t>10" Master Valve Class 900</t>
  </si>
  <si>
    <t>B</t>
  </si>
  <si>
    <t>13-5/8"</t>
  </si>
  <si>
    <t>13-5/8" Expansion Spool Class 900</t>
  </si>
  <si>
    <t xml:space="preserve">13-5/8" Casing Head Flange Class 900 </t>
  </si>
  <si>
    <t xml:space="preserve">                                                                                                                                                                                                                                                                                                                                                                                                                                                                                                                                                                                                                                                                                                                                                                                                                                                                                                                                                                                                                                                                                                                                                                                                                        </t>
  </si>
  <si>
    <t>12"</t>
  </si>
  <si>
    <t>12" Master Valve Class 900 (3M)</t>
  </si>
  <si>
    <t>D</t>
  </si>
  <si>
    <t>20-3/4"</t>
  </si>
  <si>
    <t>20-3/4" Expansion Spool Class 900</t>
  </si>
  <si>
    <t>E</t>
  </si>
  <si>
    <t>20-3/4" Casing Head Flange Class 900</t>
  </si>
  <si>
    <t>3-1/8"</t>
  </si>
  <si>
    <t>3-1/8" Wing Valve Class 900</t>
  </si>
  <si>
    <t>G</t>
  </si>
  <si>
    <t>1-3/8"</t>
  </si>
  <si>
    <t>Bolts and Gaskets</t>
  </si>
  <si>
    <t>1-3/8" X 10" STUD BOLTS</t>
  </si>
  <si>
    <t>H</t>
  </si>
  <si>
    <t>1-3/8" X 10-3/4" STUD BOLTS</t>
  </si>
  <si>
    <t>I</t>
  </si>
  <si>
    <t>7/8"</t>
  </si>
  <si>
    <t>7/8" X 6-1/4" STUD BOLTS</t>
  </si>
  <si>
    <t>J</t>
  </si>
  <si>
    <t>R53</t>
  </si>
  <si>
    <t>R53 SEAL RING, SS316</t>
  </si>
  <si>
    <t>K</t>
  </si>
  <si>
    <t>R57</t>
  </si>
  <si>
    <t>R57 SEAL RING, SS316</t>
  </si>
  <si>
    <t>R31</t>
  </si>
  <si>
    <t>R31 SEAL RING, SS316</t>
  </si>
  <si>
    <t>2" X 15-1/4" STUD BOLTS</t>
  </si>
  <si>
    <t>O</t>
  </si>
  <si>
    <t>R74 SEAL RING, SS316</t>
  </si>
  <si>
    <t xml:space="preserve">26" </t>
  </si>
  <si>
    <t>Casing</t>
  </si>
  <si>
    <t>26" CS PIPE 16MM, SPIRAL, 12M</t>
  </si>
  <si>
    <t>26" CASINGSX-56, 203PPF, ERW, LSD</t>
  </si>
  <si>
    <t>Float Equipment</t>
  </si>
  <si>
    <r>
      <t xml:space="preserve">26" FLOAT SHOE, </t>
    </r>
    <r>
      <rPr>
        <sz val="11"/>
        <rFont val="Calibri"/>
        <family val="2"/>
        <scheme val="minor"/>
      </rPr>
      <t>203 PPF, X-56, LSD, SILI</t>
    </r>
  </si>
  <si>
    <t>Centralizer</t>
  </si>
  <si>
    <t>26 x 32" CENTRALIZER (BOW TYPE)</t>
  </si>
  <si>
    <t xml:space="preserve">20" </t>
  </si>
  <si>
    <t>20" CASINGS, 133 PPF, K55, BTC</t>
  </si>
  <si>
    <r>
      <t>20" FLOAT SHOE,</t>
    </r>
    <r>
      <rPr>
        <sz val="11"/>
        <rFont val="Calibri"/>
        <family val="2"/>
        <scheme val="minor"/>
      </rPr>
      <t>133PPF, K55, BTC, SILI</t>
    </r>
  </si>
  <si>
    <t>20" FLOAT COLLAR, 133PPF, K55, BTC</t>
  </si>
  <si>
    <t>20 x 26" CENTRALIZER (BOW TYPE)</t>
  </si>
  <si>
    <t xml:space="preserve">18-5/8" </t>
  </si>
  <si>
    <t>18-5/8" CASINGS, 114PPF, K-55, BTC</t>
  </si>
  <si>
    <t>18-5/8" CASINGS, 114PPF, K-55, GeConn</t>
  </si>
  <si>
    <t>18-5/8" CASINGS, 87.5 PPF, K55, BTC</t>
  </si>
  <si>
    <r>
      <rPr>
        <sz val="11"/>
        <rFont val="Calibri"/>
        <family val="2"/>
        <scheme val="minor"/>
      </rPr>
      <t>18-5/8" FLOAT SHOE, 114 PPF, K55, BTC (SILI)</t>
    </r>
  </si>
  <si>
    <r>
      <rPr>
        <sz val="11"/>
        <rFont val="Calibri"/>
        <family val="2"/>
        <scheme val="minor"/>
      </rPr>
      <t>18-5/8" FLOAT SHOE, 87.5 PPF, K55, BTC</t>
    </r>
  </si>
  <si>
    <r>
      <rPr>
        <sz val="11"/>
        <rFont val="Calibri"/>
        <family val="2"/>
        <scheme val="minor"/>
      </rPr>
      <t>18-5/8" FLOAT COLLAR, 87.5 PPF, K55, BTC</t>
    </r>
  </si>
  <si>
    <r>
      <rPr>
        <sz val="11"/>
        <rFont val="Calibri"/>
        <family val="2"/>
        <scheme val="minor"/>
      </rPr>
      <t>18-5/8" FLOAT COLLAR, 114 PPF, K55, BTC</t>
    </r>
  </si>
  <si>
    <r>
      <rPr>
        <sz val="11"/>
        <rFont val="Calibri"/>
        <family val="2"/>
        <scheme val="minor"/>
      </rPr>
      <t>18-5/8" FLOAT COLLAR, 114 PPF, K55, BTC, SILI</t>
    </r>
  </si>
  <si>
    <t>18-5/8" TOP PLUG</t>
  </si>
  <si>
    <t>18-5/8" BOTTOM PLUG</t>
  </si>
  <si>
    <t>18-5/8" x 23" CENTRALIZER (BOW TYPE)</t>
  </si>
  <si>
    <t>18-5/8" X 26" CENTRALIZER (STAND-OFF)</t>
  </si>
  <si>
    <t>18-5/8" x 23" METAL PETAL BASKET</t>
  </si>
  <si>
    <t xml:space="preserve">13-3/8" </t>
  </si>
  <si>
    <t>13-3/8" CASING, 68 PPF, L80, R3, BTC</t>
  </si>
  <si>
    <t>13-3/8" CASING , 68 PPF, L80 GEO-CONN</t>
  </si>
  <si>
    <t>13-3/8" CASING, 68 PPF, L80, SLB</t>
  </si>
  <si>
    <r>
      <rPr>
        <sz val="11"/>
        <rFont val="Calibri"/>
        <family val="2"/>
        <scheme val="minor"/>
      </rPr>
      <t>13-3/8" x 17" METAL PETAL BASKET</t>
    </r>
  </si>
  <si>
    <t>13-3/8" FLOAT SHOE, 68 PPF, L80, BTC</t>
  </si>
  <si>
    <t>13-3/8" FLOAT COLLAR
COLLAR, 68 PPF, L80, BTC</t>
  </si>
  <si>
    <t>13-3/8" FLOAT COLLAR, 68 PPF, K55, BTC, SILI</t>
  </si>
  <si>
    <t>13-3/8" x 18-5/8" CENTRALIZERS (STANDOFF)</t>
  </si>
  <si>
    <t>13-3/8" x 20" CENTRALIZERS (STANDOFF), 18-1/4" ID</t>
  </si>
  <si>
    <t>13-3/8" x 17" CENTRALIZER 
 (BOW TYPE)</t>
  </si>
  <si>
    <t>13-3/8" TOP PLUG</t>
  </si>
  <si>
    <t>13-3/8" BOTTOM PLUG</t>
  </si>
  <si>
    <t>Tie-Back / Hanger</t>
  </si>
  <si>
    <t>13-3/8" x 18-5/8" TIE-BACK SET W/ LINER HANGER (RIGGER)</t>
  </si>
  <si>
    <t xml:space="preserve">10-3/4" </t>
  </si>
  <si>
    <t>10-3/4" BLANK CASINGS, 40.5 PPF, K55,BTC SCC</t>
  </si>
  <si>
    <t>10-3/4" PERFORATED CASING, 40.5 PPF, K55, BTC SCC</t>
  </si>
  <si>
    <r>
      <rPr>
        <sz val="11"/>
        <rFont val="Calibri"/>
        <family val="2"/>
        <scheme val="minor"/>
      </rPr>
      <t xml:space="preserve">10-3/4" GUIDE SHOE, 40.5 PPF, K55, BTC SCC </t>
    </r>
  </si>
  <si>
    <t>10-3/4" X 13-3/8" LINER HANGER, 68 K55 BTC SCC</t>
  </si>
  <si>
    <t>10-3/4" PACK-OFF BUSHING; LWP; DP DART</t>
  </si>
  <si>
    <t>10-3/4" FLOAT SHOE, 40.5 PPF, K55, BTC SCC</t>
  </si>
  <si>
    <t>10-3/4" FLOAT COLLAR, 40.5 PPF, K55, BTC SCC</t>
  </si>
  <si>
    <t>10-3/4" FLOAT COLLAR, 40.5 PPF, K55, BTC SCC, (SILI)</t>
  </si>
  <si>
    <t>10-3/4" x 13-3/8" CENTRALIZER 
STAND-OFF)</t>
  </si>
  <si>
    <t>10-3/4" x 12-1/4" CENTRALIZER 
BOW TYPE)</t>
  </si>
  <si>
    <t xml:space="preserve">9-5/8" </t>
  </si>
  <si>
    <t xml:space="preserve">9-5/8" BLANK CASING, 47PPF, L80, SLB, </t>
  </si>
  <si>
    <t xml:space="preserve">9-5/8" BLANK CASING, 47PPF, L80, BTC, </t>
  </si>
  <si>
    <t xml:space="preserve">9-5/8" PERFORATED CASING, 43.5 PPF, K55, BTC, </t>
  </si>
  <si>
    <t>9-5/8" CASING
'47PPF, L80, BTC, PERFORATED</t>
  </si>
  <si>
    <t>9-5/8" x 12-1/4" METAL PETAL BASKET</t>
  </si>
  <si>
    <t>9-5/8" FLOAT SHOE, 47 PPF, L80, BTC</t>
  </si>
  <si>
    <t>9-5/8 FLOAT COLLAR, 47 PPF, L80, BTC</t>
  </si>
  <si>
    <t>9-5/8" FLOAT COLLAR, 47 PPF, K55, BTC, SILI</t>
  </si>
  <si>
    <t>9-5/8 x 13-3/8" CENTRALIZERS (STAND-OFF)</t>
  </si>
  <si>
    <t>9-5/8 x 12-1/4" CENTRALIZERS (BOW TYPE)</t>
  </si>
  <si>
    <t>9-5/8" TOP PLUG</t>
  </si>
  <si>
    <t>9-5/8" BOTTOM PLUG</t>
  </si>
  <si>
    <t>9-5/8"</t>
  </si>
  <si>
    <t>9-5/8" x 13-3/8" TIE-BACK SET W/ LINER HANGER (RIGGER)</t>
  </si>
  <si>
    <t>9-5/8" x 13-3/8" LINER HANGER</t>
  </si>
  <si>
    <t>9-5/8 MODIFIED PLUG</t>
  </si>
  <si>
    <t>8-5/8"</t>
  </si>
  <si>
    <t>8-5/8" PERFORATED CASING, 24 PPF, K55, BTC SCC</t>
  </si>
  <si>
    <r>
      <t>8-5/8" GUIDE SHOE,</t>
    </r>
    <r>
      <rPr>
        <sz val="11"/>
        <rFont val="Calibri"/>
        <family val="2"/>
        <scheme val="minor"/>
      </rPr>
      <t xml:space="preserve"> 24 PPF, K55, BTC SCC</t>
    </r>
  </si>
  <si>
    <t xml:space="preserve">8-5/8" </t>
  </si>
  <si>
    <t>8-5/8" x 10-3/4" LINER HANGER 24 PPF X 40.5 PPF K55 BTC SCC PIN</t>
  </si>
  <si>
    <t>7"</t>
  </si>
  <si>
    <t>7" x 9-5/8" LINER HANGER, 
RIGGER ENGINEERING</t>
  </si>
  <si>
    <t>7" BLANK CASING, 26 PPF x 40', K55, SM25CRW-125</t>
  </si>
  <si>
    <t>7" BLANK CASING, 26 PPF x 40', K55, BTC</t>
  </si>
  <si>
    <t>7" PERFORATED CASING, 26 PPF x 40', K55, BTC</t>
  </si>
  <si>
    <t>7" PERFORATED CASING, 23 PPF, K55, BTC SCC</t>
  </si>
  <si>
    <r>
      <rPr>
        <sz val="11"/>
        <rFont val="Calibri"/>
        <family val="2"/>
        <scheme val="minor"/>
      </rPr>
      <t>7" x 8-5/8" LINER HANGER,
23 PPF X 24.5 PPF K55 BTC SCC PIN</t>
    </r>
  </si>
  <si>
    <t>7" GUIDE SHOE, 23 PPF, K55, BTC SCC</t>
  </si>
  <si>
    <t>7" GUIDE SHOE, 26 PPF, K55, BTC</t>
  </si>
  <si>
    <t xml:space="preserve">5" </t>
  </si>
  <si>
    <t xml:space="preserve">5" BLANK CASING, 15PPF, K55, SL Flush, </t>
  </si>
  <si>
    <t>Others</t>
  </si>
  <si>
    <t>4-1/2"IF CORRISIOIN RING, 5" HOLE</t>
  </si>
  <si>
    <t>Chemicals</t>
  </si>
  <si>
    <t>TUBELOCK, BAKERLOCK</t>
  </si>
  <si>
    <t>PREMIUM THREAD SEALANT
COMPOUND - Seal Lock Boss</t>
  </si>
  <si>
    <t>THREAD SEALANT/LOCKING
COMPOUND - Butress Thread</t>
  </si>
  <si>
    <t>STORAGE COMPOUND</t>
  </si>
  <si>
    <t>9-5/8" OD Casing; 43.5 PPF, Grade L80 (Perforated) BTC</t>
  </si>
  <si>
    <t>9-5/8" OD Float Shoe BTC, 47ppf</t>
  </si>
  <si>
    <t>20" FLOAT SHOE,133PPF, K55, BTC, SILI</t>
  </si>
  <si>
    <t>BH?</t>
  </si>
  <si>
    <t>9-5/8" Float Shoe; 47ppf, L80, BTC</t>
  </si>
  <si>
    <t>9-5/8" Float Collar, 47ppf, L80, BTC</t>
  </si>
  <si>
    <t>9-5/8 x 12-1/4" Centralizers (Bow Type)</t>
  </si>
  <si>
    <t>9-5/8 x 13-3/8" Centralizers (Stand-off)</t>
  </si>
  <si>
    <t>9-5/8" x 12-1/4" Metal Petal Basket</t>
  </si>
  <si>
    <t>7" Guide Shoe, 23 PPF, K55, BTC SCC</t>
  </si>
  <si>
    <t>7" OD Casing; 26 PPF, Grade K55 (Perforated)</t>
  </si>
  <si>
    <t>PERIOD</t>
  </si>
  <si>
    <t>1001 (SAMDI)</t>
  </si>
  <si>
    <t>1002 (BGBU)</t>
  </si>
  <si>
    <t>1003 (LGBU)</t>
  </si>
  <si>
    <t>1004 (NIGBU)</t>
  </si>
  <si>
    <t>1006 (MAGBU)</t>
  </si>
  <si>
    <t>VALUE</t>
  </si>
  <si>
    <t>QTTY</t>
  </si>
  <si>
    <t>CASING; STEEL; 18-5/8" OD, K55, 114PPF</t>
  </si>
  <si>
    <t>COLLAR; FLOAT, 18-5/8", 87.5#, K55,SILI</t>
  </si>
  <si>
    <t>SURVEILLANCE &amp; DETECTION EQUIPMENT</t>
  </si>
  <si>
    <t>BT</t>
  </si>
  <si>
    <t>BATTERIES AND CELLS AND ACCESSORIES</t>
  </si>
  <si>
    <t>TIS; CASING, EA, 10-3/4" TO 13-3/8", R1,</t>
  </si>
  <si>
    <t>TIS; CASING, API THREAD, 5" TO 7-5/8", R</t>
  </si>
  <si>
    <t>TIS; CASING, VISUAL THREAD, 16" TO 20",</t>
  </si>
  <si>
    <t>TIS; CASING, ESR, 8-5/8" TO 9-5/8", R1,</t>
  </si>
  <si>
    <t>TIS; CASING, CV/O, 10-3/4" TO 13-3/8", R</t>
  </si>
  <si>
    <t>TIS; CASING, SEA, 8-5/8" TO 9-5/8", R1,</t>
  </si>
  <si>
    <t>TIS; CASING, MPI, 10-3/4" TO 13-3/8", R1</t>
  </si>
  <si>
    <t>TIS; CASING, MPI, 8-5/8" TO 9-5/8", R1,</t>
  </si>
  <si>
    <t>HB; HWDP, 3-1/2" OD (4-3/4" TJ), TUNGSTE</t>
  </si>
  <si>
    <t>TIS; CASING, SEA, 10-3/4" TO 13-3/8", R1</t>
  </si>
  <si>
    <t>TIS CASING VISUAL THREAD 10-3/4" TO 13-</t>
  </si>
  <si>
    <t>CEMENT; SERVICES; CEMENT PLUG</t>
  </si>
  <si>
    <t>CEMENT; CONS; CEMENT; LAFARGE; CLASS G</t>
  </si>
  <si>
    <t>CEMENT; CONS; SILICA FLOUR</t>
  </si>
  <si>
    <t>CEMENT; CONS; BENTONITE</t>
  </si>
  <si>
    <t>CEMENT; CONS; FLUID LOSS CEMENT ADDITIVE</t>
  </si>
  <si>
    <t>CEMENT; CONS; DISPERSANT CEMENT ADDITIVE</t>
  </si>
  <si>
    <t>CEMENT; CONS; CEMENT EXTENDER (LIQUID)</t>
  </si>
  <si>
    <t>CEMENT; CONS; CEMENT RETARDER</t>
  </si>
  <si>
    <t>CEMENT; CONS; FOAM PREVENTER</t>
  </si>
  <si>
    <t>CEMENT; CONS; CALCIUM CHLORIDE</t>
  </si>
  <si>
    <t>DRILLFLUIDS; CONS; MIL-GEN NT 100G</t>
  </si>
  <si>
    <t>DRILLFLUIDS; CONS; MIL-GEN NT BIG; MT</t>
  </si>
  <si>
    <t>DRILLFLUIDS; CONS; API BENTONITE; MT</t>
  </si>
  <si>
    <t>DRILLFLUIDS; CONS; CAUSTIC SODA; 25KG</t>
  </si>
  <si>
    <t>DRILLFLUIDS; CONS; CHEK-LOSS; 25# SX</t>
  </si>
  <si>
    <t>DRILLFLUIDS; CONS; MILL LIME; 25KG</t>
  </si>
  <si>
    <t>DRILLFLUIDS; CONS; NEW DRILL; 5gal</t>
  </si>
  <si>
    <t>DRILLFLUIDS; CONS; SODA ASH; 25KG</t>
  </si>
  <si>
    <t>DRILLFLUIDS; CONS; MIL-PAC R; 25KG</t>
  </si>
  <si>
    <t>DRILLFLUIDS; CONS; NEW THIN; 25KG</t>
  </si>
  <si>
    <t>DRILLFLUIDS; CONS; CAUSTICIZED LIGNITE;</t>
  </si>
  <si>
    <t>DRILLFLUIDS; CONS; CHEMTROL X; 50# SX</t>
  </si>
  <si>
    <t>DRILLFLUIDS; CONS; BIO-PAQ; 25KG</t>
  </si>
  <si>
    <t>DRILLFLUIDS; CONS; ALL-TEMP; 25# SX</t>
  </si>
  <si>
    <t>DRILLFLUIDS; CONS; SODIUM BICARB; 25KG</t>
  </si>
  <si>
    <t>DRILLFLUIDS; CONS; KD-40; 55gal</t>
  </si>
  <si>
    <t>DRILLFLUIDS; CONS; MIL-SEAL; 25KG</t>
  </si>
  <si>
    <t>DRILLFLUIDS; CONS; GLUTERALDEHYDE; 20 LT</t>
  </si>
  <si>
    <t>DRILLFLUIDS; CONS; CORROSION RING TESTIN</t>
  </si>
  <si>
    <t>DRILLFLUIDS; CONS; SACK CUTTER</t>
  </si>
  <si>
    <t>DRILLFLUIDS; CONS; XANPLEX-L; 5GAL</t>
  </si>
  <si>
    <t>DRILLFLUIDS; CONS; SOLUFLAKE; 50# SX</t>
  </si>
  <si>
    <t>DRILLFLUIDS; CONS; WO DEFOAM; 55 GAL</t>
  </si>
  <si>
    <t>CEMENT; CONS; 9?? Davis STG CEMENT COLL</t>
  </si>
  <si>
    <t>CEMENT; CONS; 9-5/8" DAVIS FLOAT SHOE</t>
  </si>
  <si>
    <t>DEL - VMI; DF; X-LINK ACR 1 QUART</t>
  </si>
  <si>
    <t>DEL - VMI; CEMENT; A-7, CALCIUM CHLORIDE</t>
  </si>
  <si>
    <t>VMI; DF; X-LINK ACR 1 QUART</t>
  </si>
  <si>
    <t>UN</t>
  </si>
  <si>
    <t>VMI; DF; ALL-TEMP 25 LB</t>
  </si>
  <si>
    <t>QT</t>
  </si>
  <si>
    <t>VMI; DF; CELLULOSE FIBRE 25 LB</t>
  </si>
  <si>
    <t>VMI; DF; CHEK-LOSS C 25 LB</t>
  </si>
  <si>
    <t>VMI; DF; CHEK-LOSS 25 LB</t>
  </si>
  <si>
    <t>VMI; DF; KEM-SEAL 25 LB</t>
  </si>
  <si>
    <t>VMI; DF; X-LINK 40 LB</t>
  </si>
  <si>
    <t>VMI; DF; CHEMTROL X 50 LB</t>
  </si>
  <si>
    <t>VMI; DF; MIL-TEMP 50 LB</t>
  </si>
  <si>
    <t>VMI; DF; ZINC CARBONATE 50 LB</t>
  </si>
  <si>
    <t>VMI; DF; ECCO-SHELL 50 LB</t>
  </si>
  <si>
    <t>VMI; DF; SOLUFLAKE 50 LB</t>
  </si>
  <si>
    <t>VMI; DF; SULFATROL 50 LB</t>
  </si>
  <si>
    <t>VMI; DF; UNICAL 50 LB</t>
  </si>
  <si>
    <t>VMI; DF; BENTONITE 100 LB</t>
  </si>
  <si>
    <t>VMI; DF; MILGEL NT 100 LB</t>
  </si>
  <si>
    <t>VMI; DF; ALUMINUM STERATE 10 KG</t>
  </si>
  <si>
    <t>VMI; DF; SODIUM BICARBONATE 25 KG</t>
  </si>
  <si>
    <t>VMI; DF; BIOPAQ 25 KG</t>
  </si>
  <si>
    <t>VMI; DF; CALCIUM CHLORIDE 25 KG</t>
  </si>
  <si>
    <t>VMI; DF; CALCIUM CARBONATE 25 KG</t>
  </si>
  <si>
    <t>VMI; DF; CAUSTIC SODA 25 KG</t>
  </si>
  <si>
    <t>VMI; DF; CAUSTICISED LIGNITE 25 KG</t>
  </si>
  <si>
    <t>VMI; DF; CITRIC ACID 25 KG</t>
  </si>
  <si>
    <t>VMI; DF; GEL K SEAL FMC 25 KG</t>
  </si>
  <si>
    <t>VMI; DF; KWIKSEAL 25 KG</t>
  </si>
  <si>
    <t>VMI; DF; LIGCO 25 KG</t>
  </si>
  <si>
    <t>VMI; DF; LIGCON 25 KG</t>
  </si>
  <si>
    <t>VMI; DF; LIME 25 KG</t>
  </si>
  <si>
    <t>VMI; DF; MIL-FIBER 25 KG</t>
  </si>
  <si>
    <t>VMI; DF; MIL-PAC R 25 KG</t>
  </si>
  <si>
    <t>VMI; DF; MILPAC LV 25 KG</t>
  </si>
  <si>
    <t>VMI; DF; MIL-SEAL MEDIUM 25 KG</t>
  </si>
  <si>
    <t>VMI; DF; NEW-THIN 25 KG</t>
  </si>
  <si>
    <t>VMI; DF; NEWDRILL PLUS 25 KG</t>
  </si>
  <si>
    <t>VMI; DF; NOXYGEN XT 25 KG</t>
  </si>
  <si>
    <t>VMI; DF; NUT PLUG 25 KG</t>
  </si>
  <si>
    <t>VMI; DF; POTASSIUM HYDROXIDE 25 KG</t>
  </si>
  <si>
    <t>VMI; DF; POTASSIUM CHLORIDE 25 KG</t>
  </si>
  <si>
    <t>VMI; DF; SODA ASH 25 KG</t>
  </si>
  <si>
    <t>VMI; DF; STARCH 25 KG</t>
  </si>
  <si>
    <t>VMI; DF; UNICAL CF 25 KG</t>
  </si>
  <si>
    <t>VMI; DF; XANPLEX D 25 KG</t>
  </si>
  <si>
    <t>VMI; DF; XANTHAN GUM D 25 KG</t>
  </si>
  <si>
    <t>VMI; DF; BARITE 50 KG</t>
  </si>
  <si>
    <t>VMI; DF; MILGARD FE 5 GA</t>
  </si>
  <si>
    <t>VMI; DF; GLUTERALDAHYDE 5 GA</t>
  </si>
  <si>
    <t>VMI; DF; LD-10 5 GA</t>
  </si>
  <si>
    <t>VMI; DF; NEW-DRILL 5 GA</t>
  </si>
  <si>
    <t>VMI; DF; XANPLEX L 5 GA</t>
  </si>
  <si>
    <t>VMI; DF; X-CIDE 102 5 GA</t>
  </si>
  <si>
    <t>VMI; DF; X-LINK RETARDER 5 GA</t>
  </si>
  <si>
    <t>VMI; DF; LD-8 20 LTR</t>
  </si>
  <si>
    <t>VMI; DF; MIL-FREE 200 LTR</t>
  </si>
  <si>
    <t>VMI; DF; KD 40 55 GA</t>
  </si>
  <si>
    <t>VMI; DF; AMI-TEC 55 GA</t>
  </si>
  <si>
    <t>VMI; DF; CLAY-TROL 55 GA</t>
  </si>
  <si>
    <t>VMI; DF; NOXYGEN L 55 GA</t>
  </si>
  <si>
    <t>VMI; DF; MILGARD L 55 GA</t>
  </si>
  <si>
    <t>VMI; DF; PENETREX 55 GA</t>
  </si>
  <si>
    <t>VMI; DF; BENTONITE API 1 MT</t>
  </si>
  <si>
    <t>VMI; DF; MILGEL NT 1 MT</t>
  </si>
  <si>
    <t>VMI; CEMENT; LAFARGE API CLASS G CEMENT</t>
  </si>
  <si>
    <t>VMI; CEMENT; S-8, SILICA FLOUR</t>
  </si>
  <si>
    <t>VMI; CEMENT; BA-58D, SILICA FUMES (DRY)</t>
  </si>
  <si>
    <t>VMI; CEMENT; FL-25S, FLUID LOSS ADDITIVE</t>
  </si>
  <si>
    <t>LB</t>
  </si>
  <si>
    <t>VMI; CEMENT; CD-32, DISPERSANT (DRY)</t>
  </si>
  <si>
    <t>VMI; CEMENT; A-3L, CEMENT EXTENDER, 41º</t>
  </si>
  <si>
    <t>VMI; CEMENT; R-15LS, CEMENT RETARDER</t>
  </si>
  <si>
    <t>VMI; CEMENT; FP-9L, FOAM PREVENTER</t>
  </si>
  <si>
    <t>VMI; CEMENT; A-7, CALCIUM CHLORIDE</t>
  </si>
  <si>
    <t>VMI; CEMENT; SEALBONDTM SPACER (DRY)</t>
  </si>
  <si>
    <t>VMI; CEMENT; SEALBONDTM PLUS (DRY)</t>
  </si>
  <si>
    <t>VMI; CEMENT; BJ ULTRA, MULTIPURPOSE ADD</t>
  </si>
  <si>
    <t>VMI; CEMENT; FL-66L, FLUID LOSS ADD</t>
  </si>
  <si>
    <t>VMI; CEMENT; CD-33L, DISPERSANT (LIQUID)</t>
  </si>
  <si>
    <t>VMI; CEMENT; R-21LS, RETARDER (LIQUID)</t>
  </si>
  <si>
    <t>FABN; 3F,RING GAGE,15# DWN,ASTM A36</t>
  </si>
  <si>
    <t>CHF; STANDBY RATE; DAILY; PERSONNEL</t>
  </si>
  <si>
    <t>DRILLING - CEMENTING SERVICES</t>
  </si>
  <si>
    <t>DRILLING - MUD AND CHEMICALS</t>
  </si>
  <si>
    <t>MUD LOGGING SERVICES</t>
  </si>
  <si>
    <t>HB; GOUGING; &lt;6-1/4"</t>
  </si>
  <si>
    <t>HB; GOUGING, &lt;6-1/4"</t>
  </si>
  <si>
    <t>HB; HWDP, 5" OD (6-1/2" TJ), TUNGSTEN</t>
  </si>
  <si>
    <t>DRILLING RIG SERVICES;RIG 2</t>
  </si>
  <si>
    <t>DIRECTIONAL DRILLING SVC (HALLIBURTON)</t>
  </si>
  <si>
    <t>TIS; DC, REFACING, ALL SIZES</t>
  </si>
  <si>
    <t>FORMATION EVALUATION SERVICES</t>
  </si>
  <si>
    <t>FLANGE; CASING HEAD, 13-5/8" CLASS 900</t>
  </si>
  <si>
    <t>BOLT; STUD, 2" X 15-1/4"</t>
  </si>
  <si>
    <t>7" Blank Casing, 26 PPF x 40', K55, BTC</t>
  </si>
  <si>
    <t>Revised casings consumables based on SAP and new Matcode.</t>
  </si>
  <si>
    <t>unit cost</t>
  </si>
  <si>
    <t>OD</t>
  </si>
  <si>
    <t>TCI Cutters (3 pcs)</t>
  </si>
  <si>
    <t>03-May-17 BALANCE</t>
  </si>
  <si>
    <t>IADC Code 515</t>
  </si>
  <si>
    <t xml:space="preserve">17 " </t>
  </si>
  <si>
    <t>IADC Code 525</t>
  </si>
  <si>
    <t>IADC Code 615</t>
  </si>
  <si>
    <t>12.25 "</t>
  </si>
  <si>
    <t>PDC BIT</t>
  </si>
  <si>
    <t>IADC 217</t>
  </si>
  <si>
    <t>IADC 517</t>
  </si>
  <si>
    <t>IADC 537</t>
  </si>
  <si>
    <t>IADC 547</t>
  </si>
  <si>
    <t>IADC 637</t>
  </si>
  <si>
    <t xml:space="preserve">9-7/8 " </t>
  </si>
  <si>
    <t>PDC Bit</t>
  </si>
  <si>
    <t>IADC 117/217</t>
  </si>
  <si>
    <t>8.5 "</t>
  </si>
  <si>
    <t xml:space="preserve">PDC BIT </t>
  </si>
  <si>
    <t>IADC 117 / 217</t>
  </si>
  <si>
    <t>7-7/8 "</t>
  </si>
  <si>
    <t>6-1/8"</t>
  </si>
  <si>
    <t>IADC Code 200/300</t>
  </si>
  <si>
    <t>IADC Code 500/600</t>
  </si>
  <si>
    <t xml:space="preserve">6" </t>
  </si>
  <si>
    <t xml:space="preserve">32" </t>
  </si>
  <si>
    <t>26" x Tricone</t>
  </si>
  <si>
    <t>23" x Tricone</t>
  </si>
  <si>
    <t>17 " x Tricone</t>
  </si>
  <si>
    <t>12.25 " x PDC</t>
  </si>
  <si>
    <t>12.25 " x Tricone</t>
  </si>
  <si>
    <t>9-7/8 " x PDC</t>
  </si>
  <si>
    <t>9-7/8 " x Tricone</t>
  </si>
  <si>
    <t>8.5 " x PDC</t>
  </si>
  <si>
    <t>8.5 " x Tricone</t>
  </si>
  <si>
    <t>7-7/8 " x PDC</t>
  </si>
  <si>
    <t>7-7/8 " x Tricone</t>
  </si>
  <si>
    <t>6-1/8" x Tricone</t>
  </si>
  <si>
    <t>6" x Tricone</t>
  </si>
  <si>
    <t>Mat Code</t>
  </si>
  <si>
    <t xml:space="preserve">QTY </t>
  </si>
  <si>
    <t>WAP</t>
  </si>
  <si>
    <t>ON-STOCK</t>
  </si>
  <si>
    <t>Hughes PHP</t>
  </si>
  <si>
    <t>SMITH PHP</t>
  </si>
  <si>
    <t>110lbs</t>
  </si>
  <si>
    <t>BAGS X 94LB</t>
  </si>
  <si>
    <t>100 lb bag</t>
  </si>
  <si>
    <t>AS OF MAY 23, 2017</t>
  </si>
  <si>
    <t>Meals</t>
  </si>
  <si>
    <t>Accommodation</t>
  </si>
  <si>
    <t>c/o arwell</t>
  </si>
  <si>
    <t>MGBU</t>
  </si>
  <si>
    <t>Yes if without Pre-installed csg</t>
  </si>
  <si>
    <t>Wellhead Assembly</t>
  </si>
  <si>
    <t>Master Valve (MV)</t>
  </si>
  <si>
    <t>12 x 900</t>
  </si>
  <si>
    <t>Stud Bolts for MV</t>
  </si>
  <si>
    <t>1-3/8 x 10-3/4</t>
  </si>
  <si>
    <t>Seal Ring for MV</t>
  </si>
  <si>
    <t>Expansion Spool (ES)</t>
  </si>
  <si>
    <t>20-3/4 x 13-5/8 x 3M</t>
  </si>
  <si>
    <t>Stud Bolts for ES top flange</t>
  </si>
  <si>
    <t>Stud bolts for ES bottom flange</t>
  </si>
  <si>
    <t>2 x 15-1/4</t>
  </si>
  <si>
    <t>Stud bolts for ES side outlet flanges</t>
  </si>
  <si>
    <t>7/8 x 6-1/4</t>
  </si>
  <si>
    <t>Seal Ring for ES bottom flange</t>
  </si>
  <si>
    <t>R74</t>
  </si>
  <si>
    <t>Seal Ring for ES side outlet flanges</t>
  </si>
  <si>
    <t>Wing Valves</t>
  </si>
  <si>
    <t>3-1/8 x 3M</t>
  </si>
  <si>
    <t>Casing Head Flange (CHF)</t>
  </si>
  <si>
    <t>20-3/4 x 3M with slip-on weld 18-3/8 botton connection</t>
  </si>
  <si>
    <t>Big hole assembly</t>
  </si>
  <si>
    <t>Bolts and gastkets</t>
  </si>
  <si>
    <t>Cost/Meter (spud to rig release)</t>
  </si>
  <si>
    <t>MS BAILON</t>
  </si>
  <si>
    <t>Note: If there is no value in the qty it means no stock as per SAP, thus DO NOT FILL IN QTY w/ zero qty or it will result to zero cost.</t>
  </si>
  <si>
    <t>TP Only</t>
  </si>
  <si>
    <t>All charges during RM</t>
  </si>
  <si>
    <t>Note: average for 2017-P105K/m at 60mpd</t>
  </si>
  <si>
    <t>meterage</t>
  </si>
  <si>
    <t>Maximum ROP in program is 75mpd</t>
  </si>
  <si>
    <t>438D</t>
  </si>
  <si>
    <t>KPI is P140k/m</t>
  </si>
  <si>
    <t>AFE (Mil)</t>
  </si>
  <si>
    <t>KPI:</t>
  </si>
  <si>
    <t>Cost/m (Thou)</t>
  </si>
  <si>
    <r>
      <rPr>
        <sz val="11"/>
        <rFont val="Calibri"/>
        <family val="2"/>
      </rPr>
      <t xml:space="preserve">Ref.: </t>
    </r>
    <r>
      <rPr>
        <u/>
        <sz val="11"/>
        <color theme="10"/>
        <rFont val="Calibri"/>
        <family val="2"/>
      </rPr>
      <t>https://www.doe.gov.ph/oil-monitor</t>
    </r>
  </si>
  <si>
    <t>http://www.globalpetrolprices.com/Philippines/diesel_prices/</t>
  </si>
  <si>
    <t>Cost/day</t>
  </si>
  <si>
    <t>Daily (RM-RR)</t>
  </si>
  <si>
    <t>Daily (Spud-RR)</t>
  </si>
  <si>
    <t>Requested by Ferdie</t>
  </si>
  <si>
    <t>Revised casing running cost and jars and shock tools</t>
  </si>
  <si>
    <t>62" MDJ JAR</t>
  </si>
  <si>
    <t>8" MDJ JAR</t>
  </si>
  <si>
    <t>PROG</t>
  </si>
  <si>
    <t>Type</t>
  </si>
  <si>
    <t>Cost/meter</t>
  </si>
  <si>
    <t>RM</t>
  </si>
  <si>
    <t>100-700-1300-2500</t>
  </si>
  <si>
    <t>RM-RR</t>
  </si>
  <si>
    <t>from</t>
  </si>
  <si>
    <t>to</t>
  </si>
  <si>
    <t>IH</t>
  </si>
  <si>
    <t>PH1 and PH2 are fixed</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</si>
</sst>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8" formatCode="&quot;$&quot;#,##0.00_);[Red]\(&quot;$&quot;#,##0.00\)"/>
    <numFmt numFmtId="41" formatCode="_(* #,##0_);_(* \(#,##0\);_(* &quot;-&quot;_);_(@_)"/>
    <numFmt numFmtId="44" formatCode="_(&quot;$&quot;* #,##0.00_);_(&quot;$&quot;* \(#,##0.00\);_(&quot;$&quot;* &quot;-&quot;??_);_(@_)"/>
    <numFmt numFmtId="43" formatCode="_(* #,##0.00_);_(* \(#,##0.00\);_(* &quot;-&quot;??_);_(@_)"/>
    <numFmt numFmtId="164" formatCode="_-* #,##0.00_-;\-* #,##0.00_-;_-* &quot;-&quot;??_-;_-@_-"/>
    <numFmt numFmtId="165" formatCode="#,##0.0;\(#,##0.0\)"/>
    <numFmt numFmtId="166" formatCode="dd\-mmm\-yy;@"/>
    <numFmt numFmtId="167" formatCode="0.0"/>
    <numFmt numFmtId="168" formatCode="&quot;$&quot;#,##0.00;&quot;$&quot;\(#,##0.00\)"/>
    <numFmt numFmtId="169" formatCode="#,##0.0"/>
    <numFmt numFmtId="170" formatCode="#\ ?/?;;"/>
    <numFmt numFmtId="171" formatCode="#,##0.0\ ;\(#,##0.0\);;"/>
    <numFmt numFmtId="172" formatCode="#,##0.00000;\(#,##0.00000\)"/>
    <numFmt numFmtId="173" formatCode="#,##0.0\ ;\(#,##0.0\)"/>
    <numFmt numFmtId="174" formatCode="&quot;$&quot;#,##0.00"/>
    <numFmt numFmtId="175" formatCode="_([$$-409]* #,##0.00_);_([$$-409]* \(#,##0.00\);_([$$-409]* &quot;-&quot;??_);_(@_)"/>
    <numFmt numFmtId="176" formatCode="_(* #,##0_);_(* \(#,##0\);_(* &quot;-&quot;??_);_(@_)"/>
    <numFmt numFmtId="177" formatCode="_(* #,##0.0_);_(* \(#,##0.0\);_(* &quot;-&quot;_);_(@_)"/>
    <numFmt numFmtId="178" formatCode="[$-3409]dd\ mmmm\,\ yyyy;@"/>
    <numFmt numFmtId="179" formatCode="m/d/yyyy;@"/>
    <numFmt numFmtId="180" formatCode="[$-3409]dd\-mmm\-yy;@"/>
    <numFmt numFmtId="181" formatCode="_([$Php-3409]* #,##0.00_);_([$Php-3409]* \(#,##0.00\);_([$Php-3409]* &quot;-&quot;??_);_(@_)"/>
    <numFmt numFmtId="182" formatCode="_([$Php-3409]* #,##0_);_([$Php-3409]* \(#,##0\);_([$Php-3409]* &quot;-&quot;??_);_(@_)"/>
    <numFmt numFmtId="183" formatCode="0.0000"/>
    <numFmt numFmtId="184" formatCode="&quot;Php&quot;#,##0.00"/>
    <numFmt numFmtId="185" formatCode="[$PHP]\ #,##0.00_);\([$PHP]\ #,##0.00\)"/>
    <numFmt numFmtId="186" formatCode="[$-F800]dddd\,\ mmmm\ dd\,\ yyyy"/>
    <numFmt numFmtId="187" formatCode="General_)"/>
    <numFmt numFmtId="188" formatCode="#,##0.0_);\(#,##0.0\)"/>
    <numFmt numFmtId="189" formatCode="0\ &quot;m&quot;"/>
    <numFmt numFmtId="190" formatCode="_(* #,##0.0_);_(* \(#,##0.0\);_(* &quot;-&quot;??_);_(@_)"/>
    <numFmt numFmtId="191" formatCode="0_);\(0\)"/>
    <numFmt numFmtId="192" formatCode="_(* #,##0.000_);_(* \(#,##0.000\);_(* &quot;-&quot;??_);_(@_)"/>
  </numFmts>
  <fonts count="39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000000"/>
      <name val="Calibri"/>
      <family val="2"/>
    </font>
    <font>
      <sz val="10"/>
      <color rgb="FF000000"/>
      <name val="Arial"/>
      <family val="2"/>
    </font>
    <font>
      <b/>
      <sz val="11"/>
      <color rgb="FF000000"/>
      <name val="Arial"/>
      <family val="2"/>
    </font>
    <font>
      <sz val="9"/>
      <color rgb="FF000000"/>
      <name val="Calibri"/>
      <family val="2"/>
    </font>
    <font>
      <b/>
      <sz val="12"/>
      <color rgb="FF000000"/>
      <name val="Calibri"/>
      <family val="2"/>
    </font>
    <font>
      <b/>
      <sz val="9"/>
      <color rgb="FF000000"/>
      <name val="Calibri"/>
      <family val="2"/>
    </font>
    <font>
      <sz val="11"/>
      <color rgb="FF000000"/>
      <name val="Calibri"/>
      <family val="2"/>
    </font>
    <font>
      <sz val="10"/>
      <color rgb="FF000000"/>
      <name val="Calibri"/>
      <family val="2"/>
    </font>
    <font>
      <b/>
      <sz val="14"/>
      <color rgb="FF000000"/>
      <name val="Arial"/>
      <family val="2"/>
    </font>
    <font>
      <sz val="11"/>
      <color rgb="FFFF0000"/>
      <name val="Calibri"/>
      <family val="2"/>
    </font>
    <font>
      <sz val="11"/>
      <color rgb="FF000000"/>
      <name val="Arial"/>
      <family val="2"/>
    </font>
    <font>
      <sz val="11"/>
      <color rgb="FF000000"/>
      <name val="Calibri"/>
      <family val="2"/>
    </font>
    <font>
      <sz val="10"/>
      <color rgb="FF000000"/>
      <name val="Arial"/>
      <family val="2"/>
    </font>
    <font>
      <b/>
      <sz val="11"/>
      <color rgb="FF000000"/>
      <name val="Calibri"/>
      <family val="2"/>
    </font>
    <font>
      <sz val="10"/>
      <color rgb="FF000000"/>
      <name val="Arial"/>
      <family val="2"/>
    </font>
    <font>
      <sz val="11"/>
      <color rgb="FF000000"/>
      <name val="Calibri"/>
      <family val="2"/>
    </font>
    <font>
      <sz val="7"/>
      <color rgb="FF000000"/>
      <name val="Arial"/>
      <family val="2"/>
    </font>
    <font>
      <sz val="11"/>
      <color rgb="FF000000"/>
      <name val="Calibri"/>
      <family val="2"/>
    </font>
    <font>
      <sz val="10"/>
      <color rgb="FF000000"/>
      <name val="Calibri"/>
      <family val="2"/>
    </font>
    <font>
      <b/>
      <sz val="12"/>
      <color rgb="FF000000"/>
      <name val="Arial"/>
      <family val="2"/>
    </font>
    <font>
      <sz val="10"/>
      <color rgb="FF000000"/>
      <name val="Arial"/>
      <family val="2"/>
    </font>
    <font>
      <b/>
      <sz val="10"/>
      <color rgb="FF000000"/>
      <name val="Arial"/>
      <family val="2"/>
    </font>
    <font>
      <sz val="7"/>
      <color rgb="FF000000"/>
      <name val="Arial"/>
      <family val="2"/>
    </font>
    <font>
      <sz val="10"/>
      <color rgb="FF000000"/>
      <name val="Calibri"/>
      <family val="2"/>
    </font>
    <font>
      <sz val="11"/>
      <color rgb="FF000000"/>
      <name val="Calibri"/>
      <family val="2"/>
    </font>
    <font>
      <sz val="10"/>
      <color rgb="FF000000"/>
      <name val="Calibri"/>
      <family val="2"/>
    </font>
    <font>
      <sz val="10"/>
      <color rgb="FF000000"/>
      <name val="Arial"/>
      <family val="2"/>
    </font>
    <font>
      <sz val="10"/>
      <color rgb="FF000000"/>
      <name val="Arial"/>
      <family val="2"/>
    </font>
    <font>
      <sz val="10"/>
      <color rgb="FF000000"/>
      <name val="Arial"/>
      <family val="2"/>
    </font>
    <font>
      <sz val="11"/>
      <color rgb="FF000000"/>
      <name val="Calibri"/>
      <family val="2"/>
    </font>
    <font>
      <sz val="10"/>
      <color rgb="FF000000"/>
      <name val="Arial Narrow"/>
      <family val="2"/>
    </font>
    <font>
      <b/>
      <sz val="10"/>
      <color rgb="FF000000"/>
      <name val="Arial"/>
      <family val="2"/>
    </font>
    <font>
      <sz val="12"/>
      <color rgb="FF000000"/>
      <name val="Arial"/>
      <family val="2"/>
    </font>
    <font>
      <b/>
      <sz val="8"/>
      <color rgb="FF000000"/>
      <name val="Arial"/>
      <family val="2"/>
    </font>
    <font>
      <sz val="11"/>
      <color rgb="FF000000"/>
      <name val="Arial"/>
      <family val="2"/>
    </font>
    <font>
      <b/>
      <sz val="14"/>
      <color rgb="FF000000"/>
      <name val="Arial"/>
      <family val="2"/>
    </font>
    <font>
      <sz val="11"/>
      <color rgb="FF000000"/>
      <name val="Calibri"/>
      <family val="2"/>
    </font>
    <font>
      <sz val="10"/>
      <color rgb="FF000000"/>
      <name val="Arial"/>
      <family val="2"/>
    </font>
    <font>
      <i/>
      <sz val="9"/>
      <color rgb="FF000000"/>
      <name val="Arial"/>
      <family val="2"/>
    </font>
    <font>
      <sz val="10"/>
      <color rgb="FF000000"/>
      <name val="Arial"/>
      <family val="2"/>
    </font>
    <font>
      <sz val="11"/>
      <color rgb="FF000000"/>
      <name val="Calibri"/>
      <family val="2"/>
    </font>
    <font>
      <sz val="8"/>
      <color rgb="FF000000"/>
      <name val="Arial"/>
      <family val="2"/>
    </font>
    <font>
      <sz val="11"/>
      <color rgb="FF000000"/>
      <name val="Arial"/>
      <family val="2"/>
    </font>
    <font>
      <sz val="12"/>
      <color rgb="FF000000"/>
      <name val="Arial"/>
      <family val="2"/>
    </font>
    <font>
      <b/>
      <sz val="14"/>
      <color rgb="FF000000"/>
      <name val="Arial"/>
      <family val="2"/>
    </font>
    <font>
      <sz val="10"/>
      <color rgb="FF000000"/>
      <name val="Arial"/>
      <family val="2"/>
    </font>
    <font>
      <sz val="10"/>
      <color rgb="FF000000"/>
      <name val="Calibri"/>
      <family val="2"/>
    </font>
    <font>
      <sz val="8"/>
      <color rgb="FF000000"/>
      <name val="Calibri"/>
      <family val="2"/>
    </font>
    <font>
      <b/>
      <sz val="10"/>
      <color rgb="FF000000"/>
      <name val="Tahoma"/>
      <family val="2"/>
    </font>
    <font>
      <b/>
      <sz val="12"/>
      <color rgb="FF000000"/>
      <name val="Calibri"/>
      <family val="2"/>
    </font>
    <font>
      <sz val="11"/>
      <color rgb="FF000000"/>
      <name val="Calibri"/>
      <family val="2"/>
    </font>
    <font>
      <b/>
      <sz val="14"/>
      <color rgb="FF000000"/>
      <name val="Calibri"/>
      <family val="2"/>
    </font>
    <font>
      <sz val="10"/>
      <color rgb="FF000000"/>
      <name val="Arial"/>
      <family val="2"/>
    </font>
    <font>
      <sz val="10"/>
      <color rgb="FF000000"/>
      <name val="Calibri"/>
      <family val="2"/>
    </font>
    <font>
      <b/>
      <sz val="8"/>
      <color rgb="FF000000"/>
      <name val="Arial"/>
      <family val="2"/>
    </font>
    <font>
      <b/>
      <sz val="8"/>
      <color rgb="FF000000"/>
      <name val="Arial"/>
      <family val="2"/>
    </font>
    <font>
      <b/>
      <sz val="8"/>
      <color rgb="FF000000"/>
      <name val="Arial"/>
      <family val="2"/>
    </font>
    <font>
      <sz val="11"/>
      <color rgb="FF000000"/>
      <name val="Arial"/>
      <family val="2"/>
    </font>
    <font>
      <b/>
      <sz val="10"/>
      <color rgb="FF000000"/>
      <name val="Arial"/>
      <family val="2"/>
    </font>
    <font>
      <b/>
      <sz val="8"/>
      <color rgb="FF000000"/>
      <name val="Arial"/>
      <family val="2"/>
    </font>
    <font>
      <sz val="10"/>
      <color rgb="FF000000"/>
      <name val="Arial"/>
      <family val="2"/>
    </font>
    <font>
      <sz val="11"/>
      <color rgb="FF000000"/>
      <name val="Calibri"/>
      <family val="2"/>
    </font>
    <font>
      <sz val="10"/>
      <color rgb="FF000000"/>
      <name val="Calibri"/>
      <family val="2"/>
    </font>
    <font>
      <sz val="10"/>
      <color rgb="FF000000"/>
      <name val="Arial"/>
      <family val="2"/>
    </font>
    <font>
      <sz val="10"/>
      <color rgb="FF000000"/>
      <name val="Arial"/>
      <family val="2"/>
    </font>
    <font>
      <sz val="14"/>
      <color rgb="FF000000"/>
      <name val="Calibri"/>
      <family val="2"/>
    </font>
    <font>
      <sz val="11"/>
      <color rgb="FF000000"/>
      <name val="Calibri"/>
      <family val="2"/>
    </font>
    <font>
      <sz val="11"/>
      <color rgb="FF000000"/>
      <name val="Arial"/>
      <family val="2"/>
    </font>
    <font>
      <sz val="10"/>
      <color rgb="FF000000"/>
      <name val="Arial"/>
      <family val="2"/>
    </font>
    <font>
      <sz val="11"/>
      <color rgb="FF000000"/>
      <name val="Calibri"/>
      <family val="2"/>
    </font>
    <font>
      <sz val="11"/>
      <color rgb="FF000000"/>
      <name val="Calibri"/>
      <family val="2"/>
    </font>
    <font>
      <sz val="10"/>
      <color rgb="FF000000"/>
      <name val="Calibri"/>
      <family val="2"/>
    </font>
    <font>
      <sz val="11"/>
      <color rgb="FF000000"/>
      <name val="Arial"/>
      <family val="2"/>
    </font>
    <font>
      <b/>
      <sz val="8"/>
      <color rgb="FF000000"/>
      <name val="Calibri"/>
      <family val="2"/>
    </font>
    <font>
      <sz val="8"/>
      <color rgb="FF000000"/>
      <name val="Calibri"/>
      <family val="2"/>
    </font>
    <font>
      <sz val="11"/>
      <color rgb="FF000000"/>
      <name val="Calibri"/>
      <family val="2"/>
    </font>
    <font>
      <sz val="10"/>
      <color rgb="FF000000"/>
      <name val="Arial"/>
      <family val="2"/>
    </font>
    <font>
      <sz val="10"/>
      <color rgb="FF000000"/>
      <name val="Arial"/>
      <family val="2"/>
    </font>
    <font>
      <sz val="11"/>
      <color rgb="FF000000"/>
      <name val="Calibri"/>
      <family val="2"/>
    </font>
    <font>
      <sz val="14"/>
      <color rgb="FF000000"/>
      <name val="Arial"/>
      <family val="2"/>
    </font>
    <font>
      <sz val="11"/>
      <color rgb="FF000000"/>
      <name val="Arial"/>
      <family val="2"/>
    </font>
    <font>
      <sz val="11"/>
      <color rgb="FF000000"/>
      <name val="Calibri"/>
      <family val="2"/>
    </font>
    <font>
      <b/>
      <sz val="8"/>
      <color rgb="FF000000"/>
      <name val="Arial"/>
      <family val="2"/>
    </font>
    <font>
      <sz val="10"/>
      <color rgb="FF000000"/>
      <name val="Arial"/>
      <family val="2"/>
    </font>
    <font>
      <sz val="11"/>
      <color rgb="FF000000"/>
      <name val="Calibri"/>
      <family val="2"/>
    </font>
    <font>
      <b/>
      <sz val="10"/>
      <color rgb="FF000000"/>
      <name val="Arial"/>
      <family val="2"/>
    </font>
    <font>
      <sz val="11"/>
      <color rgb="FF000000"/>
      <name val="Calibri"/>
      <family val="2"/>
    </font>
    <font>
      <sz val="10"/>
      <color rgb="FF000000"/>
      <name val="Arial"/>
      <family val="2"/>
    </font>
    <font>
      <sz val="11"/>
      <color rgb="FF000000"/>
      <name val="Calibri"/>
      <family val="2"/>
    </font>
    <font>
      <sz val="10"/>
      <color rgb="FF000000"/>
      <name val="Arial"/>
      <family val="2"/>
    </font>
    <font>
      <sz val="10"/>
      <color rgb="FF000000"/>
      <name val="Arial"/>
      <family val="2"/>
    </font>
    <font>
      <sz val="11"/>
      <color rgb="FF000000"/>
      <name val="Calibri"/>
      <family val="2"/>
    </font>
    <font>
      <sz val="10"/>
      <color rgb="FF000000"/>
      <name val="Arial"/>
      <family val="2"/>
    </font>
    <font>
      <sz val="10"/>
      <color rgb="FF000000"/>
      <name val="Arial"/>
      <family val="2"/>
    </font>
    <font>
      <sz val="10"/>
      <color rgb="FF000000"/>
      <name val="Arial"/>
      <family val="2"/>
    </font>
    <font>
      <b/>
      <sz val="8"/>
      <color rgb="FF000000"/>
      <name val="Arial"/>
      <family val="2"/>
    </font>
    <font>
      <b/>
      <sz val="10"/>
      <color rgb="FF000000"/>
      <name val="Arial"/>
      <family val="2"/>
    </font>
    <font>
      <b/>
      <sz val="10"/>
      <color rgb="FF000000"/>
      <name val="Arial"/>
      <family val="2"/>
    </font>
    <font>
      <sz val="11"/>
      <color rgb="FF000000"/>
      <name val="Calibri"/>
      <family val="2"/>
    </font>
    <font>
      <sz val="11"/>
      <color rgb="FF000000"/>
      <name val="Calibri"/>
      <family val="2"/>
    </font>
    <font>
      <sz val="10"/>
      <color rgb="FF000000"/>
      <name val="Calibri"/>
      <family val="2"/>
    </font>
    <font>
      <sz val="10"/>
      <color rgb="FF000000"/>
      <name val="Arial"/>
      <family val="2"/>
    </font>
    <font>
      <sz val="10"/>
      <color rgb="FF000000"/>
      <name val="Arial"/>
      <family val="2"/>
    </font>
    <font>
      <sz val="10"/>
      <color rgb="FF000000"/>
      <name val="Calibri"/>
      <family val="2"/>
    </font>
    <font>
      <sz val="11"/>
      <color rgb="FF000000"/>
      <name val="Calibri"/>
      <family val="2"/>
    </font>
    <font>
      <b/>
      <sz val="10"/>
      <color rgb="FF000000"/>
      <name val="Arial"/>
      <family val="2"/>
    </font>
    <font>
      <sz val="10"/>
      <color rgb="FFFF0000"/>
      <name val="Calibri"/>
      <family val="2"/>
    </font>
    <font>
      <sz val="10"/>
      <color rgb="FF000000"/>
      <name val="Calibri"/>
      <family val="2"/>
    </font>
    <font>
      <sz val="10"/>
      <color rgb="FF000000"/>
      <name val="Calibri"/>
      <family val="2"/>
    </font>
    <font>
      <b/>
      <sz val="11"/>
      <color rgb="FF000000"/>
      <name val="Calibri"/>
      <family val="2"/>
    </font>
    <font>
      <sz val="10"/>
      <color rgb="FF000000"/>
      <name val="Arial Narrow"/>
      <family val="2"/>
    </font>
    <font>
      <sz val="10"/>
      <color rgb="FF000000"/>
      <name val="Arial"/>
      <family val="2"/>
    </font>
    <font>
      <i/>
      <sz val="10"/>
      <color rgb="FF000000"/>
      <name val="Arial"/>
      <family val="2"/>
    </font>
    <font>
      <sz val="11"/>
      <color rgb="FF000000"/>
      <name val="Arial"/>
      <family val="2"/>
    </font>
    <font>
      <b/>
      <sz val="10"/>
      <color rgb="FF000000"/>
      <name val="Arial"/>
      <family val="2"/>
    </font>
    <font>
      <sz val="11"/>
      <color rgb="FF000000"/>
      <name val="Calibri"/>
      <family val="2"/>
    </font>
    <font>
      <sz val="11"/>
      <color rgb="FF000000"/>
      <name val="Arial"/>
      <family val="2"/>
    </font>
    <font>
      <sz val="10"/>
      <color rgb="FF000000"/>
      <name val="Calibri"/>
      <family val="2"/>
    </font>
    <font>
      <sz val="10"/>
      <color rgb="FF000000"/>
      <name val="Arial"/>
      <family val="2"/>
    </font>
    <font>
      <b/>
      <sz val="11"/>
      <color rgb="FF000000"/>
      <name val="Arial"/>
      <family val="2"/>
    </font>
    <font>
      <sz val="11"/>
      <color rgb="FF000000"/>
      <name val="Calibri"/>
      <family val="2"/>
    </font>
    <font>
      <sz val="11"/>
      <color rgb="FF000000"/>
      <name val="Calibri"/>
      <family val="2"/>
    </font>
    <font>
      <sz val="10"/>
      <color rgb="FF000000"/>
      <name val="Arial"/>
      <family val="2"/>
    </font>
    <font>
      <b/>
      <sz val="11"/>
      <color rgb="FF000000"/>
      <name val="Arial"/>
      <family val="2"/>
    </font>
    <font>
      <b/>
      <sz val="10"/>
      <color rgb="FFFFFFFF"/>
      <name val="Arial Narrow"/>
      <family val="2"/>
    </font>
    <font>
      <sz val="7"/>
      <color rgb="FF000000"/>
      <name val="Arial"/>
      <family val="2"/>
    </font>
    <font>
      <sz val="11"/>
      <color rgb="FF000000"/>
      <name val="Calibri"/>
      <family val="2"/>
    </font>
    <font>
      <b/>
      <sz val="10"/>
      <color rgb="FFFFFFFF"/>
      <name val="Arial Narrow"/>
      <family val="2"/>
    </font>
    <font>
      <sz val="10"/>
      <color rgb="FF000000"/>
      <name val="Arial"/>
      <family val="2"/>
    </font>
    <font>
      <sz val="10"/>
      <color rgb="FF000000"/>
      <name val="Arial Narrow"/>
      <family val="2"/>
    </font>
    <font>
      <sz val="11"/>
      <color rgb="FF000000"/>
      <name val="Calibri"/>
      <family val="2"/>
    </font>
    <font>
      <sz val="10"/>
      <color rgb="FF000000"/>
      <name val="Arial"/>
      <family val="2"/>
    </font>
    <font>
      <b/>
      <sz val="8"/>
      <color rgb="FF000000"/>
      <name val="Arial"/>
      <family val="2"/>
    </font>
    <font>
      <sz val="10"/>
      <color rgb="FF000000"/>
      <name val="Calibri"/>
      <family val="2"/>
    </font>
    <font>
      <b/>
      <sz val="11"/>
      <color rgb="FF000000"/>
      <name val="Calibri"/>
      <family val="2"/>
    </font>
    <font>
      <sz val="10"/>
      <color rgb="FF000000"/>
      <name val="Arial"/>
      <family val="2"/>
    </font>
    <font>
      <b/>
      <sz val="8"/>
      <color rgb="FF000000"/>
      <name val="Arial"/>
      <family val="2"/>
    </font>
    <font>
      <sz val="10"/>
      <color rgb="FF000000"/>
      <name val="Calibri"/>
      <family val="2"/>
    </font>
    <font>
      <sz val="10"/>
      <color rgb="FF000000"/>
      <name val="Arial"/>
      <family val="2"/>
    </font>
    <font>
      <sz val="11"/>
      <color rgb="FF000000"/>
      <name val="Arial"/>
      <family val="2"/>
    </font>
    <font>
      <sz val="11"/>
      <color rgb="FF000000"/>
      <name val="Calibri"/>
      <family val="2"/>
    </font>
    <font>
      <sz val="7"/>
      <color rgb="FF000000"/>
      <name val="Arial"/>
      <family val="2"/>
    </font>
    <font>
      <sz val="10"/>
      <color rgb="FF000000"/>
      <name val="Calibri"/>
      <family val="2"/>
    </font>
    <font>
      <b/>
      <sz val="10"/>
      <color rgb="FF000000"/>
      <name val="Arial"/>
      <family val="2"/>
    </font>
    <font>
      <b/>
      <sz val="10"/>
      <color rgb="FF000000"/>
      <name val="Arial"/>
      <family val="2"/>
    </font>
    <font>
      <sz val="10"/>
      <color rgb="FF000000"/>
      <name val="Calibri"/>
      <family val="2"/>
    </font>
    <font>
      <sz val="10"/>
      <color rgb="FF000000"/>
      <name val="Arial Narrow"/>
      <family val="2"/>
    </font>
    <font>
      <sz val="10"/>
      <color rgb="FF000000"/>
      <name val="Calibri"/>
      <family val="2"/>
    </font>
    <font>
      <sz val="10"/>
      <color rgb="FF000000"/>
      <name val="Arial"/>
      <family val="2"/>
    </font>
    <font>
      <sz val="10"/>
      <color rgb="FF000000"/>
      <name val="Arial"/>
      <family val="2"/>
    </font>
    <font>
      <i/>
      <sz val="9"/>
      <color rgb="FF000000"/>
      <name val="Arial"/>
      <family val="2"/>
    </font>
    <font>
      <sz val="11"/>
      <color rgb="FF000000"/>
      <name val="Calibri"/>
      <family val="2"/>
    </font>
    <font>
      <sz val="8"/>
      <color rgb="FF000000"/>
      <name val="Arial"/>
      <family val="2"/>
    </font>
    <font>
      <sz val="10"/>
      <color rgb="FF000000"/>
      <name val="Arial"/>
      <family val="2"/>
    </font>
    <font>
      <sz val="10"/>
      <color rgb="FF000000"/>
      <name val="Arial"/>
      <family val="2"/>
    </font>
    <font>
      <sz val="10"/>
      <color rgb="FF000000"/>
      <name val="Arial"/>
      <family val="2"/>
    </font>
    <font>
      <sz val="8"/>
      <color rgb="FF000000"/>
      <name val="Arial"/>
      <family val="2"/>
    </font>
    <font>
      <sz val="10"/>
      <color rgb="FF000000"/>
      <name val="Arial"/>
      <family val="2"/>
    </font>
    <font>
      <sz val="10"/>
      <color rgb="FF000000"/>
      <name val="Arial"/>
      <family val="2"/>
    </font>
    <font>
      <sz val="11"/>
      <color rgb="FF000000"/>
      <name val="Arial"/>
      <family val="2"/>
    </font>
    <font>
      <b/>
      <sz val="10"/>
      <color rgb="FF000000"/>
      <name val="Webdings"/>
      <family val="1"/>
      <charset val="2"/>
    </font>
    <font>
      <sz val="11"/>
      <color rgb="FF000000"/>
      <name val="Calibri"/>
      <family val="2"/>
    </font>
    <font>
      <sz val="8"/>
      <color rgb="FF000000"/>
      <name val="Arial"/>
      <family val="2"/>
    </font>
    <font>
      <sz val="10"/>
      <color rgb="FF000000"/>
      <name val="Arial"/>
      <family val="2"/>
    </font>
    <font>
      <sz val="10"/>
      <color rgb="FF000000"/>
      <name val="Arial"/>
      <family val="2"/>
    </font>
    <font>
      <b/>
      <sz val="11"/>
      <color rgb="FF000000"/>
      <name val="Calibri"/>
      <family val="2"/>
    </font>
    <font>
      <b/>
      <sz val="11"/>
      <color rgb="FF000000"/>
      <name val="Calibri"/>
      <family val="2"/>
    </font>
    <font>
      <sz val="10"/>
      <color rgb="FF000000"/>
      <name val="Arial"/>
      <family val="2"/>
    </font>
    <font>
      <sz val="10"/>
      <color rgb="FF000000"/>
      <name val="Arial"/>
      <family val="2"/>
    </font>
    <font>
      <sz val="10"/>
      <color rgb="FF000000"/>
      <name val="Arial"/>
      <family val="2"/>
    </font>
    <font>
      <sz val="10"/>
      <color rgb="FF000000"/>
      <name val="Calibri"/>
      <family val="2"/>
    </font>
    <font>
      <b/>
      <sz val="14"/>
      <color rgb="FF000000"/>
      <name val="Arial"/>
      <family val="2"/>
    </font>
    <font>
      <b/>
      <sz val="11"/>
      <color rgb="FF000000"/>
      <name val="Calibri"/>
      <family val="2"/>
    </font>
    <font>
      <sz val="10"/>
      <color rgb="FF000000"/>
      <name val="Arial Narrow"/>
      <family val="2"/>
    </font>
    <font>
      <sz val="10"/>
      <color rgb="FF000000"/>
      <name val="Calibri"/>
      <family val="2"/>
    </font>
    <font>
      <sz val="11"/>
      <color rgb="FF000000"/>
      <name val="Arial"/>
      <family val="2"/>
    </font>
    <font>
      <sz val="11"/>
      <color rgb="FF000000"/>
      <name val="Calibri"/>
      <family val="2"/>
    </font>
    <font>
      <b/>
      <sz val="11"/>
      <color rgb="FF000000"/>
      <name val="Calibri"/>
      <family val="2"/>
    </font>
    <font>
      <i/>
      <sz val="9"/>
      <color rgb="FF000000"/>
      <name val="Arial"/>
      <family val="2"/>
    </font>
    <font>
      <b/>
      <sz val="11"/>
      <color rgb="FF000000"/>
      <name val="Arial"/>
      <family val="2"/>
    </font>
    <font>
      <sz val="7"/>
      <color rgb="FF000000"/>
      <name val="Arial"/>
      <family val="2"/>
    </font>
    <font>
      <b/>
      <sz val="11"/>
      <color rgb="FF000000"/>
      <name val="Arial"/>
      <family val="2"/>
    </font>
    <font>
      <b/>
      <sz val="10"/>
      <color rgb="FF000000"/>
      <name val="Tahoma"/>
      <family val="2"/>
    </font>
    <font>
      <sz val="12"/>
      <color rgb="FF000000"/>
      <name val="Arial"/>
      <family val="2"/>
    </font>
    <font>
      <sz val="11"/>
      <color rgb="FF000000"/>
      <name val="Calibri"/>
      <family val="2"/>
    </font>
    <font>
      <sz val="11"/>
      <color rgb="FF000000"/>
      <name val="Calibri"/>
      <family val="2"/>
    </font>
    <font>
      <b/>
      <sz val="12"/>
      <color rgb="FF000000"/>
      <name val="Calibri"/>
      <family val="2"/>
    </font>
    <font>
      <b/>
      <sz val="10"/>
      <color rgb="FF000000"/>
      <name val="Arial"/>
      <family val="2"/>
    </font>
    <font>
      <sz val="11"/>
      <color rgb="FF000000"/>
      <name val="Arial"/>
      <family val="2"/>
    </font>
    <font>
      <sz val="8"/>
      <color rgb="FF000000"/>
      <name val="Arial"/>
      <family val="2"/>
    </font>
    <font>
      <sz val="11"/>
      <color rgb="FF000000"/>
      <name val="Calibri"/>
      <family val="2"/>
    </font>
    <font>
      <sz val="11"/>
      <color rgb="FF000000"/>
      <name val="Arial"/>
      <family val="2"/>
    </font>
    <font>
      <sz val="10"/>
      <color rgb="FF000000"/>
      <name val="Arial"/>
      <family val="2"/>
    </font>
    <font>
      <b/>
      <sz val="10"/>
      <color rgb="FF000000"/>
      <name val="Arial"/>
      <family val="2"/>
    </font>
    <font>
      <b/>
      <sz val="9"/>
      <color rgb="FF000000"/>
      <name val="Calibri"/>
      <family val="2"/>
    </font>
    <font>
      <sz val="11"/>
      <color rgb="FF000000"/>
      <name val="Calibri"/>
      <family val="2"/>
    </font>
    <font>
      <sz val="11"/>
      <color rgb="FF000000"/>
      <name val="Arial"/>
      <family val="2"/>
    </font>
    <font>
      <sz val="10"/>
      <color rgb="FF000000"/>
      <name val="Arial Narrow"/>
      <family val="2"/>
    </font>
    <font>
      <b/>
      <sz val="14"/>
      <color rgb="FF000000"/>
      <name val="Arial"/>
      <family val="2"/>
    </font>
    <font>
      <sz val="11"/>
      <color rgb="FF000000"/>
      <name val="Calibri"/>
      <family val="2"/>
    </font>
    <font>
      <sz val="10"/>
      <color rgb="FF000000"/>
      <name val="Calibri"/>
      <family val="2"/>
    </font>
    <font>
      <b/>
      <sz val="11"/>
      <color rgb="FF000000"/>
      <name val="Arial"/>
      <family val="2"/>
    </font>
    <font>
      <sz val="10"/>
      <color rgb="FF000000"/>
      <name val="Calibri"/>
      <family val="2"/>
    </font>
    <font>
      <sz val="10"/>
      <color rgb="FF000000"/>
      <name val="Arial"/>
      <family val="2"/>
    </font>
    <font>
      <b/>
      <sz val="9"/>
      <color rgb="FF000000"/>
      <name val="Calibri"/>
      <family val="2"/>
    </font>
    <font>
      <sz val="10"/>
      <color rgb="FF000000"/>
      <name val="Arial"/>
      <family val="2"/>
    </font>
    <font>
      <sz val="9"/>
      <color rgb="FF000000"/>
      <name val="Arial"/>
      <family val="2"/>
    </font>
    <font>
      <sz val="7"/>
      <color rgb="FF000000"/>
      <name val="Arial"/>
      <family val="2"/>
    </font>
    <font>
      <b/>
      <sz val="12"/>
      <color rgb="FF000000"/>
      <name val="Arial"/>
      <family val="2"/>
    </font>
    <font>
      <sz val="7"/>
      <color rgb="FF000000"/>
      <name val="Arial"/>
      <family val="2"/>
    </font>
    <font>
      <sz val="10"/>
      <color rgb="FF000000"/>
      <name val="Calibri"/>
      <family val="2"/>
    </font>
    <font>
      <sz val="7"/>
      <color rgb="FF000000"/>
      <name val="Arial"/>
      <family val="2"/>
    </font>
    <font>
      <sz val="11"/>
      <color rgb="FF000000"/>
      <name val="Calibri"/>
      <family val="2"/>
    </font>
    <font>
      <sz val="7"/>
      <color rgb="FF000000"/>
      <name val="Arial"/>
      <family val="2"/>
    </font>
    <font>
      <sz val="11"/>
      <color rgb="FF000000"/>
      <name val="Arial"/>
      <family val="2"/>
    </font>
    <font>
      <b/>
      <sz val="10"/>
      <color rgb="FF000000"/>
      <name val="Arial"/>
      <family val="2"/>
    </font>
    <font>
      <sz val="7"/>
      <color rgb="FF000000"/>
      <name val="Arial"/>
      <family val="2"/>
    </font>
    <font>
      <sz val="12"/>
      <color rgb="FF000000"/>
      <name val="Arial"/>
      <family val="2"/>
    </font>
    <font>
      <sz val="11"/>
      <color rgb="FF000000"/>
      <name val="Calibri"/>
      <family val="2"/>
    </font>
    <font>
      <sz val="10"/>
      <color rgb="FF000000"/>
      <name val="Arial"/>
      <family val="2"/>
    </font>
    <font>
      <b/>
      <sz val="11"/>
      <color rgb="FF000000"/>
      <name val="Calibri"/>
      <family val="2"/>
    </font>
    <font>
      <sz val="11"/>
      <color rgb="FF000000"/>
      <name val="Calibri"/>
      <family val="2"/>
    </font>
    <font>
      <b/>
      <sz val="11"/>
      <color rgb="FF000000"/>
      <name val="Arial"/>
      <family val="2"/>
    </font>
    <font>
      <sz val="11"/>
      <color rgb="FF000000"/>
      <name val="Arial"/>
      <family val="2"/>
    </font>
    <font>
      <sz val="10"/>
      <color rgb="FF000000"/>
      <name val="Arial"/>
      <family val="2"/>
    </font>
    <font>
      <sz val="10"/>
      <color rgb="FF000000"/>
      <name val="Calibri"/>
      <family val="2"/>
    </font>
    <font>
      <sz val="11"/>
      <color rgb="FF000000"/>
      <name val="Calibri"/>
      <family val="2"/>
    </font>
    <font>
      <sz val="11"/>
      <color rgb="FF000000"/>
      <name val="Calibri"/>
      <family val="2"/>
    </font>
    <font>
      <b/>
      <sz val="9"/>
      <color rgb="FF000000"/>
      <name val="Calibri"/>
      <family val="2"/>
    </font>
    <font>
      <sz val="10"/>
      <color rgb="FF000000"/>
      <name val="Arial"/>
      <family val="2"/>
    </font>
    <font>
      <sz val="11"/>
      <color rgb="FF000000"/>
      <name val="Calibri"/>
      <family val="2"/>
    </font>
    <font>
      <b/>
      <sz val="11"/>
      <color rgb="FF000000"/>
      <name val="Arial"/>
      <family val="2"/>
    </font>
    <font>
      <sz val="11"/>
      <color rgb="FF000000"/>
      <name val="Calibri"/>
      <family val="2"/>
    </font>
    <font>
      <sz val="12"/>
      <color rgb="FF000000"/>
      <name val="Arial"/>
      <family val="2"/>
    </font>
    <font>
      <sz val="10"/>
      <color rgb="FF000000"/>
      <name val="Arial Narrow"/>
      <family val="2"/>
    </font>
    <font>
      <b/>
      <sz val="10"/>
      <color rgb="FF000000"/>
      <name val="Arial"/>
      <family val="2"/>
    </font>
    <font>
      <sz val="7"/>
      <color rgb="FF000000"/>
      <name val="Arial"/>
      <family val="2"/>
    </font>
    <font>
      <sz val="10"/>
      <color rgb="FF000000"/>
      <name val="Arial"/>
      <family val="2"/>
    </font>
    <font>
      <sz val="11"/>
      <color rgb="FF000000"/>
      <name val="Calibri"/>
      <family val="2"/>
    </font>
    <font>
      <sz val="10"/>
      <color rgb="FF000000"/>
      <name val="Arial Narrow"/>
      <family val="2"/>
    </font>
    <font>
      <sz val="11"/>
      <color rgb="FF000000"/>
      <name val="Calibri"/>
      <family val="2"/>
    </font>
    <font>
      <sz val="11"/>
      <color rgb="FF000000"/>
      <name val="Calibri"/>
      <family val="2"/>
    </font>
    <font>
      <b/>
      <sz val="8"/>
      <color rgb="FF000000"/>
      <name val="Arial"/>
      <family val="2"/>
    </font>
    <font>
      <sz val="12"/>
      <color rgb="FF000000"/>
      <name val="Arial"/>
      <family val="2"/>
    </font>
    <font>
      <b/>
      <sz val="8"/>
      <color rgb="FF000000"/>
      <name val="Arial"/>
      <family val="2"/>
    </font>
    <font>
      <b/>
      <sz val="11"/>
      <color rgb="FF000000"/>
      <name val="Calibri"/>
      <family val="2"/>
    </font>
    <font>
      <sz val="10"/>
      <color rgb="FF000000"/>
      <name val="Arial"/>
      <family val="2"/>
    </font>
    <font>
      <sz val="10"/>
      <color rgb="FF000000"/>
      <name val="Arial"/>
      <family val="2"/>
    </font>
    <font>
      <sz val="11"/>
      <color rgb="FF000000"/>
      <name val="Calibri"/>
      <family val="2"/>
    </font>
    <font>
      <b/>
      <sz val="10"/>
      <color rgb="FF000000"/>
      <name val="Arial"/>
      <family val="2"/>
    </font>
    <font>
      <b/>
      <sz val="8"/>
      <color rgb="FF000000"/>
      <name val="Arial"/>
      <family val="2"/>
    </font>
    <font>
      <b/>
      <sz val="10"/>
      <color rgb="FF000000"/>
      <name val="Arial"/>
      <family val="2"/>
    </font>
    <font>
      <sz val="10"/>
      <color rgb="FF000000"/>
      <name val="Calibri"/>
      <family val="2"/>
    </font>
    <font>
      <sz val="11"/>
      <color rgb="FF000000"/>
      <name val="Calibri"/>
      <family val="2"/>
    </font>
    <font>
      <sz val="9"/>
      <color rgb="FF000000"/>
      <name val="Calibri"/>
      <family val="2"/>
    </font>
    <font>
      <sz val="7"/>
      <color rgb="FF000000"/>
      <name val="Arial"/>
      <family val="2"/>
    </font>
    <font>
      <sz val="11"/>
      <color rgb="FF000000"/>
      <name val="Arial"/>
      <family val="2"/>
    </font>
    <font>
      <sz val="10"/>
      <color rgb="FF000000"/>
      <name val="Calibri"/>
      <family val="2"/>
    </font>
    <font>
      <sz val="10"/>
      <color rgb="FF000000"/>
      <name val="Arial"/>
      <family val="2"/>
    </font>
    <font>
      <sz val="7"/>
      <color rgb="FF000000"/>
      <name val="Arial"/>
      <family val="2"/>
    </font>
    <font>
      <sz val="10"/>
      <color rgb="FF000000"/>
      <name val="Arial"/>
      <family val="2"/>
    </font>
    <font>
      <sz val="10"/>
      <color rgb="FF000000"/>
      <name val="Arial"/>
      <family val="2"/>
    </font>
    <font>
      <sz val="7"/>
      <color rgb="FF000000"/>
      <name val="Arial"/>
      <family val="2"/>
    </font>
    <font>
      <sz val="11"/>
      <color rgb="FF000000"/>
      <name val="Calibri"/>
      <family val="2"/>
    </font>
    <font>
      <b/>
      <sz val="11"/>
      <color rgb="FF000000"/>
      <name val="Calibri"/>
      <family val="2"/>
    </font>
    <font>
      <b/>
      <sz val="12"/>
      <color rgb="FF000000"/>
      <name val="Arial"/>
      <family val="2"/>
    </font>
    <font>
      <b/>
      <sz val="10"/>
      <color rgb="FFFFFFFF"/>
      <name val="Arial Narrow"/>
      <family val="2"/>
    </font>
    <font>
      <sz val="10"/>
      <color rgb="FF000000"/>
      <name val="Calibri"/>
      <family val="2"/>
    </font>
    <font>
      <sz val="10"/>
      <color rgb="FF000000"/>
      <name val="Arial"/>
      <family val="2"/>
    </font>
    <font>
      <sz val="10"/>
      <color rgb="FF000000"/>
      <name val="Arial"/>
      <family val="2"/>
    </font>
    <font>
      <sz val="7"/>
      <color rgb="FF000000"/>
      <name val="Arial"/>
      <family val="2"/>
    </font>
    <font>
      <sz val="10"/>
      <color rgb="FF000000"/>
      <name val="Arial"/>
      <family val="2"/>
    </font>
    <font>
      <sz val="10"/>
      <color rgb="FFFF0000"/>
      <name val="Arial"/>
      <family val="2"/>
    </font>
    <font>
      <sz val="10"/>
      <color rgb="FF000000"/>
      <name val="Arial"/>
      <family val="2"/>
    </font>
    <font>
      <sz val="11"/>
      <color rgb="FFFF0000"/>
      <name val="Calibri"/>
      <family val="2"/>
      <scheme val="minor"/>
    </font>
    <font>
      <b/>
      <sz val="11"/>
      <color theme="1"/>
      <name val="Calibri"/>
      <family val="2"/>
      <scheme val="minor"/>
    </font>
    <font>
      <b/>
      <sz val="12"/>
      <color theme="1"/>
      <name val="Calibri"/>
      <family val="2"/>
      <scheme val="minor"/>
    </font>
    <font>
      <sz val="11"/>
      <name val="Calibri"/>
      <family val="2"/>
      <scheme val="minor"/>
    </font>
    <font>
      <b/>
      <sz val="11"/>
      <name val="Calibri"/>
      <family val="2"/>
      <scheme val="minor"/>
    </font>
    <font>
      <b/>
      <sz val="14"/>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sz val="14"/>
      <color rgb="FFC4BD97"/>
      <name val="Calibri"/>
      <family val="2"/>
    </font>
    <font>
      <b/>
      <sz val="14"/>
      <color rgb="FFC4BD97"/>
      <name val="Calibri"/>
      <family val="2"/>
    </font>
    <font>
      <sz val="14"/>
      <color rgb="FFFFFFFF"/>
      <name val="Calibri"/>
      <family val="2"/>
    </font>
    <font>
      <b/>
      <sz val="14"/>
      <color rgb="FFFFFFFF"/>
      <name val="Calibri"/>
      <family val="2"/>
    </font>
    <font>
      <sz val="14"/>
      <color rgb="FFFF0000"/>
      <name val="Calibri"/>
      <family val="2"/>
    </font>
    <font>
      <b/>
      <u/>
      <sz val="14"/>
      <color rgb="FF000000"/>
      <name val="Calibri"/>
      <family val="2"/>
    </font>
    <font>
      <sz val="14"/>
      <name val="Calibri"/>
      <family val="2"/>
    </font>
    <font>
      <b/>
      <i/>
      <sz val="14"/>
      <color rgb="FFC4BD97"/>
      <name val="Calibri"/>
      <family val="2"/>
    </font>
    <font>
      <b/>
      <i/>
      <sz val="14"/>
      <color rgb="FF000000"/>
      <name val="Calibri"/>
      <family val="2"/>
    </font>
    <font>
      <i/>
      <sz val="14"/>
      <color rgb="FFC4BD97"/>
      <name val="Calibri"/>
      <family val="2"/>
    </font>
    <font>
      <sz val="11"/>
      <color theme="0"/>
      <name val="Calibri"/>
      <family val="2"/>
    </font>
    <font>
      <sz val="9"/>
      <color rgb="FFFF0000"/>
      <name val="Calibri"/>
      <family val="2"/>
    </font>
    <font>
      <b/>
      <sz val="20"/>
      <color rgb="FF000000"/>
      <name val="Calibri"/>
      <family val="2"/>
    </font>
    <font>
      <b/>
      <sz val="28"/>
      <color rgb="FF000000"/>
      <name val="Calibri"/>
      <family val="2"/>
    </font>
    <font>
      <b/>
      <sz val="14"/>
      <color rgb="FFFF0000"/>
      <name val="Calibri"/>
      <family val="2"/>
    </font>
    <font>
      <sz val="8"/>
      <color indexed="81"/>
      <name val="Tahoma"/>
      <family val="2"/>
    </font>
    <font>
      <b/>
      <sz val="8"/>
      <color indexed="81"/>
      <name val="Tahoma"/>
      <family val="2"/>
    </font>
    <font>
      <sz val="11"/>
      <color theme="0"/>
      <name val="Calibri"/>
      <family val="2"/>
      <scheme val="minor"/>
    </font>
    <font>
      <sz val="11"/>
      <name val="Calibri"/>
      <family val="2"/>
    </font>
    <font>
      <b/>
      <sz val="11"/>
      <name val="Calibri"/>
      <family val="2"/>
    </font>
    <font>
      <u/>
      <sz val="11"/>
      <color theme="10"/>
      <name val="Calibri"/>
      <family val="2"/>
    </font>
    <font>
      <sz val="7"/>
      <color rgb="FF000000"/>
      <name val="Calibri"/>
      <family val="2"/>
    </font>
    <font>
      <b/>
      <sz val="7"/>
      <color rgb="FF000000"/>
      <name val="Calibri"/>
      <family val="2"/>
    </font>
    <font>
      <sz val="10"/>
      <color theme="0"/>
      <name val="Arial"/>
      <family val="2"/>
    </font>
    <font>
      <sz val="9"/>
      <color theme="1"/>
      <name val="Calibri"/>
      <family val="2"/>
      <scheme val="minor"/>
    </font>
    <font>
      <sz val="15"/>
      <color theme="1"/>
      <name val="Calibri"/>
      <family val="2"/>
      <scheme val="minor"/>
    </font>
    <font>
      <sz val="12"/>
      <color theme="1"/>
      <name val="Calibri"/>
      <family val="2"/>
      <scheme val="minor"/>
    </font>
    <font>
      <sz val="14"/>
      <color theme="1"/>
      <name val="Calibri"/>
      <family val="2"/>
      <scheme val="minor"/>
    </font>
    <font>
      <sz val="10"/>
      <name val="Calibri"/>
      <family val="2"/>
      <scheme val="minor"/>
    </font>
    <font>
      <sz val="14"/>
      <color rgb="FFFF0000"/>
      <name val="Arial"/>
      <family val="2"/>
    </font>
    <font>
      <sz val="14"/>
      <color theme="0"/>
      <name val="Calibri"/>
      <family val="2"/>
    </font>
    <font>
      <sz val="11"/>
      <color indexed="8"/>
      <name val="Calibri"/>
      <family val="2"/>
    </font>
    <font>
      <sz val="11"/>
      <color indexed="8"/>
      <name val="Arial"/>
      <family val="2"/>
    </font>
    <font>
      <sz val="10"/>
      <color indexed="9"/>
      <name val="Arial"/>
      <family val="2"/>
    </font>
    <font>
      <u/>
      <sz val="11"/>
      <color indexed="12"/>
      <name val="Calibri"/>
      <family val="2"/>
    </font>
    <font>
      <u/>
      <sz val="10"/>
      <color indexed="12"/>
      <name val="Arial"/>
      <family val="2"/>
    </font>
    <font>
      <u/>
      <sz val="9.6"/>
      <color indexed="12"/>
      <name val="Times New Roman"/>
      <family val="1"/>
    </font>
    <font>
      <u/>
      <sz val="9"/>
      <color indexed="12"/>
      <name val="Arial"/>
      <family val="2"/>
    </font>
    <font>
      <sz val="10"/>
      <name val="Times New Roman"/>
      <family val="1"/>
    </font>
    <font>
      <sz val="14"/>
      <color theme="0"/>
      <name val="Calibri"/>
      <family val="2"/>
      <scheme val="minor"/>
    </font>
    <font>
      <sz val="12"/>
      <color theme="0"/>
      <name val="Calibri"/>
      <family val="2"/>
      <scheme val="minor"/>
    </font>
    <font>
      <b/>
      <sz val="14"/>
      <color theme="0"/>
      <name val="Calibri"/>
      <family val="2"/>
    </font>
    <font>
      <b/>
      <sz val="28"/>
      <color theme="0"/>
      <name val="Calibri"/>
      <family val="2"/>
    </font>
    <font>
      <b/>
      <sz val="20"/>
      <color theme="0"/>
      <name val="Calibri"/>
      <family val="2"/>
    </font>
    <font>
      <b/>
      <sz val="11"/>
      <color theme="0"/>
      <name val="Calibri"/>
      <family val="2"/>
    </font>
    <font>
      <b/>
      <sz val="10"/>
      <color theme="0"/>
      <name val="Arial"/>
      <family val="2"/>
    </font>
    <font>
      <b/>
      <sz val="14"/>
      <name val="Calibri"/>
      <family val="2"/>
    </font>
    <font>
      <b/>
      <sz val="15"/>
      <color theme="0"/>
      <name val="Calibri"/>
      <family val="2"/>
      <scheme val="minor"/>
    </font>
    <font>
      <b/>
      <sz val="15"/>
      <color theme="1"/>
      <name val="Calibri"/>
      <family val="2"/>
      <scheme val="minor"/>
    </font>
    <font>
      <b/>
      <sz val="10"/>
      <color rgb="FF000000"/>
      <name val="Calibri"/>
      <family val="2"/>
    </font>
    <font>
      <b/>
      <sz val="11"/>
      <color theme="0"/>
      <name val="Calibri"/>
      <family val="2"/>
      <scheme val="minor"/>
    </font>
    <font>
      <sz val="10"/>
      <name val="Calibri"/>
      <family val="2"/>
    </font>
    <font>
      <b/>
      <i/>
      <sz val="14"/>
      <name val="Calibri"/>
      <family val="2"/>
    </font>
    <font>
      <b/>
      <sz val="10"/>
      <name val="Calibri"/>
      <family val="2"/>
    </font>
    <font>
      <b/>
      <sz val="11"/>
      <color rgb="FFFF0000"/>
      <name val="Calibri"/>
      <family val="2"/>
    </font>
    <font>
      <sz val="11"/>
      <color theme="2"/>
      <name val="Calibri"/>
      <family val="2"/>
    </font>
    <font>
      <sz val="10"/>
      <color rgb="FF222222"/>
      <name val="Arial"/>
      <family val="2"/>
    </font>
    <font>
      <b/>
      <sz val="12"/>
      <name val="Calibri"/>
      <family val="2"/>
    </font>
    <font>
      <sz val="14"/>
      <color theme="1"/>
      <name val="Calibri"/>
      <family val="2"/>
    </font>
    <font>
      <b/>
      <sz val="14"/>
      <color theme="1"/>
      <name val="Calibri"/>
      <family val="2"/>
    </font>
    <font>
      <sz val="10"/>
      <color rgb="FF000000"/>
      <name val="Cambria"/>
      <family val="1"/>
      <scheme val="major"/>
    </font>
    <font>
      <b/>
      <u/>
      <sz val="12"/>
      <color rgb="FF000000"/>
      <name val="Arial"/>
      <family val="2"/>
    </font>
    <font>
      <sz val="10"/>
      <color theme="1"/>
      <name val="Arial"/>
      <family val="2"/>
    </font>
    <font>
      <sz val="11"/>
      <color theme="1"/>
      <name val="Calibri"/>
      <family val="2"/>
    </font>
    <font>
      <sz val="9"/>
      <color theme="1"/>
      <name val="Calibri"/>
      <family val="2"/>
    </font>
    <font>
      <i/>
      <sz val="14"/>
      <name val="Calibri"/>
      <family val="2"/>
    </font>
    <font>
      <b/>
      <sz val="12"/>
      <color theme="0"/>
      <name val="Arial"/>
      <family val="2"/>
    </font>
    <font>
      <sz val="8"/>
      <color theme="0"/>
      <name val="Arial"/>
      <family val="2"/>
    </font>
    <font>
      <b/>
      <u/>
      <sz val="10"/>
      <color rgb="FF000000"/>
      <name val="Calibri"/>
      <family val="2"/>
    </font>
    <font>
      <b/>
      <sz val="10"/>
      <color theme="0"/>
      <name val="Calibri"/>
      <family val="2"/>
    </font>
    <font>
      <b/>
      <sz val="11"/>
      <color rgb="FFFF0000"/>
      <name val="Calibri"/>
      <family val="2"/>
      <scheme val="minor"/>
    </font>
    <font>
      <b/>
      <i/>
      <sz val="10"/>
      <color rgb="FF000000"/>
      <name val="Arial"/>
      <family val="2"/>
    </font>
    <font>
      <u/>
      <sz val="10"/>
      <color theme="10"/>
      <name val="Arial"/>
      <family val="2"/>
    </font>
    <font>
      <i/>
      <sz val="14"/>
      <color rgb="FFFF0000"/>
      <name val="Calibri"/>
      <family val="2"/>
    </font>
    <font>
      <sz val="10"/>
      <color rgb="FF000000"/>
      <name val="Arial"/>
      <family val="2"/>
    </font>
    <font>
      <b/>
      <sz val="18"/>
      <color rgb="FFFF0000"/>
      <name val="Calibri"/>
      <family val="2"/>
    </font>
    <font>
      <i/>
      <sz val="9"/>
      <name val="Calibri"/>
      <family val="2"/>
      <scheme val="minor"/>
    </font>
    <font>
      <b/>
      <sz val="10"/>
      <name val="Calibri"/>
      <family val="2"/>
      <scheme val="minor"/>
    </font>
    <font>
      <b/>
      <sz val="9"/>
      <name val="Calibri"/>
      <family val="2"/>
      <scheme val="minor"/>
    </font>
    <font>
      <sz val="12"/>
      <name val="Helv"/>
    </font>
    <font>
      <b/>
      <u/>
      <sz val="11"/>
      <name val="Calibri"/>
      <family val="2"/>
      <scheme val="minor"/>
    </font>
    <font>
      <u/>
      <sz val="11"/>
      <name val="Calibri"/>
      <family val="2"/>
      <scheme val="minor"/>
    </font>
    <font>
      <u/>
      <sz val="11"/>
      <color indexed="12"/>
      <name val="Calibri"/>
      <family val="2"/>
      <scheme val="minor"/>
    </font>
    <font>
      <sz val="11"/>
      <color indexed="12"/>
      <name val="Calibri"/>
      <family val="2"/>
      <scheme val="minor"/>
    </font>
    <font>
      <sz val="11"/>
      <color indexed="8"/>
      <name val="Calibri"/>
      <family val="2"/>
      <scheme val="minor"/>
    </font>
    <font>
      <b/>
      <sz val="11"/>
      <color indexed="12"/>
      <name val="Calibri"/>
      <family val="2"/>
      <scheme val="minor"/>
    </font>
    <font>
      <b/>
      <sz val="11"/>
      <color rgb="FF0A0101"/>
      <name val="Arial"/>
      <family val="2"/>
    </font>
    <font>
      <sz val="11"/>
      <color rgb="FF000000"/>
      <name val="Calibri"/>
      <family val="2"/>
      <scheme val="minor"/>
    </font>
    <font>
      <b/>
      <sz val="10"/>
      <color theme="1"/>
      <name val="Arial"/>
      <family val="2"/>
    </font>
    <font>
      <b/>
      <sz val="10"/>
      <color theme="1"/>
      <name val="Calibri"/>
      <family val="2"/>
    </font>
    <font>
      <b/>
      <sz val="11"/>
      <color theme="1"/>
      <name val="Calibri"/>
      <family val="2"/>
    </font>
    <font>
      <sz val="12"/>
      <color rgb="FF0070C0"/>
      <name val="Calibri"/>
      <family val="2"/>
      <scheme val="minor"/>
    </font>
    <font>
      <sz val="12"/>
      <name val="Calibri"/>
      <family val="2"/>
      <scheme val="minor"/>
    </font>
    <font>
      <sz val="12"/>
      <color rgb="FFFF0000"/>
      <name val="Calibri"/>
      <family val="2"/>
      <scheme val="minor"/>
    </font>
    <font>
      <sz val="12"/>
      <color rgb="FF000000"/>
      <name val="Calibri"/>
      <family val="2"/>
    </font>
    <font>
      <sz val="10"/>
      <color rgb="FF263238"/>
      <name val="Arial"/>
      <family val="2"/>
    </font>
    <font>
      <sz val="8"/>
      <name val="Arial"/>
      <family val="2"/>
    </font>
  </fonts>
  <fills count="133">
    <fill>
      <patternFill patternType="none"/>
    </fill>
    <fill>
      <patternFill patternType="gray125"/>
    </fill>
    <fill>
      <patternFill patternType="solid">
        <fgColor rgb="FFD8D8D8"/>
        <bgColor indexed="64"/>
      </patternFill>
    </fill>
    <fill>
      <patternFill patternType="solid">
        <fgColor rgb="FFD8D8D8"/>
        <bgColor indexed="64"/>
      </patternFill>
    </fill>
    <fill>
      <patternFill patternType="solid">
        <fgColor rgb="FFFFFFFF"/>
        <bgColor indexed="64"/>
      </patternFill>
    </fill>
    <fill>
      <patternFill patternType="solid">
        <fgColor rgb="FFD8D8D8"/>
        <bgColor indexed="64"/>
      </patternFill>
    </fill>
    <fill>
      <patternFill patternType="solid">
        <fgColor rgb="FFFFFFFF"/>
        <bgColor indexed="64"/>
      </patternFill>
    </fill>
    <fill>
      <patternFill patternType="solid">
        <fgColor rgb="FF00CCFF"/>
        <bgColor indexed="64"/>
      </patternFill>
    </fill>
    <fill>
      <patternFill patternType="solid">
        <fgColor rgb="FFFFFFFF"/>
        <bgColor indexed="64"/>
      </patternFill>
    </fill>
    <fill>
      <patternFill patternType="solid">
        <fgColor rgb="FFD8D8D8"/>
        <bgColor indexed="64"/>
      </patternFill>
    </fill>
    <fill>
      <patternFill patternType="solid">
        <fgColor rgb="FFD8D8D8"/>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D8D8D8"/>
        <bgColor indexed="64"/>
      </patternFill>
    </fill>
    <fill>
      <patternFill patternType="solid">
        <fgColor rgb="FFFFFF99"/>
        <bgColor indexed="64"/>
      </patternFill>
    </fill>
    <fill>
      <patternFill patternType="solid">
        <fgColor rgb="FFFFFF99"/>
        <bgColor indexed="64"/>
      </patternFill>
    </fill>
    <fill>
      <patternFill patternType="solid">
        <fgColor rgb="FFFFFF99"/>
        <bgColor indexed="64"/>
      </patternFill>
    </fill>
    <fill>
      <patternFill patternType="solid">
        <fgColor rgb="FFFFFF99"/>
        <bgColor indexed="64"/>
      </patternFill>
    </fill>
    <fill>
      <patternFill patternType="solid">
        <fgColor rgb="FFD6E3BC"/>
        <bgColor indexed="64"/>
      </patternFill>
    </fill>
    <fill>
      <patternFill patternType="solid">
        <fgColor rgb="FFFFFF99"/>
        <bgColor indexed="64"/>
      </patternFill>
    </fill>
    <fill>
      <patternFill patternType="solid">
        <fgColor rgb="FFFFFFFF"/>
        <bgColor indexed="64"/>
      </patternFill>
    </fill>
    <fill>
      <patternFill patternType="solid">
        <fgColor rgb="FFFFFF99"/>
        <bgColor indexed="64"/>
      </patternFill>
    </fill>
    <fill>
      <patternFill patternType="solid">
        <fgColor rgb="FFD8D8D8"/>
        <bgColor indexed="64"/>
      </patternFill>
    </fill>
    <fill>
      <patternFill patternType="solid">
        <fgColor rgb="FFFFFF99"/>
        <bgColor indexed="64"/>
      </patternFill>
    </fill>
    <fill>
      <patternFill patternType="solid">
        <fgColor rgb="FFFFFFFF"/>
        <bgColor indexed="64"/>
      </patternFill>
    </fill>
    <fill>
      <patternFill patternType="solid">
        <fgColor rgb="FFD8D8D8"/>
        <bgColor indexed="64"/>
      </patternFill>
    </fill>
    <fill>
      <patternFill patternType="solid">
        <fgColor rgb="FFD6E3BC"/>
        <bgColor indexed="64"/>
      </patternFill>
    </fill>
    <fill>
      <patternFill patternType="solid">
        <fgColor rgb="FFFFFFFF"/>
        <bgColor indexed="64"/>
      </patternFill>
    </fill>
    <fill>
      <patternFill patternType="solid">
        <fgColor rgb="FF99CCFF"/>
        <bgColor indexed="64"/>
      </patternFill>
    </fill>
    <fill>
      <patternFill patternType="solid">
        <fgColor rgb="FFD8D8D8"/>
        <bgColor indexed="64"/>
      </patternFill>
    </fill>
    <fill>
      <patternFill patternType="solid">
        <fgColor rgb="FFD8D8D8"/>
        <bgColor indexed="64"/>
      </patternFill>
    </fill>
    <fill>
      <patternFill patternType="solid">
        <fgColor rgb="FF99CCFF"/>
        <bgColor indexed="64"/>
      </patternFill>
    </fill>
    <fill>
      <patternFill patternType="solid">
        <fgColor rgb="FFD8D8D8"/>
        <bgColor indexed="64"/>
      </patternFill>
    </fill>
    <fill>
      <patternFill patternType="solid">
        <fgColor rgb="FFD8D8D8"/>
        <bgColor indexed="64"/>
      </patternFill>
    </fill>
    <fill>
      <patternFill patternType="solid">
        <fgColor rgb="FFC0504D"/>
        <bgColor indexed="64"/>
      </patternFill>
    </fill>
    <fill>
      <patternFill patternType="solid">
        <fgColor rgb="FFD8D8D8"/>
        <bgColor indexed="64"/>
      </patternFill>
    </fill>
    <fill>
      <patternFill patternType="solid">
        <fgColor rgb="FFD8D8D8"/>
        <bgColor indexed="64"/>
      </patternFill>
    </fill>
    <fill>
      <patternFill patternType="solid">
        <fgColor rgb="FFC0504D"/>
        <bgColor indexed="64"/>
      </patternFill>
    </fill>
    <fill>
      <patternFill patternType="solid">
        <fgColor rgb="FFD8D8D8"/>
        <bgColor indexed="64"/>
      </patternFill>
    </fill>
    <fill>
      <patternFill patternType="solid">
        <fgColor rgb="FFD8D8D8"/>
        <bgColor indexed="64"/>
      </patternFill>
    </fill>
    <fill>
      <patternFill patternType="solid">
        <fgColor rgb="FFD8D8D8"/>
        <bgColor indexed="64"/>
      </patternFill>
    </fill>
    <fill>
      <patternFill patternType="solid">
        <fgColor rgb="FFFFFF99"/>
        <bgColor indexed="64"/>
      </patternFill>
    </fill>
    <fill>
      <patternFill patternType="solid">
        <fgColor rgb="FFD8D8D8"/>
        <bgColor indexed="64"/>
      </patternFill>
    </fill>
    <fill>
      <patternFill patternType="solid">
        <fgColor rgb="FFFFFF99"/>
        <bgColor indexed="64"/>
      </patternFill>
    </fill>
    <fill>
      <patternFill patternType="solid">
        <fgColor rgb="FFD8D8D8"/>
        <bgColor indexed="64"/>
      </patternFill>
    </fill>
    <fill>
      <patternFill patternType="solid">
        <fgColor rgb="FFFFFFFF"/>
        <bgColor indexed="64"/>
      </patternFill>
    </fill>
    <fill>
      <patternFill patternType="solid">
        <fgColor rgb="FFD8D8D8"/>
        <bgColor indexed="64"/>
      </patternFill>
    </fill>
    <fill>
      <patternFill patternType="solid">
        <fgColor rgb="FF99CCFF"/>
        <bgColor indexed="64"/>
      </patternFill>
    </fill>
    <fill>
      <patternFill patternType="solid">
        <fgColor rgb="FFFFFFFF"/>
        <bgColor indexed="64"/>
      </patternFill>
    </fill>
    <fill>
      <patternFill patternType="solid">
        <fgColor rgb="FFFFFFFF"/>
        <bgColor indexed="64"/>
      </patternFill>
    </fill>
    <fill>
      <patternFill patternType="solid">
        <fgColor rgb="FF8DB3E2"/>
        <bgColor indexed="64"/>
      </patternFill>
    </fill>
    <fill>
      <patternFill patternType="solid">
        <fgColor rgb="FFFFFFFF"/>
        <bgColor indexed="64"/>
      </patternFill>
    </fill>
    <fill>
      <patternFill patternType="solid">
        <fgColor rgb="FFFFFF99"/>
        <bgColor indexed="64"/>
      </patternFill>
    </fill>
    <fill>
      <patternFill patternType="solid">
        <fgColor rgb="FFFFFFFF"/>
        <bgColor indexed="64"/>
      </patternFill>
    </fill>
    <fill>
      <patternFill patternType="solid">
        <fgColor rgb="FF8DB3E2"/>
        <bgColor indexed="64"/>
      </patternFill>
    </fill>
    <fill>
      <patternFill patternType="solid">
        <fgColor rgb="FFD6E3BC"/>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D8D8D8"/>
        <bgColor indexed="64"/>
      </patternFill>
    </fill>
    <fill>
      <patternFill patternType="solid">
        <fgColor rgb="FFD8D8D8"/>
        <bgColor indexed="64"/>
      </patternFill>
    </fill>
    <fill>
      <patternFill patternType="solid">
        <fgColor rgb="FFD8D8D8"/>
        <bgColor indexed="64"/>
      </patternFill>
    </fill>
    <fill>
      <patternFill patternType="solid">
        <fgColor rgb="FFFFFFFF"/>
        <bgColor indexed="64"/>
      </patternFill>
    </fill>
    <fill>
      <patternFill patternType="solid">
        <fgColor rgb="FFD8D8D8"/>
        <bgColor indexed="64"/>
      </patternFill>
    </fill>
    <fill>
      <patternFill patternType="solid">
        <fgColor rgb="FFD8D8D8"/>
        <bgColor indexed="64"/>
      </patternFill>
    </fill>
    <fill>
      <patternFill patternType="solid">
        <fgColor rgb="FF99CCFF"/>
        <bgColor indexed="64"/>
      </patternFill>
    </fill>
    <fill>
      <patternFill patternType="solid">
        <fgColor rgb="FFDDD9C3"/>
        <bgColor indexed="64"/>
      </patternFill>
    </fill>
    <fill>
      <patternFill patternType="solid">
        <fgColor rgb="FFFFFFFF"/>
        <bgColor indexed="64"/>
      </patternFill>
    </fill>
    <fill>
      <patternFill patternType="solid">
        <fgColor rgb="FF00B050"/>
        <bgColor indexed="64"/>
      </patternFill>
    </fill>
    <fill>
      <patternFill patternType="solid">
        <fgColor rgb="FFD8D8D8"/>
        <bgColor indexed="64"/>
      </patternFill>
    </fill>
    <fill>
      <patternFill patternType="solid">
        <fgColor rgb="FFFFC000"/>
        <bgColor indexed="64"/>
      </patternFill>
    </fill>
    <fill>
      <patternFill patternType="solid">
        <fgColor rgb="FFFFFFFF"/>
        <bgColor indexed="64"/>
      </patternFill>
    </fill>
    <fill>
      <patternFill patternType="solid">
        <fgColor rgb="FFFFFFFF"/>
        <bgColor indexed="64"/>
      </patternFill>
    </fill>
    <fill>
      <patternFill patternType="solid">
        <fgColor rgb="FFFFFF00"/>
        <bgColor indexed="64"/>
      </patternFill>
    </fill>
    <fill>
      <patternFill patternType="solid">
        <fgColor rgb="FFD6E3BC"/>
        <bgColor indexed="64"/>
      </patternFill>
    </fill>
    <fill>
      <patternFill patternType="solid">
        <fgColor rgb="FF99CCFF"/>
        <bgColor indexed="64"/>
      </patternFill>
    </fill>
    <fill>
      <patternFill patternType="solid">
        <fgColor rgb="FFFFFFFF"/>
        <bgColor indexed="64"/>
      </patternFill>
    </fill>
    <fill>
      <patternFill patternType="solid">
        <fgColor rgb="FFD8D8D8"/>
        <bgColor indexed="64"/>
      </patternFill>
    </fill>
    <fill>
      <patternFill patternType="solid">
        <fgColor rgb="FFFFFFFF"/>
        <bgColor indexed="64"/>
      </patternFill>
    </fill>
    <fill>
      <patternFill patternType="solid">
        <fgColor rgb="FFD8D8D8"/>
        <bgColor indexed="64"/>
      </patternFill>
    </fill>
    <fill>
      <patternFill patternType="solid">
        <fgColor rgb="FFFFFF99"/>
        <bgColor indexed="64"/>
      </patternFill>
    </fill>
    <fill>
      <patternFill patternType="solid">
        <fgColor rgb="FFFFFFFF"/>
        <bgColor indexed="64"/>
      </patternFill>
    </fill>
    <fill>
      <patternFill patternType="solid">
        <fgColor rgb="FFFF0000"/>
        <bgColor indexed="64"/>
      </patternFill>
    </fill>
    <fill>
      <patternFill patternType="solid">
        <fgColor rgb="FFD8D8D8"/>
        <bgColor indexed="64"/>
      </patternFill>
    </fill>
    <fill>
      <patternFill patternType="solid">
        <fgColor rgb="FFFFFFFF"/>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5B3D7"/>
        <bgColor indexed="64"/>
      </patternFill>
    </fill>
    <fill>
      <patternFill patternType="solid">
        <fgColor theme="1"/>
        <bgColor indexed="64"/>
      </patternFill>
    </fill>
    <fill>
      <patternFill patternType="solid">
        <fgColor theme="2"/>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3" tint="0.39997558519241921"/>
        <bgColor indexed="64"/>
      </patternFill>
    </fill>
    <fill>
      <patternFill patternType="solid">
        <fgColor theme="5"/>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theme="7" tint="-0.249977111117893"/>
        <bgColor indexed="64"/>
      </patternFill>
    </fill>
    <fill>
      <patternFill patternType="solid">
        <fgColor theme="7"/>
        <bgColor indexed="64"/>
      </patternFill>
    </fill>
    <fill>
      <patternFill patternType="solid">
        <fgColor theme="6" tint="0.79998168889431442"/>
        <bgColor indexed="64"/>
      </patternFill>
    </fill>
    <fill>
      <patternFill patternType="solid">
        <fgColor theme="1" tint="0.14999847407452621"/>
        <bgColor indexed="64"/>
      </patternFill>
    </fill>
    <fill>
      <patternFill patternType="solid">
        <fgColor rgb="FF0070C0"/>
        <bgColor indexed="64"/>
      </patternFill>
    </fill>
    <fill>
      <patternFill patternType="solid">
        <fgColor rgb="FF00B0F0"/>
        <bgColor indexed="64"/>
      </patternFill>
    </fill>
    <fill>
      <patternFill patternType="solid">
        <fgColor rgb="FFFDE9D9"/>
        <bgColor indexed="64"/>
      </patternFill>
    </fill>
    <fill>
      <patternFill patternType="solid">
        <fgColor rgb="FFDBEEF3"/>
        <bgColor indexed="64"/>
      </patternFill>
    </fill>
    <fill>
      <patternFill patternType="solid">
        <fgColor rgb="FFD7E4BC"/>
        <bgColor indexed="64"/>
      </patternFill>
    </fill>
    <fill>
      <patternFill patternType="solid">
        <fgColor rgb="FFE5E0EC"/>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indexed="44"/>
        <bgColor indexed="64"/>
      </patternFill>
    </fill>
    <fill>
      <patternFill patternType="solid">
        <fgColor indexed="13"/>
        <bgColor indexed="64"/>
      </patternFill>
    </fill>
    <fill>
      <patternFill patternType="solid">
        <fgColor indexed="22"/>
        <bgColor indexed="64"/>
      </patternFill>
    </fill>
    <fill>
      <patternFill patternType="solid">
        <fgColor theme="4" tint="0.79998168889431442"/>
        <bgColor theme="4" tint="0.79998168889431442"/>
      </patternFill>
    </fill>
    <fill>
      <patternFill patternType="solid">
        <fgColor theme="0" tint="-4.9989318521683403E-2"/>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0" tint="-0.34998626667073579"/>
        <bgColor indexed="64"/>
      </patternFill>
    </fill>
    <fill>
      <patternFill patternType="solid">
        <fgColor indexed="40"/>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4" tint="0.59999389629810485"/>
        <bgColor theme="4" tint="0.59999389629810485"/>
      </patternFill>
    </fill>
  </fills>
  <borders count="326">
    <border>
      <left/>
      <right/>
      <top/>
      <bottom/>
      <diagonal/>
    </border>
    <border>
      <left style="medium">
        <color rgb="FF7F7F7F"/>
      </left>
      <right style="thin">
        <color rgb="FF7F7F7F"/>
      </right>
      <top style="medium">
        <color rgb="FF7F7F7F"/>
      </top>
      <bottom style="medium">
        <color rgb="FF7F7F7F"/>
      </bottom>
      <diagonal/>
    </border>
    <border>
      <left style="thin">
        <color auto="1"/>
      </left>
      <right style="medium">
        <color auto="1"/>
      </right>
      <top style="thin">
        <color auto="1"/>
      </top>
      <bottom style="thin">
        <color auto="1"/>
      </bottom>
      <diagonal/>
    </border>
    <border>
      <left/>
      <right/>
      <top style="medium">
        <color auto="1"/>
      </top>
      <bottom/>
      <diagonal/>
    </border>
    <border>
      <left style="medium">
        <color rgb="FF7F7F7F"/>
      </left>
      <right/>
      <top style="medium">
        <color rgb="FF7F7F7F"/>
      </top>
      <bottom style="medium">
        <color rgb="FF7F7F7F"/>
      </bottom>
      <diagonal/>
    </border>
    <border>
      <left/>
      <right style="medium">
        <color auto="1"/>
      </right>
      <top/>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style="medium">
        <color rgb="FF7F7F7F"/>
      </right>
      <top style="thin">
        <color rgb="FF7F7F7F"/>
      </top>
      <bottom style="thin">
        <color rgb="FF7F7F7F"/>
      </bottom>
      <diagonal/>
    </border>
    <border>
      <left style="thin">
        <color auto="1"/>
      </left>
      <right/>
      <top style="thin">
        <color auto="1"/>
      </top>
      <bottom/>
      <diagonal/>
    </border>
    <border>
      <left/>
      <right/>
      <top/>
      <bottom style="thin">
        <color auto="1"/>
      </bottom>
      <diagonal/>
    </border>
    <border>
      <left style="thin">
        <color auto="1"/>
      </left>
      <right style="thin">
        <color auto="1"/>
      </right>
      <top style="thin">
        <color auto="1"/>
      </top>
      <bottom style="thin">
        <color auto="1"/>
      </bottom>
      <diagonal/>
    </border>
    <border>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right/>
      <top style="medium">
        <color auto="1"/>
      </top>
      <bottom style="thin">
        <color auto="1"/>
      </bottom>
      <diagonal/>
    </border>
    <border>
      <left style="medium">
        <color rgb="FF7F7F7F"/>
      </left>
      <right style="thin">
        <color rgb="FF7F7F7F"/>
      </right>
      <top style="thin">
        <color rgb="FF7F7F7F"/>
      </top>
      <bottom style="thin">
        <color rgb="FF7F7F7F"/>
      </bottom>
      <diagonal/>
    </border>
    <border>
      <left style="thin">
        <color auto="1"/>
      </left>
      <right style="medium">
        <color auto="1"/>
      </right>
      <top style="thin">
        <color auto="1"/>
      </top>
      <bottom style="thin">
        <color auto="1"/>
      </bottom>
      <diagonal/>
    </border>
    <border>
      <left style="thin">
        <color auto="1"/>
      </left>
      <right/>
      <top style="thin">
        <color auto="1"/>
      </top>
      <bottom/>
      <diagonal/>
    </border>
    <border>
      <left style="thin">
        <color auto="1"/>
      </left>
      <right style="thin">
        <color auto="1"/>
      </right>
      <top/>
      <bottom/>
      <diagonal/>
    </border>
    <border>
      <left style="medium">
        <color auto="1"/>
      </left>
      <right style="thin">
        <color auto="1"/>
      </right>
      <top style="thin">
        <color auto="1"/>
      </top>
      <bottom style="medium">
        <color auto="1"/>
      </bottom>
      <diagonal/>
    </border>
    <border>
      <left/>
      <right style="thin">
        <color auto="1"/>
      </right>
      <top/>
      <bottom/>
      <diagonal/>
    </border>
    <border>
      <left style="medium">
        <color auto="1"/>
      </left>
      <right/>
      <top/>
      <bottom/>
      <diagonal/>
    </border>
    <border>
      <left style="thin">
        <color auto="1"/>
      </left>
      <right/>
      <top/>
      <bottom/>
      <diagonal/>
    </border>
    <border>
      <left/>
      <right style="thin">
        <color rgb="FF7F7F7F"/>
      </right>
      <top style="medium">
        <color rgb="FF7F7F7F"/>
      </top>
      <bottom style="medium">
        <color rgb="FF7F7F7F"/>
      </bottom>
      <diagonal/>
    </border>
    <border>
      <left style="medium">
        <color auto="1"/>
      </left>
      <right style="thin">
        <color auto="1"/>
      </right>
      <top style="medium">
        <color auto="1"/>
      </top>
      <bottom style="medium">
        <color auto="1"/>
      </bottom>
      <diagonal/>
    </border>
    <border>
      <left/>
      <right/>
      <top style="thin">
        <color auto="1"/>
      </top>
      <bottom style="thin">
        <color auto="1"/>
      </bottom>
      <diagonal/>
    </border>
    <border>
      <left style="thin">
        <color auto="1"/>
      </left>
      <right style="thin">
        <color auto="1"/>
      </right>
      <top/>
      <bottom/>
      <diagonal/>
    </border>
    <border>
      <left/>
      <right style="thin">
        <color auto="1"/>
      </right>
      <top style="thin">
        <color auto="1"/>
      </top>
      <bottom/>
      <diagonal/>
    </border>
    <border>
      <left style="medium">
        <color auto="1"/>
      </left>
      <right style="medium">
        <color auto="1"/>
      </right>
      <top/>
      <bottom/>
      <diagonal/>
    </border>
    <border>
      <left style="medium">
        <color auto="1"/>
      </left>
      <right/>
      <top/>
      <bottom/>
      <diagonal/>
    </border>
    <border>
      <left/>
      <right style="medium">
        <color rgb="FF7F7F7F"/>
      </right>
      <top style="medium">
        <color rgb="FF7F7F7F"/>
      </top>
      <bottom style="medium">
        <color rgb="FF7F7F7F"/>
      </bottom>
      <diagonal/>
    </border>
    <border>
      <left/>
      <right/>
      <top/>
      <bottom style="thin">
        <color auto="1"/>
      </bottom>
      <diagonal/>
    </border>
    <border>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top/>
      <bottom style="medium">
        <color auto="1"/>
      </bottom>
      <diagonal/>
    </border>
    <border>
      <left style="thin">
        <color auto="1"/>
      </left>
      <right/>
      <top/>
      <bottom/>
      <diagonal/>
    </border>
    <border>
      <left style="thin">
        <color auto="1"/>
      </left>
      <right style="thin">
        <color auto="1"/>
      </right>
      <top style="medium">
        <color auto="1"/>
      </top>
      <bottom style="thin">
        <color auto="1"/>
      </bottom>
      <diagonal/>
    </border>
    <border>
      <left style="medium">
        <color auto="1"/>
      </left>
      <right style="thin">
        <color auto="1"/>
      </right>
      <top/>
      <bottom style="thin">
        <color auto="1"/>
      </bottom>
      <diagonal/>
    </border>
    <border>
      <left style="thin">
        <color auto="1"/>
      </left>
      <right style="medium">
        <color auto="1"/>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rgb="FF7F7F7F"/>
      </left>
      <right/>
      <top style="medium">
        <color rgb="FF7F7F7F"/>
      </top>
      <bottom style="medium">
        <color rgb="FF7F7F7F"/>
      </bottom>
      <diagonal/>
    </border>
    <border>
      <left/>
      <right style="medium">
        <color auto="1"/>
      </right>
      <top style="thin">
        <color auto="1"/>
      </top>
      <bottom style="thin">
        <color auto="1"/>
      </bottom>
      <diagonal/>
    </border>
    <border>
      <left/>
      <right/>
      <top/>
      <bottom style="medium">
        <color auto="1"/>
      </bottom>
      <diagonal/>
    </border>
    <border>
      <left style="thin">
        <color auto="1"/>
      </left>
      <right style="medium">
        <color rgb="FF7F7F7F"/>
      </right>
      <top style="medium">
        <color rgb="FF7F7F7F"/>
      </top>
      <bottom style="thin">
        <color rgb="FF7F7F7F"/>
      </bottom>
      <diagonal/>
    </border>
    <border>
      <left/>
      <right style="thin">
        <color auto="1"/>
      </right>
      <top style="medium">
        <color auto="1"/>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top style="thin">
        <color auto="1"/>
      </top>
      <bottom/>
      <diagonal/>
    </border>
    <border>
      <left style="thin">
        <color auto="1"/>
      </left>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top/>
      <bottom/>
      <diagonal/>
    </border>
    <border>
      <left style="medium">
        <color auto="1"/>
      </left>
      <right/>
      <top style="medium">
        <color auto="1"/>
      </top>
      <bottom style="medium">
        <color auto="1"/>
      </bottom>
      <diagonal/>
    </border>
    <border>
      <left style="medium">
        <color auto="1"/>
      </left>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right/>
      <top/>
      <bottom style="thin">
        <color auto="1"/>
      </bottom>
      <diagonal/>
    </border>
    <border>
      <left style="medium">
        <color auto="1"/>
      </left>
      <right style="thin">
        <color auto="1"/>
      </right>
      <top style="thin">
        <color auto="1"/>
      </top>
      <bottom/>
      <diagonal/>
    </border>
    <border>
      <left style="medium">
        <color rgb="FF7F7F7F"/>
      </left>
      <right style="medium">
        <color rgb="FF7F7F7F"/>
      </right>
      <top style="thin">
        <color rgb="FF7F7F7F"/>
      </top>
      <bottom style="thin">
        <color rgb="FF7F7F7F"/>
      </bottom>
      <diagonal/>
    </border>
    <border>
      <left/>
      <right style="medium">
        <color auto="1"/>
      </right>
      <top/>
      <bottom/>
      <diagonal/>
    </border>
    <border>
      <left/>
      <right/>
      <top style="medium">
        <color rgb="FF7F7F7F"/>
      </top>
      <bottom style="medium">
        <color rgb="FF7F7F7F"/>
      </bottom>
      <diagonal/>
    </border>
    <border>
      <left/>
      <right/>
      <top/>
      <bottom style="medium">
        <color rgb="FF7F7F7F"/>
      </bottom>
      <diagonal/>
    </border>
    <border>
      <left/>
      <right/>
      <top/>
      <bottom style="thin">
        <color auto="1"/>
      </bottom>
      <diagonal/>
    </border>
    <border>
      <left/>
      <right style="medium">
        <color auto="1"/>
      </right>
      <top style="medium">
        <color auto="1"/>
      </top>
      <bottom/>
      <diagonal/>
    </border>
    <border>
      <left style="medium">
        <color auto="1"/>
      </left>
      <right/>
      <top/>
      <bottom/>
      <diagonal/>
    </border>
    <border>
      <left style="thin">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medium">
        <color auto="1"/>
      </left>
      <right/>
      <top/>
      <bottom/>
      <diagonal/>
    </border>
    <border>
      <left style="thin">
        <color rgb="FF7F7F7F"/>
      </left>
      <right style="thin">
        <color rgb="FF7F7F7F"/>
      </right>
      <top style="medium">
        <color rgb="FF7F7F7F"/>
      </top>
      <bottom style="medium">
        <color rgb="FF7F7F7F"/>
      </bottom>
      <diagonal/>
    </border>
    <border>
      <left style="medium">
        <color rgb="FF7F7F7F"/>
      </left>
      <right style="thin">
        <color rgb="FF7F7F7F"/>
      </right>
      <top style="medium">
        <color rgb="FF7F7F7F"/>
      </top>
      <bottom style="thin">
        <color rgb="FF7F7F7F"/>
      </bottom>
      <diagonal/>
    </border>
    <border>
      <left style="thin">
        <color auto="1"/>
      </left>
      <right/>
      <top style="thin">
        <color auto="1"/>
      </top>
      <bottom style="thin">
        <color auto="1"/>
      </bottom>
      <diagonal/>
    </border>
    <border>
      <left/>
      <right style="medium">
        <color rgb="FF7F7F7F"/>
      </right>
      <top style="medium">
        <color rgb="FF7F7F7F"/>
      </top>
      <bottom style="medium">
        <color rgb="FF7F7F7F"/>
      </bottom>
      <diagonal/>
    </border>
    <border>
      <left style="medium">
        <color auto="1"/>
      </left>
      <right/>
      <top/>
      <bottom style="thin">
        <color auto="1"/>
      </bottom>
      <diagonal/>
    </border>
    <border>
      <left/>
      <right/>
      <top style="medium">
        <color auto="1"/>
      </top>
      <bottom/>
      <diagonal/>
    </border>
    <border>
      <left/>
      <right/>
      <top style="thin">
        <color auto="1"/>
      </top>
      <bottom style="thin">
        <color auto="1"/>
      </bottom>
      <diagonal/>
    </border>
    <border>
      <left/>
      <right/>
      <top style="thin">
        <color auto="1"/>
      </top>
      <bottom/>
      <diagonal/>
    </border>
    <border>
      <left style="thin">
        <color auto="1"/>
      </left>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thin">
        <color auto="1"/>
      </top>
      <bottom/>
      <diagonal/>
    </border>
    <border>
      <left/>
      <right/>
      <top/>
      <bottom style="thin">
        <color auto="1"/>
      </bottom>
      <diagonal/>
    </border>
    <border>
      <left style="thin">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thin">
        <color auto="1"/>
      </left>
      <right style="medium">
        <color auto="1"/>
      </right>
      <top/>
      <bottom style="thin">
        <color auto="1"/>
      </bottom>
      <diagonal/>
    </border>
    <border>
      <left style="thin">
        <color auto="1"/>
      </left>
      <right style="thin">
        <color auto="1"/>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bottom style="thin">
        <color auto="1"/>
      </bottom>
      <diagonal/>
    </border>
    <border>
      <left style="medium">
        <color auto="1"/>
      </left>
      <right/>
      <top style="medium">
        <color auto="1"/>
      </top>
      <bottom style="medium">
        <color auto="1"/>
      </bottom>
      <diagonal/>
    </border>
    <border>
      <left style="thin">
        <color auto="1"/>
      </left>
      <right style="medium">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diagonal/>
    </border>
    <border>
      <left style="medium">
        <color auto="1"/>
      </left>
      <right style="medium">
        <color auto="1"/>
      </right>
      <top style="thin">
        <color auto="1"/>
      </top>
      <bottom style="medium">
        <color auto="1"/>
      </bottom>
      <diagonal/>
    </border>
    <border>
      <left style="medium">
        <color auto="1"/>
      </left>
      <right/>
      <top/>
      <bottom/>
      <diagonal/>
    </border>
    <border>
      <left/>
      <right style="thin">
        <color auto="1"/>
      </right>
      <top/>
      <bottom/>
      <diagonal/>
    </border>
    <border>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top/>
      <bottom/>
      <diagonal/>
    </border>
    <border>
      <left/>
      <right style="thin">
        <color auto="1"/>
      </right>
      <top style="thin">
        <color auto="1"/>
      </top>
      <bottom style="medium">
        <color auto="1"/>
      </bottom>
      <diagonal/>
    </border>
    <border>
      <left style="thin">
        <color auto="1"/>
      </left>
      <right/>
      <top/>
      <bottom/>
      <diagonal/>
    </border>
    <border>
      <left/>
      <right/>
      <top style="medium">
        <color auto="1"/>
      </top>
      <bottom/>
      <diagonal/>
    </border>
    <border>
      <left/>
      <right style="medium">
        <color auto="1"/>
      </right>
      <top/>
      <bottom/>
      <diagonal/>
    </border>
    <border>
      <left/>
      <right/>
      <top style="medium">
        <color auto="1"/>
      </top>
      <bottom/>
      <diagonal/>
    </border>
    <border>
      <left/>
      <right style="thin">
        <color auto="1"/>
      </right>
      <top style="thin">
        <color auto="1"/>
      </top>
      <bottom style="thin">
        <color auto="1"/>
      </bottom>
      <diagonal/>
    </border>
    <border>
      <left/>
      <right/>
      <top style="thin">
        <color auto="1"/>
      </top>
      <bottom/>
      <diagonal/>
    </border>
    <border>
      <left style="thin">
        <color auto="1"/>
      </left>
      <right/>
      <top/>
      <bottom/>
      <diagonal/>
    </border>
    <border>
      <left style="thin">
        <color auto="1"/>
      </left>
      <right/>
      <top/>
      <bottom/>
      <diagonal/>
    </border>
    <border>
      <left/>
      <right style="medium">
        <color auto="1"/>
      </right>
      <top/>
      <bottom/>
      <diagonal/>
    </border>
    <border>
      <left/>
      <right/>
      <top style="thin">
        <color auto="1"/>
      </top>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medium">
        <color auto="1"/>
      </left>
      <right/>
      <top/>
      <bottom style="thin">
        <color auto="1"/>
      </bottom>
      <diagonal/>
    </border>
    <border>
      <left style="thin">
        <color auto="1"/>
      </left>
      <right style="thin">
        <color auto="1"/>
      </right>
      <top/>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bottom style="thin">
        <color auto="1"/>
      </bottom>
      <diagonal/>
    </border>
    <border>
      <left style="medium">
        <color rgb="FF7F7F7F"/>
      </left>
      <right style="medium">
        <color rgb="FF7F7F7F"/>
      </right>
      <top style="medium">
        <color rgb="FF7F7F7F"/>
      </top>
      <bottom style="medium">
        <color rgb="FF7F7F7F"/>
      </bottom>
      <diagonal/>
    </border>
    <border>
      <left style="thin">
        <color auto="1"/>
      </left>
      <right style="thin">
        <color auto="1"/>
      </right>
      <top style="medium">
        <color rgb="FF7F7F7F"/>
      </top>
      <bottom style="thin">
        <color auto="1"/>
      </bottom>
      <diagonal/>
    </border>
    <border>
      <left/>
      <right/>
      <top/>
      <bottom style="medium">
        <color auto="1"/>
      </bottom>
      <diagonal/>
    </border>
    <border>
      <left/>
      <right/>
      <top style="thin">
        <color auto="1"/>
      </top>
      <bottom/>
      <diagonal/>
    </border>
    <border>
      <left style="medium">
        <color rgb="FF7F7F7F"/>
      </left>
      <right style="medium">
        <color rgb="FF7F7F7F"/>
      </right>
      <top style="medium">
        <color rgb="FF7F7F7F"/>
      </top>
      <bottom style="thin">
        <color rgb="FF7F7F7F"/>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medium">
        <color auto="1"/>
      </top>
      <bottom/>
      <diagonal/>
    </border>
    <border>
      <left/>
      <right/>
      <top style="thin">
        <color auto="1"/>
      </top>
      <bottom/>
      <diagonal/>
    </border>
    <border>
      <left style="thin">
        <color auto="1"/>
      </left>
      <right/>
      <top/>
      <bottom/>
      <diagonal/>
    </border>
    <border>
      <left/>
      <right style="thin">
        <color auto="1"/>
      </right>
      <top/>
      <bottom/>
      <diagonal/>
    </border>
    <border>
      <left/>
      <right/>
      <top/>
      <bottom style="thin">
        <color auto="1"/>
      </bottom>
      <diagonal/>
    </border>
    <border>
      <left/>
      <right/>
      <top/>
      <bottom style="thin">
        <color auto="1"/>
      </bottom>
      <diagonal/>
    </border>
    <border>
      <left style="thin">
        <color rgb="FF7F7F7F"/>
      </left>
      <right style="medium">
        <color rgb="FF7F7F7F"/>
      </right>
      <top style="medium">
        <color rgb="FF7F7F7F"/>
      </top>
      <bottom style="medium">
        <color rgb="FF7F7F7F"/>
      </bottom>
      <diagonal/>
    </border>
    <border>
      <left style="thin">
        <color auto="1"/>
      </left>
      <right/>
      <top/>
      <bottom/>
      <diagonal/>
    </border>
    <border>
      <left/>
      <right style="medium">
        <color auto="1"/>
      </right>
      <top style="medium">
        <color auto="1"/>
      </top>
      <bottom style="medium">
        <color auto="1"/>
      </bottom>
      <diagonal/>
    </border>
    <border>
      <left style="medium">
        <color auto="1"/>
      </left>
      <right/>
      <top/>
      <bottom/>
      <diagonal/>
    </border>
    <border>
      <left/>
      <right style="thin">
        <color auto="1"/>
      </right>
      <top/>
      <bottom/>
      <diagonal/>
    </border>
    <border>
      <left style="thin">
        <color auto="1"/>
      </left>
      <right/>
      <top/>
      <bottom/>
      <diagonal/>
    </border>
    <border>
      <left/>
      <right style="thin">
        <color auto="1"/>
      </right>
      <top/>
      <bottom/>
      <diagonal/>
    </border>
    <border>
      <left style="thin">
        <color rgb="FF7F7F7F"/>
      </left>
      <right style="medium">
        <color rgb="FF7F7F7F"/>
      </right>
      <top style="medium">
        <color rgb="FF7F7F7F"/>
      </top>
      <bottom style="thin">
        <color rgb="FF7F7F7F"/>
      </bottom>
      <diagonal/>
    </border>
    <border>
      <left style="thin">
        <color auto="1"/>
      </left>
      <right/>
      <top/>
      <bottom style="medium">
        <color auto="1"/>
      </bottom>
      <diagonal/>
    </border>
    <border>
      <left/>
      <right/>
      <top/>
      <bottom style="thin">
        <color auto="1"/>
      </bottom>
      <diagonal/>
    </border>
    <border>
      <left style="thin">
        <color rgb="FF7F7F7F"/>
      </left>
      <right style="medium">
        <color rgb="FF7F7F7F"/>
      </right>
      <top style="thin">
        <color rgb="FF7F7F7F"/>
      </top>
      <bottom style="thin">
        <color rgb="FF7F7F7F"/>
      </bottom>
      <diagonal/>
    </border>
    <border>
      <left/>
      <right/>
      <top style="medium">
        <color auto="1"/>
      </top>
      <bottom/>
      <diagonal/>
    </border>
    <border>
      <left style="thin">
        <color auto="1"/>
      </left>
      <right style="thin">
        <color auto="1"/>
      </right>
      <top style="thin">
        <color auto="1"/>
      </top>
      <bottom style="thin">
        <color auto="1"/>
      </bottom>
      <diagonal/>
    </border>
    <border>
      <left/>
      <right/>
      <top/>
      <bottom style="medium">
        <color auto="1"/>
      </bottom>
      <diagonal/>
    </border>
    <border>
      <left style="thin">
        <color auto="1"/>
      </left>
      <right/>
      <top style="thin">
        <color auto="1"/>
      </top>
      <bottom style="medium">
        <color auto="1"/>
      </bottom>
      <diagonal/>
    </border>
    <border>
      <left style="thin">
        <color auto="1"/>
      </left>
      <right style="medium">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style="thin">
        <color auto="1"/>
      </top>
      <bottom style="thin">
        <color auto="1"/>
      </bottom>
      <diagonal/>
    </border>
    <border>
      <left/>
      <right style="thin">
        <color auto="1"/>
      </right>
      <top/>
      <bottom/>
      <diagonal/>
    </border>
    <border>
      <left/>
      <right/>
      <top/>
      <bottom style="medium">
        <color auto="1"/>
      </bottom>
      <diagonal/>
    </border>
    <border>
      <left/>
      <right/>
      <top style="thin">
        <color auto="1"/>
      </top>
      <bottom/>
      <diagonal/>
    </border>
    <border>
      <left/>
      <right style="thin">
        <color auto="1"/>
      </right>
      <top/>
      <bottom style="medium">
        <color auto="1"/>
      </bottom>
      <diagonal/>
    </border>
    <border>
      <left style="medium">
        <color auto="1"/>
      </left>
      <right/>
      <top/>
      <bottom style="thin">
        <color auto="1"/>
      </bottom>
      <diagonal/>
    </border>
    <border>
      <left/>
      <right style="thin">
        <color auto="1"/>
      </right>
      <top style="thin">
        <color auto="1"/>
      </top>
      <bottom style="thin">
        <color auto="1"/>
      </bottom>
      <diagonal/>
    </border>
    <border>
      <left/>
      <right/>
      <top style="medium">
        <color auto="1"/>
      </top>
      <bottom/>
      <diagonal/>
    </border>
    <border>
      <left style="medium">
        <color rgb="FF7F7F7F"/>
      </left>
      <right/>
      <top style="medium">
        <color rgb="FF7F7F7F"/>
      </top>
      <bottom style="medium">
        <color rgb="FF7F7F7F"/>
      </bottom>
      <diagonal/>
    </border>
    <border>
      <left style="medium">
        <color auto="1"/>
      </left>
      <right style="thin">
        <color auto="1"/>
      </right>
      <top/>
      <bottom/>
      <diagonal/>
    </border>
    <border>
      <left/>
      <right/>
      <top style="medium">
        <color auto="1"/>
      </top>
      <bottom/>
      <diagonal/>
    </border>
    <border>
      <left/>
      <right style="medium">
        <color auto="1"/>
      </right>
      <top style="medium">
        <color auto="1"/>
      </top>
      <bottom style="thin">
        <color auto="1"/>
      </bottom>
      <diagonal/>
    </border>
    <border>
      <left style="medium">
        <color auto="1"/>
      </left>
      <right style="medium">
        <color auto="1"/>
      </right>
      <top style="medium">
        <color auto="1"/>
      </top>
      <bottom style="medium">
        <color auto="1"/>
      </bottom>
      <diagonal/>
    </border>
    <border>
      <left style="thin">
        <color auto="1"/>
      </left>
      <right style="medium">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medium">
        <color auto="1"/>
      </right>
      <top style="thin">
        <color auto="1"/>
      </top>
      <bottom style="thin">
        <color auto="1"/>
      </bottom>
      <diagonal/>
    </border>
    <border>
      <left/>
      <right/>
      <top style="thin">
        <color auto="1"/>
      </top>
      <bottom/>
      <diagonal/>
    </border>
    <border>
      <left style="thin">
        <color auto="1"/>
      </left>
      <right style="medium">
        <color auto="1"/>
      </right>
      <top style="thin">
        <color auto="1"/>
      </top>
      <bottom/>
      <diagonal/>
    </border>
    <border>
      <left/>
      <right/>
      <top style="thin">
        <color auto="1"/>
      </top>
      <bottom style="thin">
        <color auto="1"/>
      </bottom>
      <diagonal/>
    </border>
    <border>
      <left style="medium">
        <color auto="1"/>
      </left>
      <right/>
      <top style="medium">
        <color auto="1"/>
      </top>
      <bottom style="medium">
        <color auto="1"/>
      </bottom>
      <diagonal/>
    </border>
    <border>
      <left/>
      <right style="thin">
        <color auto="1"/>
      </right>
      <top style="thin">
        <color auto="1"/>
      </top>
      <bottom style="thin">
        <color auto="1"/>
      </bottom>
      <diagonal/>
    </border>
    <border>
      <left/>
      <right/>
      <top style="thin">
        <color auto="1"/>
      </top>
      <bottom style="medium">
        <color auto="1"/>
      </bottom>
      <diagonal/>
    </border>
    <border>
      <left style="medium">
        <color auto="1"/>
      </left>
      <right/>
      <top/>
      <bottom/>
      <diagonal/>
    </border>
    <border>
      <left style="medium">
        <color auto="1"/>
      </left>
      <right/>
      <top/>
      <bottom/>
      <diagonal/>
    </border>
    <border>
      <left/>
      <right style="medium">
        <color auto="1"/>
      </right>
      <top style="medium">
        <color auto="1"/>
      </top>
      <bottom/>
      <diagonal/>
    </border>
    <border>
      <left/>
      <right style="thin">
        <color auto="1"/>
      </right>
      <top/>
      <bottom style="thin">
        <color auto="1"/>
      </bottom>
      <diagonal/>
    </border>
    <border>
      <left style="medium">
        <color auto="1"/>
      </left>
      <right/>
      <top style="thin">
        <color auto="1"/>
      </top>
      <bottom style="thin">
        <color auto="1"/>
      </bottom>
      <diagonal/>
    </border>
    <border>
      <left/>
      <right/>
      <top/>
      <bottom style="medium">
        <color auto="1"/>
      </bottom>
      <diagonal/>
    </border>
    <border>
      <left style="medium">
        <color auto="1"/>
      </left>
      <right/>
      <top/>
      <bottom/>
      <diagonal/>
    </border>
    <border>
      <left/>
      <right style="thin">
        <color auto="1"/>
      </right>
      <top/>
      <bottom/>
      <diagonal/>
    </border>
    <border>
      <left style="thin">
        <color rgb="FF7F7F7F"/>
      </left>
      <right style="thin">
        <color rgb="FF7F7F7F"/>
      </right>
      <top style="thin">
        <color rgb="FF7F7F7F"/>
      </top>
      <bottom style="thin">
        <color rgb="FF7F7F7F"/>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medium">
        <color auto="1"/>
      </left>
      <right/>
      <top style="medium">
        <color auto="1"/>
      </top>
      <bottom style="medium">
        <color auto="1"/>
      </bottom>
      <diagonal/>
    </border>
    <border>
      <left/>
      <right style="thin">
        <color auto="1"/>
      </right>
      <top/>
      <bottom style="thin">
        <color auto="1"/>
      </bottom>
      <diagonal/>
    </border>
    <border>
      <left style="medium">
        <color auto="1"/>
      </left>
      <right style="medium">
        <color auto="1"/>
      </right>
      <top/>
      <bottom/>
      <diagonal/>
    </border>
    <border>
      <left style="medium">
        <color auto="1"/>
      </left>
      <right style="thin">
        <color auto="1"/>
      </right>
      <top/>
      <bottom style="thin">
        <color auto="1"/>
      </bottom>
      <diagonal/>
    </border>
    <border>
      <left/>
      <right style="thin">
        <color auto="1"/>
      </right>
      <top style="thin">
        <color auto="1"/>
      </top>
      <bottom style="thin">
        <color auto="1"/>
      </bottom>
      <diagonal/>
    </border>
    <border>
      <left/>
      <right/>
      <top style="medium">
        <color rgb="FF7F7F7F"/>
      </top>
      <bottom/>
      <diagonal/>
    </border>
    <border>
      <left style="thin">
        <color auto="1"/>
      </left>
      <right/>
      <top/>
      <bottom/>
      <diagonal/>
    </border>
    <border>
      <left style="medium">
        <color auto="1"/>
      </left>
      <right style="medium">
        <color auto="1"/>
      </right>
      <top/>
      <bottom style="medium">
        <color auto="1"/>
      </bottom>
      <diagonal/>
    </border>
    <border>
      <left/>
      <right/>
      <top/>
      <bottom style="thin">
        <color auto="1"/>
      </bottom>
      <diagonal/>
    </border>
    <border>
      <left style="medium">
        <color auto="1"/>
      </left>
      <right/>
      <top/>
      <bottom/>
      <diagonal/>
    </border>
    <border>
      <left style="thin">
        <color auto="1"/>
      </left>
      <right/>
      <top style="medium">
        <color auto="1"/>
      </top>
      <bottom/>
      <diagonal/>
    </border>
    <border>
      <left/>
      <right style="medium">
        <color auto="1"/>
      </right>
      <top/>
      <bottom style="thin">
        <color auto="1"/>
      </bottom>
      <diagonal/>
    </border>
    <border>
      <left/>
      <right style="medium">
        <color auto="1"/>
      </right>
      <top/>
      <bottom style="medium">
        <color auto="1"/>
      </bottom>
      <diagonal/>
    </border>
    <border>
      <left style="medium">
        <color auto="1"/>
      </left>
      <right/>
      <top/>
      <bottom/>
      <diagonal/>
    </border>
    <border>
      <left style="medium">
        <color auto="1"/>
      </left>
      <right style="thin">
        <color auto="1"/>
      </right>
      <top style="thin">
        <color auto="1"/>
      </top>
      <bottom style="medium">
        <color auto="1"/>
      </bottom>
      <diagonal/>
    </border>
    <border>
      <left/>
      <right/>
      <top style="thin">
        <color auto="1"/>
      </top>
      <bottom style="thin">
        <color auto="1"/>
      </bottom>
      <diagonal/>
    </border>
    <border>
      <left/>
      <right/>
      <top/>
      <bottom style="thin">
        <color auto="1"/>
      </bottom>
      <diagonal/>
    </border>
    <border>
      <left style="medium">
        <color auto="1"/>
      </left>
      <right/>
      <top/>
      <bottom style="medium">
        <color auto="1"/>
      </bottom>
      <diagonal/>
    </border>
    <border>
      <left style="thin">
        <color auto="1"/>
      </left>
      <right style="medium">
        <color auto="1"/>
      </right>
      <top style="thin">
        <color auto="1"/>
      </top>
      <bottom style="medium">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rgb="FF7F7F7F"/>
      </left>
      <right style="thin">
        <color rgb="FF7F7F7F"/>
      </right>
      <top style="medium">
        <color rgb="FF7F7F7F"/>
      </top>
      <bottom style="thin">
        <color rgb="FF7F7F7F"/>
      </bottom>
      <diagonal/>
    </border>
    <border>
      <left/>
      <right style="medium">
        <color auto="1"/>
      </right>
      <top/>
      <bottom/>
      <diagonal/>
    </border>
    <border>
      <left/>
      <right/>
      <top style="medium">
        <color auto="1"/>
      </top>
      <bottom style="medium">
        <color auto="1"/>
      </bottom>
      <diagonal/>
    </border>
    <border>
      <left style="medium">
        <color auto="1"/>
      </left>
      <right/>
      <top/>
      <bottom/>
      <diagonal/>
    </border>
    <border>
      <left style="thin">
        <color auto="1"/>
      </left>
      <right/>
      <top style="thin">
        <color auto="1"/>
      </top>
      <bottom style="thin">
        <color auto="1"/>
      </bottom>
      <diagonal/>
    </border>
    <border>
      <left/>
      <right style="medium">
        <color auto="1"/>
      </right>
      <top style="thin">
        <color auto="1"/>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diagonal/>
    </border>
    <border>
      <left style="medium">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style="thin">
        <color auto="1"/>
      </right>
      <top style="thin">
        <color auto="1"/>
      </top>
      <bottom style="medium">
        <color auto="1"/>
      </bottom>
      <diagonal/>
    </border>
    <border>
      <left/>
      <right/>
      <top/>
      <bottom style="thin">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medium">
        <color auto="1"/>
      </left>
      <right/>
      <top style="thin">
        <color auto="1"/>
      </top>
      <bottom/>
      <diagonal/>
    </border>
    <border>
      <left style="thin">
        <color auto="1"/>
      </left>
      <right style="medium">
        <color auto="1"/>
      </right>
      <top style="thin">
        <color auto="1"/>
      </top>
      <bottom style="thin">
        <color auto="1"/>
      </bottom>
      <diagonal/>
    </border>
    <border>
      <left/>
      <right/>
      <top style="medium">
        <color auto="1"/>
      </top>
      <bottom/>
      <diagonal/>
    </border>
    <border>
      <left style="medium">
        <color auto="1"/>
      </left>
      <right/>
      <top style="medium">
        <color auto="1"/>
      </top>
      <bottom/>
      <diagonal/>
    </border>
    <border>
      <left style="medium">
        <color auto="1"/>
      </left>
      <right style="thin">
        <color auto="1"/>
      </right>
      <top style="thin">
        <color auto="1"/>
      </top>
      <bottom style="thin">
        <color auto="1"/>
      </bottom>
      <diagonal/>
    </border>
    <border>
      <left/>
      <right style="medium">
        <color auto="1"/>
      </right>
      <top/>
      <bottom style="thin">
        <color auto="1"/>
      </bottom>
      <diagonal/>
    </border>
    <border>
      <left style="medium">
        <color auto="1"/>
      </left>
      <right/>
      <top style="medium">
        <color auto="1"/>
      </top>
      <bottom style="medium">
        <color auto="1"/>
      </bottom>
      <diagonal/>
    </border>
    <border>
      <left/>
      <right/>
      <top style="thin">
        <color auto="1"/>
      </top>
      <bottom/>
      <diagonal/>
    </border>
    <border>
      <left style="thin">
        <color auto="1"/>
      </left>
      <right style="medium">
        <color auto="1"/>
      </right>
      <top style="thin">
        <color auto="1"/>
      </top>
      <bottom style="thin">
        <color auto="1"/>
      </bottom>
      <diagonal/>
    </border>
    <border>
      <left style="medium">
        <color auto="1"/>
      </left>
      <right/>
      <top style="thin">
        <color auto="1"/>
      </top>
      <bottom style="medium">
        <color auto="1"/>
      </bottom>
      <diagonal/>
    </border>
    <border>
      <left style="medium">
        <color auto="1"/>
      </left>
      <right/>
      <top/>
      <bottom/>
      <diagonal/>
    </border>
    <border>
      <left style="thin">
        <color auto="1"/>
      </left>
      <right style="medium">
        <color auto="1"/>
      </right>
      <top style="medium">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right/>
      <top style="medium">
        <color auto="1"/>
      </top>
      <bottom style="medium">
        <color auto="1"/>
      </bottom>
      <diagonal/>
    </border>
    <border>
      <left/>
      <right/>
      <top/>
      <bottom style="medium">
        <color auto="1"/>
      </bottom>
      <diagonal/>
    </border>
    <border>
      <left style="thin">
        <color auto="1"/>
      </left>
      <right style="medium">
        <color auto="1"/>
      </right>
      <top style="medium">
        <color auto="1"/>
      </top>
      <bottom/>
      <diagonal/>
    </border>
    <border>
      <left style="thin">
        <color auto="1"/>
      </left>
      <right style="thin">
        <color auto="1"/>
      </right>
      <top style="thin">
        <color auto="1"/>
      </top>
      <bottom style="thin">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medium">
        <color auto="1"/>
      </right>
      <top style="thin">
        <color auto="1"/>
      </top>
      <bottom style="double">
        <color auto="1"/>
      </bottom>
      <diagonal/>
    </border>
    <border>
      <left/>
      <right/>
      <top style="thin">
        <color auto="1"/>
      </top>
      <bottom style="double">
        <color auto="1"/>
      </bottom>
      <diagonal/>
    </border>
    <border>
      <left style="thin">
        <color theme="0"/>
      </left>
      <right style="thin">
        <color theme="0"/>
      </right>
      <top style="thin">
        <color theme="0"/>
      </top>
      <bottom style="thin">
        <color theme="0"/>
      </bottom>
      <diagonal/>
    </border>
    <border>
      <left/>
      <right style="medium">
        <color auto="1"/>
      </right>
      <top style="thin">
        <color auto="1"/>
      </top>
      <bottom style="medium">
        <color auto="1"/>
      </bottom>
      <diagonal/>
    </border>
    <border>
      <left style="medium">
        <color auto="1"/>
      </left>
      <right style="medium">
        <color auto="1"/>
      </right>
      <top/>
      <bottom style="thin">
        <color auto="1"/>
      </bottom>
      <diagonal/>
    </border>
    <border>
      <left style="thin">
        <color auto="1"/>
      </left>
      <right style="medium">
        <color rgb="FF7F7F7F"/>
      </right>
      <top style="thin">
        <color rgb="FF7F7F7F"/>
      </top>
      <bottom/>
      <diagonal/>
    </border>
    <border>
      <left style="medium">
        <color rgb="FF7F7F7F"/>
      </left>
      <right style="thin">
        <color rgb="FF7F7F7F"/>
      </right>
      <top style="thin">
        <color rgb="FF7F7F7F"/>
      </top>
      <bottom/>
      <diagonal/>
    </border>
    <border>
      <left style="thin">
        <color rgb="FF7F7F7F"/>
      </left>
      <right style="thin">
        <color rgb="FF7F7F7F"/>
      </right>
      <top style="thin">
        <color rgb="FF7F7F7F"/>
      </top>
      <bottom/>
      <diagonal/>
    </border>
    <border>
      <left style="thin">
        <color rgb="FF7F7F7F"/>
      </left>
      <right style="medium">
        <color rgb="FF7F7F7F"/>
      </right>
      <top style="thin">
        <color rgb="FF7F7F7F"/>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auto="1"/>
      </left>
      <right style="medium">
        <color rgb="FF7F7F7F"/>
      </right>
      <top/>
      <bottom style="medium">
        <color rgb="FF7F7F7F"/>
      </bottom>
      <diagonal/>
    </border>
    <border>
      <left style="medium">
        <color rgb="FF7F7F7F"/>
      </left>
      <right style="thin">
        <color rgb="FF7F7F7F"/>
      </right>
      <top/>
      <bottom style="medium">
        <color rgb="FF7F7F7F"/>
      </bottom>
      <diagonal/>
    </border>
    <border>
      <left style="thin">
        <color rgb="FF7F7F7F"/>
      </left>
      <right style="thin">
        <color rgb="FF7F7F7F"/>
      </right>
      <top/>
      <bottom style="medium">
        <color rgb="FF7F7F7F"/>
      </bottom>
      <diagonal/>
    </border>
    <border>
      <left style="thin">
        <color rgb="FF7F7F7F"/>
      </left>
      <right style="medium">
        <color rgb="FF7F7F7F"/>
      </right>
      <top/>
      <bottom style="medium">
        <color rgb="FF7F7F7F"/>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double">
        <color auto="1"/>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medium">
        <color auto="1"/>
      </left>
      <right style="thin">
        <color auto="1"/>
      </right>
      <top style="medium">
        <color auto="1"/>
      </top>
      <bottom/>
      <diagonal/>
    </border>
    <border>
      <left style="medium">
        <color auto="1"/>
      </left>
      <right style="thin">
        <color auto="1"/>
      </right>
      <top/>
      <bottom style="double">
        <color auto="1"/>
      </bottom>
      <diagonal/>
    </border>
    <border>
      <left style="thin">
        <color auto="1"/>
      </left>
      <right style="thin">
        <color auto="1"/>
      </right>
      <top/>
      <bottom style="double">
        <color auto="1"/>
      </bottom>
      <diagonal/>
    </border>
    <border>
      <left/>
      <right style="medium">
        <color auto="1"/>
      </right>
      <top/>
      <bottom style="double">
        <color auto="1"/>
      </bottom>
      <diagonal/>
    </border>
    <border>
      <left style="medium">
        <color auto="1"/>
      </left>
      <right style="hair">
        <color auto="1"/>
      </right>
      <top style="double">
        <color auto="1"/>
      </top>
      <bottom style="hair">
        <color auto="1"/>
      </bottom>
      <diagonal/>
    </border>
    <border>
      <left style="hair">
        <color auto="1"/>
      </left>
      <right style="hair">
        <color auto="1"/>
      </right>
      <top style="double">
        <color auto="1"/>
      </top>
      <bottom style="hair">
        <color auto="1"/>
      </bottom>
      <diagonal/>
    </border>
    <border>
      <left style="hair">
        <color auto="1"/>
      </left>
      <right style="medium">
        <color auto="1"/>
      </right>
      <top style="double">
        <color auto="1"/>
      </top>
      <bottom style="hair">
        <color auto="1"/>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medium">
        <color auto="1"/>
      </left>
      <right style="hair">
        <color auto="1"/>
      </right>
      <top/>
      <bottom/>
      <diagonal/>
    </border>
    <border>
      <left style="hair">
        <color auto="1"/>
      </left>
      <right style="hair">
        <color auto="1"/>
      </right>
      <top/>
      <bottom/>
      <diagonal/>
    </border>
    <border>
      <left style="medium">
        <color auto="1"/>
      </left>
      <right style="hair">
        <color auto="1"/>
      </right>
      <top style="hair">
        <color auto="1"/>
      </top>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right style="hair">
        <color auto="1"/>
      </right>
      <top style="hair">
        <color auto="1"/>
      </top>
      <bottom style="medium">
        <color auto="1"/>
      </bottom>
      <diagonal/>
    </border>
    <border>
      <left/>
      <right/>
      <top style="double">
        <color auto="1"/>
      </top>
      <bottom style="double">
        <color auto="1"/>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auto="1"/>
      </left>
      <right style="thin">
        <color auto="1"/>
      </right>
      <top style="hair">
        <color auto="1"/>
      </top>
      <bottom style="hair">
        <color auto="1"/>
      </bottom>
      <diagonal/>
    </border>
    <border>
      <left style="thick">
        <color auto="1"/>
      </left>
      <right style="thin">
        <color auto="1"/>
      </right>
      <top style="thick">
        <color auto="1"/>
      </top>
      <bottom style="hair">
        <color auto="1"/>
      </bottom>
      <diagonal/>
    </border>
    <border>
      <left style="thin">
        <color auto="1"/>
      </left>
      <right style="thin">
        <color auto="1"/>
      </right>
      <top style="thick">
        <color auto="1"/>
      </top>
      <bottom style="hair">
        <color auto="1"/>
      </bottom>
      <diagonal/>
    </border>
    <border>
      <left style="thin">
        <color auto="1"/>
      </left>
      <right style="thick">
        <color auto="1"/>
      </right>
      <top style="thick">
        <color auto="1"/>
      </top>
      <bottom style="hair">
        <color auto="1"/>
      </bottom>
      <diagonal/>
    </border>
    <border>
      <left style="thick">
        <color auto="1"/>
      </left>
      <right style="thin">
        <color auto="1"/>
      </right>
      <top style="hair">
        <color auto="1"/>
      </top>
      <bottom style="hair">
        <color auto="1"/>
      </bottom>
      <diagonal/>
    </border>
    <border>
      <left style="thin">
        <color auto="1"/>
      </left>
      <right style="thick">
        <color auto="1"/>
      </right>
      <top style="hair">
        <color auto="1"/>
      </top>
      <bottom style="hair">
        <color auto="1"/>
      </bottom>
      <diagonal/>
    </border>
    <border>
      <left style="thick">
        <color auto="1"/>
      </left>
      <right style="thin">
        <color auto="1"/>
      </right>
      <top style="hair">
        <color auto="1"/>
      </top>
      <bottom style="thick">
        <color auto="1"/>
      </bottom>
      <diagonal/>
    </border>
    <border>
      <left style="thin">
        <color auto="1"/>
      </left>
      <right style="thin">
        <color auto="1"/>
      </right>
      <top style="hair">
        <color auto="1"/>
      </top>
      <bottom style="thick">
        <color auto="1"/>
      </bottom>
      <diagonal/>
    </border>
    <border>
      <left style="thin">
        <color auto="1"/>
      </left>
      <right style="thick">
        <color auto="1"/>
      </right>
      <top style="hair">
        <color auto="1"/>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ck">
        <color auto="1"/>
      </left>
      <right style="thin">
        <color auto="1"/>
      </right>
      <top style="thick">
        <color auto="1"/>
      </top>
      <bottom/>
      <diagonal/>
    </border>
    <border>
      <left style="thin">
        <color auto="1"/>
      </left>
      <right style="thick">
        <color auto="1"/>
      </right>
      <top style="thick">
        <color auto="1"/>
      </top>
      <bottom style="thin">
        <color auto="1"/>
      </bottom>
      <diagonal/>
    </border>
    <border>
      <left style="thick">
        <color auto="1"/>
      </left>
      <right style="thick">
        <color auto="1"/>
      </right>
      <top style="thick">
        <color auto="1"/>
      </top>
      <bottom style="thin">
        <color auto="1"/>
      </bottom>
      <diagonal/>
    </border>
    <border>
      <left style="thin">
        <color auto="1"/>
      </left>
      <right style="thick">
        <color auto="1"/>
      </right>
      <top style="thin">
        <color auto="1"/>
      </top>
      <bottom style="thin">
        <color auto="1"/>
      </bottom>
      <diagonal/>
    </border>
    <border>
      <left style="thick">
        <color auto="1"/>
      </left>
      <right style="thick">
        <color auto="1"/>
      </right>
      <top style="thin">
        <color auto="1"/>
      </top>
      <bottom style="thin">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hair">
        <color auto="1"/>
      </left>
      <right style="medium">
        <color auto="1"/>
      </right>
      <top style="hair">
        <color auto="1"/>
      </top>
      <bottom style="medium">
        <color auto="1"/>
      </bottom>
      <diagonal/>
    </border>
    <border>
      <left/>
      <right style="hair">
        <color auto="1"/>
      </right>
      <top style="medium">
        <color auto="1"/>
      </top>
      <bottom style="hair">
        <color auto="1"/>
      </bottom>
      <diagonal/>
    </border>
    <border>
      <left/>
      <right style="hair">
        <color auto="1"/>
      </right>
      <top style="hair">
        <color auto="1"/>
      </top>
      <bottom style="hair">
        <color auto="1"/>
      </bottom>
      <diagonal/>
    </border>
    <border>
      <left/>
      <right style="thin">
        <color theme="0"/>
      </right>
      <top style="medium">
        <color auto="1"/>
      </top>
      <bottom style="thin">
        <color theme="0"/>
      </bottom>
      <diagonal/>
    </border>
    <border>
      <left style="thin">
        <color theme="0"/>
      </left>
      <right style="thin">
        <color theme="0"/>
      </right>
      <top style="medium">
        <color auto="1"/>
      </top>
      <bottom style="thin">
        <color theme="0"/>
      </bottom>
      <diagonal/>
    </border>
    <border>
      <left style="thin">
        <color theme="0"/>
      </left>
      <right style="medium">
        <color auto="1"/>
      </right>
      <top style="medium">
        <color auto="1"/>
      </top>
      <bottom style="thin">
        <color theme="0"/>
      </bottom>
      <diagonal/>
    </border>
    <border>
      <left/>
      <right style="thin">
        <color theme="0"/>
      </right>
      <top style="thin">
        <color theme="0"/>
      </top>
      <bottom style="thin">
        <color auto="1"/>
      </bottom>
      <diagonal/>
    </border>
    <border>
      <left style="thin">
        <color theme="0"/>
      </left>
      <right style="thin">
        <color theme="0"/>
      </right>
      <top style="thin">
        <color theme="0"/>
      </top>
      <bottom style="thin">
        <color auto="1"/>
      </bottom>
      <diagonal/>
    </border>
    <border>
      <left style="thin">
        <color theme="0"/>
      </left>
      <right style="medium">
        <color auto="1"/>
      </right>
      <top style="thin">
        <color theme="0"/>
      </top>
      <bottom style="thin">
        <color auto="1"/>
      </bottom>
      <diagonal/>
    </border>
    <border>
      <left style="thin">
        <color theme="0"/>
      </left>
      <right/>
      <top style="medium">
        <color auto="1"/>
      </top>
      <bottom style="thin">
        <color theme="0"/>
      </bottom>
      <diagonal/>
    </border>
    <border>
      <left style="thin">
        <color theme="0"/>
      </left>
      <right/>
      <top style="thin">
        <color theme="0"/>
      </top>
      <bottom style="thin">
        <color auto="1"/>
      </bottom>
      <diagonal/>
    </border>
    <border>
      <left style="medium">
        <color theme="0"/>
      </left>
      <right style="thin">
        <color theme="0"/>
      </right>
      <top style="medium">
        <color auto="1"/>
      </top>
      <bottom style="thin">
        <color theme="0"/>
      </bottom>
      <diagonal/>
    </border>
    <border>
      <left style="medium">
        <color theme="0"/>
      </left>
      <right style="thin">
        <color theme="0"/>
      </right>
      <top style="thin">
        <color theme="0"/>
      </top>
      <bottom style="thin">
        <color auto="1"/>
      </bottom>
      <diagonal/>
    </border>
    <border>
      <left style="thin">
        <color auto="1"/>
      </left>
      <right/>
      <top style="medium">
        <color auto="1"/>
      </top>
      <bottom style="medium">
        <color auto="1"/>
      </bottom>
      <diagonal/>
    </border>
    <border>
      <left style="thin">
        <color theme="0"/>
      </left>
      <right style="thin">
        <color theme="0"/>
      </right>
      <top style="thin">
        <color theme="0"/>
      </top>
      <bottom/>
      <diagonal/>
    </border>
    <border>
      <left/>
      <right style="thin">
        <color theme="0"/>
      </right>
      <top style="thin">
        <color theme="0"/>
      </top>
      <bottom/>
      <diagonal/>
    </border>
    <border>
      <left/>
      <right style="thin">
        <color theme="0"/>
      </right>
      <top style="thin">
        <color theme="0"/>
      </top>
      <bottom style="thin">
        <color theme="0"/>
      </bottom>
      <diagonal/>
    </border>
  </borders>
  <cellStyleXfs count="34143">
    <xf numFmtId="0" fontId="0" fillId="0" borderId="0"/>
    <xf numFmtId="43" fontId="289" fillId="0" borderId="0" applyFont="0" applyFill="0" applyBorder="0" applyAlignment="0" applyProtection="0"/>
    <xf numFmtId="9" fontId="291" fillId="0" borderId="0" applyFont="0" applyFill="0" applyBorder="0" applyAlignment="0" applyProtection="0"/>
    <xf numFmtId="0" fontId="17" fillId="0" borderId="0"/>
    <xf numFmtId="0" fontId="19" fillId="0" borderId="0"/>
    <xf numFmtId="0" fontId="16"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322" fillId="0" borderId="0" applyNumberFormat="0" applyFill="0" applyBorder="0" applyAlignment="0" applyProtection="0">
      <alignment vertical="top"/>
      <protection locked="0"/>
    </xf>
    <xf numFmtId="43" fontId="19" fillId="0" borderId="0" applyFont="0" applyFill="0" applyBorder="0" applyAlignment="0" applyProtection="0"/>
    <xf numFmtId="9" fontId="19" fillId="0" borderId="0" applyFont="0" applyFill="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0" fontId="299" fillId="0" borderId="0"/>
    <xf numFmtId="9" fontId="19" fillId="0" borderId="0" applyFont="0" applyFill="0" applyBorder="0" applyAlignment="0" applyProtection="0"/>
    <xf numFmtId="43" fontId="299" fillId="0" borderId="0" applyFont="0" applyFill="0" applyBorder="0" applyAlignment="0" applyProtection="0"/>
    <xf numFmtId="43" fontId="333" fillId="0" borderId="0" applyFont="0" applyFill="0" applyBorder="0" applyAlignment="0" applyProtection="0"/>
    <xf numFmtId="43" fontId="333" fillId="0" borderId="0" applyFont="0" applyFill="0" applyBorder="0" applyAlignment="0" applyProtection="0"/>
    <xf numFmtId="43" fontId="334" fillId="0" borderId="0" applyFont="0" applyFill="0" applyBorder="0" applyAlignment="0" applyProtection="0"/>
    <xf numFmtId="43" fontId="299" fillId="0" borderId="0" applyFont="0" applyFill="0" applyBorder="0" applyAlignment="0" applyProtection="0"/>
    <xf numFmtId="43" fontId="299" fillId="0" borderId="0" applyFont="0" applyFill="0" applyBorder="0" applyAlignment="0" applyProtection="0"/>
    <xf numFmtId="43" fontId="14" fillId="0" borderId="0" applyFont="0" applyFill="0" applyBorder="0" applyAlignment="0" applyProtection="0"/>
    <xf numFmtId="43" fontId="299" fillId="0" borderId="0" applyFont="0" applyFill="0" applyBorder="0" applyAlignment="0" applyProtection="0"/>
    <xf numFmtId="43" fontId="14" fillId="0" borderId="0" applyFont="0" applyFill="0" applyBorder="0" applyAlignment="0" applyProtection="0"/>
    <xf numFmtId="44" fontId="333" fillId="0" borderId="0" applyFont="0" applyFill="0" applyBorder="0" applyAlignment="0" applyProtection="0"/>
    <xf numFmtId="0" fontId="335" fillId="0" borderId="0"/>
    <xf numFmtId="0" fontId="336" fillId="0" borderId="0" applyNumberFormat="0" applyFill="0" applyBorder="0" applyAlignment="0" applyProtection="0">
      <alignment vertical="top"/>
      <protection locked="0"/>
    </xf>
    <xf numFmtId="0" fontId="337" fillId="0" borderId="0" applyNumberFormat="0" applyFill="0" applyBorder="0" applyAlignment="0" applyProtection="0">
      <alignment vertical="top"/>
      <protection locked="0"/>
    </xf>
    <xf numFmtId="0" fontId="338" fillId="0" borderId="0" applyNumberFormat="0" applyFill="0" applyBorder="0" applyAlignment="0" applyProtection="0">
      <alignment vertical="top"/>
      <protection locked="0"/>
    </xf>
    <xf numFmtId="0" fontId="339"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4" fillId="0" borderId="0"/>
    <xf numFmtId="0" fontId="299" fillId="0" borderId="0"/>
    <xf numFmtId="0" fontId="299" fillId="0" borderId="0"/>
    <xf numFmtId="0" fontId="14" fillId="0" borderId="0"/>
    <xf numFmtId="0" fontId="14" fillId="0" borderId="0"/>
    <xf numFmtId="0" fontId="334" fillId="0" borderId="0"/>
    <xf numFmtId="0" fontId="299" fillId="0" borderId="0"/>
    <xf numFmtId="0" fontId="299" fillId="0" borderId="0"/>
    <xf numFmtId="0" fontId="299" fillId="0" borderId="0"/>
    <xf numFmtId="0" fontId="299" fillId="0" borderId="0"/>
    <xf numFmtId="1" fontId="340" fillId="0" borderId="0">
      <alignment vertical="center"/>
    </xf>
    <xf numFmtId="0" fontId="299" fillId="0" borderId="0"/>
    <xf numFmtId="0" fontId="13" fillId="0" borderId="0"/>
    <xf numFmtId="43" fontId="13" fillId="0" borderId="0" applyFont="0" applyFill="0" applyBorder="0" applyAlignment="0" applyProtection="0"/>
    <xf numFmtId="9" fontId="12" fillId="0" borderId="0" applyFont="0" applyFill="0" applyBorder="0" applyAlignment="0" applyProtection="0"/>
    <xf numFmtId="0" fontId="11" fillId="0" borderId="0"/>
    <xf numFmtId="43" fontId="11" fillId="0" borderId="0" applyFont="0" applyFill="0" applyBorder="0" applyAlignment="0" applyProtection="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0" fontId="299" fillId="0" borderId="0"/>
    <xf numFmtId="0" fontId="11" fillId="0" borderId="0"/>
    <xf numFmtId="43" fontId="299"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4" fontId="333"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0" fontId="29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299" fillId="0" borderId="0"/>
    <xf numFmtId="43" fontId="299" fillId="0" borderId="0" applyFont="0" applyFill="0" applyBorder="0" applyAlignment="0" applyProtection="0"/>
    <xf numFmtId="0" fontId="299" fillId="0" borderId="0"/>
    <xf numFmtId="43" fontId="11" fillId="0" borderId="0" applyFont="0" applyFill="0" applyBorder="0" applyAlignment="0" applyProtection="0"/>
    <xf numFmtId="43" fontId="299"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29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299" fillId="0" borderId="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299"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9"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99"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299"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299"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0" fontId="11" fillId="0" borderId="0"/>
    <xf numFmtId="43" fontId="299"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43" fontId="11" fillId="0" borderId="0" applyFont="0" applyFill="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43" fontId="299"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43" fontId="11" fillId="0" borderId="0" applyFont="0" applyFill="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0" fontId="29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43" fontId="299"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43" fontId="11" fillId="0" borderId="0" applyFont="0" applyFill="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299"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43" fontId="11" fillId="0" borderId="0" applyFont="0" applyFill="0" applyBorder="0" applyAlignment="0" applyProtection="0"/>
    <xf numFmtId="43" fontId="299"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9"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299"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0" fontId="29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9" fillId="0" borderId="0"/>
    <xf numFmtId="0" fontId="11" fillId="0" borderId="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43" fontId="11" fillId="0" borderId="0" applyFont="0" applyFill="0" applyBorder="0" applyAlignment="0" applyProtection="0"/>
    <xf numFmtId="0" fontId="299" fillId="0" borderId="0"/>
    <xf numFmtId="43" fontId="29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0" fillId="0" borderId="0" applyFont="0" applyFill="0" applyBorder="0" applyAlignment="0" applyProtection="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43" fontId="299" fillId="0" borderId="0" applyFont="0" applyFill="0" applyBorder="0" applyAlignment="0" applyProtection="0"/>
    <xf numFmtId="43" fontId="10" fillId="0" borderId="0" applyFont="0" applyFill="0" applyBorder="0" applyAlignment="0" applyProtection="0"/>
    <xf numFmtId="0" fontId="10" fillId="0" borderId="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299" fillId="0" borderId="0"/>
    <xf numFmtId="43" fontId="299" fillId="0" borderId="0" applyFont="0" applyFill="0" applyBorder="0" applyAlignment="0" applyProtection="0"/>
    <xf numFmtId="43" fontId="299" fillId="0" borderId="0" applyFont="0" applyFill="0" applyBorder="0" applyAlignment="0" applyProtection="0"/>
    <xf numFmtId="43" fontId="10" fillId="0" borderId="0" applyFont="0" applyFill="0" applyBorder="0" applyAlignment="0" applyProtection="0"/>
    <xf numFmtId="43" fontId="29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99" fillId="0" borderId="0" applyFont="0" applyFill="0" applyBorder="0" applyAlignment="0" applyProtection="0"/>
    <xf numFmtId="0" fontId="299"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43" fontId="299"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43" fontId="299"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43" fontId="299"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43" fontId="299"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43" fontId="299"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43" fontId="299"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0" fontId="299" fillId="0" borderId="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0" fontId="29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9" fillId="0" borderId="0"/>
    <xf numFmtId="0" fontId="10" fillId="0" borderId="0"/>
    <xf numFmtId="43" fontId="299"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9" fillId="0" borderId="0"/>
    <xf numFmtId="0" fontId="10" fillId="0" borderId="0"/>
    <xf numFmtId="43" fontId="10"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43" fontId="299" fillId="0" borderId="0" applyFont="0" applyFill="0" applyBorder="0" applyAlignment="0" applyProtection="0"/>
    <xf numFmtId="0" fontId="299" fillId="0" borderId="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1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19" fillId="0" borderId="0"/>
    <xf numFmtId="43"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19"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19"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19"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19"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7" fillId="0" borderId="0"/>
    <xf numFmtId="43" fontId="7" fillId="0" borderId="0" applyFont="0" applyFill="0" applyBorder="0" applyAlignment="0" applyProtection="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299" fillId="0" borderId="0" applyFont="0" applyFill="0" applyBorder="0" applyAlignment="0" applyProtection="0"/>
    <xf numFmtId="43"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299" fillId="0" borderId="0"/>
    <xf numFmtId="0" fontId="7" fillId="0" borderId="0"/>
    <xf numFmtId="43" fontId="299" fillId="0" borderId="0" applyFont="0" applyFill="0" applyBorder="0" applyAlignment="0" applyProtection="0"/>
    <xf numFmtId="43"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43" fontId="299"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0" fontId="29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29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99" fillId="0" borderId="0" applyFont="0" applyFill="0" applyBorder="0" applyAlignment="0" applyProtection="0"/>
    <xf numFmtId="0" fontId="29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299" fillId="0" borderId="0" applyFont="0" applyFill="0" applyBorder="0" applyAlignment="0" applyProtection="0"/>
    <xf numFmtId="43"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299" fillId="0" borderId="0"/>
    <xf numFmtId="0" fontId="7" fillId="0" borderId="0"/>
    <xf numFmtId="43" fontId="29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99"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29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6" fillId="0" borderId="0"/>
    <xf numFmtId="43" fontId="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 fillId="0" borderId="0"/>
    <xf numFmtId="0" fontId="374" fillId="0" borderId="0" applyNumberFormat="0" applyFill="0" applyBorder="0" applyAlignment="0" applyProtection="0">
      <alignment vertical="top"/>
      <protection locked="0"/>
    </xf>
    <xf numFmtId="43" fontId="3" fillId="0" borderId="0" applyFont="0" applyFill="0" applyBorder="0" applyAlignment="0" applyProtection="0"/>
    <xf numFmtId="0" fontId="3" fillId="0" borderId="0"/>
    <xf numFmtId="44" fontId="376" fillId="0" borderId="0" applyFont="0" applyFill="0" applyBorder="0" applyAlignment="0" applyProtection="0"/>
    <xf numFmtId="44" fontId="299" fillId="0" borderId="0" applyFont="0" applyFill="0" applyBorder="0" applyAlignment="0" applyProtection="0"/>
    <xf numFmtId="0" fontId="299" fillId="0" borderId="0"/>
    <xf numFmtId="0" fontId="2" fillId="0" borderId="0"/>
    <xf numFmtId="187" fontId="381" fillId="0" borderId="0"/>
    <xf numFmtId="187" fontId="381" fillId="0" borderId="0"/>
    <xf numFmtId="187" fontId="381" fillId="0" borderId="0"/>
  </cellStyleXfs>
  <cellXfs count="2554">
    <xf numFmtId="0" fontId="0" fillId="0" borderId="0" xfId="0" applyAlignment="1">
      <alignment wrapText="1"/>
    </xf>
    <xf numFmtId="0" fontId="19" fillId="0" borderId="1" xfId="0" applyFont="1" applyBorder="1" applyAlignment="1">
      <alignment horizontal="center" vertical="center"/>
    </xf>
    <xf numFmtId="0" fontId="30" fillId="0" borderId="7" xfId="0" applyFont="1" applyBorder="1"/>
    <xf numFmtId="0" fontId="34" fillId="0" borderId="9" xfId="0" applyFont="1" applyBorder="1" applyAlignment="1">
      <alignment vertical="center"/>
    </xf>
    <xf numFmtId="0" fontId="36" fillId="0" borderId="14" xfId="0" applyFont="1" applyBorder="1"/>
    <xf numFmtId="0" fontId="38" fillId="0" borderId="15" xfId="0" applyFont="1" applyBorder="1" applyAlignment="1">
      <alignment horizontal="center" vertical="center"/>
    </xf>
    <xf numFmtId="166" fontId="39" fillId="8" borderId="16" xfId="0" applyNumberFormat="1" applyFont="1" applyFill="1" applyBorder="1" applyAlignment="1">
      <alignment horizontal="center" vertical="center"/>
    </xf>
    <xf numFmtId="0" fontId="40" fillId="0" borderId="17" xfId="0" applyFont="1" applyBorder="1"/>
    <xf numFmtId="0" fontId="41" fillId="0" borderId="18" xfId="0" applyFont="1" applyBorder="1" applyAlignment="1">
      <alignment horizontal="center"/>
    </xf>
    <xf numFmtId="0" fontId="43" fillId="0" borderId="19" xfId="0" applyFont="1" applyBorder="1" applyAlignment="1">
      <alignment horizontal="center"/>
    </xf>
    <xf numFmtId="0" fontId="46" fillId="0" borderId="22" xfId="0" applyFont="1" applyBorder="1"/>
    <xf numFmtId="0" fontId="52" fillId="0" borderId="25" xfId="0" applyFont="1" applyBorder="1" applyAlignment="1">
      <alignment horizontal="left" vertical="center"/>
    </xf>
    <xf numFmtId="0" fontId="53" fillId="0" borderId="0" xfId="0" applyFont="1"/>
    <xf numFmtId="0" fontId="54" fillId="0" borderId="26" xfId="0" applyFont="1" applyBorder="1"/>
    <xf numFmtId="0" fontId="57" fillId="0" borderId="27" xfId="0" applyFont="1" applyBorder="1"/>
    <xf numFmtId="0" fontId="59" fillId="0" borderId="29" xfId="0" applyFont="1" applyBorder="1"/>
    <xf numFmtId="0" fontId="63" fillId="0" borderId="32" xfId="0" applyFont="1" applyBorder="1"/>
    <xf numFmtId="0" fontId="64" fillId="0" borderId="33" xfId="0" applyFont="1" applyBorder="1" applyAlignment="1">
      <alignment horizontal="center"/>
    </xf>
    <xf numFmtId="0" fontId="65" fillId="0" borderId="0" xfId="0" applyFont="1"/>
    <xf numFmtId="0" fontId="68" fillId="0" borderId="34" xfId="0" applyFont="1" applyBorder="1"/>
    <xf numFmtId="0" fontId="70" fillId="0" borderId="35" xfId="0" applyFont="1" applyBorder="1" applyAlignment="1">
      <alignment vertical="center" wrapText="1"/>
    </xf>
    <xf numFmtId="0" fontId="72" fillId="16" borderId="37" xfId="0" applyFont="1" applyFill="1" applyBorder="1" applyAlignment="1">
      <alignment horizontal="center"/>
    </xf>
    <xf numFmtId="0" fontId="78" fillId="0" borderId="0" xfId="0" applyFont="1"/>
    <xf numFmtId="0" fontId="80" fillId="0" borderId="0" xfId="0" applyFont="1"/>
    <xf numFmtId="0" fontId="82" fillId="0" borderId="0" xfId="0" applyFont="1" applyAlignment="1">
      <alignment horizontal="left" vertical="center" wrapText="1"/>
    </xf>
    <xf numFmtId="0" fontId="86" fillId="0" borderId="45" xfId="0" applyFont="1" applyBorder="1" applyAlignment="1">
      <alignment vertical="center"/>
    </xf>
    <xf numFmtId="0" fontId="87" fillId="20" borderId="46" xfId="0" applyFont="1" applyFill="1" applyBorder="1" applyAlignment="1">
      <alignment horizontal="center" vertical="center"/>
    </xf>
    <xf numFmtId="0" fontId="88" fillId="0" borderId="48" xfId="0" applyFont="1" applyBorder="1" applyAlignment="1">
      <alignment horizontal="left"/>
    </xf>
    <xf numFmtId="0" fontId="89" fillId="0" borderId="49" xfId="0" applyFont="1" applyBorder="1"/>
    <xf numFmtId="0" fontId="92" fillId="0" borderId="51" xfId="0" applyFont="1" applyBorder="1"/>
    <xf numFmtId="0" fontId="97" fillId="0" borderId="0" xfId="0" applyFont="1"/>
    <xf numFmtId="0" fontId="98" fillId="0" borderId="55" xfId="0" applyFont="1" applyBorder="1" applyAlignment="1">
      <alignment horizontal="center" vertical="center"/>
    </xf>
    <xf numFmtId="0" fontId="99" fillId="0" borderId="56" xfId="0" applyFont="1" applyBorder="1"/>
    <xf numFmtId="0" fontId="100" fillId="23" borderId="57" xfId="0" applyFont="1" applyFill="1" applyBorder="1" applyAlignment="1">
      <alignment horizontal="center"/>
    </xf>
    <xf numFmtId="0" fontId="104" fillId="0" borderId="61" xfId="0" applyFont="1" applyBorder="1"/>
    <xf numFmtId="0" fontId="105" fillId="0" borderId="0" xfId="0" applyFont="1" applyAlignment="1">
      <alignment vertical="center"/>
    </xf>
    <xf numFmtId="0" fontId="107" fillId="0" borderId="64" xfId="0" applyFont="1" applyBorder="1" applyAlignment="1">
      <alignment horizontal="left" vertical="top"/>
    </xf>
    <xf numFmtId="0" fontId="108" fillId="0" borderId="65" xfId="0" applyFont="1" applyBorder="1"/>
    <xf numFmtId="0" fontId="110" fillId="0" borderId="68" xfId="0" applyFont="1" applyBorder="1" applyAlignment="1">
      <alignment horizontal="center" vertical="center"/>
    </xf>
    <xf numFmtId="0" fontId="111" fillId="0" borderId="69" xfId="0" applyFont="1" applyBorder="1" applyAlignment="1">
      <alignment horizontal="center" vertical="center"/>
    </xf>
    <xf numFmtId="0" fontId="112" fillId="0" borderId="0" xfId="0" applyFont="1" applyAlignment="1">
      <alignment vertical="top"/>
    </xf>
    <xf numFmtId="0" fontId="117" fillId="0" borderId="75" xfId="0" applyFont="1" applyBorder="1" applyAlignment="1">
      <alignment horizontal="center"/>
    </xf>
    <xf numFmtId="0" fontId="118" fillId="0" borderId="77" xfId="0" applyFont="1" applyBorder="1" applyAlignment="1">
      <alignment horizontal="center"/>
    </xf>
    <xf numFmtId="0" fontId="119" fillId="0" borderId="78" xfId="0" applyFont="1" applyBorder="1"/>
    <xf numFmtId="0" fontId="121" fillId="0" borderId="80" xfId="0" applyFont="1" applyBorder="1"/>
    <xf numFmtId="0" fontId="123" fillId="0" borderId="82" xfId="0" applyFont="1" applyBorder="1" applyAlignment="1">
      <alignment horizontal="center" vertical="center"/>
    </xf>
    <xf numFmtId="0" fontId="124" fillId="0" borderId="83" xfId="0" applyFont="1" applyBorder="1" applyAlignment="1">
      <alignment horizontal="left"/>
    </xf>
    <xf numFmtId="0" fontId="125" fillId="0" borderId="84" xfId="0" applyFont="1" applyBorder="1" applyAlignment="1">
      <alignment horizontal="center"/>
    </xf>
    <xf numFmtId="0" fontId="129" fillId="0" borderId="86" xfId="0" applyFont="1" applyBorder="1"/>
    <xf numFmtId="0" fontId="130" fillId="0" borderId="0" xfId="0" applyFont="1" applyAlignment="1">
      <alignment horizontal="left"/>
    </xf>
    <xf numFmtId="0" fontId="133" fillId="0" borderId="89" xfId="0" applyFont="1" applyBorder="1" applyAlignment="1">
      <alignment horizontal="left"/>
    </xf>
    <xf numFmtId="0" fontId="139" fillId="0" borderId="93" xfId="0" applyFont="1" applyBorder="1"/>
    <xf numFmtId="0" fontId="140" fillId="0" borderId="94" xfId="0" applyFont="1" applyBorder="1"/>
    <xf numFmtId="43" fontId="141" fillId="0" borderId="0" xfId="0" applyNumberFormat="1" applyFont="1"/>
    <xf numFmtId="0" fontId="143" fillId="0" borderId="95" xfId="0" applyFont="1" applyBorder="1"/>
    <xf numFmtId="0" fontId="144" fillId="0" borderId="96" xfId="0" applyFont="1" applyBorder="1"/>
    <xf numFmtId="0" fontId="146" fillId="0" borderId="0" xfId="0" applyFont="1" applyAlignment="1">
      <alignment vertical="top" wrapText="1"/>
    </xf>
    <xf numFmtId="0" fontId="149" fillId="0" borderId="100" xfId="0" applyFont="1" applyBorder="1" applyAlignment="1">
      <alignment vertical="center" wrapText="1"/>
    </xf>
    <xf numFmtId="0" fontId="152" fillId="0" borderId="0" xfId="0" applyFont="1"/>
    <xf numFmtId="0" fontId="153" fillId="0" borderId="106" xfId="0" applyFont="1" applyBorder="1"/>
    <xf numFmtId="0" fontId="155" fillId="0" borderId="109" xfId="0" applyFont="1" applyBorder="1" applyAlignment="1">
      <alignment horizontal="center"/>
    </xf>
    <xf numFmtId="0" fontId="156" fillId="0" borderId="110" xfId="0" applyFont="1" applyBorder="1" applyAlignment="1">
      <alignment vertical="center"/>
    </xf>
    <xf numFmtId="168" fontId="160" fillId="0" borderId="113" xfId="0" applyNumberFormat="1" applyFont="1" applyBorder="1" applyAlignment="1">
      <alignment horizontal="center"/>
    </xf>
    <xf numFmtId="0" fontId="162" fillId="0" borderId="116" xfId="0" applyFont="1" applyBorder="1" applyAlignment="1">
      <alignment horizontal="center" vertical="center"/>
    </xf>
    <xf numFmtId="0" fontId="163" fillId="0" borderId="117" xfId="0" applyFont="1" applyBorder="1" applyAlignment="1">
      <alignment vertical="center"/>
    </xf>
    <xf numFmtId="0" fontId="165" fillId="0" borderId="0" xfId="0" applyFont="1" applyAlignment="1">
      <alignment horizontal="left"/>
    </xf>
    <xf numFmtId="0" fontId="167" fillId="0" borderId="119" xfId="0" applyFont="1" applyBorder="1"/>
    <xf numFmtId="0" fontId="170" fillId="0" borderId="122" xfId="0" applyFont="1" applyBorder="1" applyAlignment="1">
      <alignment horizontal="left" vertical="center"/>
    </xf>
    <xf numFmtId="0" fontId="172" fillId="0" borderId="126" xfId="0" applyFont="1" applyBorder="1" applyAlignment="1">
      <alignment vertical="top"/>
    </xf>
    <xf numFmtId="0" fontId="173" fillId="0" borderId="127" xfId="0" applyFont="1" applyBorder="1"/>
    <xf numFmtId="0" fontId="174" fillId="0" borderId="128" xfId="0" applyFont="1" applyBorder="1"/>
    <xf numFmtId="0" fontId="176" fillId="0" borderId="129" xfId="0" applyFont="1" applyBorder="1" applyAlignment="1">
      <alignment horizontal="center" vertical="center"/>
    </xf>
    <xf numFmtId="43" fontId="177" fillId="0" borderId="0" xfId="0" applyNumberFormat="1" applyFont="1"/>
    <xf numFmtId="0" fontId="178" fillId="0" borderId="130" xfId="0" applyFont="1" applyBorder="1" applyAlignment="1">
      <alignment horizontal="left" vertical="top" wrapText="1"/>
    </xf>
    <xf numFmtId="0" fontId="181" fillId="0" borderId="133" xfId="0" applyFont="1" applyBorder="1"/>
    <xf numFmtId="0" fontId="183" fillId="0" borderId="134" xfId="0" applyFont="1" applyBorder="1"/>
    <xf numFmtId="0" fontId="185" fillId="0" borderId="135" xfId="0" applyFont="1" applyBorder="1" applyAlignment="1">
      <alignment vertical="top" wrapText="1"/>
    </xf>
    <xf numFmtId="0" fontId="186" fillId="0" borderId="136" xfId="0" applyFont="1" applyBorder="1" applyAlignment="1">
      <alignment horizontal="center" vertical="center"/>
    </xf>
    <xf numFmtId="0" fontId="187" fillId="0" borderId="139" xfId="0" applyFont="1" applyBorder="1" applyAlignment="1">
      <alignment horizontal="center" vertical="center"/>
    </xf>
    <xf numFmtId="0" fontId="188" fillId="0" borderId="141" xfId="0" applyFont="1" applyBorder="1" applyAlignment="1">
      <alignment horizontal="left"/>
    </xf>
    <xf numFmtId="0" fontId="190" fillId="0" borderId="0" xfId="0" applyFont="1" applyAlignment="1">
      <alignment horizontal="center"/>
    </xf>
    <xf numFmtId="0" fontId="192" fillId="0" borderId="144" xfId="0" applyFont="1" applyBorder="1" applyAlignment="1">
      <alignment horizontal="center"/>
    </xf>
    <xf numFmtId="0" fontId="195" fillId="0" borderId="0" xfId="0" applyFont="1" applyAlignment="1">
      <alignment horizontal="left"/>
    </xf>
    <xf numFmtId="0" fontId="197" fillId="0" borderId="146" xfId="0" applyFont="1" applyBorder="1" applyAlignment="1">
      <alignment horizontal="center" vertical="center"/>
    </xf>
    <xf numFmtId="0" fontId="198" fillId="0" borderId="147" xfId="0" applyFont="1" applyBorder="1" applyAlignment="1">
      <alignment vertical="top"/>
    </xf>
    <xf numFmtId="0" fontId="199" fillId="0" borderId="148" xfId="0" applyFont="1" applyBorder="1" applyAlignment="1">
      <alignment horizontal="left" vertical="center"/>
    </xf>
    <xf numFmtId="0" fontId="202" fillId="0" borderId="151" xfId="0" applyFont="1" applyBorder="1"/>
    <xf numFmtId="0" fontId="203" fillId="0" borderId="152" xfId="0" applyFont="1" applyBorder="1"/>
    <xf numFmtId="0" fontId="206" fillId="0" borderId="154" xfId="0" applyFont="1" applyBorder="1" applyAlignment="1">
      <alignment horizontal="left" vertical="center"/>
    </xf>
    <xf numFmtId="0" fontId="210" fillId="0" borderId="155" xfId="0" applyFont="1" applyBorder="1" applyAlignment="1">
      <alignment vertical="center"/>
    </xf>
    <xf numFmtId="0" fontId="212" fillId="0" borderId="0" xfId="0" applyFont="1"/>
    <xf numFmtId="0" fontId="218" fillId="70" borderId="0" xfId="0" applyFont="1" applyFill="1" applyAlignment="1">
      <alignment horizontal="left"/>
    </xf>
    <xf numFmtId="0" fontId="219" fillId="0" borderId="162" xfId="0" applyFont="1" applyBorder="1" applyAlignment="1">
      <alignment horizontal="left" vertical="center"/>
    </xf>
    <xf numFmtId="0" fontId="220" fillId="0" borderId="163" xfId="0" applyFont="1" applyBorder="1" applyAlignment="1">
      <alignment vertical="center"/>
    </xf>
    <xf numFmtId="0" fontId="222" fillId="0" borderId="164" xfId="0" applyFont="1" applyBorder="1" applyAlignment="1">
      <alignment horizontal="center"/>
    </xf>
    <xf numFmtId="0" fontId="223" fillId="0" borderId="165" xfId="0" applyFont="1" applyBorder="1"/>
    <xf numFmtId="0" fontId="225" fillId="0" borderId="166" xfId="0" applyFont="1" applyBorder="1" applyAlignment="1">
      <alignment vertical="center"/>
    </xf>
    <xf numFmtId="0" fontId="227" fillId="0" borderId="168" xfId="0" applyFont="1" applyBorder="1"/>
    <xf numFmtId="0" fontId="228" fillId="0" borderId="169" xfId="0" applyFont="1" applyBorder="1"/>
    <xf numFmtId="0" fontId="229" fillId="0" borderId="170" xfId="0" applyFont="1" applyBorder="1" applyAlignment="1">
      <alignment vertical="top"/>
    </xf>
    <xf numFmtId="0" fontId="235" fillId="0" borderId="0" xfId="0" applyFont="1"/>
    <xf numFmtId="0" fontId="236" fillId="0" borderId="180" xfId="0" applyFont="1" applyBorder="1" applyAlignment="1">
      <alignment horizontal="left"/>
    </xf>
    <xf numFmtId="0" fontId="237" fillId="0" borderId="181" xfId="0" applyFont="1" applyBorder="1" applyAlignment="1">
      <alignment horizontal="center" vertical="center"/>
    </xf>
    <xf numFmtId="0" fontId="243" fillId="0" borderId="183" xfId="0" applyFont="1" applyBorder="1" applyAlignment="1">
      <alignment horizontal="center"/>
    </xf>
    <xf numFmtId="0" fontId="246" fillId="0" borderId="185" xfId="0" applyFont="1" applyBorder="1" applyAlignment="1">
      <alignment horizontal="left"/>
    </xf>
    <xf numFmtId="0" fontId="248" fillId="0" borderId="0" xfId="0" applyFont="1"/>
    <xf numFmtId="0" fontId="249" fillId="0" borderId="188" xfId="0" applyFont="1" applyBorder="1" applyAlignment="1">
      <alignment horizontal="left" vertical="center"/>
    </xf>
    <xf numFmtId="0" fontId="250" fillId="0" borderId="189" xfId="0" applyFont="1" applyBorder="1"/>
    <xf numFmtId="0" fontId="254" fillId="0" borderId="194" xfId="0" applyFont="1" applyBorder="1" applyAlignment="1">
      <alignment vertical="center"/>
    </xf>
    <xf numFmtId="0" fontId="255" fillId="0" borderId="195" xfId="0" applyFont="1" applyBorder="1"/>
    <xf numFmtId="43" fontId="257" fillId="81" borderId="196" xfId="0" applyNumberFormat="1" applyFont="1" applyFill="1" applyBorder="1"/>
    <xf numFmtId="0" fontId="258" fillId="0" borderId="197" xfId="0" applyFont="1" applyBorder="1"/>
    <xf numFmtId="0" fontId="259" fillId="0" borderId="0" xfId="0" applyFont="1" applyAlignment="1">
      <alignment horizontal="center"/>
    </xf>
    <xf numFmtId="0" fontId="263" fillId="0" borderId="203" xfId="0" applyFont="1" applyBorder="1" applyAlignment="1">
      <alignment horizontal="left"/>
    </xf>
    <xf numFmtId="0" fontId="265" fillId="0" borderId="205" xfId="0" applyFont="1" applyBorder="1" applyAlignment="1">
      <alignment horizontal="center" vertical="center"/>
    </xf>
    <xf numFmtId="166" fontId="269" fillId="85" borderId="211" xfId="0" applyNumberFormat="1" applyFont="1" applyFill="1" applyBorder="1" applyAlignment="1">
      <alignment horizontal="center" vertical="center"/>
    </xf>
    <xf numFmtId="0" fontId="270" fillId="0" borderId="0" xfId="0" applyFont="1" applyAlignment="1">
      <alignment horizontal="center"/>
    </xf>
    <xf numFmtId="0" fontId="271" fillId="0" borderId="0" xfId="0" applyFont="1" applyAlignment="1">
      <alignment horizontal="left"/>
    </xf>
    <xf numFmtId="0" fontId="273" fillId="0" borderId="215" xfId="0" applyFont="1" applyBorder="1" applyAlignment="1">
      <alignment vertical="center"/>
    </xf>
    <xf numFmtId="0" fontId="276" fillId="0" borderId="218" xfId="0" applyFont="1" applyBorder="1" applyAlignment="1">
      <alignment vertical="center"/>
    </xf>
    <xf numFmtId="0" fontId="277" fillId="0" borderId="221" xfId="0" applyFont="1" applyBorder="1"/>
    <xf numFmtId="0" fontId="278" fillId="0" borderId="222" xfId="0" applyFont="1" applyBorder="1" applyAlignment="1">
      <alignment horizontal="left" vertical="center" wrapText="1"/>
    </xf>
    <xf numFmtId="0" fontId="280" fillId="0" borderId="224" xfId="0" applyFont="1" applyBorder="1" applyAlignment="1">
      <alignment vertical="center"/>
    </xf>
    <xf numFmtId="0" fontId="281" fillId="0" borderId="226" xfId="0" applyFont="1" applyBorder="1"/>
    <xf numFmtId="0" fontId="285" fillId="0" borderId="231" xfId="0" applyFont="1" applyBorder="1"/>
    <xf numFmtId="0" fontId="286" fillId="0" borderId="234" xfId="0" applyFont="1" applyBorder="1" applyAlignment="1">
      <alignment vertical="center"/>
    </xf>
    <xf numFmtId="0" fontId="288" fillId="0" borderId="240" xfId="0" applyFont="1" applyBorder="1" applyAlignment="1">
      <alignment vertical="center"/>
    </xf>
    <xf numFmtId="0" fontId="18" fillId="0" borderId="0" xfId="0" applyFont="1"/>
    <xf numFmtId="2" fontId="169" fillId="0" borderId="121" xfId="0" applyNumberFormat="1" applyFont="1" applyBorder="1" applyAlignment="1">
      <alignment horizontal="center"/>
    </xf>
    <xf numFmtId="175" fontId="160" fillId="0" borderId="113" xfId="0" applyNumberFormat="1" applyFont="1" applyBorder="1" applyAlignment="1">
      <alignment horizontal="center"/>
    </xf>
    <xf numFmtId="0" fontId="25" fillId="0" borderId="163" xfId="0" applyFont="1" applyBorder="1" applyAlignment="1">
      <alignment vertical="center"/>
    </xf>
    <xf numFmtId="0" fontId="25" fillId="0" borderId="241" xfId="0" applyFont="1" applyBorder="1" applyAlignment="1">
      <alignment vertical="center"/>
    </xf>
    <xf numFmtId="0" fontId="19" fillId="0" borderId="0" xfId="0" applyFont="1" applyAlignment="1">
      <alignment wrapText="1"/>
    </xf>
    <xf numFmtId="0" fontId="18" fillId="0" borderId="241" xfId="0" applyFont="1" applyBorder="1" applyAlignment="1">
      <alignment horizontal="center" vertical="center"/>
    </xf>
    <xf numFmtId="0" fontId="19" fillId="0" borderId="22" xfId="0" applyFont="1" applyBorder="1"/>
    <xf numFmtId="43" fontId="78" fillId="0" borderId="0" xfId="0" applyNumberFormat="1" applyFont="1"/>
    <xf numFmtId="0" fontId="52" fillId="0" borderId="199" xfId="0" applyFont="1" applyBorder="1" applyAlignment="1">
      <alignment horizontal="left" vertical="center"/>
    </xf>
    <xf numFmtId="0" fontId="206" fillId="0" borderId="204" xfId="0" applyFont="1" applyBorder="1" applyAlignment="1">
      <alignment horizontal="left" vertical="center"/>
    </xf>
    <xf numFmtId="0" fontId="196" fillId="0" borderId="199" xfId="0" applyFont="1" applyBorder="1" applyAlignment="1">
      <alignment horizontal="left" vertical="center"/>
    </xf>
    <xf numFmtId="0" fontId="168" fillId="0" borderId="204" xfId="0" applyFont="1" applyBorder="1" applyAlignment="1">
      <alignment horizontal="left" vertical="center"/>
    </xf>
    <xf numFmtId="0" fontId="61" fillId="0" borderId="214" xfId="0" applyFont="1" applyBorder="1" applyAlignment="1">
      <alignment vertical="center"/>
    </xf>
    <xf numFmtId="0" fontId="37" fillId="0" borderId="199" xfId="0" applyFont="1" applyBorder="1" applyAlignment="1">
      <alignment vertical="center"/>
    </xf>
    <xf numFmtId="0" fontId="171" fillId="54" borderId="209" xfId="0" applyFont="1" applyFill="1" applyBorder="1"/>
    <xf numFmtId="0" fontId="95" fillId="21" borderId="204" xfId="0" applyFont="1" applyFill="1" applyBorder="1"/>
    <xf numFmtId="0" fontId="167" fillId="0" borderId="228" xfId="0" applyFont="1" applyBorder="1"/>
    <xf numFmtId="0" fontId="140" fillId="0" borderId="210" xfId="0" applyFont="1" applyBorder="1"/>
    <xf numFmtId="0" fontId="201" fillId="0" borderId="228" xfId="0" applyFont="1" applyBorder="1"/>
    <xf numFmtId="0" fontId="50" fillId="0" borderId="210" xfId="0" applyFont="1" applyBorder="1"/>
    <xf numFmtId="0" fontId="18" fillId="0" borderId="241" xfId="0" applyFont="1" applyBorder="1"/>
    <xf numFmtId="0" fontId="18" fillId="0" borderId="241" xfId="0" applyFont="1" applyBorder="1" applyAlignment="1">
      <alignment horizontal="left"/>
    </xf>
    <xf numFmtId="0" fontId="19" fillId="0" borderId="0" xfId="0" applyFont="1" applyAlignment="1"/>
    <xf numFmtId="43" fontId="248" fillId="0" borderId="0" xfId="0" applyNumberFormat="1" applyFont="1"/>
    <xf numFmtId="0" fontId="190" fillId="0" borderId="0" xfId="0" applyNumberFormat="1" applyFont="1" applyAlignment="1">
      <alignment horizontal="center"/>
    </xf>
    <xf numFmtId="0" fontId="259" fillId="0" borderId="0" xfId="0" applyNumberFormat="1" applyFont="1" applyAlignment="1">
      <alignment horizontal="center"/>
    </xf>
    <xf numFmtId="0" fontId="222" fillId="0" borderId="164" xfId="0" applyNumberFormat="1" applyFont="1" applyBorder="1" applyAlignment="1">
      <alignment horizontal="center"/>
    </xf>
    <xf numFmtId="0" fontId="188" fillId="0" borderId="141" xfId="0" applyNumberFormat="1" applyFont="1" applyBorder="1" applyAlignment="1">
      <alignment horizontal="left"/>
    </xf>
    <xf numFmtId="0" fontId="195" fillId="0" borderId="0" xfId="0" applyNumberFormat="1" applyFont="1" applyAlignment="1">
      <alignment horizontal="left"/>
    </xf>
    <xf numFmtId="0" fontId="271" fillId="0" borderId="0" xfId="0" applyNumberFormat="1" applyFont="1" applyAlignment="1">
      <alignment horizontal="left"/>
    </xf>
    <xf numFmtId="0" fontId="165" fillId="0" borderId="0" xfId="0" applyNumberFormat="1" applyFont="1" applyAlignment="1">
      <alignment horizontal="left"/>
    </xf>
    <xf numFmtId="0" fontId="218" fillId="70" borderId="0" xfId="0" applyNumberFormat="1" applyFont="1" applyFill="1" applyAlignment="1">
      <alignment horizontal="left"/>
    </xf>
    <xf numFmtId="0" fontId="25" fillId="0" borderId="141" xfId="0" applyFont="1" applyBorder="1" applyAlignment="1">
      <alignment horizontal="left"/>
    </xf>
    <xf numFmtId="175" fontId="190" fillId="0" borderId="0" xfId="2" applyNumberFormat="1" applyFont="1" applyAlignment="1">
      <alignment horizontal="center"/>
    </xf>
    <xf numFmtId="175" fontId="47" fillId="0" borderId="0" xfId="2" applyNumberFormat="1" applyFont="1"/>
    <xf numFmtId="175" fontId="248" fillId="0" borderId="0" xfId="2" applyNumberFormat="1" applyFont="1"/>
    <xf numFmtId="175" fontId="222" fillId="0" borderId="164" xfId="2" applyNumberFormat="1" applyFont="1" applyBorder="1" applyAlignment="1">
      <alignment horizontal="center"/>
    </xf>
    <xf numFmtId="175" fontId="160" fillId="0" borderId="113" xfId="2" applyNumberFormat="1" applyFont="1" applyBorder="1" applyAlignment="1">
      <alignment horizontal="center"/>
    </xf>
    <xf numFmtId="175" fontId="270" fillId="0" borderId="0" xfId="2" applyNumberFormat="1" applyFont="1" applyAlignment="1">
      <alignment horizontal="center"/>
    </xf>
    <xf numFmtId="175" fontId="0" fillId="0" borderId="0" xfId="2" applyNumberFormat="1" applyFont="1" applyAlignment="1">
      <alignment wrapText="1"/>
    </xf>
    <xf numFmtId="175" fontId="190" fillId="0" borderId="0" xfId="0" applyNumberFormat="1" applyFont="1" applyAlignment="1">
      <alignment horizontal="center"/>
    </xf>
    <xf numFmtId="175" fontId="259" fillId="0" borderId="0" xfId="0" applyNumberFormat="1" applyFont="1" applyAlignment="1">
      <alignment horizontal="center"/>
    </xf>
    <xf numFmtId="175" fontId="208" fillId="0" borderId="0" xfId="0" applyNumberFormat="1" applyFont="1" applyAlignment="1">
      <alignment horizontal="center"/>
    </xf>
    <xf numFmtId="175" fontId="222" fillId="0" borderId="164" xfId="0" applyNumberFormat="1" applyFont="1" applyBorder="1" applyAlignment="1">
      <alignment horizontal="center"/>
    </xf>
    <xf numFmtId="0" fontId="83" fillId="0" borderId="0" xfId="0" applyFont="1" applyAlignment="1">
      <alignment vertical="center"/>
    </xf>
    <xf numFmtId="0" fontId="69" fillId="0" borderId="0" xfId="0" applyFont="1" applyAlignment="1">
      <alignment vertical="center"/>
    </xf>
    <xf numFmtId="0" fontId="302" fillId="29" borderId="0" xfId="0" applyFont="1" applyFill="1" applyAlignment="1">
      <alignment vertical="center"/>
    </xf>
    <xf numFmtId="0" fontId="83" fillId="88" borderId="0" xfId="0" applyFont="1" applyFill="1" applyAlignment="1">
      <alignment vertical="center"/>
    </xf>
    <xf numFmtId="0" fontId="97" fillId="0" borderId="0" xfId="0" applyFont="1" applyAlignment="1">
      <alignment wrapText="1"/>
    </xf>
    <xf numFmtId="170" fontId="303" fillId="13" borderId="0" xfId="0" applyNumberFormat="1" applyFont="1" applyFill="1" applyAlignment="1">
      <alignment horizontal="center" vertical="center"/>
    </xf>
    <xf numFmtId="0" fontId="302" fillId="75" borderId="0" xfId="0" applyFont="1" applyFill="1" applyAlignment="1">
      <alignment horizontal="center"/>
    </xf>
    <xf numFmtId="0" fontId="304" fillId="26" borderId="0" xfId="0" applyFont="1" applyFill="1" applyAlignment="1">
      <alignment vertical="center"/>
    </xf>
    <xf numFmtId="0" fontId="304" fillId="0" borderId="0" xfId="0" applyFont="1" applyAlignment="1">
      <alignment vertical="center"/>
    </xf>
    <xf numFmtId="0" fontId="83" fillId="0" borderId="0" xfId="0" applyFont="1" applyAlignment="1">
      <alignment horizontal="left" vertical="center"/>
    </xf>
    <xf numFmtId="171" fontId="302" fillId="51" borderId="0" xfId="0" applyNumberFormat="1" applyFont="1" applyFill="1" applyAlignment="1">
      <alignment horizontal="center" vertical="center"/>
    </xf>
    <xf numFmtId="0" fontId="83" fillId="0" borderId="0" xfId="0" applyNumberFormat="1" applyFont="1" applyAlignment="1">
      <alignment horizontal="left" vertical="center"/>
    </xf>
    <xf numFmtId="2" fontId="83" fillId="0" borderId="0" xfId="0" applyNumberFormat="1" applyFont="1" applyAlignment="1">
      <alignment horizontal="left" vertical="center"/>
    </xf>
    <xf numFmtId="0" fontId="302" fillId="82" borderId="0" xfId="0" applyFont="1" applyFill="1" applyAlignment="1">
      <alignment horizontal="left" vertical="center"/>
    </xf>
    <xf numFmtId="43" fontId="302" fillId="14" borderId="0" xfId="0" applyNumberFormat="1" applyFont="1" applyFill="1" applyAlignment="1">
      <alignment vertical="center"/>
    </xf>
    <xf numFmtId="0" fontId="83" fillId="0" borderId="0" xfId="0" applyNumberFormat="1" applyFont="1" applyAlignment="1">
      <alignment vertical="center"/>
    </xf>
    <xf numFmtId="0" fontId="83" fillId="0" borderId="10" xfId="0" applyNumberFormat="1" applyFont="1" applyBorder="1" applyAlignment="1">
      <alignment horizontal="left" vertical="center"/>
    </xf>
    <xf numFmtId="0" fontId="83" fillId="0" borderId="79" xfId="0" applyFont="1" applyBorder="1" applyAlignment="1">
      <alignment vertical="center"/>
    </xf>
    <xf numFmtId="0" fontId="69" fillId="0" borderId="138" xfId="0" applyFont="1" applyBorder="1" applyAlignment="1">
      <alignment vertical="center"/>
    </xf>
    <xf numFmtId="0" fontId="83" fillId="0" borderId="74" xfId="0" applyFont="1" applyBorder="1" applyAlignment="1">
      <alignment vertical="center"/>
    </xf>
    <xf numFmtId="0" fontId="83" fillId="0" borderId="199" xfId="0" applyFont="1" applyBorder="1" applyAlignment="1">
      <alignment horizontal="center" vertical="center"/>
    </xf>
    <xf numFmtId="0" fontId="69" fillId="0" borderId="124" xfId="0" applyFont="1" applyBorder="1" applyAlignment="1">
      <alignment horizontal="left" vertical="center"/>
    </xf>
    <xf numFmtId="0" fontId="69" fillId="0" borderId="167" xfId="0" applyFont="1" applyBorder="1" applyAlignment="1">
      <alignment vertical="center"/>
    </xf>
    <xf numFmtId="171" fontId="69" fillId="0" borderId="0" xfId="0" applyNumberFormat="1" applyFont="1" applyAlignment="1">
      <alignment horizontal="center" vertical="center"/>
    </xf>
    <xf numFmtId="43" fontId="69" fillId="0" borderId="0" xfId="0" applyNumberFormat="1" applyFont="1" applyAlignment="1">
      <alignment horizontal="center" vertical="center"/>
    </xf>
    <xf numFmtId="170" fontId="69" fillId="0" borderId="0" xfId="0" applyNumberFormat="1" applyFont="1" applyAlignment="1">
      <alignment horizontal="center" vertical="center"/>
    </xf>
    <xf numFmtId="0" fontId="69" fillId="0" borderId="0" xfId="0" applyNumberFormat="1" applyFont="1" applyAlignment="1">
      <alignment horizontal="center" vertical="center"/>
    </xf>
    <xf numFmtId="43" fontId="305" fillId="0" borderId="0" xfId="0" applyNumberFormat="1" applyFont="1" applyAlignment="1">
      <alignment horizontal="center" vertical="center"/>
    </xf>
    <xf numFmtId="173" fontId="69" fillId="0" borderId="0" xfId="0" applyNumberFormat="1" applyFont="1" applyAlignment="1">
      <alignment horizontal="center" vertical="center"/>
    </xf>
    <xf numFmtId="165" fontId="302" fillId="80" borderId="0" xfId="0" applyNumberFormat="1" applyFont="1" applyFill="1" applyAlignment="1">
      <alignment vertical="center"/>
    </xf>
    <xf numFmtId="43" fontId="83" fillId="0" borderId="0" xfId="0" applyNumberFormat="1" applyFont="1" applyAlignment="1">
      <alignment vertical="center"/>
    </xf>
    <xf numFmtId="0" fontId="306" fillId="0" borderId="0" xfId="0" applyFont="1" applyAlignment="1">
      <alignment horizontal="center" vertical="center"/>
    </xf>
    <xf numFmtId="43" fontId="83" fillId="0" borderId="200" xfId="0" applyNumberFormat="1" applyFont="1" applyBorder="1" applyAlignment="1">
      <alignment vertical="center"/>
    </xf>
    <xf numFmtId="43" fontId="83" fillId="0" borderId="178" xfId="0" applyNumberFormat="1" applyFont="1" applyBorder="1" applyAlignment="1">
      <alignment vertical="center"/>
    </xf>
    <xf numFmtId="43" fontId="69" fillId="0" borderId="114" xfId="0" applyNumberFormat="1" applyFont="1" applyBorder="1" applyAlignment="1">
      <alignment vertical="center"/>
    </xf>
    <xf numFmtId="43" fontId="69" fillId="69" borderId="160" xfId="0" applyNumberFormat="1" applyFont="1" applyFill="1" applyBorder="1" applyAlignment="1">
      <alignment vertical="center"/>
    </xf>
    <xf numFmtId="43" fontId="69" fillId="0" borderId="173" xfId="0" applyNumberFormat="1" applyFont="1" applyBorder="1" applyAlignment="1">
      <alignment vertical="center"/>
    </xf>
    <xf numFmtId="0" fontId="303" fillId="76" borderId="0" xfId="0" applyFont="1" applyFill="1" applyAlignment="1">
      <alignment vertical="center"/>
    </xf>
    <xf numFmtId="0" fontId="305" fillId="22" borderId="0" xfId="0" applyFont="1" applyFill="1" applyAlignment="1">
      <alignment vertical="center"/>
    </xf>
    <xf numFmtId="43" fontId="83" fillId="0" borderId="3" xfId="0" applyNumberFormat="1" applyFont="1" applyBorder="1" applyAlignment="1">
      <alignment vertical="center"/>
    </xf>
    <xf numFmtId="43" fontId="83" fillId="0" borderId="0" xfId="0" applyNumberFormat="1" applyFont="1" applyAlignment="1">
      <alignment horizontal="left" vertical="center"/>
    </xf>
    <xf numFmtId="43" fontId="69" fillId="0" borderId="0" xfId="0" applyNumberFormat="1" applyFont="1" applyAlignment="1">
      <alignment horizontal="left" vertical="center"/>
    </xf>
    <xf numFmtId="43" fontId="83" fillId="0" borderId="31" xfId="0" applyNumberFormat="1" applyFont="1" applyBorder="1" applyAlignment="1">
      <alignment horizontal="left" vertical="center"/>
    </xf>
    <xf numFmtId="43" fontId="69" fillId="0" borderId="158" xfId="0" applyNumberFormat="1" applyFont="1" applyBorder="1" applyAlignment="1">
      <alignment horizontal="left" vertical="center"/>
    </xf>
    <xf numFmtId="0" fontId="304" fillId="59" borderId="0" xfId="0" applyFont="1" applyFill="1" applyAlignment="1">
      <alignment horizontal="left" vertical="center"/>
    </xf>
    <xf numFmtId="165" fontId="83" fillId="0" borderId="0" xfId="0" applyNumberFormat="1" applyFont="1" applyAlignment="1">
      <alignment vertical="center"/>
    </xf>
    <xf numFmtId="0" fontId="83" fillId="0" borderId="107" xfId="0" applyFont="1" applyBorder="1" applyAlignment="1">
      <alignment vertical="center"/>
    </xf>
    <xf numFmtId="43" fontId="69" fillId="0" borderId="101" xfId="0" applyNumberFormat="1" applyFont="1" applyBorder="1" applyAlignment="1">
      <alignment vertical="center"/>
    </xf>
    <xf numFmtId="43" fontId="69" fillId="0" borderId="0" xfId="0" applyNumberFormat="1" applyFont="1" applyAlignment="1">
      <alignment vertical="center"/>
    </xf>
    <xf numFmtId="43" fontId="304" fillId="0" borderId="0" xfId="0" applyNumberFormat="1" applyFont="1" applyAlignment="1">
      <alignment vertical="center"/>
    </xf>
    <xf numFmtId="0" fontId="304" fillId="0" borderId="0" xfId="0" applyFont="1" applyAlignment="1">
      <alignment horizontal="center" vertical="center"/>
    </xf>
    <xf numFmtId="0" fontId="83" fillId="0" borderId="150" xfId="0" applyFont="1" applyBorder="1" applyAlignment="1">
      <alignment vertical="center"/>
    </xf>
    <xf numFmtId="0" fontId="83" fillId="0" borderId="53" xfId="0" applyFont="1" applyBorder="1" applyAlignment="1">
      <alignment vertical="center"/>
    </xf>
    <xf numFmtId="0" fontId="83" fillId="0" borderId="123" xfId="0" applyFont="1" applyBorder="1" applyAlignment="1">
      <alignment vertical="center"/>
    </xf>
    <xf numFmtId="0" fontId="306" fillId="0" borderId="0" xfId="0" applyFont="1" applyAlignment="1">
      <alignment vertical="center"/>
    </xf>
    <xf numFmtId="0" fontId="307" fillId="0" borderId="0" xfId="0" applyFont="1" applyAlignment="1">
      <alignment vertical="center"/>
    </xf>
    <xf numFmtId="4" fontId="83" fillId="0" borderId="0" xfId="0" applyNumberFormat="1" applyFont="1" applyAlignment="1">
      <alignment vertical="center"/>
    </xf>
    <xf numFmtId="0" fontId="302" fillId="50" borderId="118" xfId="0" applyFont="1" applyFill="1" applyBorder="1" applyAlignment="1">
      <alignment vertical="center"/>
    </xf>
    <xf numFmtId="0" fontId="83" fillId="0" borderId="5" xfId="0" applyFont="1" applyBorder="1" applyAlignment="1">
      <alignment vertical="center"/>
    </xf>
    <xf numFmtId="43" fontId="302" fillId="11" borderId="24" xfId="0" applyNumberFormat="1" applyFont="1" applyFill="1" applyBorder="1" applyAlignment="1">
      <alignment vertical="center"/>
    </xf>
    <xf numFmtId="43" fontId="302" fillId="6" borderId="13" xfId="0" applyNumberFormat="1" applyFont="1" applyFill="1" applyBorder="1" applyAlignment="1">
      <alignment vertical="center"/>
    </xf>
    <xf numFmtId="0" fontId="302" fillId="53" borderId="125" xfId="0" applyFont="1" applyFill="1" applyBorder="1" applyAlignment="1">
      <alignment vertical="center"/>
    </xf>
    <xf numFmtId="0" fontId="302" fillId="62" borderId="140" xfId="0" applyFont="1" applyFill="1" applyBorder="1" applyAlignment="1">
      <alignment vertical="center"/>
    </xf>
    <xf numFmtId="43" fontId="83" fillId="0" borderId="0" xfId="0" applyNumberFormat="1" applyFont="1" applyAlignment="1">
      <alignment horizontal="center" vertical="center"/>
    </xf>
    <xf numFmtId="0" fontId="83" fillId="0" borderId="239" xfId="0" applyFont="1" applyBorder="1" applyAlignment="1">
      <alignment vertical="center"/>
    </xf>
    <xf numFmtId="4" fontId="69" fillId="0" borderId="0" xfId="0" applyNumberFormat="1" applyFont="1" applyAlignment="1">
      <alignment vertical="center"/>
    </xf>
    <xf numFmtId="172" fontId="69" fillId="0" borderId="0" xfId="0" applyNumberFormat="1" applyFont="1" applyAlignment="1">
      <alignment vertical="center"/>
    </xf>
    <xf numFmtId="3" fontId="83" fillId="0" borderId="0" xfId="0" applyNumberFormat="1" applyFont="1" applyAlignment="1">
      <alignment vertical="center"/>
    </xf>
    <xf numFmtId="43" fontId="83" fillId="0" borderId="0" xfId="0" applyNumberFormat="1" applyFont="1" applyAlignment="1">
      <alignment horizontal="right" vertical="center"/>
    </xf>
    <xf numFmtId="0" fontId="309" fillId="55" borderId="0" xfId="0" applyFont="1" applyFill="1" applyAlignment="1">
      <alignment horizontal="left" vertical="center"/>
    </xf>
    <xf numFmtId="43" fontId="309" fillId="12" borderId="0" xfId="0" applyNumberFormat="1" applyFont="1" applyFill="1" applyAlignment="1">
      <alignment vertical="center"/>
    </xf>
    <xf numFmtId="41" fontId="83" fillId="0" borderId="241" xfId="0" applyNumberFormat="1" applyFont="1" applyBorder="1" applyAlignment="1">
      <alignment horizontal="center" vertical="center"/>
    </xf>
    <xf numFmtId="0" fontId="83" fillId="0" borderId="231" xfId="0" applyFont="1" applyBorder="1" applyAlignment="1">
      <alignment vertical="center"/>
    </xf>
    <xf numFmtId="43" fontId="83" fillId="0" borderId="241" xfId="0" applyNumberFormat="1" applyFont="1" applyBorder="1" applyAlignment="1">
      <alignment horizontal="right" vertical="center"/>
    </xf>
    <xf numFmtId="43" fontId="83" fillId="0" borderId="241" xfId="0" applyNumberFormat="1" applyFont="1" applyBorder="1" applyAlignment="1">
      <alignment vertical="center"/>
    </xf>
    <xf numFmtId="0" fontId="83" fillId="0" borderId="0" xfId="0" applyFont="1" applyFill="1" applyAlignment="1">
      <alignment horizontal="left" vertical="center"/>
    </xf>
    <xf numFmtId="0" fontId="302" fillId="0" borderId="0" xfId="0" applyFont="1" applyFill="1" applyAlignment="1">
      <alignment horizontal="left" vertical="center"/>
    </xf>
    <xf numFmtId="0" fontId="83" fillId="0" borderId="0" xfId="0" applyFont="1" applyFill="1" applyAlignment="1">
      <alignment vertical="center"/>
    </xf>
    <xf numFmtId="0" fontId="302" fillId="0" borderId="0" xfId="0" applyFont="1" applyFill="1" applyAlignment="1">
      <alignment vertical="center"/>
    </xf>
    <xf numFmtId="0" fontId="304" fillId="0" borderId="0" xfId="0" applyFont="1" applyFill="1" applyAlignment="1">
      <alignment vertical="center"/>
    </xf>
    <xf numFmtId="0" fontId="97" fillId="0" borderId="0" xfId="0" applyFont="1" applyFill="1" applyAlignment="1">
      <alignment wrapText="1"/>
    </xf>
    <xf numFmtId="170" fontId="83" fillId="0" borderId="241" xfId="0" applyNumberFormat="1" applyFont="1" applyBorder="1" applyAlignment="1">
      <alignment horizontal="left" vertical="center" indent="4"/>
    </xf>
    <xf numFmtId="0" fontId="83" fillId="0" borderId="0" xfId="0" applyFont="1" applyBorder="1" applyAlignment="1">
      <alignment vertical="center"/>
    </xf>
    <xf numFmtId="0" fontId="83" fillId="0" borderId="241" xfId="0" applyFont="1" applyBorder="1" applyAlignment="1">
      <alignment horizontal="center" vertical="center"/>
    </xf>
    <xf numFmtId="0" fontId="83" fillId="0" borderId="0" xfId="0" applyFont="1" applyBorder="1" applyAlignment="1">
      <alignment horizontal="left" vertical="center"/>
    </xf>
    <xf numFmtId="43" fontId="83" fillId="0" borderId="0" xfId="0" applyNumberFormat="1" applyFont="1" applyBorder="1" applyAlignment="1">
      <alignment vertical="center"/>
    </xf>
    <xf numFmtId="43" fontId="69" fillId="0" borderId="0" xfId="0" applyNumberFormat="1" applyFont="1" applyAlignment="1">
      <alignment horizontal="right" vertical="center"/>
    </xf>
    <xf numFmtId="43" fontId="69" fillId="0" borderId="179" xfId="0" applyNumberFormat="1" applyFont="1" applyBorder="1" applyAlignment="1">
      <alignment horizontal="right" vertical="center"/>
    </xf>
    <xf numFmtId="0" fontId="310" fillId="0" borderId="0" xfId="0" applyFont="1" applyAlignment="1">
      <alignment vertical="center"/>
    </xf>
    <xf numFmtId="0" fontId="83" fillId="0" borderId="0" xfId="0" applyFont="1" applyAlignment="1">
      <alignment horizontal="left" vertical="center" wrapText="1"/>
    </xf>
    <xf numFmtId="2" fontId="306" fillId="0" borderId="0" xfId="0" applyNumberFormat="1" applyFont="1" applyAlignment="1">
      <alignment horizontal="right" vertical="center"/>
    </xf>
    <xf numFmtId="43" fontId="304" fillId="0" borderId="228" xfId="0" applyNumberFormat="1" applyFont="1" applyBorder="1" applyAlignment="1">
      <alignment vertical="center"/>
    </xf>
    <xf numFmtId="4" fontId="83" fillId="0" borderId="0" xfId="0" applyNumberFormat="1" applyFont="1" applyAlignment="1">
      <alignment horizontal="center" vertical="center" wrapText="1"/>
    </xf>
    <xf numFmtId="4" fontId="83" fillId="0" borderId="0" xfId="0" applyNumberFormat="1" applyFont="1" applyAlignment="1">
      <alignment horizontal="center" vertical="center"/>
    </xf>
    <xf numFmtId="0" fontId="311" fillId="66" borderId="0" xfId="0" applyFont="1" applyFill="1" applyAlignment="1">
      <alignment horizontal="center" vertical="center"/>
    </xf>
    <xf numFmtId="0" fontId="310" fillId="0" borderId="0" xfId="0" applyFont="1" applyAlignment="1">
      <alignment horizontal="center" vertical="center"/>
    </xf>
    <xf numFmtId="9" fontId="83" fillId="0" borderId="0" xfId="0" applyNumberFormat="1" applyFont="1" applyAlignment="1">
      <alignment vertical="center"/>
    </xf>
    <xf numFmtId="2" fontId="83" fillId="0" borderId="0" xfId="0" applyNumberFormat="1" applyFont="1" applyAlignment="1">
      <alignment horizontal="center" vertical="center"/>
    </xf>
    <xf numFmtId="176" fontId="90" fillId="0" borderId="50" xfId="0" applyNumberFormat="1" applyFont="1" applyBorder="1" applyAlignment="1">
      <alignment horizontal="right" vertical="center"/>
    </xf>
    <xf numFmtId="176" fontId="20" fillId="0" borderId="2" xfId="0" applyNumberFormat="1" applyFont="1" applyBorder="1" applyAlignment="1">
      <alignment horizontal="right" vertical="center"/>
    </xf>
    <xf numFmtId="178" fontId="132" fillId="0" borderId="88" xfId="0" applyNumberFormat="1" applyFont="1" applyBorder="1" applyAlignment="1">
      <alignment horizontal="center" vertical="center"/>
    </xf>
    <xf numFmtId="9" fontId="97" fillId="0" borderId="0" xfId="2" applyFont="1"/>
    <xf numFmtId="43" fontId="248" fillId="0" borderId="0" xfId="1" applyFont="1"/>
    <xf numFmtId="176" fontId="248" fillId="0" borderId="0" xfId="1" applyNumberFormat="1" applyFont="1"/>
    <xf numFmtId="3" fontId="248" fillId="0" borderId="0" xfId="0" applyNumberFormat="1" applyFont="1"/>
    <xf numFmtId="3" fontId="18" fillId="0" borderId="0" xfId="0" applyNumberFormat="1" applyFont="1"/>
    <xf numFmtId="0" fontId="102" fillId="0" borderId="0" xfId="0" applyFont="1" applyBorder="1"/>
    <xf numFmtId="0" fontId="258" fillId="0" borderId="0" xfId="0" applyFont="1" applyBorder="1"/>
    <xf numFmtId="0" fontId="83" fillId="0" borderId="218" xfId="0" applyFont="1" applyBorder="1" applyAlignment="1">
      <alignment vertical="center"/>
    </xf>
    <xf numFmtId="43" fontId="83" fillId="0" borderId="218" xfId="0" applyNumberFormat="1" applyFont="1" applyBorder="1" applyAlignment="1">
      <alignment horizontal="left" vertical="center"/>
    </xf>
    <xf numFmtId="0" fontId="83" fillId="0" borderId="223" xfId="0" applyFont="1" applyBorder="1" applyAlignment="1">
      <alignment vertical="center"/>
    </xf>
    <xf numFmtId="165" fontId="83" fillId="0" borderId="241" xfId="0" applyNumberFormat="1" applyFont="1" applyBorder="1" applyAlignment="1">
      <alignment horizontal="right" vertical="center"/>
    </xf>
    <xf numFmtId="165" fontId="83" fillId="0" borderId="241" xfId="0" applyNumberFormat="1" applyFont="1" applyBorder="1" applyAlignment="1">
      <alignment vertical="center"/>
    </xf>
    <xf numFmtId="165" fontId="83" fillId="0" borderId="241" xfId="0" applyNumberFormat="1" applyFont="1" applyFill="1" applyBorder="1" applyAlignment="1">
      <alignment horizontal="right" vertical="center"/>
    </xf>
    <xf numFmtId="43" fontId="83" fillId="0" borderId="241" xfId="0" applyNumberFormat="1" applyFont="1" applyBorder="1" applyAlignment="1">
      <alignment horizontal="center" vertical="center"/>
    </xf>
    <xf numFmtId="0" fontId="83" fillId="0" borderId="241" xfId="0" applyFont="1" applyBorder="1" applyAlignment="1">
      <alignment vertical="center"/>
    </xf>
    <xf numFmtId="3" fontId="83" fillId="0" borderId="241" xfId="0" applyNumberFormat="1" applyFont="1" applyBorder="1" applyAlignment="1">
      <alignment horizontal="center" vertical="center"/>
    </xf>
    <xf numFmtId="3" fontId="83" fillId="0" borderId="241" xfId="0" applyNumberFormat="1" applyFont="1" applyBorder="1" applyAlignment="1">
      <alignment vertical="center"/>
    </xf>
    <xf numFmtId="41" fontId="83" fillId="0" borderId="241" xfId="0" applyNumberFormat="1" applyFont="1" applyBorder="1" applyAlignment="1">
      <alignment horizontal="right" vertical="center"/>
    </xf>
    <xf numFmtId="2" fontId="69" fillId="0" borderId="0" xfId="0" applyNumberFormat="1" applyFont="1" applyFill="1" applyBorder="1" applyAlignment="1">
      <alignment horizontal="center" vertical="center" wrapText="1"/>
    </xf>
    <xf numFmtId="43" fontId="83" fillId="0" borderId="0" xfId="0" applyNumberFormat="1" applyFont="1" applyFill="1" applyBorder="1" applyAlignment="1">
      <alignment vertical="center"/>
    </xf>
    <xf numFmtId="165" fontId="83" fillId="0" borderId="0" xfId="0" applyNumberFormat="1" applyFont="1" applyFill="1" applyBorder="1" applyAlignment="1">
      <alignment vertical="center"/>
    </xf>
    <xf numFmtId="0" fontId="83" fillId="0" borderId="0" xfId="0" applyFont="1" applyFill="1" applyBorder="1" applyAlignment="1">
      <alignment vertical="center"/>
    </xf>
    <xf numFmtId="43" fontId="302" fillId="0" borderId="0" xfId="0" applyNumberFormat="1" applyFont="1" applyFill="1" applyAlignment="1">
      <alignment vertical="center"/>
    </xf>
    <xf numFmtId="43" fontId="83" fillId="0" borderId="0" xfId="0" applyNumberFormat="1" applyFont="1" applyFill="1" applyAlignment="1">
      <alignment vertical="center"/>
    </xf>
    <xf numFmtId="43" fontId="83" fillId="0" borderId="0" xfId="0" applyNumberFormat="1" applyFont="1" applyFill="1" applyAlignment="1">
      <alignment horizontal="right" vertical="center"/>
    </xf>
    <xf numFmtId="43" fontId="69" fillId="0" borderId="0" xfId="0" applyNumberFormat="1" applyFont="1" applyFill="1" applyAlignment="1">
      <alignment horizontal="right" vertical="center"/>
    </xf>
    <xf numFmtId="4" fontId="83" fillId="0" borderId="0" xfId="0" applyNumberFormat="1" applyFont="1" applyFill="1" applyAlignment="1">
      <alignment horizontal="center" vertical="center" wrapText="1"/>
    </xf>
    <xf numFmtId="4" fontId="69" fillId="0" borderId="0" xfId="0" applyNumberFormat="1" applyFont="1" applyFill="1" applyAlignment="1">
      <alignment horizontal="center" vertical="center" wrapText="1"/>
    </xf>
    <xf numFmtId="43" fontId="302" fillId="61" borderId="0" xfId="0" applyNumberFormat="1" applyFont="1" applyFill="1" applyAlignment="1">
      <alignment vertical="center"/>
    </xf>
    <xf numFmtId="0" fontId="69" fillId="0" borderId="0" xfId="0" applyFont="1" applyFill="1" applyAlignment="1">
      <alignment vertical="center"/>
    </xf>
    <xf numFmtId="0" fontId="306" fillId="0" borderId="0" xfId="0" applyFont="1" applyFill="1" applyAlignment="1">
      <alignment vertical="center"/>
    </xf>
    <xf numFmtId="0" fontId="302" fillId="0" borderId="0" xfId="0" applyFont="1" applyFill="1" applyAlignment="1">
      <alignment horizontal="center" vertical="center"/>
    </xf>
    <xf numFmtId="169" fontId="83" fillId="0" borderId="0" xfId="0" applyNumberFormat="1" applyFont="1" applyBorder="1" applyAlignment="1">
      <alignment horizontal="center" vertical="center"/>
    </xf>
    <xf numFmtId="41" fontId="83" fillId="0" borderId="0" xfId="0" applyNumberFormat="1" applyFont="1" applyBorder="1" applyAlignment="1">
      <alignment horizontal="center" vertical="center"/>
    </xf>
    <xf numFmtId="0" fontId="69" fillId="0" borderId="0" xfId="0" applyFont="1" applyBorder="1" applyAlignment="1">
      <alignment horizontal="center" vertical="center"/>
    </xf>
    <xf numFmtId="0" fontId="68" fillId="0" borderId="0" xfId="0" applyFont="1" applyBorder="1"/>
    <xf numFmtId="0" fontId="144" fillId="0" borderId="0" xfId="0" applyFont="1" applyBorder="1"/>
    <xf numFmtId="0" fontId="69" fillId="0" borderId="172" xfId="0" applyFont="1" applyBorder="1" applyAlignment="1">
      <alignment horizontal="left" vertical="center"/>
    </xf>
    <xf numFmtId="43" fontId="69" fillId="0" borderId="172" xfId="0" applyNumberFormat="1" applyFont="1" applyBorder="1" applyAlignment="1">
      <alignment vertical="center"/>
    </xf>
    <xf numFmtId="43" fontId="316" fillId="0" borderId="172" xfId="0" applyNumberFormat="1" applyFont="1" applyBorder="1" applyAlignment="1">
      <alignment vertical="center"/>
    </xf>
    <xf numFmtId="43" fontId="69" fillId="33" borderId="172" xfId="0" applyNumberFormat="1" applyFont="1" applyFill="1" applyBorder="1" applyAlignment="1">
      <alignment vertical="center"/>
    </xf>
    <xf numFmtId="43" fontId="83" fillId="0" borderId="199" xfId="0" applyNumberFormat="1" applyFont="1" applyBorder="1" applyAlignment="1">
      <alignment vertical="center"/>
    </xf>
    <xf numFmtId="0" fontId="0" fillId="0" borderId="0" xfId="0" applyAlignment="1">
      <alignment wrapText="1"/>
    </xf>
    <xf numFmtId="0" fontId="0" fillId="0" borderId="0" xfId="0" applyFill="1" applyAlignment="1">
      <alignment wrapText="1"/>
    </xf>
    <xf numFmtId="0" fontId="75" fillId="0" borderId="40" xfId="0" applyFont="1" applyBorder="1" applyAlignment="1">
      <alignment horizontal="left" vertical="center"/>
    </xf>
    <xf numFmtId="171" fontId="83" fillId="0" borderId="0" xfId="0" applyNumberFormat="1" applyFont="1" applyAlignment="1">
      <alignment horizontal="left" vertical="center"/>
    </xf>
    <xf numFmtId="0" fontId="92" fillId="0" borderId="190" xfId="0" applyFont="1" applyBorder="1"/>
    <xf numFmtId="175" fontId="160" fillId="0" borderId="241" xfId="0" applyNumberFormat="1" applyFont="1" applyBorder="1" applyAlignment="1">
      <alignment horizontal="center"/>
    </xf>
    <xf numFmtId="0" fontId="302" fillId="58" borderId="0" xfId="0" applyFont="1" applyFill="1" applyAlignment="1">
      <alignment horizontal="center" vertical="center"/>
    </xf>
    <xf numFmtId="165" fontId="83" fillId="0" borderId="0" xfId="0" applyNumberFormat="1" applyFont="1" applyAlignment="1">
      <alignment horizontal="center" vertical="center"/>
    </xf>
    <xf numFmtId="0" fontId="83" fillId="0" borderId="0" xfId="0" applyFont="1" applyAlignment="1">
      <alignment horizontal="center" vertical="center"/>
    </xf>
    <xf numFmtId="0" fontId="69" fillId="0" borderId="0" xfId="0" applyFont="1" applyAlignment="1">
      <alignment horizontal="center" vertical="center"/>
    </xf>
    <xf numFmtId="0" fontId="144" fillId="0" borderId="190" xfId="0" applyFont="1" applyBorder="1"/>
    <xf numFmtId="0" fontId="83" fillId="0" borderId="241" xfId="0" applyFont="1" applyFill="1" applyBorder="1" applyAlignment="1">
      <alignment horizontal="left" vertical="center"/>
    </xf>
    <xf numFmtId="43" fontId="83" fillId="0" borderId="241" xfId="0" applyNumberFormat="1" applyFont="1" applyFill="1" applyBorder="1" applyAlignment="1">
      <alignment horizontal="right" vertical="center"/>
    </xf>
    <xf numFmtId="0" fontId="83" fillId="0" borderId="241" xfId="0" applyFont="1" applyFill="1" applyBorder="1" applyAlignment="1">
      <alignment vertical="center"/>
    </xf>
    <xf numFmtId="43" fontId="83" fillId="0" borderId="241" xfId="0" applyNumberFormat="1" applyFont="1" applyFill="1" applyBorder="1" applyAlignment="1">
      <alignment horizontal="center" vertical="center"/>
    </xf>
    <xf numFmtId="14" fontId="65" fillId="0" borderId="0" xfId="0" applyNumberFormat="1" applyFont="1"/>
    <xf numFmtId="0" fontId="188" fillId="0" borderId="0" xfId="0" applyNumberFormat="1" applyFont="1" applyBorder="1" applyAlignment="1">
      <alignment horizontal="left"/>
    </xf>
    <xf numFmtId="0" fontId="54" fillId="0" borderId="190" xfId="0" applyFont="1" applyBorder="1"/>
    <xf numFmtId="0" fontId="41" fillId="0" borderId="190" xfId="0" applyFont="1" applyBorder="1" applyAlignment="1">
      <alignment horizontal="center"/>
    </xf>
    <xf numFmtId="0" fontId="92" fillId="0" borderId="0" xfId="0" applyFont="1" applyBorder="1"/>
    <xf numFmtId="0" fontId="124" fillId="0" borderId="0" xfId="0" applyFont="1" applyBorder="1" applyAlignment="1">
      <alignment horizontal="left"/>
    </xf>
    <xf numFmtId="175" fontId="160" fillId="0" borderId="0" xfId="2" applyNumberFormat="1" applyFont="1" applyBorder="1" applyAlignment="1">
      <alignment horizontal="center"/>
    </xf>
    <xf numFmtId="175" fontId="160" fillId="0" borderId="0" xfId="0" applyNumberFormat="1" applyFont="1" applyBorder="1" applyAlignment="1">
      <alignment horizontal="center"/>
    </xf>
    <xf numFmtId="0" fontId="169" fillId="0" borderId="0" xfId="0" applyNumberFormat="1" applyFont="1" applyBorder="1" applyAlignment="1">
      <alignment horizontal="center"/>
    </xf>
    <xf numFmtId="175" fontId="169" fillId="0" borderId="0" xfId="0" applyNumberFormat="1" applyFont="1" applyBorder="1" applyAlignment="1">
      <alignment horizontal="center"/>
    </xf>
    <xf numFmtId="43" fontId="69" fillId="0" borderId="0" xfId="0" applyNumberFormat="1" applyFont="1" applyFill="1" applyBorder="1" applyAlignment="1">
      <alignment vertical="center"/>
    </xf>
    <xf numFmtId="43" fontId="83" fillId="0" borderId="241" xfId="1" applyFont="1" applyBorder="1" applyAlignment="1">
      <alignment vertical="center"/>
    </xf>
    <xf numFmtId="43" fontId="332" fillId="0" borderId="0" xfId="0" applyNumberFormat="1" applyFont="1" applyAlignment="1">
      <alignment vertical="center"/>
    </xf>
    <xf numFmtId="0" fontId="25" fillId="0" borderId="18" xfId="0" applyFont="1" applyBorder="1" applyAlignment="1">
      <alignment horizontal="center"/>
    </xf>
    <xf numFmtId="0" fontId="183" fillId="0" borderId="0" xfId="0" applyFont="1" applyBorder="1"/>
    <xf numFmtId="0" fontId="18" fillId="0" borderId="0" xfId="0" applyFont="1" applyBorder="1"/>
    <xf numFmtId="0" fontId="25" fillId="0" borderId="26" xfId="0" applyFont="1" applyBorder="1"/>
    <xf numFmtId="0" fontId="25" fillId="0" borderId="190" xfId="0" applyFont="1" applyBorder="1"/>
    <xf numFmtId="43" fontId="83" fillId="0" borderId="241" xfId="0" applyNumberFormat="1" applyFont="1" applyFill="1" applyBorder="1" applyAlignment="1">
      <alignment vertical="center"/>
    </xf>
    <xf numFmtId="0" fontId="0" fillId="0" borderId="0" xfId="0"/>
    <xf numFmtId="43" fontId="306" fillId="0" borderId="0" xfId="0" applyNumberFormat="1" applyFont="1" applyAlignment="1">
      <alignment vertical="center"/>
    </xf>
    <xf numFmtId="43" fontId="316" fillId="0" borderId="0" xfId="0" applyNumberFormat="1" applyFont="1" applyAlignment="1">
      <alignment horizontal="center" vertical="center"/>
    </xf>
    <xf numFmtId="0" fontId="0" fillId="0" borderId="0" xfId="0" applyAlignment="1"/>
    <xf numFmtId="0" fontId="39" fillId="0" borderId="0" xfId="0" applyFont="1" applyAlignment="1"/>
    <xf numFmtId="0" fontId="0" fillId="0" borderId="0" xfId="0" applyFont="1" applyAlignment="1"/>
    <xf numFmtId="0" fontId="19" fillId="0" borderId="0" xfId="15" applyAlignment="1">
      <alignment wrapText="1"/>
    </xf>
    <xf numFmtId="0" fontId="18" fillId="0" borderId="190" xfId="15" applyFont="1" applyBorder="1" applyAlignment="1">
      <alignment vertical="center"/>
    </xf>
    <xf numFmtId="0" fontId="18" fillId="0" borderId="0" xfId="15" applyFont="1" applyAlignment="1">
      <alignment vertical="center"/>
    </xf>
    <xf numFmtId="0" fontId="19" fillId="0" borderId="0" xfId="15" applyAlignment="1">
      <alignment vertical="center" wrapText="1"/>
    </xf>
    <xf numFmtId="0" fontId="324" fillId="92" borderId="241" xfId="15" applyFont="1" applyFill="1" applyBorder="1" applyAlignment="1">
      <alignment horizontal="center" vertical="center"/>
    </xf>
    <xf numFmtId="0" fontId="324" fillId="92" borderId="241" xfId="15" applyFont="1" applyFill="1" applyBorder="1" applyAlignment="1">
      <alignment horizontal="center" vertical="center" wrapText="1"/>
    </xf>
    <xf numFmtId="0" fontId="91" fillId="92" borderId="241" xfId="15" applyFont="1" applyFill="1" applyBorder="1" applyAlignment="1">
      <alignment horizontal="center" vertical="center"/>
    </xf>
    <xf numFmtId="0" fontId="91" fillId="0" borderId="190" xfId="15" applyFont="1" applyBorder="1" applyAlignment="1">
      <alignment horizontal="center" vertical="center"/>
    </xf>
    <xf numFmtId="0" fontId="91" fillId="0" borderId="0" xfId="15" applyFont="1" applyAlignment="1">
      <alignment horizontal="center" vertical="center"/>
    </xf>
    <xf numFmtId="0" fontId="91" fillId="0" borderId="0" xfId="15" applyFont="1" applyAlignment="1">
      <alignment vertical="center"/>
    </xf>
    <xf numFmtId="0" fontId="19" fillId="0" borderId="0" xfId="15" applyFont="1" applyAlignment="1">
      <alignment horizontal="center" wrapText="1"/>
    </xf>
    <xf numFmtId="0" fontId="97" fillId="0" borderId="0" xfId="15" applyFont="1" applyAlignment="1">
      <alignment horizontal="right" vertical="center"/>
    </xf>
    <xf numFmtId="0" fontId="97" fillId="0" borderId="0" xfId="15" applyFont="1" applyAlignment="1">
      <alignment horizontal="center" vertical="center"/>
    </xf>
    <xf numFmtId="43" fontId="19" fillId="0" borderId="0" xfId="15" applyNumberFormat="1" applyFont="1" applyAlignment="1">
      <alignment horizontal="center" vertical="center"/>
    </xf>
    <xf numFmtId="0" fontId="97" fillId="0" borderId="0" xfId="15" applyNumberFormat="1" applyFont="1" applyAlignment="1">
      <alignment horizontal="center" vertical="center"/>
    </xf>
    <xf numFmtId="14" fontId="97" fillId="0" borderId="0" xfId="15" applyNumberFormat="1" applyFont="1" applyAlignment="1">
      <alignment horizontal="center" vertical="center"/>
    </xf>
    <xf numFmtId="43" fontId="19" fillId="0" borderId="0" xfId="15" applyNumberFormat="1" applyAlignment="1">
      <alignment wrapText="1"/>
    </xf>
    <xf numFmtId="0" fontId="97" fillId="0" borderId="0" xfId="15" applyFont="1"/>
    <xf numFmtId="0" fontId="325" fillId="0" borderId="0" xfId="15" applyFont="1" applyAlignment="1">
      <alignment horizontal="center" wrapText="1"/>
    </xf>
    <xf numFmtId="0" fontId="325" fillId="0" borderId="0" xfId="15" applyFont="1" applyFill="1" applyAlignment="1">
      <alignment horizontal="center" wrapText="1"/>
    </xf>
    <xf numFmtId="0" fontId="326" fillId="77" borderId="241" xfId="15" applyFont="1" applyFill="1" applyBorder="1" applyAlignment="1">
      <alignment horizontal="center" vertical="center" wrapText="1"/>
    </xf>
    <xf numFmtId="0" fontId="326" fillId="86" borderId="241" xfId="15" applyFont="1" applyFill="1" applyBorder="1" applyAlignment="1">
      <alignment horizontal="center" vertical="center" wrapText="1"/>
    </xf>
    <xf numFmtId="0" fontId="327" fillId="77" borderId="241" xfId="15" applyFont="1" applyFill="1" applyBorder="1" applyAlignment="1">
      <alignment horizontal="center" vertical="center" wrapText="1"/>
    </xf>
    <xf numFmtId="0" fontId="327" fillId="0" borderId="241" xfId="15" applyFont="1" applyFill="1" applyBorder="1" applyAlignment="1">
      <alignment horizontal="center" vertical="center" wrapText="1"/>
    </xf>
    <xf numFmtId="0" fontId="326" fillId="72" borderId="241" xfId="15" applyFont="1" applyFill="1" applyBorder="1" applyAlignment="1">
      <alignment horizontal="center" vertical="center" wrapText="1"/>
    </xf>
    <xf numFmtId="14" fontId="328" fillId="86" borderId="241" xfId="15" applyNumberFormat="1" applyFont="1" applyFill="1" applyBorder="1" applyAlignment="1">
      <alignment horizontal="center" vertical="center" wrapText="1"/>
    </xf>
    <xf numFmtId="14" fontId="329" fillId="0" borderId="241" xfId="15" applyNumberFormat="1" applyFont="1" applyFill="1" applyBorder="1" applyAlignment="1">
      <alignment horizontal="center" vertical="center" wrapText="1"/>
    </xf>
    <xf numFmtId="14" fontId="297" fillId="0" borderId="241" xfId="15" applyNumberFormat="1" applyFont="1" applyFill="1" applyBorder="1" applyAlignment="1">
      <alignment horizontal="center" vertical="center" wrapText="1"/>
    </xf>
    <xf numFmtId="43" fontId="328" fillId="86" borderId="241" xfId="17" applyFont="1" applyFill="1" applyBorder="1" applyAlignment="1">
      <alignment horizontal="left" vertical="center" wrapText="1"/>
    </xf>
    <xf numFmtId="43" fontId="328" fillId="86" borderId="241" xfId="17" applyFont="1" applyFill="1" applyBorder="1" applyAlignment="1">
      <alignment horizontal="center" vertical="center" wrapText="1"/>
    </xf>
    <xf numFmtId="0" fontId="294" fillId="0" borderId="241" xfId="15" applyNumberFormat="1" applyFont="1" applyFill="1" applyBorder="1" applyAlignment="1">
      <alignment horizontal="center" vertical="center" wrapText="1"/>
    </xf>
    <xf numFmtId="0" fontId="328" fillId="0" borderId="241" xfId="15" applyNumberFormat="1" applyFont="1" applyFill="1" applyBorder="1" applyAlignment="1">
      <alignment horizontal="center" vertical="center" wrapText="1"/>
    </xf>
    <xf numFmtId="0" fontId="19" fillId="0" borderId="241" xfId="15" applyFont="1" applyBorder="1" applyAlignment="1">
      <alignment horizontal="left"/>
    </xf>
    <xf numFmtId="0" fontId="19" fillId="74" borderId="241" xfId="15" applyFont="1" applyFill="1" applyBorder="1" applyAlignment="1">
      <alignment horizontal="left"/>
    </xf>
    <xf numFmtId="0" fontId="19" fillId="74" borderId="241" xfId="15" applyFill="1" applyBorder="1" applyAlignment="1">
      <alignment horizontal="center"/>
    </xf>
    <xf numFmtId="0" fontId="19" fillId="74" borderId="241" xfId="15" applyFill="1" applyBorder="1"/>
    <xf numFmtId="49" fontId="19" fillId="74" borderId="241" xfId="15" applyNumberFormat="1" applyFont="1" applyFill="1" applyBorder="1"/>
    <xf numFmtId="0" fontId="19" fillId="74" borderId="241" xfId="15" applyFont="1" applyFill="1" applyBorder="1" applyAlignment="1">
      <alignment horizontal="center"/>
    </xf>
    <xf numFmtId="175" fontId="0" fillId="0" borderId="241" xfId="17" applyNumberFormat="1" applyFont="1" applyBorder="1" applyAlignment="1">
      <alignment horizontal="center"/>
    </xf>
    <xf numFmtId="43" fontId="19" fillId="0" borderId="241" xfId="17" quotePrefix="1" applyFont="1" applyBorder="1" applyAlignment="1">
      <alignment horizontal="center"/>
    </xf>
    <xf numFmtId="0" fontId="19" fillId="74" borderId="241" xfId="15" applyFill="1" applyBorder="1" applyAlignment="1">
      <alignment wrapText="1"/>
    </xf>
    <xf numFmtId="43" fontId="19" fillId="0" borderId="241" xfId="17" quotePrefix="1" applyFont="1" applyFill="1" applyBorder="1" applyAlignment="1">
      <alignment horizontal="center"/>
    </xf>
    <xf numFmtId="43" fontId="19" fillId="0" borderId="241" xfId="17" quotePrefix="1" applyFont="1" applyFill="1" applyBorder="1" applyAlignment="1">
      <alignment horizontal="left"/>
    </xf>
    <xf numFmtId="175" fontId="330" fillId="0" borderId="241" xfId="15" applyNumberFormat="1" applyFont="1" applyFill="1" applyBorder="1" applyAlignment="1">
      <alignment horizontal="center" vertical="center" wrapText="1"/>
    </xf>
    <xf numFmtId="0" fontId="19" fillId="0" borderId="241" xfId="15" applyBorder="1" applyAlignment="1">
      <alignment horizontal="center"/>
    </xf>
    <xf numFmtId="15" fontId="330" fillId="0" borderId="241" xfId="15" applyNumberFormat="1" applyFont="1" applyFill="1" applyBorder="1" applyAlignment="1">
      <alignment horizontal="center" vertical="center" wrapText="1"/>
    </xf>
    <xf numFmtId="180" fontId="330" fillId="0" borderId="241" xfId="15" quotePrefix="1" applyNumberFormat="1" applyFont="1" applyFill="1" applyBorder="1" applyAlignment="1">
      <alignment horizontal="center" vertical="center" wrapText="1"/>
    </xf>
    <xf numFmtId="175" fontId="330" fillId="0" borderId="241" xfId="17" applyNumberFormat="1" applyFont="1" applyFill="1" applyBorder="1" applyAlignment="1">
      <alignment horizontal="center" vertical="center" wrapText="1"/>
    </xf>
    <xf numFmtId="0" fontId="19" fillId="0" borderId="241" xfId="15" applyBorder="1"/>
    <xf numFmtId="0" fontId="330" fillId="0" borderId="241" xfId="15" applyFont="1" applyFill="1" applyBorder="1" applyAlignment="1">
      <alignment horizontal="center" vertical="center" wrapText="1"/>
    </xf>
    <xf numFmtId="0" fontId="19" fillId="0" borderId="241" xfId="15" applyBorder="1" applyAlignment="1">
      <alignment horizontal="left"/>
    </xf>
    <xf numFmtId="180" fontId="330" fillId="0" borderId="241" xfId="15" applyNumberFormat="1" applyFont="1" applyFill="1" applyBorder="1" applyAlignment="1">
      <alignment horizontal="center" vertical="center" wrapText="1"/>
    </xf>
    <xf numFmtId="0" fontId="19" fillId="74" borderId="241" xfId="15" applyFill="1" applyBorder="1" applyAlignment="1">
      <alignment horizontal="left"/>
    </xf>
    <xf numFmtId="0" fontId="19" fillId="74" borderId="0" xfId="15" applyFill="1" applyBorder="1" applyAlignment="1">
      <alignment wrapText="1"/>
    </xf>
    <xf numFmtId="43" fontId="19" fillId="0" borderId="0" xfId="17" quotePrefix="1" applyFont="1" applyFill="1" applyBorder="1" applyAlignment="1">
      <alignment horizontal="center"/>
    </xf>
    <xf numFmtId="43" fontId="19" fillId="0" borderId="0" xfId="17" quotePrefix="1" applyFont="1" applyFill="1" applyBorder="1" applyAlignment="1">
      <alignment horizontal="left"/>
    </xf>
    <xf numFmtId="0" fontId="19" fillId="0" borderId="0" xfId="15" applyBorder="1"/>
    <xf numFmtId="175" fontId="330" fillId="0" borderId="0" xfId="17" applyNumberFormat="1" applyFont="1" applyFill="1" applyBorder="1" applyAlignment="1">
      <alignment horizontal="center" vertical="center" wrapText="1"/>
    </xf>
    <xf numFmtId="175" fontId="330" fillId="0" borderId="0" xfId="15" applyNumberFormat="1" applyFont="1" applyFill="1" applyBorder="1" applyAlignment="1">
      <alignment horizontal="center" vertical="center" wrapText="1"/>
    </xf>
    <xf numFmtId="0" fontId="19" fillId="0" borderId="0" xfId="15" applyBorder="1" applyAlignment="1">
      <alignment horizontal="center"/>
    </xf>
    <xf numFmtId="15" fontId="330" fillId="0" borderId="0" xfId="15" applyNumberFormat="1" applyFont="1" applyFill="1" applyBorder="1" applyAlignment="1">
      <alignment horizontal="center" vertical="center" wrapText="1"/>
    </xf>
    <xf numFmtId="175" fontId="19" fillId="0" borderId="0" xfId="15" applyNumberFormat="1" applyAlignment="1">
      <alignment wrapText="1"/>
    </xf>
    <xf numFmtId="0" fontId="28" fillId="0" borderId="0" xfId="15" applyFont="1" applyFill="1"/>
    <xf numFmtId="175" fontId="97" fillId="0" borderId="0" xfId="15" applyNumberFormat="1" applyFont="1"/>
    <xf numFmtId="0" fontId="97" fillId="86" borderId="0" xfId="15" applyFont="1" applyFill="1"/>
    <xf numFmtId="0" fontId="97" fillId="0" borderId="0" xfId="15" applyFont="1" applyAlignment="1">
      <alignment horizontal="center"/>
    </xf>
    <xf numFmtId="0" fontId="97" fillId="72" borderId="241" xfId="15" applyFont="1" applyFill="1" applyBorder="1" applyAlignment="1">
      <alignment horizontal="center" vertical="center"/>
    </xf>
    <xf numFmtId="0" fontId="97" fillId="72" borderId="199" xfId="15" applyFont="1" applyFill="1" applyBorder="1" applyAlignment="1">
      <alignment horizontal="left" vertical="center"/>
    </xf>
    <xf numFmtId="0" fontId="97" fillId="72" borderId="204" xfId="15" applyFont="1" applyFill="1" applyBorder="1" applyAlignment="1">
      <alignment horizontal="center" vertical="center"/>
    </xf>
    <xf numFmtId="0" fontId="26" fillId="0" borderId="218" xfId="15" applyFont="1" applyBorder="1"/>
    <xf numFmtId="43" fontId="26" fillId="0" borderId="218" xfId="17" applyFont="1" applyFill="1" applyBorder="1"/>
    <xf numFmtId="0" fontId="20" fillId="0" borderId="218" xfId="15" applyFont="1" applyBorder="1" applyAlignment="1"/>
    <xf numFmtId="0" fontId="20" fillId="0" borderId="218" xfId="15" applyFont="1" applyBorder="1" applyAlignment="1">
      <alignment horizontal="left" vertical="top"/>
    </xf>
    <xf numFmtId="43" fontId="97" fillId="0" borderId="0" xfId="15" applyNumberFormat="1" applyFont="1"/>
    <xf numFmtId="0" fontId="26" fillId="77" borderId="241" xfId="15" applyFont="1" applyFill="1" applyBorder="1"/>
    <xf numFmtId="0" fontId="26" fillId="77" borderId="0" xfId="15" applyFont="1" applyFill="1" applyBorder="1"/>
    <xf numFmtId="0" fontId="97" fillId="0" borderId="213" xfId="15" applyFont="1" applyBorder="1" applyAlignment="1">
      <alignment horizontal="center"/>
    </xf>
    <xf numFmtId="0" fontId="97" fillId="0" borderId="228" xfId="15" applyFont="1" applyBorder="1" applyAlignment="1">
      <alignment horizontal="left" vertical="center"/>
    </xf>
    <xf numFmtId="0" fontId="97" fillId="0" borderId="213" xfId="15" applyFont="1" applyFill="1" applyBorder="1" applyAlignment="1">
      <alignment horizontal="center" vertical="center"/>
    </xf>
    <xf numFmtId="0" fontId="97" fillId="0" borderId="27" xfId="15" applyFont="1" applyBorder="1"/>
    <xf numFmtId="43" fontId="97" fillId="0" borderId="0" xfId="17" applyFont="1" applyFill="1"/>
    <xf numFmtId="0" fontId="50" fillId="0" borderId="0" xfId="15" applyFont="1"/>
    <xf numFmtId="0" fontId="97" fillId="0" borderId="241" xfId="15" applyFont="1" applyBorder="1"/>
    <xf numFmtId="0" fontId="97" fillId="0" borderId="0" xfId="15" applyFont="1" applyBorder="1"/>
    <xf numFmtId="0" fontId="97" fillId="0" borderId="111" xfId="15" applyFont="1" applyBorder="1" applyAlignment="1">
      <alignment horizontal="center"/>
    </xf>
    <xf numFmtId="0" fontId="97" fillId="0" borderId="0" xfId="15" applyFont="1" applyBorder="1" applyAlignment="1">
      <alignment horizontal="left" vertical="center"/>
    </xf>
    <xf numFmtId="0" fontId="97" fillId="0" borderId="111" xfId="15" applyFont="1" applyFill="1" applyBorder="1" applyAlignment="1">
      <alignment horizontal="center" vertical="center"/>
    </xf>
    <xf numFmtId="2" fontId="97" fillId="0" borderId="180" xfId="15" applyNumberFormat="1" applyFont="1" applyBorder="1" applyAlignment="1">
      <alignment horizontal="center"/>
    </xf>
    <xf numFmtId="14" fontId="97" fillId="0" borderId="0" xfId="15" applyNumberFormat="1" applyFont="1"/>
    <xf numFmtId="0" fontId="97" fillId="0" borderId="0" xfId="15" applyFont="1" applyFill="1"/>
    <xf numFmtId="0" fontId="97" fillId="0" borderId="233" xfId="15" applyFont="1" applyBorder="1" applyAlignment="1">
      <alignment horizontal="center"/>
    </xf>
    <xf numFmtId="0" fontId="97" fillId="0" borderId="218" xfId="15" applyFont="1" applyBorder="1" applyAlignment="1">
      <alignment horizontal="left" vertical="center"/>
    </xf>
    <xf numFmtId="0" fontId="97" fillId="0" borderId="233" xfId="15" applyFont="1" applyFill="1" applyBorder="1" applyAlignment="1">
      <alignment horizontal="center" vertical="center"/>
    </xf>
    <xf numFmtId="0" fontId="97" fillId="0" borderId="234" xfId="15" applyFont="1" applyBorder="1"/>
    <xf numFmtId="0" fontId="97" fillId="0" borderId="241" xfId="15" applyFont="1" applyBorder="1" applyAlignment="1">
      <alignment wrapText="1"/>
    </xf>
    <xf numFmtId="0" fontId="97" fillId="0" borderId="0" xfId="15" applyFont="1" applyBorder="1" applyAlignment="1">
      <alignment wrapText="1"/>
    </xf>
    <xf numFmtId="0" fontId="97" fillId="0" borderId="213" xfId="15" applyFont="1" applyFill="1" applyBorder="1" applyAlignment="1">
      <alignment horizontal="center"/>
    </xf>
    <xf numFmtId="0" fontId="97" fillId="0" borderId="213" xfId="15" applyFont="1" applyBorder="1"/>
    <xf numFmtId="0" fontId="97" fillId="0" borderId="111" xfId="15" applyFont="1" applyBorder="1" applyAlignment="1">
      <alignment horizontal="center" wrapText="1"/>
    </xf>
    <xf numFmtId="0" fontId="97" fillId="0" borderId="111" xfId="15" applyFont="1" applyFill="1" applyBorder="1" applyAlignment="1">
      <alignment horizontal="center"/>
    </xf>
    <xf numFmtId="2" fontId="97" fillId="0" borderId="111" xfId="15" applyNumberFormat="1" applyFont="1" applyBorder="1" applyAlignment="1">
      <alignment horizontal="center"/>
    </xf>
    <xf numFmtId="0" fontId="97" fillId="0" borderId="233" xfId="15" applyFont="1" applyBorder="1" applyAlignment="1">
      <alignment horizontal="center" wrapText="1"/>
    </xf>
    <xf numFmtId="0" fontId="19" fillId="0" borderId="234" xfId="15" applyBorder="1" applyAlignment="1">
      <alignment wrapText="1"/>
    </xf>
    <xf numFmtId="2" fontId="331" fillId="0" borderId="233" xfId="15" applyNumberFormat="1" applyFont="1" applyFill="1" applyBorder="1" applyAlignment="1">
      <alignment horizontal="center"/>
    </xf>
    <xf numFmtId="2" fontId="331" fillId="0" borderId="234" xfId="15" applyNumberFormat="1" applyFont="1" applyFill="1" applyBorder="1" applyAlignment="1">
      <alignment wrapText="1"/>
    </xf>
    <xf numFmtId="2" fontId="19" fillId="0" borderId="0" xfId="15" applyNumberFormat="1" applyAlignment="1">
      <alignment wrapText="1"/>
    </xf>
    <xf numFmtId="0" fontId="19" fillId="0" borderId="0" xfId="15" applyFont="1" applyAlignment="1">
      <alignment wrapText="1"/>
    </xf>
    <xf numFmtId="0" fontId="19" fillId="74" borderId="0" xfId="15" applyFill="1" applyAlignment="1">
      <alignment wrapText="1"/>
    </xf>
    <xf numFmtId="0" fontId="19" fillId="0" borderId="209" xfId="15" applyBorder="1" applyAlignment="1">
      <alignment horizontal="center" wrapText="1"/>
    </xf>
    <xf numFmtId="0" fontId="97" fillId="0" borderId="241" xfId="15" applyFont="1" applyBorder="1" applyAlignment="1">
      <alignment horizontal="left" vertical="center"/>
    </xf>
    <xf numFmtId="0" fontId="97" fillId="0" borderId="204" xfId="15" applyFont="1" applyBorder="1" applyAlignment="1">
      <alignment horizontal="center" wrapText="1"/>
    </xf>
    <xf numFmtId="0" fontId="19" fillId="0" borderId="209" xfId="15" applyBorder="1" applyAlignment="1">
      <alignment wrapText="1"/>
    </xf>
    <xf numFmtId="0" fontId="97" fillId="0" borderId="241" xfId="15" applyFont="1" applyBorder="1" applyAlignment="1">
      <alignment horizontal="center" wrapText="1"/>
    </xf>
    <xf numFmtId="0" fontId="19" fillId="0" borderId="204" xfId="15" applyBorder="1" applyAlignment="1">
      <alignment wrapText="1"/>
    </xf>
    <xf numFmtId="0" fontId="19" fillId="0" borderId="0" xfId="15" applyAlignment="1">
      <alignment horizontal="left"/>
    </xf>
    <xf numFmtId="0" fontId="19" fillId="0" borderId="0" xfId="15" applyAlignment="1"/>
    <xf numFmtId="0" fontId="26" fillId="0" borderId="0" xfId="15" applyFont="1"/>
    <xf numFmtId="10" fontId="0" fillId="0" borderId="0" xfId="19" applyNumberFormat="1" applyFont="1" applyAlignment="1">
      <alignment wrapText="1"/>
    </xf>
    <xf numFmtId="14" fontId="97" fillId="0" borderId="0" xfId="15" applyNumberFormat="1" applyFont="1" applyFill="1"/>
    <xf numFmtId="0" fontId="19" fillId="0" borderId="0" xfId="15" applyFont="1"/>
    <xf numFmtId="41" fontId="83" fillId="0" borderId="241" xfId="0" applyNumberFormat="1" applyFont="1" applyBorder="1" applyAlignment="1">
      <alignment vertical="center"/>
    </xf>
    <xf numFmtId="0" fontId="69" fillId="0" borderId="228" xfId="0" applyFont="1" applyBorder="1" applyAlignment="1">
      <alignment horizontal="left" vertical="center"/>
    </xf>
    <xf numFmtId="175" fontId="160" fillId="77" borderId="113" xfId="2" applyNumberFormat="1" applyFont="1" applyFill="1" applyBorder="1" applyAlignment="1">
      <alignment horizontal="center"/>
    </xf>
    <xf numFmtId="0" fontId="19" fillId="0" borderId="0" xfId="0" quotePrefix="1" applyFont="1" applyAlignment="1">
      <alignment wrapText="1"/>
    </xf>
    <xf numFmtId="0" fontId="130" fillId="0" borderId="0" xfId="0" applyFont="1" applyAlignment="1"/>
    <xf numFmtId="0" fontId="19" fillId="0" borderId="0" xfId="0" quotePrefix="1" applyFont="1" applyAlignment="1"/>
    <xf numFmtId="0" fontId="39" fillId="0" borderId="228" xfId="0" applyFont="1" applyBorder="1" applyAlignment="1"/>
    <xf numFmtId="0" fontId="0" fillId="0" borderId="228" xfId="0" applyFont="1" applyBorder="1" applyAlignment="1"/>
    <xf numFmtId="0" fontId="0" fillId="0" borderId="228" xfId="0" applyBorder="1" applyAlignment="1"/>
    <xf numFmtId="0" fontId="130" fillId="0" borderId="228" xfId="0" applyFont="1" applyBorder="1" applyAlignment="1"/>
    <xf numFmtId="0" fontId="0" fillId="0" borderId="0" xfId="0" quotePrefix="1" applyFont="1" applyAlignment="1"/>
    <xf numFmtId="0" fontId="0" fillId="0" borderId="0" xfId="0" applyFont="1" applyAlignment="1">
      <alignment wrapText="1"/>
    </xf>
    <xf numFmtId="0" fontId="39" fillId="0" borderId="218" xfId="0" applyFont="1" applyBorder="1" applyAlignment="1">
      <alignment horizontal="center"/>
    </xf>
    <xf numFmtId="0" fontId="0" fillId="0" borderId="218" xfId="0" applyBorder="1" applyAlignment="1">
      <alignment horizontal="center"/>
    </xf>
    <xf numFmtId="0" fontId="19" fillId="0" borderId="0" xfId="0" applyFont="1" applyAlignment="1">
      <alignment horizontal="center"/>
    </xf>
    <xf numFmtId="0" fontId="0" fillId="0" borderId="0" xfId="0" applyAlignment="1">
      <alignment horizontal="center"/>
    </xf>
    <xf numFmtId="0" fontId="0" fillId="0" borderId="228" xfId="0" applyBorder="1" applyAlignment="1">
      <alignment horizontal="center"/>
    </xf>
    <xf numFmtId="0" fontId="19" fillId="0" borderId="0" xfId="0" quotePrefix="1" applyFont="1" applyAlignment="1">
      <alignment horizontal="center" wrapText="1"/>
    </xf>
    <xf numFmtId="0" fontId="130" fillId="0" borderId="0" xfId="0" applyFont="1" applyAlignment="1">
      <alignment horizontal="center"/>
    </xf>
    <xf numFmtId="0" fontId="19" fillId="0" borderId="228" xfId="0" applyFont="1" applyBorder="1" applyAlignment="1">
      <alignment horizontal="center"/>
    </xf>
    <xf numFmtId="0" fontId="19" fillId="0" borderId="0" xfId="0" quotePrefix="1" applyFont="1" applyAlignment="1">
      <alignment horizontal="center"/>
    </xf>
    <xf numFmtId="0" fontId="39" fillId="0" borderId="0" xfId="0" applyFont="1" applyFill="1" applyBorder="1" applyAlignment="1">
      <alignment horizontal="center"/>
    </xf>
    <xf numFmtId="0" fontId="19" fillId="86" borderId="0" xfId="0" applyFont="1" applyFill="1" applyAlignment="1"/>
    <xf numFmtId="43" fontId="19" fillId="90" borderId="241" xfId="17" quotePrefix="1" applyFont="1" applyFill="1" applyBorder="1" applyAlignment="1">
      <alignment horizontal="center"/>
    </xf>
    <xf numFmtId="0" fontId="19" fillId="90" borderId="0" xfId="15" applyFill="1" applyAlignment="1">
      <alignment wrapText="1"/>
    </xf>
    <xf numFmtId="49" fontId="19" fillId="90" borderId="0" xfId="15" applyNumberFormat="1" applyFill="1" applyAlignment="1">
      <alignment wrapText="1"/>
    </xf>
    <xf numFmtId="14" fontId="329" fillId="0" borderId="209" xfId="15" applyNumberFormat="1" applyFont="1" applyFill="1" applyBorder="1" applyAlignment="1">
      <alignment horizontal="center" vertical="center" wrapText="1"/>
    </xf>
    <xf numFmtId="0" fontId="328" fillId="0" borderId="209" xfId="15" applyNumberFormat="1" applyFont="1" applyFill="1" applyBorder="1" applyAlignment="1">
      <alignment horizontal="center" vertical="center" wrapText="1"/>
    </xf>
    <xf numFmtId="14" fontId="329" fillId="0" borderId="204" xfId="15" applyNumberFormat="1" applyFont="1" applyFill="1" applyBorder="1" applyAlignment="1">
      <alignment horizontal="center" vertical="center" wrapText="1"/>
    </xf>
    <xf numFmtId="0" fontId="328" fillId="0" borderId="204" xfId="15" applyNumberFormat="1" applyFont="1" applyFill="1" applyBorder="1" applyAlignment="1">
      <alignment horizontal="center" vertical="center" wrapText="1"/>
    </xf>
    <xf numFmtId="14" fontId="341" fillId="93" borderId="249" xfId="15" applyNumberFormat="1" applyFont="1" applyFill="1" applyBorder="1" applyAlignment="1">
      <alignment horizontal="center" vertical="center" wrapText="1"/>
    </xf>
    <xf numFmtId="43" fontId="342" fillId="93" borderId="249" xfId="15" applyNumberFormat="1" applyFont="1" applyFill="1" applyBorder="1" applyAlignment="1">
      <alignment horizontal="center" vertical="center" wrapText="1"/>
    </xf>
    <xf numFmtId="0" fontId="37" fillId="0" borderId="0" xfId="0" applyFont="1" applyAlignment="1"/>
    <xf numFmtId="43" fontId="83" fillId="74" borderId="241" xfId="0" applyNumberFormat="1" applyFont="1" applyFill="1" applyBorder="1" applyAlignment="1">
      <alignment horizontal="right" vertical="center"/>
    </xf>
    <xf numFmtId="0" fontId="83" fillId="74" borderId="241" xfId="0" applyFont="1" applyFill="1" applyBorder="1" applyAlignment="1">
      <alignment horizontal="center" vertical="center"/>
    </xf>
    <xf numFmtId="0" fontId="308" fillId="74" borderId="241" xfId="0" applyFont="1" applyFill="1" applyBorder="1" applyAlignment="1">
      <alignment horizontal="center" vertical="center"/>
    </xf>
    <xf numFmtId="43" fontId="308" fillId="74" borderId="241" xfId="0" applyNumberFormat="1" applyFont="1" applyFill="1" applyBorder="1" applyAlignment="1">
      <alignment vertical="center"/>
    </xf>
    <xf numFmtId="0" fontId="83" fillId="0" borderId="213" xfId="0" applyFont="1" applyBorder="1" applyAlignment="1">
      <alignment horizontal="left" vertical="center"/>
    </xf>
    <xf numFmtId="0" fontId="302" fillId="50" borderId="239" xfId="0" applyFont="1" applyFill="1" applyBorder="1" applyAlignment="1">
      <alignment vertical="center"/>
    </xf>
    <xf numFmtId="0" fontId="83" fillId="0" borderId="0" xfId="0" applyFont="1" applyAlignment="1">
      <alignment horizontal="center" vertical="center"/>
    </xf>
    <xf numFmtId="0" fontId="69" fillId="0" borderId="0" xfId="0" applyFont="1" applyAlignment="1">
      <alignment horizontal="center" vertical="center"/>
    </xf>
    <xf numFmtId="0" fontId="29" fillId="74" borderId="6" xfId="0" applyNumberFormat="1" applyFont="1" applyFill="1" applyBorder="1" applyAlignment="1">
      <alignment horizontal="center" vertical="center"/>
    </xf>
    <xf numFmtId="0" fontId="18" fillId="74" borderId="182" xfId="0" applyFont="1" applyFill="1" applyBorder="1" applyAlignment="1">
      <alignment horizontal="center" vertical="center"/>
    </xf>
    <xf numFmtId="0" fontId="122" fillId="28" borderId="81" xfId="0" applyFont="1" applyFill="1" applyBorder="1" applyAlignment="1">
      <alignment horizontal="center" vertical="center"/>
    </xf>
    <xf numFmtId="0" fontId="239" fillId="74" borderId="182" xfId="0" applyFont="1" applyFill="1" applyBorder="1" applyAlignment="1">
      <alignment horizontal="center" vertical="center"/>
    </xf>
    <xf numFmtId="43" fontId="69" fillId="69" borderId="231" xfId="0" applyNumberFormat="1" applyFont="1" applyFill="1" applyBorder="1" applyAlignment="1">
      <alignment vertical="center"/>
    </xf>
    <xf numFmtId="43" fontId="69" fillId="0" borderId="0" xfId="0" applyNumberFormat="1" applyFont="1" applyBorder="1" applyAlignment="1">
      <alignment horizontal="left" vertical="center"/>
    </xf>
    <xf numFmtId="43" fontId="69" fillId="0" borderId="0" xfId="0" applyNumberFormat="1" applyFont="1" applyBorder="1" applyAlignment="1">
      <alignment vertical="center"/>
    </xf>
    <xf numFmtId="43" fontId="69" fillId="33" borderId="0" xfId="0" applyNumberFormat="1" applyFont="1" applyFill="1" applyBorder="1" applyAlignment="1">
      <alignment vertical="center"/>
    </xf>
    <xf numFmtId="0" fontId="69" fillId="38" borderId="0" xfId="0" applyFont="1" applyFill="1" applyBorder="1" applyAlignment="1">
      <alignment horizontal="center" vertical="center"/>
    </xf>
    <xf numFmtId="41" fontId="83" fillId="0" borderId="0" xfId="0" applyNumberFormat="1" applyFont="1" applyBorder="1" applyAlignment="1">
      <alignment vertical="center"/>
    </xf>
    <xf numFmtId="43" fontId="69" fillId="7" borderId="0" xfId="0" applyNumberFormat="1" applyFont="1" applyFill="1" applyBorder="1" applyAlignment="1">
      <alignment vertical="center"/>
    </xf>
    <xf numFmtId="4" fontId="69" fillId="0" borderId="0" xfId="0" applyNumberFormat="1" applyFont="1" applyBorder="1" applyAlignment="1">
      <alignment vertical="center"/>
    </xf>
    <xf numFmtId="4" fontId="83" fillId="0" borderId="0" xfId="0" applyNumberFormat="1" applyFont="1" applyBorder="1" applyAlignment="1">
      <alignment vertical="center"/>
    </xf>
    <xf numFmtId="0" fontId="69" fillId="32" borderId="0" xfId="0" applyFont="1" applyFill="1" applyBorder="1" applyAlignment="1">
      <alignment horizontal="center" vertical="center"/>
    </xf>
    <xf numFmtId="43" fontId="69" fillId="0" borderId="0" xfId="0" applyNumberFormat="1" applyFont="1" applyBorder="1" applyAlignment="1">
      <alignment horizontal="center" vertical="center"/>
    </xf>
    <xf numFmtId="4" fontId="69" fillId="63" borderId="0" xfId="0" applyNumberFormat="1" applyFont="1" applyFill="1" applyBorder="1" applyAlignment="1">
      <alignment horizontal="center" vertical="center" wrapText="1"/>
    </xf>
    <xf numFmtId="177" fontId="83" fillId="0" borderId="0" xfId="0" applyNumberFormat="1" applyFont="1" applyBorder="1" applyAlignment="1">
      <alignment vertical="center"/>
    </xf>
    <xf numFmtId="43" fontId="69" fillId="30" borderId="0" xfId="0" applyNumberFormat="1" applyFont="1" applyFill="1" applyBorder="1" applyAlignment="1">
      <alignment vertical="center"/>
    </xf>
    <xf numFmtId="4" fontId="83" fillId="0" borderId="0" xfId="0" applyNumberFormat="1" applyFont="1" applyBorder="1" applyAlignment="1">
      <alignment vertical="center" wrapText="1"/>
    </xf>
    <xf numFmtId="4" fontId="69" fillId="15" borderId="0" xfId="0" applyNumberFormat="1" applyFont="1" applyFill="1" applyBorder="1" applyAlignment="1">
      <alignment horizontal="center" vertical="center"/>
    </xf>
    <xf numFmtId="43" fontId="69" fillId="49" borderId="0" xfId="0" applyNumberFormat="1" applyFont="1" applyFill="1" applyBorder="1" applyAlignment="1">
      <alignment vertical="center"/>
    </xf>
    <xf numFmtId="4" fontId="69" fillId="79" borderId="0" xfId="0" applyNumberFormat="1" applyFont="1" applyFill="1" applyBorder="1" applyAlignment="1">
      <alignment vertical="center"/>
    </xf>
    <xf numFmtId="1" fontId="83" fillId="0" borderId="0" xfId="0" applyNumberFormat="1" applyFont="1" applyBorder="1" applyAlignment="1">
      <alignment horizontal="center" vertical="center"/>
    </xf>
    <xf numFmtId="165" fontId="83" fillId="0" borderId="0" xfId="0" applyNumberFormat="1" applyFont="1" applyBorder="1" applyAlignment="1">
      <alignment vertical="center"/>
    </xf>
    <xf numFmtId="165" fontId="83" fillId="91" borderId="0" xfId="0" applyNumberFormat="1" applyFont="1" applyFill="1" applyBorder="1" applyAlignment="1">
      <alignment vertical="center"/>
    </xf>
    <xf numFmtId="43" fontId="83" fillId="0" borderId="0" xfId="0" applyNumberFormat="1" applyFont="1" applyBorder="1" applyAlignment="1">
      <alignment horizontal="right" vertical="center"/>
    </xf>
    <xf numFmtId="43" fontId="83" fillId="0" borderId="0" xfId="0" applyNumberFormat="1" applyFont="1" applyBorder="1" applyAlignment="1">
      <alignment horizontal="center" vertical="center"/>
    </xf>
    <xf numFmtId="165" fontId="83" fillId="56" borderId="0" xfId="0" applyNumberFormat="1" applyFont="1" applyFill="1" applyBorder="1" applyAlignment="1">
      <alignment vertical="center"/>
    </xf>
    <xf numFmtId="43" fontId="83" fillId="0" borderId="190" xfId="0" applyNumberFormat="1" applyFont="1" applyBorder="1" applyAlignment="1">
      <alignment horizontal="right" vertical="center"/>
    </xf>
    <xf numFmtId="165" fontId="83" fillId="52" borderId="0" xfId="0" applyNumberFormat="1" applyFont="1" applyFill="1" applyBorder="1" applyAlignment="1">
      <alignment vertical="center"/>
    </xf>
    <xf numFmtId="43" fontId="304" fillId="0" borderId="0" xfId="0" applyNumberFormat="1" applyFont="1" applyBorder="1" applyAlignment="1">
      <alignment vertical="center"/>
    </xf>
    <xf numFmtId="4" fontId="83" fillId="0" borderId="0" xfId="0" applyNumberFormat="1" applyFont="1" applyBorder="1" applyAlignment="1">
      <alignment horizontal="center" vertical="center"/>
    </xf>
    <xf numFmtId="165" fontId="83" fillId="0" borderId="0" xfId="0" applyNumberFormat="1" applyFont="1" applyBorder="1" applyAlignment="1">
      <alignment horizontal="center" vertical="center"/>
    </xf>
    <xf numFmtId="167" fontId="83" fillId="0" borderId="0" xfId="0" applyNumberFormat="1" applyFont="1" applyBorder="1" applyAlignment="1">
      <alignment horizontal="center" vertical="center"/>
    </xf>
    <xf numFmtId="43" fontId="83" fillId="0" borderId="0" xfId="1" applyFont="1" applyBorder="1" applyAlignment="1">
      <alignment horizontal="left" vertical="center"/>
    </xf>
    <xf numFmtId="0" fontId="315" fillId="0" borderId="0" xfId="0" applyFont="1" applyAlignment="1">
      <alignment vertical="center"/>
    </xf>
    <xf numFmtId="0" fontId="314" fillId="0" borderId="0" xfId="0" applyFont="1" applyAlignment="1">
      <alignment vertical="center"/>
    </xf>
    <xf numFmtId="0" fontId="69" fillId="46" borderId="223" xfId="0" applyFont="1" applyFill="1" applyBorder="1" applyAlignment="1">
      <alignment vertical="center" wrapText="1"/>
    </xf>
    <xf numFmtId="0" fontId="69" fillId="46" borderId="175" xfId="0" applyFont="1" applyFill="1" applyBorder="1" applyAlignment="1">
      <alignment vertical="center" wrapText="1"/>
    </xf>
    <xf numFmtId="0" fontId="69" fillId="46" borderId="0" xfId="0" applyFont="1" applyFill="1" applyBorder="1" applyAlignment="1">
      <alignment vertical="center" wrapText="1"/>
    </xf>
    <xf numFmtId="0" fontId="69" fillId="46" borderId="206" xfId="0" applyFont="1" applyFill="1" applyBorder="1" applyAlignment="1">
      <alignment vertical="center" wrapText="1"/>
    </xf>
    <xf numFmtId="0" fontId="69" fillId="46" borderId="239" xfId="0" applyFont="1" applyFill="1" applyBorder="1" applyAlignment="1">
      <alignment vertical="center" wrapText="1"/>
    </xf>
    <xf numFmtId="0" fontId="69" fillId="46" borderId="196" xfId="0" applyFont="1" applyFill="1" applyBorder="1" applyAlignment="1">
      <alignment vertical="center" wrapText="1"/>
    </xf>
    <xf numFmtId="0" fontId="148" fillId="0" borderId="0" xfId="0" applyFont="1" applyBorder="1"/>
    <xf numFmtId="0" fontId="31" fillId="0" borderId="134" xfId="0" applyFont="1" applyBorder="1"/>
    <xf numFmtId="2" fontId="169" fillId="74" borderId="121" xfId="0" applyNumberFormat="1" applyFont="1" applyFill="1" applyBorder="1" applyAlignment="1">
      <alignment horizontal="center"/>
    </xf>
    <xf numFmtId="175" fontId="109" fillId="74" borderId="66" xfId="1" applyNumberFormat="1" applyFont="1" applyFill="1" applyBorder="1"/>
    <xf numFmtId="174" fontId="0" fillId="74" borderId="0" xfId="0" applyNumberFormat="1" applyFill="1" applyAlignment="1">
      <alignment wrapText="1"/>
    </xf>
    <xf numFmtId="43" fontId="81" fillId="74" borderId="44" xfId="0" applyNumberFormat="1" applyFont="1" applyFill="1" applyBorder="1" applyAlignment="1">
      <alignment vertical="center"/>
    </xf>
    <xf numFmtId="43" fontId="32" fillId="74" borderId="8" xfId="0" applyNumberFormat="1" applyFont="1" applyFill="1" applyBorder="1" applyAlignment="1">
      <alignment vertical="center"/>
    </xf>
    <xf numFmtId="43" fontId="295" fillId="74" borderId="0" xfId="1" applyFont="1" applyFill="1" applyBorder="1"/>
    <xf numFmtId="176" fontId="295" fillId="0" borderId="0" xfId="1" applyNumberFormat="1" applyFont="1" applyBorder="1" applyAlignment="1">
      <alignment horizontal="center"/>
    </xf>
    <xf numFmtId="43" fontId="296" fillId="0" borderId="0" xfId="1" applyFont="1" applyFill="1" applyBorder="1" applyAlignment="1">
      <alignment horizontal="center" vertical="center"/>
    </xf>
    <xf numFmtId="0" fontId="39" fillId="0" borderId="0" xfId="0" applyFont="1" applyAlignment="1">
      <alignment wrapText="1"/>
    </xf>
    <xf numFmtId="43" fontId="284" fillId="0" borderId="0" xfId="0" applyNumberFormat="1" applyFont="1" applyBorder="1"/>
    <xf numFmtId="0" fontId="256" fillId="0" borderId="0" xfId="0" applyFont="1" applyBorder="1"/>
    <xf numFmtId="43" fontId="215" fillId="0" borderId="0" xfId="0" applyNumberFormat="1" applyFont="1" applyBorder="1"/>
    <xf numFmtId="0" fontId="58" fillId="0" borderId="0" xfId="0" applyFont="1" applyBorder="1"/>
    <xf numFmtId="43" fontId="252" fillId="0" borderId="0" xfId="0" applyNumberFormat="1" applyFont="1" applyBorder="1"/>
    <xf numFmtId="0" fontId="84" fillId="0" borderId="0" xfId="0" applyFont="1" applyBorder="1"/>
    <xf numFmtId="0" fontId="230" fillId="0" borderId="0" xfId="0" applyFont="1" applyBorder="1" applyAlignment="1"/>
    <xf numFmtId="0" fontId="158" fillId="0" borderId="0" xfId="0" applyFont="1" applyBorder="1" applyAlignment="1"/>
    <xf numFmtId="0" fontId="145" fillId="39" borderId="224" xfId="0" applyFont="1" applyFill="1" applyBorder="1"/>
    <xf numFmtId="43" fontId="142" fillId="36" borderId="175" xfId="0" applyNumberFormat="1" applyFont="1" applyFill="1" applyBorder="1"/>
    <xf numFmtId="0" fontId="48" fillId="40" borderId="231" xfId="0" applyFont="1" applyFill="1" applyBorder="1"/>
    <xf numFmtId="43" fontId="48" fillId="10" borderId="206" xfId="0" applyNumberFormat="1" applyFont="1" applyFill="1" applyBorder="1"/>
    <xf numFmtId="0" fontId="48" fillId="0" borderId="231" xfId="0" applyFont="1" applyBorder="1"/>
    <xf numFmtId="43" fontId="164" fillId="0" borderId="206" xfId="0" applyNumberFormat="1" applyFont="1" applyBorder="1"/>
    <xf numFmtId="0" fontId="48" fillId="83" borderId="231" xfId="0" applyFont="1" applyFill="1" applyBorder="1"/>
    <xf numFmtId="43" fontId="191" fillId="64" borderId="206" xfId="0" applyNumberFormat="1" applyFont="1" applyFill="1" applyBorder="1"/>
    <xf numFmtId="0" fontId="48" fillId="31" borderId="201" xfId="0" applyFont="1" applyFill="1" applyBorder="1"/>
    <xf numFmtId="0" fontId="128" fillId="31" borderId="201" xfId="0" applyFont="1" applyFill="1" applyBorder="1"/>
    <xf numFmtId="0" fontId="87" fillId="20" borderId="212" xfId="0" applyFont="1" applyFill="1" applyBorder="1" applyAlignment="1">
      <alignment horizontal="center" vertical="center"/>
    </xf>
    <xf numFmtId="0" fontId="31" fillId="0" borderId="0" xfId="0" applyFont="1"/>
    <xf numFmtId="0" fontId="0" fillId="74" borderId="0" xfId="0" applyFill="1" applyAlignment="1">
      <alignment wrapText="1"/>
    </xf>
    <xf numFmtId="0" fontId="31" fillId="0" borderId="0" xfId="0" applyFont="1" applyBorder="1"/>
    <xf numFmtId="4" fontId="69" fillId="0" borderId="0" xfId="0" applyNumberFormat="1" applyFont="1" applyFill="1" applyBorder="1" applyAlignment="1">
      <alignment horizontal="center" vertical="center" wrapText="1"/>
    </xf>
    <xf numFmtId="4" fontId="69" fillId="0" borderId="0" xfId="0" applyNumberFormat="1" applyFont="1" applyFill="1" applyBorder="1" applyAlignment="1">
      <alignment horizontal="center" vertical="center"/>
    </xf>
    <xf numFmtId="0" fontId="343" fillId="95" borderId="0" xfId="0" applyFont="1" applyFill="1" applyAlignment="1">
      <alignment vertical="center"/>
    </xf>
    <xf numFmtId="0" fontId="344" fillId="95" borderId="0" xfId="0" applyFont="1" applyFill="1" applyAlignment="1">
      <alignment vertical="center"/>
    </xf>
    <xf numFmtId="0" fontId="332" fillId="95" borderId="0" xfId="0" applyFont="1" applyFill="1" applyAlignment="1">
      <alignment vertical="center"/>
    </xf>
    <xf numFmtId="0" fontId="345" fillId="95" borderId="0" xfId="0" applyFont="1" applyFill="1" applyAlignment="1">
      <alignment vertical="center"/>
    </xf>
    <xf numFmtId="0" fontId="332" fillId="95" borderId="218" xfId="0" applyFont="1" applyFill="1" applyBorder="1" applyAlignment="1">
      <alignment vertical="center"/>
    </xf>
    <xf numFmtId="0" fontId="332" fillId="95" borderId="0" xfId="0" applyFont="1" applyFill="1" applyBorder="1" applyAlignment="1">
      <alignment vertical="center"/>
    </xf>
    <xf numFmtId="0" fontId="343" fillId="95" borderId="0" xfId="0" applyFont="1" applyFill="1" applyBorder="1" applyAlignment="1">
      <alignment horizontal="center" vertical="center"/>
    </xf>
    <xf numFmtId="43" fontId="343" fillId="95" borderId="0" xfId="0" applyNumberFormat="1" applyFont="1" applyFill="1" applyAlignment="1">
      <alignment horizontal="center" vertical="center"/>
    </xf>
    <xf numFmtId="0" fontId="343" fillId="95" borderId="0" xfId="0" applyFont="1" applyFill="1" applyAlignment="1">
      <alignment horizontal="center" vertical="center"/>
    </xf>
    <xf numFmtId="43" fontId="332" fillId="95" borderId="0" xfId="0" applyNumberFormat="1" applyFont="1" applyFill="1" applyAlignment="1">
      <alignment vertical="center"/>
    </xf>
    <xf numFmtId="43" fontId="343" fillId="95" borderId="173" xfId="0" applyNumberFormat="1" applyFont="1" applyFill="1" applyBorder="1" applyAlignment="1">
      <alignment vertical="center"/>
    </xf>
    <xf numFmtId="43" fontId="343" fillId="95" borderId="0" xfId="0" applyNumberFormat="1" applyFont="1" applyFill="1" applyAlignment="1">
      <alignment horizontal="left" vertical="center"/>
    </xf>
    <xf numFmtId="43" fontId="343" fillId="95" borderId="0" xfId="0" applyNumberFormat="1" applyFont="1" applyFill="1" applyAlignment="1">
      <alignment vertical="center"/>
    </xf>
    <xf numFmtId="0" fontId="332" fillId="95" borderId="239" xfId="0" applyFont="1" applyFill="1" applyBorder="1" applyAlignment="1">
      <alignment vertical="center"/>
    </xf>
    <xf numFmtId="0" fontId="343" fillId="95" borderId="223" xfId="0" applyFont="1" applyFill="1" applyBorder="1" applyAlignment="1">
      <alignment vertical="center" wrapText="1"/>
    </xf>
    <xf numFmtId="0" fontId="343" fillId="95" borderId="0" xfId="0" applyFont="1" applyFill="1" applyBorder="1" applyAlignment="1">
      <alignment vertical="center" wrapText="1"/>
    </xf>
    <xf numFmtId="0" fontId="343" fillId="95" borderId="239" xfId="0" applyFont="1" applyFill="1" applyBorder="1" applyAlignment="1">
      <alignment vertical="center" wrapText="1"/>
    </xf>
    <xf numFmtId="0" fontId="332" fillId="95" borderId="223" xfId="0" applyFont="1" applyFill="1" applyBorder="1" applyAlignment="1">
      <alignment vertical="center"/>
    </xf>
    <xf numFmtId="4" fontId="332" fillId="95" borderId="0" xfId="0" applyNumberFormat="1" applyFont="1" applyFill="1" applyAlignment="1">
      <alignment vertical="center"/>
    </xf>
    <xf numFmtId="0" fontId="332" fillId="95" borderId="53" xfId="0" applyFont="1" applyFill="1" applyBorder="1" applyAlignment="1">
      <alignment vertical="center"/>
    </xf>
    <xf numFmtId="0" fontId="332" fillId="95" borderId="231" xfId="0" applyFont="1" applyFill="1" applyBorder="1" applyAlignment="1">
      <alignment vertical="center"/>
    </xf>
    <xf numFmtId="43" fontId="332" fillId="95" borderId="0" xfId="0" applyNumberFormat="1" applyFont="1" applyFill="1" applyAlignment="1">
      <alignment horizontal="center" vertical="center"/>
    </xf>
    <xf numFmtId="169" fontId="332" fillId="95" borderId="0" xfId="0" applyNumberFormat="1" applyFont="1" applyFill="1" applyBorder="1" applyAlignment="1">
      <alignment horizontal="center" vertical="center"/>
    </xf>
    <xf numFmtId="43" fontId="332" fillId="95" borderId="0" xfId="0" applyNumberFormat="1" applyFont="1" applyFill="1" applyBorder="1" applyAlignment="1">
      <alignment vertical="center"/>
    </xf>
    <xf numFmtId="43" fontId="332" fillId="95" borderId="0" xfId="0" applyNumberFormat="1" applyFont="1" applyFill="1" applyAlignment="1">
      <alignment horizontal="right" vertical="center"/>
    </xf>
    <xf numFmtId="46" fontId="332" fillId="95" borderId="231" xfId="0" applyNumberFormat="1" applyFont="1" applyFill="1" applyBorder="1" applyAlignment="1">
      <alignment vertical="center"/>
    </xf>
    <xf numFmtId="0" fontId="332" fillId="95" borderId="174" xfId="0" applyFont="1" applyFill="1" applyBorder="1" applyAlignment="1">
      <alignment horizontal="center" vertical="center"/>
    </xf>
    <xf numFmtId="43" fontId="332" fillId="95" borderId="21" xfId="0" applyNumberFormat="1" applyFont="1" applyFill="1" applyBorder="1" applyAlignment="1">
      <alignment vertical="center"/>
    </xf>
    <xf numFmtId="43" fontId="343" fillId="95" borderId="0" xfId="0" applyNumberFormat="1" applyFont="1" applyFill="1" applyAlignment="1">
      <alignment horizontal="right" vertical="center"/>
    </xf>
    <xf numFmtId="0" fontId="332" fillId="95" borderId="132" xfId="0" applyFont="1" applyFill="1" applyBorder="1" applyAlignment="1">
      <alignment vertical="center"/>
    </xf>
    <xf numFmtId="0" fontId="332" fillId="95" borderId="98" xfId="0" applyFont="1" applyFill="1" applyBorder="1" applyAlignment="1">
      <alignment vertical="center"/>
    </xf>
    <xf numFmtId="4" fontId="332" fillId="95" borderId="0" xfId="0" applyNumberFormat="1" applyFont="1" applyFill="1" applyAlignment="1">
      <alignment horizontal="center" vertical="center" wrapText="1"/>
    </xf>
    <xf numFmtId="0" fontId="332" fillId="95" borderId="67" xfId="0" applyFont="1" applyFill="1" applyBorder="1" applyAlignment="1">
      <alignment vertical="center"/>
    </xf>
    <xf numFmtId="0" fontId="332" fillId="95" borderId="0" xfId="0" applyFont="1" applyFill="1" applyAlignment="1">
      <alignment horizontal="center" vertical="center"/>
    </xf>
    <xf numFmtId="0" fontId="332" fillId="95" borderId="0" xfId="0" applyFont="1" applyFill="1" applyAlignment="1">
      <alignment horizontal="left" vertical="center"/>
    </xf>
    <xf numFmtId="0" fontId="0" fillId="0" borderId="0" xfId="0" applyBorder="1" applyAlignment="1">
      <alignment wrapText="1"/>
    </xf>
    <xf numFmtId="0" fontId="39" fillId="0" borderId="0" xfId="0" applyFont="1" applyBorder="1" applyAlignment="1">
      <alignment wrapText="1"/>
    </xf>
    <xf numFmtId="0" fontId="19" fillId="0" borderId="0" xfId="0" applyFont="1" applyBorder="1" applyAlignment="1">
      <alignment horizontal="right" wrapText="1" indent="1"/>
    </xf>
    <xf numFmtId="0" fontId="19" fillId="0" borderId="0" xfId="0" applyFont="1" applyBorder="1" applyAlignment="1">
      <alignment wrapText="1"/>
    </xf>
    <xf numFmtId="176" fontId="83" fillId="0" borderId="241" xfId="1" applyNumberFormat="1" applyFont="1" applyBorder="1" applyAlignment="1">
      <alignment horizontal="right" vertical="center"/>
    </xf>
    <xf numFmtId="176" fontId="83" fillId="0" borderId="241" xfId="1" applyNumberFormat="1" applyFont="1" applyFill="1" applyBorder="1" applyAlignment="1">
      <alignment horizontal="right" vertical="center"/>
    </xf>
    <xf numFmtId="0" fontId="188" fillId="74" borderId="141" xfId="0" applyNumberFormat="1" applyFont="1" applyFill="1" applyBorder="1" applyAlignment="1">
      <alignment horizontal="left"/>
    </xf>
    <xf numFmtId="0" fontId="188" fillId="74" borderId="241" xfId="0" applyNumberFormat="1" applyFont="1" applyFill="1" applyBorder="1" applyAlignment="1">
      <alignment horizontal="left"/>
    </xf>
    <xf numFmtId="2" fontId="188" fillId="74" borderId="141" xfId="0" applyNumberFormat="1" applyFont="1" applyFill="1" applyBorder="1" applyAlignment="1">
      <alignment horizontal="left"/>
    </xf>
    <xf numFmtId="2" fontId="188" fillId="74" borderId="241" xfId="0" applyNumberFormat="1" applyFont="1" applyFill="1" applyBorder="1" applyAlignment="1">
      <alignment horizontal="left"/>
    </xf>
    <xf numFmtId="0" fontId="188" fillId="74" borderId="141" xfId="0" applyFont="1" applyFill="1" applyBorder="1" applyAlignment="1">
      <alignment horizontal="left"/>
    </xf>
    <xf numFmtId="176" fontId="83" fillId="0" borderId="241" xfId="1" applyNumberFormat="1" applyFont="1" applyBorder="1" applyAlignment="1">
      <alignment vertical="center"/>
    </xf>
    <xf numFmtId="176" fontId="83" fillId="0" borderId="241" xfId="1" applyNumberFormat="1" applyFont="1" applyFill="1" applyBorder="1" applyAlignment="1">
      <alignment vertical="center"/>
    </xf>
    <xf numFmtId="3" fontId="83" fillId="0" borderId="0" xfId="0" applyNumberFormat="1" applyFont="1" applyBorder="1" applyAlignment="1">
      <alignment vertical="center"/>
    </xf>
    <xf numFmtId="16" fontId="83" fillId="0" borderId="0" xfId="0" applyNumberFormat="1" applyFont="1" applyAlignment="1">
      <alignment vertical="center"/>
    </xf>
    <xf numFmtId="15" fontId="0" fillId="74" borderId="0" xfId="0" applyNumberFormat="1" applyFill="1" applyBorder="1" applyAlignment="1">
      <alignment wrapText="1"/>
    </xf>
    <xf numFmtId="0" fontId="19" fillId="0" borderId="241" xfId="4" applyBorder="1" applyAlignment="1">
      <alignment wrapText="1"/>
    </xf>
    <xf numFmtId="0" fontId="19" fillId="0" borderId="0" xfId="4" applyAlignment="1">
      <alignment wrapText="1"/>
    </xf>
    <xf numFmtId="0" fontId="19" fillId="0" borderId="241" xfId="4" applyFont="1" applyBorder="1" applyAlignment="1">
      <alignment vertical="center" wrapText="1"/>
    </xf>
    <xf numFmtId="0" fontId="19" fillId="0" borderId="241" xfId="4" applyFont="1" applyBorder="1" applyAlignment="1">
      <alignment horizontal="center" vertical="center" wrapText="1"/>
    </xf>
    <xf numFmtId="0" fontId="19" fillId="0" borderId="241" xfId="4" applyFont="1" applyBorder="1" applyAlignment="1">
      <alignment wrapText="1"/>
    </xf>
    <xf numFmtId="0" fontId="19" fillId="72" borderId="241" xfId="4" applyFont="1" applyFill="1" applyBorder="1" applyAlignment="1">
      <alignment horizontal="center" wrapText="1"/>
    </xf>
    <xf numFmtId="0" fontId="19" fillId="77" borderId="241" xfId="4" applyFont="1" applyFill="1" applyBorder="1" applyAlignment="1">
      <alignment vertical="center" wrapText="1"/>
    </xf>
    <xf numFmtId="181" fontId="19" fillId="0" borderId="241" xfId="4" applyNumberFormat="1" applyBorder="1" applyAlignment="1">
      <alignment vertical="center" wrapText="1"/>
    </xf>
    <xf numFmtId="0" fontId="19" fillId="72" borderId="241" xfId="4" applyFont="1" applyFill="1" applyBorder="1" applyAlignment="1">
      <alignment horizontal="center" vertical="center" wrapText="1"/>
    </xf>
    <xf numFmtId="0" fontId="19" fillId="0" borderId="241" xfId="4" quotePrefix="1" applyFont="1" applyBorder="1" applyAlignment="1">
      <alignment vertical="center" wrapText="1"/>
    </xf>
    <xf numFmtId="181" fontId="0" fillId="0" borderId="241" xfId="10" applyNumberFormat="1" applyFont="1" applyBorder="1" applyAlignment="1">
      <alignment vertical="center" wrapText="1"/>
    </xf>
    <xf numFmtId="0" fontId="19" fillId="0" borderId="0" xfId="4" applyFont="1" applyAlignment="1">
      <alignment vertical="center" wrapText="1"/>
    </xf>
    <xf numFmtId="0" fontId="19" fillId="0" borderId="0" xfId="4" applyAlignment="1">
      <alignment horizontal="center" wrapText="1"/>
    </xf>
    <xf numFmtId="0" fontId="19" fillId="0" borderId="0" xfId="4" applyAlignment="1">
      <alignment vertical="center" wrapText="1"/>
    </xf>
    <xf numFmtId="181" fontId="19" fillId="0" borderId="0" xfId="4" applyNumberFormat="1" applyAlignment="1">
      <alignment wrapText="1"/>
    </xf>
    <xf numFmtId="0" fontId="19" fillId="77" borderId="0" xfId="4" applyFont="1" applyFill="1" applyAlignment="1">
      <alignment wrapText="1"/>
    </xf>
    <xf numFmtId="0" fontId="19" fillId="0" borderId="0" xfId="4" applyFont="1" applyAlignment="1">
      <alignment wrapText="1"/>
    </xf>
    <xf numFmtId="0" fontId="332" fillId="0" borderId="0" xfId="0" applyFont="1" applyFill="1" applyAlignment="1">
      <alignment vertical="center"/>
    </xf>
    <xf numFmtId="0" fontId="332" fillId="0" borderId="53" xfId="0" applyFont="1" applyFill="1" applyBorder="1" applyAlignment="1">
      <alignment vertical="center"/>
    </xf>
    <xf numFmtId="0" fontId="310" fillId="0" borderId="0" xfId="0" applyFont="1" applyBorder="1" applyAlignment="1">
      <alignment vertical="center"/>
    </xf>
    <xf numFmtId="0" fontId="69" fillId="0" borderId="0" xfId="0" applyFont="1" applyBorder="1" applyAlignment="1">
      <alignment vertical="center"/>
    </xf>
    <xf numFmtId="0" fontId="0" fillId="0" borderId="0" xfId="0" applyAlignment="1">
      <alignment horizontal="center" vertical="center" wrapText="1"/>
    </xf>
    <xf numFmtId="43" fontId="83" fillId="86" borderId="0" xfId="0" applyNumberFormat="1" applyFont="1" applyFill="1" applyBorder="1" applyAlignment="1">
      <alignment vertical="center"/>
    </xf>
    <xf numFmtId="0" fontId="18" fillId="0" borderId="89" xfId="0" applyFont="1" applyBorder="1" applyAlignment="1">
      <alignment horizontal="left"/>
    </xf>
    <xf numFmtId="0" fontId="308" fillId="29" borderId="0" xfId="0" applyFont="1" applyFill="1" applyAlignment="1">
      <alignment vertical="center"/>
    </xf>
    <xf numFmtId="43" fontId="0" fillId="0" borderId="0" xfId="1" applyFont="1" applyAlignment="1">
      <alignment wrapText="1"/>
    </xf>
    <xf numFmtId="43" fontId="0" fillId="0" borderId="0" xfId="0" applyNumberFormat="1" applyAlignment="1"/>
    <xf numFmtId="0" fontId="83" fillId="0" borderId="0" xfId="0" applyFont="1" applyBorder="1" applyAlignment="1">
      <alignment horizontal="left" vertical="center" wrapText="1"/>
    </xf>
    <xf numFmtId="0" fontId="83" fillId="0" borderId="0" xfId="0" applyFont="1" applyBorder="1" applyAlignment="1">
      <alignment horizontal="center" vertical="center"/>
    </xf>
    <xf numFmtId="0" fontId="293" fillId="0" borderId="0" xfId="51" applyFont="1"/>
    <xf numFmtId="0" fontId="13" fillId="0" borderId="0" xfId="51"/>
    <xf numFmtId="43" fontId="13" fillId="0" borderId="0" xfId="51" applyNumberFormat="1"/>
    <xf numFmtId="0" fontId="13" fillId="0" borderId="0" xfId="51" applyAlignment="1">
      <alignment wrapText="1"/>
    </xf>
    <xf numFmtId="43" fontId="293" fillId="0" borderId="0" xfId="52" applyFont="1"/>
    <xf numFmtId="43" fontId="0" fillId="0" borderId="0" xfId="52" applyFont="1"/>
    <xf numFmtId="0" fontId="13" fillId="86" borderId="0" xfId="51" applyFill="1"/>
    <xf numFmtId="165" fontId="83" fillId="56" borderId="233" xfId="0" applyNumberFormat="1" applyFont="1" applyFill="1" applyBorder="1" applyAlignment="1">
      <alignment vertical="center"/>
    </xf>
    <xf numFmtId="0" fontId="18" fillId="0" borderId="61" xfId="0" applyFont="1" applyBorder="1"/>
    <xf numFmtId="1" fontId="83" fillId="0" borderId="241" xfId="0" applyNumberFormat="1" applyFont="1" applyBorder="1" applyAlignment="1">
      <alignment horizontal="center" vertical="center"/>
    </xf>
    <xf numFmtId="43" fontId="155" fillId="0" borderId="109" xfId="1" applyFont="1" applyBorder="1" applyAlignment="1">
      <alignment horizontal="center"/>
    </xf>
    <xf numFmtId="43" fontId="243" fillId="0" borderId="183" xfId="1" applyFont="1" applyBorder="1" applyAlignment="1">
      <alignment horizontal="center"/>
    </xf>
    <xf numFmtId="43" fontId="192" fillId="0" borderId="144" xfId="1" applyFont="1" applyBorder="1" applyAlignment="1">
      <alignment horizontal="center"/>
    </xf>
    <xf numFmtId="43" fontId="125" fillId="0" borderId="84" xfId="1" applyFont="1" applyBorder="1" applyAlignment="1">
      <alignment horizontal="center"/>
    </xf>
    <xf numFmtId="43" fontId="43" fillId="0" borderId="19" xfId="1" applyFont="1" applyBorder="1" applyAlignment="1">
      <alignment horizontal="center"/>
    </xf>
    <xf numFmtId="43" fontId="275" fillId="0" borderId="217" xfId="1" applyFont="1" applyBorder="1" applyAlignment="1">
      <alignment horizontal="center"/>
    </xf>
    <xf numFmtId="43" fontId="126" fillId="0" borderId="85" xfId="1" applyFont="1" applyBorder="1" applyAlignment="1">
      <alignment horizontal="center"/>
    </xf>
    <xf numFmtId="43" fontId="135" fillId="0" borderId="91" xfId="1" applyFont="1" applyBorder="1" applyAlignment="1">
      <alignment horizontal="center"/>
    </xf>
    <xf numFmtId="43" fontId="0" fillId="0" borderId="0" xfId="0" applyNumberFormat="1" applyAlignment="1">
      <alignment wrapText="1"/>
    </xf>
    <xf numFmtId="43" fontId="0" fillId="86" borderId="0" xfId="0" applyNumberFormat="1" applyFill="1" applyAlignment="1">
      <alignment wrapText="1"/>
    </xf>
    <xf numFmtId="43" fontId="0" fillId="74" borderId="0" xfId="1" applyFont="1" applyFill="1" applyBorder="1" applyAlignment="1">
      <alignment wrapText="1"/>
    </xf>
    <xf numFmtId="0" fontId="0" fillId="0" borderId="0" xfId="0" applyFill="1" applyBorder="1" applyAlignment="1">
      <alignment wrapText="1"/>
    </xf>
    <xf numFmtId="0" fontId="69" fillId="93" borderId="0" xfId="0" applyFont="1" applyFill="1" applyAlignment="1">
      <alignment vertical="center"/>
    </xf>
    <xf numFmtId="0" fontId="315" fillId="93" borderId="0" xfId="0" applyFont="1" applyFill="1" applyAlignment="1">
      <alignment vertical="center"/>
    </xf>
    <xf numFmtId="0" fontId="83" fillId="93" borderId="0" xfId="0" applyFont="1" applyFill="1" applyAlignment="1">
      <alignment vertical="center"/>
    </xf>
    <xf numFmtId="0" fontId="314" fillId="93" borderId="0" xfId="0" applyFont="1" applyFill="1" applyAlignment="1">
      <alignment vertical="center"/>
    </xf>
    <xf numFmtId="0" fontId="83" fillId="93" borderId="0" xfId="0" applyFont="1" applyFill="1" applyAlignment="1">
      <alignment horizontal="center" vertical="center"/>
    </xf>
    <xf numFmtId="0" fontId="83" fillId="93" borderId="218" xfId="0" applyFont="1" applyFill="1" applyBorder="1" applyAlignment="1">
      <alignment vertical="center"/>
    </xf>
    <xf numFmtId="0" fontId="83" fillId="93" borderId="0" xfId="0" applyFont="1" applyFill="1" applyBorder="1" applyAlignment="1">
      <alignment vertical="center"/>
    </xf>
    <xf numFmtId="0" fontId="69" fillId="93" borderId="0" xfId="0" applyFont="1" applyFill="1" applyBorder="1" applyAlignment="1">
      <alignment horizontal="center" vertical="center"/>
    </xf>
    <xf numFmtId="171" fontId="69" fillId="93" borderId="0" xfId="0" applyNumberFormat="1" applyFont="1" applyFill="1" applyAlignment="1">
      <alignment horizontal="center" vertical="center"/>
    </xf>
    <xf numFmtId="170" fontId="69" fillId="93" borderId="0" xfId="0" applyNumberFormat="1" applyFont="1" applyFill="1" applyAlignment="1">
      <alignment horizontal="center" vertical="center"/>
    </xf>
    <xf numFmtId="173" fontId="69" fillId="93" borderId="0" xfId="0" applyNumberFormat="1" applyFont="1" applyFill="1" applyAlignment="1">
      <alignment horizontal="center" vertical="center"/>
    </xf>
    <xf numFmtId="0" fontId="69" fillId="93" borderId="0" xfId="0" applyFont="1" applyFill="1" applyAlignment="1">
      <alignment horizontal="center" vertical="center"/>
    </xf>
    <xf numFmtId="43" fontId="83" fillId="93" borderId="0" xfId="0" applyNumberFormat="1" applyFont="1" applyFill="1" applyAlignment="1">
      <alignment vertical="center"/>
    </xf>
    <xf numFmtId="43" fontId="83" fillId="93" borderId="0" xfId="0" applyNumberFormat="1" applyFont="1" applyFill="1" applyBorder="1" applyAlignment="1">
      <alignment vertical="center"/>
    </xf>
    <xf numFmtId="43" fontId="69" fillId="93" borderId="231" xfId="0" applyNumberFormat="1" applyFont="1" applyFill="1" applyBorder="1" applyAlignment="1">
      <alignment vertical="center"/>
    </xf>
    <xf numFmtId="43" fontId="69" fillId="93" borderId="0" xfId="0" applyNumberFormat="1" applyFont="1" applyFill="1" applyBorder="1" applyAlignment="1">
      <alignment horizontal="left" vertical="center"/>
    </xf>
    <xf numFmtId="43" fontId="69" fillId="93" borderId="0" xfId="0" applyNumberFormat="1" applyFont="1" applyFill="1" applyBorder="1" applyAlignment="1">
      <alignment vertical="center"/>
    </xf>
    <xf numFmtId="43" fontId="305" fillId="93" borderId="0" xfId="0" applyNumberFormat="1" applyFont="1" applyFill="1" applyAlignment="1">
      <alignment horizontal="center" vertical="center"/>
    </xf>
    <xf numFmtId="43" fontId="304" fillId="93" borderId="0" xfId="0" applyNumberFormat="1" applyFont="1" applyFill="1" applyAlignment="1">
      <alignment vertical="center"/>
    </xf>
    <xf numFmtId="0" fontId="304" fillId="93" borderId="0" xfId="0" applyFont="1" applyFill="1" applyAlignment="1">
      <alignment vertical="center"/>
    </xf>
    <xf numFmtId="0" fontId="83" fillId="93" borderId="239" xfId="0" applyFont="1" applyFill="1" applyBorder="1" applyAlignment="1">
      <alignment vertical="center"/>
    </xf>
    <xf numFmtId="0" fontId="69" fillId="93" borderId="223" xfId="0" applyFont="1" applyFill="1" applyBorder="1" applyAlignment="1">
      <alignment vertical="center" wrapText="1"/>
    </xf>
    <xf numFmtId="0" fontId="69" fillId="93" borderId="0" xfId="0" applyFont="1" applyFill="1" applyBorder="1" applyAlignment="1">
      <alignment vertical="center" wrapText="1"/>
    </xf>
    <xf numFmtId="0" fontId="69" fillId="93" borderId="239" xfId="0" applyFont="1" applyFill="1" applyBorder="1" applyAlignment="1">
      <alignment vertical="center" wrapText="1"/>
    </xf>
    <xf numFmtId="0" fontId="83" fillId="93" borderId="223" xfId="0" applyFont="1" applyFill="1" applyBorder="1" applyAlignment="1">
      <alignment vertical="center"/>
    </xf>
    <xf numFmtId="4" fontId="83" fillId="93" borderId="0" xfId="0" applyNumberFormat="1" applyFont="1" applyFill="1" applyAlignment="1">
      <alignment vertical="center"/>
    </xf>
    <xf numFmtId="41" fontId="83" fillId="93" borderId="0" xfId="0" applyNumberFormat="1" applyFont="1" applyFill="1" applyBorder="1" applyAlignment="1">
      <alignment vertical="center"/>
    </xf>
    <xf numFmtId="4" fontId="69" fillId="93" borderId="0" xfId="0" applyNumberFormat="1" applyFont="1" applyFill="1" applyBorder="1" applyAlignment="1">
      <alignment vertical="center"/>
    </xf>
    <xf numFmtId="4" fontId="83" fillId="93" borderId="0" xfId="0" applyNumberFormat="1" applyFont="1" applyFill="1" applyBorder="1" applyAlignment="1">
      <alignment vertical="center"/>
    </xf>
    <xf numFmtId="43" fontId="69" fillId="93" borderId="0" xfId="0" applyNumberFormat="1" applyFont="1" applyFill="1" applyBorder="1" applyAlignment="1">
      <alignment horizontal="center" vertical="center"/>
    </xf>
    <xf numFmtId="43" fontId="83" fillId="93" borderId="0" xfId="0" applyNumberFormat="1" applyFont="1" applyFill="1" applyAlignment="1">
      <alignment horizontal="center" vertical="center"/>
    </xf>
    <xf numFmtId="169" fontId="83" fillId="93" borderId="0" xfId="0" applyNumberFormat="1" applyFont="1" applyFill="1" applyBorder="1" applyAlignment="1">
      <alignment horizontal="center" vertical="center"/>
    </xf>
    <xf numFmtId="4" fontId="69" fillId="93" borderId="0" xfId="0" applyNumberFormat="1" applyFont="1" applyFill="1" applyBorder="1" applyAlignment="1">
      <alignment horizontal="center" vertical="center" wrapText="1"/>
    </xf>
    <xf numFmtId="177" fontId="83" fillId="93" borderId="0" xfId="0" applyNumberFormat="1" applyFont="1" applyFill="1" applyBorder="1" applyAlignment="1">
      <alignment vertical="center"/>
    </xf>
    <xf numFmtId="1" fontId="83" fillId="93" borderId="0" xfId="0" applyNumberFormat="1" applyFont="1" applyFill="1" applyBorder="1" applyAlignment="1">
      <alignment horizontal="center" vertical="center"/>
    </xf>
    <xf numFmtId="4" fontId="83" fillId="93" borderId="0" xfId="0" applyNumberFormat="1" applyFont="1" applyFill="1" applyBorder="1" applyAlignment="1">
      <alignment vertical="center" wrapText="1"/>
    </xf>
    <xf numFmtId="43" fontId="69" fillId="93" borderId="0" xfId="0" applyNumberFormat="1" applyFont="1" applyFill="1" applyAlignment="1">
      <alignment vertical="center"/>
    </xf>
    <xf numFmtId="4" fontId="69" fillId="93" borderId="0" xfId="0" applyNumberFormat="1" applyFont="1" applyFill="1" applyBorder="1" applyAlignment="1">
      <alignment horizontal="center" vertical="center"/>
    </xf>
    <xf numFmtId="4" fontId="69" fillId="93" borderId="0" xfId="0" applyNumberFormat="1" applyFont="1" applyFill="1" applyAlignment="1">
      <alignment vertical="center"/>
    </xf>
    <xf numFmtId="165" fontId="83" fillId="93" borderId="0" xfId="0" applyNumberFormat="1" applyFont="1" applyFill="1" applyBorder="1" applyAlignment="1">
      <alignment vertical="center"/>
    </xf>
    <xf numFmtId="43" fontId="83" fillId="93" borderId="0" xfId="0" applyNumberFormat="1" applyFont="1" applyFill="1" applyBorder="1" applyAlignment="1">
      <alignment horizontal="right" vertical="center"/>
    </xf>
    <xf numFmtId="43" fontId="83" fillId="93" borderId="0" xfId="0" applyNumberFormat="1" applyFont="1" applyFill="1" applyBorder="1" applyAlignment="1">
      <alignment horizontal="center" vertical="center"/>
    </xf>
    <xf numFmtId="43" fontId="83" fillId="93" borderId="190" xfId="0" applyNumberFormat="1" applyFont="1" applyFill="1" applyBorder="1" applyAlignment="1">
      <alignment horizontal="right" vertical="center"/>
    </xf>
    <xf numFmtId="43" fontId="83" fillId="93" borderId="0" xfId="0" applyNumberFormat="1" applyFont="1" applyFill="1" applyAlignment="1">
      <alignment horizontal="right" vertical="center"/>
    </xf>
    <xf numFmtId="43" fontId="304" fillId="93" borderId="0" xfId="0" applyNumberFormat="1" applyFont="1" applyFill="1" applyBorder="1" applyAlignment="1">
      <alignment vertical="center"/>
    </xf>
    <xf numFmtId="4" fontId="83" fillId="93" borderId="0" xfId="0" applyNumberFormat="1" applyFont="1" applyFill="1" applyAlignment="1">
      <alignment horizontal="center" vertical="center" wrapText="1"/>
    </xf>
    <xf numFmtId="4" fontId="83" fillId="93" borderId="0" xfId="0" applyNumberFormat="1" applyFont="1" applyFill="1" applyBorder="1" applyAlignment="1">
      <alignment horizontal="center" vertical="center"/>
    </xf>
    <xf numFmtId="165" fontId="83" fillId="93" borderId="0" xfId="0" applyNumberFormat="1" applyFont="1" applyFill="1" applyBorder="1" applyAlignment="1">
      <alignment horizontal="center" vertical="center"/>
    </xf>
    <xf numFmtId="167" fontId="83" fillId="93" borderId="0" xfId="0" applyNumberFormat="1" applyFont="1" applyFill="1" applyBorder="1" applyAlignment="1">
      <alignment horizontal="center" vertical="center"/>
    </xf>
    <xf numFmtId="43" fontId="83" fillId="93" borderId="0" xfId="1" applyFont="1" applyFill="1" applyBorder="1" applyAlignment="1">
      <alignment horizontal="left" vertical="center"/>
    </xf>
    <xf numFmtId="0" fontId="83" fillId="93" borderId="0" xfId="0" applyFont="1" applyFill="1" applyAlignment="1">
      <alignment horizontal="left" vertical="center"/>
    </xf>
    <xf numFmtId="165" fontId="83" fillId="74" borderId="0" xfId="0" applyNumberFormat="1" applyFont="1" applyFill="1" applyBorder="1" applyAlignment="1">
      <alignment vertical="center"/>
    </xf>
    <xf numFmtId="43" fontId="83" fillId="74" borderId="0" xfId="0" applyNumberFormat="1" applyFont="1" applyFill="1" applyAlignment="1">
      <alignment vertical="center"/>
    </xf>
    <xf numFmtId="0" fontId="308" fillId="0" borderId="0" xfId="0" applyFont="1" applyAlignment="1">
      <alignment vertical="center"/>
    </xf>
    <xf numFmtId="0" fontId="139" fillId="0" borderId="180" xfId="0" applyFont="1" applyBorder="1"/>
    <xf numFmtId="0" fontId="59" fillId="0" borderId="241" xfId="0" applyFont="1" applyBorder="1" applyAlignment="1">
      <alignment horizontal="left" vertical="center"/>
    </xf>
    <xf numFmtId="0" fontId="31" fillId="0" borderId="56" xfId="0" applyFont="1" applyBorder="1"/>
    <xf numFmtId="0" fontId="83" fillId="0" borderId="241" xfId="0" quotePrefix="1" applyFont="1" applyBorder="1" applyAlignment="1">
      <alignment horizontal="center" vertical="center"/>
    </xf>
    <xf numFmtId="0" fontId="327" fillId="0" borderId="209" xfId="15" applyFont="1" applyFill="1" applyBorder="1" applyAlignment="1">
      <alignment horizontal="center" vertical="center" wrapText="1"/>
    </xf>
    <xf numFmtId="0" fontId="327" fillId="0" borderId="204" xfId="15" applyFont="1" applyFill="1" applyBorder="1" applyAlignment="1">
      <alignment horizontal="center" vertical="center" wrapText="1"/>
    </xf>
    <xf numFmtId="14" fontId="342" fillId="93" borderId="249" xfId="15" applyNumberFormat="1" applyFont="1" applyFill="1" applyBorder="1" applyAlignment="1">
      <alignment horizontal="center" vertical="center" wrapText="1"/>
    </xf>
    <xf numFmtId="16" fontId="19" fillId="0" borderId="0" xfId="15" applyNumberFormat="1" applyAlignment="1">
      <alignment wrapText="1"/>
    </xf>
    <xf numFmtId="43" fontId="19" fillId="0" borderId="0" xfId="10" applyFont="1" applyAlignment="1">
      <alignment wrapText="1"/>
    </xf>
    <xf numFmtId="15" fontId="19" fillId="0" borderId="0" xfId="15" applyNumberFormat="1" applyAlignment="1">
      <alignment wrapText="1"/>
    </xf>
    <xf numFmtId="43" fontId="325" fillId="0" borderId="0" xfId="15" applyNumberFormat="1" applyFont="1" applyAlignment="1">
      <alignment horizontal="center" wrapText="1"/>
    </xf>
    <xf numFmtId="0" fontId="349" fillId="93" borderId="249" xfId="15" applyFont="1" applyFill="1" applyBorder="1" applyAlignment="1">
      <alignment horizontal="center" vertical="center" wrapText="1"/>
    </xf>
    <xf numFmtId="43" fontId="350" fillId="0" borderId="199" xfId="15" applyNumberFormat="1" applyFont="1" applyFill="1" applyBorder="1" applyAlignment="1">
      <alignment horizontal="center" vertical="center" wrapText="1"/>
    </xf>
    <xf numFmtId="43" fontId="329" fillId="0" borderId="241" xfId="10" applyFont="1" applyFill="1" applyBorder="1" applyAlignment="1">
      <alignment horizontal="center" vertical="center" wrapText="1"/>
    </xf>
    <xf numFmtId="43" fontId="297" fillId="0" borderId="241" xfId="10" applyFont="1" applyFill="1" applyBorder="1" applyAlignment="1">
      <alignment horizontal="center" vertical="center" wrapText="1"/>
    </xf>
    <xf numFmtId="9" fontId="19" fillId="0" borderId="0" xfId="11" applyFont="1" applyAlignment="1">
      <alignment wrapText="1"/>
    </xf>
    <xf numFmtId="9" fontId="19" fillId="0" borderId="241" xfId="11" quotePrefix="1" applyFont="1" applyFill="1" applyBorder="1" applyAlignment="1">
      <alignment horizontal="right"/>
    </xf>
    <xf numFmtId="43" fontId="19" fillId="0" borderId="241" xfId="11" applyNumberFormat="1" applyFont="1" applyFill="1" applyBorder="1" applyAlignment="1">
      <alignment vertical="top" wrapText="1"/>
    </xf>
    <xf numFmtId="10" fontId="19" fillId="0" borderId="241" xfId="53" quotePrefix="1" applyNumberFormat="1" applyFont="1" applyFill="1" applyBorder="1" applyAlignment="1">
      <alignment horizontal="center"/>
    </xf>
    <xf numFmtId="9" fontId="19" fillId="0" borderId="241" xfId="53" quotePrefix="1" applyFont="1" applyFill="1" applyBorder="1" applyAlignment="1">
      <alignment horizontal="center"/>
    </xf>
    <xf numFmtId="9" fontId="19" fillId="0" borderId="241" xfId="11" applyFont="1" applyFill="1" applyBorder="1" applyAlignment="1">
      <alignment vertical="top" wrapText="1"/>
    </xf>
    <xf numFmtId="14" fontId="19" fillId="0" borderId="241" xfId="17" quotePrefix="1" applyNumberFormat="1" applyFont="1" applyFill="1" applyBorder="1" applyAlignment="1">
      <alignment horizontal="center"/>
    </xf>
    <xf numFmtId="43" fontId="19" fillId="0" borderId="0" xfId="15" applyNumberFormat="1" applyAlignment="1"/>
    <xf numFmtId="43" fontId="19" fillId="0" borderId="241" xfId="10" applyFont="1" applyFill="1" applyBorder="1" applyAlignment="1">
      <alignment vertical="top" wrapText="1"/>
    </xf>
    <xf numFmtId="175" fontId="19" fillId="90" borderId="241" xfId="17" quotePrefix="1" applyNumberFormat="1" applyFont="1" applyFill="1" applyBorder="1" applyAlignment="1">
      <alignment horizontal="center"/>
    </xf>
    <xf numFmtId="43" fontId="19" fillId="0" borderId="248" xfId="15" applyNumberFormat="1" applyBorder="1" applyAlignment="1">
      <alignment wrapText="1"/>
    </xf>
    <xf numFmtId="41" fontId="19" fillId="74" borderId="241" xfId="15" applyNumberFormat="1" applyFont="1" applyFill="1" applyBorder="1"/>
    <xf numFmtId="43" fontId="19" fillId="0" borderId="241" xfId="17" applyFont="1" applyFill="1" applyBorder="1" applyAlignment="1">
      <alignment horizontal="left" wrapText="1"/>
    </xf>
    <xf numFmtId="10" fontId="19" fillId="0" borderId="0" xfId="53" quotePrefix="1" applyNumberFormat="1" applyFont="1" applyFill="1" applyBorder="1" applyAlignment="1">
      <alignment horizontal="center"/>
    </xf>
    <xf numFmtId="9" fontId="19" fillId="0" borderId="0" xfId="53" quotePrefix="1" applyFont="1" applyFill="1" applyBorder="1" applyAlignment="1">
      <alignment horizontal="center"/>
    </xf>
    <xf numFmtId="43" fontId="19" fillId="0" borderId="241" xfId="17" applyFont="1" applyFill="1" applyBorder="1" applyAlignment="1">
      <alignment horizontal="left"/>
    </xf>
    <xf numFmtId="43" fontId="299" fillId="0" borderId="241" xfId="17" quotePrefix="1" applyFont="1" applyFill="1" applyBorder="1" applyAlignment="1">
      <alignment horizontal="left"/>
    </xf>
    <xf numFmtId="43" fontId="299" fillId="0" borderId="241" xfId="17" applyFont="1" applyFill="1" applyBorder="1" applyAlignment="1">
      <alignment horizontal="left"/>
    </xf>
    <xf numFmtId="0" fontId="19" fillId="74" borderId="213" xfId="15" applyFill="1" applyBorder="1" applyAlignment="1">
      <alignment wrapText="1"/>
    </xf>
    <xf numFmtId="43" fontId="19" fillId="0" borderId="213" xfId="17" quotePrefix="1" applyFont="1" applyFill="1" applyBorder="1" applyAlignment="1">
      <alignment horizontal="center"/>
    </xf>
    <xf numFmtId="43" fontId="19" fillId="90" borderId="0" xfId="10" quotePrefix="1" applyFont="1" applyFill="1" applyAlignment="1">
      <alignment wrapText="1"/>
    </xf>
    <xf numFmtId="0" fontId="39" fillId="0" borderId="0" xfId="15" applyFont="1" applyAlignment="1">
      <alignment wrapText="1"/>
    </xf>
    <xf numFmtId="0" fontId="347" fillId="0" borderId="0" xfId="15" applyFont="1" applyAlignment="1"/>
    <xf numFmtId="0" fontId="325" fillId="0" borderId="0" xfId="15" applyFont="1" applyAlignment="1"/>
    <xf numFmtId="0" fontId="325" fillId="0" borderId="0" xfId="15" applyFont="1" applyAlignment="1">
      <alignment wrapText="1"/>
    </xf>
    <xf numFmtId="14" fontId="341" fillId="93" borderId="249" xfId="15" quotePrefix="1" applyNumberFormat="1" applyFont="1" applyFill="1" applyBorder="1" applyAlignment="1">
      <alignment horizontal="center" vertical="center" wrapText="1"/>
    </xf>
    <xf numFmtId="0" fontId="194" fillId="90" borderId="145" xfId="0" applyFont="1" applyFill="1" applyBorder="1" applyAlignment="1">
      <alignment horizontal="center" vertical="center"/>
    </xf>
    <xf numFmtId="0" fontId="194" fillId="74" borderId="145" xfId="0" applyFont="1" applyFill="1" applyBorder="1" applyAlignment="1">
      <alignment horizontal="center" vertical="center"/>
    </xf>
    <xf numFmtId="1" fontId="138" fillId="90" borderId="212" xfId="0" applyNumberFormat="1" applyFont="1" applyFill="1" applyBorder="1" applyAlignment="1">
      <alignment horizontal="center" vertical="center"/>
    </xf>
    <xf numFmtId="15" fontId="0" fillId="90" borderId="0" xfId="0" applyNumberFormat="1" applyFill="1" applyBorder="1" applyAlignment="1">
      <alignment wrapText="1"/>
    </xf>
    <xf numFmtId="0" fontId="0" fillId="90" borderId="206" xfId="0" applyFill="1" applyBorder="1" applyAlignment="1">
      <alignment horizontal="center" wrapText="1"/>
    </xf>
    <xf numFmtId="0" fontId="248" fillId="90" borderId="206" xfId="0" applyFont="1" applyFill="1" applyBorder="1" applyAlignment="1">
      <alignment horizontal="center"/>
    </xf>
    <xf numFmtId="0" fontId="83" fillId="0" borderId="241" xfId="0" applyFont="1" applyFill="1" applyBorder="1" applyAlignment="1">
      <alignment horizontal="center" vertical="center"/>
    </xf>
    <xf numFmtId="43" fontId="308" fillId="0" borderId="241" xfId="0" applyNumberFormat="1" applyFont="1" applyBorder="1" applyAlignment="1">
      <alignment horizontal="center" vertical="center"/>
    </xf>
    <xf numFmtId="43" fontId="308" fillId="0" borderId="241" xfId="0" applyNumberFormat="1" applyFont="1" applyFill="1" applyBorder="1" applyAlignment="1">
      <alignment vertical="center"/>
    </xf>
    <xf numFmtId="0" fontId="308" fillId="0" borderId="241" xfId="0" applyFont="1" applyFill="1" applyBorder="1" applyAlignment="1">
      <alignment horizontal="center" vertical="center"/>
    </xf>
    <xf numFmtId="0" fontId="0" fillId="89" borderId="0" xfId="0" applyFill="1" applyAlignment="1">
      <alignment wrapText="1"/>
    </xf>
    <xf numFmtId="0" fontId="0" fillId="89" borderId="0" xfId="0" applyFill="1" applyBorder="1" applyAlignment="1">
      <alignment wrapText="1"/>
    </xf>
    <xf numFmtId="0" fontId="248" fillId="89" borderId="0" xfId="0" applyFont="1" applyFill="1"/>
    <xf numFmtId="0" fontId="68" fillId="89" borderId="34" xfId="0" applyFont="1" applyFill="1" applyBorder="1"/>
    <xf numFmtId="0" fontId="42" fillId="89" borderId="0" xfId="0" applyFont="1" applyFill="1" applyAlignment="1">
      <alignment vertical="center"/>
    </xf>
    <xf numFmtId="0" fontId="258" fillId="89" borderId="197" xfId="0" applyFont="1" applyFill="1" applyBorder="1"/>
    <xf numFmtId="0" fontId="58" fillId="89" borderId="28" xfId="0" applyFont="1" applyFill="1" applyBorder="1"/>
    <xf numFmtId="0" fontId="213" fillId="89" borderId="231" xfId="0" applyFont="1" applyFill="1" applyBorder="1"/>
    <xf numFmtId="0" fontId="102" fillId="89" borderId="59" xfId="0" applyFont="1" applyFill="1" applyBorder="1"/>
    <xf numFmtId="0" fontId="102" fillId="89" borderId="0" xfId="0" applyFont="1" applyFill="1" applyBorder="1"/>
    <xf numFmtId="0" fontId="258" fillId="89" borderId="0" xfId="0" applyFont="1" applyFill="1" applyBorder="1"/>
    <xf numFmtId="0" fontId="79" fillId="89" borderId="0" xfId="0" applyFont="1" applyFill="1" applyBorder="1" applyAlignment="1">
      <alignment horizontal="center" vertical="center"/>
    </xf>
    <xf numFmtId="0" fontId="18" fillId="89" borderId="0" xfId="0" applyFont="1" applyFill="1"/>
    <xf numFmtId="0" fontId="148" fillId="89" borderId="0" xfId="0" applyFont="1" applyFill="1" applyBorder="1"/>
    <xf numFmtId="0" fontId="266" fillId="89" borderId="0" xfId="0" applyFont="1" applyFill="1" applyBorder="1"/>
    <xf numFmtId="0" fontId="79" fillId="89" borderId="43" xfId="0" applyFont="1" applyFill="1" applyBorder="1" applyAlignment="1">
      <alignment horizontal="center" vertical="center"/>
    </xf>
    <xf numFmtId="0" fontId="127" fillId="89" borderId="0" xfId="0" applyFont="1" applyFill="1" applyBorder="1" applyAlignment="1">
      <alignment horizontal="center" vertical="center"/>
    </xf>
    <xf numFmtId="0" fontId="65" fillId="89" borderId="0" xfId="0" applyFont="1" applyFill="1" applyBorder="1" applyAlignment="1">
      <alignment horizontal="center" vertical="center" wrapText="1"/>
    </xf>
    <xf numFmtId="0" fontId="18" fillId="89" borderId="0" xfId="0" applyFont="1" applyFill="1" applyBorder="1"/>
    <xf numFmtId="0" fontId="87" fillId="89" borderId="0" xfId="0" applyFont="1" applyFill="1" applyBorder="1" applyAlignment="1">
      <alignment horizontal="center" vertical="center"/>
    </xf>
    <xf numFmtId="0" fontId="190" fillId="89" borderId="0" xfId="0" applyFont="1" applyFill="1" applyAlignment="1">
      <alignment horizontal="center"/>
    </xf>
    <xf numFmtId="0" fontId="259" fillId="89" borderId="0" xfId="0" applyFont="1" applyFill="1" applyAlignment="1">
      <alignment horizontal="center"/>
    </xf>
    <xf numFmtId="0" fontId="248" fillId="89" borderId="0" xfId="0" applyFont="1" applyFill="1" applyBorder="1"/>
    <xf numFmtId="0" fontId="266" fillId="89" borderId="207" xfId="0" applyFont="1" applyFill="1" applyBorder="1"/>
    <xf numFmtId="0" fontId="148" fillId="89" borderId="99" xfId="0" applyFont="1" applyFill="1" applyBorder="1"/>
    <xf numFmtId="0" fontId="116" fillId="89" borderId="73" xfId="0" applyFont="1" applyFill="1" applyBorder="1" applyAlignment="1">
      <alignment vertical="center"/>
    </xf>
    <xf numFmtId="0" fontId="67" fillId="89" borderId="0" xfId="0" applyFont="1" applyFill="1" applyBorder="1" applyAlignment="1">
      <alignment vertical="center"/>
    </xf>
    <xf numFmtId="0" fontId="204" fillId="89" borderId="0" xfId="0" applyFont="1" applyFill="1" applyBorder="1" applyAlignment="1">
      <alignment vertical="center"/>
    </xf>
    <xf numFmtId="0" fontId="18" fillId="89" borderId="197" xfId="0" applyFont="1" applyFill="1" applyBorder="1"/>
    <xf numFmtId="0" fontId="322" fillId="89" borderId="197" xfId="9" applyFill="1" applyBorder="1" applyAlignment="1" applyProtection="1"/>
    <xf numFmtId="0" fontId="39" fillId="89" borderId="0" xfId="0" applyFont="1" applyFill="1" applyBorder="1" applyAlignment="1">
      <alignment horizontal="left" indent="1"/>
    </xf>
    <xf numFmtId="0" fontId="42" fillId="89" borderId="0" xfId="0" applyFont="1" applyFill="1" applyBorder="1" applyAlignment="1">
      <alignment vertical="center"/>
    </xf>
    <xf numFmtId="0" fontId="39" fillId="89" borderId="0" xfId="0" applyFont="1" applyFill="1" applyBorder="1" applyAlignment="1">
      <alignment horizontal="center" wrapText="1"/>
    </xf>
    <xf numFmtId="0" fontId="18" fillId="89" borderId="0" xfId="0" applyFont="1" applyFill="1" applyBorder="1" applyAlignment="1">
      <alignment vertical="center"/>
    </xf>
    <xf numFmtId="0" fontId="35" fillId="89" borderId="0" xfId="0" applyFont="1" applyFill="1" applyBorder="1" applyAlignment="1">
      <alignment vertical="center"/>
    </xf>
    <xf numFmtId="0" fontId="194" fillId="89" borderId="0" xfId="0" applyFont="1" applyFill="1" applyBorder="1" applyAlignment="1">
      <alignment horizontal="center" vertical="center"/>
    </xf>
    <xf numFmtId="0" fontId="217" fillId="89" borderId="0" xfId="0" applyFont="1" applyFill="1" applyBorder="1" applyAlignment="1">
      <alignment horizontal="center"/>
    </xf>
    <xf numFmtId="0" fontId="244" fillId="89" borderId="0" xfId="0" applyFont="1" applyFill="1" applyAlignment="1">
      <alignment horizontal="center"/>
    </xf>
    <xf numFmtId="0" fontId="239" fillId="90" borderId="182" xfId="0" applyFont="1" applyFill="1" applyBorder="1" applyAlignment="1">
      <alignment horizontal="center" vertical="center"/>
    </xf>
    <xf numFmtId="0" fontId="106" fillId="90" borderId="63" xfId="0" applyFont="1" applyFill="1" applyBorder="1"/>
    <xf numFmtId="0" fontId="102" fillId="90" borderId="212" xfId="0" applyFont="1" applyFill="1" applyBorder="1"/>
    <xf numFmtId="15" fontId="0" fillId="90" borderId="239" xfId="0" applyNumberFormat="1" applyFill="1" applyBorder="1" applyAlignment="1">
      <alignment wrapText="1"/>
    </xf>
    <xf numFmtId="0" fontId="248" fillId="90" borderId="196" xfId="0" applyFont="1" applyFill="1" applyBorder="1" applyAlignment="1">
      <alignment horizontal="center"/>
    </xf>
    <xf numFmtId="0" fontId="19" fillId="0" borderId="105" xfId="0" applyFont="1" applyFill="1" applyBorder="1"/>
    <xf numFmtId="0" fontId="136" fillId="0" borderId="92" xfId="0" applyFont="1" applyFill="1" applyBorder="1" applyAlignment="1">
      <alignment horizontal="left" vertical="top" wrapText="1"/>
    </xf>
    <xf numFmtId="0" fontId="258" fillId="0" borderId="231" xfId="0" applyFont="1" applyBorder="1"/>
    <xf numFmtId="0" fontId="37" fillId="0" borderId="204" xfId="0" applyFont="1" applyBorder="1" applyAlignment="1">
      <alignment horizontal="right" vertical="center"/>
    </xf>
    <xf numFmtId="182" fontId="90" fillId="0" borderId="50" xfId="0" applyNumberFormat="1" applyFont="1" applyBorder="1" applyAlignment="1">
      <alignment horizontal="right" vertical="center"/>
    </xf>
    <xf numFmtId="182" fontId="283" fillId="0" borderId="229" xfId="0" applyNumberFormat="1" applyFont="1" applyBorder="1" applyAlignment="1">
      <alignment horizontal="right" vertical="center"/>
    </xf>
    <xf numFmtId="43" fontId="0" fillId="0" borderId="241" xfId="17" applyNumberFormat="1" applyFont="1" applyBorder="1" applyAlignment="1">
      <alignment horizontal="center"/>
    </xf>
    <xf numFmtId="43" fontId="19" fillId="90" borderId="233" xfId="17" quotePrefix="1" applyNumberFormat="1" applyFont="1" applyFill="1" applyBorder="1" applyAlignment="1">
      <alignment horizontal="center"/>
    </xf>
    <xf numFmtId="0" fontId="325" fillId="93" borderId="0" xfId="0" applyFont="1" applyFill="1" applyAlignment="1"/>
    <xf numFmtId="43" fontId="347" fillId="93" borderId="0" xfId="1" applyFont="1" applyFill="1" applyAlignment="1"/>
    <xf numFmtId="0" fontId="19" fillId="74" borderId="241" xfId="0" applyFont="1" applyFill="1" applyBorder="1" applyAlignment="1"/>
    <xf numFmtId="0" fontId="0" fillId="0" borderId="241" xfId="0" applyBorder="1" applyAlignment="1"/>
    <xf numFmtId="0" fontId="19" fillId="0" borderId="241" xfId="0" applyFont="1" applyBorder="1" applyAlignment="1"/>
    <xf numFmtId="0" fontId="0" fillId="74" borderId="241" xfId="0" applyFill="1" applyBorder="1" applyAlignment="1"/>
    <xf numFmtId="0" fontId="347" fillId="93" borderId="236" xfId="0" applyFont="1" applyFill="1" applyBorder="1" applyAlignment="1"/>
    <xf numFmtId="0" fontId="347" fillId="93" borderId="237" xfId="0" applyFont="1" applyFill="1" applyBorder="1" applyAlignment="1"/>
    <xf numFmtId="43" fontId="347" fillId="93" borderId="237" xfId="1" applyFont="1" applyFill="1" applyBorder="1"/>
    <xf numFmtId="43" fontId="347" fillId="93" borderId="232" xfId="1" applyFont="1" applyFill="1" applyBorder="1"/>
    <xf numFmtId="0" fontId="19" fillId="74" borderId="225" xfId="0" applyFont="1" applyFill="1" applyBorder="1" applyAlignment="1"/>
    <xf numFmtId="0" fontId="19" fillId="74" borderId="198" xfId="0" applyFont="1" applyFill="1" applyBorder="1" applyAlignment="1"/>
    <xf numFmtId="0" fontId="0" fillId="0" borderId="217" xfId="0" applyBorder="1" applyAlignment="1"/>
    <xf numFmtId="0" fontId="19" fillId="0" borderId="217" xfId="0" applyFont="1" applyBorder="1" applyAlignment="1"/>
    <xf numFmtId="0" fontId="0" fillId="74" borderId="217" xfId="0" applyFill="1" applyBorder="1" applyAlignment="1"/>
    <xf numFmtId="0" fontId="0" fillId="0" borderId="202" xfId="0" applyBorder="1" applyAlignment="1"/>
    <xf numFmtId="0" fontId="352" fillId="93" borderId="241" xfId="0" applyFont="1" applyFill="1" applyBorder="1" applyAlignment="1">
      <alignment horizontal="center"/>
    </xf>
    <xf numFmtId="0" fontId="347" fillId="93" borderId="241" xfId="0" applyFont="1" applyFill="1" applyBorder="1" applyAlignment="1">
      <alignment horizontal="center" vertical="center" wrapText="1"/>
    </xf>
    <xf numFmtId="0" fontId="0" fillId="0" borderId="241" xfId="0" applyFill="1" applyBorder="1" applyAlignment="1"/>
    <xf numFmtId="0" fontId="325" fillId="93" borderId="236" xfId="0" applyFont="1" applyFill="1" applyBorder="1" applyAlignment="1">
      <alignment horizontal="center"/>
    </xf>
    <xf numFmtId="0" fontId="325" fillId="93" borderId="237" xfId="0" applyFont="1" applyFill="1" applyBorder="1" applyAlignment="1">
      <alignment horizontal="center"/>
    </xf>
    <xf numFmtId="0" fontId="352" fillId="93" borderId="225" xfId="0" applyFont="1" applyFill="1" applyBorder="1" applyAlignment="1">
      <alignment horizontal="center"/>
    </xf>
    <xf numFmtId="0" fontId="347" fillId="93" borderId="229" xfId="0" applyFont="1" applyFill="1" applyBorder="1" applyAlignment="1">
      <alignment horizontal="center"/>
    </xf>
    <xf numFmtId="0" fontId="0" fillId="0" borderId="225" xfId="0" applyFill="1" applyBorder="1" applyAlignment="1"/>
    <xf numFmtId="0" fontId="0" fillId="0" borderId="198" xfId="0" applyFill="1" applyBorder="1" applyAlignment="1"/>
    <xf numFmtId="0" fontId="0" fillId="0" borderId="217" xfId="0" applyFill="1" applyBorder="1" applyAlignment="1"/>
    <xf numFmtId="43" fontId="31" fillId="0" borderId="0" xfId="0" applyNumberFormat="1" applyFont="1"/>
    <xf numFmtId="0" fontId="54" fillId="0" borderId="0" xfId="0" applyFont="1" applyBorder="1"/>
    <xf numFmtId="0" fontId="31" fillId="0" borderId="121" xfId="0" applyFont="1" applyBorder="1" applyAlignment="1">
      <alignment horizontal="center"/>
    </xf>
    <xf numFmtId="0" fontId="31" fillId="0" borderId="11" xfId="0" applyFont="1" applyBorder="1" applyAlignment="1">
      <alignment horizontal="center"/>
    </xf>
    <xf numFmtId="0" fontId="353" fillId="0" borderId="141" xfId="0" applyFont="1" applyFill="1" applyBorder="1" applyAlignment="1">
      <alignment horizontal="left"/>
    </xf>
    <xf numFmtId="0" fontId="353" fillId="0" borderId="241" xfId="0" applyFont="1" applyFill="1" applyBorder="1" applyAlignment="1">
      <alignment horizontal="left"/>
    </xf>
    <xf numFmtId="0" fontId="353" fillId="0" borderId="83" xfId="0" applyFont="1" applyFill="1" applyBorder="1" applyAlignment="1">
      <alignment horizontal="left"/>
    </xf>
    <xf numFmtId="0" fontId="99" fillId="0" borderId="0" xfId="0" applyFont="1" applyBorder="1"/>
    <xf numFmtId="0" fontId="224" fillId="0" borderId="236" xfId="0" applyFont="1" applyBorder="1" applyAlignment="1">
      <alignment horizontal="left" vertical="center"/>
    </xf>
    <xf numFmtId="0" fontId="180" fillId="0" borderId="237" xfId="0" applyFont="1" applyBorder="1" applyAlignment="1">
      <alignment horizontal="center" vertical="center"/>
    </xf>
    <xf numFmtId="0" fontId="224" fillId="0" borderId="225" xfId="0" applyFont="1" applyBorder="1" applyAlignment="1">
      <alignment horizontal="left" vertical="center"/>
    </xf>
    <xf numFmtId="0" fontId="180" fillId="0" borderId="241" xfId="0" applyFont="1" applyBorder="1" applyAlignment="1">
      <alignment horizontal="center" vertical="center"/>
    </xf>
    <xf numFmtId="168" fontId="313" fillId="74" borderId="229" xfId="0" applyNumberFormat="1" applyFont="1" applyFill="1" applyBorder="1"/>
    <xf numFmtId="0" fontId="59" fillId="0" borderId="241" xfId="0" applyFont="1" applyBorder="1" applyAlignment="1">
      <alignment horizontal="center" vertical="center"/>
    </xf>
    <xf numFmtId="168" fontId="313" fillId="0" borderId="229" xfId="0" applyNumberFormat="1" applyFont="1" applyBorder="1"/>
    <xf numFmtId="0" fontId="224" fillId="0" borderId="225" xfId="0" applyFont="1" applyFill="1" applyBorder="1" applyAlignment="1">
      <alignment horizontal="left" vertical="center"/>
    </xf>
    <xf numFmtId="0" fontId="51" fillId="0" borderId="225" xfId="0" applyFont="1" applyFill="1" applyBorder="1" applyAlignment="1">
      <alignment vertical="center"/>
    </xf>
    <xf numFmtId="0" fontId="170" fillId="0" borderId="241" xfId="0" applyFont="1" applyBorder="1" applyAlignment="1">
      <alignment horizontal="left" vertical="center"/>
    </xf>
    <xf numFmtId="43" fontId="207" fillId="0" borderId="241" xfId="0" applyNumberFormat="1" applyFont="1" applyBorder="1" applyAlignment="1">
      <alignment horizontal="center" vertical="center"/>
    </xf>
    <xf numFmtId="0" fontId="224" fillId="0" borderId="198" xfId="0" applyFont="1" applyBorder="1" applyAlignment="1">
      <alignment horizontal="left" vertical="center"/>
    </xf>
    <xf numFmtId="43" fontId="207" fillId="0" borderId="217" xfId="0" applyNumberFormat="1" applyFont="1" applyBorder="1" applyAlignment="1">
      <alignment horizontal="center" vertical="center"/>
    </xf>
    <xf numFmtId="168" fontId="313" fillId="74" borderId="202" xfId="0" applyNumberFormat="1" applyFont="1" applyFill="1" applyBorder="1"/>
    <xf numFmtId="0" fontId="31" fillId="0" borderId="241" xfId="0" applyFont="1" applyBorder="1"/>
    <xf numFmtId="0" fontId="0" fillId="0" borderId="241" xfId="0" applyBorder="1" applyAlignment="1">
      <alignment wrapText="1"/>
    </xf>
    <xf numFmtId="0" fontId="347" fillId="93" borderId="241" xfId="0" applyFont="1" applyFill="1" applyBorder="1" applyAlignment="1">
      <alignment wrapText="1"/>
    </xf>
    <xf numFmtId="43" fontId="0" fillId="0" borderId="241" xfId="1" applyFont="1" applyBorder="1" applyAlignment="1">
      <alignment wrapText="1"/>
    </xf>
    <xf numFmtId="0" fontId="19" fillId="0" borderId="241" xfId="0" applyFont="1" applyBorder="1" applyAlignment="1">
      <alignment wrapText="1"/>
    </xf>
    <xf numFmtId="0" fontId="0" fillId="0" borderId="213" xfId="0" applyBorder="1" applyAlignment="1">
      <alignment wrapText="1"/>
    </xf>
    <xf numFmtId="43" fontId="0" fillId="0" borderId="213" xfId="1" applyFont="1" applyBorder="1" applyAlignment="1">
      <alignment wrapText="1"/>
    </xf>
    <xf numFmtId="0" fontId="0" fillId="0" borderId="233" xfId="0" applyBorder="1" applyAlignment="1">
      <alignment wrapText="1"/>
    </xf>
    <xf numFmtId="43" fontId="0" fillId="0" borderId="233" xfId="1" applyFont="1" applyBorder="1" applyAlignment="1">
      <alignment wrapText="1"/>
    </xf>
    <xf numFmtId="0" fontId="19" fillId="74" borderId="236" xfId="0" applyFont="1" applyFill="1" applyBorder="1" applyAlignment="1"/>
    <xf numFmtId="0" fontId="0" fillId="74" borderId="237" xfId="0" applyFill="1" applyBorder="1" applyAlignment="1">
      <alignment wrapText="1"/>
    </xf>
    <xf numFmtId="43" fontId="0" fillId="74" borderId="237" xfId="1" applyFont="1" applyFill="1" applyBorder="1" applyAlignment="1">
      <alignment wrapText="1"/>
    </xf>
    <xf numFmtId="43" fontId="0" fillId="74" borderId="232" xfId="1" applyFont="1" applyFill="1" applyBorder="1" applyAlignment="1">
      <alignment wrapText="1"/>
    </xf>
    <xf numFmtId="0" fontId="0" fillId="74" borderId="217" xfId="0" applyFill="1" applyBorder="1" applyAlignment="1">
      <alignment wrapText="1"/>
    </xf>
    <xf numFmtId="43" fontId="0" fillId="74" borderId="217" xfId="1" applyFont="1" applyFill="1" applyBorder="1" applyAlignment="1">
      <alignment wrapText="1"/>
    </xf>
    <xf numFmtId="43" fontId="0" fillId="74" borderId="202" xfId="1" applyFont="1" applyFill="1" applyBorder="1" applyAlignment="1">
      <alignment wrapText="1"/>
    </xf>
    <xf numFmtId="0" fontId="19" fillId="0" borderId="231" xfId="4" applyBorder="1" applyAlignment="1">
      <alignment wrapText="1"/>
    </xf>
    <xf numFmtId="181" fontId="19" fillId="0" borderId="206" xfId="4" applyNumberFormat="1" applyBorder="1" applyAlignment="1">
      <alignment wrapText="1"/>
    </xf>
    <xf numFmtId="0" fontId="347" fillId="93" borderId="224" xfId="4" applyFont="1" applyFill="1" applyBorder="1" applyAlignment="1"/>
    <xf numFmtId="0" fontId="325" fillId="93" borderId="175" xfId="4" applyFont="1" applyFill="1" applyBorder="1" applyAlignment="1">
      <alignment wrapText="1"/>
    </xf>
    <xf numFmtId="0" fontId="347" fillId="93" borderId="231" xfId="4" applyFont="1" applyFill="1" applyBorder="1" applyAlignment="1">
      <alignment wrapText="1"/>
    </xf>
    <xf numFmtId="0" fontId="325" fillId="93" borderId="206" xfId="4" applyFont="1" applyFill="1" applyBorder="1" applyAlignment="1">
      <alignment wrapText="1"/>
    </xf>
    <xf numFmtId="0" fontId="19" fillId="74" borderId="231" xfId="4" applyFill="1" applyBorder="1" applyAlignment="1">
      <alignment wrapText="1"/>
    </xf>
    <xf numFmtId="181" fontId="19" fillId="74" borderId="206" xfId="4" applyNumberFormat="1" applyFill="1" applyBorder="1" applyAlignment="1">
      <alignment wrapText="1"/>
    </xf>
    <xf numFmtId="0" fontId="19" fillId="74" borderId="201" xfId="4" applyFill="1" applyBorder="1" applyAlignment="1">
      <alignment wrapText="1"/>
    </xf>
    <xf numFmtId="181" fontId="19" fillId="74" borderId="196" xfId="4" applyNumberFormat="1" applyFill="1" applyBorder="1" applyAlignment="1">
      <alignment wrapText="1"/>
    </xf>
    <xf numFmtId="0" fontId="19" fillId="0" borderId="0" xfId="4" applyAlignment="1">
      <alignment horizontal="right" wrapText="1"/>
    </xf>
    <xf numFmtId="0" fontId="347" fillId="93" borderId="236" xfId="4" applyFont="1" applyFill="1" applyBorder="1" applyAlignment="1">
      <alignment horizontal="center" wrapText="1"/>
    </xf>
    <xf numFmtId="0" fontId="347" fillId="93" borderId="237" xfId="4" applyFont="1" applyFill="1" applyBorder="1" applyAlignment="1">
      <alignment horizontal="center" wrapText="1"/>
    </xf>
    <xf numFmtId="0" fontId="347" fillId="93" borderId="237" xfId="4" applyFont="1" applyFill="1" applyBorder="1" applyAlignment="1">
      <alignment horizontal="center" vertical="center" wrapText="1"/>
    </xf>
    <xf numFmtId="0" fontId="347" fillId="93" borderId="232" xfId="4" applyFont="1" applyFill="1" applyBorder="1" applyAlignment="1">
      <alignment horizontal="center" wrapText="1"/>
    </xf>
    <xf numFmtId="0" fontId="19" fillId="0" borderId="225" xfId="4" applyBorder="1" applyAlignment="1">
      <alignment horizontal="right" vertical="center" wrapText="1"/>
    </xf>
    <xf numFmtId="0" fontId="19" fillId="0" borderId="229" xfId="4" applyFont="1" applyBorder="1" applyAlignment="1">
      <alignment vertical="center" wrapText="1"/>
    </xf>
    <xf numFmtId="0" fontId="19" fillId="0" borderId="198" xfId="4" applyBorder="1" applyAlignment="1">
      <alignment horizontal="right" vertical="center" wrapText="1"/>
    </xf>
    <xf numFmtId="0" fontId="19" fillId="0" borderId="217" xfId="4" applyFont="1" applyBorder="1" applyAlignment="1">
      <alignment vertical="center" wrapText="1"/>
    </xf>
    <xf numFmtId="0" fontId="19" fillId="0" borderId="217" xfId="4" applyFont="1" applyBorder="1" applyAlignment="1">
      <alignment horizontal="center" vertical="center" wrapText="1"/>
    </xf>
    <xf numFmtId="0" fontId="19" fillId="0" borderId="217" xfId="4" applyFont="1" applyBorder="1" applyAlignment="1">
      <alignment wrapText="1"/>
    </xf>
    <xf numFmtId="43" fontId="19" fillId="0" borderId="217" xfId="10" applyFont="1" applyBorder="1" applyAlignment="1">
      <alignment vertical="center" wrapText="1"/>
    </xf>
    <xf numFmtId="0" fontId="19" fillId="0" borderId="217" xfId="4" applyBorder="1" applyAlignment="1">
      <alignment wrapText="1"/>
    </xf>
    <xf numFmtId="0" fontId="19" fillId="0" borderId="202" xfId="4" applyFont="1" applyBorder="1" applyAlignment="1">
      <alignment vertical="center" wrapText="1"/>
    </xf>
    <xf numFmtId="0" fontId="25" fillId="0" borderId="225" xfId="0" applyFont="1" applyBorder="1"/>
    <xf numFmtId="0" fontId="33" fillId="0" borderId="241" xfId="0" applyFont="1" applyBorder="1"/>
    <xf numFmtId="0" fontId="348" fillId="0" borderId="0" xfId="0" applyFont="1" applyAlignment="1">
      <alignment vertical="center"/>
    </xf>
    <xf numFmtId="0" fontId="308" fillId="0" borderId="0" xfId="0" applyFont="1" applyBorder="1" applyAlignment="1">
      <alignment vertical="center"/>
    </xf>
    <xf numFmtId="3" fontId="308" fillId="0" borderId="0" xfId="0" applyNumberFormat="1" applyFont="1" applyBorder="1" applyAlignment="1">
      <alignment vertical="center"/>
    </xf>
    <xf numFmtId="3" fontId="308" fillId="0" borderId="0" xfId="0" applyNumberFormat="1" applyFont="1" applyAlignment="1">
      <alignment vertical="center"/>
    </xf>
    <xf numFmtId="43" fontId="83" fillId="0" borderId="241" xfId="1" applyFont="1" applyBorder="1" applyAlignment="1">
      <alignment horizontal="right" vertical="center"/>
    </xf>
    <xf numFmtId="0" fontId="18" fillId="20" borderId="46" xfId="0" applyFont="1" applyFill="1" applyBorder="1" applyAlignment="1">
      <alignment horizontal="center" vertical="center"/>
    </xf>
    <xf numFmtId="43" fontId="19" fillId="0" borderId="241" xfId="17" applyFont="1" applyFill="1" applyBorder="1" applyAlignment="1">
      <alignment horizontal="center"/>
    </xf>
    <xf numFmtId="0" fontId="355" fillId="0" borderId="141" xfId="0" applyFont="1" applyFill="1" applyBorder="1" applyAlignment="1">
      <alignment horizontal="left"/>
    </xf>
    <xf numFmtId="0" fontId="355" fillId="0" borderId="83" xfId="0" applyFont="1" applyFill="1" applyBorder="1" applyAlignment="1">
      <alignment horizontal="left"/>
    </xf>
    <xf numFmtId="0" fontId="355" fillId="0" borderId="241" xfId="0" applyFont="1" applyFill="1" applyBorder="1" applyAlignment="1">
      <alignment horizontal="left"/>
    </xf>
    <xf numFmtId="0" fontId="19" fillId="74" borderId="241" xfId="15" applyNumberFormat="1" applyFont="1" applyFill="1" applyBorder="1"/>
    <xf numFmtId="43" fontId="83" fillId="0" borderId="241" xfId="1" applyFont="1" applyBorder="1" applyAlignment="1">
      <alignment horizontal="center" vertical="center"/>
    </xf>
    <xf numFmtId="0" fontId="346" fillId="93" borderId="231" xfId="0" applyFont="1" applyFill="1" applyBorder="1"/>
    <xf numFmtId="0" fontId="347" fillId="93" borderId="0" xfId="0" applyFont="1" applyFill="1" applyBorder="1" applyAlignment="1">
      <alignment horizontal="center" wrapText="1"/>
    </xf>
    <xf numFmtId="0" fontId="347" fillId="93" borderId="206" xfId="0" applyFont="1" applyFill="1" applyBorder="1" applyAlignment="1">
      <alignment horizontal="center" wrapText="1"/>
    </xf>
    <xf numFmtId="0" fontId="312" fillId="93" borderId="218" xfId="0" applyFont="1" applyFill="1" applyBorder="1" applyAlignment="1">
      <alignment horizontal="center"/>
    </xf>
    <xf numFmtId="0" fontId="325" fillId="93" borderId="218" xfId="0" applyFont="1" applyFill="1" applyBorder="1" applyAlignment="1">
      <alignment horizontal="center" wrapText="1"/>
    </xf>
    <xf numFmtId="0" fontId="312" fillId="93" borderId="226" xfId="0" applyFont="1" applyFill="1" applyBorder="1" applyAlignment="1">
      <alignment horizontal="center"/>
    </xf>
    <xf numFmtId="0" fontId="312" fillId="93" borderId="153" xfId="0" applyFont="1" applyFill="1" applyBorder="1" applyAlignment="1">
      <alignment horizontal="center"/>
    </xf>
    <xf numFmtId="0" fontId="346" fillId="93" borderId="236" xfId="0" applyFont="1" applyFill="1" applyBorder="1"/>
    <xf numFmtId="0" fontId="346" fillId="93" borderId="237" xfId="0" applyFont="1" applyFill="1" applyBorder="1"/>
    <xf numFmtId="0" fontId="346" fillId="93" borderId="232" xfId="0" applyFont="1" applyFill="1" applyBorder="1"/>
    <xf numFmtId="0" fontId="346" fillId="93" borderId="225" xfId="0" applyFont="1" applyFill="1" applyBorder="1"/>
    <xf numFmtId="0" fontId="346" fillId="93" borderId="241" xfId="0" applyFont="1" applyFill="1" applyBorder="1" applyAlignment="1">
      <alignment horizontal="center"/>
    </xf>
    <xf numFmtId="0" fontId="346" fillId="93" borderId="229" xfId="0" applyFont="1" applyFill="1" applyBorder="1" applyAlignment="1">
      <alignment horizontal="center"/>
    </xf>
    <xf numFmtId="0" fontId="248" fillId="90" borderId="0" xfId="0" applyFont="1" applyFill="1" applyBorder="1"/>
    <xf numFmtId="0" fontId="346" fillId="93" borderId="224" xfId="0" applyFont="1" applyFill="1" applyBorder="1" applyAlignment="1">
      <alignment horizontal="left" vertical="center"/>
    </xf>
    <xf numFmtId="0" fontId="96" fillId="90" borderId="54" xfId="0" applyFont="1" applyFill="1" applyBorder="1" applyAlignment="1">
      <alignment horizontal="left" vertical="center"/>
    </xf>
    <xf numFmtId="0" fontId="18" fillId="90" borderId="54" xfId="0" applyFont="1" applyFill="1" applyBorder="1" applyAlignment="1">
      <alignment horizontal="left" vertical="center"/>
    </xf>
    <xf numFmtId="0" fontId="31" fillId="90" borderId="231" xfId="0" applyFont="1" applyFill="1" applyBorder="1"/>
    <xf numFmtId="0" fontId="31" fillId="90" borderId="201" xfId="0" applyFont="1" applyFill="1" applyBorder="1"/>
    <xf numFmtId="0" fontId="248" fillId="90" borderId="231" xfId="0" applyFont="1" applyFill="1" applyBorder="1"/>
    <xf numFmtId="0" fontId="18" fillId="90" borderId="231" xfId="0" applyFont="1" applyFill="1" applyBorder="1"/>
    <xf numFmtId="0" fontId="18" fillId="90" borderId="201" xfId="0" applyFont="1" applyFill="1" applyBorder="1"/>
    <xf numFmtId="0" fontId="65" fillId="90" borderId="225" xfId="0" applyFont="1" applyFill="1" applyBorder="1"/>
    <xf numFmtId="0" fontId="65" fillId="90" borderId="198" xfId="0" applyFont="1" applyFill="1" applyBorder="1"/>
    <xf numFmtId="0" fontId="0" fillId="90" borderId="231" xfId="0" applyFill="1" applyBorder="1" applyAlignment="1">
      <alignment wrapText="1"/>
    </xf>
    <xf numFmtId="0" fontId="39" fillId="90" borderId="230" xfId="0" applyFont="1" applyFill="1" applyBorder="1" applyAlignment="1">
      <alignment wrapText="1"/>
    </xf>
    <xf numFmtId="0" fontId="39" fillId="90" borderId="172" xfId="0" applyFont="1" applyFill="1" applyBorder="1" applyAlignment="1">
      <alignment wrapText="1"/>
    </xf>
    <xf numFmtId="0" fontId="39" fillId="90" borderId="250" xfId="0" applyFont="1" applyFill="1" applyBorder="1" applyAlignment="1">
      <alignment wrapText="1"/>
    </xf>
    <xf numFmtId="0" fontId="325" fillId="93" borderId="235" xfId="0" applyFont="1" applyFill="1" applyBorder="1" applyAlignment="1">
      <alignment wrapText="1"/>
    </xf>
    <xf numFmtId="0" fontId="347" fillId="93" borderId="186" xfId="0" applyFont="1" applyFill="1" applyBorder="1" applyAlignment="1"/>
    <xf numFmtId="0" fontId="248" fillId="97" borderId="0" xfId="0" applyFont="1" applyFill="1" applyBorder="1" applyAlignment="1">
      <alignment horizontal="center"/>
    </xf>
    <xf numFmtId="43" fontId="0" fillId="97" borderId="186" xfId="1" applyFont="1" applyFill="1" applyBorder="1" applyAlignment="1">
      <alignment wrapText="1"/>
    </xf>
    <xf numFmtId="43" fontId="0" fillId="97" borderId="191" xfId="1" applyFont="1" applyFill="1" applyBorder="1" applyAlignment="1">
      <alignment wrapText="1"/>
    </xf>
    <xf numFmtId="0" fontId="0" fillId="97" borderId="0" xfId="0" applyFill="1" applyBorder="1" applyAlignment="1">
      <alignment horizontal="center" wrapText="1"/>
    </xf>
    <xf numFmtId="0" fontId="0" fillId="97" borderId="206" xfId="0" applyFill="1" applyBorder="1" applyAlignment="1">
      <alignment horizontal="center" wrapText="1"/>
    </xf>
    <xf numFmtId="0" fontId="0" fillId="97" borderId="239" xfId="0" applyFill="1" applyBorder="1" applyAlignment="1">
      <alignment horizontal="center" wrapText="1"/>
    </xf>
    <xf numFmtId="0" fontId="0" fillId="97" borderId="196" xfId="0" applyFill="1" applyBorder="1" applyAlignment="1">
      <alignment horizontal="center" wrapText="1"/>
    </xf>
    <xf numFmtId="0" fontId="272" fillId="97" borderId="241" xfId="0" applyFont="1" applyFill="1" applyBorder="1" applyAlignment="1">
      <alignment horizontal="center"/>
    </xf>
    <xf numFmtId="0" fontId="272" fillId="97" borderId="229" xfId="0" applyFont="1" applyFill="1" applyBorder="1" applyAlignment="1">
      <alignment horizontal="center"/>
    </xf>
    <xf numFmtId="0" fontId="272" fillId="97" borderId="217" xfId="0" applyFont="1" applyFill="1" applyBorder="1" applyAlignment="1">
      <alignment horizontal="center"/>
    </xf>
    <xf numFmtId="0" fontId="272" fillId="97" borderId="202" xfId="0" applyFont="1" applyFill="1" applyBorder="1" applyAlignment="1">
      <alignment horizontal="center"/>
    </xf>
    <xf numFmtId="0" fontId="259" fillId="97" borderId="206" xfId="0" applyFont="1" applyFill="1" applyBorder="1" applyAlignment="1">
      <alignment horizontal="center"/>
    </xf>
    <xf numFmtId="0" fontId="217" fillId="98" borderId="0" xfId="0" applyFont="1" applyFill="1" applyBorder="1" applyAlignment="1">
      <alignment horizontal="center"/>
    </xf>
    <xf numFmtId="0" fontId="282" fillId="74" borderId="0" xfId="0" applyFont="1" applyFill="1" applyBorder="1" applyAlignment="1">
      <alignment horizontal="center"/>
    </xf>
    <xf numFmtId="0" fontId="19" fillId="90" borderId="231" xfId="0" applyFont="1" applyFill="1" applyBorder="1" applyAlignment="1">
      <alignment wrapText="1"/>
    </xf>
    <xf numFmtId="0" fontId="248" fillId="90" borderId="206" xfId="0" applyFont="1" applyFill="1" applyBorder="1"/>
    <xf numFmtId="0" fontId="19" fillId="74" borderId="231" xfId="0" applyFont="1" applyFill="1" applyBorder="1" applyAlignment="1"/>
    <xf numFmtId="0" fontId="184" fillId="74" borderId="206" xfId="0" applyFont="1" applyFill="1" applyBorder="1" applyAlignment="1">
      <alignment horizontal="center"/>
    </xf>
    <xf numFmtId="0" fontId="19" fillId="98" borderId="231" xfId="0" applyFont="1" applyFill="1" applyBorder="1" applyAlignment="1">
      <alignment wrapText="1"/>
    </xf>
    <xf numFmtId="0" fontId="244" fillId="98" borderId="206" xfId="0" applyFont="1" applyFill="1" applyBorder="1" applyAlignment="1">
      <alignment horizontal="center"/>
    </xf>
    <xf numFmtId="0" fontId="356" fillId="94" borderId="0" xfId="0" applyFont="1" applyFill="1"/>
    <xf numFmtId="0" fontId="248" fillId="94" borderId="0" xfId="0" applyFont="1" applyFill="1"/>
    <xf numFmtId="0" fontId="258" fillId="94" borderId="0" xfId="0" applyFont="1" applyFill="1" applyBorder="1"/>
    <xf numFmtId="0" fontId="190" fillId="94" borderId="0" xfId="0" applyFont="1" applyFill="1" applyAlignment="1">
      <alignment horizontal="center"/>
    </xf>
    <xf numFmtId="0" fontId="259" fillId="94" borderId="0" xfId="0" applyFont="1" applyFill="1" applyAlignment="1">
      <alignment horizontal="center"/>
    </xf>
    <xf numFmtId="0" fontId="0" fillId="94" borderId="0" xfId="0" applyFill="1" applyAlignment="1">
      <alignment wrapText="1"/>
    </xf>
    <xf numFmtId="0" fontId="18" fillId="94" borderId="0" xfId="0" applyFont="1" applyFill="1" applyAlignment="1"/>
    <xf numFmtId="0" fontId="248" fillId="94" borderId="0" xfId="0" applyFont="1" applyFill="1" applyAlignment="1"/>
    <xf numFmtId="0" fontId="357" fillId="94" borderId="0" xfId="0" applyFont="1" applyFill="1" applyAlignment="1">
      <alignment horizontal="center" vertical="center"/>
    </xf>
    <xf numFmtId="0" fontId="357" fillId="94" borderId="0" xfId="0" applyFont="1" applyFill="1"/>
    <xf numFmtId="0" fontId="18" fillId="90" borderId="227" xfId="0" applyFont="1" applyFill="1" applyBorder="1"/>
    <xf numFmtId="0" fontId="325" fillId="0" borderId="0" xfId="0" applyFont="1" applyAlignment="1">
      <alignment wrapText="1"/>
    </xf>
    <xf numFmtId="0" fontId="19" fillId="0" borderId="68" xfId="0" applyFont="1" applyBorder="1" applyAlignment="1">
      <alignment horizontal="center" vertical="center"/>
    </xf>
    <xf numFmtId="0" fontId="358" fillId="0" borderId="0" xfId="0" applyFont="1" applyAlignment="1">
      <alignment wrapText="1"/>
    </xf>
    <xf numFmtId="179" fontId="18" fillId="0" borderId="0" xfId="17" applyNumberFormat="1" applyFont="1" applyAlignment="1">
      <alignment vertical="center"/>
    </xf>
    <xf numFmtId="43" fontId="306" fillId="93" borderId="0" xfId="0" applyNumberFormat="1" applyFont="1" applyFill="1" applyBorder="1" applyAlignment="1">
      <alignment horizontal="right" vertical="center"/>
    </xf>
    <xf numFmtId="0" fontId="306" fillId="0" borderId="0" xfId="0" applyFont="1" applyBorder="1" applyAlignment="1">
      <alignment vertical="center"/>
    </xf>
    <xf numFmtId="43" fontId="316" fillId="95" borderId="0" xfId="0" applyNumberFormat="1" applyFont="1" applyFill="1" applyAlignment="1">
      <alignment horizontal="right" vertical="center"/>
    </xf>
    <xf numFmtId="0" fontId="306" fillId="29" borderId="0" xfId="0" applyFont="1" applyFill="1" applyAlignment="1">
      <alignment vertical="center"/>
    </xf>
    <xf numFmtId="0" fontId="306" fillId="26" borderId="0" xfId="0" applyFont="1" applyFill="1" applyAlignment="1">
      <alignment vertical="center"/>
    </xf>
    <xf numFmtId="0" fontId="331" fillId="0" borderId="0" xfId="0" applyFont="1" applyAlignment="1">
      <alignment wrapText="1"/>
    </xf>
    <xf numFmtId="43" fontId="0" fillId="0" borderId="0" xfId="0" applyNumberFormat="1" applyFill="1" applyBorder="1" applyAlignment="1">
      <alignment wrapText="1"/>
    </xf>
    <xf numFmtId="43" fontId="19" fillId="0" borderId="0" xfId="1" applyFont="1" applyAlignment="1">
      <alignment horizontal="center" wrapText="1"/>
    </xf>
    <xf numFmtId="41" fontId="83" fillId="0" borderId="241" xfId="0" applyNumberFormat="1" applyFont="1" applyFill="1" applyBorder="1" applyAlignment="1">
      <alignment horizontal="right" vertical="center"/>
    </xf>
    <xf numFmtId="0" fontId="83" fillId="0" borderId="241" xfId="0" applyFont="1" applyFill="1" applyBorder="1" applyAlignment="1">
      <alignment horizontal="left" vertical="center" wrapText="1"/>
    </xf>
    <xf numFmtId="0" fontId="83" fillId="0" borderId="0" xfId="0" applyFont="1" applyAlignment="1">
      <alignment horizontal="center" vertical="center"/>
    </xf>
    <xf numFmtId="0" fontId="332" fillId="95" borderId="231" xfId="0" applyFont="1" applyFill="1" applyBorder="1" applyAlignment="1">
      <alignment horizontal="center" vertical="center"/>
    </xf>
    <xf numFmtId="0" fontId="190" fillId="0" borderId="0" xfId="0" applyFont="1" applyAlignment="1">
      <alignment horizontal="center"/>
    </xf>
    <xf numFmtId="0" fontId="259" fillId="0" borderId="0" xfId="0" applyFont="1" applyAlignment="1">
      <alignment horizontal="center"/>
    </xf>
    <xf numFmtId="0" fontId="88" fillId="0" borderId="0" xfId="0" applyFont="1" applyBorder="1" applyAlignment="1">
      <alignment horizontal="left"/>
    </xf>
    <xf numFmtId="0" fontId="202" fillId="0" borderId="0" xfId="0" applyFont="1" applyBorder="1"/>
    <xf numFmtId="0" fontId="117" fillId="0" borderId="0" xfId="0" applyFont="1" applyBorder="1" applyAlignment="1">
      <alignment horizontal="center"/>
    </xf>
    <xf numFmtId="0" fontId="18" fillId="0" borderId="0" xfId="0" applyFont="1" applyFill="1" applyBorder="1" applyAlignment="1">
      <alignment horizontal="center"/>
    </xf>
    <xf numFmtId="0" fontId="18" fillId="0" borderId="213" xfId="0" applyFont="1" applyBorder="1" applyAlignment="1">
      <alignment horizontal="left"/>
    </xf>
    <xf numFmtId="1" fontId="18" fillId="0" borderId="213" xfId="0" applyNumberFormat="1" applyFont="1" applyBorder="1" applyAlignment="1">
      <alignment horizontal="center"/>
    </xf>
    <xf numFmtId="0" fontId="18" fillId="0" borderId="213" xfId="0" applyFont="1" applyBorder="1"/>
    <xf numFmtId="0" fontId="18" fillId="0" borderId="213" xfId="0" applyFont="1" applyBorder="1" applyAlignment="1">
      <alignment horizontal="center"/>
    </xf>
    <xf numFmtId="0" fontId="18" fillId="99" borderId="227" xfId="0" applyFont="1" applyFill="1" applyBorder="1" applyAlignment="1">
      <alignment horizontal="left"/>
    </xf>
    <xf numFmtId="1" fontId="18" fillId="99" borderId="238" xfId="0" applyNumberFormat="1" applyFont="1" applyFill="1" applyBorder="1" applyAlignment="1">
      <alignment horizontal="center"/>
    </xf>
    <xf numFmtId="0" fontId="18" fillId="99" borderId="238" xfId="0" applyFont="1" applyFill="1" applyBorder="1"/>
    <xf numFmtId="0" fontId="18" fillId="99" borderId="238" xfId="0" applyFont="1" applyFill="1" applyBorder="1" applyAlignment="1">
      <alignment horizontal="center"/>
    </xf>
    <xf numFmtId="0" fontId="18" fillId="99" borderId="219" xfId="0" applyFont="1" applyFill="1" applyBorder="1" applyAlignment="1">
      <alignment horizontal="center"/>
    </xf>
    <xf numFmtId="0" fontId="18" fillId="99" borderId="209" xfId="0" applyFont="1" applyFill="1" applyBorder="1" applyAlignment="1">
      <alignment horizontal="left"/>
    </xf>
    <xf numFmtId="1" fontId="18" fillId="99" borderId="199" xfId="0" applyNumberFormat="1" applyFont="1" applyFill="1" applyBorder="1" applyAlignment="1">
      <alignment horizontal="center"/>
    </xf>
    <xf numFmtId="175" fontId="18" fillId="99" borderId="199" xfId="11" applyNumberFormat="1" applyFont="1" applyFill="1" applyBorder="1"/>
    <xf numFmtId="175" fontId="18" fillId="99" borderId="204" xfId="0" applyNumberFormat="1" applyFont="1" applyFill="1" applyBorder="1" applyAlignment="1">
      <alignment horizontal="center"/>
    </xf>
    <xf numFmtId="0" fontId="355" fillId="0" borderId="233" xfId="0" applyFont="1" applyFill="1" applyBorder="1" applyAlignment="1">
      <alignment horizontal="left"/>
    </xf>
    <xf numFmtId="1" fontId="25" fillId="74" borderId="233" xfId="0" applyNumberFormat="1" applyFont="1" applyFill="1" applyBorder="1" applyAlignment="1">
      <alignment horizontal="center"/>
    </xf>
    <xf numFmtId="175" fontId="25" fillId="0" borderId="233" xfId="0" applyNumberFormat="1" applyFont="1" applyBorder="1" applyAlignment="1">
      <alignment horizontal="center"/>
    </xf>
    <xf numFmtId="175" fontId="25" fillId="0" borderId="0" xfId="0" applyNumberFormat="1" applyFont="1" applyFill="1" applyBorder="1" applyAlignment="1">
      <alignment horizontal="center"/>
    </xf>
    <xf numFmtId="175" fontId="25" fillId="0" borderId="241" xfId="0" applyNumberFormat="1" applyFont="1" applyBorder="1" applyAlignment="1">
      <alignment horizontal="center"/>
    </xf>
    <xf numFmtId="0" fontId="18" fillId="0" borderId="241" xfId="0" applyFont="1" applyBorder="1" applyAlignment="1">
      <alignment horizontal="center"/>
    </xf>
    <xf numFmtId="0" fontId="355" fillId="0" borderId="213" xfId="0" applyFont="1" applyFill="1" applyBorder="1" applyAlignment="1">
      <alignment horizontal="left"/>
    </xf>
    <xf numFmtId="175" fontId="25" fillId="0" borderId="213" xfId="0" applyNumberFormat="1" applyFont="1" applyBorder="1" applyAlignment="1">
      <alignment horizontal="center"/>
    </xf>
    <xf numFmtId="0" fontId="359" fillId="99" borderId="209" xfId="0" applyFont="1" applyFill="1" applyBorder="1" applyAlignment="1">
      <alignment horizontal="left"/>
    </xf>
    <xf numFmtId="175" fontId="0" fillId="99" borderId="199" xfId="11" applyNumberFormat="1" applyFont="1" applyFill="1" applyBorder="1" applyAlignment="1">
      <alignment wrapText="1"/>
    </xf>
    <xf numFmtId="1" fontId="25" fillId="99" borderId="199" xfId="0" applyNumberFormat="1" applyFont="1" applyFill="1" applyBorder="1" applyAlignment="1">
      <alignment horizontal="center"/>
    </xf>
    <xf numFmtId="175" fontId="25" fillId="99" borderId="199" xfId="0" applyNumberFormat="1" applyFont="1" applyFill="1" applyBorder="1" applyAlignment="1">
      <alignment horizontal="center"/>
    </xf>
    <xf numFmtId="0" fontId="25" fillId="99" borderId="199" xfId="0" applyNumberFormat="1" applyFont="1" applyFill="1" applyBorder="1" applyAlignment="1">
      <alignment horizontal="center"/>
    </xf>
    <xf numFmtId="175" fontId="25" fillId="99" borderId="204" xfId="0" applyNumberFormat="1" applyFont="1" applyFill="1" applyBorder="1" applyAlignment="1">
      <alignment horizontal="center"/>
    </xf>
    <xf numFmtId="175" fontId="25" fillId="0" borderId="241" xfId="11" applyNumberFormat="1" applyFont="1" applyFill="1" applyBorder="1" applyAlignment="1">
      <alignment horizontal="center"/>
    </xf>
    <xf numFmtId="175" fontId="25" fillId="0" borderId="0" xfId="11" applyNumberFormat="1" applyFont="1" applyFill="1" applyBorder="1" applyAlignment="1">
      <alignment horizontal="center"/>
    </xf>
    <xf numFmtId="175" fontId="25" fillId="0" borderId="241" xfId="0" applyNumberFormat="1" applyFont="1" applyFill="1" applyBorder="1" applyAlignment="1">
      <alignment horizontal="center"/>
    </xf>
    <xf numFmtId="175" fontId="18" fillId="0" borderId="241" xfId="0" applyNumberFormat="1" applyFont="1" applyFill="1" applyBorder="1" applyAlignment="1">
      <alignment horizontal="center"/>
    </xf>
    <xf numFmtId="175" fontId="18" fillId="0" borderId="0" xfId="0" applyNumberFormat="1" applyFont="1" applyFill="1" applyBorder="1" applyAlignment="1">
      <alignment horizontal="center"/>
    </xf>
    <xf numFmtId="0" fontId="31" fillId="99" borderId="209" xfId="0" applyFont="1" applyFill="1" applyBorder="1" applyAlignment="1">
      <alignment horizontal="left"/>
    </xf>
    <xf numFmtId="0" fontId="18" fillId="99" borderId="199" xfId="0" applyFont="1" applyFill="1" applyBorder="1"/>
    <xf numFmtId="0" fontId="18" fillId="99" borderId="199" xfId="0" applyFont="1" applyFill="1" applyBorder="1" applyAlignment="1">
      <alignment horizontal="center"/>
    </xf>
    <xf numFmtId="0" fontId="18" fillId="99" borderId="204" xfId="0" applyFont="1" applyFill="1" applyBorder="1" applyAlignment="1">
      <alignment horizontal="center"/>
    </xf>
    <xf numFmtId="0" fontId="0" fillId="99" borderId="241" xfId="0" applyFill="1" applyBorder="1" applyAlignment="1">
      <alignment wrapText="1"/>
    </xf>
    <xf numFmtId="1" fontId="18" fillId="99" borderId="241" xfId="0" applyNumberFormat="1" applyFont="1" applyFill="1" applyBorder="1" applyAlignment="1">
      <alignment horizontal="center"/>
    </xf>
    <xf numFmtId="0" fontId="18" fillId="99" borderId="241" xfId="0" applyFont="1" applyFill="1" applyBorder="1"/>
    <xf numFmtId="0" fontId="18" fillId="99" borderId="241" xfId="0" applyFont="1" applyFill="1" applyBorder="1" applyAlignment="1">
      <alignment horizontal="center"/>
    </xf>
    <xf numFmtId="1" fontId="0" fillId="0" borderId="0" xfId="0" applyNumberFormat="1" applyAlignment="1">
      <alignment horizontal="center" wrapText="1"/>
    </xf>
    <xf numFmtId="0" fontId="18" fillId="0" borderId="0" xfId="0" applyFont="1" applyAlignment="1">
      <alignment horizontal="left"/>
    </xf>
    <xf numFmtId="1" fontId="18" fillId="0" borderId="0" xfId="0" applyNumberFormat="1" applyFont="1" applyAlignment="1">
      <alignment horizontal="center"/>
    </xf>
    <xf numFmtId="175" fontId="18" fillId="0" borderId="0" xfId="11" applyNumberFormat="1" applyFont="1"/>
    <xf numFmtId="175" fontId="18" fillId="0" borderId="0" xfId="0" applyNumberFormat="1" applyFont="1" applyAlignment="1">
      <alignment horizontal="center"/>
    </xf>
    <xf numFmtId="2" fontId="25" fillId="74" borderId="241" xfId="0" applyNumberFormat="1" applyFont="1" applyFill="1" applyBorder="1" applyAlignment="1">
      <alignment horizontal="center"/>
    </xf>
    <xf numFmtId="1" fontId="25" fillId="0" borderId="0" xfId="0" applyNumberFormat="1" applyFont="1" applyBorder="1" applyAlignment="1">
      <alignment horizontal="center"/>
    </xf>
    <xf numFmtId="175" fontId="25" fillId="0" borderId="0" xfId="11" applyNumberFormat="1" applyFont="1" applyBorder="1" applyAlignment="1">
      <alignment horizontal="center"/>
    </xf>
    <xf numFmtId="175" fontId="25" fillId="0" borderId="0" xfId="0" applyNumberFormat="1" applyFont="1" applyBorder="1" applyAlignment="1">
      <alignment horizontal="center"/>
    </xf>
    <xf numFmtId="175" fontId="25" fillId="0" borderId="190" xfId="0" applyNumberFormat="1" applyFont="1" applyFill="1" applyBorder="1" applyAlignment="1">
      <alignment horizontal="center"/>
    </xf>
    <xf numFmtId="1" fontId="0" fillId="0" borderId="0" xfId="0" applyNumberFormat="1" applyBorder="1" applyAlignment="1">
      <alignment horizontal="center" wrapText="1"/>
    </xf>
    <xf numFmtId="0" fontId="18" fillId="0" borderId="0" xfId="0" applyFont="1" applyBorder="1" applyAlignment="1">
      <alignment horizontal="left"/>
    </xf>
    <xf numFmtId="1" fontId="18" fillId="0" borderId="0" xfId="0" applyNumberFormat="1" applyFont="1" applyBorder="1" applyAlignment="1">
      <alignment horizontal="center"/>
    </xf>
    <xf numFmtId="175" fontId="0" fillId="0" borderId="0" xfId="11" applyNumberFormat="1" applyFont="1" applyBorder="1" applyAlignment="1">
      <alignment wrapText="1"/>
    </xf>
    <xf numFmtId="175" fontId="18" fillId="0" borderId="0" xfId="0" applyNumberFormat="1" applyFont="1" applyBorder="1" applyAlignment="1">
      <alignment horizontal="center"/>
    </xf>
    <xf numFmtId="0" fontId="25" fillId="0" borderId="0" xfId="0" applyFont="1" applyBorder="1" applyAlignment="1">
      <alignment horizontal="center"/>
    </xf>
    <xf numFmtId="0" fontId="31" fillId="0" borderId="0" xfId="0" applyFont="1" applyBorder="1" applyAlignment="1">
      <alignment horizontal="center"/>
    </xf>
    <xf numFmtId="0" fontId="169" fillId="0" borderId="0" xfId="0" applyFont="1" applyBorder="1" applyAlignment="1">
      <alignment horizontal="center"/>
    </xf>
    <xf numFmtId="175" fontId="222" fillId="0" borderId="190" xfId="0" applyNumberFormat="1" applyFont="1" applyBorder="1" applyAlignment="1">
      <alignment horizontal="center"/>
    </xf>
    <xf numFmtId="175" fontId="160" fillId="0" borderId="190" xfId="0" applyNumberFormat="1" applyFont="1" applyBorder="1" applyAlignment="1">
      <alignment horizontal="center"/>
    </xf>
    <xf numFmtId="0" fontId="83" fillId="97" borderId="0" xfId="0" applyFont="1" applyFill="1" applyAlignment="1">
      <alignment vertical="center"/>
    </xf>
    <xf numFmtId="0" fontId="69" fillId="97" borderId="0" xfId="0" applyFont="1" applyFill="1" applyAlignment="1">
      <alignment vertical="center"/>
    </xf>
    <xf numFmtId="0" fontId="315" fillId="97" borderId="0" xfId="0" applyFont="1" applyFill="1" applyAlignment="1">
      <alignment vertical="center"/>
    </xf>
    <xf numFmtId="0" fontId="314" fillId="97" borderId="0" xfId="0" applyFont="1" applyFill="1" applyAlignment="1">
      <alignment vertical="center"/>
    </xf>
    <xf numFmtId="0" fontId="83" fillId="97" borderId="0" xfId="0" applyFont="1" applyFill="1" applyAlignment="1">
      <alignment horizontal="center" vertical="center"/>
    </xf>
    <xf numFmtId="0" fontId="83" fillId="97" borderId="218" xfId="0" applyFont="1" applyFill="1" applyBorder="1" applyAlignment="1">
      <alignment vertical="center"/>
    </xf>
    <xf numFmtId="0" fontId="83" fillId="97" borderId="0" xfId="0" applyFont="1" applyFill="1" applyBorder="1" applyAlignment="1">
      <alignment vertical="center"/>
    </xf>
    <xf numFmtId="0" fontId="69" fillId="97" borderId="0" xfId="0" applyFont="1" applyFill="1" applyBorder="1" applyAlignment="1">
      <alignment horizontal="center" vertical="center"/>
    </xf>
    <xf numFmtId="171" fontId="69" fillId="97" borderId="0" xfId="0" applyNumberFormat="1" applyFont="1" applyFill="1" applyAlignment="1">
      <alignment horizontal="center" vertical="center"/>
    </xf>
    <xf numFmtId="170" fontId="69" fillId="97" borderId="0" xfId="0" applyNumberFormat="1" applyFont="1" applyFill="1" applyAlignment="1">
      <alignment horizontal="center" vertical="center"/>
    </xf>
    <xf numFmtId="173" fontId="69" fillId="97" borderId="0" xfId="0" applyNumberFormat="1" applyFont="1" applyFill="1" applyAlignment="1">
      <alignment horizontal="center" vertical="center"/>
    </xf>
    <xf numFmtId="0" fontId="69" fillId="97" borderId="0" xfId="0" applyFont="1" applyFill="1" applyAlignment="1">
      <alignment horizontal="center" vertical="center"/>
    </xf>
    <xf numFmtId="43" fontId="83" fillId="97" borderId="0" xfId="0" applyNumberFormat="1" applyFont="1" applyFill="1" applyAlignment="1">
      <alignment vertical="center"/>
    </xf>
    <xf numFmtId="43" fontId="83" fillId="97" borderId="0" xfId="0" applyNumberFormat="1" applyFont="1" applyFill="1" applyBorder="1" applyAlignment="1">
      <alignment vertical="center"/>
    </xf>
    <xf numFmtId="43" fontId="69" fillId="97" borderId="231" xfId="0" applyNumberFormat="1" applyFont="1" applyFill="1" applyBorder="1" applyAlignment="1">
      <alignment vertical="center"/>
    </xf>
    <xf numFmtId="43" fontId="69" fillId="97" borderId="0" xfId="0" applyNumberFormat="1" applyFont="1" applyFill="1" applyBorder="1" applyAlignment="1">
      <alignment horizontal="left" vertical="center"/>
    </xf>
    <xf numFmtId="43" fontId="69" fillId="97" borderId="0" xfId="0" applyNumberFormat="1" applyFont="1" applyFill="1" applyBorder="1" applyAlignment="1">
      <alignment vertical="center"/>
    </xf>
    <xf numFmtId="43" fontId="305" fillId="97" borderId="0" xfId="0" applyNumberFormat="1" applyFont="1" applyFill="1" applyAlignment="1">
      <alignment horizontal="center" vertical="center"/>
    </xf>
    <xf numFmtId="43" fontId="304" fillId="97" borderId="0" xfId="0" applyNumberFormat="1" applyFont="1" applyFill="1" applyAlignment="1">
      <alignment vertical="center"/>
    </xf>
    <xf numFmtId="0" fontId="304" fillId="97" borderId="0" xfId="0" applyFont="1" applyFill="1" applyAlignment="1">
      <alignment vertical="center"/>
    </xf>
    <xf numFmtId="0" fontId="83" fillId="97" borderId="239" xfId="0" applyFont="1" applyFill="1" applyBorder="1" applyAlignment="1">
      <alignment vertical="center"/>
    </xf>
    <xf numFmtId="0" fontId="69" fillId="97" borderId="223" xfId="0" applyFont="1" applyFill="1" applyBorder="1" applyAlignment="1">
      <alignment vertical="center" wrapText="1"/>
    </xf>
    <xf numFmtId="0" fontId="69" fillId="97" borderId="0" xfId="0" applyFont="1" applyFill="1" applyBorder="1" applyAlignment="1">
      <alignment vertical="center" wrapText="1"/>
    </xf>
    <xf numFmtId="0" fontId="69" fillId="97" borderId="239" xfId="0" applyFont="1" applyFill="1" applyBorder="1" applyAlignment="1">
      <alignment vertical="center" wrapText="1"/>
    </xf>
    <xf numFmtId="0" fontId="83" fillId="97" borderId="223" xfId="0" applyFont="1" applyFill="1" applyBorder="1" applyAlignment="1">
      <alignment vertical="center"/>
    </xf>
    <xf numFmtId="4" fontId="83" fillId="97" borderId="0" xfId="0" applyNumberFormat="1" applyFont="1" applyFill="1" applyAlignment="1">
      <alignment vertical="center"/>
    </xf>
    <xf numFmtId="41" fontId="83" fillId="97" borderId="0" xfId="0" applyNumberFormat="1" applyFont="1" applyFill="1" applyBorder="1" applyAlignment="1">
      <alignment vertical="center"/>
    </xf>
    <xf numFmtId="4" fontId="69" fillId="97" borderId="0" xfId="0" applyNumberFormat="1" applyFont="1" applyFill="1" applyBorder="1" applyAlignment="1">
      <alignment vertical="center"/>
    </xf>
    <xf numFmtId="4" fontId="83" fillId="97" borderId="0" xfId="0" applyNumberFormat="1" applyFont="1" applyFill="1" applyBorder="1" applyAlignment="1">
      <alignment vertical="center"/>
    </xf>
    <xf numFmtId="43" fontId="69" fillId="97" borderId="0" xfId="0" applyNumberFormat="1" applyFont="1" applyFill="1" applyBorder="1" applyAlignment="1">
      <alignment horizontal="center" vertical="center"/>
    </xf>
    <xf numFmtId="43" fontId="83" fillId="97" borderId="0" xfId="0" applyNumberFormat="1" applyFont="1" applyFill="1" applyAlignment="1">
      <alignment horizontal="center" vertical="center"/>
    </xf>
    <xf numFmtId="169" fontId="83" fillId="97" borderId="0" xfId="0" applyNumberFormat="1" applyFont="1" applyFill="1" applyBorder="1" applyAlignment="1">
      <alignment horizontal="center" vertical="center"/>
    </xf>
    <xf numFmtId="4" fontId="69" fillId="97" borderId="0" xfId="0" applyNumberFormat="1" applyFont="1" applyFill="1" applyBorder="1" applyAlignment="1">
      <alignment horizontal="center" vertical="center" wrapText="1"/>
    </xf>
    <xf numFmtId="177" fontId="83" fillId="97" borderId="0" xfId="0" applyNumberFormat="1" applyFont="1" applyFill="1" applyBorder="1" applyAlignment="1">
      <alignment vertical="center"/>
    </xf>
    <xf numFmtId="1" fontId="83" fillId="97" borderId="0" xfId="0" applyNumberFormat="1" applyFont="1" applyFill="1" applyBorder="1" applyAlignment="1">
      <alignment horizontal="center" vertical="center"/>
    </xf>
    <xf numFmtId="4" fontId="83" fillId="97" borderId="0" xfId="0" applyNumberFormat="1" applyFont="1" applyFill="1" applyBorder="1" applyAlignment="1">
      <alignment vertical="center" wrapText="1"/>
    </xf>
    <xf numFmtId="43" fontId="69" fillId="97" borderId="0" xfId="0" applyNumberFormat="1" applyFont="1" applyFill="1" applyAlignment="1">
      <alignment vertical="center"/>
    </xf>
    <xf numFmtId="4" fontId="69" fillId="97" borderId="0" xfId="0" applyNumberFormat="1" applyFont="1" applyFill="1" applyBorder="1" applyAlignment="1">
      <alignment horizontal="center" vertical="center"/>
    </xf>
    <xf numFmtId="4" fontId="69" fillId="97" borderId="0" xfId="0" applyNumberFormat="1" applyFont="1" applyFill="1" applyAlignment="1">
      <alignment vertical="center"/>
    </xf>
    <xf numFmtId="165" fontId="83" fillId="97" borderId="0" xfId="0" applyNumberFormat="1" applyFont="1" applyFill="1" applyBorder="1" applyAlignment="1">
      <alignment vertical="center"/>
    </xf>
    <xf numFmtId="43" fontId="83" fillId="97" borderId="0" xfId="0" applyNumberFormat="1" applyFont="1" applyFill="1" applyBorder="1" applyAlignment="1">
      <alignment horizontal="right" vertical="center"/>
    </xf>
    <xf numFmtId="43" fontId="83" fillId="97" borderId="0" xfId="0" applyNumberFormat="1" applyFont="1" applyFill="1" applyBorder="1" applyAlignment="1">
      <alignment horizontal="center" vertical="center"/>
    </xf>
    <xf numFmtId="0" fontId="306" fillId="97" borderId="0" xfId="0" applyFont="1" applyFill="1" applyBorder="1" applyAlignment="1">
      <alignment vertical="center"/>
    </xf>
    <xf numFmtId="43" fontId="83" fillId="97" borderId="0" xfId="0" applyNumberFormat="1" applyFont="1" applyFill="1" applyAlignment="1">
      <alignment horizontal="right" vertical="center"/>
    </xf>
    <xf numFmtId="43" fontId="83" fillId="97" borderId="190" xfId="0" applyNumberFormat="1" applyFont="1" applyFill="1" applyBorder="1" applyAlignment="1">
      <alignment horizontal="right" vertical="center"/>
    </xf>
    <xf numFmtId="43" fontId="304" fillId="97" borderId="0" xfId="0" applyNumberFormat="1" applyFont="1" applyFill="1" applyBorder="1" applyAlignment="1">
      <alignment vertical="center"/>
    </xf>
    <xf numFmtId="4" fontId="83" fillId="97" borderId="0" xfId="0" applyNumberFormat="1" applyFont="1" applyFill="1" applyAlignment="1">
      <alignment horizontal="center" vertical="center" wrapText="1"/>
    </xf>
    <xf numFmtId="4" fontId="83" fillId="97" borderId="0" xfId="0" applyNumberFormat="1" applyFont="1" applyFill="1" applyBorder="1" applyAlignment="1">
      <alignment horizontal="center" vertical="center"/>
    </xf>
    <xf numFmtId="165" fontId="83" fillId="97" borderId="0" xfId="0" applyNumberFormat="1" applyFont="1" applyFill="1" applyBorder="1" applyAlignment="1">
      <alignment horizontal="center" vertical="center"/>
    </xf>
    <xf numFmtId="167" fontId="83" fillId="97" borderId="0" xfId="0" applyNumberFormat="1" applyFont="1" applyFill="1" applyBorder="1" applyAlignment="1">
      <alignment horizontal="center" vertical="center"/>
    </xf>
    <xf numFmtId="43" fontId="83" fillId="97" borderId="0" xfId="1" applyFont="1" applyFill="1" applyBorder="1" applyAlignment="1">
      <alignment horizontal="left" vertical="center"/>
    </xf>
    <xf numFmtId="0" fontId="83" fillId="97" borderId="0" xfId="0" applyFont="1" applyFill="1" applyAlignment="1">
      <alignment horizontal="left" vertical="center"/>
    </xf>
    <xf numFmtId="43" fontId="302" fillId="14" borderId="0" xfId="0" applyNumberFormat="1" applyFont="1" applyFill="1" applyBorder="1" applyAlignment="1">
      <alignment vertical="center"/>
    </xf>
    <xf numFmtId="0" fontId="69" fillId="0" borderId="241" xfId="0" applyFont="1" applyFill="1" applyBorder="1" applyAlignment="1">
      <alignment vertical="center"/>
    </xf>
    <xf numFmtId="43" fontId="83" fillId="100" borderId="241" xfId="0" applyNumberFormat="1" applyFont="1" applyFill="1" applyBorder="1" applyAlignment="1">
      <alignment horizontal="right" vertical="center"/>
    </xf>
    <xf numFmtId="0" fontId="83" fillId="100" borderId="241" xfId="0" applyFont="1" applyFill="1" applyBorder="1" applyAlignment="1">
      <alignment vertical="center"/>
    </xf>
    <xf numFmtId="0" fontId="69" fillId="91" borderId="241" xfId="0" applyFont="1" applyFill="1" applyBorder="1" applyAlignment="1">
      <alignment horizontal="left" vertical="center" wrapText="1"/>
    </xf>
    <xf numFmtId="165" fontId="83" fillId="91" borderId="241" xfId="0" applyNumberFormat="1" applyFont="1" applyFill="1" applyBorder="1" applyAlignment="1">
      <alignment horizontal="right" vertical="center"/>
    </xf>
    <xf numFmtId="165" fontId="69" fillId="91" borderId="241" xfId="0" applyNumberFormat="1" applyFont="1" applyFill="1" applyBorder="1" applyAlignment="1">
      <alignment horizontal="center" vertical="center"/>
    </xf>
    <xf numFmtId="165" fontId="83" fillId="100" borderId="241" xfId="0" applyNumberFormat="1" applyFont="1" applyFill="1" applyBorder="1" applyAlignment="1">
      <alignment horizontal="right" vertical="center"/>
    </xf>
    <xf numFmtId="0" fontId="361" fillId="100" borderId="241" xfId="0" applyFont="1" applyFill="1" applyBorder="1" applyAlignment="1">
      <alignment horizontal="left" vertical="center"/>
    </xf>
    <xf numFmtId="0" fontId="83" fillId="100" borderId="241" xfId="0" applyFont="1" applyFill="1" applyBorder="1" applyAlignment="1">
      <alignment horizontal="left" vertical="center" wrapText="1"/>
    </xf>
    <xf numFmtId="41" fontId="83" fillId="100" borderId="241" xfId="0" applyNumberFormat="1" applyFont="1" applyFill="1" applyBorder="1" applyAlignment="1">
      <alignment horizontal="right" vertical="center"/>
    </xf>
    <xf numFmtId="165" fontId="83" fillId="100" borderId="241" xfId="0" applyNumberFormat="1" applyFont="1" applyFill="1" applyBorder="1" applyAlignment="1">
      <alignment vertical="center"/>
    </xf>
    <xf numFmtId="43" fontId="202" fillId="0" borderId="0" xfId="1" applyFont="1" applyBorder="1"/>
    <xf numFmtId="43" fontId="83" fillId="0" borderId="241" xfId="1" applyFont="1" applyBorder="1" applyAlignment="1">
      <alignment horizontal="left" vertical="center"/>
    </xf>
    <xf numFmtId="41" fontId="83" fillId="0" borderId="241" xfId="0" applyNumberFormat="1" applyFont="1" applyFill="1" applyBorder="1" applyAlignment="1">
      <alignment vertical="center"/>
    </xf>
    <xf numFmtId="0" fontId="319" fillId="93" borderId="249" xfId="0" applyFont="1" applyFill="1" applyBorder="1"/>
    <xf numFmtId="0" fontId="352" fillId="93" borderId="249" xfId="0" applyFont="1" applyFill="1" applyBorder="1" applyAlignment="1">
      <alignment horizontal="center"/>
    </xf>
    <xf numFmtId="0" fontId="352" fillId="93" borderId="249" xfId="0" applyFont="1" applyFill="1" applyBorder="1"/>
    <xf numFmtId="0" fontId="362" fillId="0" borderId="233" xfId="0" applyFont="1" applyBorder="1" applyAlignment="1">
      <alignment horizontal="center" vertical="center"/>
    </xf>
    <xf numFmtId="0" fontId="0" fillId="103" borderId="233" xfId="0" applyFill="1" applyBorder="1"/>
    <xf numFmtId="43" fontId="0" fillId="103" borderId="233" xfId="0" applyNumberFormat="1" applyFill="1" applyBorder="1"/>
    <xf numFmtId="0" fontId="0" fillId="98" borderId="233" xfId="0" applyFill="1" applyBorder="1"/>
    <xf numFmtId="43" fontId="0" fillId="98" borderId="233" xfId="0" applyNumberFormat="1" applyFill="1" applyBorder="1"/>
    <xf numFmtId="0" fontId="362" fillId="0" borderId="241" xfId="0" applyFont="1" applyBorder="1" applyAlignment="1">
      <alignment horizontal="center" vertical="center"/>
    </xf>
    <xf numFmtId="0" fontId="0" fillId="103" borderId="241" xfId="0" applyFill="1" applyBorder="1"/>
    <xf numFmtId="43" fontId="0" fillId="103" borderId="241" xfId="0" applyNumberFormat="1" applyFill="1" applyBorder="1"/>
    <xf numFmtId="0" fontId="0" fillId="98" borderId="241" xfId="0" applyFill="1" applyBorder="1"/>
    <xf numFmtId="43" fontId="0" fillId="98" borderId="241" xfId="0" applyNumberFormat="1" applyFill="1" applyBorder="1"/>
    <xf numFmtId="43" fontId="19" fillId="0" borderId="241" xfId="1" applyFont="1" applyBorder="1" applyAlignment="1">
      <alignment wrapText="1"/>
    </xf>
    <xf numFmtId="0" fontId="19" fillId="104" borderId="241" xfId="4" applyFill="1" applyBorder="1" applyAlignment="1">
      <alignment wrapText="1"/>
    </xf>
    <xf numFmtId="43" fontId="19" fillId="104" borderId="241" xfId="1" applyFont="1" applyFill="1" applyBorder="1" applyAlignment="1">
      <alignment wrapText="1"/>
    </xf>
    <xf numFmtId="0" fontId="19" fillId="0" borderId="241" xfId="4" applyFill="1" applyBorder="1" applyAlignment="1">
      <alignment wrapText="1"/>
    </xf>
    <xf numFmtId="0" fontId="20" fillId="0" borderId="241" xfId="4" applyFont="1" applyBorder="1" applyAlignment="1">
      <alignment wrapText="1"/>
    </xf>
    <xf numFmtId="0" fontId="18" fillId="90" borderId="212" xfId="0" applyFont="1" applyFill="1" applyBorder="1" applyAlignment="1">
      <alignment vertical="center"/>
    </xf>
    <xf numFmtId="43" fontId="69" fillId="0" borderId="0" xfId="0" applyNumberFormat="1" applyFont="1" applyBorder="1" applyAlignment="1">
      <alignment horizontal="right" vertical="center"/>
    </xf>
    <xf numFmtId="0" fontId="19" fillId="0" borderId="0" xfId="6775" applyAlignment="1">
      <alignment wrapText="1"/>
    </xf>
    <xf numFmtId="0" fontId="18" fillId="0" borderId="0" xfId="6775" applyFont="1"/>
    <xf numFmtId="0" fontId="18" fillId="0" borderId="209" xfId="6775" applyFont="1" applyBorder="1"/>
    <xf numFmtId="0" fontId="346" fillId="101" borderId="246" xfId="15594" applyFont="1" applyFill="1" applyBorder="1" applyAlignment="1">
      <alignment horizontal="center"/>
    </xf>
    <xf numFmtId="0" fontId="364" fillId="101" borderId="229" xfId="6775" applyFont="1" applyFill="1" applyBorder="1" applyAlignment="1">
      <alignment wrapText="1"/>
    </xf>
    <xf numFmtId="0" fontId="364" fillId="101" borderId="187" xfId="6775" applyFont="1" applyFill="1" applyBorder="1" applyAlignment="1">
      <alignment wrapText="1"/>
    </xf>
    <xf numFmtId="0" fontId="364" fillId="106" borderId="187" xfId="6775" applyFont="1" applyFill="1" applyBorder="1" applyAlignment="1">
      <alignment wrapText="1"/>
    </xf>
    <xf numFmtId="0" fontId="364" fillId="101" borderId="225" xfId="6775" applyFont="1" applyFill="1" applyBorder="1" applyAlignment="1">
      <alignment wrapText="1"/>
    </xf>
    <xf numFmtId="0" fontId="346" fillId="106" borderId="246" xfId="15594" applyFont="1" applyFill="1" applyBorder="1" applyAlignment="1">
      <alignment horizontal="center"/>
    </xf>
    <xf numFmtId="0" fontId="364" fillId="101" borderId="233" xfId="6775" applyFont="1" applyFill="1" applyBorder="1" applyAlignment="1">
      <alignment wrapText="1"/>
    </xf>
    <xf numFmtId="0" fontId="346" fillId="101" borderId="245" xfId="15594" applyFont="1" applyFill="1" applyBorder="1" applyAlignment="1">
      <alignment horizontal="center"/>
    </xf>
    <xf numFmtId="0" fontId="364" fillId="106" borderId="233" xfId="6775" applyFont="1" applyFill="1" applyBorder="1" applyAlignment="1">
      <alignment wrapText="1"/>
    </xf>
    <xf numFmtId="0" fontId="364" fillId="106" borderId="225" xfId="6775" applyFont="1" applyFill="1" applyBorder="1" applyAlignment="1">
      <alignment wrapText="1"/>
    </xf>
    <xf numFmtId="0" fontId="364" fillId="101" borderId="241" xfId="6775" applyFont="1" applyFill="1" applyBorder="1" applyAlignment="1">
      <alignment wrapText="1"/>
    </xf>
    <xf numFmtId="0" fontId="364" fillId="106" borderId="241" xfId="6775" applyFont="1" applyFill="1" applyBorder="1" applyAlignment="1">
      <alignment wrapText="1"/>
    </xf>
    <xf numFmtId="0" fontId="364" fillId="101" borderId="108" xfId="6775" applyFont="1" applyFill="1" applyBorder="1" applyAlignment="1">
      <alignment wrapText="1"/>
    </xf>
    <xf numFmtId="0" fontId="346" fillId="101" borderId="247" xfId="15594" applyFont="1" applyFill="1" applyBorder="1" applyAlignment="1">
      <alignment horizontal="center"/>
    </xf>
    <xf numFmtId="0" fontId="346" fillId="106" borderId="245" xfId="15594" applyFont="1" applyFill="1" applyBorder="1" applyAlignment="1">
      <alignment horizontal="center"/>
    </xf>
    <xf numFmtId="0" fontId="313" fillId="0" borderId="241" xfId="28912" applyFont="1" applyBorder="1" applyAlignment="1">
      <alignment horizontal="left" vertical="center"/>
    </xf>
    <xf numFmtId="0" fontId="31" fillId="0" borderId="147" xfId="6775" applyFont="1" applyBorder="1"/>
    <xf numFmtId="0" fontId="290" fillId="0" borderId="1" xfId="0" applyFont="1" applyBorder="1" applyAlignment="1">
      <alignment horizontal="center" vertical="center"/>
    </xf>
    <xf numFmtId="0" fontId="290" fillId="0" borderId="68" xfId="0" applyFont="1" applyBorder="1" applyAlignment="1">
      <alignment horizontal="center" vertical="center"/>
    </xf>
    <xf numFmtId="0" fontId="290" fillId="0" borderId="120" xfId="0" applyFont="1" applyBorder="1" applyAlignment="1">
      <alignment horizontal="center" vertical="center"/>
    </xf>
    <xf numFmtId="0" fontId="290" fillId="0" borderId="69" xfId="0" applyFont="1" applyBorder="1" applyAlignment="1">
      <alignment horizontal="center" vertical="center"/>
    </xf>
    <xf numFmtId="0" fontId="290" fillId="0" borderId="58" xfId="0" applyFont="1" applyBorder="1" applyAlignment="1">
      <alignment horizontal="center" vertical="center"/>
    </xf>
    <xf numFmtId="0" fontId="290" fillId="0" borderId="15" xfId="0" applyFont="1" applyBorder="1" applyAlignment="1">
      <alignment horizontal="center" vertical="center"/>
    </xf>
    <xf numFmtId="0" fontId="290" fillId="0" borderId="181" xfId="0" applyFont="1" applyBorder="1" applyAlignment="1">
      <alignment horizontal="center" vertical="center"/>
    </xf>
    <xf numFmtId="0" fontId="306" fillId="0" borderId="241" xfId="0" applyFont="1" applyBorder="1" applyAlignment="1">
      <alignment vertical="center"/>
    </xf>
    <xf numFmtId="0" fontId="306" fillId="0" borderId="241" xfId="0" applyFont="1" applyBorder="1" applyAlignment="1">
      <alignment horizontal="center" vertical="center"/>
    </xf>
    <xf numFmtId="0" fontId="306" fillId="74" borderId="241" xfId="0" applyFont="1" applyFill="1" applyBorder="1" applyAlignment="1">
      <alignment horizontal="center" vertical="center"/>
    </xf>
    <xf numFmtId="43" fontId="32" fillId="74" borderId="252" xfId="0" applyNumberFormat="1" applyFont="1" applyFill="1" applyBorder="1" applyAlignment="1">
      <alignment vertical="center"/>
    </xf>
    <xf numFmtId="0" fontId="290" fillId="0" borderId="253" xfId="0" applyFont="1" applyBorder="1" applyAlignment="1">
      <alignment horizontal="center" vertical="center"/>
    </xf>
    <xf numFmtId="0" fontId="290" fillId="0" borderId="254" xfId="0" applyFont="1" applyBorder="1" applyAlignment="1">
      <alignment horizontal="center" vertical="center"/>
    </xf>
    <xf numFmtId="0" fontId="237" fillId="0" borderId="254" xfId="0" applyFont="1" applyBorder="1" applyAlignment="1">
      <alignment horizontal="center" vertical="center"/>
    </xf>
    <xf numFmtId="0" fontId="187" fillId="0" borderId="255" xfId="0" applyFont="1" applyBorder="1" applyAlignment="1">
      <alignment horizontal="center" vertical="center"/>
    </xf>
    <xf numFmtId="0" fontId="38" fillId="0" borderId="253" xfId="0" applyFont="1" applyBorder="1" applyAlignment="1">
      <alignment horizontal="center" vertical="center"/>
    </xf>
    <xf numFmtId="0" fontId="220" fillId="0" borderId="209" xfId="0" applyFont="1" applyBorder="1" applyAlignment="1">
      <alignment vertical="center"/>
    </xf>
    <xf numFmtId="43" fontId="182" fillId="74" borderId="257" xfId="0" applyNumberFormat="1" applyFont="1" applyFill="1" applyBorder="1" applyAlignment="1">
      <alignment vertical="center"/>
    </xf>
    <xf numFmtId="0" fontId="290" fillId="0" borderId="258" xfId="0" applyFont="1" applyBorder="1" applyAlignment="1">
      <alignment horizontal="center" vertical="center"/>
    </xf>
    <xf numFmtId="0" fontId="290" fillId="0" borderId="259" xfId="0" applyFont="1" applyBorder="1" applyAlignment="1">
      <alignment horizontal="center" vertical="center"/>
    </xf>
    <xf numFmtId="0" fontId="242" fillId="0" borderId="259" xfId="0" applyFont="1" applyBorder="1" applyAlignment="1">
      <alignment horizontal="center" vertical="center"/>
    </xf>
    <xf numFmtId="0" fontId="120" fillId="0" borderId="260" xfId="0" applyFont="1" applyBorder="1" applyAlignment="1">
      <alignment horizontal="center" vertical="center"/>
    </xf>
    <xf numFmtId="0" fontId="287" fillId="0" borderId="258" xfId="0" applyFont="1" applyBorder="1" applyAlignment="1">
      <alignment horizontal="center" vertical="center"/>
    </xf>
    <xf numFmtId="43" fontId="182" fillId="74" borderId="256" xfId="0" applyNumberFormat="1" applyFont="1" applyFill="1" applyBorder="1" applyAlignment="1">
      <alignment vertical="center"/>
    </xf>
    <xf numFmtId="0" fontId="290" fillId="0" borderId="256" xfId="0" applyFont="1" applyBorder="1" applyAlignment="1">
      <alignment horizontal="center" vertical="center"/>
    </xf>
    <xf numFmtId="0" fontId="242" fillId="0" borderId="256" xfId="0" applyFont="1" applyBorder="1" applyAlignment="1">
      <alignment horizontal="center" vertical="center"/>
    </xf>
    <xf numFmtId="0" fontId="120" fillId="0" borderId="256" xfId="0" applyFont="1" applyBorder="1" applyAlignment="1">
      <alignment horizontal="center" vertical="center"/>
    </xf>
    <xf numFmtId="0" fontId="287" fillId="0" borderId="256" xfId="0" applyFont="1" applyBorder="1" applyAlignment="1">
      <alignment horizontal="center" vertical="center"/>
    </xf>
    <xf numFmtId="0" fontId="21" fillId="0" borderId="209" xfId="28912" applyFont="1" applyBorder="1" applyAlignment="1">
      <alignment horizontal="left" vertical="center"/>
    </xf>
    <xf numFmtId="0" fontId="346" fillId="106" borderId="247" xfId="15594" applyFont="1" applyFill="1" applyBorder="1" applyAlignment="1">
      <alignment horizontal="center"/>
    </xf>
    <xf numFmtId="0" fontId="364" fillId="106" borderId="108" xfId="6775" applyFont="1" applyFill="1" applyBorder="1" applyAlignment="1">
      <alignment wrapText="1"/>
    </xf>
    <xf numFmtId="0" fontId="364" fillId="106" borderId="229" xfId="6775" applyFont="1" applyFill="1" applyBorder="1" applyAlignment="1">
      <alignment wrapText="1"/>
    </xf>
    <xf numFmtId="0" fontId="313" fillId="0" borderId="209" xfId="28912" applyFont="1" applyFill="1" applyBorder="1" applyAlignment="1">
      <alignment horizontal="left" vertical="center"/>
    </xf>
    <xf numFmtId="0" fontId="290" fillId="106" borderId="242" xfId="6775" applyFont="1" applyFill="1" applyBorder="1" applyAlignment="1">
      <alignment wrapText="1"/>
    </xf>
    <xf numFmtId="0" fontId="290" fillId="106" borderId="243" xfId="6775" applyFont="1" applyFill="1" applyBorder="1" applyAlignment="1">
      <alignment wrapText="1"/>
    </xf>
    <xf numFmtId="0" fontId="290" fillId="106" borderId="244" xfId="6775" applyFont="1" applyFill="1" applyBorder="1" applyAlignment="1">
      <alignment wrapText="1"/>
    </xf>
    <xf numFmtId="0" fontId="290" fillId="101" borderId="242" xfId="6775" applyFont="1" applyFill="1" applyBorder="1" applyAlignment="1">
      <alignment wrapText="1"/>
    </xf>
    <xf numFmtId="0" fontId="290" fillId="101" borderId="243" xfId="6775" applyFont="1" applyFill="1" applyBorder="1" applyAlignment="1">
      <alignment wrapText="1"/>
    </xf>
    <xf numFmtId="0" fontId="290" fillId="101" borderId="244" xfId="6775" applyFont="1" applyFill="1" applyBorder="1" applyAlignment="1">
      <alignment wrapText="1"/>
    </xf>
    <xf numFmtId="0" fontId="366" fillId="0" borderId="209" xfId="28912" applyFont="1" applyBorder="1" applyAlignment="1">
      <alignment horizontal="left" vertical="center"/>
    </xf>
    <xf numFmtId="43" fontId="360" fillId="0" borderId="0" xfId="0" applyNumberFormat="1" applyFont="1" applyAlignment="1">
      <alignment vertical="center"/>
    </xf>
    <xf numFmtId="0" fontId="18" fillId="0" borderId="151" xfId="0" applyFont="1" applyBorder="1"/>
    <xf numFmtId="0" fontId="346" fillId="93" borderId="239" xfId="0" applyFont="1" applyFill="1" applyBorder="1" applyAlignment="1">
      <alignment horizontal="center"/>
    </xf>
    <xf numFmtId="0" fontId="18" fillId="96" borderId="261" xfId="6775" applyFont="1" applyFill="1" applyBorder="1"/>
    <xf numFmtId="0" fontId="31" fillId="96" borderId="262" xfId="6775" applyFont="1" applyFill="1" applyBorder="1"/>
    <xf numFmtId="0" fontId="18" fillId="96" borderId="251" xfId="6775" applyFont="1" applyFill="1" applyBorder="1"/>
    <xf numFmtId="0" fontId="18" fillId="96" borderId="84" xfId="6775" applyFont="1" applyFill="1" applyBorder="1"/>
    <xf numFmtId="0" fontId="365" fillId="96" borderId="84" xfId="6775" applyFont="1" applyFill="1" applyBorder="1"/>
    <xf numFmtId="0" fontId="27" fillId="96" borderId="91" xfId="6775" applyFont="1" applyFill="1" applyBorder="1"/>
    <xf numFmtId="0" fontId="346" fillId="107" borderId="245" xfId="15594" applyFont="1" applyFill="1" applyBorder="1" applyAlignment="1">
      <alignment horizontal="center"/>
    </xf>
    <xf numFmtId="0" fontId="346" fillId="107" borderId="246" xfId="15594" applyFont="1" applyFill="1" applyBorder="1" applyAlignment="1">
      <alignment horizontal="center"/>
    </xf>
    <xf numFmtId="0" fontId="346" fillId="107" borderId="247" xfId="15594" applyFont="1" applyFill="1" applyBorder="1" applyAlignment="1">
      <alignment horizontal="center"/>
    </xf>
    <xf numFmtId="0" fontId="18" fillId="107" borderId="187" xfId="6775" applyFont="1" applyFill="1" applyBorder="1"/>
    <xf numFmtId="0" fontId="18" fillId="107" borderId="233" xfId="6775" applyFont="1" applyFill="1" applyBorder="1"/>
    <xf numFmtId="0" fontId="18" fillId="107" borderId="108" xfId="6775" applyFont="1" applyFill="1" applyBorder="1"/>
    <xf numFmtId="0" fontId="18" fillId="107" borderId="225" xfId="6775" applyFont="1" applyFill="1" applyBorder="1"/>
    <xf numFmtId="0" fontId="18" fillId="107" borderId="241" xfId="6775" applyFont="1" applyFill="1" applyBorder="1"/>
    <xf numFmtId="0" fontId="18" fillId="107" borderId="229" xfId="6775" applyFont="1" applyFill="1" applyBorder="1"/>
    <xf numFmtId="0" fontId="365" fillId="107" borderId="225" xfId="6775" applyFont="1" applyFill="1" applyBorder="1"/>
    <xf numFmtId="0" fontId="365" fillId="107" borderId="241" xfId="6775" applyFont="1" applyFill="1" applyBorder="1"/>
    <xf numFmtId="0" fontId="27" fillId="107" borderId="242" xfId="6775" applyFont="1" applyFill="1" applyBorder="1"/>
    <xf numFmtId="0" fontId="27" fillId="107" borderId="243" xfId="6775" applyFont="1" applyFill="1" applyBorder="1"/>
    <xf numFmtId="0" fontId="27" fillId="107" borderId="244" xfId="6775" applyFont="1" applyFill="1" applyBorder="1"/>
    <xf numFmtId="0" fontId="39" fillId="0" borderId="241" xfId="4" applyFont="1" applyBorder="1" applyAlignment="1"/>
    <xf numFmtId="0" fontId="19" fillId="0" borderId="241" xfId="4" applyBorder="1" applyAlignment="1">
      <alignment vertical="top" wrapText="1"/>
    </xf>
    <xf numFmtId="43" fontId="19" fillId="0" borderId="241" xfId="1" applyFont="1" applyBorder="1" applyAlignment="1">
      <alignment horizontal="center" wrapText="1"/>
    </xf>
    <xf numFmtId="0" fontId="347" fillId="93" borderId="0" xfId="4" applyFont="1" applyFill="1" applyAlignment="1">
      <alignment horizontal="center" wrapText="1"/>
    </xf>
    <xf numFmtId="0" fontId="347" fillId="93" borderId="213" xfId="4" applyFont="1" applyFill="1" applyBorder="1" applyAlignment="1">
      <alignment horizontal="center" wrapText="1"/>
    </xf>
    <xf numFmtId="43" fontId="347" fillId="93" borderId="213" xfId="1" applyFont="1" applyFill="1" applyBorder="1" applyAlignment="1">
      <alignment horizontal="center" wrapText="1"/>
    </xf>
    <xf numFmtId="0" fontId="19" fillId="0" borderId="241" xfId="4" applyBorder="1" applyAlignment="1">
      <alignment horizontal="left" vertical="top" wrapText="1"/>
    </xf>
    <xf numFmtId="43" fontId="19" fillId="0" borderId="241" xfId="1" applyFont="1" applyBorder="1" applyAlignment="1">
      <alignment horizontal="left" vertical="top" wrapText="1"/>
    </xf>
    <xf numFmtId="0" fontId="369" fillId="102" borderId="0" xfId="0" applyFont="1" applyFill="1" applyAlignment="1">
      <alignment wrapText="1"/>
    </xf>
    <xf numFmtId="0" fontId="19" fillId="94" borderId="0" xfId="0" applyFont="1" applyFill="1" applyAlignment="1">
      <alignment wrapText="1"/>
    </xf>
    <xf numFmtId="1" fontId="325" fillId="102" borderId="0" xfId="0" applyNumberFormat="1" applyFont="1" applyFill="1" applyAlignment="1">
      <alignment wrapText="1"/>
    </xf>
    <xf numFmtId="0" fontId="83" fillId="0" borderId="228" xfId="0" applyFont="1" applyBorder="1" applyAlignment="1">
      <alignment vertical="center"/>
    </xf>
    <xf numFmtId="43" fontId="360" fillId="0" borderId="0" xfId="0" applyNumberFormat="1" applyFont="1" applyFill="1" applyAlignment="1">
      <alignment vertical="center"/>
    </xf>
    <xf numFmtId="0" fontId="360" fillId="0" borderId="0" xfId="0" applyFont="1" applyAlignment="1">
      <alignment vertical="center"/>
    </xf>
    <xf numFmtId="0" fontId="346" fillId="93" borderId="137" xfId="0" applyFont="1" applyFill="1" applyBorder="1" applyAlignment="1">
      <alignment horizontal="center"/>
    </xf>
    <xf numFmtId="0" fontId="346" fillId="93" borderId="152" xfId="0" applyFont="1" applyFill="1" applyBorder="1" applyAlignment="1">
      <alignment horizontal="center"/>
    </xf>
    <xf numFmtId="0" fontId="248" fillId="90" borderId="190" xfId="0" applyFont="1" applyFill="1" applyBorder="1"/>
    <xf numFmtId="0" fontId="248" fillId="97" borderId="180" xfId="0" applyFont="1" applyFill="1" applyBorder="1" applyAlignment="1">
      <alignment horizontal="center"/>
    </xf>
    <xf numFmtId="0" fontId="248" fillId="90" borderId="216" xfId="0" applyFont="1" applyFill="1" applyBorder="1"/>
    <xf numFmtId="0" fontId="248" fillId="97" borderId="218" xfId="0" applyFont="1" applyFill="1" applyBorder="1" applyAlignment="1">
      <alignment horizontal="center"/>
    </xf>
    <xf numFmtId="0" fontId="248" fillId="97" borderId="234" xfId="0" applyFont="1" applyFill="1" applyBorder="1" applyAlignment="1">
      <alignment horizontal="center"/>
    </xf>
    <xf numFmtId="0" fontId="0" fillId="0" borderId="241" xfId="0" applyFill="1" applyBorder="1"/>
    <xf numFmtId="184" fontId="293" fillId="0" borderId="241" xfId="0" applyNumberFormat="1" applyFont="1" applyFill="1" applyBorder="1"/>
    <xf numFmtId="0" fontId="320" fillId="94" borderId="241" xfId="0" applyFont="1" applyFill="1" applyBorder="1"/>
    <xf numFmtId="0" fontId="19" fillId="0" borderId="0" xfId="4" applyBorder="1" applyAlignment="1">
      <alignment horizontal="left" vertical="top" wrapText="1"/>
    </xf>
    <xf numFmtId="43" fontId="19" fillId="0" borderId="0" xfId="1" applyFont="1" applyBorder="1" applyAlignment="1">
      <alignment horizontal="left" vertical="top" wrapText="1"/>
    </xf>
    <xf numFmtId="43" fontId="302" fillId="82" borderId="0" xfId="0" applyNumberFormat="1" applyFont="1" applyFill="1" applyAlignment="1">
      <alignment horizontal="left" vertical="center"/>
    </xf>
    <xf numFmtId="0" fontId="293" fillId="97" borderId="241" xfId="0" applyFont="1" applyFill="1" applyBorder="1" applyAlignment="1">
      <alignment horizontal="center"/>
    </xf>
    <xf numFmtId="0" fontId="19" fillId="97" borderId="241" xfId="0" applyFont="1" applyFill="1" applyBorder="1" applyAlignment="1">
      <alignment horizontal="center" wrapText="1"/>
    </xf>
    <xf numFmtId="0" fontId="39" fillId="97" borderId="241" xfId="0" applyFont="1" applyFill="1" applyBorder="1" applyAlignment="1">
      <alignment horizontal="center" wrapText="1"/>
    </xf>
    <xf numFmtId="0" fontId="18" fillId="97" borderId="0" xfId="0" applyFont="1" applyFill="1" applyBorder="1" applyAlignment="1">
      <alignment horizontal="center"/>
    </xf>
    <xf numFmtId="0" fontId="18" fillId="97" borderId="206" xfId="0" applyFont="1" applyFill="1" applyBorder="1" applyAlignment="1">
      <alignment horizontal="center"/>
    </xf>
    <xf numFmtId="0" fontId="147" fillId="40" borderId="224" xfId="0" applyFont="1" applyFill="1" applyBorder="1"/>
    <xf numFmtId="43" fontId="48" fillId="10" borderId="175" xfId="0" applyNumberFormat="1" applyFont="1" applyFill="1" applyBorder="1"/>
    <xf numFmtId="0" fontId="48" fillId="0" borderId="201" xfId="0" applyFont="1" applyBorder="1"/>
    <xf numFmtId="0" fontId="48" fillId="83" borderId="201" xfId="0" applyFont="1" applyFill="1" applyBorder="1"/>
    <xf numFmtId="43" fontId="48" fillId="10" borderId="196" xfId="0" applyNumberFormat="1" applyFont="1" applyFill="1" applyBorder="1"/>
    <xf numFmtId="0" fontId="370" fillId="0" borderId="0" xfId="0" applyFont="1" applyAlignment="1">
      <alignment horizontal="center" vertical="center"/>
    </xf>
    <xf numFmtId="43" fontId="25" fillId="0" borderId="0" xfId="0" applyNumberFormat="1" applyFont="1" applyAlignment="1">
      <alignment horizontal="center" vertical="center"/>
    </xf>
    <xf numFmtId="0" fontId="25" fillId="0" borderId="0" xfId="0" applyFont="1" applyAlignment="1">
      <alignment horizontal="center" vertical="center"/>
    </xf>
    <xf numFmtId="0" fontId="25" fillId="74" borderId="241" xfId="0" applyNumberFormat="1" applyFont="1" applyFill="1" applyBorder="1" applyAlignment="1">
      <alignment horizontal="left"/>
    </xf>
    <xf numFmtId="0" fontId="31" fillId="0" borderId="199" xfId="0" applyFont="1" applyBorder="1" applyAlignment="1"/>
    <xf numFmtId="0" fontId="31" fillId="0" borderId="204" xfId="0" applyFont="1" applyBorder="1" applyAlignment="1"/>
    <xf numFmtId="0" fontId="31" fillId="0" borderId="0" xfId="0" applyFont="1" applyBorder="1" applyAlignment="1"/>
    <xf numFmtId="43" fontId="308" fillId="0" borderId="241" xfId="1" applyFont="1" applyBorder="1" applyAlignment="1">
      <alignment horizontal="center" vertical="center"/>
    </xf>
    <xf numFmtId="43" fontId="308" fillId="0" borderId="241" xfId="1" applyFont="1" applyBorder="1" applyAlignment="1">
      <alignment horizontal="right" vertical="center"/>
    </xf>
    <xf numFmtId="0" fontId="348" fillId="0" borderId="241" xfId="0" applyFont="1" applyBorder="1" applyAlignment="1">
      <alignment horizontal="center" vertical="center"/>
    </xf>
    <xf numFmtId="43" fontId="308" fillId="74" borderId="241" xfId="1" applyFont="1" applyFill="1" applyBorder="1" applyAlignment="1">
      <alignment vertical="center"/>
    </xf>
    <xf numFmtId="43" fontId="308" fillId="0" borderId="241" xfId="1" applyFont="1" applyBorder="1" applyAlignment="1">
      <alignment vertical="center"/>
    </xf>
    <xf numFmtId="9" fontId="308" fillId="74" borderId="241" xfId="1" applyNumberFormat="1" applyFont="1" applyFill="1" applyBorder="1" applyAlignment="1">
      <alignment vertical="center"/>
    </xf>
    <xf numFmtId="0" fontId="320" fillId="94" borderId="157" xfId="0" applyFont="1" applyFill="1" applyBorder="1"/>
    <xf numFmtId="0" fontId="320" fillId="94" borderId="111" xfId="0" applyFont="1" applyFill="1" applyBorder="1" applyAlignment="1">
      <alignment horizontal="center"/>
    </xf>
    <xf numFmtId="0" fontId="320" fillId="94" borderId="111" xfId="0" applyFont="1" applyFill="1" applyBorder="1"/>
    <xf numFmtId="0" fontId="320" fillId="94" borderId="242" xfId="0" applyFont="1" applyFill="1" applyBorder="1"/>
    <xf numFmtId="0" fontId="320" fillId="94" borderId="243" xfId="0" applyFont="1" applyFill="1" applyBorder="1" applyAlignment="1">
      <alignment horizontal="center"/>
    </xf>
    <xf numFmtId="0" fontId="321" fillId="108" borderId="236" xfId="0" applyFont="1" applyFill="1" applyBorder="1" applyAlignment="1">
      <alignment horizontal="center" vertical="center"/>
    </xf>
    <xf numFmtId="0" fontId="321" fillId="108" borderId="237" xfId="0" applyFont="1" applyFill="1" applyBorder="1" applyAlignment="1">
      <alignment horizontal="center" vertical="center"/>
    </xf>
    <xf numFmtId="2" fontId="69" fillId="91" borderId="241" xfId="0" applyNumberFormat="1" applyFont="1" applyFill="1" applyBorder="1" applyAlignment="1">
      <alignment horizontal="center" vertical="center" wrapText="1"/>
    </xf>
    <xf numFmtId="43" fontId="69" fillId="91" borderId="241" xfId="0" applyNumberFormat="1" applyFont="1" applyFill="1" applyBorder="1" applyAlignment="1">
      <alignment horizontal="center" vertical="center"/>
    </xf>
    <xf numFmtId="0" fontId="56" fillId="0" borderId="0" xfId="0" applyFont="1" applyAlignment="1">
      <alignment vertical="top" wrapText="1"/>
    </xf>
    <xf numFmtId="0" fontId="0" fillId="0" borderId="241" xfId="0" applyBorder="1" applyAlignment="1">
      <alignment vertical="center"/>
    </xf>
    <xf numFmtId="0" fontId="292" fillId="0" borderId="241" xfId="0" applyFont="1" applyBorder="1" applyAlignment="1">
      <alignment vertical="center"/>
    </xf>
    <xf numFmtId="0" fontId="0" fillId="109" borderId="241" xfId="0" applyFill="1" applyBorder="1" applyAlignment="1">
      <alignment vertical="center"/>
    </xf>
    <xf numFmtId="0" fontId="293" fillId="0" borderId="224" xfId="0" applyFont="1" applyBorder="1" applyAlignment="1">
      <alignment vertical="center"/>
    </xf>
    <xf numFmtId="0" fontId="0" fillId="0" borderId="223" xfId="0" applyBorder="1" applyAlignment="1">
      <alignment vertical="center"/>
    </xf>
    <xf numFmtId="0" fontId="0" fillId="0" borderId="231" xfId="0" applyBorder="1" applyAlignment="1">
      <alignment vertical="center"/>
    </xf>
    <xf numFmtId="0" fontId="0" fillId="0" borderId="0" xfId="0" applyBorder="1" applyAlignment="1">
      <alignment vertical="center"/>
    </xf>
    <xf numFmtId="185" fontId="293" fillId="0" borderId="0" xfId="1" applyNumberFormat="1" applyFont="1" applyBorder="1" applyAlignment="1">
      <alignment vertical="center"/>
    </xf>
    <xf numFmtId="0" fontId="293" fillId="0" borderId="225" xfId="0" applyFont="1" applyBorder="1" applyAlignment="1">
      <alignment vertical="center"/>
    </xf>
    <xf numFmtId="0" fontId="372" fillId="0" borderId="225" xfId="0" applyFont="1" applyBorder="1" applyAlignment="1">
      <alignment vertical="center"/>
    </xf>
    <xf numFmtId="43" fontId="0" fillId="0" borderId="0" xfId="0" applyNumberFormat="1" applyBorder="1" applyAlignment="1">
      <alignment vertical="center"/>
    </xf>
    <xf numFmtId="0" fontId="293" fillId="0" borderId="231" xfId="0" applyFont="1" applyBorder="1" applyAlignment="1">
      <alignment vertical="center"/>
    </xf>
    <xf numFmtId="0" fontId="0" fillId="0" borderId="201" xfId="0" applyBorder="1" applyAlignment="1">
      <alignment wrapText="1"/>
    </xf>
    <xf numFmtId="0" fontId="0" fillId="0" borderId="239" xfId="0" applyBorder="1" applyAlignment="1">
      <alignment wrapText="1"/>
    </xf>
    <xf numFmtId="0" fontId="0" fillId="0" borderId="196" xfId="0" applyBorder="1" applyAlignment="1">
      <alignment wrapText="1"/>
    </xf>
    <xf numFmtId="185" fontId="39" fillId="77" borderId="241" xfId="0" applyNumberFormat="1" applyFont="1" applyFill="1" applyBorder="1" applyAlignment="1">
      <alignment vertical="center"/>
    </xf>
    <xf numFmtId="43" fontId="373" fillId="0" borderId="0" xfId="0" applyNumberFormat="1" applyFont="1" applyBorder="1" applyAlignment="1">
      <alignment vertical="center"/>
    </xf>
    <xf numFmtId="185" fontId="373" fillId="0" borderId="0" xfId="0" applyNumberFormat="1" applyFont="1" applyBorder="1" applyAlignment="1">
      <alignment vertical="center"/>
    </xf>
    <xf numFmtId="0" fontId="0" fillId="0" borderId="206" xfId="0" applyBorder="1" applyAlignment="1">
      <alignment wrapText="1"/>
    </xf>
    <xf numFmtId="0" fontId="39" fillId="77" borderId="241" xfId="0" applyFont="1" applyFill="1" applyBorder="1" applyAlignment="1">
      <alignment vertical="center"/>
    </xf>
    <xf numFmtId="43" fontId="39" fillId="77" borderId="241" xfId="1" applyFont="1" applyFill="1" applyBorder="1" applyAlignment="1">
      <alignment vertical="center"/>
    </xf>
    <xf numFmtId="0" fontId="39" fillId="72" borderId="241" xfId="0" applyFont="1" applyFill="1" applyBorder="1" applyAlignment="1">
      <alignment horizontal="center" vertical="center"/>
    </xf>
    <xf numFmtId="0" fontId="39" fillId="72" borderId="241" xfId="0" applyFont="1" applyFill="1" applyBorder="1" applyAlignment="1">
      <alignment horizontal="center" wrapText="1"/>
    </xf>
    <xf numFmtId="0" fontId="352" fillId="110" borderId="236" xfId="0" applyFont="1" applyFill="1" applyBorder="1" applyAlignment="1">
      <alignment horizontal="center" vertical="center"/>
    </xf>
    <xf numFmtId="0" fontId="352" fillId="110" borderId="237" xfId="0" applyFont="1" applyFill="1" applyBorder="1" applyAlignment="1">
      <alignment horizontal="center" vertical="center"/>
    </xf>
    <xf numFmtId="0" fontId="372" fillId="0" borderId="198" xfId="0" applyFont="1" applyBorder="1" applyAlignment="1">
      <alignment vertical="center"/>
    </xf>
    <xf numFmtId="0" fontId="292" fillId="0" borderId="217" xfId="0" applyFont="1" applyBorder="1" applyAlignment="1">
      <alignment vertical="center"/>
    </xf>
    <xf numFmtId="43" fontId="0" fillId="109" borderId="241" xfId="0" applyNumberFormat="1" applyFill="1" applyBorder="1" applyAlignment="1">
      <alignment vertical="center"/>
    </xf>
    <xf numFmtId="185" fontId="19" fillId="109" borderId="241" xfId="0" applyNumberFormat="1" applyFont="1" applyFill="1" applyBorder="1" applyAlignment="1">
      <alignment vertical="center"/>
    </xf>
    <xf numFmtId="0" fontId="290" fillId="109" borderId="241" xfId="0" applyFont="1" applyFill="1" applyBorder="1" applyAlignment="1">
      <alignment vertical="center"/>
    </xf>
    <xf numFmtId="43" fontId="290" fillId="109" borderId="241" xfId="0" applyNumberFormat="1" applyFont="1" applyFill="1" applyBorder="1" applyAlignment="1">
      <alignment vertical="center"/>
    </xf>
    <xf numFmtId="0" fontId="360" fillId="0" borderId="0" xfId="0" applyFont="1" applyBorder="1" applyAlignment="1">
      <alignment vertical="center"/>
    </xf>
    <xf numFmtId="0" fontId="360" fillId="0" borderId="241" xfId="0" applyFont="1" applyBorder="1" applyAlignment="1">
      <alignment horizontal="left" vertical="center"/>
    </xf>
    <xf numFmtId="176" fontId="83" fillId="77" borderId="241" xfId="1" applyNumberFormat="1" applyFont="1" applyFill="1" applyBorder="1" applyAlignment="1">
      <alignment horizontal="right" vertical="center"/>
    </xf>
    <xf numFmtId="176" fontId="83" fillId="111" borderId="241" xfId="1" applyNumberFormat="1" applyFont="1" applyFill="1" applyBorder="1" applyAlignment="1">
      <alignment horizontal="right" vertical="center"/>
    </xf>
    <xf numFmtId="0" fontId="83" fillId="111" borderId="0" xfId="0" applyFont="1" applyFill="1" applyAlignment="1">
      <alignment vertical="center"/>
    </xf>
    <xf numFmtId="0" fontId="83" fillId="74" borderId="0" xfId="0" applyFont="1" applyFill="1" applyAlignment="1">
      <alignment vertical="center"/>
    </xf>
    <xf numFmtId="176" fontId="83" fillId="86" borderId="241" xfId="1" applyNumberFormat="1" applyFont="1" applyFill="1" applyBorder="1" applyAlignment="1">
      <alignment horizontal="right" vertical="center"/>
    </xf>
    <xf numFmtId="0" fontId="83" fillId="86" borderId="0" xfId="0" applyFont="1" applyFill="1" applyAlignment="1">
      <alignment vertical="center"/>
    </xf>
    <xf numFmtId="0" fontId="31" fillId="0" borderId="204" xfId="0" applyFont="1" applyBorder="1"/>
    <xf numFmtId="0" fontId="239" fillId="74" borderId="182" xfId="0" applyFont="1" applyFill="1" applyBorder="1" applyAlignment="1" applyProtection="1">
      <alignment horizontal="center" vertical="center"/>
      <protection locked="0"/>
    </xf>
    <xf numFmtId="0" fontId="194" fillId="74" borderId="145" xfId="0" applyFont="1" applyFill="1" applyBorder="1" applyAlignment="1" applyProtection="1">
      <alignment horizontal="center" vertical="center"/>
      <protection locked="0"/>
    </xf>
    <xf numFmtId="0" fontId="19" fillId="89" borderId="0" xfId="0" applyFont="1" applyFill="1" applyBorder="1" applyAlignment="1">
      <alignment wrapText="1"/>
    </xf>
    <xf numFmtId="0" fontId="18" fillId="0" borderId="204" xfId="0" applyFont="1" applyBorder="1"/>
    <xf numFmtId="0" fontId="4" fillId="0" borderId="0" xfId="51" applyFont="1" applyAlignment="1">
      <alignment wrapText="1"/>
    </xf>
    <xf numFmtId="176" fontId="295" fillId="0" borderId="0" xfId="10" applyNumberFormat="1" applyFont="1" applyBorder="1" applyAlignment="1">
      <alignment horizontal="center"/>
    </xf>
    <xf numFmtId="43" fontId="295" fillId="74" borderId="0" xfId="10" applyFont="1" applyFill="1" applyBorder="1"/>
    <xf numFmtId="43" fontId="0" fillId="74" borderId="0" xfId="10" applyFont="1" applyFill="1" applyBorder="1" applyAlignment="1">
      <alignment wrapText="1"/>
    </xf>
    <xf numFmtId="43" fontId="0" fillId="74" borderId="0" xfId="10" applyFont="1" applyFill="1" applyAlignment="1">
      <alignment wrapText="1"/>
    </xf>
    <xf numFmtId="0" fontId="308" fillId="77" borderId="241" xfId="0" applyFont="1" applyFill="1" applyBorder="1" applyAlignment="1">
      <alignment horizontal="center" vertical="center"/>
    </xf>
    <xf numFmtId="0" fontId="320" fillId="94" borderId="190" xfId="0" applyFont="1" applyFill="1" applyBorder="1"/>
    <xf numFmtId="0" fontId="320" fillId="94" borderId="137" xfId="0" applyFont="1" applyFill="1" applyBorder="1"/>
    <xf numFmtId="0" fontId="320" fillId="94" borderId="206" xfId="0" applyFont="1" applyFill="1" applyBorder="1"/>
    <xf numFmtId="0" fontId="320" fillId="94" borderId="196" xfId="0" applyFont="1" applyFill="1" applyBorder="1"/>
    <xf numFmtId="0" fontId="321" fillId="108" borderId="90" xfId="0" applyFont="1" applyFill="1" applyBorder="1" applyAlignment="1">
      <alignment horizontal="center" vertical="center"/>
    </xf>
    <xf numFmtId="0" fontId="321" fillId="108" borderId="76" xfId="0" applyFont="1" applyFill="1" applyBorder="1" applyAlignment="1">
      <alignment horizontal="center" vertical="center"/>
    </xf>
    <xf numFmtId="0" fontId="51" fillId="108" borderId="159" xfId="0" applyFont="1" applyFill="1" applyBorder="1" applyAlignment="1">
      <alignment horizontal="center" vertical="center" wrapText="1"/>
    </xf>
    <xf numFmtId="0" fontId="224" fillId="89" borderId="206" xfId="0" applyFont="1" applyFill="1" applyBorder="1" applyAlignment="1">
      <alignment wrapText="1"/>
    </xf>
    <xf numFmtId="0" fontId="353" fillId="94" borderId="206" xfId="0" applyFont="1" applyFill="1" applyBorder="1"/>
    <xf numFmtId="0" fontId="365" fillId="94" borderId="111" xfId="0" applyFont="1" applyFill="1" applyBorder="1"/>
    <xf numFmtId="0" fontId="365" fillId="94" borderId="243" xfId="0" applyFont="1" applyFill="1" applyBorder="1"/>
    <xf numFmtId="0" fontId="69" fillId="0" borderId="0" xfId="0" applyFont="1" applyBorder="1" applyAlignment="1">
      <alignment horizontal="center" vertical="center"/>
    </xf>
    <xf numFmtId="0" fontId="69" fillId="0" borderId="103" xfId="0" applyFont="1" applyBorder="1" applyAlignment="1">
      <alignment horizontal="center" vertical="center"/>
    </xf>
    <xf numFmtId="0" fontId="69" fillId="0" borderId="0" xfId="0" applyFont="1" applyAlignment="1">
      <alignment horizontal="center" vertical="center"/>
    </xf>
    <xf numFmtId="0" fontId="69" fillId="0" borderId="0" xfId="0" applyFont="1" applyAlignment="1">
      <alignment horizontal="left" vertical="center"/>
    </xf>
    <xf numFmtId="0" fontId="83" fillId="0" borderId="0" xfId="0" applyFont="1" applyAlignment="1">
      <alignment horizontal="center" vertical="center"/>
    </xf>
    <xf numFmtId="0" fontId="248" fillId="0" borderId="0" xfId="0" applyFont="1" applyAlignment="1">
      <alignment horizontal="center" vertical="center"/>
    </xf>
    <xf numFmtId="0" fontId="69" fillId="0" borderId="0" xfId="0" applyFont="1" applyAlignment="1">
      <alignment horizontal="center" vertical="center"/>
    </xf>
    <xf numFmtId="0" fontId="69" fillId="0" borderId="0" xfId="0" applyFont="1" applyAlignment="1">
      <alignment horizontal="left" vertical="center"/>
    </xf>
    <xf numFmtId="0" fontId="69" fillId="0" borderId="0" xfId="0" applyFont="1" applyBorder="1" applyAlignment="1">
      <alignment horizontal="center" vertical="center"/>
    </xf>
    <xf numFmtId="0" fontId="83" fillId="0" borderId="241" xfId="0" applyFont="1" applyBorder="1" applyAlignment="1">
      <alignment horizontal="left" vertical="center"/>
    </xf>
    <xf numFmtId="0" fontId="69" fillId="0" borderId="0" xfId="0" applyFont="1" applyBorder="1" applyAlignment="1">
      <alignment horizontal="center" vertical="center"/>
    </xf>
    <xf numFmtId="0" fontId="83" fillId="0" borderId="241" xfId="0" applyFont="1" applyBorder="1" applyAlignment="1">
      <alignment horizontal="left" vertical="center"/>
    </xf>
    <xf numFmtId="0" fontId="308" fillId="0" borderId="241" xfId="0" applyFont="1" applyBorder="1" applyAlignment="1">
      <alignment vertical="center"/>
    </xf>
    <xf numFmtId="0" fontId="312" fillId="96" borderId="84" xfId="6775" applyFont="1" applyFill="1" applyBorder="1"/>
    <xf numFmtId="0" fontId="312" fillId="107" borderId="225" xfId="6775" applyFont="1" applyFill="1" applyBorder="1"/>
    <xf numFmtId="0" fontId="312" fillId="107" borderId="241" xfId="6775" applyFont="1" applyFill="1" applyBorder="1"/>
    <xf numFmtId="0" fontId="312" fillId="107" borderId="229" xfId="6775" applyFont="1" applyFill="1" applyBorder="1"/>
    <xf numFmtId="0" fontId="325" fillId="106" borderId="225" xfId="6775" applyFont="1" applyFill="1" applyBorder="1" applyAlignment="1">
      <alignment wrapText="1"/>
    </xf>
    <xf numFmtId="0" fontId="325" fillId="106" borderId="241" xfId="6775" applyFont="1" applyFill="1" applyBorder="1" applyAlignment="1">
      <alignment wrapText="1"/>
    </xf>
    <xf numFmtId="0" fontId="325" fillId="106" borderId="229" xfId="6775" applyFont="1" applyFill="1" applyBorder="1" applyAlignment="1">
      <alignment wrapText="1"/>
    </xf>
    <xf numFmtId="0" fontId="325" fillId="101" borderId="225" xfId="6775" applyFont="1" applyFill="1" applyBorder="1" applyAlignment="1">
      <alignment wrapText="1"/>
    </xf>
    <xf numFmtId="0" fontId="325" fillId="101" borderId="241" xfId="6775" applyFont="1" applyFill="1" applyBorder="1" applyAlignment="1">
      <alignment wrapText="1"/>
    </xf>
    <xf numFmtId="0" fontId="325" fillId="101" borderId="229" xfId="6775" applyFont="1" applyFill="1" applyBorder="1" applyAlignment="1">
      <alignment wrapText="1"/>
    </xf>
    <xf numFmtId="0" fontId="312" fillId="107" borderId="57" xfId="6775" applyFont="1" applyFill="1" applyBorder="1"/>
    <xf numFmtId="0" fontId="312" fillId="107" borderId="213" xfId="6775" applyFont="1" applyFill="1" applyBorder="1"/>
    <xf numFmtId="0" fontId="312" fillId="107" borderId="168" xfId="6775" applyFont="1" applyFill="1" applyBorder="1"/>
    <xf numFmtId="0" fontId="325" fillId="106" borderId="57" xfId="6775" applyFont="1" applyFill="1" applyBorder="1" applyAlignment="1">
      <alignment wrapText="1"/>
    </xf>
    <xf numFmtId="0" fontId="325" fillId="106" borderId="213" xfId="6775" applyFont="1" applyFill="1" applyBorder="1" applyAlignment="1">
      <alignment wrapText="1"/>
    </xf>
    <xf numFmtId="0" fontId="325" fillId="106" borderId="168" xfId="6775" applyFont="1" applyFill="1" applyBorder="1" applyAlignment="1">
      <alignment wrapText="1"/>
    </xf>
    <xf numFmtId="0" fontId="325" fillId="101" borderId="57" xfId="6775" applyFont="1" applyFill="1" applyBorder="1" applyAlignment="1">
      <alignment wrapText="1"/>
    </xf>
    <xf numFmtId="0" fontId="325" fillId="101" borderId="213" xfId="6775" applyFont="1" applyFill="1" applyBorder="1" applyAlignment="1">
      <alignment wrapText="1"/>
    </xf>
    <xf numFmtId="0" fontId="325" fillId="101" borderId="168" xfId="6775" applyFont="1" applyFill="1" applyBorder="1" applyAlignment="1">
      <alignment wrapText="1"/>
    </xf>
    <xf numFmtId="43" fontId="306" fillId="0" borderId="241" xfId="0" applyNumberFormat="1" applyFont="1" applyBorder="1" applyAlignment="1">
      <alignment vertical="center"/>
    </xf>
    <xf numFmtId="41" fontId="83" fillId="84" borderId="241" xfId="0" applyNumberFormat="1" applyFont="1" applyFill="1" applyBorder="1" applyAlignment="1">
      <alignment horizontal="center" vertical="center"/>
    </xf>
    <xf numFmtId="0" fontId="83" fillId="84" borderId="241" xfId="0" applyFont="1" applyFill="1" applyBorder="1" applyAlignment="1">
      <alignment horizontal="right" vertical="center"/>
    </xf>
    <xf numFmtId="0" fontId="69" fillId="0" borderId="0" xfId="0" applyFont="1" applyBorder="1" applyAlignment="1">
      <alignment horizontal="left" vertical="center"/>
    </xf>
    <xf numFmtId="0" fontId="69" fillId="35" borderId="241" xfId="0" applyFont="1" applyFill="1" applyBorder="1" applyAlignment="1">
      <alignment horizontal="center" vertical="center"/>
    </xf>
    <xf numFmtId="0" fontId="69" fillId="37" borderId="241" xfId="0" applyFont="1" applyFill="1" applyBorder="1" applyAlignment="1">
      <alignment horizontal="center" vertical="center"/>
    </xf>
    <xf numFmtId="170" fontId="69" fillId="48" borderId="241" xfId="0" applyNumberFormat="1" applyFont="1" applyFill="1" applyBorder="1" applyAlignment="1">
      <alignment horizontal="center" vertical="center"/>
    </xf>
    <xf numFmtId="0" fontId="69" fillId="38" borderId="241" xfId="0" applyFont="1" applyFill="1" applyBorder="1" applyAlignment="1">
      <alignment horizontal="center" vertical="center"/>
    </xf>
    <xf numFmtId="41" fontId="69" fillId="0" borderId="241" xfId="0" applyNumberFormat="1" applyFont="1" applyBorder="1" applyAlignment="1">
      <alignment horizontal="center" vertical="center"/>
    </xf>
    <xf numFmtId="41" fontId="69" fillId="0" borderId="241" xfId="0" applyNumberFormat="1" applyFont="1" applyBorder="1" applyAlignment="1">
      <alignment vertical="center"/>
    </xf>
    <xf numFmtId="43" fontId="69" fillId="7" borderId="241" xfId="0" applyNumberFormat="1" applyFont="1" applyFill="1" applyBorder="1" applyAlignment="1">
      <alignment vertical="center"/>
    </xf>
    <xf numFmtId="43" fontId="69" fillId="0" borderId="241" xfId="0" applyNumberFormat="1" applyFont="1" applyBorder="1" applyAlignment="1">
      <alignment vertical="center"/>
    </xf>
    <xf numFmtId="43" fontId="69" fillId="0" borderId="241" xfId="0" applyNumberFormat="1" applyFont="1" applyBorder="1" applyAlignment="1">
      <alignment horizontal="center" vertical="center"/>
    </xf>
    <xf numFmtId="0" fontId="69" fillId="73" borderId="241" xfId="0" applyFont="1" applyFill="1" applyBorder="1" applyAlignment="1">
      <alignment horizontal="center" vertical="center"/>
    </xf>
    <xf numFmtId="0" fontId="69" fillId="32" borderId="241" xfId="0" applyFont="1" applyFill="1" applyBorder="1" applyAlignment="1">
      <alignment horizontal="center" vertical="center"/>
    </xf>
    <xf numFmtId="9" fontId="308" fillId="0" borderId="241" xfId="0" applyNumberFormat="1" applyFont="1" applyFill="1" applyBorder="1" applyAlignment="1">
      <alignment horizontal="center" vertical="center"/>
    </xf>
    <xf numFmtId="174" fontId="83" fillId="0" borderId="0" xfId="0" applyNumberFormat="1" applyFont="1" applyBorder="1" applyAlignment="1">
      <alignment horizontal="right" vertical="center"/>
    </xf>
    <xf numFmtId="4" fontId="69" fillId="63" borderId="241" xfId="0" applyNumberFormat="1" applyFont="1" applyFill="1" applyBorder="1" applyAlignment="1">
      <alignment horizontal="center" vertical="center" wrapText="1"/>
    </xf>
    <xf numFmtId="177" fontId="83" fillId="0" borderId="241" xfId="0" applyNumberFormat="1" applyFont="1" applyFill="1" applyBorder="1" applyAlignment="1">
      <alignment vertical="center"/>
    </xf>
    <xf numFmtId="43" fontId="69" fillId="30" borderId="241" xfId="0" applyNumberFormat="1" applyFont="1" applyFill="1" applyBorder="1" applyAlignment="1">
      <alignment vertical="center"/>
    </xf>
    <xf numFmtId="4" fontId="69" fillId="5" borderId="241" xfId="0" applyNumberFormat="1" applyFont="1" applyFill="1" applyBorder="1" applyAlignment="1">
      <alignment horizontal="center" vertical="center"/>
    </xf>
    <xf numFmtId="170" fontId="69" fillId="0" borderId="241" xfId="0" applyNumberFormat="1" applyFont="1" applyBorder="1" applyAlignment="1">
      <alignment horizontal="center" vertical="center"/>
    </xf>
    <xf numFmtId="171" fontId="69" fillId="0" borderId="241" xfId="0" applyNumberFormat="1" applyFont="1" applyBorder="1" applyAlignment="1">
      <alignment horizontal="center" vertical="center"/>
    </xf>
    <xf numFmtId="0" fontId="83" fillId="0" borderId="204" xfId="0" applyFont="1" applyBorder="1" applyAlignment="1">
      <alignment horizontal="left" vertical="center"/>
    </xf>
    <xf numFmtId="0" fontId="69" fillId="0" borderId="0" xfId="0" applyFont="1" applyBorder="1" applyAlignment="1">
      <alignment horizontal="center" vertical="center"/>
    </xf>
    <xf numFmtId="0" fontId="83" fillId="0" borderId="209" xfId="0" applyFont="1" applyBorder="1" applyAlignment="1">
      <alignment horizontal="left" vertical="center"/>
    </xf>
    <xf numFmtId="0" fontId="83" fillId="0" borderId="241" xfId="0" applyFont="1" applyBorder="1" applyAlignment="1">
      <alignment horizontal="left" vertical="center"/>
    </xf>
    <xf numFmtId="12" fontId="83" fillId="0" borderId="241" xfId="0" applyNumberFormat="1" applyFont="1" applyBorder="1" applyAlignment="1">
      <alignment vertical="center"/>
    </xf>
    <xf numFmtId="0" fontId="83" fillId="0" borderId="0" xfId="0" applyNumberFormat="1" applyFont="1" applyBorder="1" applyAlignment="1">
      <alignment vertical="center"/>
    </xf>
    <xf numFmtId="4" fontId="69" fillId="15" borderId="241" xfId="0" applyNumberFormat="1" applyFont="1" applyFill="1" applyBorder="1" applyAlignment="1">
      <alignment horizontal="center" vertical="center"/>
    </xf>
    <xf numFmtId="43" fontId="69" fillId="49" borderId="241" xfId="0" applyNumberFormat="1" applyFont="1" applyFill="1" applyBorder="1" applyAlignment="1">
      <alignment vertical="center"/>
    </xf>
    <xf numFmtId="0" fontId="83" fillId="0" borderId="241" xfId="0" applyFont="1" applyBorder="1" applyAlignment="1">
      <alignment horizontal="left" vertical="center"/>
    </xf>
    <xf numFmtId="4" fontId="69" fillId="79" borderId="241" xfId="0" applyNumberFormat="1" applyFont="1" applyFill="1" applyBorder="1" applyAlignment="1">
      <alignment vertical="center"/>
    </xf>
    <xf numFmtId="43" fontId="83" fillId="0" borderId="204" xfId="0" applyNumberFormat="1" applyFont="1" applyBorder="1" applyAlignment="1">
      <alignment vertical="center"/>
    </xf>
    <xf numFmtId="4" fontId="83" fillId="0" borderId="0" xfId="0" applyNumberFormat="1" applyFont="1" applyBorder="1" applyAlignment="1">
      <alignment horizontal="right" vertical="center"/>
    </xf>
    <xf numFmtId="43" fontId="28" fillId="0" borderId="0" xfId="0" applyNumberFormat="1" applyFont="1"/>
    <xf numFmtId="0" fontId="83" fillId="0" borderId="0" xfId="0" applyFont="1" applyFill="1" applyBorder="1" applyAlignment="1">
      <alignment horizontal="left" vertical="center"/>
    </xf>
    <xf numFmtId="0" fontId="97" fillId="0" borderId="241" xfId="0" applyFont="1" applyFill="1" applyBorder="1" applyAlignment="1">
      <alignment wrapText="1"/>
    </xf>
    <xf numFmtId="0" fontId="360" fillId="0" borderId="241" xfId="0" applyFont="1" applyFill="1" applyBorder="1" applyAlignment="1">
      <alignment horizontal="left" vertical="center"/>
    </xf>
    <xf numFmtId="165" fontId="83" fillId="0" borderId="241" xfId="0" applyNumberFormat="1" applyFont="1" applyFill="1" applyBorder="1" applyAlignment="1">
      <alignment vertical="center"/>
    </xf>
    <xf numFmtId="0" fontId="83" fillId="0" borderId="241" xfId="0" applyFont="1" applyBorder="1" applyAlignment="1">
      <alignment horizontal="left" vertical="center"/>
    </xf>
    <xf numFmtId="0" fontId="83" fillId="0" borderId="0" xfId="0" applyFont="1" applyBorder="1" applyAlignment="1">
      <alignment horizontal="left" vertical="center"/>
    </xf>
    <xf numFmtId="0" fontId="69" fillId="2" borderId="241" xfId="0" applyFont="1" applyFill="1" applyBorder="1" applyAlignment="1">
      <alignment horizontal="center" vertical="center"/>
    </xf>
    <xf numFmtId="0" fontId="69" fillId="34" borderId="241" xfId="0" applyFont="1" applyFill="1" applyBorder="1" applyAlignment="1">
      <alignment horizontal="center" vertical="center"/>
    </xf>
    <xf numFmtId="0" fontId="83" fillId="0" borderId="241" xfId="0" applyFont="1" applyBorder="1" applyAlignment="1">
      <alignment horizontal="left" vertical="center"/>
    </xf>
    <xf numFmtId="0" fontId="69" fillId="91" borderId="241" xfId="0" applyFont="1" applyFill="1" applyBorder="1" applyAlignment="1">
      <alignment horizontal="left" vertical="center"/>
    </xf>
    <xf numFmtId="41" fontId="83" fillId="91" borderId="241" xfId="0" applyNumberFormat="1" applyFont="1" applyFill="1" applyBorder="1" applyAlignment="1">
      <alignment horizontal="right" vertical="center"/>
    </xf>
    <xf numFmtId="165" fontId="83" fillId="91" borderId="241" xfId="0" applyNumberFormat="1" applyFont="1" applyFill="1" applyBorder="1" applyAlignment="1">
      <alignment vertical="center"/>
    </xf>
    <xf numFmtId="43" fontId="83" fillId="100" borderId="241" xfId="0" applyNumberFormat="1" applyFont="1" applyFill="1" applyBorder="1" applyAlignment="1">
      <alignment vertical="center"/>
    </xf>
    <xf numFmtId="0" fontId="69" fillId="100" borderId="241" xfId="0" applyFont="1" applyFill="1" applyBorder="1" applyAlignment="1">
      <alignment vertical="center" wrapText="1"/>
    </xf>
    <xf numFmtId="0" fontId="69" fillId="91" borderId="241" xfId="0" applyFont="1" applyFill="1" applyBorder="1" applyAlignment="1">
      <alignment vertical="center"/>
    </xf>
    <xf numFmtId="170" fontId="83" fillId="0" borderId="241" xfId="0" applyNumberFormat="1" applyFont="1" applyBorder="1" applyAlignment="1">
      <alignment vertical="center"/>
    </xf>
    <xf numFmtId="1" fontId="83" fillId="0" borderId="0" xfId="0" applyNumberFormat="1" applyFont="1" applyBorder="1" applyAlignment="1">
      <alignment vertical="center"/>
    </xf>
    <xf numFmtId="0" fontId="51" fillId="0" borderId="225" xfId="0" applyFont="1" applyBorder="1" applyAlignment="1">
      <alignment horizontal="left" vertical="center"/>
    </xf>
    <xf numFmtId="3" fontId="304" fillId="0" borderId="0" xfId="0" applyNumberFormat="1" applyFont="1" applyBorder="1" applyAlignment="1">
      <alignment vertical="center"/>
    </xf>
    <xf numFmtId="0" fontId="69" fillId="0" borderId="241" xfId="0" applyFont="1" applyBorder="1" applyAlignment="1">
      <alignment horizontal="left" vertical="center"/>
    </xf>
    <xf numFmtId="0" fontId="69" fillId="0" borderId="241" xfId="0" applyFont="1" applyBorder="1" applyAlignment="1">
      <alignment vertical="center"/>
    </xf>
    <xf numFmtId="176" fontId="310" fillId="0" borderId="241" xfId="1" applyNumberFormat="1" applyFont="1" applyBorder="1" applyAlignment="1">
      <alignment horizontal="right" vertical="center"/>
    </xf>
    <xf numFmtId="0" fontId="83" fillId="0" borderId="0" xfId="0" applyFont="1" applyBorder="1" applyAlignment="1">
      <alignment horizontal="left" vertical="center"/>
    </xf>
    <xf numFmtId="0" fontId="83" fillId="0" borderId="0" xfId="0" applyFont="1" applyBorder="1" applyAlignment="1">
      <alignment horizontal="left" vertical="center"/>
    </xf>
    <xf numFmtId="0" fontId="69" fillId="0" borderId="0" xfId="0" applyFont="1" applyFill="1" applyBorder="1" applyAlignment="1">
      <alignment vertical="center"/>
    </xf>
    <xf numFmtId="4" fontId="69" fillId="90" borderId="241" xfId="0" applyNumberFormat="1" applyFont="1" applyFill="1" applyBorder="1" applyAlignment="1">
      <alignment horizontal="center" vertical="center"/>
    </xf>
    <xf numFmtId="170" fontId="69" fillId="90" borderId="241" xfId="0" applyNumberFormat="1" applyFont="1" applyFill="1" applyBorder="1" applyAlignment="1">
      <alignment horizontal="center" vertical="center"/>
    </xf>
    <xf numFmtId="4" fontId="69" fillId="90" borderId="241" xfId="0" applyNumberFormat="1" applyFont="1" applyFill="1" applyBorder="1" applyAlignment="1">
      <alignment horizontal="center" vertical="center" wrapText="1"/>
    </xf>
    <xf numFmtId="43" fontId="83" fillId="0" borderId="241" xfId="4" applyNumberFormat="1" applyFont="1" applyFill="1" applyBorder="1" applyAlignment="1">
      <alignment vertical="center"/>
    </xf>
    <xf numFmtId="43" fontId="83" fillId="0" borderId="0" xfId="0" applyNumberFormat="1" applyFont="1" applyFill="1" applyBorder="1" applyAlignment="1">
      <alignment horizontal="right" vertical="center"/>
    </xf>
    <xf numFmtId="1" fontId="83" fillId="0" borderId="0" xfId="0" applyNumberFormat="1" applyFont="1" applyFill="1" applyBorder="1" applyAlignment="1">
      <alignment vertical="center"/>
    </xf>
    <xf numFmtId="43" fontId="69" fillId="0" borderId="241" xfId="0" applyNumberFormat="1" applyFont="1" applyFill="1" applyBorder="1" applyAlignment="1">
      <alignment vertical="center"/>
    </xf>
    <xf numFmtId="43" fontId="83" fillId="71" borderId="241" xfId="0" applyNumberFormat="1" applyFont="1" applyFill="1" applyBorder="1" applyAlignment="1">
      <alignment horizontal="right" vertical="center"/>
    </xf>
    <xf numFmtId="165" fontId="83" fillId="56" borderId="241" xfId="0" applyNumberFormat="1" applyFont="1" applyFill="1" applyBorder="1" applyAlignment="1">
      <alignment vertical="center"/>
    </xf>
    <xf numFmtId="0" fontId="69" fillId="0" borderId="0" xfId="0" applyFont="1" applyBorder="1" applyAlignment="1">
      <alignment horizontal="center" vertical="center"/>
    </xf>
    <xf numFmtId="0" fontId="83" fillId="0" borderId="241" xfId="0" applyFont="1" applyBorder="1" applyAlignment="1">
      <alignment horizontal="left" vertical="center"/>
    </xf>
    <xf numFmtId="0" fontId="69" fillId="35" borderId="241" xfId="0" applyFont="1" applyFill="1" applyBorder="1" applyAlignment="1">
      <alignment horizontal="center" vertical="center"/>
    </xf>
    <xf numFmtId="0" fontId="69" fillId="37" borderId="241" xfId="0" applyFont="1" applyFill="1" applyBorder="1" applyAlignment="1">
      <alignment horizontal="center" vertical="center"/>
    </xf>
    <xf numFmtId="0" fontId="354" fillId="0" borderId="0" xfId="0" applyFont="1" applyBorder="1" applyAlignment="1">
      <alignment vertical="center"/>
    </xf>
    <xf numFmtId="0" fontId="348" fillId="0" borderId="0" xfId="0" applyFont="1" applyBorder="1" applyAlignment="1">
      <alignment vertical="center"/>
    </xf>
    <xf numFmtId="0" fontId="348" fillId="35" borderId="241" xfId="0" applyFont="1" applyFill="1" applyBorder="1" applyAlignment="1">
      <alignment horizontal="center" vertical="center"/>
    </xf>
    <xf numFmtId="0" fontId="348" fillId="37" borderId="241" xfId="0" applyFont="1" applyFill="1" applyBorder="1" applyAlignment="1">
      <alignment horizontal="center" vertical="center"/>
    </xf>
    <xf numFmtId="170" fontId="348" fillId="48" borderId="241" xfId="0" applyNumberFormat="1" applyFont="1" applyFill="1" applyBorder="1" applyAlignment="1">
      <alignment horizontal="center" vertical="center"/>
    </xf>
    <xf numFmtId="4" fontId="348" fillId="15" borderId="241" xfId="0" applyNumberFormat="1" applyFont="1" applyFill="1" applyBorder="1" applyAlignment="1">
      <alignment horizontal="center" vertical="center"/>
    </xf>
    <xf numFmtId="0" fontId="308" fillId="0" borderId="241" xfId="0" applyFont="1" applyBorder="1" applyAlignment="1">
      <alignment horizontal="left" vertical="center"/>
    </xf>
    <xf numFmtId="0" fontId="69" fillId="0" borderId="241" xfId="0" applyFont="1" applyBorder="1" applyAlignment="1">
      <alignment horizontal="center" vertical="center"/>
    </xf>
    <xf numFmtId="165" fontId="83" fillId="52" borderId="241" xfId="0" applyNumberFormat="1" applyFont="1" applyFill="1" applyBorder="1" applyAlignment="1">
      <alignment vertical="center"/>
    </xf>
    <xf numFmtId="43" fontId="83" fillId="0" borderId="228" xfId="0" applyNumberFormat="1" applyFont="1" applyBorder="1" applyAlignment="1">
      <alignment vertical="center"/>
    </xf>
    <xf numFmtId="167" fontId="83" fillId="0" borderId="228" xfId="0" applyNumberFormat="1" applyFont="1" applyBorder="1" applyAlignment="1">
      <alignment vertical="center"/>
    </xf>
    <xf numFmtId="167" fontId="83" fillId="0" borderId="228" xfId="0" applyNumberFormat="1" applyFont="1" applyBorder="1" applyAlignment="1">
      <alignment horizontal="center" vertical="center"/>
    </xf>
    <xf numFmtId="165" fontId="83" fillId="0" borderId="241" xfId="0" applyNumberFormat="1" applyFont="1" applyBorder="1" applyAlignment="1">
      <alignment horizontal="center" vertical="center"/>
    </xf>
    <xf numFmtId="0" fontId="290" fillId="77" borderId="0" xfId="0" applyFont="1" applyFill="1" applyAlignment="1"/>
    <xf numFmtId="0" fontId="83" fillId="84" borderId="225" xfId="0" applyFont="1" applyFill="1" applyBorder="1" applyAlignment="1">
      <alignment horizontal="center" vertical="center"/>
    </xf>
    <xf numFmtId="0" fontId="83" fillId="84" borderId="241" xfId="0" applyFont="1" applyFill="1" applyBorder="1" applyAlignment="1">
      <alignment horizontal="left" vertical="center"/>
    </xf>
    <xf numFmtId="43" fontId="83" fillId="84" borderId="220" xfId="0" applyNumberFormat="1" applyFont="1" applyFill="1" applyBorder="1" applyAlignment="1">
      <alignment horizontal="right" vertical="center"/>
    </xf>
    <xf numFmtId="0" fontId="83" fillId="84" borderId="204" xfId="0" applyFont="1" applyFill="1" applyBorder="1" applyAlignment="1">
      <alignment horizontal="left" vertical="center"/>
    </xf>
    <xf numFmtId="43" fontId="83" fillId="84" borderId="241" xfId="0" applyNumberFormat="1" applyFont="1" applyFill="1" applyBorder="1" applyAlignment="1">
      <alignment horizontal="right" vertical="center"/>
    </xf>
    <xf numFmtId="0" fontId="19" fillId="89" borderId="0" xfId="0" applyFont="1" applyFill="1" applyAlignment="1">
      <alignment wrapText="1"/>
    </xf>
    <xf numFmtId="170" fontId="83" fillId="0" borderId="0" xfId="0" applyNumberFormat="1" applyFont="1" applyAlignment="1">
      <alignment vertical="center"/>
    </xf>
    <xf numFmtId="43" fontId="83" fillId="0" borderId="0" xfId="0" applyNumberFormat="1" applyFont="1" applyFill="1" applyBorder="1" applyAlignment="1">
      <alignment horizontal="left" vertical="center"/>
    </xf>
    <xf numFmtId="43" fontId="83" fillId="0" borderId="0" xfId="0" applyNumberFormat="1" applyFont="1" applyFill="1" applyAlignment="1">
      <alignment horizontal="left" vertical="center"/>
    </xf>
    <xf numFmtId="0" fontId="69" fillId="0" borderId="0" xfId="0" applyFont="1" applyBorder="1" applyAlignment="1">
      <alignment horizontal="center" vertical="center"/>
    </xf>
    <xf numFmtId="0" fontId="83" fillId="0" borderId="241" xfId="0" applyFont="1" applyBorder="1" applyAlignment="1">
      <alignment horizontal="left" vertical="center"/>
    </xf>
    <xf numFmtId="0" fontId="83" fillId="0" borderId="0" xfId="0" applyFont="1" applyBorder="1" applyAlignment="1">
      <alignment horizontal="left" vertical="center"/>
    </xf>
    <xf numFmtId="0" fontId="69" fillId="35" borderId="241" xfId="0" applyFont="1" applyFill="1" applyBorder="1" applyAlignment="1">
      <alignment horizontal="center" vertical="center"/>
    </xf>
    <xf numFmtId="0" fontId="69" fillId="37" borderId="241" xfId="0" applyFont="1" applyFill="1" applyBorder="1" applyAlignment="1">
      <alignment horizontal="center" vertical="center"/>
    </xf>
    <xf numFmtId="0" fontId="69" fillId="35" borderId="241" xfId="0" applyFont="1" applyFill="1" applyBorder="1" applyAlignment="1">
      <alignment horizontal="center" vertical="center"/>
    </xf>
    <xf numFmtId="0" fontId="69" fillId="37" borderId="241" xfId="0" applyFont="1" applyFill="1" applyBorder="1" applyAlignment="1">
      <alignment horizontal="center" vertical="center"/>
    </xf>
    <xf numFmtId="0" fontId="304" fillId="0" borderId="0" xfId="0" applyFont="1" applyBorder="1" applyAlignment="1">
      <alignment vertical="center"/>
    </xf>
    <xf numFmtId="0" fontId="307" fillId="3" borderId="241" xfId="0" applyFont="1" applyFill="1" applyBorder="1" applyAlignment="1">
      <alignment vertical="center"/>
    </xf>
    <xf numFmtId="0" fontId="307" fillId="3" borderId="241" xfId="0" applyFont="1" applyFill="1" applyBorder="1" applyAlignment="1">
      <alignment horizontal="center" vertical="center"/>
    </xf>
    <xf numFmtId="0" fontId="316" fillId="0" borderId="0" xfId="0" applyFont="1" applyBorder="1" applyAlignment="1">
      <alignment horizontal="left" vertical="center"/>
    </xf>
    <xf numFmtId="0" fontId="69" fillId="41" borderId="241" xfId="0" applyFont="1" applyFill="1" applyBorder="1" applyAlignment="1">
      <alignment horizontal="center" vertical="center" wrapText="1"/>
    </xf>
    <xf numFmtId="0" fontId="69" fillId="67" borderId="241" xfId="0" applyFont="1" applyFill="1" applyBorder="1" applyAlignment="1">
      <alignment horizontal="center" vertical="center" wrapText="1"/>
    </xf>
    <xf numFmtId="2" fontId="69" fillId="24" borderId="241" xfId="0" applyNumberFormat="1" applyFont="1" applyFill="1" applyBorder="1" applyAlignment="1">
      <alignment horizontal="center" vertical="center" wrapText="1"/>
    </xf>
    <xf numFmtId="2" fontId="69" fillId="87" borderId="241" xfId="0" applyNumberFormat="1" applyFont="1" applyFill="1" applyBorder="1" applyAlignment="1">
      <alignment horizontal="center" vertical="center" wrapText="1"/>
    </xf>
    <xf numFmtId="0" fontId="83" fillId="0" borderId="241" xfId="0" applyFont="1" applyBorder="1" applyAlignment="1">
      <alignment horizontal="left" vertical="center" wrapText="1"/>
    </xf>
    <xf numFmtId="43" fontId="83" fillId="56" borderId="241" xfId="1" applyFont="1" applyFill="1" applyBorder="1" applyAlignment="1">
      <alignment vertical="center"/>
    </xf>
    <xf numFmtId="0" fontId="19" fillId="74" borderId="191" xfId="0" applyFont="1" applyFill="1" applyBorder="1" applyAlignment="1">
      <alignment horizontal="center" vertical="center" wrapText="1"/>
    </xf>
    <xf numFmtId="167" fontId="31" fillId="90" borderId="250" xfId="0" applyNumberFormat="1" applyFont="1" applyFill="1" applyBorder="1" applyAlignment="1">
      <alignment horizontal="center"/>
    </xf>
    <xf numFmtId="167" fontId="217" fillId="97" borderId="231" xfId="0" applyNumberFormat="1" applyFont="1" applyFill="1" applyBorder="1" applyAlignment="1">
      <alignment horizontal="center"/>
    </xf>
    <xf numFmtId="15" fontId="0" fillId="0" borderId="0" xfId="0" applyNumberFormat="1" applyAlignment="1">
      <alignment wrapText="1"/>
    </xf>
    <xf numFmtId="176" fontId="90" fillId="0" borderId="0" xfId="0" applyNumberFormat="1" applyFont="1" applyBorder="1" applyAlignment="1">
      <alignment horizontal="right" vertical="center"/>
    </xf>
    <xf numFmtId="9" fontId="248" fillId="0" borderId="0" xfId="0" applyNumberFormat="1" applyFont="1"/>
    <xf numFmtId="167" fontId="18" fillId="90" borderId="206" xfId="0" applyNumberFormat="1" applyFont="1" applyFill="1" applyBorder="1" applyAlignment="1">
      <alignment horizontal="center"/>
    </xf>
    <xf numFmtId="167" fontId="24" fillId="90" borderId="206" xfId="0" applyNumberFormat="1" applyFont="1" applyFill="1" applyBorder="1" applyAlignment="1">
      <alignment horizontal="center"/>
    </xf>
    <xf numFmtId="0" fontId="0" fillId="0" borderId="241" xfId="0" applyBorder="1" applyAlignment="1">
      <alignment horizontal="center" vertical="center" wrapText="1"/>
    </xf>
    <xf numFmtId="43" fontId="308" fillId="84" borderId="241" xfId="1" applyFont="1" applyFill="1" applyBorder="1" applyAlignment="1">
      <alignment horizontal="center" vertical="center"/>
    </xf>
    <xf numFmtId="43" fontId="308" fillId="84" borderId="241" xfId="1" applyFont="1" applyFill="1" applyBorder="1" applyAlignment="1">
      <alignment vertical="center"/>
    </xf>
    <xf numFmtId="167" fontId="0" fillId="94" borderId="0" xfId="0" applyNumberFormat="1" applyFill="1" applyAlignment="1">
      <alignment wrapText="1"/>
    </xf>
    <xf numFmtId="22" fontId="0" fillId="89" borderId="0" xfId="0" applyNumberFormat="1" applyFill="1" applyAlignment="1">
      <alignment wrapText="1"/>
    </xf>
    <xf numFmtId="22" fontId="59" fillId="89" borderId="0" xfId="0" applyNumberFormat="1" applyFont="1" applyFill="1" applyAlignment="1">
      <alignment wrapText="1"/>
    </xf>
    <xf numFmtId="43" fontId="375" fillId="0" borderId="0" xfId="0" applyNumberFormat="1" applyFont="1" applyAlignment="1">
      <alignment vertical="center"/>
    </xf>
    <xf numFmtId="0" fontId="323" fillId="92" borderId="241" xfId="15" applyFont="1" applyFill="1" applyBorder="1" applyAlignment="1">
      <alignment horizontal="center" vertical="center"/>
    </xf>
    <xf numFmtId="14" fontId="0" fillId="0" borderId="0" xfId="0" applyNumberFormat="1" applyAlignment="1">
      <alignment wrapText="1"/>
    </xf>
    <xf numFmtId="0" fontId="18" fillId="0" borderId="0" xfId="15" applyFont="1" applyBorder="1" applyAlignment="1">
      <alignment vertical="center"/>
    </xf>
    <xf numFmtId="0" fontId="91" fillId="0" borderId="0" xfId="15" applyFont="1" applyBorder="1" applyAlignment="1">
      <alignment horizontal="center" vertical="center"/>
    </xf>
    <xf numFmtId="14" fontId="18" fillId="0" borderId="0" xfId="15" applyNumberFormat="1" applyFont="1" applyAlignment="1">
      <alignment vertical="center"/>
    </xf>
    <xf numFmtId="0" fontId="18" fillId="0" borderId="218" xfId="15" applyFont="1" applyBorder="1" applyAlignment="1">
      <alignment vertical="center"/>
    </xf>
    <xf numFmtId="0" fontId="18" fillId="0" borderId="180" xfId="15" applyFont="1" applyBorder="1" applyAlignment="1">
      <alignment vertical="center"/>
    </xf>
    <xf numFmtId="0" fontId="18" fillId="0" borderId="199" xfId="15" applyFont="1" applyBorder="1" applyAlignment="1">
      <alignment vertical="center"/>
    </xf>
    <xf numFmtId="0" fontId="323" fillId="92" borderId="241" xfId="15" applyFont="1" applyFill="1" applyBorder="1" applyAlignment="1">
      <alignment vertical="center" wrapText="1"/>
    </xf>
    <xf numFmtId="0" fontId="65" fillId="0" borderId="209" xfId="15" applyFont="1" applyBorder="1" applyAlignment="1">
      <alignment vertical="center"/>
    </xf>
    <xf numFmtId="0" fontId="65" fillId="0" borderId="199" xfId="15" applyFont="1" applyBorder="1" applyAlignment="1">
      <alignment vertical="center"/>
    </xf>
    <xf numFmtId="0" fontId="65" fillId="0" borderId="204" xfId="15" applyFont="1" applyBorder="1" applyAlignment="1">
      <alignment vertical="center"/>
    </xf>
    <xf numFmtId="0" fontId="18" fillId="0" borderId="0" xfId="15" applyNumberFormat="1" applyFont="1" applyAlignment="1">
      <alignment horizontal="left" vertical="center"/>
    </xf>
    <xf numFmtId="14" fontId="18" fillId="0" borderId="0" xfId="15" applyNumberFormat="1" applyFont="1" applyAlignment="1">
      <alignment horizontal="right" vertical="center"/>
    </xf>
    <xf numFmtId="1" fontId="18" fillId="0" borderId="0" xfId="15" applyNumberFormat="1" applyFont="1" applyBorder="1" applyAlignment="1">
      <alignment vertical="center"/>
    </xf>
    <xf numFmtId="1" fontId="18" fillId="0" borderId="0" xfId="15" applyNumberFormat="1" applyFont="1" applyAlignment="1">
      <alignment horizontal="right" vertical="center"/>
    </xf>
    <xf numFmtId="0" fontId="19" fillId="0" borderId="0" xfId="15" applyAlignment="1">
      <alignment horizontal="right" vertical="center" wrapText="1"/>
    </xf>
    <xf numFmtId="43" fontId="18" fillId="0" borderId="0" xfId="1" applyFont="1" applyAlignment="1">
      <alignment horizontal="right" vertical="center"/>
    </xf>
    <xf numFmtId="43" fontId="18" fillId="0" borderId="0" xfId="1" applyFont="1" applyAlignment="1">
      <alignment vertical="center"/>
    </xf>
    <xf numFmtId="164" fontId="18" fillId="0" borderId="0" xfId="15" applyNumberFormat="1" applyFont="1" applyAlignment="1">
      <alignment vertical="center"/>
    </xf>
    <xf numFmtId="1" fontId="18" fillId="0" borderId="0" xfId="15" applyNumberFormat="1" applyFont="1" applyAlignment="1">
      <alignment vertical="center"/>
    </xf>
    <xf numFmtId="0" fontId="323" fillId="92" borderId="241" xfId="15" applyFont="1" applyFill="1" applyBorder="1" applyAlignment="1">
      <alignment vertical="center"/>
    </xf>
    <xf numFmtId="0" fontId="323" fillId="0" borderId="147" xfId="15" applyFont="1" applyBorder="1" applyAlignment="1">
      <alignment horizontal="left" vertical="center" wrapText="1"/>
    </xf>
    <xf numFmtId="0" fontId="323" fillId="0" borderId="228" xfId="15" applyFont="1" applyBorder="1" applyAlignment="1">
      <alignment horizontal="left" vertical="center" wrapText="1"/>
    </xf>
    <xf numFmtId="0" fontId="323" fillId="0" borderId="228" xfId="15" applyFont="1" applyBorder="1" applyAlignment="1">
      <alignment horizontal="left" vertical="center"/>
    </xf>
    <xf numFmtId="0" fontId="323" fillId="0" borderId="228" xfId="15" applyFont="1" applyBorder="1" applyAlignment="1">
      <alignment vertical="center"/>
    </xf>
    <xf numFmtId="0" fontId="323" fillId="0" borderId="27" xfId="15" applyFont="1" applyBorder="1" applyAlignment="1">
      <alignment vertical="center"/>
    </xf>
    <xf numFmtId="0" fontId="323" fillId="0" borderId="190" xfId="15" applyFont="1" applyBorder="1" applyAlignment="1">
      <alignment horizontal="left" vertical="center" wrapText="1"/>
    </xf>
    <xf numFmtId="0" fontId="323" fillId="0" borderId="0" xfId="15" applyFont="1" applyAlignment="1">
      <alignment horizontal="left" vertical="center" wrapText="1"/>
    </xf>
    <xf numFmtId="0" fontId="323" fillId="0" borderId="0" xfId="15" applyFont="1" applyAlignment="1">
      <alignment horizontal="left" vertical="center"/>
    </xf>
    <xf numFmtId="0" fontId="323" fillId="0" borderId="0" xfId="15" applyFont="1" applyAlignment="1">
      <alignment vertical="center"/>
    </xf>
    <xf numFmtId="0" fontId="323" fillId="0" borderId="180" xfId="15" applyFont="1" applyBorder="1" applyAlignment="1">
      <alignment vertical="center"/>
    </xf>
    <xf numFmtId="0" fontId="65" fillId="0" borderId="190" xfId="15" applyFont="1" applyBorder="1" applyAlignment="1">
      <alignment vertical="center"/>
    </xf>
    <xf numFmtId="0" fontId="65" fillId="0" borderId="0" xfId="15" applyFont="1" applyAlignment="1">
      <alignment vertical="center"/>
    </xf>
    <xf numFmtId="0" fontId="65" fillId="0" borderId="180" xfId="15" applyFont="1" applyBorder="1" applyAlignment="1">
      <alignment vertical="center"/>
    </xf>
    <xf numFmtId="0" fontId="65" fillId="0" borderId="218" xfId="15" applyFont="1" applyBorder="1" applyAlignment="1">
      <alignment vertical="center"/>
    </xf>
    <xf numFmtId="0" fontId="65" fillId="0" borderId="234" xfId="15" applyFont="1" applyBorder="1" applyAlignment="1">
      <alignment vertical="center"/>
    </xf>
    <xf numFmtId="0" fontId="65" fillId="0" borderId="147" xfId="15" applyFont="1" applyBorder="1" applyAlignment="1">
      <alignment horizontal="left" vertical="center"/>
    </xf>
    <xf numFmtId="0" fontId="65" fillId="0" borderId="228" xfId="15" applyFont="1" applyBorder="1" applyAlignment="1">
      <alignment horizontal="left" vertical="center"/>
    </xf>
    <xf numFmtId="0" fontId="65" fillId="0" borderId="27" xfId="15" applyFont="1" applyBorder="1" applyAlignment="1">
      <alignment horizontal="left" vertical="center"/>
    </xf>
    <xf numFmtId="0" fontId="65" fillId="0" borderId="190" xfId="15" applyFont="1" applyBorder="1" applyAlignment="1">
      <alignment horizontal="left" vertical="center"/>
    </xf>
    <xf numFmtId="0" fontId="65" fillId="0" borderId="0" xfId="15" applyFont="1" applyAlignment="1">
      <alignment horizontal="left" vertical="center"/>
    </xf>
    <xf numFmtId="0" fontId="65" fillId="0" borderId="180" xfId="15" applyFont="1" applyBorder="1" applyAlignment="1">
      <alignment horizontal="left" vertical="center"/>
    </xf>
    <xf numFmtId="43" fontId="18" fillId="0" borderId="0" xfId="15" applyNumberFormat="1" applyFont="1" applyAlignment="1">
      <alignment vertical="center"/>
    </xf>
    <xf numFmtId="0" fontId="65" fillId="0" borderId="0" xfId="15" applyFont="1" applyBorder="1" applyAlignment="1">
      <alignment vertical="center"/>
    </xf>
    <xf numFmtId="0" fontId="25" fillId="0" borderId="241" xfId="15" applyFont="1" applyBorder="1" applyAlignment="1">
      <alignment vertical="center"/>
    </xf>
    <xf numFmtId="179" fontId="25" fillId="0" borderId="241" xfId="15" applyNumberFormat="1" applyFont="1" applyBorder="1" applyAlignment="1">
      <alignment horizontal="center" vertical="center"/>
    </xf>
    <xf numFmtId="0" fontId="25" fillId="0" borderId="241" xfId="15" applyFont="1" applyBorder="1" applyAlignment="1">
      <alignment horizontal="center" vertical="center"/>
    </xf>
    <xf numFmtId="0" fontId="25" fillId="0" borderId="241" xfId="15" applyFont="1" applyFill="1" applyBorder="1" applyAlignment="1">
      <alignment vertical="center"/>
    </xf>
    <xf numFmtId="41" fontId="25" fillId="0" borderId="241" xfId="15" applyNumberFormat="1" applyFont="1" applyBorder="1" applyAlignment="1">
      <alignment vertical="center"/>
    </xf>
    <xf numFmtId="175" fontId="25" fillId="0" borderId="241" xfId="15" applyNumberFormat="1" applyFont="1" applyBorder="1" applyAlignment="1">
      <alignment vertical="center"/>
    </xf>
    <xf numFmtId="181" fontId="25" fillId="0" borderId="241" xfId="15" applyNumberFormat="1" applyFont="1" applyBorder="1" applyAlignment="1">
      <alignment vertical="center"/>
    </xf>
    <xf numFmtId="14" fontId="25" fillId="0" borderId="241" xfId="15" applyNumberFormat="1" applyFont="1" applyBorder="1" applyAlignment="1">
      <alignment vertical="center"/>
    </xf>
    <xf numFmtId="0" fontId="351" fillId="0" borderId="241" xfId="15" applyFont="1" applyBorder="1" applyAlignment="1">
      <alignment horizontal="center" vertical="center"/>
    </xf>
    <xf numFmtId="0" fontId="25" fillId="0" borderId="241" xfId="15" applyFont="1" applyBorder="1" applyAlignment="1">
      <alignment horizontal="left" vertical="center"/>
    </xf>
    <xf numFmtId="0" fontId="18" fillId="0" borderId="0" xfId="15" applyFont="1" applyAlignment="1">
      <alignment vertical="center" wrapText="1"/>
    </xf>
    <xf numFmtId="0" fontId="18" fillId="0" borderId="0" xfId="15" applyFont="1" applyAlignment="1">
      <alignment horizontal="right" vertical="center" wrapText="1"/>
    </xf>
    <xf numFmtId="43" fontId="18" fillId="0" borderId="0" xfId="1" applyFont="1" applyAlignment="1">
      <alignment vertical="center" wrapText="1"/>
    </xf>
    <xf numFmtId="164" fontId="18" fillId="0" borderId="0" xfId="15" applyNumberFormat="1" applyFont="1" applyAlignment="1">
      <alignment vertical="center" wrapText="1"/>
    </xf>
    <xf numFmtId="9" fontId="18" fillId="0" borderId="0" xfId="2" applyFont="1" applyAlignment="1">
      <alignment vertical="center"/>
    </xf>
    <xf numFmtId="1" fontId="25" fillId="0" borderId="241" xfId="2" applyNumberFormat="1" applyFont="1" applyBorder="1" applyAlignment="1">
      <alignment horizontal="center" vertical="center"/>
    </xf>
    <xf numFmtId="0" fontId="18" fillId="77" borderId="0" xfId="15" applyFont="1" applyFill="1" applyAlignment="1">
      <alignment vertical="center" wrapText="1"/>
    </xf>
    <xf numFmtId="41" fontId="83" fillId="112" borderId="241" xfId="0" applyNumberFormat="1" applyFont="1" applyFill="1" applyBorder="1" applyAlignment="1">
      <alignment horizontal="right" vertical="center"/>
    </xf>
    <xf numFmtId="0" fontId="31" fillId="0" borderId="263" xfId="0" applyFont="1" applyBorder="1" applyAlignment="1">
      <alignment horizontal="center" wrapText="1" readingOrder="1"/>
    </xf>
    <xf numFmtId="0" fontId="25" fillId="0" borderId="264" xfId="0" applyFont="1" applyBorder="1" applyAlignment="1">
      <alignment wrapText="1"/>
    </xf>
    <xf numFmtId="0" fontId="25" fillId="0" borderId="265" xfId="0" applyFont="1" applyBorder="1" applyAlignment="1">
      <alignment horizontal="left" wrapText="1" readingOrder="1"/>
    </xf>
    <xf numFmtId="0" fontId="18" fillId="113" borderId="263" xfId="0" applyFont="1" applyFill="1" applyBorder="1" applyAlignment="1">
      <alignment horizontal="left" wrapText="1" readingOrder="1"/>
    </xf>
    <xf numFmtId="0" fontId="25" fillId="0" borderId="266" xfId="0" applyFont="1" applyBorder="1" applyAlignment="1">
      <alignment horizontal="left" wrapText="1" readingOrder="1"/>
    </xf>
    <xf numFmtId="0" fontId="18" fillId="114" borderId="263" xfId="0" applyFont="1" applyFill="1" applyBorder="1" applyAlignment="1">
      <alignment horizontal="left" wrapText="1" readingOrder="1"/>
    </xf>
    <xf numFmtId="0" fontId="18" fillId="115" borderId="263" xfId="0" applyFont="1" applyFill="1" applyBorder="1" applyAlignment="1">
      <alignment horizontal="left" wrapText="1" readingOrder="1"/>
    </xf>
    <xf numFmtId="0" fontId="18" fillId="116" borderId="263" xfId="0" applyFont="1" applyFill="1" applyBorder="1" applyAlignment="1">
      <alignment horizontal="left" wrapText="1" readingOrder="1"/>
    </xf>
    <xf numFmtId="0" fontId="25" fillId="0" borderId="263" xfId="0" applyFont="1" applyBorder="1" applyAlignment="1">
      <alignment horizontal="left" wrapText="1" readingOrder="1"/>
    </xf>
    <xf numFmtId="0" fontId="25" fillId="0" borderId="267" xfId="0" applyFont="1" applyBorder="1" applyAlignment="1">
      <alignment horizontal="left" wrapText="1" readingOrder="1"/>
    </xf>
    <xf numFmtId="0" fontId="25" fillId="0" borderId="0" xfId="0" applyFont="1" applyAlignment="1">
      <alignment wrapText="1"/>
    </xf>
    <xf numFmtId="0" fontId="31" fillId="0" borderId="263" xfId="0" applyFont="1" applyBorder="1" applyAlignment="1">
      <alignment horizontal="right" wrapText="1" readingOrder="1"/>
    </xf>
    <xf numFmtId="43" fontId="351" fillId="0" borderId="263" xfId="1" applyFont="1" applyBorder="1" applyAlignment="1">
      <alignment horizontal="left" wrapText="1" readingOrder="1"/>
    </xf>
    <xf numFmtId="9" fontId="0" fillId="0" borderId="0" xfId="2" applyFont="1" applyAlignment="1">
      <alignment wrapText="1"/>
    </xf>
    <xf numFmtId="0" fontId="25" fillId="0" borderId="265" xfId="0" applyFont="1" applyBorder="1" applyAlignment="1">
      <alignment horizontal="center" vertical="center" wrapText="1"/>
    </xf>
    <xf numFmtId="9" fontId="18" fillId="113" borderId="263" xfId="2" applyFont="1" applyFill="1" applyBorder="1" applyAlignment="1">
      <alignment horizontal="center" vertical="center" wrapText="1"/>
    </xf>
    <xf numFmtId="9" fontId="18" fillId="114" borderId="263" xfId="2" applyFont="1" applyFill="1" applyBorder="1" applyAlignment="1">
      <alignment horizontal="center" vertical="center" wrapText="1"/>
    </xf>
    <xf numFmtId="9" fontId="18" fillId="115" borderId="263" xfId="2" applyFont="1" applyFill="1" applyBorder="1" applyAlignment="1">
      <alignment horizontal="center" vertical="center" wrapText="1"/>
    </xf>
    <xf numFmtId="9" fontId="18" fillId="116" borderId="263" xfId="2" applyFont="1" applyFill="1" applyBorder="1" applyAlignment="1">
      <alignment horizontal="center" vertical="center" wrapText="1"/>
    </xf>
    <xf numFmtId="9" fontId="25" fillId="0" borderId="263" xfId="2" applyFont="1" applyBorder="1" applyAlignment="1">
      <alignment horizontal="center" vertical="center" wrapText="1"/>
    </xf>
    <xf numFmtId="9" fontId="25" fillId="0" borderId="267" xfId="2" applyFont="1" applyBorder="1" applyAlignment="1">
      <alignment horizontal="center" vertical="center" wrapText="1"/>
    </xf>
    <xf numFmtId="9" fontId="25" fillId="0" borderId="0" xfId="2" applyFont="1" applyAlignment="1">
      <alignment horizontal="center" vertical="center" wrapText="1"/>
    </xf>
    <xf numFmtId="0" fontId="25" fillId="0" borderId="0" xfId="0" applyFont="1" applyAlignment="1">
      <alignment horizontal="center" vertical="center" wrapText="1"/>
    </xf>
    <xf numFmtId="0" fontId="31" fillId="0" borderId="263" xfId="0" applyFont="1" applyBorder="1" applyAlignment="1">
      <alignment horizontal="center" vertical="center" wrapText="1"/>
    </xf>
    <xf numFmtId="0" fontId="18" fillId="113" borderId="263" xfId="0" applyFont="1" applyFill="1" applyBorder="1" applyAlignment="1">
      <alignment horizontal="left" vertical="center" wrapText="1"/>
    </xf>
    <xf numFmtId="0" fontId="18" fillId="114" borderId="263" xfId="0" applyFont="1" applyFill="1" applyBorder="1" applyAlignment="1">
      <alignment horizontal="left" vertical="center" wrapText="1"/>
    </xf>
    <xf numFmtId="0" fontId="18" fillId="115" borderId="263" xfId="0" applyFont="1" applyFill="1" applyBorder="1" applyAlignment="1">
      <alignment horizontal="left" vertical="center" wrapText="1"/>
    </xf>
    <xf numFmtId="0" fontId="18" fillId="116" borderId="263" xfId="0" applyFont="1" applyFill="1" applyBorder="1" applyAlignment="1">
      <alignment horizontal="left" vertical="center" wrapText="1"/>
    </xf>
    <xf numFmtId="0" fontId="18" fillId="0" borderId="263" xfId="0" applyFont="1" applyBorder="1" applyAlignment="1">
      <alignment horizontal="left" vertical="center" wrapText="1"/>
    </xf>
    <xf numFmtId="0" fontId="0" fillId="0" borderId="0" xfId="0" applyAlignment="1">
      <alignment vertical="center" wrapText="1"/>
    </xf>
    <xf numFmtId="0" fontId="83" fillId="0" borderId="241" xfId="0" applyFont="1" applyBorder="1" applyAlignment="1">
      <alignment horizontal="left" vertical="center"/>
    </xf>
    <xf numFmtId="43" fontId="19" fillId="0" borderId="0" xfId="0" applyNumberFormat="1" applyFont="1" applyAlignment="1">
      <alignment wrapText="1"/>
    </xf>
    <xf numFmtId="43" fontId="364" fillId="74" borderId="0" xfId="10" applyFont="1" applyFill="1" applyAlignment="1">
      <alignment wrapText="1"/>
    </xf>
    <xf numFmtId="0" fontId="364" fillId="74" borderId="0" xfId="0" applyFont="1" applyFill="1" applyAlignment="1">
      <alignment wrapText="1"/>
    </xf>
    <xf numFmtId="43" fontId="290" fillId="74" borderId="0" xfId="10" applyFont="1" applyFill="1" applyAlignment="1">
      <alignment wrapText="1"/>
    </xf>
    <xf numFmtId="0" fontId="290" fillId="74" borderId="0" xfId="0" applyFont="1" applyFill="1" applyAlignment="1">
      <alignment wrapText="1"/>
    </xf>
    <xf numFmtId="43" fontId="0" fillId="74" borderId="0" xfId="1" applyFont="1" applyFill="1" applyAlignment="1">
      <alignment wrapText="1"/>
    </xf>
    <xf numFmtId="0" fontId="290" fillId="0" borderId="0" xfId="0" applyFont="1" applyAlignment="1">
      <alignment wrapText="1"/>
    </xf>
    <xf numFmtId="0" fontId="48" fillId="40" borderId="224" xfId="0" applyFont="1" applyFill="1" applyBorder="1"/>
    <xf numFmtId="182" fontId="90" fillId="0" borderId="229" xfId="0" applyNumberFormat="1" applyFont="1" applyBorder="1" applyAlignment="1">
      <alignment horizontal="right" vertical="center"/>
    </xf>
    <xf numFmtId="43" fontId="164" fillId="77" borderId="196" xfId="0" applyNumberFormat="1" applyFont="1" applyFill="1" applyBorder="1"/>
    <xf numFmtId="43" fontId="48" fillId="77" borderId="206" xfId="0" applyNumberFormat="1" applyFont="1" applyFill="1" applyBorder="1"/>
    <xf numFmtId="0" fontId="25" fillId="0" borderId="241" xfId="15" applyFont="1" applyBorder="1" applyAlignment="1">
      <alignment horizontal="center" vertical="center"/>
    </xf>
    <xf numFmtId="43" fontId="18" fillId="0" borderId="0" xfId="15" applyNumberFormat="1" applyFont="1" applyAlignment="1">
      <alignment vertical="center" wrapText="1"/>
    </xf>
    <xf numFmtId="44" fontId="18" fillId="0" borderId="0" xfId="34136" applyFont="1" applyAlignment="1">
      <alignment vertical="center" wrapText="1"/>
    </xf>
    <xf numFmtId="2" fontId="18" fillId="0" borderId="0" xfId="15" applyNumberFormat="1" applyFont="1" applyAlignment="1">
      <alignment vertical="center" wrapText="1"/>
    </xf>
    <xf numFmtId="44" fontId="19" fillId="0" borderId="0" xfId="15" applyNumberFormat="1" applyAlignment="1">
      <alignment vertical="center" wrapText="1"/>
    </xf>
    <xf numFmtId="0" fontId="293" fillId="0" borderId="0" xfId="0" applyFont="1"/>
    <xf numFmtId="0" fontId="0" fillId="77" borderId="0" xfId="0" applyFill="1"/>
    <xf numFmtId="169" fontId="0" fillId="77" borderId="0" xfId="0" applyNumberFormat="1" applyFill="1"/>
    <xf numFmtId="12" fontId="0" fillId="0" borderId="0" xfId="0" applyNumberFormat="1"/>
    <xf numFmtId="167" fontId="0" fillId="90" borderId="0" xfId="0" applyNumberFormat="1" applyFill="1"/>
    <xf numFmtId="167" fontId="0" fillId="0" borderId="0" xfId="0" applyNumberFormat="1"/>
    <xf numFmtId="183" fontId="0" fillId="0" borderId="0" xfId="0" applyNumberFormat="1"/>
    <xf numFmtId="10" fontId="0" fillId="0" borderId="0" xfId="0" applyNumberFormat="1"/>
    <xf numFmtId="167" fontId="0" fillId="117" borderId="0" xfId="0" applyNumberFormat="1" applyFill="1"/>
    <xf numFmtId="1" fontId="295" fillId="0" borderId="0" xfId="40" applyNumberFormat="1" applyFont="1" applyFill="1" applyBorder="1" applyAlignment="1">
      <alignment horizontal="center"/>
    </xf>
    <xf numFmtId="0" fontId="19" fillId="0" borderId="0" xfId="0" applyFont="1"/>
    <xf numFmtId="0" fontId="83" fillId="0" borderId="0" xfId="0" applyFont="1" applyAlignment="1">
      <alignment horizontal="center" vertical="center"/>
    </xf>
    <xf numFmtId="0" fontId="83" fillId="0" borderId="241" xfId="0" applyFont="1" applyBorder="1" applyAlignment="1">
      <alignment horizontal="left" vertical="center"/>
    </xf>
    <xf numFmtId="0" fontId="69" fillId="37" borderId="241" xfId="0" applyFont="1" applyFill="1" applyBorder="1" applyAlignment="1">
      <alignment horizontal="center" vertical="center"/>
    </xf>
    <xf numFmtId="0" fontId="0" fillId="0" borderId="0" xfId="0" applyAlignment="1">
      <alignment horizontal="center" vertical="center" wrapText="1"/>
    </xf>
    <xf numFmtId="169" fontId="0" fillId="0" borderId="0" xfId="0" applyNumberFormat="1"/>
    <xf numFmtId="0" fontId="39" fillId="90" borderId="0" xfId="0" applyFont="1" applyFill="1" applyBorder="1" applyAlignment="1">
      <alignment horizontal="center" wrapText="1"/>
    </xf>
    <xf numFmtId="0" fontId="0" fillId="93" borderId="0" xfId="0" applyFill="1" applyBorder="1" applyAlignment="1">
      <alignment wrapText="1"/>
    </xf>
    <xf numFmtId="0" fontId="39" fillId="90" borderId="0" xfId="0" applyFont="1" applyFill="1" applyBorder="1" applyAlignment="1">
      <alignment wrapText="1"/>
    </xf>
    <xf numFmtId="0" fontId="39" fillId="0" borderId="0" xfId="0" applyFont="1" applyFill="1" applyBorder="1" applyAlignment="1">
      <alignment wrapText="1"/>
    </xf>
    <xf numFmtId="0" fontId="19" fillId="0" borderId="0" xfId="0" applyFont="1" applyFill="1" applyBorder="1" applyAlignment="1">
      <alignment wrapText="1"/>
    </xf>
    <xf numFmtId="0" fontId="39" fillId="118" borderId="0" xfId="0" applyFont="1" applyFill="1" applyBorder="1" applyAlignment="1">
      <alignment horizontal="center" wrapText="1"/>
    </xf>
    <xf numFmtId="0" fontId="39" fillId="118" borderId="0" xfId="0" applyFont="1" applyFill="1" applyBorder="1" applyAlignment="1">
      <alignment wrapText="1"/>
    </xf>
    <xf numFmtId="44" fontId="0" fillId="0" borderId="0" xfId="34136" applyFont="1" applyAlignment="1">
      <alignment wrapText="1"/>
    </xf>
    <xf numFmtId="0" fontId="69" fillId="0" borderId="0" xfId="0" applyFont="1" applyBorder="1" applyAlignment="1">
      <alignment horizontal="center" vertical="center"/>
    </xf>
    <xf numFmtId="44" fontId="0" fillId="0" borderId="0" xfId="0" applyNumberFormat="1" applyAlignment="1">
      <alignment wrapText="1"/>
    </xf>
    <xf numFmtId="0" fontId="18" fillId="20" borderId="191" xfId="0" applyFont="1" applyFill="1" applyBorder="1" applyAlignment="1">
      <alignment horizontal="center" vertical="center"/>
    </xf>
    <xf numFmtId="0" fontId="87" fillId="74" borderId="212" xfId="0" applyFont="1" applyFill="1" applyBorder="1" applyAlignment="1">
      <alignment horizontal="center" vertical="center"/>
    </xf>
    <xf numFmtId="0" fontId="312" fillId="111" borderId="145" xfId="0" applyFont="1" applyFill="1" applyBorder="1" applyAlignment="1">
      <alignment horizontal="center" vertical="center"/>
    </xf>
    <xf numFmtId="43" fontId="306" fillId="0" borderId="0" xfId="0" applyNumberFormat="1" applyFont="1" applyBorder="1" applyAlignment="1">
      <alignment horizontal="left" vertical="center" indent="1"/>
    </xf>
    <xf numFmtId="0" fontId="346" fillId="111" borderId="227" xfId="0" applyFont="1" applyFill="1" applyBorder="1"/>
    <xf numFmtId="0" fontId="347" fillId="111" borderId="238" xfId="0" applyFont="1" applyFill="1" applyBorder="1" applyAlignment="1">
      <alignment horizontal="center" wrapText="1"/>
    </xf>
    <xf numFmtId="0" fontId="347" fillId="111" borderId="219" xfId="0" applyFont="1" applyFill="1" applyBorder="1" applyAlignment="1">
      <alignment horizontal="center" wrapText="1"/>
    </xf>
    <xf numFmtId="0" fontId="312" fillId="111" borderId="153" xfId="0" applyFont="1" applyFill="1" applyBorder="1" applyAlignment="1">
      <alignment horizontal="center"/>
    </xf>
    <xf numFmtId="0" fontId="312" fillId="111" borderId="218" xfId="0" applyFont="1" applyFill="1" applyBorder="1" applyAlignment="1">
      <alignment horizontal="center"/>
    </xf>
    <xf numFmtId="0" fontId="312" fillId="111" borderId="226" xfId="0" applyFont="1" applyFill="1" applyBorder="1" applyAlignment="1">
      <alignment horizontal="center"/>
    </xf>
    <xf numFmtId="0" fontId="346" fillId="111" borderId="224" xfId="0" applyFont="1" applyFill="1" applyBorder="1"/>
    <xf numFmtId="0" fontId="312" fillId="111" borderId="223" xfId="0" applyFont="1" applyFill="1" applyBorder="1"/>
    <xf numFmtId="0" fontId="312" fillId="111" borderId="175" xfId="0" applyFont="1" applyFill="1" applyBorder="1"/>
    <xf numFmtId="0" fontId="19" fillId="97" borderId="231" xfId="0" applyFont="1" applyFill="1" applyBorder="1" applyAlignment="1"/>
    <xf numFmtId="0" fontId="217" fillId="97" borderId="0" xfId="0" applyFont="1" applyFill="1" applyBorder="1" applyAlignment="1">
      <alignment horizontal="center"/>
    </xf>
    <xf numFmtId="0" fontId="244" fillId="97" borderId="206" xfId="0" applyFont="1" applyFill="1" applyBorder="1" applyAlignment="1">
      <alignment horizontal="center"/>
    </xf>
    <xf numFmtId="0" fontId="27" fillId="93" borderId="239" xfId="0" applyFont="1" applyFill="1" applyBorder="1" applyAlignment="1">
      <alignment horizontal="center"/>
    </xf>
    <xf numFmtId="0" fontId="27" fillId="93" borderId="196" xfId="0" applyFont="1" applyFill="1" applyBorder="1" applyAlignment="1">
      <alignment horizontal="center"/>
    </xf>
    <xf numFmtId="0" fontId="325" fillId="93" borderId="201" xfId="0" applyFont="1" applyFill="1" applyBorder="1" applyAlignment="1"/>
    <xf numFmtId="0" fontId="19" fillId="103" borderId="241" xfId="0" applyFont="1" applyFill="1" applyBorder="1"/>
    <xf numFmtId="0" fontId="39" fillId="90" borderId="201" xfId="0" applyFont="1" applyFill="1" applyBorder="1" applyAlignment="1">
      <alignment wrapText="1"/>
    </xf>
    <xf numFmtId="0" fontId="39" fillId="90" borderId="239" xfId="0" applyFont="1" applyFill="1" applyBorder="1" applyAlignment="1">
      <alignment wrapText="1"/>
    </xf>
    <xf numFmtId="167" fontId="259" fillId="74" borderId="218" xfId="0" applyNumberFormat="1" applyFont="1" applyFill="1" applyBorder="1" applyAlignment="1">
      <alignment horizontal="center"/>
    </xf>
    <xf numFmtId="0" fontId="194" fillId="74" borderId="231" xfId="0" applyFont="1" applyFill="1" applyBorder="1" applyAlignment="1">
      <alignment horizontal="center" vertical="center"/>
    </xf>
    <xf numFmtId="0" fontId="194" fillId="74" borderId="0" xfId="0" applyFont="1" applyFill="1" applyBorder="1" applyAlignment="1">
      <alignment horizontal="center" vertical="center"/>
    </xf>
    <xf numFmtId="0" fontId="194" fillId="74" borderId="153" xfId="0" applyFont="1" applyFill="1" applyBorder="1" applyAlignment="1">
      <alignment horizontal="center" vertical="center"/>
    </xf>
    <xf numFmtId="0" fontId="377" fillId="0" borderId="0" xfId="0" applyFont="1" applyFill="1" applyAlignment="1">
      <alignment horizontal="center" vertical="center"/>
    </xf>
    <xf numFmtId="0" fontId="194" fillId="98" borderId="145" xfId="0" applyFont="1" applyFill="1" applyBorder="1" applyAlignment="1">
      <alignment horizontal="center" vertical="center"/>
    </xf>
    <xf numFmtId="0" fontId="239" fillId="98" borderId="182" xfId="0" applyFont="1" applyFill="1" applyBorder="1" applyAlignment="1">
      <alignment horizontal="center" vertical="center"/>
    </xf>
    <xf numFmtId="0" fontId="0" fillId="0" borderId="0" xfId="0" applyFill="1" applyBorder="1"/>
    <xf numFmtId="183" fontId="0" fillId="0" borderId="241" xfId="0" applyNumberFormat="1" applyBorder="1" applyAlignment="1">
      <alignment horizontal="center" vertical="center"/>
    </xf>
    <xf numFmtId="12" fontId="0" fillId="0" borderId="0" xfId="0" applyNumberFormat="1" applyFill="1" applyBorder="1"/>
    <xf numFmtId="8" fontId="0" fillId="0" borderId="0" xfId="0" applyNumberFormat="1" applyAlignment="1">
      <alignment wrapText="1"/>
    </xf>
    <xf numFmtId="0" fontId="19" fillId="0" borderId="0" xfId="0" applyFont="1" applyFill="1" applyBorder="1"/>
    <xf numFmtId="4" fontId="360" fillId="0" borderId="0" xfId="0" applyNumberFormat="1" applyFont="1" applyBorder="1" applyAlignment="1">
      <alignment vertical="center"/>
    </xf>
    <xf numFmtId="43" fontId="360" fillId="0" borderId="0" xfId="0" applyNumberFormat="1" applyFont="1" applyBorder="1" applyAlignment="1">
      <alignment horizontal="center" vertical="center"/>
    </xf>
    <xf numFmtId="0" fontId="380" fillId="0" borderId="241" xfId="34138" applyFont="1" applyFill="1" applyBorder="1" applyAlignment="1">
      <alignment horizontal="center" vertical="center" wrapText="1"/>
    </xf>
    <xf numFmtId="0" fontId="0" fillId="90" borderId="0" xfId="0" applyFill="1"/>
    <xf numFmtId="2" fontId="0" fillId="90" borderId="0" xfId="0" applyNumberFormat="1" applyFill="1"/>
    <xf numFmtId="169" fontId="0" fillId="90" borderId="0" xfId="0" applyNumberFormat="1" applyFill="1"/>
    <xf numFmtId="0" fontId="19" fillId="90" borderId="0" xfId="0" applyFont="1" applyFill="1"/>
    <xf numFmtId="43" fontId="83" fillId="77" borderId="241" xfId="0" applyNumberFormat="1" applyFont="1" applyFill="1" applyBorder="1" applyAlignment="1">
      <alignment vertical="center"/>
    </xf>
    <xf numFmtId="0" fontId="83" fillId="0" borderId="0" xfId="0" applyFont="1" applyAlignment="1">
      <alignment horizontal="center" vertical="center"/>
    </xf>
    <xf numFmtId="0" fontId="83" fillId="0" borderId="241" xfId="0" applyFont="1" applyBorder="1" applyAlignment="1">
      <alignment horizontal="left" vertical="center"/>
    </xf>
    <xf numFmtId="0" fontId="2" fillId="0" borderId="0" xfId="34139"/>
    <xf numFmtId="0" fontId="2" fillId="0" borderId="0" xfId="34139" applyFill="1"/>
    <xf numFmtId="0" fontId="2" fillId="0" borderId="0" xfId="34139" applyFill="1" applyAlignment="1">
      <alignment horizontal="center"/>
    </xf>
    <xf numFmtId="0" fontId="2" fillId="0" borderId="241" xfId="34139" applyFont="1" applyFill="1" applyBorder="1"/>
    <xf numFmtId="0" fontId="2" fillId="0" borderId="241" xfId="34139" applyFont="1" applyFill="1" applyBorder="1" applyAlignment="1">
      <alignment horizontal="left"/>
    </xf>
    <xf numFmtId="0" fontId="2" fillId="0" borderId="241" xfId="34139" applyFont="1" applyFill="1" applyBorder="1" applyAlignment="1"/>
    <xf numFmtId="0" fontId="2" fillId="0" borderId="241" xfId="34139" applyFill="1" applyBorder="1"/>
    <xf numFmtId="0" fontId="2" fillId="0" borderId="241" xfId="34139" applyFill="1" applyBorder="1" applyAlignment="1">
      <alignment horizontal="left"/>
    </xf>
    <xf numFmtId="0" fontId="2" fillId="0" borderId="241" xfId="34139" applyFont="1" applyFill="1" applyBorder="1" applyAlignment="1">
      <alignment horizontal="center" vertical="center" wrapText="1"/>
    </xf>
    <xf numFmtId="0" fontId="364" fillId="0" borderId="241" xfId="34139" applyFont="1" applyFill="1" applyBorder="1" applyAlignment="1">
      <alignment horizontal="center" vertical="center" wrapText="1"/>
    </xf>
    <xf numFmtId="0" fontId="2" fillId="0" borderId="241" xfId="34139" applyFill="1" applyBorder="1" applyAlignment="1">
      <alignment vertical="center" wrapText="1"/>
    </xf>
    <xf numFmtId="0" fontId="2" fillId="0" borderId="241" xfId="34139" applyFill="1" applyBorder="1" applyAlignment="1">
      <alignment horizontal="center" vertical="center" wrapText="1"/>
    </xf>
    <xf numFmtId="0" fontId="2" fillId="0" borderId="241" xfId="34139" applyFill="1" applyBorder="1" applyAlignment="1">
      <alignment horizontal="center"/>
    </xf>
    <xf numFmtId="0" fontId="2" fillId="0" borderId="241" xfId="34139" applyFill="1" applyBorder="1" applyAlignment="1"/>
    <xf numFmtId="0" fontId="2" fillId="0" borderId="241" xfId="34139" quotePrefix="1" applyFill="1" applyBorder="1" applyAlignment="1">
      <alignment horizontal="center"/>
    </xf>
    <xf numFmtId="0" fontId="319" fillId="0" borderId="241" xfId="34139" applyFont="1" applyFill="1" applyBorder="1"/>
    <xf numFmtId="0" fontId="293" fillId="0" borderId="0" xfId="34139" applyFont="1" applyFill="1"/>
    <xf numFmtId="186" fontId="2" fillId="0" borderId="0" xfId="34139" applyNumberFormat="1" applyFill="1" applyAlignment="1">
      <alignment horizontal="center"/>
    </xf>
    <xf numFmtId="4" fontId="2" fillId="0" borderId="0" xfId="34139" applyNumberFormat="1" applyFill="1" applyAlignment="1">
      <alignment wrapText="1"/>
    </xf>
    <xf numFmtId="4" fontId="293" fillId="0" borderId="213" xfId="34139" applyNumberFormat="1" applyFont="1" applyFill="1" applyBorder="1" applyAlignment="1">
      <alignment horizontal="center" vertical="center" wrapText="1"/>
    </xf>
    <xf numFmtId="4" fontId="2" fillId="0" borderId="241" xfId="34139" applyNumberFormat="1" applyFill="1" applyBorder="1" applyAlignment="1">
      <alignment horizontal="center" wrapText="1"/>
    </xf>
    <xf numFmtId="0" fontId="293" fillId="0" borderId="0" xfId="34139" applyFont="1" applyFill="1" applyAlignment="1">
      <alignment horizontal="center"/>
    </xf>
    <xf numFmtId="0" fontId="2" fillId="0" borderId="241" xfId="34139" applyFont="1" applyFill="1" applyBorder="1" applyAlignment="1">
      <alignment horizontal="center"/>
    </xf>
    <xf numFmtId="0" fontId="2" fillId="96" borderId="241" xfId="34139" applyFont="1" applyFill="1" applyBorder="1"/>
    <xf numFmtId="0" fontId="2" fillId="96" borderId="241" xfId="34139" applyFont="1" applyFill="1" applyBorder="1" applyAlignment="1">
      <alignment horizontal="left"/>
    </xf>
    <xf numFmtId="0" fontId="2" fillId="96" borderId="241" xfId="34139" applyFont="1" applyFill="1" applyBorder="1" applyAlignment="1"/>
    <xf numFmtId="0" fontId="2" fillId="96" borderId="241" xfId="34139" applyFill="1" applyBorder="1"/>
    <xf numFmtId="0" fontId="293" fillId="0" borderId="241" xfId="34139" applyFont="1" applyFill="1" applyBorder="1" applyAlignment="1">
      <alignment horizontal="center" wrapText="1"/>
    </xf>
    <xf numFmtId="43" fontId="27" fillId="119" borderId="161" xfId="0" applyNumberFormat="1" applyFont="1" applyFill="1" applyBorder="1"/>
    <xf numFmtId="0" fontId="2" fillId="119" borderId="241" xfId="34139" applyFont="1" applyFill="1" applyBorder="1"/>
    <xf numFmtId="4" fontId="0" fillId="0" borderId="0" xfId="0" applyNumberFormat="1" applyFill="1" applyAlignment="1">
      <alignment wrapText="1"/>
    </xf>
    <xf numFmtId="4" fontId="0" fillId="0" borderId="0" xfId="0" applyNumberFormat="1" applyAlignment="1">
      <alignment wrapText="1"/>
    </xf>
    <xf numFmtId="0" fontId="1" fillId="0" borderId="241" xfId="34139" applyFont="1" applyFill="1" applyBorder="1"/>
    <xf numFmtId="4" fontId="293" fillId="0" borderId="213" xfId="0" applyNumberFormat="1" applyFont="1" applyFill="1" applyBorder="1" applyAlignment="1">
      <alignment horizontal="center" vertical="center" wrapText="1"/>
    </xf>
    <xf numFmtId="4" fontId="0" fillId="0" borderId="241" xfId="0" applyNumberFormat="1" applyFill="1" applyBorder="1" applyAlignment="1">
      <alignment horizontal="center" wrapText="1"/>
    </xf>
    <xf numFmtId="4" fontId="292" fillId="0" borderId="241" xfId="34139" applyNumberFormat="1" applyFont="1" applyFill="1" applyBorder="1" applyAlignment="1">
      <alignment horizontal="center" wrapText="1"/>
    </xf>
    <xf numFmtId="4" fontId="290" fillId="0" borderId="241" xfId="0" applyNumberFormat="1" applyFont="1" applyFill="1" applyBorder="1" applyAlignment="1">
      <alignment horizontal="center" wrapText="1"/>
    </xf>
    <xf numFmtId="187" fontId="382" fillId="0" borderId="0" xfId="34140" applyFont="1" applyBorder="1" applyAlignment="1">
      <alignment horizontal="left"/>
    </xf>
    <xf numFmtId="187" fontId="383" fillId="0" borderId="0" xfId="34140" applyFont="1" applyBorder="1" applyAlignment="1">
      <alignment horizontal="center"/>
    </xf>
    <xf numFmtId="187" fontId="384" fillId="0" borderId="0" xfId="34140" applyFont="1" applyBorder="1" applyAlignment="1">
      <alignment horizontal="center"/>
    </xf>
    <xf numFmtId="187" fontId="295" fillId="0" borderId="0" xfId="34140" applyFont="1" applyBorder="1" applyAlignment="1">
      <alignment horizontal="center"/>
    </xf>
    <xf numFmtId="175" fontId="295" fillId="0" borderId="0" xfId="34140" applyNumberFormat="1" applyFont="1" applyBorder="1" applyAlignment="1">
      <alignment horizontal="center"/>
    </xf>
    <xf numFmtId="187" fontId="295" fillId="0" borderId="0" xfId="34140" applyFont="1" applyBorder="1"/>
    <xf numFmtId="187" fontId="385" fillId="0" borderId="0" xfId="34140" applyFont="1" applyBorder="1"/>
    <xf numFmtId="175" fontId="295" fillId="0" borderId="0" xfId="34140" applyNumberFormat="1" applyFont="1" applyBorder="1"/>
    <xf numFmtId="187" fontId="386" fillId="0" borderId="272" xfId="34142" applyFont="1" applyBorder="1" applyAlignment="1" applyProtection="1">
      <alignment vertical="center"/>
    </xf>
    <xf numFmtId="187" fontId="295" fillId="0" borderId="273" xfId="34140" applyFont="1" applyBorder="1" applyAlignment="1">
      <alignment horizontal="center" vertical="center"/>
    </xf>
    <xf numFmtId="169" fontId="295" fillId="121" borderId="273" xfId="34140" applyNumberFormat="1" applyFont="1" applyFill="1" applyBorder="1" applyAlignment="1">
      <alignment horizontal="center" vertical="center"/>
    </xf>
    <xf numFmtId="175" fontId="295" fillId="122" borderId="274" xfId="34140" applyNumberFormat="1" applyFont="1" applyFill="1" applyBorder="1" applyAlignment="1">
      <alignment horizontal="right" vertical="center"/>
    </xf>
    <xf numFmtId="187" fontId="386" fillId="0" borderId="275" xfId="34142" applyFont="1" applyBorder="1" applyAlignment="1" applyProtection="1">
      <alignment vertical="center"/>
    </xf>
    <xf numFmtId="187" fontId="295" fillId="0" borderId="276" xfId="34140" applyFont="1" applyBorder="1" applyAlignment="1">
      <alignment horizontal="center" vertical="center"/>
    </xf>
    <xf numFmtId="169" fontId="295" fillId="121" borderId="276" xfId="34140" applyNumberFormat="1" applyFont="1" applyFill="1" applyBorder="1" applyAlignment="1">
      <alignment horizontal="center" vertical="center"/>
    </xf>
    <xf numFmtId="175" fontId="295" fillId="122" borderId="277" xfId="34140" applyNumberFormat="1" applyFont="1" applyFill="1" applyBorder="1" applyAlignment="1">
      <alignment horizontal="right" vertical="center"/>
    </xf>
    <xf numFmtId="187" fontId="386" fillId="0" borderId="278" xfId="34142" applyFont="1" applyBorder="1" applyAlignment="1" applyProtection="1">
      <alignment vertical="center"/>
    </xf>
    <xf numFmtId="187" fontId="295" fillId="0" borderId="279" xfId="34140" applyFont="1" applyBorder="1" applyAlignment="1">
      <alignment horizontal="center" vertical="center"/>
    </xf>
    <xf numFmtId="169" fontId="295" fillId="121" borderId="279" xfId="34140" applyNumberFormat="1" applyFont="1" applyFill="1" applyBorder="1" applyAlignment="1">
      <alignment horizontal="center" vertical="center"/>
    </xf>
    <xf numFmtId="169" fontId="295" fillId="121" borderId="280" xfId="34140" applyNumberFormat="1" applyFont="1" applyFill="1" applyBorder="1" applyAlignment="1">
      <alignment horizontal="center" vertical="center"/>
    </xf>
    <xf numFmtId="187" fontId="386" fillId="0" borderId="281" xfId="34142" applyFont="1" applyBorder="1" applyAlignment="1" applyProtection="1">
      <alignment vertical="center"/>
    </xf>
    <xf numFmtId="187" fontId="295" fillId="0" borderId="282" xfId="34140" applyFont="1" applyBorder="1" applyAlignment="1">
      <alignment horizontal="center" vertical="center"/>
    </xf>
    <xf numFmtId="175" fontId="385" fillId="121" borderId="282" xfId="34136" applyNumberFormat="1" applyFont="1" applyFill="1" applyBorder="1" applyAlignment="1">
      <alignment horizontal="right" vertical="center"/>
    </xf>
    <xf numFmtId="187" fontId="386" fillId="0" borderId="283" xfId="34142" applyFont="1" applyBorder="1" applyAlignment="1" applyProtection="1">
      <alignment horizontal="left"/>
    </xf>
    <xf numFmtId="187" fontId="295" fillId="0" borderId="280" xfId="34140" applyFont="1" applyBorder="1" applyAlignment="1">
      <alignment horizontal="center" vertical="center"/>
    </xf>
    <xf numFmtId="175" fontId="295" fillId="122" borderId="277" xfId="34140" applyNumberFormat="1" applyFont="1" applyFill="1" applyBorder="1" applyAlignment="1">
      <alignment horizontal="left" vertical="center"/>
    </xf>
    <xf numFmtId="187" fontId="386" fillId="0" borderId="284" xfId="34142" applyFont="1" applyBorder="1" applyAlignment="1" applyProtection="1">
      <alignment horizontal="left"/>
    </xf>
    <xf numFmtId="187" fontId="295" fillId="0" borderId="285" xfId="34140" applyFont="1" applyBorder="1" applyAlignment="1">
      <alignment horizontal="center" vertical="center"/>
    </xf>
    <xf numFmtId="169" fontId="295" fillId="121" borderId="285" xfId="34140" applyNumberFormat="1" applyFont="1" applyFill="1" applyBorder="1" applyAlignment="1">
      <alignment horizontal="center" vertical="center"/>
    </xf>
    <xf numFmtId="175" fontId="295" fillId="122" borderId="196" xfId="34140" applyNumberFormat="1" applyFont="1" applyFill="1" applyBorder="1" applyAlignment="1">
      <alignment horizontal="right" vertical="center"/>
    </xf>
    <xf numFmtId="187" fontId="296" fillId="0" borderId="0" xfId="34141" applyFont="1" applyBorder="1"/>
    <xf numFmtId="187" fontId="387" fillId="0" borderId="0" xfId="34141" applyFont="1" applyBorder="1"/>
    <xf numFmtId="175" fontId="296" fillId="0" borderId="0" xfId="34141" applyNumberFormat="1" applyFont="1" applyBorder="1"/>
    <xf numFmtId="187" fontId="295" fillId="0" borderId="0" xfId="34141" applyFont="1" applyBorder="1"/>
    <xf numFmtId="187" fontId="385" fillId="0" borderId="0" xfId="34141" applyFont="1" applyBorder="1"/>
    <xf numFmtId="175" fontId="295" fillId="0" borderId="0" xfId="34141" applyNumberFormat="1" applyFont="1" applyBorder="1"/>
    <xf numFmtId="3" fontId="295" fillId="121" borderId="276" xfId="34140" applyNumberFormat="1" applyFont="1" applyFill="1" applyBorder="1" applyAlignment="1">
      <alignment horizontal="center" vertical="center"/>
    </xf>
    <xf numFmtId="187" fontId="386" fillId="0" borderId="278" xfId="34142" applyFont="1" applyBorder="1" applyAlignment="1" applyProtection="1">
      <alignment horizontal="left"/>
    </xf>
    <xf numFmtId="3" fontId="295" fillId="121" borderId="279" xfId="34140" applyNumberFormat="1" applyFont="1" applyFill="1" applyBorder="1" applyAlignment="1">
      <alignment horizontal="center" vertical="center"/>
    </xf>
    <xf numFmtId="44" fontId="385" fillId="121" borderId="279" xfId="34140" applyNumberFormat="1" applyFont="1" applyFill="1" applyBorder="1" applyAlignment="1">
      <alignment horizontal="right" vertical="center"/>
    </xf>
    <xf numFmtId="187" fontId="295" fillId="0" borderId="286" xfId="34140" applyFont="1" applyBorder="1" applyAlignment="1">
      <alignment horizontal="center" vertical="center"/>
    </xf>
    <xf numFmtId="3" fontId="295" fillId="121" borderId="285" xfId="34140" applyNumberFormat="1" applyFont="1" applyFill="1" applyBorder="1" applyAlignment="1">
      <alignment horizontal="center" vertical="center"/>
    </xf>
    <xf numFmtId="187" fontId="387" fillId="0" borderId="0" xfId="34140" applyFont="1" applyFill="1" applyBorder="1" applyAlignment="1">
      <alignment vertical="center"/>
    </xf>
    <xf numFmtId="187" fontId="387" fillId="0" borderId="0" xfId="34140" applyFont="1" applyFill="1" applyBorder="1" applyAlignment="1">
      <alignment horizontal="center" vertical="center"/>
    </xf>
    <xf numFmtId="175" fontId="387" fillId="122" borderId="241" xfId="34140" applyNumberFormat="1" applyFont="1" applyFill="1" applyBorder="1" applyAlignment="1">
      <alignment horizontal="center" vertical="center"/>
    </xf>
    <xf numFmtId="175" fontId="387" fillId="0" borderId="0" xfId="34140" applyNumberFormat="1" applyFont="1" applyFill="1" applyBorder="1" applyAlignment="1">
      <alignment horizontal="center" vertical="center"/>
    </xf>
    <xf numFmtId="187" fontId="387" fillId="122" borderId="287" xfId="34140" applyFont="1" applyFill="1" applyBorder="1" applyAlignment="1">
      <alignment vertical="center"/>
    </xf>
    <xf numFmtId="187" fontId="387" fillId="122" borderId="287" xfId="34140" applyFont="1" applyFill="1" applyBorder="1" applyAlignment="1">
      <alignment horizontal="center" vertical="center"/>
    </xf>
    <xf numFmtId="44" fontId="387" fillId="122" borderId="287" xfId="34136" applyFont="1" applyFill="1" applyBorder="1" applyAlignment="1">
      <alignment horizontal="center" vertical="center"/>
    </xf>
    <xf numFmtId="8" fontId="379" fillId="0" borderId="241" xfId="34138" applyNumberFormat="1" applyFont="1" applyBorder="1" applyAlignment="1" applyProtection="1">
      <alignment horizontal="center" vertical="center"/>
      <protection locked="0"/>
    </xf>
    <xf numFmtId="43" fontId="0" fillId="0" borderId="241" xfId="1" applyFont="1" applyFill="1" applyBorder="1" applyAlignment="1" applyProtection="1">
      <alignment horizontal="center" vertical="center"/>
      <protection locked="0"/>
    </xf>
    <xf numFmtId="0" fontId="293" fillId="0" borderId="241" xfId="0" applyFont="1" applyBorder="1" applyAlignment="1">
      <alignment horizontal="center"/>
    </xf>
    <xf numFmtId="0" fontId="293" fillId="0" borderId="241" xfId="0" applyFont="1" applyBorder="1"/>
    <xf numFmtId="0" fontId="0" fillId="0" borderId="241" xfId="0" applyBorder="1"/>
    <xf numFmtId="43" fontId="0" fillId="0" borderId="241" xfId="1" applyFont="1" applyBorder="1" applyAlignment="1">
      <alignment horizontal="center"/>
    </xf>
    <xf numFmtId="43" fontId="0" fillId="93" borderId="241" xfId="1" applyFont="1" applyFill="1" applyBorder="1" applyAlignment="1">
      <alignment horizontal="center"/>
    </xf>
    <xf numFmtId="43" fontId="0" fillId="0" borderId="241" xfId="1" applyFont="1" applyBorder="1"/>
    <xf numFmtId="175" fontId="222" fillId="0" borderId="241" xfId="2" applyNumberFormat="1" applyFont="1" applyBorder="1" applyAlignment="1">
      <alignment horizontal="center"/>
    </xf>
    <xf numFmtId="0" fontId="169" fillId="0" borderId="209" xfId="0" applyFont="1" applyBorder="1" applyAlignment="1"/>
    <xf numFmtId="0" fontId="25" fillId="77" borderId="241" xfId="0" applyNumberFormat="1" applyFont="1" applyFill="1" applyBorder="1" applyAlignment="1">
      <alignment horizontal="left"/>
    </xf>
    <xf numFmtId="0" fontId="25" fillId="86" borderId="241" xfId="0" applyNumberFormat="1" applyFont="1" applyFill="1" applyBorder="1" applyAlignment="1">
      <alignment horizontal="left"/>
    </xf>
    <xf numFmtId="0" fontId="25" fillId="0" borderId="241" xfId="0" applyNumberFormat="1" applyFont="1" applyBorder="1" applyAlignment="1">
      <alignment horizontal="left"/>
    </xf>
    <xf numFmtId="0" fontId="18" fillId="0" borderId="111" xfId="0" applyFont="1" applyBorder="1"/>
    <xf numFmtId="0" fontId="69" fillId="112" borderId="241" xfId="0" applyFont="1" applyFill="1" applyBorder="1" applyAlignment="1">
      <alignment vertical="center"/>
    </xf>
    <xf numFmtId="0" fontId="83" fillId="112" borderId="241" xfId="0" applyFont="1" applyFill="1" applyBorder="1" applyAlignment="1">
      <alignment horizontal="left" vertical="center"/>
    </xf>
    <xf numFmtId="43" fontId="83" fillId="112" borderId="241" xfId="0" applyNumberFormat="1" applyFont="1" applyFill="1" applyBorder="1" applyAlignment="1">
      <alignment horizontal="right" vertical="center"/>
    </xf>
    <xf numFmtId="43" fontId="83" fillId="112" borderId="241" xfId="0" applyNumberFormat="1" applyFont="1" applyFill="1" applyBorder="1" applyAlignment="1">
      <alignment vertical="center"/>
    </xf>
    <xf numFmtId="176" fontId="83" fillId="90" borderId="241" xfId="1" applyNumberFormat="1" applyFont="1" applyFill="1" applyBorder="1" applyAlignment="1">
      <alignment horizontal="right" vertical="center"/>
    </xf>
    <xf numFmtId="41" fontId="83" fillId="90" borderId="241" xfId="0" applyNumberFormat="1" applyFont="1" applyFill="1" applyBorder="1" applyAlignment="1">
      <alignment horizontal="center" vertical="center"/>
    </xf>
    <xf numFmtId="168" fontId="313" fillId="96" borderId="232" xfId="0" applyNumberFormat="1" applyFont="1" applyFill="1" applyBorder="1"/>
    <xf numFmtId="168" fontId="313" fillId="96" borderId="229" xfId="0" applyNumberFormat="1" applyFont="1" applyFill="1" applyBorder="1"/>
    <xf numFmtId="0" fontId="75" fillId="0" borderId="40" xfId="0" applyFont="1" applyBorder="1" applyAlignment="1">
      <alignment horizontal="left" vertical="center"/>
    </xf>
    <xf numFmtId="0" fontId="245" fillId="78" borderId="219" xfId="0" applyFont="1" applyFill="1" applyBorder="1" applyAlignment="1">
      <alignment horizontal="center" vertical="center"/>
    </xf>
    <xf numFmtId="0" fontId="69" fillId="0" borderId="0" xfId="0" applyFont="1" applyBorder="1" applyAlignment="1">
      <alignment horizontal="center" vertical="center"/>
    </xf>
    <xf numFmtId="0" fontId="83" fillId="0" borderId="241" xfId="0" applyFont="1" applyBorder="1" applyAlignment="1">
      <alignment horizontal="left" vertical="center"/>
    </xf>
    <xf numFmtId="0" fontId="69" fillId="0" borderId="0" xfId="0" applyFont="1" applyAlignment="1">
      <alignment horizontal="center" vertical="center"/>
    </xf>
    <xf numFmtId="0" fontId="69" fillId="0" borderId="0" xfId="0" applyFont="1" applyAlignment="1">
      <alignment horizontal="left" vertical="center"/>
    </xf>
    <xf numFmtId="0" fontId="69" fillId="35" borderId="241" xfId="0" applyFont="1" applyFill="1" applyBorder="1" applyAlignment="1">
      <alignment horizontal="center" vertical="center"/>
    </xf>
    <xf numFmtId="0" fontId="69" fillId="37" borderId="241" xfId="0" applyFont="1" applyFill="1" applyBorder="1" applyAlignment="1">
      <alignment horizontal="center" vertical="center"/>
    </xf>
    <xf numFmtId="41" fontId="0" fillId="0" borderId="0" xfId="0" applyNumberFormat="1"/>
    <xf numFmtId="0" fontId="25" fillId="0" borderId="241" xfId="15" applyFont="1" applyBorder="1" applyAlignment="1">
      <alignment horizontal="center" vertical="center"/>
    </xf>
    <xf numFmtId="43" fontId="69" fillId="0" borderId="241" xfId="0" applyNumberFormat="1" applyFont="1" applyBorder="1" applyAlignment="1">
      <alignment horizontal="right" vertical="center"/>
    </xf>
    <xf numFmtId="43" fontId="308" fillId="91" borderId="241" xfId="1" applyFont="1" applyFill="1" applyBorder="1" applyAlignment="1">
      <alignment vertical="center"/>
    </xf>
    <xf numFmtId="43" fontId="308" fillId="91" borderId="241" xfId="1" applyFont="1" applyFill="1" applyBorder="1" applyAlignment="1">
      <alignment horizontal="center" vertical="center"/>
    </xf>
    <xf numFmtId="43" fontId="348" fillId="0" borderId="241" xfId="1" applyFont="1" applyBorder="1" applyAlignment="1">
      <alignment vertical="center"/>
    </xf>
    <xf numFmtId="43" fontId="361" fillId="52" borderId="241" xfId="1" applyFont="1" applyFill="1" applyBorder="1" applyAlignment="1">
      <alignment vertical="center"/>
    </xf>
    <xf numFmtId="188" fontId="308" fillId="74" borderId="241" xfId="0" applyNumberFormat="1" applyFont="1" applyFill="1" applyBorder="1" applyAlignment="1">
      <alignment horizontal="center" vertical="center"/>
    </xf>
    <xf numFmtId="0" fontId="83" fillId="0" borderId="241" xfId="0" applyFont="1" applyBorder="1" applyAlignment="1">
      <alignment horizontal="left" vertical="center" indent="1"/>
    </xf>
    <xf numFmtId="0" fontId="19" fillId="0" borderId="0" xfId="0" applyFont="1" applyAlignment="1">
      <alignment vertical="center"/>
    </xf>
    <xf numFmtId="0" fontId="245" fillId="78" borderId="24" xfId="0" applyFont="1" applyFill="1" applyBorder="1" applyAlignment="1">
      <alignment horizontal="center" vertical="center"/>
    </xf>
    <xf numFmtId="165" fontId="69" fillId="52" borderId="241" xfId="0" applyNumberFormat="1" applyFont="1" applyFill="1" applyBorder="1" applyAlignment="1">
      <alignment vertical="center"/>
    </xf>
    <xf numFmtId="0" fontId="130" fillId="0" borderId="209" xfId="0" applyFont="1" applyBorder="1" applyAlignment="1">
      <alignment horizontal="left" vertical="center" indent="2"/>
    </xf>
    <xf numFmtId="0" fontId="130" fillId="0" borderId="199" xfId="0" applyFont="1" applyBorder="1" applyAlignment="1">
      <alignment horizontal="left" vertical="center"/>
    </xf>
    <xf numFmtId="0" fontId="19" fillId="0" borderId="199" xfId="0" applyFont="1" applyBorder="1" applyAlignment="1">
      <alignment horizontal="left" vertical="center"/>
    </xf>
    <xf numFmtId="176" fontId="130" fillId="0" borderId="229" xfId="0" applyNumberFormat="1" applyFont="1" applyBorder="1" applyAlignment="1">
      <alignment horizontal="right" vertical="center"/>
    </xf>
    <xf numFmtId="0" fontId="367" fillId="0" borderId="241" xfId="0" applyFont="1" applyBorder="1" applyAlignment="1">
      <alignment horizontal="left" vertical="center" indent="1"/>
    </xf>
    <xf numFmtId="0" fontId="83" fillId="0" borderId="241" xfId="0" applyFont="1" applyBorder="1" applyAlignment="1">
      <alignment horizontal="left" vertical="center"/>
    </xf>
    <xf numFmtId="0" fontId="39" fillId="90" borderId="0" xfId="0" applyFont="1" applyFill="1" applyBorder="1" applyAlignment="1">
      <alignment horizontal="center" wrapText="1"/>
    </xf>
    <xf numFmtId="176" fontId="25" fillId="113" borderId="263" xfId="1" applyNumberFormat="1" applyFont="1" applyFill="1" applyBorder="1" applyAlignment="1">
      <alignment horizontal="right" vertical="center" wrapText="1" readingOrder="1"/>
    </xf>
    <xf numFmtId="176" fontId="25" fillId="114" borderId="263" xfId="1" applyNumberFormat="1" applyFont="1" applyFill="1" applyBorder="1" applyAlignment="1">
      <alignment horizontal="right" vertical="center" wrapText="1" readingOrder="1"/>
    </xf>
    <xf numFmtId="176" fontId="25" fillId="115" borderId="263" xfId="1" applyNumberFormat="1" applyFont="1" applyFill="1" applyBorder="1" applyAlignment="1">
      <alignment horizontal="right" vertical="center" wrapText="1" readingOrder="1"/>
    </xf>
    <xf numFmtId="176" fontId="25" fillId="116" borderId="263" xfId="1" applyNumberFormat="1" applyFont="1" applyFill="1" applyBorder="1" applyAlignment="1">
      <alignment horizontal="right" vertical="center" wrapText="1" readingOrder="1"/>
    </xf>
    <xf numFmtId="176" fontId="0" fillId="0" borderId="0" xfId="0" applyNumberFormat="1" applyAlignment="1">
      <alignment vertical="center" wrapText="1"/>
    </xf>
    <xf numFmtId="3" fontId="0" fillId="0" borderId="0" xfId="0" applyNumberFormat="1" applyAlignment="1">
      <alignment vertical="center" wrapText="1"/>
    </xf>
    <xf numFmtId="0" fontId="293" fillId="123" borderId="241" xfId="0" applyFont="1" applyFill="1" applyBorder="1" applyAlignment="1">
      <alignment horizontal="center" vertical="center" wrapText="1"/>
    </xf>
    <xf numFmtId="0" fontId="293" fillId="123" borderId="241" xfId="0" applyFont="1" applyFill="1" applyBorder="1" applyAlignment="1">
      <alignment horizontal="center" vertical="center"/>
    </xf>
    <xf numFmtId="0" fontId="0" fillId="0" borderId="241" xfId="0" applyBorder="1" applyAlignment="1">
      <alignment horizontal="left" vertical="center"/>
    </xf>
    <xf numFmtId="0" fontId="18" fillId="0" borderId="263" xfId="0" applyFont="1" applyBorder="1" applyAlignment="1">
      <alignment horizontal="left" vertical="center" wrapText="1" readingOrder="1"/>
    </xf>
    <xf numFmtId="3" fontId="0" fillId="0" borderId="241" xfId="0" applyNumberFormat="1" applyBorder="1" applyAlignment="1">
      <alignment horizontal="center"/>
    </xf>
    <xf numFmtId="3" fontId="0" fillId="0" borderId="241" xfId="0" applyNumberFormat="1" applyBorder="1" applyAlignment="1">
      <alignment horizontal="center" vertical="center"/>
    </xf>
    <xf numFmtId="189" fontId="0" fillId="0" borderId="241" xfId="0" applyNumberFormat="1" applyBorder="1" applyAlignment="1">
      <alignment horizontal="center" vertical="center"/>
    </xf>
    <xf numFmtId="0" fontId="0" fillId="0" borderId="228" xfId="0" applyBorder="1" applyAlignment="1">
      <alignment horizontal="left"/>
    </xf>
    <xf numFmtId="0" fontId="18" fillId="0" borderId="288" xfId="0" applyFont="1" applyBorder="1" applyAlignment="1">
      <alignment horizontal="left" vertical="center" wrapText="1" readingOrder="1"/>
    </xf>
    <xf numFmtId="0" fontId="18" fillId="0" borderId="289" xfId="0" applyFont="1" applyBorder="1" applyAlignment="1">
      <alignment horizontal="left" vertical="center" wrapText="1" readingOrder="1"/>
    </xf>
    <xf numFmtId="43" fontId="69" fillId="0" borderId="200" xfId="0" applyNumberFormat="1" applyFont="1" applyBorder="1" applyAlignment="1">
      <alignment vertical="center"/>
    </xf>
    <xf numFmtId="0" fontId="20" fillId="0" borderId="209" xfId="0" applyFont="1" applyBorder="1" applyAlignment="1">
      <alignment vertical="center"/>
    </xf>
    <xf numFmtId="0" fontId="20" fillId="0" borderId="199" xfId="0" applyFont="1" applyBorder="1" applyAlignment="1">
      <alignment vertical="center"/>
    </xf>
    <xf numFmtId="0" fontId="20" fillId="0" borderId="204" xfId="0" applyFont="1" applyBorder="1" applyAlignment="1">
      <alignment vertical="center"/>
    </xf>
    <xf numFmtId="0" fontId="75" fillId="0" borderId="209" xfId="0" applyFont="1" applyBorder="1" applyAlignment="1">
      <alignment vertical="center"/>
    </xf>
    <xf numFmtId="0" fontId="52" fillId="0" borderId="199" xfId="0" applyFont="1" applyBorder="1" applyAlignment="1">
      <alignment vertical="center"/>
    </xf>
    <xf numFmtId="0" fontId="206" fillId="0" borderId="204" xfId="0" applyFont="1" applyBorder="1" applyAlignment="1">
      <alignment vertical="center"/>
    </xf>
    <xf numFmtId="2" fontId="18" fillId="0" borderId="0" xfId="15" applyNumberFormat="1" applyFont="1" applyAlignment="1">
      <alignment vertical="center"/>
    </xf>
    <xf numFmtId="0" fontId="388" fillId="0" borderId="0" xfId="0" applyFont="1" applyAlignment="1">
      <alignment vertical="center" wrapText="1"/>
    </xf>
    <xf numFmtId="15" fontId="19" fillId="0" borderId="0" xfId="15" applyNumberFormat="1" applyAlignment="1">
      <alignment vertical="center" wrapText="1"/>
    </xf>
    <xf numFmtId="0" fontId="18" fillId="0" borderId="0" xfId="15" applyFont="1" applyAlignment="1">
      <alignment horizontal="center" vertical="center" wrapText="1"/>
    </xf>
    <xf numFmtId="1" fontId="19" fillId="0" borderId="0" xfId="15" applyNumberFormat="1" applyAlignment="1">
      <alignment horizontal="center" vertical="center" wrapText="1"/>
    </xf>
    <xf numFmtId="14" fontId="18" fillId="0" borderId="0" xfId="15" applyNumberFormat="1" applyFont="1" applyAlignment="1">
      <alignment horizontal="center" vertical="center" wrapText="1"/>
    </xf>
    <xf numFmtId="14" fontId="18" fillId="0" borderId="0" xfId="15" applyNumberFormat="1" applyFont="1" applyAlignment="1">
      <alignment horizontal="right" vertical="center" wrapText="1"/>
    </xf>
    <xf numFmtId="175" fontId="18" fillId="77" borderId="0" xfId="15" applyNumberFormat="1" applyFont="1" applyFill="1" applyAlignment="1">
      <alignment vertical="center"/>
    </xf>
    <xf numFmtId="0" fontId="31" fillId="0" borderId="0" xfId="0" applyFont="1" applyBorder="1" applyAlignment="1">
      <alignment horizontal="right" wrapText="1" readingOrder="1"/>
    </xf>
    <xf numFmtId="43" fontId="351" fillId="0" borderId="0" xfId="1" applyFont="1" applyBorder="1" applyAlignment="1">
      <alignment horizontal="left" wrapText="1" readingOrder="1"/>
    </xf>
    <xf numFmtId="0" fontId="18" fillId="0" borderId="0" xfId="0" applyFont="1" applyBorder="1" applyAlignment="1">
      <alignment horizontal="left" vertical="center" wrapText="1"/>
    </xf>
    <xf numFmtId="0" fontId="25" fillId="0" borderId="0" xfId="0" applyFont="1" applyBorder="1" applyAlignment="1">
      <alignment wrapText="1"/>
    </xf>
    <xf numFmtId="0" fontId="351" fillId="0" borderId="147" xfId="15" applyFont="1" applyBorder="1" applyAlignment="1">
      <alignment vertical="center"/>
    </xf>
    <xf numFmtId="0" fontId="351" fillId="0" borderId="228" xfId="15" applyFont="1" applyBorder="1" applyAlignment="1">
      <alignment vertical="center"/>
    </xf>
    <xf numFmtId="0" fontId="351" fillId="0" borderId="27" xfId="15" applyFont="1" applyBorder="1" applyAlignment="1">
      <alignment vertical="center"/>
    </xf>
    <xf numFmtId="0" fontId="351" fillId="0" borderId="190" xfId="15" applyFont="1" applyBorder="1" applyAlignment="1">
      <alignment vertical="center"/>
    </xf>
    <xf numFmtId="0" fontId="351" fillId="0" borderId="0" xfId="15" applyFont="1" applyBorder="1" applyAlignment="1">
      <alignment vertical="center"/>
    </xf>
    <xf numFmtId="0" fontId="351" fillId="0" borderId="180" xfId="15" applyFont="1" applyBorder="1" applyAlignment="1">
      <alignment vertical="center"/>
    </xf>
    <xf numFmtId="0" fontId="351" fillId="0" borderId="216" xfId="15" applyFont="1" applyBorder="1" applyAlignment="1">
      <alignment vertical="center"/>
    </xf>
    <xf numFmtId="0" fontId="351" fillId="0" borderId="218" xfId="15" applyFont="1" applyBorder="1" applyAlignment="1">
      <alignment vertical="center"/>
    </xf>
    <xf numFmtId="0" fontId="351" fillId="0" borderId="234" xfId="15" applyFont="1" applyBorder="1" applyAlignment="1">
      <alignment vertical="center"/>
    </xf>
    <xf numFmtId="0" fontId="19" fillId="0" borderId="92" xfId="0" applyFont="1" applyBorder="1" applyAlignment="1">
      <alignment horizontal="left" vertical="top" wrapText="1"/>
    </xf>
    <xf numFmtId="170" fontId="83" fillId="0" borderId="241" xfId="0" applyNumberFormat="1" applyFont="1" applyBorder="1" applyAlignment="1">
      <alignment horizontal="center" vertical="center"/>
    </xf>
    <xf numFmtId="4" fontId="306" fillId="0" borderId="0" xfId="0" applyNumberFormat="1" applyFont="1" applyAlignment="1">
      <alignment horizontal="center" vertical="center"/>
    </xf>
    <xf numFmtId="0" fontId="306" fillId="0" borderId="0" xfId="0" applyNumberFormat="1" applyFont="1" applyAlignment="1">
      <alignment horizontal="center" vertical="center"/>
    </xf>
    <xf numFmtId="0" fontId="306" fillId="0" borderId="0" xfId="0" applyFont="1" applyBorder="1" applyAlignment="1">
      <alignment horizontal="center" vertical="center"/>
    </xf>
    <xf numFmtId="4" fontId="316" fillId="0" borderId="0" xfId="0" applyNumberFormat="1" applyFont="1" applyBorder="1" applyAlignment="1">
      <alignment horizontal="center" vertical="center"/>
    </xf>
    <xf numFmtId="0" fontId="316" fillId="0" borderId="0" xfId="0" applyFont="1" applyBorder="1" applyAlignment="1">
      <alignment horizontal="center" vertical="center"/>
    </xf>
    <xf numFmtId="43" fontId="308" fillId="0" borderId="0" xfId="0" applyNumberFormat="1" applyFont="1" applyAlignment="1">
      <alignment vertical="center"/>
    </xf>
    <xf numFmtId="0" fontId="320" fillId="90" borderId="212" xfId="0" applyFont="1" applyFill="1" applyBorder="1" applyAlignment="1">
      <alignment horizontal="center" vertical="center"/>
    </xf>
    <xf numFmtId="2" fontId="320" fillId="90" borderId="186" xfId="0" applyNumberFormat="1" applyFont="1" applyFill="1" applyBorder="1" applyAlignment="1">
      <alignment horizontal="center" vertical="center"/>
    </xf>
    <xf numFmtId="2" fontId="320" fillId="90" borderId="212" xfId="0" applyNumberFormat="1" applyFont="1" applyFill="1" applyBorder="1" applyAlignment="1">
      <alignment horizontal="center" vertical="center"/>
    </xf>
    <xf numFmtId="0" fontId="389" fillId="0" borderId="241" xfId="0" applyFont="1" applyBorder="1" applyAlignment="1">
      <alignment horizontal="center" vertical="center"/>
    </xf>
    <xf numFmtId="0" fontId="389" fillId="0" borderId="241" xfId="0" applyFont="1" applyBorder="1" applyAlignment="1">
      <alignment wrapText="1"/>
    </xf>
    <xf numFmtId="44" fontId="389" fillId="0" borderId="241" xfId="34136" applyFont="1" applyBorder="1" applyAlignment="1">
      <alignment wrapText="1"/>
    </xf>
    <xf numFmtId="0" fontId="295" fillId="0" borderId="241" xfId="34138" applyFont="1" applyFill="1" applyBorder="1" applyAlignment="1">
      <alignment horizontal="center" vertical="center" wrapText="1"/>
    </xf>
    <xf numFmtId="41" fontId="0" fillId="0" borderId="0" xfId="0" applyNumberFormat="1" applyAlignment="1"/>
    <xf numFmtId="176" fontId="28" fillId="0" borderId="0" xfId="0" applyNumberFormat="1" applyFont="1" applyBorder="1" applyAlignment="1">
      <alignment horizontal="right" vertical="center"/>
    </xf>
    <xf numFmtId="176" fontId="248" fillId="0" borderId="0" xfId="0" applyNumberFormat="1" applyFont="1"/>
    <xf numFmtId="182" fontId="248" fillId="0" borderId="0" xfId="0" applyNumberFormat="1" applyFont="1"/>
    <xf numFmtId="0" fontId="50" fillId="0" borderId="0" xfId="0" applyFont="1"/>
    <xf numFmtId="0" fontId="65" fillId="0" borderId="241" xfId="0" applyFont="1" applyBorder="1" applyAlignment="1">
      <alignment wrapText="1"/>
    </xf>
    <xf numFmtId="0" fontId="65" fillId="0" borderId="241" xfId="0" applyFont="1" applyBorder="1"/>
    <xf numFmtId="2" fontId="18" fillId="0" borderId="0" xfId="17" applyNumberFormat="1" applyFont="1" applyAlignment="1">
      <alignment vertical="center"/>
    </xf>
    <xf numFmtId="167" fontId="248" fillId="90" borderId="206" xfId="0" applyNumberFormat="1" applyFont="1" applyFill="1" applyBorder="1" applyAlignment="1">
      <alignment horizontal="center"/>
    </xf>
    <xf numFmtId="0" fontId="0" fillId="93" borderId="0" xfId="0" applyFill="1" applyAlignment="1">
      <alignment wrapText="1"/>
    </xf>
    <xf numFmtId="0" fontId="0" fillId="125" borderId="294" xfId="0" applyFill="1" applyBorder="1" applyAlignment="1">
      <alignment wrapText="1"/>
    </xf>
    <xf numFmtId="0" fontId="19" fillId="125" borderId="290" xfId="0" applyFont="1" applyFill="1" applyBorder="1" applyAlignment="1">
      <alignment wrapText="1"/>
    </xf>
    <xf numFmtId="14" fontId="0" fillId="125" borderId="290" xfId="0" applyNumberFormat="1" applyFill="1" applyBorder="1" applyAlignment="1">
      <alignment wrapText="1"/>
    </xf>
    <xf numFmtId="0" fontId="19" fillId="125" borderId="295" xfId="0" applyFont="1" applyFill="1" applyBorder="1" applyAlignment="1">
      <alignment wrapText="1"/>
    </xf>
    <xf numFmtId="0" fontId="0" fillId="125" borderId="295" xfId="0" applyFill="1" applyBorder="1" applyAlignment="1">
      <alignment wrapText="1"/>
    </xf>
    <xf numFmtId="0" fontId="0" fillId="125" borderId="290" xfId="0" applyFill="1" applyBorder="1" applyAlignment="1">
      <alignment wrapText="1"/>
    </xf>
    <xf numFmtId="0" fontId="0" fillId="125" borderId="296" xfId="0" applyFill="1" applyBorder="1" applyAlignment="1">
      <alignment wrapText="1"/>
    </xf>
    <xf numFmtId="0" fontId="0" fillId="125" borderId="297" xfId="0" applyFill="1" applyBorder="1" applyAlignment="1">
      <alignment wrapText="1"/>
    </xf>
    <xf numFmtId="0" fontId="0" fillId="125" borderId="298" xfId="0" applyFill="1" applyBorder="1" applyAlignment="1">
      <alignment wrapText="1"/>
    </xf>
    <xf numFmtId="0" fontId="364" fillId="77" borderId="291" xfId="0" applyFont="1" applyFill="1" applyBorder="1" applyAlignment="1">
      <alignment horizontal="center" wrapText="1"/>
    </xf>
    <xf numFmtId="0" fontId="390" fillId="77" borderId="292" xfId="0" applyFont="1" applyFill="1" applyBorder="1" applyAlignment="1">
      <alignment horizontal="center" wrapText="1"/>
    </xf>
    <xf numFmtId="0" fontId="390" fillId="77" borderId="293" xfId="0" applyFont="1" applyFill="1" applyBorder="1" applyAlignment="1">
      <alignment horizontal="center" wrapText="1"/>
    </xf>
    <xf numFmtId="167" fontId="217" fillId="74" borderId="221" xfId="0" applyNumberFormat="1" applyFont="1" applyFill="1" applyBorder="1" applyAlignment="1">
      <alignment horizontal="center"/>
    </xf>
    <xf numFmtId="167" fontId="248" fillId="89" borderId="0" xfId="0" applyNumberFormat="1" applyFont="1" applyFill="1"/>
    <xf numFmtId="0" fontId="18" fillId="89" borderId="0" xfId="0" applyFont="1" applyFill="1" applyBorder="1" applyAlignment="1">
      <alignment horizontal="center" vertical="center"/>
    </xf>
    <xf numFmtId="0" fontId="346" fillId="111" borderId="223" xfId="0" applyFont="1" applyFill="1" applyBorder="1"/>
    <xf numFmtId="0" fontId="19" fillId="90" borderId="0" xfId="0" applyFont="1" applyFill="1" applyBorder="1" applyAlignment="1">
      <alignment wrapText="1"/>
    </xf>
    <xf numFmtId="0" fontId="19" fillId="74" borderId="0" xfId="0" applyFont="1" applyFill="1" applyBorder="1" applyAlignment="1"/>
    <xf numFmtId="0" fontId="19" fillId="98" borderId="0" xfId="0" applyFont="1" applyFill="1" applyBorder="1" applyAlignment="1">
      <alignment wrapText="1"/>
    </xf>
    <xf numFmtId="0" fontId="19" fillId="97" borderId="0" xfId="0" applyFont="1" applyFill="1" applyBorder="1" applyAlignment="1"/>
    <xf numFmtId="0" fontId="325" fillId="93" borderId="239" xfId="0" applyFont="1" applyFill="1" applyBorder="1" applyAlignment="1"/>
    <xf numFmtId="0" fontId="2" fillId="127" borderId="241" xfId="34139" applyFont="1" applyFill="1" applyBorder="1"/>
    <xf numFmtId="0" fontId="2" fillId="127" borderId="241" xfId="34139" applyFont="1" applyFill="1" applyBorder="1" applyAlignment="1">
      <alignment horizontal="left"/>
    </xf>
    <xf numFmtId="14" fontId="27" fillId="0" borderId="0" xfId="15" applyNumberFormat="1" applyFont="1" applyAlignment="1">
      <alignment horizontal="center" vertical="center" wrapText="1"/>
    </xf>
    <xf numFmtId="43" fontId="18" fillId="0" borderId="0" xfId="0" applyNumberFormat="1" applyFont="1" applyBorder="1"/>
    <xf numFmtId="14" fontId="0" fillId="125" borderId="290" xfId="0" applyNumberFormat="1" applyFill="1" applyBorder="1" applyAlignment="1">
      <alignment horizontal="center" wrapText="1"/>
    </xf>
    <xf numFmtId="0" fontId="83" fillId="0" borderId="241" xfId="0" applyFont="1" applyBorder="1" applyAlignment="1">
      <alignment horizontal="left" vertical="center"/>
    </xf>
    <xf numFmtId="41" fontId="83" fillId="128" borderId="241" xfId="0" applyNumberFormat="1" applyFont="1" applyFill="1" applyBorder="1" applyAlignment="1">
      <alignment horizontal="center" vertical="center"/>
    </xf>
    <xf numFmtId="43" fontId="83" fillId="90" borderId="241" xfId="0" applyNumberFormat="1" applyFont="1" applyFill="1" applyBorder="1" applyAlignment="1">
      <alignment vertical="center"/>
    </xf>
    <xf numFmtId="43" fontId="83" fillId="128" borderId="241" xfId="0" applyNumberFormat="1" applyFont="1" applyFill="1" applyBorder="1" applyAlignment="1">
      <alignment vertical="center"/>
    </xf>
    <xf numFmtId="0" fontId="18" fillId="0" borderId="0" xfId="0" applyNumberFormat="1" applyFont="1" applyAlignment="1">
      <alignment horizontal="left"/>
    </xf>
    <xf numFmtId="175" fontId="19" fillId="0" borderId="0" xfId="2" applyNumberFormat="1" applyFont="1" applyAlignment="1">
      <alignment wrapText="1"/>
    </xf>
    <xf numFmtId="0" fontId="83" fillId="0" borderId="241" xfId="0" applyFont="1" applyBorder="1" applyAlignment="1">
      <alignment horizontal="left" vertical="center"/>
    </xf>
    <xf numFmtId="0" fontId="0" fillId="0" borderId="0" xfId="0" applyAlignment="1">
      <alignment horizontal="center" vertical="center" wrapText="1"/>
    </xf>
    <xf numFmtId="0" fontId="0" fillId="0" borderId="0" xfId="0" applyAlignment="1">
      <alignment horizontal="center" wrapText="1"/>
    </xf>
    <xf numFmtId="0" fontId="69" fillId="0" borderId="0" xfId="0" applyFont="1" applyBorder="1" applyAlignment="1">
      <alignment horizontal="center" vertical="center"/>
    </xf>
    <xf numFmtId="0" fontId="83" fillId="0" borderId="241" xfId="0" applyFont="1" applyBorder="1" applyAlignment="1">
      <alignment horizontal="left" vertical="center"/>
    </xf>
    <xf numFmtId="0" fontId="0" fillId="0" borderId="0" xfId="0" applyAlignment="1">
      <alignment horizontal="center"/>
    </xf>
    <xf numFmtId="0" fontId="83" fillId="0" borderId="241" xfId="0" applyFont="1" applyBorder="1" applyAlignment="1">
      <alignment horizontal="left" vertical="center"/>
    </xf>
    <xf numFmtId="0" fontId="391" fillId="129" borderId="299" xfId="0" applyFont="1" applyFill="1" applyBorder="1" applyAlignment="1" applyProtection="1">
      <alignment horizontal="center" vertical="center" wrapText="1"/>
      <protection locked="0"/>
    </xf>
    <xf numFmtId="0" fontId="391" fillId="129" borderId="300" xfId="0" applyFont="1" applyFill="1" applyBorder="1" applyAlignment="1" applyProtection="1">
      <alignment horizontal="center" vertical="center" wrapText="1"/>
      <protection locked="0"/>
    </xf>
    <xf numFmtId="0" fontId="295" fillId="0" borderId="241" xfId="0" applyFont="1" applyBorder="1" applyAlignment="1" applyProtection="1">
      <alignment horizontal="center" vertical="center"/>
      <protection locked="0"/>
    </xf>
    <xf numFmtId="0" fontId="295" fillId="0" borderId="241" xfId="18" applyFont="1" applyFill="1" applyBorder="1" applyAlignment="1" applyProtection="1">
      <alignment horizontal="center" vertical="center"/>
      <protection locked="0"/>
    </xf>
    <xf numFmtId="0" fontId="320" fillId="0" borderId="241" xfId="18" applyFont="1" applyFill="1" applyBorder="1" applyAlignment="1" applyProtection="1">
      <alignment horizontal="center" vertical="center" wrapText="1"/>
      <protection locked="0"/>
    </xf>
    <xf numFmtId="1" fontId="392" fillId="121" borderId="301" xfId="0" applyNumberFormat="1" applyFont="1" applyFill="1" applyBorder="1" applyAlignment="1" applyProtection="1">
      <alignment horizontal="center" vertical="center" wrapText="1"/>
      <protection locked="0"/>
    </xf>
    <xf numFmtId="3" fontId="391" fillId="121" borderId="302" xfId="21" applyNumberFormat="1" applyFont="1" applyFill="1" applyBorder="1" applyAlignment="1" applyProtection="1">
      <alignment horizontal="center" vertical="center" wrapText="1"/>
      <protection locked="0"/>
    </xf>
    <xf numFmtId="0" fontId="321" fillId="129" borderId="303" xfId="0" applyFont="1" applyFill="1" applyBorder="1" applyAlignment="1" applyProtection="1">
      <alignment horizontal="center" vertical="center" wrapText="1"/>
      <protection locked="0"/>
    </xf>
    <xf numFmtId="0" fontId="295" fillId="0" borderId="236" xfId="0" applyNumberFormat="1" applyFont="1" applyBorder="1" applyAlignment="1">
      <alignment horizontal="center" vertical="center"/>
    </xf>
    <xf numFmtId="0" fontId="295" fillId="0" borderId="232" xfId="0" applyNumberFormat="1" applyFont="1" applyBorder="1" applyAlignment="1">
      <alignment horizontal="center" vertical="center"/>
    </xf>
    <xf numFmtId="3" fontId="320" fillId="125" borderId="304" xfId="21" applyNumberFormat="1" applyFont="1" applyFill="1" applyBorder="1" applyAlignment="1" applyProtection="1">
      <alignment horizontal="center" vertical="center" wrapText="1"/>
      <protection locked="0"/>
    </xf>
    <xf numFmtId="0" fontId="320" fillId="0" borderId="305" xfId="18" applyFont="1" applyFill="1" applyBorder="1" applyAlignment="1" applyProtection="1">
      <alignment horizontal="left" vertical="center" wrapText="1"/>
      <protection locked="0"/>
    </xf>
    <xf numFmtId="0" fontId="295" fillId="0" borderId="225" xfId="0" applyNumberFormat="1" applyFont="1" applyBorder="1" applyAlignment="1">
      <alignment horizontal="center" vertical="center"/>
    </xf>
    <xf numFmtId="0" fontId="295" fillId="0" borderId="229" xfId="0" applyNumberFormat="1" applyFont="1" applyBorder="1" applyAlignment="1">
      <alignment horizontal="center" vertical="center"/>
    </xf>
    <xf numFmtId="0" fontId="295" fillId="0" borderId="241" xfId="0" applyFont="1" applyFill="1" applyBorder="1" applyAlignment="1" applyProtection="1">
      <alignment horizontal="center" vertical="center"/>
      <protection locked="0"/>
    </xf>
    <xf numFmtId="0" fontId="295" fillId="0" borderId="241" xfId="18" quotePrefix="1" applyFont="1" applyFill="1" applyBorder="1" applyAlignment="1" applyProtection="1">
      <alignment horizontal="center" vertical="center"/>
      <protection locked="0"/>
    </xf>
    <xf numFmtId="0" fontId="320" fillId="0" borderId="225" xfId="0" applyNumberFormat="1" applyFont="1" applyFill="1" applyBorder="1" applyAlignment="1">
      <alignment horizontal="center" vertical="center"/>
    </xf>
    <xf numFmtId="0" fontId="320" fillId="0" borderId="229" xfId="0" applyNumberFormat="1" applyFont="1" applyFill="1" applyBorder="1" applyAlignment="1">
      <alignment horizontal="center" vertical="center"/>
    </xf>
    <xf numFmtId="3" fontId="320" fillId="0" borderId="304" xfId="21" applyNumberFormat="1" applyFont="1" applyFill="1" applyBorder="1" applyAlignment="1" applyProtection="1">
      <alignment horizontal="center" vertical="center" wrapText="1"/>
      <protection locked="0"/>
    </xf>
    <xf numFmtId="0" fontId="295" fillId="0" borderId="225" xfId="0" applyNumberFormat="1" applyFont="1" applyFill="1" applyBorder="1" applyAlignment="1">
      <alignment horizontal="center" vertical="center"/>
    </xf>
    <xf numFmtId="0" fontId="295" fillId="0" borderId="229" xfId="0" applyNumberFormat="1" applyFont="1" applyFill="1" applyBorder="1" applyAlignment="1">
      <alignment horizontal="center" vertical="center"/>
    </xf>
    <xf numFmtId="0" fontId="320" fillId="0" borderId="305" xfId="18" quotePrefix="1" applyFont="1" applyFill="1" applyBorder="1" applyAlignment="1" applyProtection="1">
      <alignment horizontal="left" vertical="center" wrapText="1"/>
      <protection locked="0"/>
    </xf>
    <xf numFmtId="0" fontId="295" fillId="0" borderId="225" xfId="18" applyNumberFormat="1" applyFont="1" applyFill="1" applyBorder="1" applyAlignment="1" applyProtection="1">
      <alignment horizontal="center" vertical="center"/>
      <protection locked="0"/>
    </xf>
    <xf numFmtId="0" fontId="295" fillId="0" borderId="229" xfId="18" applyNumberFormat="1" applyFont="1" applyFill="1" applyBorder="1" applyAlignment="1" applyProtection="1">
      <alignment horizontal="center" vertical="center"/>
      <protection locked="0"/>
    </xf>
    <xf numFmtId="0" fontId="320" fillId="0" borderId="225" xfId="18" applyNumberFormat="1" applyFont="1" applyBorder="1" applyAlignment="1" applyProtection="1">
      <alignment horizontal="center" vertical="center"/>
      <protection locked="0"/>
    </xf>
    <xf numFmtId="0" fontId="320" fillId="0" borderId="229" xfId="18" applyNumberFormat="1" applyFont="1" applyBorder="1" applyAlignment="1" applyProtection="1">
      <alignment horizontal="center" vertical="center"/>
      <protection locked="0"/>
    </xf>
    <xf numFmtId="0" fontId="320" fillId="0" borderId="305" xfId="18" quotePrefix="1" applyFont="1" applyBorder="1" applyAlignment="1" applyProtection="1">
      <alignment horizontal="left" vertical="center" wrapText="1"/>
      <protection locked="0"/>
    </xf>
    <xf numFmtId="0" fontId="320" fillId="0" borderId="241" xfId="0" applyFont="1" applyFill="1" applyBorder="1" applyAlignment="1" applyProtection="1">
      <alignment horizontal="center" vertical="center"/>
      <protection locked="0"/>
    </xf>
    <xf numFmtId="0" fontId="320" fillId="0" borderId="225" xfId="18" applyNumberFormat="1" applyFont="1" applyFill="1" applyBorder="1" applyAlignment="1" applyProtection="1">
      <alignment horizontal="center" vertical="center"/>
      <protection locked="0"/>
    </xf>
    <xf numFmtId="0" fontId="320" fillId="0" borderId="229" xfId="18" applyNumberFormat="1" applyFont="1" applyFill="1" applyBorder="1" applyAlignment="1" applyProtection="1">
      <alignment horizontal="center" vertical="center"/>
      <protection locked="0"/>
    </xf>
    <xf numFmtId="0" fontId="320" fillId="0" borderId="241" xfId="0" applyFont="1" applyBorder="1" applyAlignment="1" applyProtection="1">
      <alignment horizontal="center" vertical="center"/>
      <protection locked="0"/>
    </xf>
    <xf numFmtId="0" fontId="320" fillId="0" borderId="229" xfId="18" quotePrefix="1" applyNumberFormat="1" applyFont="1" applyFill="1" applyBorder="1" applyAlignment="1" applyProtection="1">
      <alignment horizontal="center" vertical="center"/>
      <protection locked="0"/>
    </xf>
    <xf numFmtId="0" fontId="320" fillId="0" borderId="225" xfId="0" applyNumberFormat="1" applyFont="1" applyFill="1" applyBorder="1" applyAlignment="1" applyProtection="1">
      <alignment horizontal="center" vertical="center"/>
      <protection locked="0"/>
    </xf>
    <xf numFmtId="0" fontId="320" fillId="0" borderId="229" xfId="0" applyNumberFormat="1" applyFont="1" applyFill="1" applyBorder="1" applyAlignment="1" applyProtection="1">
      <alignment horizontal="center" vertical="center"/>
      <protection locked="0"/>
    </xf>
    <xf numFmtId="0" fontId="295" fillId="0" borderId="229" xfId="0" applyNumberFormat="1" applyFont="1" applyFill="1" applyBorder="1" applyAlignment="1">
      <alignment horizontal="center" vertical="center" wrapText="1"/>
    </xf>
    <xf numFmtId="0" fontId="295" fillId="0" borderId="229" xfId="18" quotePrefix="1" applyNumberFormat="1" applyFont="1" applyFill="1" applyBorder="1" applyAlignment="1" applyProtection="1">
      <alignment horizontal="center" vertical="center"/>
      <protection locked="0"/>
    </xf>
    <xf numFmtId="0" fontId="295" fillId="0" borderId="241" xfId="0" applyNumberFormat="1" applyFont="1" applyFill="1" applyBorder="1" applyAlignment="1">
      <alignment horizontal="center" vertical="top"/>
    </xf>
    <xf numFmtId="176" fontId="353" fillId="0" borderId="241" xfId="20" applyNumberFormat="1" applyFont="1" applyFill="1" applyBorder="1" applyAlignment="1" applyProtection="1">
      <alignment horizontal="center" vertical="center" wrapText="1"/>
      <protection locked="0"/>
    </xf>
    <xf numFmtId="190" fontId="295" fillId="0" borderId="305" xfId="21" applyNumberFormat="1" applyFont="1" applyFill="1" applyBorder="1" applyAlignment="1" applyProtection="1">
      <alignment vertical="center" wrapText="1"/>
    </xf>
    <xf numFmtId="0" fontId="295" fillId="0" borderId="305" xfId="18" applyFont="1" applyFill="1" applyBorder="1" applyAlignment="1" applyProtection="1">
      <alignment horizontal="left" vertical="center" wrapText="1"/>
      <protection locked="0"/>
    </xf>
    <xf numFmtId="0" fontId="295" fillId="0" borderId="187" xfId="18" applyNumberFormat="1" applyFont="1" applyFill="1" applyBorder="1" applyAlignment="1" applyProtection="1">
      <alignment horizontal="center" vertical="center"/>
      <protection locked="0"/>
    </xf>
    <xf numFmtId="0" fontId="295" fillId="0" borderId="108" xfId="18" applyNumberFormat="1" applyFont="1" applyFill="1" applyBorder="1" applyAlignment="1" applyProtection="1">
      <alignment horizontal="center" vertical="center"/>
      <protection locked="0"/>
    </xf>
    <xf numFmtId="0" fontId="320" fillId="77" borderId="225" xfId="0" applyNumberFormat="1" applyFont="1" applyFill="1" applyBorder="1" applyAlignment="1">
      <alignment horizontal="center" vertical="center"/>
    </xf>
    <xf numFmtId="0" fontId="295" fillId="77" borderId="225" xfId="0" applyNumberFormat="1" applyFont="1" applyFill="1" applyBorder="1" applyAlignment="1">
      <alignment horizontal="center" vertical="center"/>
    </xf>
    <xf numFmtId="0" fontId="295" fillId="77" borderId="225" xfId="18" applyNumberFormat="1" applyFont="1" applyFill="1" applyBorder="1" applyAlignment="1" applyProtection="1">
      <alignment horizontal="center" vertical="center"/>
      <protection locked="0"/>
    </xf>
    <xf numFmtId="0" fontId="320" fillId="77" borderId="225" xfId="18" applyNumberFormat="1" applyFont="1" applyFill="1" applyBorder="1" applyAlignment="1" applyProtection="1">
      <alignment horizontal="center" vertical="center"/>
      <protection locked="0"/>
    </xf>
    <xf numFmtId="0" fontId="320" fillId="77" borderId="225" xfId="18" quotePrefix="1" applyNumberFormat="1" applyFont="1" applyFill="1" applyBorder="1" applyAlignment="1" applyProtection="1">
      <alignment horizontal="center" vertical="center"/>
      <protection locked="0"/>
    </xf>
    <xf numFmtId="0" fontId="295" fillId="77" borderId="225" xfId="0" applyNumberFormat="1" applyFont="1" applyFill="1" applyBorder="1" applyAlignment="1">
      <alignment horizontal="center" vertical="center" wrapText="1"/>
    </xf>
    <xf numFmtId="0" fontId="295" fillId="77" borderId="225" xfId="18" quotePrefix="1" applyNumberFormat="1" applyFont="1" applyFill="1" applyBorder="1" applyAlignment="1" applyProtection="1">
      <alignment horizontal="center" vertical="center"/>
      <protection locked="0"/>
    </xf>
    <xf numFmtId="0" fontId="293" fillId="0" borderId="0" xfId="0" applyFont="1" applyFill="1"/>
    <xf numFmtId="0" fontId="0" fillId="0" borderId="0" xfId="0" applyFill="1"/>
    <xf numFmtId="186" fontId="0" fillId="0" borderId="0" xfId="0" applyNumberFormat="1" applyFill="1" applyAlignment="1">
      <alignment horizontal="center"/>
    </xf>
    <xf numFmtId="0" fontId="0" fillId="0" borderId="0" xfId="0" applyFill="1" applyAlignment="1">
      <alignment horizontal="center"/>
    </xf>
    <xf numFmtId="0" fontId="0" fillId="0" borderId="241" xfId="0" applyFont="1" applyFill="1" applyBorder="1" applyAlignment="1">
      <alignment horizontal="center" vertical="center" wrapText="1"/>
    </xf>
    <xf numFmtId="0" fontId="0" fillId="0" borderId="241" xfId="0" applyFill="1" applyBorder="1" applyAlignment="1">
      <alignment horizontal="center" vertical="center" wrapText="1"/>
    </xf>
    <xf numFmtId="0" fontId="364" fillId="0" borderId="241" xfId="0" applyFont="1" applyFill="1" applyBorder="1" applyAlignment="1">
      <alignment horizontal="center" vertical="center" wrapText="1"/>
    </xf>
    <xf numFmtId="0" fontId="0" fillId="0" borderId="241" xfId="0" applyFill="1" applyBorder="1" applyAlignment="1">
      <alignment vertical="center" wrapText="1"/>
    </xf>
    <xf numFmtId="4" fontId="293" fillId="91" borderId="213" xfId="0" applyNumberFormat="1" applyFont="1" applyFill="1" applyBorder="1" applyAlignment="1">
      <alignment horizontal="center" vertical="center" wrapText="1"/>
    </xf>
    <xf numFmtId="0" fontId="293" fillId="91" borderId="213" xfId="0" applyFont="1" applyFill="1" applyBorder="1" applyAlignment="1">
      <alignment horizontal="center" vertical="center" wrapText="1"/>
    </xf>
    <xf numFmtId="0" fontId="293" fillId="0" borderId="213" xfId="0" applyFont="1" applyFill="1" applyBorder="1" applyAlignment="1">
      <alignment horizontal="center" vertical="center" wrapText="1"/>
    </xf>
    <xf numFmtId="0" fontId="0" fillId="0" borderId="241" xfId="0" applyFont="1" applyFill="1" applyBorder="1"/>
    <xf numFmtId="4" fontId="0" fillId="91" borderId="241" xfId="0" applyNumberFormat="1" applyFill="1" applyBorder="1" applyAlignment="1">
      <alignment horizontal="center" wrapText="1"/>
    </xf>
    <xf numFmtId="0" fontId="0" fillId="91" borderId="241" xfId="0" applyFill="1" applyBorder="1" applyAlignment="1">
      <alignment horizontal="center" wrapText="1"/>
    </xf>
    <xf numFmtId="164" fontId="0" fillId="0" borderId="241" xfId="1" applyNumberFormat="1" applyFont="1" applyFill="1" applyBorder="1" applyAlignment="1">
      <alignment horizontal="center" wrapText="1"/>
    </xf>
    <xf numFmtId="0" fontId="0" fillId="0" borderId="241" xfId="0" applyFill="1" applyBorder="1" applyAlignment="1">
      <alignment horizontal="center" wrapText="1"/>
    </xf>
    <xf numFmtId="0" fontId="0" fillId="0" borderId="241" xfId="0" applyFont="1" applyFill="1" applyBorder="1" applyAlignment="1">
      <alignment horizontal="left"/>
    </xf>
    <xf numFmtId="0" fontId="0" fillId="0" borderId="241" xfId="0" applyFont="1" applyFill="1" applyBorder="1" applyAlignment="1"/>
    <xf numFmtId="0" fontId="0" fillId="0" borderId="241" xfId="0" applyFill="1" applyBorder="1" applyAlignment="1">
      <alignment horizontal="center"/>
    </xf>
    <xf numFmtId="0" fontId="0" fillId="0" borderId="241" xfId="0" applyFill="1" applyBorder="1" applyAlignment="1">
      <alignment horizontal="left"/>
    </xf>
    <xf numFmtId="0" fontId="0" fillId="0" borderId="241" xfId="0" quotePrefix="1" applyFill="1" applyBorder="1" applyAlignment="1">
      <alignment horizontal="center"/>
    </xf>
    <xf numFmtId="0" fontId="319" fillId="0" borderId="241" xfId="0" applyFont="1" applyFill="1" applyBorder="1"/>
    <xf numFmtId="0" fontId="0" fillId="0" borderId="213" xfId="0" applyFont="1" applyFill="1" applyBorder="1"/>
    <xf numFmtId="0" fontId="0" fillId="0" borderId="213" xfId="0" applyFill="1" applyBorder="1"/>
    <xf numFmtId="4" fontId="0" fillId="91" borderId="213" xfId="0" applyNumberFormat="1" applyFill="1" applyBorder="1" applyAlignment="1">
      <alignment horizontal="center" wrapText="1"/>
    </xf>
    <xf numFmtId="0" fontId="0" fillId="91" borderId="213" xfId="0" applyFill="1" applyBorder="1" applyAlignment="1">
      <alignment horizontal="center" wrapText="1"/>
    </xf>
    <xf numFmtId="164" fontId="0" fillId="0" borderId="213" xfId="1" applyNumberFormat="1" applyFont="1" applyFill="1" applyBorder="1" applyAlignment="1">
      <alignment horizontal="center" wrapText="1"/>
    </xf>
    <xf numFmtId="0" fontId="0" fillId="0" borderId="213" xfId="0" applyFill="1" applyBorder="1" applyAlignment="1">
      <alignment horizontal="center" wrapText="1"/>
    </xf>
    <xf numFmtId="4" fontId="0" fillId="0" borderId="213" xfId="0" applyNumberFormat="1" applyFill="1" applyBorder="1" applyAlignment="1">
      <alignment horizontal="center" wrapText="1"/>
    </xf>
    <xf numFmtId="4" fontId="0" fillId="0" borderId="0" xfId="0" applyNumberFormat="1" applyFill="1" applyAlignment="1">
      <alignment horizontal="center" wrapText="1"/>
    </xf>
    <xf numFmtId="0" fontId="293" fillId="0" borderId="0" xfId="0" applyFont="1" applyFill="1" applyAlignment="1">
      <alignment horizontal="center"/>
    </xf>
    <xf numFmtId="0" fontId="0" fillId="0" borderId="0" xfId="0" applyFill="1" applyAlignment="1">
      <alignment horizontal="center" wrapText="1"/>
    </xf>
    <xf numFmtId="0" fontId="0" fillId="77" borderId="241" xfId="0" applyFont="1" applyFill="1" applyBorder="1"/>
    <xf numFmtId="0" fontId="0" fillId="77" borderId="241" xfId="0" applyFont="1" applyFill="1" applyBorder="1" applyAlignment="1">
      <alignment horizontal="left"/>
    </xf>
    <xf numFmtId="0" fontId="0" fillId="77" borderId="241" xfId="0" applyFill="1" applyBorder="1"/>
    <xf numFmtId="4" fontId="0" fillId="77" borderId="241" xfId="0" applyNumberFormat="1" applyFill="1" applyBorder="1" applyAlignment="1">
      <alignment horizontal="center" wrapText="1"/>
    </xf>
    <xf numFmtId="0" fontId="0" fillId="77" borderId="241" xfId="0" applyFill="1" applyBorder="1" applyAlignment="1">
      <alignment horizontal="center" wrapText="1"/>
    </xf>
    <xf numFmtId="164" fontId="0" fillId="77" borderId="241" xfId="1" applyNumberFormat="1" applyFont="1" applyFill="1" applyBorder="1" applyAlignment="1">
      <alignment horizontal="center" wrapText="1"/>
    </xf>
    <xf numFmtId="43" fontId="27" fillId="131" borderId="161" xfId="0" applyNumberFormat="1" applyFont="1" applyFill="1" applyBorder="1"/>
    <xf numFmtId="0" fontId="0" fillId="131" borderId="0" xfId="0" applyFill="1" applyAlignment="1">
      <alignment wrapText="1"/>
    </xf>
    <xf numFmtId="0" fontId="39" fillId="119" borderId="0" xfId="0" applyFont="1" applyFill="1" applyAlignment="1">
      <alignment vertical="center" wrapText="1"/>
    </xf>
    <xf numFmtId="0" fontId="39" fillId="130" borderId="0" xfId="0" applyFont="1" applyFill="1" applyAlignment="1">
      <alignment vertical="center" wrapText="1"/>
    </xf>
    <xf numFmtId="0" fontId="0" fillId="126" borderId="279" xfId="0" applyFill="1" applyBorder="1" applyAlignment="1">
      <alignment wrapText="1"/>
    </xf>
    <xf numFmtId="0" fontId="0" fillId="0" borderId="279" xfId="0" applyBorder="1" applyAlignment="1">
      <alignment wrapText="1"/>
    </xf>
    <xf numFmtId="43" fontId="27" fillId="119" borderId="279" xfId="0" applyNumberFormat="1" applyFont="1" applyFill="1" applyBorder="1"/>
    <xf numFmtId="0" fontId="0" fillId="0" borderId="279" xfId="0" applyBorder="1" applyAlignment="1">
      <alignment vertical="center" wrapText="1"/>
    </xf>
    <xf numFmtId="0" fontId="19" fillId="0" borderId="279" xfId="0" applyFont="1" applyBorder="1" applyAlignment="1">
      <alignment wrapText="1"/>
    </xf>
    <xf numFmtId="0" fontId="19" fillId="126" borderId="279" xfId="0" applyFont="1" applyFill="1" applyBorder="1" applyAlignment="1">
      <alignment wrapText="1"/>
    </xf>
    <xf numFmtId="43" fontId="27" fillId="131" borderId="279" xfId="0" applyNumberFormat="1" applyFont="1" applyFill="1" applyBorder="1"/>
    <xf numFmtId="0" fontId="0" fillId="0" borderId="279" xfId="0" applyFill="1" applyBorder="1" applyAlignment="1">
      <alignment vertical="center" wrapText="1"/>
    </xf>
    <xf numFmtId="0" fontId="19" fillId="0" borderId="279" xfId="0" applyFont="1" applyBorder="1" applyAlignment="1">
      <alignment vertical="center" wrapText="1"/>
    </xf>
    <xf numFmtId="0" fontId="0" fillId="90" borderId="0" xfId="0" applyFill="1" applyAlignment="1">
      <alignment wrapText="1"/>
    </xf>
    <xf numFmtId="0" fontId="0" fillId="90" borderId="0" xfId="0" applyFill="1" applyAlignment="1">
      <alignment horizontal="center" vertical="center" wrapText="1"/>
    </xf>
    <xf numFmtId="0" fontId="0" fillId="90" borderId="0" xfId="0" applyFill="1" applyAlignment="1">
      <alignment vertical="center" wrapText="1"/>
    </xf>
    <xf numFmtId="0" fontId="0" fillId="90" borderId="0" xfId="0" applyFill="1" applyAlignment="1">
      <alignment horizontal="center" wrapText="1"/>
    </xf>
    <xf numFmtId="43" fontId="0" fillId="98" borderId="0" xfId="0" applyNumberFormat="1" applyFill="1" applyAlignment="1">
      <alignment wrapText="1"/>
    </xf>
    <xf numFmtId="43" fontId="0" fillId="130" borderId="0" xfId="0" applyNumberFormat="1" applyFill="1" applyAlignment="1">
      <alignment wrapText="1"/>
    </xf>
    <xf numFmtId="0" fontId="39" fillId="77" borderId="306" xfId="0" applyFont="1" applyFill="1" applyBorder="1" applyAlignment="1">
      <alignment horizontal="center" vertical="center" wrapText="1"/>
    </xf>
    <xf numFmtId="0" fontId="39" fillId="77" borderId="307" xfId="0" applyFont="1" applyFill="1" applyBorder="1" applyAlignment="1">
      <alignment vertical="center" wrapText="1"/>
    </xf>
    <xf numFmtId="0" fontId="39" fillId="77" borderId="308" xfId="0" applyFont="1" applyFill="1" applyBorder="1" applyAlignment="1">
      <alignment vertical="center" wrapText="1"/>
    </xf>
    <xf numFmtId="0" fontId="0" fillId="126" borderId="278" xfId="0" applyFill="1" applyBorder="1" applyAlignment="1">
      <alignment horizontal="center" vertical="center" wrapText="1"/>
    </xf>
    <xf numFmtId="0" fontId="0" fillId="0" borderId="277" xfId="0" applyBorder="1" applyAlignment="1">
      <alignment wrapText="1"/>
    </xf>
    <xf numFmtId="0" fontId="0" fillId="0" borderId="278" xfId="0" applyBorder="1" applyAlignment="1">
      <alignment horizontal="center" vertical="center" wrapText="1"/>
    </xf>
    <xf numFmtId="0" fontId="19" fillId="126" borderId="278" xfId="0" applyFont="1" applyFill="1" applyBorder="1" applyAlignment="1">
      <alignment horizontal="center" vertical="center" wrapText="1"/>
    </xf>
    <xf numFmtId="0" fontId="19" fillId="0" borderId="278" xfId="0" applyFont="1" applyBorder="1" applyAlignment="1">
      <alignment horizontal="center" vertical="center" wrapText="1"/>
    </xf>
    <xf numFmtId="0" fontId="0" fillId="0" borderId="277" xfId="0" applyBorder="1" applyAlignment="1">
      <alignment vertical="center" wrapText="1"/>
    </xf>
    <xf numFmtId="0" fontId="0" fillId="0" borderId="285" xfId="0" applyBorder="1" applyAlignment="1">
      <alignment wrapText="1"/>
    </xf>
    <xf numFmtId="0" fontId="0" fillId="0" borderId="285" xfId="0" applyBorder="1" applyAlignment="1">
      <alignment vertical="center" wrapText="1"/>
    </xf>
    <xf numFmtId="0" fontId="0" fillId="0" borderId="309" xfId="0" applyBorder="1" applyAlignment="1">
      <alignment vertical="center" wrapText="1"/>
    </xf>
    <xf numFmtId="0" fontId="39" fillId="77" borderId="310" xfId="0" applyFont="1" applyFill="1" applyBorder="1" applyAlignment="1">
      <alignment horizontal="center" vertical="center" wrapText="1"/>
    </xf>
    <xf numFmtId="0" fontId="0" fillId="126" borderId="311" xfId="0" applyFill="1" applyBorder="1" applyAlignment="1">
      <alignment horizontal="center" vertical="center" wrapText="1"/>
    </xf>
    <xf numFmtId="0" fontId="0" fillId="0" borderId="311" xfId="0" applyBorder="1" applyAlignment="1">
      <alignment horizontal="center" vertical="center" wrapText="1"/>
    </xf>
    <xf numFmtId="0" fontId="19" fillId="126" borderId="311" xfId="0" applyFont="1" applyFill="1" applyBorder="1" applyAlignment="1">
      <alignment horizontal="center" vertical="center" wrapText="1"/>
    </xf>
    <xf numFmtId="0" fontId="19" fillId="0" borderId="311" xfId="0" applyFont="1" applyBorder="1" applyAlignment="1">
      <alignment horizontal="center" vertical="center" wrapText="1"/>
    </xf>
    <xf numFmtId="0" fontId="0" fillId="0" borderId="311" xfId="0" applyBorder="1" applyAlignment="1">
      <alignment horizontal="center" wrapText="1"/>
    </xf>
    <xf numFmtId="0" fontId="0" fillId="0" borderId="286" xfId="0" applyBorder="1" applyAlignment="1">
      <alignment horizontal="center" wrapText="1"/>
    </xf>
    <xf numFmtId="0" fontId="0" fillId="0" borderId="284" xfId="0" applyBorder="1" applyAlignment="1">
      <alignment horizontal="center" vertical="center" wrapText="1"/>
    </xf>
    <xf numFmtId="43" fontId="27" fillId="119" borderId="285" xfId="0" applyNumberFormat="1" applyFont="1" applyFill="1" applyBorder="1"/>
    <xf numFmtId="0" fontId="19" fillId="0" borderId="279" xfId="0" quotePrefix="1" applyFont="1" applyBorder="1" applyAlignment="1">
      <alignment wrapText="1"/>
    </xf>
    <xf numFmtId="0" fontId="0" fillId="0" borderId="0" xfId="0" applyAlignment="1">
      <alignment horizontal="center" vertical="center" wrapText="1"/>
    </xf>
    <xf numFmtId="0" fontId="83" fillId="0" borderId="241" xfId="0" applyFont="1" applyBorder="1" applyAlignment="1">
      <alignment horizontal="left" vertical="center"/>
    </xf>
    <xf numFmtId="41" fontId="83" fillId="118" borderId="241" xfId="1" applyNumberFormat="1" applyFont="1" applyFill="1" applyBorder="1" applyAlignment="1">
      <alignment horizontal="left" vertical="center"/>
    </xf>
    <xf numFmtId="43" fontId="83" fillId="118" borderId="241" xfId="1" applyFont="1" applyFill="1" applyBorder="1" applyAlignment="1">
      <alignment horizontal="left" vertical="center"/>
    </xf>
    <xf numFmtId="0" fontId="83" fillId="90" borderId="241" xfId="0" applyFont="1" applyFill="1" applyBorder="1" applyAlignment="1">
      <alignment horizontal="left" vertical="center"/>
    </xf>
    <xf numFmtId="0" fontId="83" fillId="90" borderId="241" xfId="0" applyFont="1" applyFill="1" applyBorder="1" applyAlignment="1">
      <alignment horizontal="center" vertical="center"/>
    </xf>
    <xf numFmtId="0" fontId="0" fillId="0" borderId="241" xfId="0" applyBorder="1" applyAlignment="1">
      <alignment vertical="center" wrapText="1"/>
    </xf>
    <xf numFmtId="0" fontId="39" fillId="90" borderId="0" xfId="0" applyFont="1" applyFill="1" applyAlignment="1">
      <alignment wrapText="1"/>
    </xf>
    <xf numFmtId="0" fontId="0" fillId="90" borderId="241" xfId="0" applyFont="1" applyFill="1" applyBorder="1"/>
    <xf numFmtId="0" fontId="0" fillId="90" borderId="241" xfId="0" applyFont="1" applyFill="1" applyBorder="1" applyAlignment="1">
      <alignment horizontal="left"/>
    </xf>
    <xf numFmtId="0" fontId="0" fillId="90" borderId="241" xfId="0" applyFill="1" applyBorder="1"/>
    <xf numFmtId="4" fontId="0" fillId="90" borderId="241" xfId="0" applyNumberFormat="1" applyFill="1" applyBorder="1" applyAlignment="1">
      <alignment horizontal="center" wrapText="1"/>
    </xf>
    <xf numFmtId="0" fontId="0" fillId="90" borderId="241" xfId="0" applyFill="1" applyBorder="1" applyAlignment="1">
      <alignment horizontal="center" wrapText="1"/>
    </xf>
    <xf numFmtId="164" fontId="0" fillId="90" borderId="241" xfId="1" applyNumberFormat="1" applyFont="1" applyFill="1" applyBorder="1" applyAlignment="1">
      <alignment horizontal="center" wrapText="1"/>
    </xf>
    <xf numFmtId="0" fontId="346" fillId="93" borderId="231" xfId="0" applyFont="1" applyFill="1" applyBorder="1" applyAlignment="1">
      <alignment horizontal="left" wrapText="1"/>
    </xf>
    <xf numFmtId="0" fontId="312" fillId="93" borderId="0" xfId="0" applyFont="1" applyFill="1" applyBorder="1" applyAlignment="1">
      <alignment horizontal="center"/>
    </xf>
    <xf numFmtId="0" fontId="325" fillId="93" borderId="0" xfId="0" applyFont="1" applyFill="1" applyBorder="1" applyAlignment="1">
      <alignment horizontal="center" wrapText="1"/>
    </xf>
    <xf numFmtId="0" fontId="312" fillId="93" borderId="206" xfId="0" applyFont="1" applyFill="1" applyBorder="1" applyAlignment="1">
      <alignment horizontal="center"/>
    </xf>
    <xf numFmtId="0" fontId="312" fillId="93" borderId="231" xfId="0" applyFont="1" applyFill="1" applyBorder="1" applyAlignment="1">
      <alignment horizontal="center"/>
    </xf>
    <xf numFmtId="0" fontId="18" fillId="90" borderId="224" xfId="0" applyFont="1" applyFill="1" applyBorder="1" applyAlignment="1">
      <alignment vertical="center"/>
    </xf>
    <xf numFmtId="0" fontId="18" fillId="90" borderId="231" xfId="0" applyFont="1" applyFill="1" applyBorder="1" applyAlignment="1">
      <alignment vertical="center"/>
    </xf>
    <xf numFmtId="0" fontId="18" fillId="90" borderId="231" xfId="0" applyFont="1" applyFill="1" applyBorder="1" applyAlignment="1">
      <alignment horizontal="left" vertical="center"/>
    </xf>
    <xf numFmtId="0" fontId="27" fillId="90" borderId="231" xfId="0" applyFont="1" applyFill="1" applyBorder="1" applyAlignment="1">
      <alignment vertical="center"/>
    </xf>
    <xf numFmtId="0" fontId="27" fillId="90" borderId="231" xfId="0" applyFont="1" applyFill="1" applyBorder="1" applyAlignment="1">
      <alignment horizontal="left" vertical="center"/>
    </xf>
    <xf numFmtId="0" fontId="18" fillId="90" borderId="201" xfId="0" applyFont="1" applyFill="1" applyBorder="1" applyAlignment="1">
      <alignment vertical="center"/>
    </xf>
    <xf numFmtId="0" fontId="18" fillId="90" borderId="239" xfId="0" applyFont="1" applyFill="1" applyBorder="1" applyAlignment="1">
      <alignment vertical="center"/>
    </xf>
    <xf numFmtId="0" fontId="347" fillId="93" borderId="317" xfId="0" applyFont="1" applyFill="1" applyBorder="1" applyAlignment="1">
      <alignment horizontal="center"/>
    </xf>
    <xf numFmtId="0" fontId="325" fillId="93" borderId="76" xfId="0" applyFont="1" applyFill="1" applyBorder="1" applyAlignment="1">
      <alignment horizontal="center"/>
    </xf>
    <xf numFmtId="0" fontId="352" fillId="93" borderId="209" xfId="0" applyFont="1" applyFill="1" applyBorder="1" applyAlignment="1">
      <alignment horizontal="center"/>
    </xf>
    <xf numFmtId="0" fontId="347" fillId="93" borderId="315" xfId="0" applyFont="1" applyFill="1" applyBorder="1" applyAlignment="1">
      <alignment horizontal="center" vertical="center" wrapText="1"/>
    </xf>
    <xf numFmtId="0" fontId="347" fillId="93" borderId="316" xfId="0" applyFont="1" applyFill="1" applyBorder="1" applyAlignment="1">
      <alignment horizontal="center" vertical="center" wrapText="1"/>
    </xf>
    <xf numFmtId="0" fontId="347" fillId="93" borderId="319" xfId="0" applyFont="1" applyFill="1" applyBorder="1" applyAlignment="1">
      <alignment horizontal="center" vertical="center" wrapText="1"/>
    </xf>
    <xf numFmtId="0" fontId="347" fillId="93" borderId="321" xfId="0" applyFont="1" applyFill="1" applyBorder="1" applyAlignment="1">
      <alignment horizontal="center"/>
    </xf>
    <xf numFmtId="4" fontId="19" fillId="0" borderId="0" xfId="0" applyNumberFormat="1" applyFont="1" applyFill="1" applyAlignment="1">
      <alignment horizontal="center" wrapText="1"/>
    </xf>
    <xf numFmtId="191" fontId="365" fillId="127" borderId="241" xfId="0" applyNumberFormat="1" applyFont="1" applyFill="1" applyBorder="1" applyAlignment="1">
      <alignment horizontal="center"/>
    </xf>
    <xf numFmtId="1" fontId="365" fillId="127" borderId="241" xfId="0" applyNumberFormat="1" applyFont="1" applyFill="1" applyBorder="1" applyAlignment="1">
      <alignment horizontal="center"/>
    </xf>
    <xf numFmtId="43" fontId="365" fillId="127" borderId="241" xfId="0" applyNumberFormat="1" applyFont="1" applyFill="1" applyBorder="1"/>
    <xf numFmtId="191" fontId="365" fillId="127" borderId="217" xfId="0" applyNumberFormat="1" applyFont="1" applyFill="1" applyBorder="1" applyAlignment="1">
      <alignment horizontal="center"/>
    </xf>
    <xf numFmtId="191" fontId="365" fillId="119" borderId="241" xfId="0" applyNumberFormat="1" applyFont="1" applyFill="1" applyBorder="1" applyAlignment="1">
      <alignment horizontal="center"/>
    </xf>
    <xf numFmtId="1" fontId="365" fillId="119" borderId="241" xfId="0" applyNumberFormat="1" applyFont="1" applyFill="1" applyBorder="1" applyAlignment="1">
      <alignment horizontal="center"/>
    </xf>
    <xf numFmtId="191" fontId="365" fillId="93" borderId="241" xfId="0" applyNumberFormat="1" applyFont="1" applyFill="1" applyBorder="1" applyAlignment="1">
      <alignment horizontal="center"/>
    </xf>
    <xf numFmtId="1" fontId="365" fillId="93" borderId="241" xfId="0" applyNumberFormat="1" applyFont="1" applyFill="1" applyBorder="1" applyAlignment="1">
      <alignment horizontal="center"/>
    </xf>
    <xf numFmtId="43" fontId="365" fillId="93" borderId="229" xfId="0" applyNumberFormat="1" applyFont="1" applyFill="1" applyBorder="1"/>
    <xf numFmtId="191" fontId="365" fillId="93" borderId="217" xfId="0" applyNumberFormat="1" applyFont="1" applyFill="1" applyBorder="1" applyAlignment="1">
      <alignment horizontal="center"/>
    </xf>
    <xf numFmtId="43" fontId="365" fillId="93" borderId="202" xfId="0" applyNumberFormat="1" applyFont="1" applyFill="1" applyBorder="1"/>
    <xf numFmtId="43" fontId="365" fillId="119" borderId="241" xfId="0" applyNumberFormat="1" applyFont="1" applyFill="1" applyBorder="1"/>
    <xf numFmtId="43" fontId="0" fillId="93" borderId="0" xfId="0" applyNumberFormat="1" applyFill="1" applyAlignment="1">
      <alignment wrapText="1"/>
    </xf>
    <xf numFmtId="43" fontId="27" fillId="93" borderId="161" xfId="0" applyNumberFormat="1" applyFont="1" applyFill="1" applyBorder="1"/>
    <xf numFmtId="0" fontId="346" fillId="93" borderId="223" xfId="0" applyFont="1" applyFill="1" applyBorder="1" applyAlignment="1">
      <alignment horizontal="center" vertical="center"/>
    </xf>
    <xf numFmtId="0" fontId="42" fillId="93" borderId="201" xfId="0" applyFont="1" applyFill="1" applyBorder="1" applyAlignment="1">
      <alignment vertical="center"/>
    </xf>
    <xf numFmtId="0" fontId="42" fillId="93" borderId="196" xfId="0" applyFont="1" applyFill="1" applyBorder="1" applyAlignment="1">
      <alignment horizontal="left" vertical="center" indent="1"/>
    </xf>
    <xf numFmtId="0" fontId="19" fillId="0" borderId="241" xfId="0" applyFont="1" applyFill="1" applyBorder="1" applyAlignment="1"/>
    <xf numFmtId="0" fontId="332" fillId="0" borderId="231" xfId="0" applyFont="1" applyFill="1" applyBorder="1" applyAlignment="1">
      <alignment vertical="center"/>
    </xf>
    <xf numFmtId="0" fontId="69" fillId="0" borderId="241" xfId="0" applyFont="1" applyFill="1" applyBorder="1" applyAlignment="1">
      <alignment horizontal="center" vertical="center"/>
    </xf>
    <xf numFmtId="4" fontId="83" fillId="0" borderId="241" xfId="0" applyNumberFormat="1" applyFont="1" applyFill="1" applyBorder="1" applyAlignment="1">
      <alignment horizontal="center" vertical="center"/>
    </xf>
    <xf numFmtId="170" fontId="83" fillId="0" borderId="241" xfId="0" applyNumberFormat="1" applyFont="1" applyFill="1" applyBorder="1" applyAlignment="1">
      <alignment horizontal="center" vertical="center"/>
    </xf>
    <xf numFmtId="43" fontId="83" fillId="93" borderId="241" xfId="0" applyNumberFormat="1" applyFont="1" applyFill="1" applyBorder="1" applyAlignment="1">
      <alignment horizontal="center" vertical="center"/>
    </xf>
    <xf numFmtId="43" fontId="83" fillId="93" borderId="241" xfId="0" applyNumberFormat="1" applyFont="1" applyFill="1" applyBorder="1" applyAlignment="1">
      <alignment vertical="center"/>
    </xf>
    <xf numFmtId="43" fontId="83" fillId="97" borderId="241" xfId="0" applyNumberFormat="1" applyFont="1" applyFill="1" applyBorder="1" applyAlignment="1">
      <alignment vertical="center"/>
    </xf>
    <xf numFmtId="43" fontId="83" fillId="118" borderId="241" xfId="0" applyNumberFormat="1" applyFont="1" applyFill="1" applyBorder="1" applyAlignment="1">
      <alignment vertical="center"/>
    </xf>
    <xf numFmtId="43" fontId="83" fillId="96" borderId="241" xfId="0" applyNumberFormat="1" applyFont="1" applyFill="1" applyBorder="1" applyAlignment="1">
      <alignment vertical="center"/>
    </xf>
    <xf numFmtId="0" fontId="18" fillId="90" borderId="223" xfId="0" applyFont="1" applyFill="1" applyBorder="1" applyAlignment="1">
      <alignment horizontal="left" vertical="center" indent="1"/>
    </xf>
    <xf numFmtId="0" fontId="18" fillId="90" borderId="0" xfId="0" applyFont="1" applyFill="1" applyBorder="1" applyAlignment="1">
      <alignment horizontal="left" vertical="center" indent="1"/>
    </xf>
    <xf numFmtId="0" fontId="27" fillId="90" borderId="0" xfId="0" applyFont="1" applyFill="1" applyBorder="1" applyAlignment="1">
      <alignment horizontal="left" vertical="center" indent="1"/>
    </xf>
    <xf numFmtId="0" fontId="18" fillId="90" borderId="239" xfId="0" applyFont="1" applyFill="1" applyBorder="1" applyAlignment="1">
      <alignment horizontal="left" vertical="center" indent="1"/>
    </xf>
    <xf numFmtId="0" fontId="347" fillId="96" borderId="227" xfId="0" applyFont="1" applyFill="1" applyBorder="1" applyAlignment="1">
      <alignment horizontal="center" vertical="center" wrapText="1"/>
    </xf>
    <xf numFmtId="0" fontId="347" fillId="96" borderId="322" xfId="0" applyFont="1" applyFill="1" applyBorder="1" applyAlignment="1">
      <alignment horizontal="center" vertical="center" wrapText="1"/>
    </xf>
    <xf numFmtId="0" fontId="347" fillId="112" borderId="227" xfId="0" applyFont="1" applyFill="1" applyBorder="1" applyAlignment="1">
      <alignment horizontal="center" vertical="center" wrapText="1"/>
    </xf>
    <xf numFmtId="0" fontId="347" fillId="112" borderId="65" xfId="0" applyFont="1" applyFill="1" applyBorder="1" applyAlignment="1">
      <alignment horizontal="center" vertical="center" wrapText="1"/>
    </xf>
    <xf numFmtId="4" fontId="83" fillId="90" borderId="0" xfId="0" applyNumberFormat="1" applyFont="1" applyFill="1" applyBorder="1" applyAlignment="1">
      <alignment vertical="center"/>
    </xf>
    <xf numFmtId="8" fontId="358" fillId="88" borderId="241" xfId="0" applyNumberFormat="1" applyFont="1" applyFill="1" applyBorder="1" applyAlignment="1">
      <alignment wrapText="1"/>
    </xf>
    <xf numFmtId="0" fontId="358" fillId="88" borderId="241" xfId="0" applyFont="1" applyFill="1" applyBorder="1" applyAlignment="1">
      <alignment wrapText="1"/>
    </xf>
    <xf numFmtId="185" fontId="293" fillId="0" borderId="223" xfId="1" applyNumberFormat="1" applyFont="1" applyBorder="1" applyAlignment="1">
      <alignment vertical="center"/>
    </xf>
    <xf numFmtId="185" fontId="293" fillId="0" borderId="239" xfId="1" applyNumberFormat="1" applyFont="1" applyBorder="1" applyAlignment="1">
      <alignment vertical="center"/>
    </xf>
    <xf numFmtId="0" fontId="19" fillId="0" borderId="241" xfId="4" applyBorder="1" applyAlignment="1">
      <alignment horizontal="center" wrapText="1"/>
    </xf>
    <xf numFmtId="0" fontId="83" fillId="0" borderId="241" xfId="0" applyFont="1" applyBorder="1" applyAlignment="1">
      <alignment horizontal="left" vertical="center"/>
    </xf>
    <xf numFmtId="0" fontId="18" fillId="124" borderId="227" xfId="0" applyFont="1" applyFill="1" applyBorder="1" applyAlignment="1">
      <alignment horizontal="center"/>
    </xf>
    <xf numFmtId="0" fontId="18" fillId="124" borderId="13" xfId="0" applyFont="1" applyFill="1" applyBorder="1" applyAlignment="1">
      <alignment horizontal="center"/>
    </xf>
    <xf numFmtId="0" fontId="18" fillId="124" borderId="322" xfId="0" applyFont="1" applyFill="1" applyBorder="1" applyAlignment="1">
      <alignment horizontal="center"/>
    </xf>
    <xf numFmtId="0" fontId="18" fillId="124" borderId="65" xfId="0" applyFont="1" applyFill="1" applyBorder="1" applyAlignment="1">
      <alignment horizontal="center"/>
    </xf>
    <xf numFmtId="0" fontId="0" fillId="90" borderId="0" xfId="0" applyFill="1" applyAlignment="1">
      <alignment horizontal="left" wrapText="1"/>
    </xf>
    <xf numFmtId="0" fontId="0" fillId="90" borderId="0" xfId="0" applyFill="1" applyAlignment="1"/>
    <xf numFmtId="0" fontId="39" fillId="77" borderId="306" xfId="0" applyFont="1" applyFill="1" applyBorder="1" applyAlignment="1">
      <alignment vertical="center" wrapText="1"/>
    </xf>
    <xf numFmtId="43" fontId="27" fillId="119" borderId="277" xfId="0" applyNumberFormat="1" applyFont="1" applyFill="1" applyBorder="1"/>
    <xf numFmtId="43" fontId="27" fillId="119" borderId="309" xfId="0" applyNumberFormat="1" applyFont="1" applyFill="1" applyBorder="1"/>
    <xf numFmtId="0" fontId="25" fillId="0" borderId="198" xfId="0" applyFont="1" applyBorder="1"/>
    <xf numFmtId="0" fontId="33" fillId="0" borderId="217" xfId="0" applyFont="1" applyBorder="1"/>
    <xf numFmtId="43" fontId="27" fillId="119" borderId="0" xfId="0" applyNumberFormat="1" applyFont="1" applyFill="1" applyBorder="1"/>
    <xf numFmtId="0" fontId="25" fillId="125" borderId="225" xfId="0" applyFont="1" applyFill="1" applyBorder="1"/>
    <xf numFmtId="0" fontId="18" fillId="125" borderId="241" xfId="0" applyFont="1" applyFill="1" applyBorder="1"/>
    <xf numFmtId="0" fontId="33" fillId="125" borderId="241" xfId="0" applyFont="1" applyFill="1" applyBorder="1"/>
    <xf numFmtId="0" fontId="0" fillId="125" borderId="231" xfId="0" applyFill="1" applyBorder="1" applyAlignment="1"/>
    <xf numFmtId="0" fontId="25" fillId="125" borderId="198" xfId="0" applyFont="1" applyFill="1" applyBorder="1"/>
    <xf numFmtId="0" fontId="33" fillId="125" borderId="217" xfId="0" applyFont="1" applyFill="1" applyBorder="1"/>
    <xf numFmtId="0" fontId="393" fillId="100" borderId="241" xfId="0" applyFont="1" applyFill="1" applyBorder="1" applyAlignment="1">
      <alignment horizontal="center" vertical="center"/>
    </xf>
    <xf numFmtId="0" fontId="393" fillId="100" borderId="241" xfId="0" applyFont="1" applyFill="1" applyBorder="1" applyAlignment="1">
      <alignment vertical="center"/>
    </xf>
    <xf numFmtId="0" fontId="394" fillId="100" borderId="241" xfId="0" applyFont="1" applyFill="1" applyBorder="1" applyAlignment="1">
      <alignment horizontal="center" vertical="center"/>
    </xf>
    <xf numFmtId="0" fontId="394" fillId="100" borderId="241" xfId="0" applyFont="1" applyFill="1" applyBorder="1" applyAlignment="1">
      <alignment vertical="center"/>
    </xf>
    <xf numFmtId="0" fontId="395" fillId="100" borderId="241" xfId="0" applyFont="1" applyFill="1" applyBorder="1" applyAlignment="1">
      <alignment horizontal="center" vertical="center"/>
    </xf>
    <xf numFmtId="0" fontId="395" fillId="100" borderId="241" xfId="0" applyFont="1" applyFill="1" applyBorder="1" applyAlignment="1">
      <alignment vertical="center"/>
    </xf>
    <xf numFmtId="0" fontId="395" fillId="100" borderId="241" xfId="0" applyFont="1" applyFill="1" applyBorder="1" applyAlignment="1">
      <alignment vertical="center" wrapText="1"/>
    </xf>
    <xf numFmtId="0" fontId="393" fillId="100" borderId="241" xfId="0" applyFont="1" applyFill="1" applyBorder="1" applyAlignment="1">
      <alignment horizontal="left" vertical="center"/>
    </xf>
    <xf numFmtId="0" fontId="394" fillId="100" borderId="241" xfId="0" applyFont="1" applyFill="1" applyBorder="1" applyAlignment="1">
      <alignment horizontal="left" vertical="center"/>
    </xf>
    <xf numFmtId="0" fontId="395" fillId="100" borderId="241" xfId="0" applyFont="1" applyFill="1" applyBorder="1" applyAlignment="1">
      <alignment horizontal="left" vertical="center"/>
    </xf>
    <xf numFmtId="43" fontId="27" fillId="90" borderId="0" xfId="0" applyNumberFormat="1" applyFont="1" applyFill="1" applyBorder="1"/>
    <xf numFmtId="43" fontId="39" fillId="77" borderId="0" xfId="0" applyNumberFormat="1" applyFont="1" applyFill="1" applyAlignment="1">
      <alignment wrapText="1"/>
    </xf>
    <xf numFmtId="0" fontId="27" fillId="0" borderId="305" xfId="18" applyFont="1" applyFill="1" applyBorder="1" applyAlignment="1" applyProtection="1">
      <alignment horizontal="left" vertical="center" wrapText="1"/>
      <protection locked="0"/>
    </xf>
    <xf numFmtId="182" fontId="356" fillId="77" borderId="241" xfId="0" applyNumberFormat="1" applyFont="1" applyFill="1" applyBorder="1"/>
    <xf numFmtId="0" fontId="18" fillId="0" borderId="0" xfId="0" applyFont="1" applyAlignment="1">
      <alignment vertical="center"/>
    </xf>
    <xf numFmtId="182" fontId="356" fillId="77" borderId="241" xfId="0" applyNumberFormat="1" applyFont="1" applyFill="1" applyBorder="1" applyAlignment="1">
      <alignment vertical="center"/>
    </xf>
    <xf numFmtId="167" fontId="18" fillId="89" borderId="0" xfId="0" applyNumberFormat="1" applyFont="1" applyFill="1" applyBorder="1" applyAlignment="1">
      <alignment horizontal="center" vertical="center"/>
    </xf>
    <xf numFmtId="167" fontId="127" fillId="89" borderId="0" xfId="0" applyNumberFormat="1" applyFont="1" applyFill="1" applyBorder="1" applyAlignment="1">
      <alignment horizontal="left" vertical="center"/>
    </xf>
    <xf numFmtId="0" fontId="18" fillId="90" borderId="216" xfId="0" applyFont="1" applyFill="1" applyBorder="1"/>
    <xf numFmtId="0" fontId="248" fillId="90" borderId="218" xfId="0" applyFont="1" applyFill="1" applyBorder="1"/>
    <xf numFmtId="43" fontId="248" fillId="90" borderId="234" xfId="1" applyFont="1" applyFill="1" applyBorder="1"/>
    <xf numFmtId="167" fontId="18" fillId="89" borderId="0" xfId="0" applyNumberFormat="1" applyFont="1" applyFill="1" applyBorder="1" applyAlignment="1">
      <alignment horizontal="left" vertical="center"/>
    </xf>
    <xf numFmtId="2" fontId="18" fillId="89" borderId="0" xfId="0" applyNumberFormat="1" applyFont="1" applyFill="1" applyBorder="1" applyAlignment="1">
      <alignment horizontal="center" vertical="center"/>
    </xf>
    <xf numFmtId="0" fontId="18" fillId="89" borderId="0" xfId="0" applyFont="1" applyFill="1" applyBorder="1" applyAlignment="1">
      <alignment horizontal="left" vertical="center"/>
    </xf>
    <xf numFmtId="167" fontId="18" fillId="74" borderId="221" xfId="0" applyNumberFormat="1" applyFont="1" applyFill="1" applyBorder="1" applyAlignment="1">
      <alignment horizontal="center"/>
    </xf>
    <xf numFmtId="0" fontId="322" fillId="89" borderId="0" xfId="9" applyFill="1" applyAlignment="1" applyProtection="1"/>
    <xf numFmtId="2" fontId="396" fillId="89" borderId="0" xfId="0" applyNumberFormat="1" applyFont="1" applyFill="1" applyBorder="1" applyAlignment="1">
      <alignment horizontal="center" vertical="center" wrapText="1"/>
    </xf>
    <xf numFmtId="0" fontId="31" fillId="89" borderId="0" xfId="0" applyFont="1" applyFill="1" applyBorder="1" applyAlignment="1">
      <alignment horizontal="left" vertical="center"/>
    </xf>
    <xf numFmtId="0" fontId="351" fillId="89" borderId="0" xfId="0" applyFont="1" applyFill="1" applyBorder="1" applyAlignment="1">
      <alignment horizontal="left" vertical="center"/>
    </xf>
    <xf numFmtId="167" fontId="0" fillId="89" borderId="0" xfId="0" applyNumberFormat="1" applyFill="1" applyAlignment="1">
      <alignment horizontal="center" vertical="center" wrapText="1"/>
    </xf>
    <xf numFmtId="0" fontId="19" fillId="89" borderId="0" xfId="0" applyFont="1" applyFill="1" applyAlignment="1">
      <alignment horizontal="center" wrapText="1"/>
    </xf>
    <xf numFmtId="0" fontId="397" fillId="0" borderId="0" xfId="0" applyFont="1" applyAlignment="1">
      <alignment wrapText="1"/>
    </xf>
    <xf numFmtId="0" fontId="365" fillId="90" borderId="147" xfId="0" applyFont="1" applyFill="1" applyBorder="1"/>
    <xf numFmtId="0" fontId="365" fillId="90" borderId="228" xfId="0" applyFont="1" applyFill="1" applyBorder="1"/>
    <xf numFmtId="43" fontId="365" fillId="90" borderId="27" xfId="1" applyFont="1" applyFill="1" applyBorder="1"/>
    <xf numFmtId="0" fontId="19" fillId="74" borderId="236" xfId="0" applyFont="1" applyFill="1" applyBorder="1" applyAlignment="1">
      <alignment horizontal="center" vertical="center" wrapText="1"/>
    </xf>
    <xf numFmtId="1" fontId="97" fillId="96" borderId="232" xfId="0" applyNumberFormat="1" applyFont="1" applyFill="1" applyBorder="1" applyAlignment="1">
      <alignment horizontal="center" vertical="center" wrapText="1"/>
    </xf>
    <xf numFmtId="1" fontId="97" fillId="112" borderId="232" xfId="0" applyNumberFormat="1" applyFont="1" applyFill="1" applyBorder="1" applyAlignment="1">
      <alignment horizontal="center" vertical="center" wrapText="1"/>
    </xf>
    <xf numFmtId="0" fontId="19" fillId="74" borderId="225" xfId="0" applyFont="1" applyFill="1" applyBorder="1" applyAlignment="1">
      <alignment horizontal="center" vertical="center" wrapText="1"/>
    </xf>
    <xf numFmtId="1" fontId="97" fillId="96" borderId="229" xfId="0" applyNumberFormat="1" applyFont="1" applyFill="1" applyBorder="1" applyAlignment="1">
      <alignment horizontal="center" vertical="center" wrapText="1"/>
    </xf>
    <xf numFmtId="1" fontId="97" fillId="112" borderId="229" xfId="0" applyNumberFormat="1" applyFont="1" applyFill="1" applyBorder="1" applyAlignment="1">
      <alignment horizontal="center" vertical="center" wrapText="1"/>
    </xf>
    <xf numFmtId="0" fontId="19" fillId="74" borderId="198" xfId="0" applyFont="1" applyFill="1" applyBorder="1" applyAlignment="1">
      <alignment horizontal="center" vertical="center" wrapText="1"/>
    </xf>
    <xf numFmtId="1" fontId="97" fillId="96" borderId="202" xfId="0" applyNumberFormat="1" applyFont="1" applyFill="1" applyBorder="1" applyAlignment="1">
      <alignment horizontal="center" vertical="center" wrapText="1"/>
    </xf>
    <xf numFmtId="1" fontId="97" fillId="112" borderId="202" xfId="0" applyNumberFormat="1" applyFont="1" applyFill="1" applyBorder="1" applyAlignment="1">
      <alignment horizontal="center" vertical="center" wrapText="1"/>
    </xf>
    <xf numFmtId="0" fontId="365" fillId="20" borderId="46" xfId="0" applyFont="1" applyFill="1" applyBorder="1" applyAlignment="1">
      <alignment horizontal="center" vertical="center"/>
    </xf>
    <xf numFmtId="3" fontId="0" fillId="0" borderId="213" xfId="0" applyNumberFormat="1" applyBorder="1" applyAlignment="1">
      <alignment horizontal="center" vertical="center"/>
    </xf>
    <xf numFmtId="3" fontId="0" fillId="0" borderId="111" xfId="0" applyNumberFormat="1" applyBorder="1" applyAlignment="1">
      <alignment horizontal="center" vertical="center"/>
    </xf>
    <xf numFmtId="3" fontId="0" fillId="0" borderId="233" xfId="0" applyNumberFormat="1" applyBorder="1" applyAlignment="1">
      <alignment horizontal="center" vertical="center"/>
    </xf>
    <xf numFmtId="0" fontId="25" fillId="0" borderId="0" xfId="0" applyFont="1" applyBorder="1" applyAlignment="1">
      <alignment horizontal="left" wrapText="1" readingOrder="1"/>
    </xf>
    <xf numFmtId="43" fontId="25" fillId="0" borderId="0" xfId="0" applyNumberFormat="1" applyFont="1" applyBorder="1" applyAlignment="1">
      <alignment horizontal="left" wrapText="1" readingOrder="1"/>
    </xf>
    <xf numFmtId="43" fontId="25" fillId="0" borderId="266" xfId="0" applyNumberFormat="1" applyFont="1" applyBorder="1" applyAlignment="1">
      <alignment horizontal="left" wrapText="1" readingOrder="1"/>
    </xf>
    <xf numFmtId="41" fontId="25" fillId="0" borderId="266" xfId="0" applyNumberFormat="1" applyFont="1" applyBorder="1" applyAlignment="1">
      <alignment horizontal="left" wrapText="1" readingOrder="1"/>
    </xf>
    <xf numFmtId="43" fontId="18" fillId="89" borderId="0" xfId="1" applyFont="1" applyFill="1" applyBorder="1" applyAlignment="1">
      <alignment horizontal="center" vertical="center"/>
    </xf>
    <xf numFmtId="192" fontId="316" fillId="0" borderId="0" xfId="0" applyNumberFormat="1" applyFont="1" applyAlignment="1">
      <alignment horizontal="center" vertical="center"/>
    </xf>
    <xf numFmtId="3" fontId="0" fillId="0" borderId="213" xfId="0" applyNumberFormat="1" applyBorder="1" applyAlignment="1">
      <alignment horizontal="center" vertical="center"/>
    </xf>
    <xf numFmtId="3" fontId="0" fillId="0" borderId="111" xfId="0" applyNumberFormat="1" applyBorder="1" applyAlignment="1">
      <alignment horizontal="center" vertical="center"/>
    </xf>
    <xf numFmtId="3" fontId="0" fillId="0" borderId="233" xfId="0" applyNumberFormat="1" applyBorder="1" applyAlignment="1">
      <alignment horizontal="center" vertical="center"/>
    </xf>
    <xf numFmtId="1" fontId="0" fillId="89" borderId="0" xfId="0" applyNumberFormat="1" applyFill="1" applyAlignment="1">
      <alignment wrapText="1"/>
    </xf>
    <xf numFmtId="0" fontId="0" fillId="123" borderId="323" xfId="0" applyFont="1" applyFill="1" applyBorder="1"/>
    <xf numFmtId="0" fontId="0" fillId="123" borderId="324" xfId="0" applyFont="1" applyFill="1" applyBorder="1"/>
    <xf numFmtId="0" fontId="0" fillId="132" borderId="249" xfId="0" applyFont="1" applyFill="1" applyBorder="1"/>
    <xf numFmtId="0" fontId="0" fillId="132" borderId="325" xfId="0" applyFont="1" applyFill="1" applyBorder="1"/>
    <xf numFmtId="0" fontId="18" fillId="89" borderId="231" xfId="0" applyFont="1" applyFill="1" applyBorder="1" applyAlignment="1">
      <alignment horizontal="center" vertical="center"/>
    </xf>
    <xf numFmtId="0" fontId="39" fillId="89" borderId="0" xfId="0" applyFont="1" applyFill="1" applyAlignment="1">
      <alignment wrapText="1"/>
    </xf>
    <xf numFmtId="0" fontId="351" fillId="92" borderId="241" xfId="15" applyFont="1" applyFill="1" applyBorder="1" applyAlignment="1">
      <alignment horizontal="left" vertical="center"/>
    </xf>
    <xf numFmtId="0" fontId="25" fillId="0" borderId="0" xfId="15" applyFont="1" applyAlignment="1">
      <alignment horizontal="left" vertical="center" wrapText="1"/>
    </xf>
    <xf numFmtId="0" fontId="25" fillId="0" borderId="180" xfId="15" applyFont="1" applyBorder="1" applyAlignment="1">
      <alignment horizontal="left" vertical="center" wrapText="1"/>
    </xf>
    <xf numFmtId="0" fontId="25" fillId="0" borderId="190" xfId="15" applyFont="1" applyBorder="1" applyAlignment="1">
      <alignment horizontal="left" vertical="center" wrapText="1"/>
    </xf>
    <xf numFmtId="0" fontId="25" fillId="0" borderId="0" xfId="15" applyFont="1" applyBorder="1" applyAlignment="1">
      <alignment horizontal="left" vertical="center" wrapText="1"/>
    </xf>
    <xf numFmtId="0" fontId="323" fillId="92" borderId="241" xfId="15" applyFont="1" applyFill="1" applyBorder="1" applyAlignment="1">
      <alignment horizontal="center" vertical="center"/>
    </xf>
    <xf numFmtId="0" fontId="25" fillId="0" borderId="241" xfId="15" applyNumberFormat="1" applyFont="1" applyBorder="1" applyAlignment="1">
      <alignment horizontal="center" vertical="center" wrapText="1"/>
    </xf>
    <xf numFmtId="0" fontId="25" fillId="0" borderId="241" xfId="15" applyNumberFormat="1" applyFont="1" applyBorder="1" applyAlignment="1">
      <alignment horizontal="center" vertical="center"/>
    </xf>
    <xf numFmtId="179" fontId="25" fillId="0" borderId="241" xfId="15" applyNumberFormat="1" applyFont="1" applyBorder="1" applyAlignment="1">
      <alignment horizontal="center" vertical="center"/>
    </xf>
    <xf numFmtId="0" fontId="25" fillId="0" borderId="241" xfId="15" applyFont="1" applyBorder="1" applyAlignment="1">
      <alignment horizontal="center" vertical="center"/>
    </xf>
    <xf numFmtId="181" fontId="25" fillId="0" borderId="241" xfId="15" applyNumberFormat="1" applyFont="1" applyBorder="1" applyAlignment="1">
      <alignment horizontal="center" vertical="center"/>
    </xf>
    <xf numFmtId="0" fontId="23" fillId="0" borderId="0" xfId="15" applyFont="1" applyAlignment="1">
      <alignment horizontal="center" vertical="center"/>
    </xf>
    <xf numFmtId="0" fontId="65" fillId="92" borderId="241" xfId="15" applyFont="1" applyFill="1" applyBorder="1" applyAlignment="1">
      <alignment horizontal="left" vertical="center"/>
    </xf>
    <xf numFmtId="0" fontId="65" fillId="0" borderId="241" xfId="15" applyFont="1" applyBorder="1" applyAlignment="1">
      <alignment horizontal="center" vertical="center"/>
    </xf>
    <xf numFmtId="0" fontId="25" fillId="0" borderId="216" xfId="15" applyFont="1" applyBorder="1" applyAlignment="1">
      <alignment horizontal="center" vertical="center"/>
    </xf>
    <xf numFmtId="0" fontId="25" fillId="0" borderId="218" xfId="15" applyFont="1" applyBorder="1" applyAlignment="1">
      <alignment horizontal="center" vertical="center"/>
    </xf>
    <xf numFmtId="0" fontId="25" fillId="0" borderId="234" xfId="15" applyFont="1" applyBorder="1" applyAlignment="1">
      <alignment horizontal="center" vertical="center"/>
    </xf>
    <xf numFmtId="0" fontId="25" fillId="0" borderId="147" xfId="15" applyFont="1" applyBorder="1" applyAlignment="1">
      <alignment horizontal="left" vertical="center" wrapText="1"/>
    </xf>
    <xf numFmtId="0" fontId="25" fillId="0" borderId="228" xfId="15" applyFont="1" applyBorder="1" applyAlignment="1">
      <alignment horizontal="left" vertical="center" wrapText="1"/>
    </xf>
    <xf numFmtId="0" fontId="25" fillId="0" borderId="27" xfId="15" applyFont="1" applyBorder="1" applyAlignment="1">
      <alignment horizontal="left" vertical="center" wrapText="1"/>
    </xf>
    <xf numFmtId="0" fontId="323" fillId="0" borderId="241" xfId="15" applyFont="1" applyBorder="1" applyAlignment="1">
      <alignment horizontal="center" vertical="center"/>
    </xf>
    <xf numFmtId="0" fontId="91" fillId="92" borderId="241" xfId="15" applyFont="1" applyFill="1" applyBorder="1" applyAlignment="1">
      <alignment horizontal="left" vertical="center"/>
    </xf>
    <xf numFmtId="0" fontId="323" fillId="0" borderId="241" xfId="15" applyFont="1" applyBorder="1" applyAlignment="1">
      <alignment horizontal="center" vertical="center" wrapText="1"/>
    </xf>
    <xf numFmtId="175" fontId="25" fillId="0" borderId="241" xfId="15" applyNumberFormat="1" applyFont="1" applyBorder="1" applyAlignment="1">
      <alignment horizontal="center" vertical="center"/>
    </xf>
    <xf numFmtId="0" fontId="324" fillId="92" borderId="241" xfId="15" applyFont="1" applyFill="1" applyBorder="1" applyAlignment="1">
      <alignment horizontal="left" vertical="center"/>
    </xf>
    <xf numFmtId="0" fontId="327" fillId="0" borderId="209" xfId="15" applyFont="1" applyFill="1" applyBorder="1" applyAlignment="1">
      <alignment horizontal="center" vertical="center" wrapText="1"/>
    </xf>
    <xf numFmtId="0" fontId="327" fillId="0" borderId="204" xfId="15" applyFont="1" applyFill="1" applyBorder="1" applyAlignment="1">
      <alignment horizontal="center" vertical="center" wrapText="1"/>
    </xf>
    <xf numFmtId="0" fontId="298" fillId="0" borderId="218" xfId="15" applyFont="1" applyBorder="1" applyAlignment="1">
      <alignment horizontal="center" wrapText="1"/>
    </xf>
    <xf numFmtId="0" fontId="298" fillId="0" borderId="0" xfId="15" applyFont="1" applyBorder="1" applyAlignment="1">
      <alignment horizontal="center" wrapText="1"/>
    </xf>
    <xf numFmtId="0" fontId="325" fillId="0" borderId="218" xfId="15" applyFont="1" applyBorder="1" applyAlignment="1">
      <alignment horizontal="center" wrapText="1"/>
    </xf>
    <xf numFmtId="0" fontId="350" fillId="0" borderId="209" xfId="15" applyFont="1" applyFill="1" applyBorder="1" applyAlignment="1">
      <alignment horizontal="center" vertical="center" wrapText="1"/>
    </xf>
    <xf numFmtId="0" fontId="350" fillId="0" borderId="199" xfId="15" applyFont="1" applyFill="1" applyBorder="1" applyAlignment="1">
      <alignment horizontal="center" vertical="center" wrapText="1"/>
    </xf>
    <xf numFmtId="0" fontId="350" fillId="0" borderId="204" xfId="15" applyFont="1" applyFill="1" applyBorder="1" applyAlignment="1">
      <alignment horizontal="center" vertical="center" wrapText="1"/>
    </xf>
    <xf numFmtId="0" fontId="327" fillId="0" borderId="199" xfId="15" applyFont="1" applyFill="1" applyBorder="1" applyAlignment="1">
      <alignment horizontal="center" vertical="center" wrapText="1"/>
    </xf>
    <xf numFmtId="0" fontId="31" fillId="105" borderId="224" xfId="6775" applyFont="1" applyFill="1" applyBorder="1" applyAlignment="1">
      <alignment horizontal="center"/>
    </xf>
    <xf numFmtId="0" fontId="31" fillId="105" borderId="223" xfId="6775" applyFont="1" applyFill="1" applyBorder="1" applyAlignment="1">
      <alignment horizontal="center"/>
    </xf>
    <xf numFmtId="0" fontId="31" fillId="105" borderId="175" xfId="6775" applyFont="1" applyFill="1" applyBorder="1" applyAlignment="1">
      <alignment horizontal="center"/>
    </xf>
    <xf numFmtId="0" fontId="39" fillId="105" borderId="236" xfId="6775" applyFont="1" applyFill="1" applyBorder="1" applyAlignment="1">
      <alignment horizontal="center" wrapText="1"/>
    </xf>
    <xf numFmtId="0" fontId="39" fillId="105" borderId="237" xfId="6775" applyFont="1" applyFill="1" applyBorder="1" applyAlignment="1">
      <alignment horizontal="center" wrapText="1"/>
    </xf>
    <xf numFmtId="0" fontId="39" fillId="105" borderId="232" xfId="6775" applyFont="1" applyFill="1" applyBorder="1" applyAlignment="1">
      <alignment horizontal="center" wrapText="1"/>
    </xf>
    <xf numFmtId="0" fontId="39" fillId="104" borderId="236" xfId="6775" applyFont="1" applyFill="1" applyBorder="1" applyAlignment="1">
      <alignment horizontal="center" wrapText="1"/>
    </xf>
    <xf numFmtId="0" fontId="39" fillId="104" borderId="237" xfId="6775" applyFont="1" applyFill="1" applyBorder="1" applyAlignment="1">
      <alignment horizontal="center" wrapText="1"/>
    </xf>
    <xf numFmtId="0" fontId="39" fillId="104" borderId="232" xfId="6775" applyFont="1" applyFill="1" applyBorder="1" applyAlignment="1">
      <alignment horizontal="center" wrapText="1"/>
    </xf>
    <xf numFmtId="0" fontId="31" fillId="0" borderId="143" xfId="6775" applyFont="1" applyBorder="1" applyAlignment="1">
      <alignment horizontal="center"/>
    </xf>
    <xf numFmtId="0" fontId="31" fillId="0" borderId="172" xfId="6775" applyFont="1" applyBorder="1" applyAlignment="1">
      <alignment horizontal="center"/>
    </xf>
    <xf numFmtId="0" fontId="31" fillId="0" borderId="228" xfId="6775" applyFont="1" applyBorder="1" applyAlignment="1">
      <alignment horizontal="center"/>
    </xf>
    <xf numFmtId="0" fontId="31" fillId="0" borderId="27" xfId="6775" applyFont="1" applyBorder="1" applyAlignment="1">
      <alignment horizontal="center"/>
    </xf>
    <xf numFmtId="0" fontId="31" fillId="104" borderId="224" xfId="6775" applyFont="1" applyFill="1" applyBorder="1" applyAlignment="1">
      <alignment horizontal="center"/>
    </xf>
    <xf numFmtId="0" fontId="31" fillId="104" borderId="223" xfId="6775" applyFont="1" applyFill="1" applyBorder="1" applyAlignment="1">
      <alignment horizontal="center"/>
    </xf>
    <xf numFmtId="0" fontId="31" fillId="104" borderId="175" xfId="6775" applyFont="1" applyFill="1" applyBorder="1" applyAlignment="1">
      <alignment horizontal="center"/>
    </xf>
    <xf numFmtId="0" fontId="20" fillId="0" borderId="241" xfId="4" applyFont="1" applyBorder="1" applyAlignment="1">
      <alignment horizontal="center" wrapText="1"/>
    </xf>
    <xf numFmtId="0" fontId="363" fillId="0" borderId="218" xfId="4" applyFont="1" applyBorder="1" applyAlignment="1">
      <alignment horizontal="center" wrapText="1"/>
    </xf>
    <xf numFmtId="0" fontId="19" fillId="0" borderId="209" xfId="4" applyBorder="1" applyAlignment="1">
      <alignment horizontal="center" wrapText="1"/>
    </xf>
    <xf numFmtId="0" fontId="19" fillId="0" borderId="204" xfId="4" applyBorder="1" applyAlignment="1">
      <alignment horizontal="center" wrapText="1"/>
    </xf>
    <xf numFmtId="0" fontId="347" fillId="93" borderId="190" xfId="4" applyFont="1" applyFill="1" applyBorder="1" applyAlignment="1">
      <alignment horizontal="center" wrapText="1"/>
    </xf>
    <xf numFmtId="0" fontId="347" fillId="93" borderId="0" xfId="4" applyFont="1" applyFill="1" applyBorder="1" applyAlignment="1">
      <alignment horizontal="center" wrapText="1"/>
    </xf>
    <xf numFmtId="0" fontId="0" fillId="0" borderId="209" xfId="0" applyBorder="1" applyAlignment="1">
      <alignment horizontal="left" vertical="center"/>
    </xf>
    <xf numFmtId="0" fontId="0" fillId="0" borderId="42" xfId="0" applyBorder="1" applyAlignment="1">
      <alignment horizontal="left" vertical="center"/>
    </xf>
    <xf numFmtId="0" fontId="290" fillId="0" borderId="209" xfId="0" applyFont="1" applyBorder="1" applyAlignment="1">
      <alignment horizontal="left" vertical="center"/>
    </xf>
    <xf numFmtId="0" fontId="290" fillId="0" borderId="42" xfId="0" applyFont="1" applyBorder="1" applyAlignment="1">
      <alignment horizontal="left" vertical="center"/>
    </xf>
    <xf numFmtId="0" fontId="290" fillId="0" borderId="143" xfId="0" applyFont="1" applyBorder="1" applyAlignment="1">
      <alignment horizontal="left" vertical="center"/>
    </xf>
    <xf numFmtId="0" fontId="290" fillId="0" borderId="250" xfId="0" applyFont="1" applyBorder="1" applyAlignment="1">
      <alignment horizontal="left" vertical="center"/>
    </xf>
    <xf numFmtId="0" fontId="352" fillId="110" borderId="76" xfId="0" applyFont="1" applyFill="1" applyBorder="1" applyAlignment="1">
      <alignment horizontal="center" vertical="center"/>
    </xf>
    <xf numFmtId="0" fontId="352" fillId="110" borderId="159" xfId="0" applyFont="1" applyFill="1" applyBorder="1" applyAlignment="1">
      <alignment horizontal="center" vertical="center"/>
    </xf>
    <xf numFmtId="0" fontId="352" fillId="93" borderId="249" xfId="0" applyFont="1" applyFill="1" applyBorder="1" applyAlignment="1">
      <alignment horizontal="center"/>
    </xf>
    <xf numFmtId="0" fontId="347" fillId="93" borderId="241" xfId="0" applyFont="1" applyFill="1" applyBorder="1" applyAlignment="1">
      <alignment horizontal="center" wrapText="1"/>
    </xf>
    <xf numFmtId="0" fontId="347" fillId="93" borderId="241" xfId="0" applyFont="1" applyFill="1" applyBorder="1" applyAlignment="1">
      <alignment horizontal="left" wrapText="1"/>
    </xf>
    <xf numFmtId="0" fontId="352" fillId="93" borderId="312" xfId="0" applyFont="1" applyFill="1" applyBorder="1" applyAlignment="1">
      <alignment horizontal="center" vertical="center" wrapText="1"/>
    </xf>
    <xf numFmtId="0" fontId="352" fillId="93" borderId="313" xfId="0" applyFont="1" applyFill="1" applyBorder="1" applyAlignment="1">
      <alignment horizontal="center" vertical="center" wrapText="1"/>
    </xf>
    <xf numFmtId="0" fontId="352" fillId="93" borderId="318" xfId="0" applyFont="1" applyFill="1" applyBorder="1" applyAlignment="1">
      <alignment horizontal="center" vertical="center" wrapText="1"/>
    </xf>
    <xf numFmtId="0" fontId="352" fillId="93" borderId="320" xfId="0" applyFont="1" applyFill="1" applyBorder="1" applyAlignment="1">
      <alignment horizontal="center" vertical="center" wrapText="1"/>
    </xf>
    <xf numFmtId="0" fontId="352" fillId="93" borderId="314" xfId="0" applyFont="1" applyFill="1" applyBorder="1" applyAlignment="1">
      <alignment horizontal="center" vertical="center" wrapText="1"/>
    </xf>
    <xf numFmtId="0" fontId="2" fillId="96" borderId="0" xfId="34139" applyFill="1" applyAlignment="1">
      <alignment horizontal="center"/>
    </xf>
    <xf numFmtId="0" fontId="290" fillId="0" borderId="0" xfId="0" applyFont="1" applyAlignment="1">
      <alignment horizontal="left" vertical="center" wrapText="1"/>
    </xf>
    <xf numFmtId="187" fontId="296" fillId="120" borderId="90" xfId="34140" applyFont="1" applyFill="1" applyBorder="1" applyAlignment="1">
      <alignment horizontal="center" vertical="center"/>
    </xf>
    <xf numFmtId="187" fontId="296" fillId="120" borderId="270" xfId="34140" applyFont="1" applyFill="1" applyBorder="1" applyAlignment="1">
      <alignment horizontal="center" vertical="center"/>
    </xf>
    <xf numFmtId="187" fontId="295" fillId="0" borderId="270" xfId="34141" applyFont="1" applyBorder="1" applyAlignment="1">
      <alignment horizontal="center" vertical="center"/>
    </xf>
    <xf numFmtId="187" fontId="296" fillId="120" borderId="90" xfId="34141" applyFont="1" applyFill="1" applyBorder="1" applyAlignment="1">
      <alignment horizontal="center" vertical="center"/>
    </xf>
    <xf numFmtId="187" fontId="296" fillId="120" borderId="270" xfId="34141" applyFont="1" applyFill="1" applyBorder="1" applyAlignment="1">
      <alignment horizontal="center" vertical="center"/>
    </xf>
    <xf numFmtId="175" fontId="296" fillId="120" borderId="175" xfId="34141" applyNumberFormat="1" applyFont="1" applyFill="1" applyBorder="1" applyAlignment="1">
      <alignment horizontal="center" vertical="center"/>
    </xf>
    <xf numFmtId="175" fontId="296" fillId="120" borderId="271" xfId="34141" applyNumberFormat="1" applyFont="1" applyFill="1" applyBorder="1" applyAlignment="1">
      <alignment horizontal="center" vertical="center"/>
    </xf>
    <xf numFmtId="0" fontId="0" fillId="0" borderId="0" xfId="0" applyAlignment="1">
      <alignment horizontal="center" vertical="center" wrapText="1"/>
    </xf>
    <xf numFmtId="187" fontId="296" fillId="120" borderId="268" xfId="34140" applyFont="1" applyFill="1" applyBorder="1" applyAlignment="1">
      <alignment horizontal="center" vertical="center"/>
    </xf>
    <xf numFmtId="187" fontId="295" fillId="0" borderId="269" xfId="34141" applyFont="1" applyBorder="1" applyAlignment="1">
      <alignment horizontal="center" vertical="center"/>
    </xf>
    <xf numFmtId="0" fontId="39" fillId="118" borderId="0" xfId="0" applyFont="1" applyFill="1" applyBorder="1" applyAlignment="1">
      <alignment horizontal="center" wrapText="1"/>
    </xf>
    <xf numFmtId="0" fontId="39" fillId="90" borderId="0" xfId="0" applyFont="1" applyFill="1" applyBorder="1" applyAlignment="1">
      <alignment horizontal="center" wrapText="1"/>
    </xf>
    <xf numFmtId="0" fontId="19" fillId="0" borderId="0" xfId="0" applyFont="1" applyAlignment="1">
      <alignment horizontal="left" wrapText="1"/>
    </xf>
    <xf numFmtId="0" fontId="378" fillId="0" borderId="213" xfId="34138" applyFont="1" applyFill="1" applyBorder="1" applyAlignment="1">
      <alignment horizontal="center" vertical="center" wrapText="1"/>
    </xf>
    <xf numFmtId="0" fontId="378" fillId="0" borderId="111" xfId="34138" applyFont="1" applyFill="1" applyBorder="1" applyAlignment="1">
      <alignment horizontal="center" vertical="center" wrapText="1"/>
    </xf>
    <xf numFmtId="0" fontId="378" fillId="0" borderId="233" xfId="34138" applyFont="1" applyFill="1" applyBorder="1" applyAlignment="1">
      <alignment horizontal="center" vertical="center" wrapText="1"/>
    </xf>
    <xf numFmtId="0" fontId="378" fillId="0" borderId="241" xfId="34138" applyFont="1" applyFill="1" applyBorder="1" applyAlignment="1">
      <alignment horizontal="center" vertical="center" wrapText="1"/>
    </xf>
    <xf numFmtId="0" fontId="358" fillId="88" borderId="241" xfId="0" applyFont="1" applyFill="1" applyBorder="1" applyAlignment="1">
      <alignment wrapText="1"/>
    </xf>
    <xf numFmtId="0" fontId="19" fillId="0" borderId="0" xfId="0" applyFont="1" applyAlignment="1">
      <alignment horizontal="center" wrapText="1"/>
    </xf>
    <xf numFmtId="0" fontId="31" fillId="0" borderId="239" xfId="0" applyFont="1" applyBorder="1" applyAlignment="1">
      <alignment horizontal="center"/>
    </xf>
    <xf numFmtId="0" fontId="39" fillId="90" borderId="209" xfId="0" applyFont="1" applyFill="1" applyBorder="1" applyAlignment="1">
      <alignment horizontal="left" vertical="center" wrapText="1"/>
    </xf>
    <xf numFmtId="0" fontId="39" fillId="90" borderId="199" xfId="0" applyFont="1" applyFill="1" applyBorder="1" applyAlignment="1">
      <alignment horizontal="left" vertical="center" wrapText="1"/>
    </xf>
    <xf numFmtId="0" fontId="39" fillId="90" borderId="204" xfId="0" applyFont="1" applyFill="1" applyBorder="1" applyAlignment="1">
      <alignment horizontal="left" vertical="center" wrapText="1"/>
    </xf>
    <xf numFmtId="0" fontId="293" fillId="91" borderId="241" xfId="0" applyFont="1" applyFill="1" applyBorder="1" applyAlignment="1">
      <alignment horizontal="center" wrapText="1"/>
    </xf>
    <xf numFmtId="0" fontId="293" fillId="0" borderId="241" xfId="0" applyFont="1" applyFill="1" applyBorder="1" applyAlignment="1">
      <alignment horizontal="center" wrapText="1"/>
    </xf>
    <xf numFmtId="0" fontId="347" fillId="93" borderId="224" xfId="0" applyFont="1" applyFill="1" applyBorder="1" applyAlignment="1">
      <alignment horizontal="center"/>
    </xf>
    <xf numFmtId="0" fontId="347" fillId="93" borderId="223" xfId="0" applyFont="1" applyFill="1" applyBorder="1" applyAlignment="1">
      <alignment horizontal="center"/>
    </xf>
    <xf numFmtId="0" fontId="347" fillId="93" borderId="175" xfId="0" applyFont="1" applyFill="1" applyBorder="1" applyAlignment="1">
      <alignment horizontal="center"/>
    </xf>
    <xf numFmtId="0" fontId="0" fillId="97" borderId="238" xfId="0" applyFill="1" applyBorder="1" applyAlignment="1">
      <alignment horizontal="center" wrapText="1"/>
    </xf>
    <xf numFmtId="0" fontId="0" fillId="97" borderId="219" xfId="0" applyFill="1" applyBorder="1" applyAlignment="1">
      <alignment horizontal="center" wrapText="1"/>
    </xf>
    <xf numFmtId="0" fontId="346" fillId="111" borderId="235" xfId="0" applyFont="1" applyFill="1" applyBorder="1" applyAlignment="1">
      <alignment horizontal="center" vertical="center" wrapText="1"/>
    </xf>
    <xf numFmtId="0" fontId="346" fillId="111" borderId="191" xfId="0" applyFont="1" applyFill="1" applyBorder="1" applyAlignment="1">
      <alignment horizontal="center" vertical="center" wrapText="1"/>
    </xf>
    <xf numFmtId="0" fontId="371" fillId="111" borderId="235" xfId="0" applyFont="1" applyFill="1" applyBorder="1" applyAlignment="1">
      <alignment horizontal="center" vertical="center" wrapText="1"/>
    </xf>
    <xf numFmtId="0" fontId="371" fillId="111" borderId="191" xfId="0" applyFont="1" applyFill="1" applyBorder="1" applyAlignment="1">
      <alignment horizontal="center" vertical="center" wrapText="1"/>
    </xf>
    <xf numFmtId="0" fontId="347" fillId="93" borderId="224" xfId="0" applyFont="1" applyFill="1" applyBorder="1" applyAlignment="1">
      <alignment horizontal="center" wrapText="1"/>
    </xf>
    <xf numFmtId="0" fontId="347" fillId="93" borderId="223" xfId="0" applyFont="1" applyFill="1" applyBorder="1" applyAlignment="1">
      <alignment horizontal="center" wrapText="1"/>
    </xf>
    <xf numFmtId="0" fontId="347" fillId="93" borderId="175" xfId="0" applyFont="1" applyFill="1" applyBorder="1" applyAlignment="1">
      <alignment horizontal="center" wrapText="1"/>
    </xf>
    <xf numFmtId="0" fontId="245" fillId="78" borderId="227" xfId="0" applyFont="1" applyFill="1" applyBorder="1" applyAlignment="1">
      <alignment horizontal="center" vertical="center"/>
    </xf>
    <xf numFmtId="0" fontId="245" fillId="78" borderId="219" xfId="0" applyFont="1" applyFill="1" applyBorder="1" applyAlignment="1">
      <alignment horizontal="center" vertical="center"/>
    </xf>
    <xf numFmtId="0" fontId="18" fillId="78" borderId="227" xfId="0" applyFont="1" applyFill="1" applyBorder="1" applyAlignment="1">
      <alignment horizontal="center" vertical="center"/>
    </xf>
    <xf numFmtId="0" fontId="368" fillId="93" borderId="0" xfId="0" applyFont="1" applyFill="1" applyAlignment="1">
      <alignment horizontal="center" wrapText="1"/>
    </xf>
    <xf numFmtId="0" fontId="18" fillId="90" borderId="227" xfId="0" applyFont="1" applyFill="1" applyBorder="1" applyAlignment="1">
      <alignment horizontal="center" vertical="center"/>
    </xf>
    <xf numFmtId="0" fontId="93" fillId="90" borderId="219" xfId="0" applyFont="1" applyFill="1" applyBorder="1" applyAlignment="1">
      <alignment horizontal="center" vertical="center"/>
    </xf>
    <xf numFmtId="0" fontId="18" fillId="20" borderId="227" xfId="0" applyFont="1" applyFill="1" applyBorder="1" applyAlignment="1">
      <alignment horizontal="center" vertical="center"/>
    </xf>
    <xf numFmtId="0" fontId="18" fillId="20" borderId="219" xfId="0" applyFont="1" applyFill="1" applyBorder="1" applyAlignment="1">
      <alignment horizontal="center" vertical="center"/>
    </xf>
    <xf numFmtId="0" fontId="346" fillId="93" borderId="223" xfId="0" applyFont="1" applyFill="1" applyBorder="1" applyAlignment="1">
      <alignment horizontal="center"/>
    </xf>
    <xf numFmtId="0" fontId="346" fillId="93" borderId="175" xfId="0" applyFont="1" applyFill="1" applyBorder="1" applyAlignment="1">
      <alignment horizontal="center"/>
    </xf>
    <xf numFmtId="0" fontId="346" fillId="111" borderId="235" xfId="0" applyFont="1" applyFill="1" applyBorder="1" applyAlignment="1">
      <alignment horizontal="center" vertical="center"/>
    </xf>
    <xf numFmtId="0" fontId="346" fillId="111" borderId="191" xfId="0" applyFont="1" applyFill="1" applyBorder="1" applyAlignment="1">
      <alignment horizontal="center" vertical="center"/>
    </xf>
    <xf numFmtId="0" fontId="346" fillId="111" borderId="52" xfId="0" applyFont="1" applyFill="1" applyBorder="1" applyAlignment="1">
      <alignment horizontal="center" vertical="center"/>
    </xf>
    <xf numFmtId="0" fontId="346" fillId="111" borderId="12" xfId="0" applyFont="1" applyFill="1" applyBorder="1" applyAlignment="1">
      <alignment horizontal="center" vertical="center"/>
    </xf>
    <xf numFmtId="0" fontId="346" fillId="93" borderId="224" xfId="0" applyFont="1" applyFill="1" applyBorder="1" applyAlignment="1">
      <alignment horizontal="left" wrapText="1"/>
    </xf>
    <xf numFmtId="0" fontId="346" fillId="93" borderId="153" xfId="0" applyFont="1" applyFill="1" applyBorder="1" applyAlignment="1">
      <alignment horizontal="left" wrapText="1"/>
    </xf>
    <xf numFmtId="0" fontId="313" fillId="77" borderId="0" xfId="0" applyFont="1" applyFill="1" applyAlignment="1">
      <alignment horizontal="left" vertical="center" wrapText="1"/>
    </xf>
    <xf numFmtId="0" fontId="313" fillId="77" borderId="239" xfId="0" applyFont="1" applyFill="1" applyBorder="1" applyAlignment="1">
      <alignment horizontal="left" vertical="center" wrapText="1"/>
    </xf>
    <xf numFmtId="0" fontId="22" fillId="94" borderId="241" xfId="0" applyFont="1" applyFill="1" applyBorder="1" applyAlignment="1">
      <alignment horizontal="center"/>
    </xf>
    <xf numFmtId="0" fontId="31" fillId="89" borderId="239" xfId="0" applyFont="1" applyFill="1" applyBorder="1" applyAlignment="1">
      <alignment horizontal="left"/>
    </xf>
    <xf numFmtId="2" fontId="97" fillId="74" borderId="227" xfId="0" applyNumberFormat="1" applyFont="1" applyFill="1" applyBorder="1" applyAlignment="1">
      <alignment horizontal="center" vertical="center" wrapText="1"/>
    </xf>
    <xf numFmtId="2" fontId="97" fillId="74" borderId="219" xfId="0" applyNumberFormat="1" applyFont="1" applyFill="1" applyBorder="1" applyAlignment="1">
      <alignment horizontal="center" vertical="center" wrapText="1"/>
    </xf>
    <xf numFmtId="1" fontId="18" fillId="90" borderId="184" xfId="0" applyNumberFormat="1" applyFont="1" applyFill="1" applyBorder="1" applyAlignment="1">
      <alignment horizontal="center" vertical="center"/>
    </xf>
    <xf numFmtId="0" fontId="179" fillId="90" borderId="131" xfId="0" applyFont="1" applyFill="1" applyBorder="1" applyAlignment="1">
      <alignment horizontal="center" vertical="center"/>
    </xf>
    <xf numFmtId="0" fontId="18" fillId="78" borderId="184" xfId="0" applyFont="1" applyFill="1" applyBorder="1" applyAlignment="1">
      <alignment horizontal="center" vertical="center"/>
    </xf>
    <xf numFmtId="0" fontId="179" fillId="57" borderId="131" xfId="0" applyFont="1" applyFill="1" applyBorder="1" applyAlignment="1">
      <alignment horizontal="center" vertical="center"/>
    </xf>
    <xf numFmtId="0" fontId="347" fillId="111" borderId="224" xfId="0" applyFont="1" applyFill="1" applyBorder="1" applyAlignment="1">
      <alignment horizontal="center" wrapText="1"/>
    </xf>
    <xf numFmtId="0" fontId="347" fillId="111" borderId="223" xfId="0" applyFont="1" applyFill="1" applyBorder="1" applyAlignment="1">
      <alignment horizontal="center" wrapText="1"/>
    </xf>
    <xf numFmtId="0" fontId="347" fillId="111" borderId="175" xfId="0" applyFont="1" applyFill="1" applyBorder="1" applyAlignment="1">
      <alignment horizontal="center" wrapText="1"/>
    </xf>
    <xf numFmtId="0" fontId="346" fillId="111" borderId="251" xfId="0" applyFont="1" applyFill="1" applyBorder="1" applyAlignment="1">
      <alignment horizontal="center" vertical="center" wrapText="1"/>
    </xf>
    <xf numFmtId="0" fontId="18" fillId="78" borderId="184" xfId="0" applyFont="1" applyFill="1" applyBorder="1" applyAlignment="1" applyProtection="1">
      <alignment horizontal="center" vertical="center"/>
      <protection locked="0"/>
    </xf>
    <xf numFmtId="0" fontId="179" fillId="57" borderId="131" xfId="0" applyFont="1" applyFill="1" applyBorder="1" applyAlignment="1" applyProtection="1">
      <alignment horizontal="center" vertical="center"/>
      <protection locked="0"/>
    </xf>
    <xf numFmtId="0" fontId="37" fillId="89" borderId="239" xfId="0" applyFont="1" applyFill="1" applyBorder="1" applyAlignment="1">
      <alignment horizontal="left" vertical="center"/>
    </xf>
    <xf numFmtId="0" fontId="96" fillId="90" borderId="227" xfId="0" applyFont="1" applyFill="1" applyBorder="1" applyAlignment="1">
      <alignment horizontal="left" vertical="center"/>
    </xf>
    <xf numFmtId="0" fontId="96" fillId="90" borderId="219" xfId="0" applyFont="1" applyFill="1" applyBorder="1" applyAlignment="1">
      <alignment horizontal="left" vertical="center"/>
    </xf>
    <xf numFmtId="0" fontId="18" fillId="90" borderId="224" xfId="0" applyFont="1" applyFill="1" applyBorder="1" applyAlignment="1">
      <alignment horizontal="left" vertical="center" indent="4"/>
    </xf>
    <xf numFmtId="0" fontId="96" fillId="90" borderId="175" xfId="0" applyFont="1" applyFill="1" applyBorder="1" applyAlignment="1">
      <alignment horizontal="left" vertical="center" indent="4"/>
    </xf>
    <xf numFmtId="0" fontId="18" fillId="90" borderId="227" xfId="0" applyFont="1" applyFill="1" applyBorder="1" applyAlignment="1">
      <alignment horizontal="left" vertical="center"/>
    </xf>
    <xf numFmtId="0" fontId="18" fillId="90" borderId="224" xfId="0" applyFont="1" applyFill="1" applyBorder="1" applyAlignment="1">
      <alignment horizontal="center" vertical="center" wrapText="1"/>
    </xf>
    <xf numFmtId="0" fontId="18" fillId="90" borderId="201" xfId="0" applyFont="1" applyFill="1" applyBorder="1" applyAlignment="1">
      <alignment horizontal="center" vertical="center" wrapText="1"/>
    </xf>
    <xf numFmtId="0" fontId="18" fillId="90" borderId="219" xfId="0" applyFont="1" applyFill="1" applyBorder="1" applyAlignment="1">
      <alignment horizontal="left" vertical="center"/>
    </xf>
    <xf numFmtId="0" fontId="21" fillId="90" borderId="224" xfId="0" applyFont="1" applyFill="1" applyBorder="1" applyAlignment="1">
      <alignment horizontal="center" vertical="center" wrapText="1"/>
    </xf>
    <xf numFmtId="0" fontId="21" fillId="90" borderId="201" xfId="0" applyFont="1" applyFill="1" applyBorder="1" applyAlignment="1">
      <alignment horizontal="center" vertical="center" wrapText="1"/>
    </xf>
    <xf numFmtId="0" fontId="18" fillId="90" borderId="219" xfId="0" applyFont="1" applyFill="1" applyBorder="1" applyAlignment="1">
      <alignment horizontal="center" vertical="center"/>
    </xf>
    <xf numFmtId="0" fontId="18" fillId="90" borderId="235" xfId="0" applyFont="1" applyFill="1" applyBorder="1" applyAlignment="1">
      <alignment horizontal="center" vertical="center" textRotation="90"/>
    </xf>
    <xf numFmtId="0" fontId="18" fillId="90" borderId="186" xfId="0" applyFont="1" applyFill="1" applyBorder="1" applyAlignment="1">
      <alignment horizontal="center" vertical="center" textRotation="90"/>
    </xf>
    <xf numFmtId="0" fontId="18" fillId="90" borderId="191" xfId="0" applyFont="1" applyFill="1" applyBorder="1" applyAlignment="1">
      <alignment horizontal="center" vertical="center" textRotation="90"/>
    </xf>
    <xf numFmtId="0" fontId="18" fillId="90" borderId="87" xfId="0" applyFont="1" applyFill="1" applyBorder="1" applyAlignment="1">
      <alignment horizontal="left" vertical="center"/>
    </xf>
    <xf numFmtId="0" fontId="18" fillId="90" borderId="47" xfId="0" applyFont="1" applyFill="1" applyBorder="1" applyAlignment="1">
      <alignment horizontal="left" vertical="center"/>
    </xf>
    <xf numFmtId="0" fontId="28" fillId="90" borderId="227" xfId="0" applyFont="1" applyFill="1" applyBorder="1" applyAlignment="1">
      <alignment horizontal="left" vertical="center"/>
    </xf>
    <xf numFmtId="0" fontId="28" fillId="90" borderId="219" xfId="0" applyFont="1" applyFill="1" applyBorder="1" applyAlignment="1">
      <alignment horizontal="left" vertical="center"/>
    </xf>
    <xf numFmtId="0" fontId="28" fillId="90" borderId="227" xfId="0" applyFont="1" applyFill="1" applyBorder="1" applyAlignment="1">
      <alignment horizontal="left" vertical="center" wrapText="1"/>
    </xf>
    <xf numFmtId="0" fontId="28" fillId="90" borderId="219" xfId="0" applyFont="1" applyFill="1" applyBorder="1" applyAlignment="1">
      <alignment horizontal="left" vertical="center" wrapText="1"/>
    </xf>
    <xf numFmtId="0" fontId="216" fillId="0" borderId="0" xfId="0" applyFont="1" applyAlignment="1">
      <alignment horizontal="left" vertical="center"/>
    </xf>
    <xf numFmtId="0" fontId="189" fillId="0" borderId="142" xfId="0" applyFont="1" applyBorder="1" applyAlignment="1">
      <alignment horizontal="left" vertical="center"/>
    </xf>
    <xf numFmtId="0" fontId="205" fillId="0" borderId="153" xfId="0" applyFont="1" applyBorder="1" applyAlignment="1">
      <alignment horizontal="center" vertical="center"/>
    </xf>
    <xf numFmtId="0" fontId="253" fillId="0" borderId="192" xfId="0" applyFont="1" applyBorder="1" applyAlignment="1">
      <alignment horizontal="center" vertical="center"/>
    </xf>
    <xf numFmtId="0" fontId="233" fillId="0" borderId="176" xfId="0" applyFont="1" applyBorder="1" applyAlignment="1">
      <alignment horizontal="center" vertical="center"/>
    </xf>
    <xf numFmtId="0" fontId="39" fillId="0" borderId="115" xfId="0" applyFont="1" applyBorder="1" applyAlignment="1">
      <alignment horizontal="center" vertical="center"/>
    </xf>
    <xf numFmtId="0" fontId="161" fillId="0" borderId="115" xfId="0" applyFont="1" applyBorder="1" applyAlignment="1">
      <alignment horizontal="center" vertical="center"/>
    </xf>
    <xf numFmtId="0" fontId="234" fillId="0" borderId="177" xfId="0" applyFont="1" applyBorder="1" applyAlignment="1">
      <alignment horizontal="center" vertical="center" wrapText="1"/>
    </xf>
    <xf numFmtId="0" fontId="159" fillId="0" borderId="112" xfId="0" applyFont="1" applyBorder="1" applyAlignment="1">
      <alignment horizontal="center" vertical="center" wrapText="1"/>
    </xf>
    <xf numFmtId="0" fontId="231" fillId="0" borderId="171" xfId="0" applyFont="1" applyBorder="1" applyAlignment="1">
      <alignment horizontal="center" vertical="center" wrapText="1"/>
    </xf>
    <xf numFmtId="1" fontId="66" fillId="0" borderId="193" xfId="0" applyNumberFormat="1" applyFont="1" applyBorder="1" applyAlignment="1">
      <alignment horizontal="left"/>
    </xf>
    <xf numFmtId="0" fontId="66" fillId="0" borderId="0" xfId="0" applyFont="1" applyAlignment="1">
      <alignment horizontal="left"/>
    </xf>
    <xf numFmtId="0" fontId="200" fillId="0" borderId="149" xfId="0" applyFont="1" applyBorder="1" applyAlignment="1">
      <alignment horizontal="left"/>
    </xf>
    <xf numFmtId="0" fontId="136" fillId="0" borderId="92" xfId="0" applyFont="1" applyBorder="1" applyAlignment="1">
      <alignment horizontal="left" vertical="top" wrapText="1"/>
    </xf>
    <xf numFmtId="0" fontId="45" fillId="0" borderId="0" xfId="0" applyFont="1" applyAlignment="1">
      <alignment horizontal="left" vertical="top" wrapText="1"/>
    </xf>
    <xf numFmtId="0" fontId="44" fillId="0" borderId="20" xfId="0" applyFont="1" applyBorder="1" applyAlignment="1">
      <alignment horizontal="left" vertical="top" wrapText="1"/>
    </xf>
    <xf numFmtId="1" fontId="267" fillId="0" borderId="208" xfId="0" applyNumberFormat="1" applyFont="1" applyBorder="1" applyAlignment="1">
      <alignment horizontal="left" vertical="center"/>
    </xf>
    <xf numFmtId="1" fontId="115" fillId="0" borderId="72" xfId="0" applyNumberFormat="1" applyFont="1" applyBorder="1" applyAlignment="1">
      <alignment horizontal="left" vertical="center"/>
    </xf>
    <xf numFmtId="0" fontId="113" fillId="25" borderId="70" xfId="0" applyFont="1" applyFill="1" applyBorder="1" applyAlignment="1">
      <alignment horizontal="center" vertical="center"/>
    </xf>
    <xf numFmtId="0" fontId="74" fillId="18" borderId="39" xfId="0" applyFont="1" applyFill="1" applyBorder="1" applyAlignment="1">
      <alignment horizontal="center" vertical="center"/>
    </xf>
    <xf numFmtId="0" fontId="150" fillId="43" borderId="102" xfId="0" applyFont="1" applyFill="1" applyBorder="1" applyAlignment="1">
      <alignment horizontal="center" vertical="center"/>
    </xf>
    <xf numFmtId="0" fontId="73" fillId="17" borderId="38" xfId="0" applyFont="1" applyFill="1" applyBorder="1" applyAlignment="1">
      <alignment horizontal="center" vertical="center"/>
    </xf>
    <xf numFmtId="0" fontId="154" fillId="45" borderId="108" xfId="0" applyFont="1" applyFill="1" applyBorder="1" applyAlignment="1">
      <alignment horizontal="center" vertical="center"/>
    </xf>
    <xf numFmtId="0" fontId="221" fillId="0" borderId="214" xfId="0" applyFont="1" applyBorder="1" applyAlignment="1">
      <alignment vertical="center"/>
    </xf>
    <xf numFmtId="0" fontId="175" fillId="0" borderId="199" xfId="0" applyFont="1" applyBorder="1" applyAlignment="1">
      <alignment vertical="center"/>
    </xf>
    <xf numFmtId="0" fontId="166" fillId="0" borderId="204" xfId="0" applyFont="1" applyBorder="1" applyAlignment="1">
      <alignment vertical="center"/>
    </xf>
    <xf numFmtId="0" fontId="221" fillId="0" borderId="230" xfId="0" applyFont="1" applyBorder="1" applyAlignment="1">
      <alignment vertical="center"/>
    </xf>
    <xf numFmtId="0" fontId="175" fillId="0" borderId="172" xfId="0" applyFont="1" applyBorder="1" applyAlignment="1">
      <alignment vertical="center"/>
    </xf>
    <xf numFmtId="0" fontId="166" fillId="0" borderId="97" xfId="0" applyFont="1" applyBorder="1" applyAlignment="1">
      <alignment vertical="center"/>
    </xf>
    <xf numFmtId="43" fontId="101" fillId="0" borderId="209" xfId="0" applyNumberFormat="1" applyFont="1" applyBorder="1" applyAlignment="1">
      <alignment horizontal="right" vertical="center"/>
    </xf>
    <xf numFmtId="43" fontId="264" fillId="0" borderId="204" xfId="0" applyNumberFormat="1" applyFont="1" applyBorder="1" applyAlignment="1">
      <alignment horizontal="right" vertical="center"/>
    </xf>
    <xf numFmtId="43" fontId="101" fillId="0" borderId="143" xfId="0" applyNumberFormat="1" applyFont="1" applyBorder="1" applyAlignment="1">
      <alignment horizontal="right" vertical="center"/>
    </xf>
    <xf numFmtId="43" fontId="264" fillId="0" borderId="97" xfId="0" applyNumberFormat="1" applyFont="1" applyBorder="1" applyAlignment="1">
      <alignment horizontal="right" vertical="center"/>
    </xf>
    <xf numFmtId="0" fontId="28" fillId="60" borderId="137" xfId="0" applyFont="1" applyFill="1" applyBorder="1" applyAlignment="1">
      <alignment horizontal="left"/>
    </xf>
    <xf numFmtId="0" fontId="157" fillId="47" borderId="239" xfId="0" applyFont="1" applyFill="1" applyBorder="1" applyAlignment="1">
      <alignment horizontal="left"/>
    </xf>
    <xf numFmtId="0" fontId="28" fillId="4" borderId="196" xfId="0" applyFont="1" applyFill="1" applyBorder="1" applyAlignment="1">
      <alignment horizontal="left"/>
    </xf>
    <xf numFmtId="4" fontId="261" fillId="0" borderId="209" xfId="0" applyNumberFormat="1" applyFont="1" applyFill="1" applyBorder="1" applyAlignment="1">
      <alignment horizontal="right" vertical="center"/>
    </xf>
    <xf numFmtId="4" fontId="94" fillId="0" borderId="204" xfId="0" applyNumberFormat="1" applyFont="1" applyFill="1" applyBorder="1" applyAlignment="1">
      <alignment horizontal="right" vertical="center"/>
    </xf>
    <xf numFmtId="0" fontId="19" fillId="0" borderId="216" xfId="0" applyFont="1" applyBorder="1" applyAlignment="1">
      <alignment horizontal="left"/>
    </xf>
    <xf numFmtId="0" fontId="55" fillId="0" borderId="218" xfId="0" applyFont="1" applyBorder="1" applyAlignment="1">
      <alignment horizontal="left"/>
    </xf>
    <xf numFmtId="0" fontId="279" fillId="0" borderId="226" xfId="0" applyFont="1" applyBorder="1" applyAlignment="1">
      <alignment horizontal="left"/>
    </xf>
    <xf numFmtId="43" fontId="251" fillId="0" borderId="209" xfId="0" applyNumberFormat="1" applyFont="1" applyBorder="1" applyAlignment="1">
      <alignment horizontal="right" vertical="center"/>
    </xf>
    <xf numFmtId="0" fontId="28" fillId="0" borderId="190" xfId="0" applyFont="1" applyBorder="1" applyAlignment="1">
      <alignment horizontal="center"/>
    </xf>
    <xf numFmtId="0" fontId="85" fillId="0" borderId="0" xfId="0" applyFont="1" applyBorder="1" applyAlignment="1">
      <alignment horizontal="center"/>
    </xf>
    <xf numFmtId="0" fontId="232" fillId="0" borderId="206" xfId="0" applyFont="1" applyBorder="1" applyAlignment="1">
      <alignment horizontal="center"/>
    </xf>
    <xf numFmtId="0" fontId="274" fillId="0" borderId="216" xfId="0" applyFont="1" applyBorder="1" applyAlignment="1">
      <alignment horizontal="center"/>
    </xf>
    <xf numFmtId="0" fontId="131" fillId="0" borderId="218" xfId="0" applyFont="1" applyBorder="1" applyAlignment="1">
      <alignment horizontal="center"/>
    </xf>
    <xf numFmtId="0" fontId="134" fillId="0" borderId="226" xfId="0" applyFont="1" applyBorder="1" applyAlignment="1">
      <alignment horizontal="center"/>
    </xf>
    <xf numFmtId="4" fontId="261" fillId="0" borderId="209" xfId="0" applyNumberFormat="1" applyFont="1" applyBorder="1" applyAlignment="1">
      <alignment horizontal="right" vertical="center"/>
    </xf>
    <xf numFmtId="4" fontId="94" fillId="0" borderId="204" xfId="0" applyNumberFormat="1" applyFont="1" applyBorder="1" applyAlignment="1">
      <alignment horizontal="right" vertical="center"/>
    </xf>
    <xf numFmtId="4" fontId="247" fillId="0" borderId="209" xfId="0" applyNumberFormat="1" applyFont="1" applyBorder="1" applyAlignment="1">
      <alignment horizontal="right" vertical="center"/>
    </xf>
    <xf numFmtId="37" fontId="240" fillId="0" borderId="209" xfId="0" applyNumberFormat="1" applyFont="1" applyBorder="1" applyAlignment="1">
      <alignment horizontal="right" vertical="center"/>
    </xf>
    <xf numFmtId="37" fontId="137" fillId="0" borderId="204" xfId="0" applyNumberFormat="1" applyFont="1" applyBorder="1" applyAlignment="1">
      <alignment horizontal="right" vertical="center"/>
    </xf>
    <xf numFmtId="0" fontId="28" fillId="0" borderId="190" xfId="0" applyFont="1" applyBorder="1" applyAlignment="1">
      <alignment horizontal="left"/>
    </xf>
    <xf numFmtId="0" fontId="209" fillId="0" borderId="0" xfId="0" applyFont="1" applyBorder="1" applyAlignment="1">
      <alignment horizontal="left"/>
    </xf>
    <xf numFmtId="0" fontId="241" fillId="0" borderId="206" xfId="0" applyFont="1" applyBorder="1" applyAlignment="1">
      <alignment horizontal="left"/>
    </xf>
    <xf numFmtId="0" fontId="193" fillId="0" borderId="216" xfId="0" applyFont="1" applyBorder="1" applyAlignment="1">
      <alignment horizontal="left"/>
    </xf>
    <xf numFmtId="0" fontId="214" fillId="0" borderId="218" xfId="0" applyFont="1" applyBorder="1" applyAlignment="1">
      <alignment horizontal="left"/>
    </xf>
    <xf numFmtId="0" fontId="60" fillId="0" borderId="226" xfId="0" applyFont="1" applyBorder="1" applyAlignment="1">
      <alignment horizontal="left"/>
    </xf>
    <xf numFmtId="0" fontId="226" fillId="0" borderId="199" xfId="0" applyFont="1" applyBorder="1" applyAlignment="1">
      <alignment horizontal="center" vertical="center"/>
    </xf>
    <xf numFmtId="0" fontId="262" fillId="84" borderId="214" xfId="0" applyFont="1" applyFill="1" applyBorder="1" applyAlignment="1">
      <alignment horizontal="center" vertical="center"/>
    </xf>
    <xf numFmtId="0" fontId="74" fillId="18" borderId="199" xfId="0" applyFont="1" applyFill="1" applyBorder="1" applyAlignment="1">
      <alignment horizontal="center" vertical="center"/>
    </xf>
    <xf numFmtId="0" fontId="150" fillId="43" borderId="204" xfId="0" applyFont="1" applyFill="1" applyBorder="1" applyAlignment="1">
      <alignment horizontal="center" vertical="center"/>
    </xf>
    <xf numFmtId="0" fontId="113" fillId="25" borderId="209" xfId="0" applyFont="1" applyFill="1" applyBorder="1" applyAlignment="1">
      <alignment horizontal="center" vertical="center"/>
    </xf>
    <xf numFmtId="0" fontId="77" fillId="19" borderId="42" xfId="0" applyFont="1" applyFill="1" applyBorder="1" applyAlignment="1">
      <alignment horizontal="center" vertical="center"/>
    </xf>
    <xf numFmtId="0" fontId="268" fillId="0" borderId="209" xfId="0" applyFont="1" applyBorder="1" applyAlignment="1">
      <alignment horizontal="center" vertical="center"/>
    </xf>
    <xf numFmtId="0" fontId="260" fillId="0" borderId="204" xfId="0" applyFont="1" applyBorder="1" applyAlignment="1">
      <alignment horizontal="center" vertical="center"/>
    </xf>
    <xf numFmtId="0" fontId="238" fillId="0" borderId="218" xfId="0" applyFont="1" applyBorder="1" applyAlignment="1">
      <alignment horizontal="center"/>
    </xf>
    <xf numFmtId="0" fontId="190" fillId="0" borderId="0" xfId="0" applyFont="1" applyAlignment="1">
      <alignment horizontal="center"/>
    </xf>
    <xf numFmtId="0" fontId="169" fillId="0" borderId="209" xfId="0" applyFont="1" applyBorder="1" applyAlignment="1">
      <alignment horizontal="center"/>
    </xf>
    <xf numFmtId="0" fontId="169" fillId="0" borderId="204" xfId="0" applyFont="1" applyBorder="1" applyAlignment="1">
      <alignment horizontal="center"/>
    </xf>
    <xf numFmtId="0" fontId="259" fillId="0" borderId="0" xfId="0" applyFont="1" applyAlignment="1">
      <alignment horizontal="center"/>
    </xf>
    <xf numFmtId="0" fontId="18" fillId="0" borderId="209" xfId="0" applyFont="1" applyBorder="1" applyAlignment="1">
      <alignment horizontal="center"/>
    </xf>
    <xf numFmtId="0" fontId="18" fillId="0" borderId="199" xfId="0" applyFont="1" applyBorder="1" applyAlignment="1">
      <alignment horizontal="center"/>
    </xf>
    <xf numFmtId="0" fontId="18" fillId="0" borderId="204" xfId="0" applyFont="1" applyBorder="1" applyAlignment="1">
      <alignment horizontal="center"/>
    </xf>
    <xf numFmtId="0" fontId="31" fillId="0" borderId="218" xfId="0" applyFont="1" applyBorder="1" applyAlignment="1">
      <alignment horizontal="center"/>
    </xf>
    <xf numFmtId="0" fontId="31" fillId="0" borderId="199" xfId="0" applyFont="1" applyBorder="1"/>
    <xf numFmtId="0" fontId="31" fillId="0" borderId="204" xfId="0" applyFont="1" applyBorder="1"/>
    <xf numFmtId="0" fontId="26" fillId="0" borderId="4" xfId="0" applyFont="1" applyBorder="1" applyAlignment="1">
      <alignment horizontal="left" vertical="center"/>
    </xf>
    <xf numFmtId="0" fontId="62" fillId="0" borderId="30" xfId="0" applyFont="1" applyBorder="1" applyAlignment="1">
      <alignment horizontal="left" vertical="center"/>
    </xf>
    <xf numFmtId="0" fontId="211" fillId="0" borderId="156" xfId="0" applyFont="1" applyBorder="1" applyAlignment="1">
      <alignment horizontal="center" vertical="center"/>
    </xf>
    <xf numFmtId="0" fontId="103" fillId="0" borderId="60" xfId="0" applyFont="1" applyBorder="1" applyAlignment="1">
      <alignment horizontal="center" vertical="center"/>
    </xf>
    <xf numFmtId="0" fontId="49" fillId="0" borderId="23" xfId="0" applyFont="1" applyBorder="1" applyAlignment="1">
      <alignment horizontal="center" vertical="center"/>
    </xf>
    <xf numFmtId="0" fontId="76" fillId="0" borderId="41" xfId="0" applyFont="1" applyBorder="1" applyAlignment="1">
      <alignment horizontal="center" vertical="center"/>
    </xf>
    <xf numFmtId="0" fontId="114" fillId="0" borderId="71" xfId="0" applyFont="1" applyBorder="1" applyAlignment="1">
      <alignment horizontal="center" vertical="center"/>
    </xf>
    <xf numFmtId="0" fontId="64" fillId="0" borderId="33" xfId="0" applyFont="1" applyBorder="1" applyAlignment="1">
      <alignment horizontal="center"/>
    </xf>
    <xf numFmtId="0" fontId="71" fillId="0" borderId="36" xfId="0" applyFont="1" applyBorder="1" applyAlignment="1">
      <alignment horizontal="center"/>
    </xf>
    <xf numFmtId="0" fontId="270" fillId="0" borderId="0" xfId="0" applyFont="1" applyAlignment="1">
      <alignment horizontal="center"/>
    </xf>
    <xf numFmtId="0" fontId="243" fillId="0" borderId="183" xfId="0" applyFont="1" applyBorder="1" applyAlignment="1">
      <alignment horizontal="center"/>
    </xf>
    <xf numFmtId="0" fontId="275" fillId="0" borderId="217" xfId="0" applyFont="1" applyBorder="1" applyAlignment="1">
      <alignment horizontal="center"/>
    </xf>
    <xf numFmtId="0" fontId="151" fillId="0" borderId="104" xfId="0" applyFont="1" applyBorder="1" applyAlignment="1">
      <alignment horizontal="center"/>
    </xf>
    <xf numFmtId="0" fontId="69" fillId="2" borderId="241" xfId="0" applyFont="1" applyFill="1" applyBorder="1" applyAlignment="1">
      <alignment horizontal="center" vertical="center"/>
    </xf>
    <xf numFmtId="0" fontId="69" fillId="34" borderId="241" xfId="0" applyFont="1" applyFill="1" applyBorder="1" applyAlignment="1">
      <alignment horizontal="center" vertical="center"/>
    </xf>
    <xf numFmtId="4" fontId="83" fillId="0" borderId="0" xfId="0" applyNumberFormat="1" applyFont="1" applyAlignment="1">
      <alignment horizontal="left" vertical="center"/>
    </xf>
    <xf numFmtId="0" fontId="83" fillId="0" borderId="241" xfId="0" applyFont="1" applyBorder="1" applyAlignment="1">
      <alignment horizontal="left" vertical="center"/>
    </xf>
    <xf numFmtId="0" fontId="310" fillId="0" borderId="0" xfId="0" applyFont="1" applyBorder="1" applyAlignment="1">
      <alignment horizontal="center" vertical="center"/>
    </xf>
    <xf numFmtId="0" fontId="69" fillId="90" borderId="241" xfId="0" applyFont="1" applyFill="1" applyBorder="1" applyAlignment="1">
      <alignment horizontal="center" vertical="center"/>
    </xf>
    <xf numFmtId="0" fontId="307" fillId="42" borderId="241" xfId="0" applyFont="1" applyFill="1" applyBorder="1" applyAlignment="1">
      <alignment horizontal="center" vertical="center"/>
    </xf>
    <xf numFmtId="0" fontId="307" fillId="27" borderId="241" xfId="0" applyFont="1" applyFill="1" applyBorder="1" applyAlignment="1">
      <alignment horizontal="center" vertical="center"/>
    </xf>
    <xf numFmtId="0" fontId="69" fillId="35" borderId="241" xfId="0" applyFont="1" applyFill="1" applyBorder="1" applyAlignment="1">
      <alignment horizontal="center" vertical="center"/>
    </xf>
    <xf numFmtId="0" fontId="69" fillId="37" borderId="241" xfId="0" applyFont="1" applyFill="1" applyBorder="1" applyAlignment="1">
      <alignment horizontal="center" vertical="center"/>
    </xf>
    <xf numFmtId="170" fontId="69" fillId="44" borderId="241" xfId="0" applyNumberFormat="1" applyFont="1" applyFill="1" applyBorder="1" applyAlignment="1">
      <alignment horizontal="center" vertical="center"/>
    </xf>
    <xf numFmtId="170" fontId="69" fillId="68" borderId="241" xfId="0" applyNumberFormat="1" applyFont="1" applyFill="1" applyBorder="1" applyAlignment="1">
      <alignment horizontal="center" vertical="center"/>
    </xf>
    <xf numFmtId="0" fontId="83" fillId="0" borderId="0" xfId="0" applyFont="1" applyBorder="1" applyAlignment="1">
      <alignment horizontal="left" vertical="center"/>
    </xf>
    <xf numFmtId="0" fontId="69" fillId="65" borderId="241" xfId="0" applyFont="1" applyFill="1" applyBorder="1" applyAlignment="1">
      <alignment horizontal="center" vertical="center"/>
    </xf>
    <xf numFmtId="0" fontId="69" fillId="9" borderId="241" xfId="0" applyFont="1" applyFill="1" applyBorder="1" applyAlignment="1">
      <alignment horizontal="center" vertical="center"/>
    </xf>
    <xf numFmtId="0" fontId="308" fillId="0" borderId="241" xfId="0" applyFont="1" applyFill="1" applyBorder="1" applyAlignment="1">
      <alignment horizontal="left" vertical="center"/>
    </xf>
    <xf numFmtId="0" fontId="69" fillId="0" borderId="103" xfId="0" applyFont="1" applyBorder="1" applyAlignment="1">
      <alignment horizontal="center" vertical="center"/>
    </xf>
    <xf numFmtId="0" fontId="69" fillId="0" borderId="0" xfId="0" applyFont="1" applyAlignment="1">
      <alignment horizontal="left" vertical="center"/>
    </xf>
    <xf numFmtId="0" fontId="69" fillId="0" borderId="62" xfId="0" applyFont="1" applyBorder="1" applyAlignment="1">
      <alignment horizontal="left" vertical="center"/>
    </xf>
    <xf numFmtId="0" fontId="315" fillId="0" borderId="0" xfId="0" applyFont="1" applyAlignment="1">
      <alignment horizontal="center" vertical="center"/>
    </xf>
    <xf numFmtId="0" fontId="314" fillId="0" borderId="0" xfId="0" applyFont="1" applyAlignment="1">
      <alignment horizontal="center" vertical="center"/>
    </xf>
    <xf numFmtId="0" fontId="69" fillId="0" borderId="0" xfId="0" applyFont="1" applyAlignment="1">
      <alignment horizontal="center" vertical="center"/>
    </xf>
    <xf numFmtId="43" fontId="306" fillId="0" borderId="223" xfId="0" applyNumberFormat="1" applyFont="1" applyBorder="1" applyAlignment="1">
      <alignment horizontal="left" vertical="center" indent="1"/>
    </xf>
    <xf numFmtId="0" fontId="332" fillId="95" borderId="174" xfId="0" applyFont="1" applyFill="1" applyBorder="1" applyAlignment="1">
      <alignment horizontal="center" vertical="center"/>
    </xf>
    <xf numFmtId="0" fontId="332" fillId="95" borderId="231" xfId="0" applyFont="1" applyFill="1" applyBorder="1" applyAlignment="1">
      <alignment horizontal="center" vertical="center"/>
    </xf>
    <xf numFmtId="165" fontId="83" fillId="86" borderId="206" xfId="0" applyNumberFormat="1" applyFont="1" applyFill="1" applyBorder="1" applyAlignment="1">
      <alignment horizontal="center" vertical="center"/>
    </xf>
    <xf numFmtId="43" fontId="306" fillId="0" borderId="223" xfId="0" applyNumberFormat="1" applyFont="1" applyBorder="1" applyAlignment="1">
      <alignment horizontal="left" vertical="center" indent="4"/>
    </xf>
    <xf numFmtId="0" fontId="69" fillId="46" borderId="224" xfId="0" applyFont="1" applyFill="1" applyBorder="1" applyAlignment="1">
      <alignment horizontal="center" vertical="center" wrapText="1"/>
    </xf>
    <xf numFmtId="0" fontId="69" fillId="46" borderId="223" xfId="0" applyFont="1" applyFill="1" applyBorder="1" applyAlignment="1">
      <alignment horizontal="center" vertical="center" wrapText="1"/>
    </xf>
    <xf numFmtId="0" fontId="69" fillId="46" borderId="175" xfId="0" applyFont="1" applyFill="1" applyBorder="1" applyAlignment="1">
      <alignment horizontal="center" vertical="center" wrapText="1"/>
    </xf>
    <xf numFmtId="0" fontId="69" fillId="46" borderId="231" xfId="0" applyFont="1" applyFill="1" applyBorder="1" applyAlignment="1">
      <alignment horizontal="center" vertical="center" wrapText="1"/>
    </xf>
    <xf numFmtId="0" fontId="69" fillId="46" borderId="0" xfId="0" applyFont="1" applyFill="1" applyBorder="1" applyAlignment="1">
      <alignment horizontal="center" vertical="center" wrapText="1"/>
    </xf>
    <xf numFmtId="0" fontId="69" fillId="46" borderId="206" xfId="0" applyFont="1" applyFill="1" applyBorder="1" applyAlignment="1">
      <alignment horizontal="center" vertical="center" wrapText="1"/>
    </xf>
    <xf numFmtId="0" fontId="69" fillId="46" borderId="201" xfId="0" applyFont="1" applyFill="1" applyBorder="1" applyAlignment="1">
      <alignment horizontal="center" vertical="center" wrapText="1"/>
    </xf>
    <xf numFmtId="0" fontId="69" fillId="46" borderId="239" xfId="0" applyFont="1" applyFill="1" applyBorder="1" applyAlignment="1">
      <alignment horizontal="center" vertical="center" wrapText="1"/>
    </xf>
    <xf numFmtId="0" fontId="69" fillId="46" borderId="196" xfId="0" applyFont="1" applyFill="1" applyBorder="1" applyAlignment="1">
      <alignment horizontal="center" vertical="center" wrapText="1"/>
    </xf>
    <xf numFmtId="0" fontId="69" fillId="0" borderId="0" xfId="0" applyNumberFormat="1" applyFont="1" applyBorder="1" applyAlignment="1">
      <alignment horizontal="center" vertical="center"/>
    </xf>
    <xf numFmtId="0" fontId="69" fillId="0" borderId="0" xfId="0" applyFont="1" applyBorder="1" applyAlignment="1">
      <alignment horizontal="center" vertical="center"/>
    </xf>
    <xf numFmtId="3" fontId="0" fillId="0" borderId="213" xfId="0" applyNumberFormat="1" applyBorder="1" applyAlignment="1">
      <alignment horizontal="center" vertical="center"/>
    </xf>
    <xf numFmtId="3" fontId="0" fillId="0" borderId="111" xfId="0" applyNumberFormat="1" applyBorder="1" applyAlignment="1">
      <alignment horizontal="center" vertical="center"/>
    </xf>
    <xf numFmtId="3" fontId="0" fillId="0" borderId="233" xfId="0" applyNumberFormat="1" applyBorder="1" applyAlignment="1">
      <alignment horizontal="center" vertical="center"/>
    </xf>
  </cellXfs>
  <cellStyles count="34143">
    <cellStyle name="Comma" xfId="1" builtinId="3"/>
    <cellStyle name="Comma 10" xfId="52"/>
    <cellStyle name="Comma 10 10" xfId="286"/>
    <cellStyle name="Comma 10 10 2" xfId="2762"/>
    <cellStyle name="Comma 10 10 2 2" xfId="9532"/>
    <cellStyle name="Comma 10 10 2 3" xfId="22222"/>
    <cellStyle name="Comma 10 10 2 4" xfId="19977"/>
    <cellStyle name="Comma 10 10 2 5" xfId="28687"/>
    <cellStyle name="Comma 10 10 3" xfId="3811"/>
    <cellStyle name="Comma 10 10 3 2" xfId="10581"/>
    <cellStyle name="Comma 10 10 3 3" xfId="23271"/>
    <cellStyle name="Comma 10 10 3 4" xfId="17298"/>
    <cellStyle name="Comma 10 10 3 5" xfId="30389"/>
    <cellStyle name="Comma 10 10 4" xfId="7056"/>
    <cellStyle name="Comma 10 10 5" xfId="14883"/>
    <cellStyle name="Comma 10 10 6" xfId="17872"/>
    <cellStyle name="Comma 10 10 7" xfId="32227"/>
    <cellStyle name="Comma 10 100" xfId="2340"/>
    <cellStyle name="Comma 10 100 2" xfId="4761"/>
    <cellStyle name="Comma 10 100 2 2" xfId="11531"/>
    <cellStyle name="Comma 10 100 2 3" xfId="24221"/>
    <cellStyle name="Comma 10 100 2 4" xfId="19492"/>
    <cellStyle name="Comma 10 100 2 5" xfId="28777"/>
    <cellStyle name="Comma 10 100 3" xfId="6637"/>
    <cellStyle name="Comma 10 100 3 2" xfId="13407"/>
    <cellStyle name="Comma 10 100 3 3" xfId="26097"/>
    <cellStyle name="Comma 10 100 3 4" xfId="14387"/>
    <cellStyle name="Comma 10 100 3 5" xfId="30745"/>
    <cellStyle name="Comma 10 100 4" xfId="9110"/>
    <cellStyle name="Comma 10 100 5" xfId="21819"/>
    <cellStyle name="Comma 10 100 6" xfId="19842"/>
    <cellStyle name="Comma 10 100 7" xfId="27210"/>
    <cellStyle name="Comma 10 101" xfId="2362"/>
    <cellStyle name="Comma 10 101 2" xfId="4781"/>
    <cellStyle name="Comma 10 101 2 2" xfId="11551"/>
    <cellStyle name="Comma 10 101 2 3" xfId="24241"/>
    <cellStyle name="Comma 10 101 2 4" xfId="13729"/>
    <cellStyle name="Comma 10 101 2 5" xfId="27767"/>
    <cellStyle name="Comma 10 101 3" xfId="6656"/>
    <cellStyle name="Comma 10 101 3 2" xfId="13426"/>
    <cellStyle name="Comma 10 101 3 3" xfId="26116"/>
    <cellStyle name="Comma 10 101 3 4" xfId="18607"/>
    <cellStyle name="Comma 10 101 3 5" xfId="27757"/>
    <cellStyle name="Comma 10 101 4" xfId="9132"/>
    <cellStyle name="Comma 10 101 5" xfId="21838"/>
    <cellStyle name="Comma 10 101 6" xfId="17861"/>
    <cellStyle name="Comma 10 101 7" xfId="28348"/>
    <cellStyle name="Comma 10 102" xfId="2383"/>
    <cellStyle name="Comma 10 102 2" xfId="4802"/>
    <cellStyle name="Comma 10 102 2 2" xfId="11572"/>
    <cellStyle name="Comma 10 102 2 3" xfId="24262"/>
    <cellStyle name="Comma 10 102 2 4" xfId="14961"/>
    <cellStyle name="Comma 10 102 2 5" xfId="31690"/>
    <cellStyle name="Comma 10 102 3" xfId="6674"/>
    <cellStyle name="Comma 10 102 3 2" xfId="13444"/>
    <cellStyle name="Comma 10 102 3 3" xfId="26134"/>
    <cellStyle name="Comma 10 102 3 4" xfId="18507"/>
    <cellStyle name="Comma 10 102 3 5" xfId="27722"/>
    <cellStyle name="Comma 10 102 4" xfId="9153"/>
    <cellStyle name="Comma 10 102 5" xfId="21856"/>
    <cellStyle name="Comma 10 102 6" xfId="17711"/>
    <cellStyle name="Comma 10 102 7" xfId="32204"/>
    <cellStyle name="Comma 10 103" xfId="2403"/>
    <cellStyle name="Comma 10 103 2" xfId="4821"/>
    <cellStyle name="Comma 10 103 2 2" xfId="11591"/>
    <cellStyle name="Comma 10 103 2 3" xfId="24281"/>
    <cellStyle name="Comma 10 103 2 4" xfId="19141"/>
    <cellStyle name="Comma 10 103 2 5" xfId="28685"/>
    <cellStyle name="Comma 10 103 3" xfId="6691"/>
    <cellStyle name="Comma 10 103 3 2" xfId="13461"/>
    <cellStyle name="Comma 10 103 3 3" xfId="26151"/>
    <cellStyle name="Comma 10 103 3 4" xfId="13635"/>
    <cellStyle name="Comma 10 103 3 5" xfId="30650"/>
    <cellStyle name="Comma 10 103 4" xfId="9173"/>
    <cellStyle name="Comma 10 103 5" xfId="21873"/>
    <cellStyle name="Comma 10 103 6" xfId="19477"/>
    <cellStyle name="Comma 10 103 7" xfId="31263"/>
    <cellStyle name="Comma 10 104" xfId="2422"/>
    <cellStyle name="Comma 10 104 2" xfId="4840"/>
    <cellStyle name="Comma 10 104 2 2" xfId="11610"/>
    <cellStyle name="Comma 10 104 2 3" xfId="24300"/>
    <cellStyle name="Comma 10 104 2 4" xfId="17076"/>
    <cellStyle name="Comma 10 104 2 5" xfId="30628"/>
    <cellStyle name="Comma 10 104 3" xfId="6708"/>
    <cellStyle name="Comma 10 104 3 2" xfId="13478"/>
    <cellStyle name="Comma 10 104 3 3" xfId="26168"/>
    <cellStyle name="Comma 10 104 3 4" xfId="16275"/>
    <cellStyle name="Comma 10 104 3 5" xfId="27741"/>
    <cellStyle name="Comma 10 104 4" xfId="9192"/>
    <cellStyle name="Comma 10 104 5" xfId="21890"/>
    <cellStyle name="Comma 10 104 6" xfId="17451"/>
    <cellStyle name="Comma 10 104 7" xfId="28263"/>
    <cellStyle name="Comma 10 105" xfId="2444"/>
    <cellStyle name="Comma 10 105 2" xfId="4862"/>
    <cellStyle name="Comma 10 105 2 2" xfId="11632"/>
    <cellStyle name="Comma 10 105 2 3" xfId="24322"/>
    <cellStyle name="Comma 10 105 2 4" xfId="14567"/>
    <cellStyle name="Comma 10 105 2 5" xfId="31597"/>
    <cellStyle name="Comma 10 105 3" xfId="6729"/>
    <cellStyle name="Comma 10 105 3 2" xfId="13499"/>
    <cellStyle name="Comma 10 105 3 3" xfId="26189"/>
    <cellStyle name="Comma 10 105 3 4" xfId="18258"/>
    <cellStyle name="Comma 10 105 3 5" xfId="29508"/>
    <cellStyle name="Comma 10 105 4" xfId="9214"/>
    <cellStyle name="Comma 10 105 5" xfId="21911"/>
    <cellStyle name="Comma 10 105 6" xfId="14944"/>
    <cellStyle name="Comma 10 105 7" xfId="29155"/>
    <cellStyle name="Comma 10 106" xfId="2465"/>
    <cellStyle name="Comma 10 106 2" xfId="4882"/>
    <cellStyle name="Comma 10 106 2 2" xfId="11652"/>
    <cellStyle name="Comma 10 106 2 3" xfId="24342"/>
    <cellStyle name="Comma 10 106 2 4" xfId="16019"/>
    <cellStyle name="Comma 10 106 2 5" xfId="30550"/>
    <cellStyle name="Comma 10 106 3" xfId="6747"/>
    <cellStyle name="Comma 10 106 3 2" xfId="13517"/>
    <cellStyle name="Comma 10 106 3 3" xfId="26207"/>
    <cellStyle name="Comma 10 106 3 4" xfId="18140"/>
    <cellStyle name="Comma 10 106 3 5" xfId="27383"/>
    <cellStyle name="Comma 10 106 4" xfId="9235"/>
    <cellStyle name="Comma 10 106 5" xfId="21929"/>
    <cellStyle name="Comma 10 106 6" xfId="14814"/>
    <cellStyle name="Comma 10 106 7" xfId="30027"/>
    <cellStyle name="Comma 10 107" xfId="2483"/>
    <cellStyle name="Comma 10 107 2" xfId="4900"/>
    <cellStyle name="Comma 10 107 2 2" xfId="11670"/>
    <cellStyle name="Comma 10 107 2 3" xfId="24360"/>
    <cellStyle name="Comma 10 107 2 4" xfId="16682"/>
    <cellStyle name="Comma 10 107 2 5" xfId="30500"/>
    <cellStyle name="Comma 10 107 3" xfId="6763"/>
    <cellStyle name="Comma 10 107 3 2" xfId="13533"/>
    <cellStyle name="Comma 10 107 3 3" xfId="26223"/>
    <cellStyle name="Comma 10 107 3 4" xfId="26244"/>
    <cellStyle name="Comma 10 107 3 5" xfId="26821"/>
    <cellStyle name="Comma 10 107 4" xfId="9253"/>
    <cellStyle name="Comma 10 107 5" xfId="21945"/>
    <cellStyle name="Comma 10 107 6" xfId="14669"/>
    <cellStyle name="Comma 10 107 7" xfId="30001"/>
    <cellStyle name="Comma 10 108" xfId="2493"/>
    <cellStyle name="Comma 10 108 2" xfId="4910"/>
    <cellStyle name="Comma 10 108 2 2" xfId="11680"/>
    <cellStyle name="Comma 10 108 2 3" xfId="24370"/>
    <cellStyle name="Comma 10 108 2 4" xfId="14236"/>
    <cellStyle name="Comma 10 108 2 5" xfId="30502"/>
    <cellStyle name="Comma 10 108 3" xfId="6773"/>
    <cellStyle name="Comma 10 108 3 2" xfId="13543"/>
    <cellStyle name="Comma 10 108 3 3" xfId="26233"/>
    <cellStyle name="Comma 10 108 3 4" xfId="26254"/>
    <cellStyle name="Comma 10 108 3 5" xfId="32442"/>
    <cellStyle name="Comma 10 108 4" xfId="9263"/>
    <cellStyle name="Comma 10 108 5" xfId="21955"/>
    <cellStyle name="Comma 10 108 6" xfId="18949"/>
    <cellStyle name="Comma 10 108 7" xfId="31115"/>
    <cellStyle name="Comma 10 109" xfId="2537"/>
    <cellStyle name="Comma 10 109 2" xfId="9307"/>
    <cellStyle name="Comma 10 109 3" xfId="21997"/>
    <cellStyle name="Comma 10 109 4" xfId="14334"/>
    <cellStyle name="Comma 10 109 5" xfId="29925"/>
    <cellStyle name="Comma 10 11" xfId="300"/>
    <cellStyle name="Comma 10 11 2" xfId="2776"/>
    <cellStyle name="Comma 10 11 2 2" xfId="9546"/>
    <cellStyle name="Comma 10 11 2 3" xfId="22236"/>
    <cellStyle name="Comma 10 11 2 4" xfId="15666"/>
    <cellStyle name="Comma 10 11 2 5" xfId="27675"/>
    <cellStyle name="Comma 10 11 3" xfId="3542"/>
    <cellStyle name="Comma 10 11 3 2" xfId="10312"/>
    <cellStyle name="Comma 10 11 3 3" xfId="23002"/>
    <cellStyle name="Comma 10 11 3 4" xfId="14571"/>
    <cellStyle name="Comma 10 11 3 5" xfId="27708"/>
    <cellStyle name="Comma 10 11 4" xfId="7070"/>
    <cellStyle name="Comma 10 11 5" xfId="13627"/>
    <cellStyle name="Comma 10 11 6" xfId="19644"/>
    <cellStyle name="Comma 10 11 7" xfId="31287"/>
    <cellStyle name="Comma 10 110" xfId="3905"/>
    <cellStyle name="Comma 10 110 2" xfId="10675"/>
    <cellStyle name="Comma 10 110 3" xfId="23365"/>
    <cellStyle name="Comma 10 110 4" xfId="14310"/>
    <cellStyle name="Comma 10 110 5" xfId="29535"/>
    <cellStyle name="Comma 10 111" xfId="6822"/>
    <cellStyle name="Comma 10 112" xfId="14974"/>
    <cellStyle name="Comma 10 113" xfId="16255"/>
    <cellStyle name="Comma 10 114" xfId="26698"/>
    <cellStyle name="Comma 10 115" xfId="32495"/>
    <cellStyle name="Comma 10 116" xfId="32518"/>
    <cellStyle name="Comma 10 117" xfId="32541"/>
    <cellStyle name="Comma 10 118" xfId="32564"/>
    <cellStyle name="Comma 10 119" xfId="32587"/>
    <cellStyle name="Comma 10 12" xfId="334"/>
    <cellStyle name="Comma 10 12 2" xfId="2810"/>
    <cellStyle name="Comma 10 12 2 2" xfId="9580"/>
    <cellStyle name="Comma 10 12 2 3" xfId="22270"/>
    <cellStyle name="Comma 10 12 2 4" xfId="17444"/>
    <cellStyle name="Comma 10 12 2 5" xfId="28612"/>
    <cellStyle name="Comma 10 12 3" xfId="2848"/>
    <cellStyle name="Comma 10 12 3 2" xfId="9618"/>
    <cellStyle name="Comma 10 12 3 3" xfId="22308"/>
    <cellStyle name="Comma 10 12 3 4" xfId="8336"/>
    <cellStyle name="Comma 10 12 3 5" xfId="27429"/>
    <cellStyle name="Comma 10 12 4" xfId="7104"/>
    <cellStyle name="Comma 10 12 5" xfId="13937"/>
    <cellStyle name="Comma 10 12 6" xfId="17550"/>
    <cellStyle name="Comma 10 12 7" xfId="32160"/>
    <cellStyle name="Comma 10 120" xfId="32610"/>
    <cellStyle name="Comma 10 121" xfId="32633"/>
    <cellStyle name="Comma 10 122" xfId="32656"/>
    <cellStyle name="Comma 10 123" xfId="32679"/>
    <cellStyle name="Comma 10 124" xfId="32702"/>
    <cellStyle name="Comma 10 125" xfId="32725"/>
    <cellStyle name="Comma 10 126" xfId="32748"/>
    <cellStyle name="Comma 10 127" xfId="32771"/>
    <cellStyle name="Comma 10 128" xfId="32794"/>
    <cellStyle name="Comma 10 129" xfId="32817"/>
    <cellStyle name="Comma 10 13" xfId="357"/>
    <cellStyle name="Comma 10 13 2" xfId="2833"/>
    <cellStyle name="Comma 10 13 2 2" xfId="9603"/>
    <cellStyle name="Comma 10 13 2 3" xfId="22293"/>
    <cellStyle name="Comma 10 13 2 4" xfId="8632"/>
    <cellStyle name="Comma 10 13 2 5" xfId="30655"/>
    <cellStyle name="Comma 10 13 3" xfId="4916"/>
    <cellStyle name="Comma 10 13 3 2" xfId="11686"/>
    <cellStyle name="Comma 10 13 3 3" xfId="24376"/>
    <cellStyle name="Comma 10 13 3 4" xfId="14214"/>
    <cellStyle name="Comma 10 13 3 5" xfId="32434"/>
    <cellStyle name="Comma 10 13 4" xfId="7127"/>
    <cellStyle name="Comma 10 13 5" xfId="20098"/>
    <cellStyle name="Comma 10 13 6" xfId="19313"/>
    <cellStyle name="Comma 10 13 7" xfId="27055"/>
    <cellStyle name="Comma 10 130" xfId="32840"/>
    <cellStyle name="Comma 10 131" xfId="32863"/>
    <cellStyle name="Comma 10 132" xfId="32886"/>
    <cellStyle name="Comma 10 133" xfId="32908"/>
    <cellStyle name="Comma 10 134" xfId="32931"/>
    <cellStyle name="Comma 10 135" xfId="32954"/>
    <cellStyle name="Comma 10 136" xfId="32977"/>
    <cellStyle name="Comma 10 137" xfId="33000"/>
    <cellStyle name="Comma 10 138" xfId="33023"/>
    <cellStyle name="Comma 10 139" xfId="33046"/>
    <cellStyle name="Comma 10 14" xfId="380"/>
    <cellStyle name="Comma 10 14 2" xfId="2856"/>
    <cellStyle name="Comma 10 14 2 2" xfId="9626"/>
    <cellStyle name="Comma 10 14 2 3" xfId="22316"/>
    <cellStyle name="Comma 10 14 2 4" xfId="6940"/>
    <cellStyle name="Comma 10 14 2 5" xfId="27398"/>
    <cellStyle name="Comma 10 14 3" xfId="4936"/>
    <cellStyle name="Comma 10 14 3 2" xfId="11706"/>
    <cellStyle name="Comma 10 14 3 3" xfId="24396"/>
    <cellStyle name="Comma 10 14 3 4" xfId="16438"/>
    <cellStyle name="Comma 10 14 3 5" xfId="31516"/>
    <cellStyle name="Comma 10 14 4" xfId="7150"/>
    <cellStyle name="Comma 10 14 5" xfId="20118"/>
    <cellStyle name="Comma 10 14 6" xfId="14892"/>
    <cellStyle name="Comma 10 14 7" xfId="30032"/>
    <cellStyle name="Comma 10 140" xfId="33069"/>
    <cellStyle name="Comma 10 141" xfId="33092"/>
    <cellStyle name="Comma 10 142" xfId="33115"/>
    <cellStyle name="Comma 10 143" xfId="33137"/>
    <cellStyle name="Comma 10 144" xfId="33160"/>
    <cellStyle name="Comma 10 145" xfId="33179"/>
    <cellStyle name="Comma 10 146" xfId="33194"/>
    <cellStyle name="Comma 10 147" xfId="33216"/>
    <cellStyle name="Comma 10 148" xfId="33226"/>
    <cellStyle name="Comma 10 149" xfId="33271"/>
    <cellStyle name="Comma 10 15" xfId="403"/>
    <cellStyle name="Comma 10 15 2" xfId="2879"/>
    <cellStyle name="Comma 10 15 2 2" xfId="9649"/>
    <cellStyle name="Comma 10 15 2 3" xfId="22339"/>
    <cellStyle name="Comma 10 15 2 4" xfId="7697"/>
    <cellStyle name="Comma 10 15 2 5" xfId="30335"/>
    <cellStyle name="Comma 10 15 3" xfId="4956"/>
    <cellStyle name="Comma 10 15 3 2" xfId="11726"/>
    <cellStyle name="Comma 10 15 3 3" xfId="24416"/>
    <cellStyle name="Comma 10 15 3 4" xfId="18337"/>
    <cellStyle name="Comma 10 15 3 5" xfId="30306"/>
    <cellStyle name="Comma 10 15 4" xfId="7173"/>
    <cellStyle name="Comma 10 15 5" xfId="20138"/>
    <cellStyle name="Comma 10 15 6" xfId="17094"/>
    <cellStyle name="Comma 10 15 7" xfId="28165"/>
    <cellStyle name="Comma 10 150" xfId="33294"/>
    <cellStyle name="Comma 10 151" xfId="33317"/>
    <cellStyle name="Comma 10 152" xfId="33340"/>
    <cellStyle name="Comma 10 153" xfId="33363"/>
    <cellStyle name="Comma 10 154" xfId="33386"/>
    <cellStyle name="Comma 10 155" xfId="33409"/>
    <cellStyle name="Comma 10 156" xfId="33432"/>
    <cellStyle name="Comma 10 157" xfId="33455"/>
    <cellStyle name="Comma 10 158" xfId="33478"/>
    <cellStyle name="Comma 10 159" xfId="33501"/>
    <cellStyle name="Comma 10 16" xfId="426"/>
    <cellStyle name="Comma 10 16 2" xfId="2901"/>
    <cellStyle name="Comma 10 16 2 2" xfId="9671"/>
    <cellStyle name="Comma 10 16 2 3" xfId="22361"/>
    <cellStyle name="Comma 10 16 2 4" xfId="9024"/>
    <cellStyle name="Comma 10 16 2 5" xfId="31476"/>
    <cellStyle name="Comma 10 16 3" xfId="4976"/>
    <cellStyle name="Comma 10 16 3 2" xfId="11746"/>
    <cellStyle name="Comma 10 16 3 3" xfId="24436"/>
    <cellStyle name="Comma 10 16 3 4" xfId="17085"/>
    <cellStyle name="Comma 10 16 3 5" xfId="31785"/>
    <cellStyle name="Comma 10 16 4" xfId="7196"/>
    <cellStyle name="Comma 10 16 5" xfId="20158"/>
    <cellStyle name="Comma 10 16 6" xfId="18902"/>
    <cellStyle name="Comma 10 16 7" xfId="31088"/>
    <cellStyle name="Comma 10 160" xfId="33524"/>
    <cellStyle name="Comma 10 161" xfId="33547"/>
    <cellStyle name="Comma 10 162" xfId="33570"/>
    <cellStyle name="Comma 10 163" xfId="33593"/>
    <cellStyle name="Comma 10 164" xfId="33616"/>
    <cellStyle name="Comma 10 165" xfId="33639"/>
    <cellStyle name="Comma 10 166" xfId="33661"/>
    <cellStyle name="Comma 10 167" xfId="33683"/>
    <cellStyle name="Comma 10 168" xfId="33706"/>
    <cellStyle name="Comma 10 169" xfId="33729"/>
    <cellStyle name="Comma 10 17" xfId="448"/>
    <cellStyle name="Comma 10 17 2" xfId="2923"/>
    <cellStyle name="Comma 10 17 2 2" xfId="9693"/>
    <cellStyle name="Comma 10 17 2 3" xfId="22383"/>
    <cellStyle name="Comma 10 17 2 4" xfId="8569"/>
    <cellStyle name="Comma 10 17 2 5" xfId="31675"/>
    <cellStyle name="Comma 10 17 3" xfId="4995"/>
    <cellStyle name="Comma 10 17 3 2" xfId="11765"/>
    <cellStyle name="Comma 10 17 3 3" xfId="24455"/>
    <cellStyle name="Comma 10 17 3 4" xfId="19999"/>
    <cellStyle name="Comma 10 17 3 5" xfId="28780"/>
    <cellStyle name="Comma 10 17 4" xfId="7218"/>
    <cellStyle name="Comma 10 17 5" xfId="20177"/>
    <cellStyle name="Comma 10 17 6" xfId="16808"/>
    <cellStyle name="Comma 10 17 7" xfId="32005"/>
    <cellStyle name="Comma 10 170" xfId="33752"/>
    <cellStyle name="Comma 10 171" xfId="33775"/>
    <cellStyle name="Comma 10 172" xfId="33798"/>
    <cellStyle name="Comma 10 173" xfId="33821"/>
    <cellStyle name="Comma 10 174" xfId="33844"/>
    <cellStyle name="Comma 10 175" xfId="33867"/>
    <cellStyle name="Comma 10 176" xfId="33890"/>
    <cellStyle name="Comma 10 177" xfId="33913"/>
    <cellStyle name="Comma 10 178" xfId="33936"/>
    <cellStyle name="Comma 10 179" xfId="33959"/>
    <cellStyle name="Comma 10 18" xfId="471"/>
    <cellStyle name="Comma 10 18 2" xfId="2946"/>
    <cellStyle name="Comma 10 18 2 2" xfId="9716"/>
    <cellStyle name="Comma 10 18 2 3" xfId="22406"/>
    <cellStyle name="Comma 10 18 2 4" xfId="8089"/>
    <cellStyle name="Comma 10 18 2 5" xfId="26506"/>
    <cellStyle name="Comma 10 18 3" xfId="5015"/>
    <cellStyle name="Comma 10 18 3 2" xfId="11785"/>
    <cellStyle name="Comma 10 18 3 3" xfId="24475"/>
    <cellStyle name="Comma 10 18 3 4" xfId="6850"/>
    <cellStyle name="Comma 10 18 3 5" xfId="27772"/>
    <cellStyle name="Comma 10 18 4" xfId="7241"/>
    <cellStyle name="Comma 10 18 5" xfId="20197"/>
    <cellStyle name="Comma 10 18 6" xfId="18628"/>
    <cellStyle name="Comma 10 18 7" xfId="26874"/>
    <cellStyle name="Comma 10 180" xfId="33982"/>
    <cellStyle name="Comma 10 181" xfId="34004"/>
    <cellStyle name="Comma 10 182" xfId="34024"/>
    <cellStyle name="Comma 10 183" xfId="34042"/>
    <cellStyle name="Comma 10 184" xfId="34052"/>
    <cellStyle name="Comma 10 19" xfId="494"/>
    <cellStyle name="Comma 10 19 2" xfId="2969"/>
    <cellStyle name="Comma 10 19 2 2" xfId="9739"/>
    <cellStyle name="Comma 10 19 2 3" xfId="22429"/>
    <cellStyle name="Comma 10 19 2 4" xfId="7611"/>
    <cellStyle name="Comma 10 19 2 5" xfId="30299"/>
    <cellStyle name="Comma 10 19 3" xfId="5035"/>
    <cellStyle name="Comma 10 19 3 2" xfId="11805"/>
    <cellStyle name="Comma 10 19 3 3" xfId="24495"/>
    <cellStyle name="Comma 10 19 3 4" xfId="17916"/>
    <cellStyle name="Comma 10 19 3 5" xfId="29571"/>
    <cellStyle name="Comma 10 19 4" xfId="7264"/>
    <cellStyle name="Comma 10 19 5" xfId="20217"/>
    <cellStyle name="Comma 10 19 6" xfId="14118"/>
    <cellStyle name="Comma 10 19 7" xfId="29860"/>
    <cellStyle name="Comma 10 2" xfId="103"/>
    <cellStyle name="Comma 10 2 2" xfId="2587"/>
    <cellStyle name="Comma 10 2 2 2" xfId="9357"/>
    <cellStyle name="Comma 10 2 2 3" xfId="22047"/>
    <cellStyle name="Comma 10 2 2 4" xfId="16353"/>
    <cellStyle name="Comma 10 2 2 5" xfId="30831"/>
    <cellStyle name="Comma 10 2 3" xfId="4586"/>
    <cellStyle name="Comma 10 2 3 2" xfId="11356"/>
    <cellStyle name="Comma 10 2 3 3" xfId="24046"/>
    <cellStyle name="Comma 10 2 3 4" xfId="14082"/>
    <cellStyle name="Comma 10 2 3 5" xfId="30856"/>
    <cellStyle name="Comma 10 2 4" xfId="6873"/>
    <cellStyle name="Comma 10 2 5" xfId="15643"/>
    <cellStyle name="Comma 10 2 6" xfId="17305"/>
    <cellStyle name="Comma 10 2 7" xfId="27771"/>
    <cellStyle name="Comma 10 20" xfId="517"/>
    <cellStyle name="Comma 10 20 2" xfId="2992"/>
    <cellStyle name="Comma 10 20 2 2" xfId="9762"/>
    <cellStyle name="Comma 10 20 2 3" xfId="22452"/>
    <cellStyle name="Comma 10 20 2 4" xfId="7130"/>
    <cellStyle name="Comma 10 20 2 5" xfId="28457"/>
    <cellStyle name="Comma 10 20 3" xfId="5055"/>
    <cellStyle name="Comma 10 20 3 2" xfId="11825"/>
    <cellStyle name="Comma 10 20 3 3" xfId="24515"/>
    <cellStyle name="Comma 10 20 3 4" xfId="19666"/>
    <cellStyle name="Comma 10 20 3 5" xfId="31655"/>
    <cellStyle name="Comma 10 20 4" xfId="7287"/>
    <cellStyle name="Comma 10 20 5" xfId="20237"/>
    <cellStyle name="Comma 10 20 6" xfId="16343"/>
    <cellStyle name="Comma 10 20 7" xfId="27981"/>
    <cellStyle name="Comma 10 21" xfId="540"/>
    <cellStyle name="Comma 10 21 2" xfId="3013"/>
    <cellStyle name="Comma 10 21 2 2" xfId="9783"/>
    <cellStyle name="Comma 10 21 2 3" xfId="22473"/>
    <cellStyle name="Comma 10 21 2 4" xfId="7124"/>
    <cellStyle name="Comma 10 21 2 5" xfId="32307"/>
    <cellStyle name="Comma 10 21 3" xfId="5075"/>
    <cellStyle name="Comma 10 21 3 2" xfId="11845"/>
    <cellStyle name="Comma 10 21 3 3" xfId="24535"/>
    <cellStyle name="Comma 10 21 3 4" xfId="15278"/>
    <cellStyle name="Comma 10 21 3 5" xfId="30620"/>
    <cellStyle name="Comma 10 21 4" xfId="7310"/>
    <cellStyle name="Comma 10 21 5" xfId="20257"/>
    <cellStyle name="Comma 10 21 6" xfId="16176"/>
    <cellStyle name="Comma 10 21 7" xfId="30906"/>
    <cellStyle name="Comma 10 22" xfId="563"/>
    <cellStyle name="Comma 10 22 2" xfId="3036"/>
    <cellStyle name="Comma 10 22 2 2" xfId="9806"/>
    <cellStyle name="Comma 10 22 2 3" xfId="22496"/>
    <cellStyle name="Comma 10 22 2 4" xfId="16912"/>
    <cellStyle name="Comma 10 22 2 5" xfId="27228"/>
    <cellStyle name="Comma 10 22 3" xfId="5095"/>
    <cellStyle name="Comma 10 22 3 2" xfId="11865"/>
    <cellStyle name="Comma 10 22 3 3" xfId="24555"/>
    <cellStyle name="Comma 10 22 3 4" xfId="17532"/>
    <cellStyle name="Comma 10 22 3 5" xfId="19601"/>
    <cellStyle name="Comma 10 22 4" xfId="7333"/>
    <cellStyle name="Comma 10 22 5" xfId="20277"/>
    <cellStyle name="Comma 10 22 6" xfId="15775"/>
    <cellStyle name="Comma 10 22 7" xfId="28869"/>
    <cellStyle name="Comma 10 23" xfId="586"/>
    <cellStyle name="Comma 10 23 2" xfId="3059"/>
    <cellStyle name="Comma 10 23 2 2" xfId="9829"/>
    <cellStyle name="Comma 10 23 2 3" xfId="22519"/>
    <cellStyle name="Comma 10 23 2 4" xfId="15599"/>
    <cellStyle name="Comma 10 23 2 5" xfId="30179"/>
    <cellStyle name="Comma 10 23 3" xfId="5116"/>
    <cellStyle name="Comma 10 23 3 2" xfId="11886"/>
    <cellStyle name="Comma 10 23 3 3" xfId="24576"/>
    <cellStyle name="Comma 10 23 3 4" xfId="16018"/>
    <cellStyle name="Comma 10 23 3 5" xfId="30605"/>
    <cellStyle name="Comma 10 23 4" xfId="7356"/>
    <cellStyle name="Comma 10 23 5" xfId="20298"/>
    <cellStyle name="Comma 10 23 6" xfId="16223"/>
    <cellStyle name="Comma 10 23 7" xfId="31809"/>
    <cellStyle name="Comma 10 24" xfId="607"/>
    <cellStyle name="Comma 10 24 2" xfId="3080"/>
    <cellStyle name="Comma 10 24 2 2" xfId="9850"/>
    <cellStyle name="Comma 10 24 2 3" xfId="22540"/>
    <cellStyle name="Comma 10 24 2 4" xfId="15481"/>
    <cellStyle name="Comma 10 24 2 5" xfId="29255"/>
    <cellStyle name="Comma 10 24 3" xfId="5134"/>
    <cellStyle name="Comma 10 24 3 2" xfId="11904"/>
    <cellStyle name="Comma 10 24 3 3" xfId="24594"/>
    <cellStyle name="Comma 10 24 3 4" xfId="17271"/>
    <cellStyle name="Comma 10 24 3 5" xfId="30384"/>
    <cellStyle name="Comma 10 24 4" xfId="7377"/>
    <cellStyle name="Comma 10 24 5" xfId="20316"/>
    <cellStyle name="Comma 10 24 6" xfId="18235"/>
    <cellStyle name="Comma 10 24 7" xfId="27831"/>
    <cellStyle name="Comma 10 25" xfId="626"/>
    <cellStyle name="Comma 10 25 2" xfId="3099"/>
    <cellStyle name="Comma 10 25 2 2" xfId="9869"/>
    <cellStyle name="Comma 10 25 2 3" xfId="22559"/>
    <cellStyle name="Comma 10 25 2 4" xfId="19606"/>
    <cellStyle name="Comma 10 25 2 5" xfId="30484"/>
    <cellStyle name="Comma 10 25 3" xfId="5151"/>
    <cellStyle name="Comma 10 25 3 2" xfId="11921"/>
    <cellStyle name="Comma 10 25 3 3" xfId="24611"/>
    <cellStyle name="Comma 10 25 3 4" xfId="19100"/>
    <cellStyle name="Comma 10 25 3 5" xfId="27400"/>
    <cellStyle name="Comma 10 25 4" xfId="7396"/>
    <cellStyle name="Comma 10 25 5" xfId="20333"/>
    <cellStyle name="Comma 10 25 6" xfId="15724"/>
    <cellStyle name="Comma 10 25 7" xfId="29666"/>
    <cellStyle name="Comma 10 26" xfId="655"/>
    <cellStyle name="Comma 10 26 2" xfId="3128"/>
    <cellStyle name="Comma 10 26 2 2" xfId="9898"/>
    <cellStyle name="Comma 10 26 2 3" xfId="22588"/>
    <cellStyle name="Comma 10 26 2 4" xfId="15165"/>
    <cellStyle name="Comma 10 26 2 5" xfId="29191"/>
    <cellStyle name="Comma 10 26 3" xfId="5176"/>
    <cellStyle name="Comma 10 26 3 2" xfId="11946"/>
    <cellStyle name="Comma 10 26 3 3" xfId="24636"/>
    <cellStyle name="Comma 10 26 3 4" xfId="17046"/>
    <cellStyle name="Comma 10 26 3 5" xfId="32411"/>
    <cellStyle name="Comma 10 26 4" xfId="7425"/>
    <cellStyle name="Comma 10 26 5" xfId="20358"/>
    <cellStyle name="Comma 10 26 6" xfId="17571"/>
    <cellStyle name="Comma 10 26 7" xfId="27755"/>
    <cellStyle name="Comma 10 27" xfId="676"/>
    <cellStyle name="Comma 10 27 2" xfId="3148"/>
    <cellStyle name="Comma 10 27 2 2" xfId="9918"/>
    <cellStyle name="Comma 10 27 2 3" xfId="22608"/>
    <cellStyle name="Comma 10 27 2 4" xfId="17419"/>
    <cellStyle name="Comma 10 27 2 5" xfId="28233"/>
    <cellStyle name="Comma 10 27 3" xfId="5194"/>
    <cellStyle name="Comma 10 27 3 2" xfId="11964"/>
    <cellStyle name="Comma 10 27 3 3" xfId="24654"/>
    <cellStyle name="Comma 10 27 3 4" xfId="16878"/>
    <cellStyle name="Comma 10 27 3 5" xfId="32387"/>
    <cellStyle name="Comma 10 27 4" xfId="7446"/>
    <cellStyle name="Comma 10 27 5" xfId="20376"/>
    <cellStyle name="Comma 10 27 6" xfId="19333"/>
    <cellStyle name="Comma 10 27 7" xfId="31668"/>
    <cellStyle name="Comma 10 28" xfId="698"/>
    <cellStyle name="Comma 10 28 2" xfId="3170"/>
    <cellStyle name="Comma 10 28 2 2" xfId="9940"/>
    <cellStyle name="Comma 10 28 2 3" xfId="22630"/>
    <cellStyle name="Comma 10 28 2 4" xfId="13722"/>
    <cellStyle name="Comma 10 28 2 5" xfId="29137"/>
    <cellStyle name="Comma 10 28 3" xfId="5214"/>
    <cellStyle name="Comma 10 28 3 2" xfId="11984"/>
    <cellStyle name="Comma 10 28 3 3" xfId="24674"/>
    <cellStyle name="Comma 10 28 3 4" xfId="16758"/>
    <cellStyle name="Comma 10 28 3 5" xfId="31457"/>
    <cellStyle name="Comma 10 28 4" xfId="7468"/>
    <cellStyle name="Comma 10 28 5" xfId="20396"/>
    <cellStyle name="Comma 10 28 6" xfId="19198"/>
    <cellStyle name="Comma 10 28 7" xfId="27279"/>
    <cellStyle name="Comma 10 29" xfId="721"/>
    <cellStyle name="Comma 10 29 2" xfId="3193"/>
    <cellStyle name="Comma 10 29 2 2" xfId="9963"/>
    <cellStyle name="Comma 10 29 2 3" xfId="22653"/>
    <cellStyle name="Comma 10 29 2 4" xfId="17113"/>
    <cellStyle name="Comma 10 29 2 5" xfId="32064"/>
    <cellStyle name="Comma 10 29 3" xfId="5233"/>
    <cellStyle name="Comma 10 29 3 2" xfId="12003"/>
    <cellStyle name="Comma 10 29 3 3" xfId="24693"/>
    <cellStyle name="Comma 10 29 3 4" xfId="16614"/>
    <cellStyle name="Comma 10 29 3 5" xfId="27500"/>
    <cellStyle name="Comma 10 29 4" xfId="7491"/>
    <cellStyle name="Comma 10 29 5" xfId="20415"/>
    <cellStyle name="Comma 10 29 6" xfId="6818"/>
    <cellStyle name="Comma 10 29 7" xfId="27631"/>
    <cellStyle name="Comma 10 3" xfId="127"/>
    <cellStyle name="Comma 10 3 2" xfId="2611"/>
    <cellStyle name="Comma 10 3 2 2" xfId="9381"/>
    <cellStyle name="Comma 10 3 2 3" xfId="22071"/>
    <cellStyle name="Comma 10 3 2 4" xfId="16197"/>
    <cellStyle name="Comma 10 3 2 5" xfId="31891"/>
    <cellStyle name="Comma 10 3 3" xfId="4089"/>
    <cellStyle name="Comma 10 3 3 2" xfId="10859"/>
    <cellStyle name="Comma 10 3 3 3" xfId="23549"/>
    <cellStyle name="Comma 10 3 3 4" xfId="19494"/>
    <cellStyle name="Comma 10 3 3 5" xfId="29165"/>
    <cellStyle name="Comma 10 3 4" xfId="6897"/>
    <cellStyle name="Comma 10 3 5" xfId="15169"/>
    <cellStyle name="Comma 10 3 6" xfId="17151"/>
    <cellStyle name="Comma 10 3 7" xfId="27738"/>
    <cellStyle name="Comma 10 30" xfId="744"/>
    <cellStyle name="Comma 10 30 2" xfId="3215"/>
    <cellStyle name="Comma 10 30 2 2" xfId="9985"/>
    <cellStyle name="Comma 10 30 2 3" xfId="22675"/>
    <cellStyle name="Comma 10 30 2 4" xfId="14604"/>
    <cellStyle name="Comma 10 30 2 5" xfId="29962"/>
    <cellStyle name="Comma 10 30 3" xfId="5253"/>
    <cellStyle name="Comma 10 30 3 2" xfId="12023"/>
    <cellStyle name="Comma 10 30 3 3" xfId="24713"/>
    <cellStyle name="Comma 10 30 3 4" xfId="18475"/>
    <cellStyle name="Comma 10 30 3 5" xfId="26339"/>
    <cellStyle name="Comma 10 30 4" xfId="7514"/>
    <cellStyle name="Comma 10 30 5" xfId="20435"/>
    <cellStyle name="Comma 10 30 6" xfId="18883"/>
    <cellStyle name="Comma 10 30 7" xfId="30547"/>
    <cellStyle name="Comma 10 31" xfId="768"/>
    <cellStyle name="Comma 10 31 2" xfId="3239"/>
    <cellStyle name="Comma 10 31 2 2" xfId="10009"/>
    <cellStyle name="Comma 10 31 2 3" xfId="22699"/>
    <cellStyle name="Comma 10 31 2 4" xfId="14451"/>
    <cellStyle name="Comma 10 31 2 5" xfId="29934"/>
    <cellStyle name="Comma 10 31 3" xfId="5274"/>
    <cellStyle name="Comma 10 31 3 2" xfId="12044"/>
    <cellStyle name="Comma 10 31 3 3" xfId="24734"/>
    <cellStyle name="Comma 10 31 3 4" xfId="18356"/>
    <cellStyle name="Comma 10 31 3 5" xfId="30471"/>
    <cellStyle name="Comma 10 31 4" xfId="7538"/>
    <cellStyle name="Comma 10 31 5" xfId="20456"/>
    <cellStyle name="Comma 10 31 6" xfId="16719"/>
    <cellStyle name="Comma 10 31 7" xfId="31557"/>
    <cellStyle name="Comma 10 32" xfId="792"/>
    <cellStyle name="Comma 10 32 2" xfId="3260"/>
    <cellStyle name="Comma 10 32 2 2" xfId="10030"/>
    <cellStyle name="Comma 10 32 2 3" xfId="22720"/>
    <cellStyle name="Comma 10 32 2 4" xfId="14300"/>
    <cellStyle name="Comma 10 32 2 5" xfId="29004"/>
    <cellStyle name="Comma 10 32 3" xfId="5294"/>
    <cellStyle name="Comma 10 32 3 2" xfId="12064"/>
    <cellStyle name="Comma 10 32 3 3" xfId="24754"/>
    <cellStyle name="Comma 10 32 3 4" xfId="13838"/>
    <cellStyle name="Comma 10 32 3 5" xfId="15498"/>
    <cellStyle name="Comma 10 32 4" xfId="7562"/>
    <cellStyle name="Comma 10 32 5" xfId="20476"/>
    <cellStyle name="Comma 10 32 6" xfId="14157"/>
    <cellStyle name="Comma 10 32 7" xfId="31524"/>
    <cellStyle name="Comma 10 33" xfId="815"/>
    <cellStyle name="Comma 10 33 2" xfId="3283"/>
    <cellStyle name="Comma 10 33 2 2" xfId="10053"/>
    <cellStyle name="Comma 10 33 2 3" xfId="22743"/>
    <cellStyle name="Comma 10 33 2 4" xfId="16521"/>
    <cellStyle name="Comma 10 33 2 5" xfId="31934"/>
    <cellStyle name="Comma 10 33 3" xfId="5314"/>
    <cellStyle name="Comma 10 33 3 2" xfId="12084"/>
    <cellStyle name="Comma 10 33 3 3" xfId="24774"/>
    <cellStyle name="Comma 10 33 3 4" xfId="18203"/>
    <cellStyle name="Comma 10 33 3 5" xfId="14176"/>
    <cellStyle name="Comma 10 33 4" xfId="7585"/>
    <cellStyle name="Comma 10 33 5" xfId="20496"/>
    <cellStyle name="Comma 10 33 6" xfId="17978"/>
    <cellStyle name="Comma 10 33 7" xfId="29416"/>
    <cellStyle name="Comma 10 34" xfId="838"/>
    <cellStyle name="Comma 10 34 2" xfId="3304"/>
    <cellStyle name="Comma 10 34 2 2" xfId="10074"/>
    <cellStyle name="Comma 10 34 2 3" xfId="22764"/>
    <cellStyle name="Comma 10 34 2 4" xfId="15990"/>
    <cellStyle name="Comma 10 34 2 5" xfId="27986"/>
    <cellStyle name="Comma 10 34 3" xfId="5334"/>
    <cellStyle name="Comma 10 34 3 2" xfId="12104"/>
    <cellStyle name="Comma 10 34 3 3" xfId="24794"/>
    <cellStyle name="Comma 10 34 3 4" xfId="19908"/>
    <cellStyle name="Comma 10 34 3 5" xfId="14552"/>
    <cellStyle name="Comma 10 34 4" xfId="7608"/>
    <cellStyle name="Comma 10 34 5" xfId="20516"/>
    <cellStyle name="Comma 10 34 6" xfId="16143"/>
    <cellStyle name="Comma 10 34 7" xfId="31579"/>
    <cellStyle name="Comma 10 35" xfId="861"/>
    <cellStyle name="Comma 10 35 2" xfId="3326"/>
    <cellStyle name="Comma 10 35 2 2" xfId="10096"/>
    <cellStyle name="Comma 10 35 2 3" xfId="22786"/>
    <cellStyle name="Comma 10 35 2 4" xfId="13855"/>
    <cellStyle name="Comma 10 35 2 5" xfId="28910"/>
    <cellStyle name="Comma 10 35 3" xfId="5354"/>
    <cellStyle name="Comma 10 35 3 2" xfId="12124"/>
    <cellStyle name="Comma 10 35 3 3" xfId="24814"/>
    <cellStyle name="Comma 10 35 3 4" xfId="18013"/>
    <cellStyle name="Comma 10 35 3 5" xfId="16340"/>
    <cellStyle name="Comma 10 35 4" xfId="7631"/>
    <cellStyle name="Comma 10 35 5" xfId="20536"/>
    <cellStyle name="Comma 10 35 6" xfId="15314"/>
    <cellStyle name="Comma 10 35 7" xfId="26379"/>
    <cellStyle name="Comma 10 36" xfId="884"/>
    <cellStyle name="Comma 10 36 2" xfId="3349"/>
    <cellStyle name="Comma 10 36 2 2" xfId="10119"/>
    <cellStyle name="Comma 10 36 2 3" xfId="22809"/>
    <cellStyle name="Comma 10 36 2 4" xfId="18198"/>
    <cellStyle name="Comma 10 36 2 5" xfId="31843"/>
    <cellStyle name="Comma 10 36 3" xfId="5374"/>
    <cellStyle name="Comma 10 36 3 2" xfId="12144"/>
    <cellStyle name="Comma 10 36 3 3" xfId="24834"/>
    <cellStyle name="Comma 10 36 3 4" xfId="18142"/>
    <cellStyle name="Comma 10 36 3 5" xfId="17593"/>
    <cellStyle name="Comma 10 36 4" xfId="7654"/>
    <cellStyle name="Comma 10 36 5" xfId="20556"/>
    <cellStyle name="Comma 10 36 6" xfId="17547"/>
    <cellStyle name="Comma 10 36 7" xfId="30371"/>
    <cellStyle name="Comma 10 37" xfId="907"/>
    <cellStyle name="Comma 10 37 2" xfId="3371"/>
    <cellStyle name="Comma 10 37 2 2" xfId="10141"/>
    <cellStyle name="Comma 10 37 2 3" xfId="22831"/>
    <cellStyle name="Comma 10 37 2 4" xfId="15678"/>
    <cellStyle name="Comma 10 37 2 5" xfId="29741"/>
    <cellStyle name="Comma 10 37 3" xfId="5394"/>
    <cellStyle name="Comma 10 37 3 2" xfId="12164"/>
    <cellStyle name="Comma 10 37 3 3" xfId="24854"/>
    <cellStyle name="Comma 10 37 3 4" xfId="15340"/>
    <cellStyle name="Comma 10 37 3 5" xfId="15727"/>
    <cellStyle name="Comma 10 37 4" xfId="7677"/>
    <cellStyle name="Comma 10 37 5" xfId="20576"/>
    <cellStyle name="Comma 10 37 6" xfId="19310"/>
    <cellStyle name="Comma 10 37 7" xfId="28507"/>
    <cellStyle name="Comma 10 38" xfId="930"/>
    <cellStyle name="Comma 10 38 2" xfId="3394"/>
    <cellStyle name="Comma 10 38 2 2" xfId="10164"/>
    <cellStyle name="Comma 10 38 2 3" xfId="22854"/>
    <cellStyle name="Comma 10 38 2 4" xfId="17901"/>
    <cellStyle name="Comma 10 38 2 5" xfId="27835"/>
    <cellStyle name="Comma 10 38 3" xfId="5414"/>
    <cellStyle name="Comma 10 38 3 2" xfId="12184"/>
    <cellStyle name="Comma 10 38 3 3" xfId="24874"/>
    <cellStyle name="Comma 10 38 3 4" xfId="17595"/>
    <cellStyle name="Comma 10 38 3 5" xfId="14445"/>
    <cellStyle name="Comma 10 38 4" xfId="7700"/>
    <cellStyle name="Comma 10 38 5" xfId="20596"/>
    <cellStyle name="Comma 10 38 6" xfId="14867"/>
    <cellStyle name="Comma 10 38 7" xfId="31477"/>
    <cellStyle name="Comma 10 39" xfId="953"/>
    <cellStyle name="Comma 10 39 2" xfId="3417"/>
    <cellStyle name="Comma 10 39 2 2" xfId="10187"/>
    <cellStyle name="Comma 10 39 2 3" xfId="22877"/>
    <cellStyle name="Comma 10 39 2 4" xfId="19633"/>
    <cellStyle name="Comma 10 39 2 5" xfId="30755"/>
    <cellStyle name="Comma 10 39 3" xfId="5435"/>
    <cellStyle name="Comma 10 39 3 2" xfId="12205"/>
    <cellStyle name="Comma 10 39 3 3" xfId="24895"/>
    <cellStyle name="Comma 10 39 3 4" xfId="17445"/>
    <cellStyle name="Comma 10 39 3 5" xfId="17439"/>
    <cellStyle name="Comma 10 39 4" xfId="7723"/>
    <cellStyle name="Comma 10 39 5" xfId="20617"/>
    <cellStyle name="Comma 10 39 6" xfId="17091"/>
    <cellStyle name="Comma 10 39 7" xfId="29243"/>
    <cellStyle name="Comma 10 4" xfId="150"/>
    <cellStyle name="Comma 10 4 2" xfId="2634"/>
    <cellStyle name="Comma 10 4 2 2" xfId="9404"/>
    <cellStyle name="Comma 10 4 2 3" xfId="22094"/>
    <cellStyle name="Comma 10 4 2 4" xfId="20004"/>
    <cellStyle name="Comma 10 4 2 5" xfId="26749"/>
    <cellStyle name="Comma 10 4 3" xfId="3420"/>
    <cellStyle name="Comma 10 4 3 2" xfId="10190"/>
    <cellStyle name="Comma 10 4 3 3" xfId="22880"/>
    <cellStyle name="Comma 10 4 3 4" xfId="19615"/>
    <cellStyle name="Comma 10 4 3 5" xfId="26619"/>
    <cellStyle name="Comma 10 4 4" xfId="6920"/>
    <cellStyle name="Comma 10 4 5" xfId="14716"/>
    <cellStyle name="Comma 10 4 6" xfId="17639"/>
    <cellStyle name="Comma 10 4 7" xfId="30656"/>
    <cellStyle name="Comma 10 40" xfId="974"/>
    <cellStyle name="Comma 10 40 2" xfId="3438"/>
    <cellStyle name="Comma 10 40 2 2" xfId="10208"/>
    <cellStyle name="Comma 10 40 2 3" xfId="22898"/>
    <cellStyle name="Comma 10 40 2 4" xfId="19516"/>
    <cellStyle name="Comma 10 40 2 5" xfId="26593"/>
    <cellStyle name="Comma 10 40 3" xfId="5453"/>
    <cellStyle name="Comma 10 40 3 2" xfId="12223"/>
    <cellStyle name="Comma 10 40 3 3" xfId="24913"/>
    <cellStyle name="Comma 10 40 3 4" xfId="17338"/>
    <cellStyle name="Comma 10 40 3 5" xfId="14175"/>
    <cellStyle name="Comma 10 40 4" xfId="7744"/>
    <cellStyle name="Comma 10 40 5" xfId="20635"/>
    <cellStyle name="Comma 10 40 6" xfId="16958"/>
    <cellStyle name="Comma 10 40 7" xfId="30107"/>
    <cellStyle name="Comma 10 41" xfId="997"/>
    <cellStyle name="Comma 10 41 2" xfId="3461"/>
    <cellStyle name="Comma 10 41 2 2" xfId="10231"/>
    <cellStyle name="Comma 10 41 2 3" xfId="22921"/>
    <cellStyle name="Comma 10 41 2 4" xfId="13733"/>
    <cellStyle name="Comma 10 41 2 5" xfId="29593"/>
    <cellStyle name="Comma 10 41 3" xfId="5473"/>
    <cellStyle name="Comma 10 41 3 2" xfId="12243"/>
    <cellStyle name="Comma 10 41 3 3" xfId="24933"/>
    <cellStyle name="Comma 10 41 3 4" xfId="17423"/>
    <cellStyle name="Comma 10 41 3 5" xfId="14870"/>
    <cellStyle name="Comma 10 41 4" xfId="7767"/>
    <cellStyle name="Comma 10 41 5" xfId="20655"/>
    <cellStyle name="Comma 10 41 6" xfId="18764"/>
    <cellStyle name="Comma 10 41 7" xfId="28249"/>
    <cellStyle name="Comma 10 42" xfId="1021"/>
    <cellStyle name="Comma 10 42 2" xfId="3485"/>
    <cellStyle name="Comma 10 42 2 2" xfId="10255"/>
    <cellStyle name="Comma 10 42 2 3" xfId="22945"/>
    <cellStyle name="Comma 10 42 2 4" xfId="14943"/>
    <cellStyle name="Comma 10 42 2 5" xfId="29549"/>
    <cellStyle name="Comma 10 42 3" xfId="5493"/>
    <cellStyle name="Comma 10 42 3 2" xfId="12263"/>
    <cellStyle name="Comma 10 42 3 3" xfId="24953"/>
    <cellStyle name="Comma 10 42 3 4" xfId="14695"/>
    <cellStyle name="Comma 10 42 3 5" xfId="17115"/>
    <cellStyle name="Comma 10 42 4" xfId="7791"/>
    <cellStyle name="Comma 10 42 5" xfId="20675"/>
    <cellStyle name="Comma 10 42 6" xfId="18624"/>
    <cellStyle name="Comma 10 42 7" xfId="31194"/>
    <cellStyle name="Comma 10 43" xfId="1043"/>
    <cellStyle name="Comma 10 43 2" xfId="3505"/>
    <cellStyle name="Comma 10 43 2 2" xfId="10275"/>
    <cellStyle name="Comma 10 43 2 3" xfId="22965"/>
    <cellStyle name="Comma 10 43 2 4" xfId="17188"/>
    <cellStyle name="Comma 10 43 2 5" xfId="31608"/>
    <cellStyle name="Comma 10 43 3" xfId="5512"/>
    <cellStyle name="Comma 10 43 3 2" xfId="12282"/>
    <cellStyle name="Comma 10 43 3 3" xfId="24972"/>
    <cellStyle name="Comma 10 43 3 4" xfId="18904"/>
    <cellStyle name="Comma 10 43 3 5" xfId="26304"/>
    <cellStyle name="Comma 10 43 4" xfId="7813"/>
    <cellStyle name="Comma 10 43 5" xfId="20694"/>
    <cellStyle name="Comma 10 43 6" xfId="18489"/>
    <cellStyle name="Comma 10 43 7" xfId="32070"/>
    <cellStyle name="Comma 10 44" xfId="1065"/>
    <cellStyle name="Comma 10 44 2" xfId="3527"/>
    <cellStyle name="Comma 10 44 2 2" xfId="10297"/>
    <cellStyle name="Comma 10 44 2 3" xfId="22987"/>
    <cellStyle name="Comma 10 44 2 4" xfId="13690"/>
    <cellStyle name="Comma 10 44 2 5" xfId="29488"/>
    <cellStyle name="Comma 10 44 3" xfId="5531"/>
    <cellStyle name="Comma 10 44 3 2" xfId="12301"/>
    <cellStyle name="Comma 10 44 3 3" xfId="24991"/>
    <cellStyle name="Comma 10 44 3 4" xfId="16495"/>
    <cellStyle name="Comma 10 44 3 5" xfId="30455"/>
    <cellStyle name="Comma 10 44 4" xfId="7835"/>
    <cellStyle name="Comma 10 44 5" xfId="20713"/>
    <cellStyle name="Comma 10 44 6" xfId="16317"/>
    <cellStyle name="Comma 10 44 7" xfId="28138"/>
    <cellStyle name="Comma 10 45" xfId="1088"/>
    <cellStyle name="Comma 10 45 2" xfId="3549"/>
    <cellStyle name="Comma 10 45 2 2" xfId="10319"/>
    <cellStyle name="Comma 10 45 2 3" xfId="23009"/>
    <cellStyle name="Comma 10 45 2 4" xfId="18852"/>
    <cellStyle name="Comma 10 45 2 5" xfId="26831"/>
    <cellStyle name="Comma 10 45 3" xfId="5551"/>
    <cellStyle name="Comma 10 45 3 2" xfId="12321"/>
    <cellStyle name="Comma 10 45 3 3" xfId="25011"/>
    <cellStyle name="Comma 10 45 3 4" xfId="18670"/>
    <cellStyle name="Comma 10 45 3 5" xfId="31449"/>
    <cellStyle name="Comma 10 45 4" xfId="7858"/>
    <cellStyle name="Comma 10 45 5" xfId="20733"/>
    <cellStyle name="Comma 10 45 6" xfId="19752"/>
    <cellStyle name="Comma 10 45 7" xfId="31058"/>
    <cellStyle name="Comma 10 46" xfId="1111"/>
    <cellStyle name="Comma 10 46 2" xfId="3572"/>
    <cellStyle name="Comma 10 46 2 2" xfId="10342"/>
    <cellStyle name="Comma 10 46 2 3" xfId="23032"/>
    <cellStyle name="Comma 10 46 2 4" xfId="14377"/>
    <cellStyle name="Comma 10 46 2 5" xfId="29462"/>
    <cellStyle name="Comma 10 46 3" xfId="5571"/>
    <cellStyle name="Comma 10 46 3 2" xfId="12341"/>
    <cellStyle name="Comma 10 46 3 3" xfId="25031"/>
    <cellStyle name="Comma 10 46 3 4" xfId="13607"/>
    <cellStyle name="Comma 10 46 3 5" xfId="30251"/>
    <cellStyle name="Comma 10 46 4" xfId="7881"/>
    <cellStyle name="Comma 10 46 5" xfId="20753"/>
    <cellStyle name="Comma 10 46 6" xfId="15376"/>
    <cellStyle name="Comma 10 46 7" xfId="29001"/>
    <cellStyle name="Comma 10 47" xfId="1133"/>
    <cellStyle name="Comma 10 47 2" xfId="3594"/>
    <cellStyle name="Comma 10 47 2 2" xfId="10364"/>
    <cellStyle name="Comma 10 47 2 3" xfId="23054"/>
    <cellStyle name="Comma 10 47 2 4" xfId="17745"/>
    <cellStyle name="Comma 10 47 2 5" xfId="27350"/>
    <cellStyle name="Comma 10 47 3" xfId="5590"/>
    <cellStyle name="Comma 10 47 3 2" xfId="12360"/>
    <cellStyle name="Comma 10 47 3 3" xfId="25050"/>
    <cellStyle name="Comma 10 47 3 4" xfId="18435"/>
    <cellStyle name="Comma 10 47 3 5" xfId="27243"/>
    <cellStyle name="Comma 10 47 4" xfId="7903"/>
    <cellStyle name="Comma 10 47 5" xfId="20772"/>
    <cellStyle name="Comma 10 47 6" xfId="19504"/>
    <cellStyle name="Comma 10 47 7" xfId="29862"/>
    <cellStyle name="Comma 10 48" xfId="1156"/>
    <cellStyle name="Comma 10 48 2" xfId="3616"/>
    <cellStyle name="Comma 10 48 2 2" xfId="10386"/>
    <cellStyle name="Comma 10 48 2 3" xfId="23076"/>
    <cellStyle name="Comma 10 48 2 4" xfId="16442"/>
    <cellStyle name="Comma 10 48 2 5" xfId="27540"/>
    <cellStyle name="Comma 10 48 3" xfId="5611"/>
    <cellStyle name="Comma 10 48 3 2" xfId="12381"/>
    <cellStyle name="Comma 10 48 3 3" xfId="25071"/>
    <cellStyle name="Comma 10 48 3 4" xfId="18316"/>
    <cellStyle name="Comma 10 48 3 5" xfId="31362"/>
    <cellStyle name="Comma 10 48 4" xfId="7926"/>
    <cellStyle name="Comma 10 48 5" xfId="20793"/>
    <cellStyle name="Comma 10 48 6" xfId="15079"/>
    <cellStyle name="Comma 10 48 7" xfId="27972"/>
    <cellStyle name="Comma 10 49" xfId="1176"/>
    <cellStyle name="Comma 10 49 2" xfId="3636"/>
    <cellStyle name="Comma 10 49 2 2" xfId="10406"/>
    <cellStyle name="Comma 10 49 2 3" xfId="23096"/>
    <cellStyle name="Comma 10 49 2 4" xfId="18341"/>
    <cellStyle name="Comma 10 49 2 5" xfId="26420"/>
    <cellStyle name="Comma 10 49 3" xfId="5628"/>
    <cellStyle name="Comma 10 49 3 2" xfId="12398"/>
    <cellStyle name="Comma 10 49 3 3" xfId="25088"/>
    <cellStyle name="Comma 10 49 3 4" xfId="13830"/>
    <cellStyle name="Comma 10 49 3 5" xfId="29285"/>
    <cellStyle name="Comma 10 49 4" xfId="7946"/>
    <cellStyle name="Comma 10 49 5" xfId="20810"/>
    <cellStyle name="Comma 10 49 6" xfId="17331"/>
    <cellStyle name="Comma 10 49 7" xfId="30876"/>
    <cellStyle name="Comma 10 5" xfId="173"/>
    <cellStyle name="Comma 10 5 2" xfId="2656"/>
    <cellStyle name="Comma 10 5 2 2" xfId="9426"/>
    <cellStyle name="Comma 10 5 2 3" xfId="22116"/>
    <cellStyle name="Comma 10 5 2 4" xfId="16693"/>
    <cellStyle name="Comma 10 5 2 5" xfId="27474"/>
    <cellStyle name="Comma 10 5 3" xfId="3173"/>
    <cellStyle name="Comma 10 5 3 2" xfId="9943"/>
    <cellStyle name="Comma 10 5 3 3" xfId="22633"/>
    <cellStyle name="Comma 10 5 3 4" xfId="14890"/>
    <cellStyle name="Comma 10 5 3 5" xfId="30026"/>
    <cellStyle name="Comma 10 5 4" xfId="6943"/>
    <cellStyle name="Comma 10 5 5" xfId="14256"/>
    <cellStyle name="Comma 10 5 6" xfId="14466"/>
    <cellStyle name="Comma 10 5 7" xfId="28633"/>
    <cellStyle name="Comma 10 50" xfId="1195"/>
    <cellStyle name="Comma 10 50 2" xfId="3655"/>
    <cellStyle name="Comma 10 50 2 2" xfId="10425"/>
    <cellStyle name="Comma 10 50 2 3" xfId="23115"/>
    <cellStyle name="Comma 10 50 2 4" xfId="13819"/>
    <cellStyle name="Comma 10 50 2 5" xfId="31084"/>
    <cellStyle name="Comma 10 50 3" xfId="5645"/>
    <cellStyle name="Comma 10 50 3 2" xfId="12415"/>
    <cellStyle name="Comma 10 50 3 3" xfId="25105"/>
    <cellStyle name="Comma 10 50 3 4" xfId="18150"/>
    <cellStyle name="Comma 10 50 3 5" xfId="32226"/>
    <cellStyle name="Comma 10 50 4" xfId="7965"/>
    <cellStyle name="Comma 10 50 5" xfId="20827"/>
    <cellStyle name="Comma 10 50 6" xfId="13653"/>
    <cellStyle name="Comma 10 50 7" xfId="27875"/>
    <cellStyle name="Comma 10 51" xfId="1224"/>
    <cellStyle name="Comma 10 51 2" xfId="3684"/>
    <cellStyle name="Comma 10 51 2 2" xfId="10454"/>
    <cellStyle name="Comma 10 51 2 3" xfId="23144"/>
    <cellStyle name="Comma 10 51 2 4" xfId="19951"/>
    <cellStyle name="Comma 10 51 2 5" xfId="27390"/>
    <cellStyle name="Comma 10 51 3" xfId="5669"/>
    <cellStyle name="Comma 10 51 3 2" xfId="12439"/>
    <cellStyle name="Comma 10 51 3 3" xfId="25129"/>
    <cellStyle name="Comma 10 51 3 4" xfId="6789"/>
    <cellStyle name="Comma 10 51 3 5" xfId="32198"/>
    <cellStyle name="Comma 10 51 4" xfId="7994"/>
    <cellStyle name="Comma 10 51 5" xfId="20851"/>
    <cellStyle name="Comma 10 51 6" xfId="17000"/>
    <cellStyle name="Comma 10 51 7" xfId="30787"/>
    <cellStyle name="Comma 10 52" xfId="1247"/>
    <cellStyle name="Comma 10 52 2" xfId="3707"/>
    <cellStyle name="Comma 10 52 2 2" xfId="10477"/>
    <cellStyle name="Comma 10 52 2 3" xfId="23167"/>
    <cellStyle name="Comma 10 52 2 4" xfId="15589"/>
    <cellStyle name="Comma 10 52 2 5" xfId="30329"/>
    <cellStyle name="Comma 10 52 3" xfId="5689"/>
    <cellStyle name="Comma 10 52 3 2" xfId="12459"/>
    <cellStyle name="Comma 10 52 3 3" xfId="25149"/>
    <cellStyle name="Comma 10 52 3 4" xfId="15616"/>
    <cellStyle name="Comma 10 52 3 5" xfId="31247"/>
    <cellStyle name="Comma 10 52 4" xfId="8017"/>
    <cellStyle name="Comma 10 52 5" xfId="20871"/>
    <cellStyle name="Comma 10 52 6" xfId="18820"/>
    <cellStyle name="Comma 10 52 7" xfId="26618"/>
    <cellStyle name="Comma 10 53" xfId="1270"/>
    <cellStyle name="Comma 10 53 2" xfId="3729"/>
    <cellStyle name="Comma 10 53 2 2" xfId="10499"/>
    <cellStyle name="Comma 10 53 2 3" xfId="23189"/>
    <cellStyle name="Comma 10 53 2 4" xfId="19707"/>
    <cellStyle name="Comma 10 53 2 5" xfId="31470"/>
    <cellStyle name="Comma 10 53 3" xfId="5709"/>
    <cellStyle name="Comma 10 53 3 2" xfId="12479"/>
    <cellStyle name="Comma 10 53 3 3" xfId="25169"/>
    <cellStyle name="Comma 10 53 3 4" xfId="16047"/>
    <cellStyle name="Comma 10 53 3 5" xfId="30068"/>
    <cellStyle name="Comma 10 53 4" xfId="8040"/>
    <cellStyle name="Comma 10 53 5" xfId="20891"/>
    <cellStyle name="Comma 10 53 6" xfId="14341"/>
    <cellStyle name="Comma 10 53 7" xfId="29612"/>
    <cellStyle name="Comma 10 54" xfId="1293"/>
    <cellStyle name="Comma 10 54 2" xfId="3751"/>
    <cellStyle name="Comma 10 54 2 2" xfId="10521"/>
    <cellStyle name="Comma 10 54 2 3" xfId="23211"/>
    <cellStyle name="Comma 10 54 2 4" xfId="17687"/>
    <cellStyle name="Comma 10 54 2 5" xfId="31593"/>
    <cellStyle name="Comma 10 54 3" xfId="5729"/>
    <cellStyle name="Comma 10 54 3 2" xfId="12499"/>
    <cellStyle name="Comma 10 54 3 3" xfId="25189"/>
    <cellStyle name="Comma 10 54 3 4" xfId="19558"/>
    <cellStyle name="Comma 10 54 3 5" xfId="31521"/>
    <cellStyle name="Comma 10 54 4" xfId="8063"/>
    <cellStyle name="Comma 10 54 5" xfId="20911"/>
    <cellStyle name="Comma 10 54 6" xfId="16538"/>
    <cellStyle name="Comma 10 54 7" xfId="28463"/>
    <cellStyle name="Comma 10 55" xfId="1316"/>
    <cellStyle name="Comma 10 55 2" xfId="3774"/>
    <cellStyle name="Comma 10 55 2 2" xfId="10544"/>
    <cellStyle name="Comma 10 55 2 3" xfId="23234"/>
    <cellStyle name="Comma 10 55 2 4" xfId="19435"/>
    <cellStyle name="Comma 10 55 2 5" xfId="26411"/>
    <cellStyle name="Comma 10 55 3" xfId="5749"/>
    <cellStyle name="Comma 10 55 3 2" xfId="12519"/>
    <cellStyle name="Comma 10 55 3 3" xfId="25209"/>
    <cellStyle name="Comma 10 55 3 4" xfId="15178"/>
    <cellStyle name="Comma 10 55 3 5" xfId="31152"/>
    <cellStyle name="Comma 10 55 4" xfId="8086"/>
    <cellStyle name="Comma 10 55 5" xfId="20931"/>
    <cellStyle name="Comma 10 55 6" xfId="19804"/>
    <cellStyle name="Comma 10 55 7" xfId="31398"/>
    <cellStyle name="Comma 10 56" xfId="1339"/>
    <cellStyle name="Comma 10 56 2" xfId="3796"/>
    <cellStyle name="Comma 10 56 2 2" xfId="10566"/>
    <cellStyle name="Comma 10 56 2 3" xfId="23256"/>
    <cellStyle name="Comma 10 56 2 4" xfId="17408"/>
    <cellStyle name="Comma 10 56 2 5" xfId="27508"/>
    <cellStyle name="Comma 10 56 3" xfId="5769"/>
    <cellStyle name="Comma 10 56 3 2" xfId="12539"/>
    <cellStyle name="Comma 10 56 3 3" xfId="25229"/>
    <cellStyle name="Comma 10 56 3 4" xfId="17411"/>
    <cellStyle name="Comma 10 56 3 5" xfId="29986"/>
    <cellStyle name="Comma 10 56 4" xfId="8109"/>
    <cellStyle name="Comma 10 56 5" xfId="20951"/>
    <cellStyle name="Comma 10 56 6" xfId="15432"/>
    <cellStyle name="Comma 10 56 7" xfId="29308"/>
    <cellStyle name="Comma 10 57" xfId="1362"/>
    <cellStyle name="Comma 10 57 2" xfId="3819"/>
    <cellStyle name="Comma 10 57 2 2" xfId="10589"/>
    <cellStyle name="Comma 10 57 2 3" xfId="23279"/>
    <cellStyle name="Comma 10 57 2 4" xfId="16391"/>
    <cellStyle name="Comma 10 57 2 5" xfId="31540"/>
    <cellStyle name="Comma 10 57 3" xfId="5789"/>
    <cellStyle name="Comma 10 57 3 2" xfId="12559"/>
    <cellStyle name="Comma 10 57 3 3" xfId="25249"/>
    <cellStyle name="Comma 10 57 3 4" xfId="19207"/>
    <cellStyle name="Comma 10 57 3 5" xfId="32023"/>
    <cellStyle name="Comma 10 57 4" xfId="8132"/>
    <cellStyle name="Comma 10 57 5" xfId="20971"/>
    <cellStyle name="Comma 10 57 6" xfId="17670"/>
    <cellStyle name="Comma 10 57 7" xfId="32249"/>
    <cellStyle name="Comma 10 58" xfId="1385"/>
    <cellStyle name="Comma 10 58 2" xfId="3841"/>
    <cellStyle name="Comma 10 58 2 2" xfId="10611"/>
    <cellStyle name="Comma 10 58 2 3" xfId="23301"/>
    <cellStyle name="Comma 10 58 2 4" xfId="17101"/>
    <cellStyle name="Comma 10 58 2 5" xfId="32398"/>
    <cellStyle name="Comma 10 58 3" xfId="5809"/>
    <cellStyle name="Comma 10 58 3 2" xfId="12579"/>
    <cellStyle name="Comma 10 58 3 3" xfId="25269"/>
    <cellStyle name="Comma 10 58 3 4" xfId="14792"/>
    <cellStyle name="Comma 10 58 3 5" xfId="31056"/>
    <cellStyle name="Comma 10 58 4" xfId="8155"/>
    <cellStyle name="Comma 10 58 5" xfId="20991"/>
    <cellStyle name="Comma 10 58 6" xfId="19400"/>
    <cellStyle name="Comma 10 58 7" xfId="27156"/>
    <cellStyle name="Comma 10 59" xfId="1408"/>
    <cellStyle name="Comma 10 59 2" xfId="3863"/>
    <cellStyle name="Comma 10 59 2 2" xfId="10633"/>
    <cellStyle name="Comma 10 59 2 3" xfId="23323"/>
    <cellStyle name="Comma 10 59 2 4" xfId="14591"/>
    <cellStyle name="Comma 10 59 2 5" xfId="30294"/>
    <cellStyle name="Comma 10 59 3" xfId="5829"/>
    <cellStyle name="Comma 10 59 3 2" xfId="12599"/>
    <cellStyle name="Comma 10 59 3 3" xfId="25289"/>
    <cellStyle name="Comma 10 59 3 4" xfId="17038"/>
    <cellStyle name="Comma 10 59 3 5" xfId="29900"/>
    <cellStyle name="Comma 10 59 4" xfId="8178"/>
    <cellStyle name="Comma 10 59 5" xfId="21011"/>
    <cellStyle name="Comma 10 59 6" xfId="14991"/>
    <cellStyle name="Comma 10 59 7" xfId="30113"/>
    <cellStyle name="Comma 10 6" xfId="196"/>
    <cellStyle name="Comma 10 6 2" xfId="2677"/>
    <cellStyle name="Comma 10 6 2 2" xfId="9447"/>
    <cellStyle name="Comma 10 6 2 3" xfId="22137"/>
    <cellStyle name="Comma 10 6 2 4" xfId="16537"/>
    <cellStyle name="Comma 10 6 2 5" xfId="31794"/>
    <cellStyle name="Comma 10 6 3" xfId="4866"/>
    <cellStyle name="Comma 10 6 3 2" xfId="11636"/>
    <cellStyle name="Comma 10 6 3 3" xfId="24326"/>
    <cellStyle name="Comma 10 6 3 4" xfId="18866"/>
    <cellStyle name="Comma 10 6 3 5" xfId="29509"/>
    <cellStyle name="Comma 10 6 4" xfId="6966"/>
    <cellStyle name="Comma 10 6 5" xfId="13791"/>
    <cellStyle name="Comma 10 6 6" xfId="16691"/>
    <cellStyle name="Comma 10 6 7" xfId="32345"/>
    <cellStyle name="Comma 10 60" xfId="1431"/>
    <cellStyle name="Comma 10 60 2" xfId="3885"/>
    <cellStyle name="Comma 10 60 2 2" xfId="10655"/>
    <cellStyle name="Comma 10 60 2 3" xfId="23345"/>
    <cellStyle name="Comma 10 60 2 4" xfId="17315"/>
    <cellStyle name="Comma 10 60 2 5" xfId="30663"/>
    <cellStyle name="Comma 10 60 3" xfId="5849"/>
    <cellStyle name="Comma 10 60 3 2" xfId="12619"/>
    <cellStyle name="Comma 10 60 3 3" xfId="25309"/>
    <cellStyle name="Comma 10 60 3 4" xfId="18854"/>
    <cellStyle name="Comma 10 60 3 5" xfId="31938"/>
    <cellStyle name="Comma 10 60 4" xfId="8201"/>
    <cellStyle name="Comma 10 60 5" xfId="21031"/>
    <cellStyle name="Comma 10 60 6" xfId="17213"/>
    <cellStyle name="Comma 10 60 7" xfId="28266"/>
    <cellStyle name="Comma 10 61" xfId="1454"/>
    <cellStyle name="Comma 10 61 2" xfId="3908"/>
    <cellStyle name="Comma 10 61 2 2" xfId="10678"/>
    <cellStyle name="Comma 10 61 2 3" xfId="23368"/>
    <cellStyle name="Comma 10 61 2 4" xfId="14287"/>
    <cellStyle name="Comma 10 61 2 5" xfId="28638"/>
    <cellStyle name="Comma 10 61 3" xfId="5869"/>
    <cellStyle name="Comma 10 61 3 2" xfId="12639"/>
    <cellStyle name="Comma 10 61 3 3" xfId="25329"/>
    <cellStyle name="Comma 10 61 3 4" xfId="14379"/>
    <cellStyle name="Comma 10 61 3 5" xfId="30960"/>
    <cellStyle name="Comma 10 61 4" xfId="8224"/>
    <cellStyle name="Comma 10 61 5" xfId="21051"/>
    <cellStyle name="Comma 10 61 6" xfId="18989"/>
    <cellStyle name="Comma 10 61 7" xfId="31193"/>
    <cellStyle name="Comma 10 62" xfId="1477"/>
    <cellStyle name="Comma 10 62 2" xfId="3931"/>
    <cellStyle name="Comma 10 62 2 2" xfId="10701"/>
    <cellStyle name="Comma 10 62 2 3" xfId="23391"/>
    <cellStyle name="Comma 10 62 2 4" xfId="16508"/>
    <cellStyle name="Comma 10 62 2 5" xfId="26424"/>
    <cellStyle name="Comma 10 62 3" xfId="5889"/>
    <cellStyle name="Comma 10 62 3 2" xfId="12659"/>
    <cellStyle name="Comma 10 62 3 3" xfId="25349"/>
    <cellStyle name="Comma 10 62 3 4" xfId="16621"/>
    <cellStyle name="Comma 10 62 3 5" xfId="29813"/>
    <cellStyle name="Comma 10 62 4" xfId="8247"/>
    <cellStyle name="Comma 10 62 5" xfId="21071"/>
    <cellStyle name="Comma 10 62 6" xfId="14530"/>
    <cellStyle name="Comma 10 62 7" xfId="29122"/>
    <cellStyle name="Comma 10 63" xfId="1500"/>
    <cellStyle name="Comma 10 63 2" xfId="3953"/>
    <cellStyle name="Comma 10 63 2 2" xfId="10723"/>
    <cellStyle name="Comma 10 63 2 3" xfId="23413"/>
    <cellStyle name="Comma 10 63 2 4" xfId="13995"/>
    <cellStyle name="Comma 10 63 2 5" xfId="28431"/>
    <cellStyle name="Comma 10 63 3" xfId="5909"/>
    <cellStyle name="Comma 10 63 3 2" xfId="12679"/>
    <cellStyle name="Comma 10 63 3 3" xfId="25369"/>
    <cellStyle name="Comma 10 63 3 4" xfId="18522"/>
    <cellStyle name="Comma 10 63 3 5" xfId="31858"/>
    <cellStyle name="Comma 10 63 4" xfId="8270"/>
    <cellStyle name="Comma 10 63 5" xfId="21091"/>
    <cellStyle name="Comma 10 63 6" xfId="16752"/>
    <cellStyle name="Comma 10 63 7" xfId="32059"/>
    <cellStyle name="Comma 10 64" xfId="1523"/>
    <cellStyle name="Comma 10 64 2" xfId="3975"/>
    <cellStyle name="Comma 10 64 2 2" xfId="10745"/>
    <cellStyle name="Comma 10 64 2 3" xfId="23435"/>
    <cellStyle name="Comma 10 64 2 4" xfId="15969"/>
    <cellStyle name="Comma 10 64 2 5" xfId="29315"/>
    <cellStyle name="Comma 10 64 3" xfId="5929"/>
    <cellStyle name="Comma 10 64 3 2" xfId="12699"/>
    <cellStyle name="Comma 10 64 3 3" xfId="25389"/>
    <cellStyle name="Comma 10 64 3 4" xfId="13977"/>
    <cellStyle name="Comma 10 64 3 5" xfId="30446"/>
    <cellStyle name="Comma 10 64 4" xfId="8293"/>
    <cellStyle name="Comma 10 64 5" xfId="21111"/>
    <cellStyle name="Comma 10 64 6" xfId="17659"/>
    <cellStyle name="Comma 10 64 7" xfId="26937"/>
    <cellStyle name="Comma 10 65" xfId="1546"/>
    <cellStyle name="Comma 10 65 2" xfId="3997"/>
    <cellStyle name="Comma 10 65 2 2" xfId="10767"/>
    <cellStyle name="Comma 10 65 2 3" xfId="23457"/>
    <cellStyle name="Comma 10 65 2 4" xfId="18188"/>
    <cellStyle name="Comma 10 65 2 5" xfId="26330"/>
    <cellStyle name="Comma 10 65 3" xfId="5949"/>
    <cellStyle name="Comma 10 65 3 2" xfId="12719"/>
    <cellStyle name="Comma 10 65 3 3" xfId="25409"/>
    <cellStyle name="Comma 10 65 3 4" xfId="16219"/>
    <cellStyle name="Comma 10 65 3 5" xfId="29725"/>
    <cellStyle name="Comma 10 65 4" xfId="8316"/>
    <cellStyle name="Comma 10 65 5" xfId="21131"/>
    <cellStyle name="Comma 10 65 6" xfId="14066"/>
    <cellStyle name="Comma 10 65 7" xfId="27088"/>
    <cellStyle name="Comma 10 66" xfId="1569"/>
    <cellStyle name="Comma 10 66 2" xfId="4019"/>
    <cellStyle name="Comma 10 66 2 2" xfId="10789"/>
    <cellStyle name="Comma 10 66 2 3" xfId="23479"/>
    <cellStyle name="Comma 10 66 2 4" xfId="15676"/>
    <cellStyle name="Comma 10 66 2 5" xfId="28342"/>
    <cellStyle name="Comma 10 66 3" xfId="5969"/>
    <cellStyle name="Comma 10 66 3 2" xfId="12739"/>
    <cellStyle name="Comma 10 66 3 3" xfId="25429"/>
    <cellStyle name="Comma 10 66 3 4" xfId="15964"/>
    <cellStyle name="Comma 10 66 3 5" xfId="31768"/>
    <cellStyle name="Comma 10 66 4" xfId="8339"/>
    <cellStyle name="Comma 10 66 5" xfId="21151"/>
    <cellStyle name="Comma 10 66 6" xfId="16288"/>
    <cellStyle name="Comma 10 66 7" xfId="28047"/>
    <cellStyle name="Comma 10 67" xfId="1592"/>
    <cellStyle name="Comma 10 67 2" xfId="4041"/>
    <cellStyle name="Comma 10 67 2 2" xfId="10811"/>
    <cellStyle name="Comma 10 67 2 3" xfId="23501"/>
    <cellStyle name="Comma 10 67 2 4" xfId="19762"/>
    <cellStyle name="Comma 10 67 2 5" xfId="29228"/>
    <cellStyle name="Comma 10 67 3" xfId="5989"/>
    <cellStyle name="Comma 10 67 3 2" xfId="12759"/>
    <cellStyle name="Comma 10 67 3 3" xfId="25449"/>
    <cellStyle name="Comma 10 67 3 4" xfId="15699"/>
    <cellStyle name="Comma 10 67 3 5" xfId="30751"/>
    <cellStyle name="Comma 10 67 4" xfId="8362"/>
    <cellStyle name="Comma 10 67 5" xfId="21171"/>
    <cellStyle name="Comma 10 67 6" xfId="20077"/>
    <cellStyle name="Comma 10 67 7" xfId="30967"/>
    <cellStyle name="Comma 10 68" xfId="1615"/>
    <cellStyle name="Comma 10 68 2" xfId="4063"/>
    <cellStyle name="Comma 10 68 2 2" xfId="10833"/>
    <cellStyle name="Comma 10 68 2 3" xfId="23523"/>
    <cellStyle name="Comma 10 68 2 4" xfId="17773"/>
    <cellStyle name="Comma 10 68 2 5" xfId="26320"/>
    <cellStyle name="Comma 10 68 3" xfId="6009"/>
    <cellStyle name="Comma 10 68 3 2" xfId="12779"/>
    <cellStyle name="Comma 10 68 3 3" xfId="25469"/>
    <cellStyle name="Comma 10 68 3 4" xfId="18029"/>
    <cellStyle name="Comma 10 68 3 5" xfId="29633"/>
    <cellStyle name="Comma 10 68 4" xfId="8385"/>
    <cellStyle name="Comma 10 68 5" xfId="21191"/>
    <cellStyle name="Comma 10 68 6" xfId="13801"/>
    <cellStyle name="Comma 10 68 7" xfId="28453"/>
    <cellStyle name="Comma 10 69" xfId="1637"/>
    <cellStyle name="Comma 10 69 2" xfId="4085"/>
    <cellStyle name="Comma 10 69 2 2" xfId="10855"/>
    <cellStyle name="Comma 10 69 2 3" xfId="23545"/>
    <cellStyle name="Comma 10 69 2 4" xfId="15260"/>
    <cellStyle name="Comma 10 69 2 5" xfId="28244"/>
    <cellStyle name="Comma 10 69 3" xfId="6028"/>
    <cellStyle name="Comma 10 69 3 2" xfId="12798"/>
    <cellStyle name="Comma 10 69 3 3" xfId="25488"/>
    <cellStyle name="Comma 10 69 3 4" xfId="15520"/>
    <cellStyle name="Comma 10 69 3 5" xfId="26553"/>
    <cellStyle name="Comma 10 69 4" xfId="8407"/>
    <cellStyle name="Comma 10 69 5" xfId="21210"/>
    <cellStyle name="Comma 10 69 6" xfId="18409"/>
    <cellStyle name="Comma 10 69 7" xfId="26762"/>
    <cellStyle name="Comma 10 7" xfId="219"/>
    <cellStyle name="Comma 10 7 2" xfId="2698"/>
    <cellStyle name="Comma 10 7 2 2" xfId="9468"/>
    <cellStyle name="Comma 10 7 2 3" xfId="22158"/>
    <cellStyle name="Comma 10 7 2 4" xfId="18408"/>
    <cellStyle name="Comma 10 7 2 5" xfId="27814"/>
    <cellStyle name="Comma 10 7 3" xfId="4818"/>
    <cellStyle name="Comma 10 7 3 2" xfId="11588"/>
    <cellStyle name="Comma 10 7 3 3" xfId="24278"/>
    <cellStyle name="Comma 10 7 3 4" xfId="19161"/>
    <cellStyle name="Comma 10 7 3 5" xfId="29582"/>
    <cellStyle name="Comma 10 7 4" xfId="6989"/>
    <cellStyle name="Comma 10 7 5" xfId="15849"/>
    <cellStyle name="Comma 10 7 6" xfId="18544"/>
    <cellStyle name="Comma 10 7 7" xfId="27261"/>
    <cellStyle name="Comma 10 70" xfId="1658"/>
    <cellStyle name="Comma 10 70 2" xfId="4106"/>
    <cellStyle name="Comma 10 70 2 2" xfId="10876"/>
    <cellStyle name="Comma 10 70 2 3" xfId="23566"/>
    <cellStyle name="Comma 10 70 2 4" xfId="15107"/>
    <cellStyle name="Comma 10 70 2 5" xfId="32103"/>
    <cellStyle name="Comma 10 70 3" xfId="6046"/>
    <cellStyle name="Comma 10 70 3 2" xfId="12816"/>
    <cellStyle name="Comma 10 70 3 3" xfId="25506"/>
    <cellStyle name="Comma 10 70 3 4" xfId="15413"/>
    <cellStyle name="Comma 10 70 3 5" xfId="26519"/>
    <cellStyle name="Comma 10 70 4" xfId="8428"/>
    <cellStyle name="Comma 10 70 5" xfId="21228"/>
    <cellStyle name="Comma 10 70 6" xfId="19880"/>
    <cellStyle name="Comma 10 70 7" xfId="30863"/>
    <cellStyle name="Comma 10 71" xfId="1679"/>
    <cellStyle name="Comma 10 71 2" xfId="4126"/>
    <cellStyle name="Comma 10 71 2 2" xfId="10896"/>
    <cellStyle name="Comma 10 71 2 3" xfId="23586"/>
    <cellStyle name="Comma 10 71 2 4" xfId="17364"/>
    <cellStyle name="Comma 10 71 2 5" xfId="31138"/>
    <cellStyle name="Comma 10 71 3" xfId="6066"/>
    <cellStyle name="Comma 10 71 3 2" xfId="12836"/>
    <cellStyle name="Comma 10 71 3 3" xfId="25526"/>
    <cellStyle name="Comma 10 71 3 4" xfId="16092"/>
    <cellStyle name="Comma 10 71 3 5" xfId="28647"/>
    <cellStyle name="Comma 10 71 4" xfId="8449"/>
    <cellStyle name="Comma 10 71 5" xfId="21248"/>
    <cellStyle name="Comma 10 71 6" xfId="17865"/>
    <cellStyle name="Comma 10 71 7" xfId="26282"/>
    <cellStyle name="Comma 10 72" xfId="1704"/>
    <cellStyle name="Comma 10 72 2" xfId="4150"/>
    <cellStyle name="Comma 10 72 2 2" xfId="10920"/>
    <cellStyle name="Comma 10 72 2 3" xfId="23610"/>
    <cellStyle name="Comma 10 72 2 4" xfId="17207"/>
    <cellStyle name="Comma 10 72 2 5" xfId="31107"/>
    <cellStyle name="Comma 10 72 3" xfId="6087"/>
    <cellStyle name="Comma 10 72 3 2" xfId="12857"/>
    <cellStyle name="Comma 10 72 3 3" xfId="25547"/>
    <cellStyle name="Comma 10 72 3 4" xfId="17522"/>
    <cellStyle name="Comma 10 72 3 5" xfId="29505"/>
    <cellStyle name="Comma 10 72 4" xfId="8474"/>
    <cellStyle name="Comma 10 72 5" xfId="21269"/>
    <cellStyle name="Comma 10 72 6" xfId="17734"/>
    <cellStyle name="Comma 10 72 7" xfId="31767"/>
    <cellStyle name="Comma 10 73" xfId="1727"/>
    <cellStyle name="Comma 10 73 2" xfId="4172"/>
    <cellStyle name="Comma 10 73 2 2" xfId="10942"/>
    <cellStyle name="Comma 10 73 2 3" xfId="23632"/>
    <cellStyle name="Comma 10 73 2 4" xfId="14675"/>
    <cellStyle name="Comma 10 73 2 5" xfId="32011"/>
    <cellStyle name="Comma 10 73 3" xfId="6107"/>
    <cellStyle name="Comma 10 73 3 2" xfId="12877"/>
    <cellStyle name="Comma 10 73 3 3" xfId="25567"/>
    <cellStyle name="Comma 10 73 3 4" xfId="19307"/>
    <cellStyle name="Comma 10 73 3 5" xfId="30565"/>
    <cellStyle name="Comma 10 73 4" xfId="8497"/>
    <cellStyle name="Comma 10 73 5" xfId="21289"/>
    <cellStyle name="Comma 10 73 6" xfId="19479"/>
    <cellStyle name="Comma 10 73 7" xfId="26611"/>
    <cellStyle name="Comma 10 74" xfId="1750"/>
    <cellStyle name="Comma 10 74 2" xfId="4194"/>
    <cellStyle name="Comma 10 74 2 2" xfId="10964"/>
    <cellStyle name="Comma 10 74 2 3" xfId="23654"/>
    <cellStyle name="Comma 10 74 2 4" xfId="18868"/>
    <cellStyle name="Comma 10 74 2 5" xfId="26507"/>
    <cellStyle name="Comma 10 74 3" xfId="6127"/>
    <cellStyle name="Comma 10 74 3 2" xfId="12897"/>
    <cellStyle name="Comma 10 74 3 3" xfId="25587"/>
    <cellStyle name="Comma 10 74 3 4" xfId="14885"/>
    <cellStyle name="Comma 10 74 3 5" xfId="31556"/>
    <cellStyle name="Comma 10 74 4" xfId="8520"/>
    <cellStyle name="Comma 10 74 5" xfId="21309"/>
    <cellStyle name="Comma 10 74 6" xfId="15074"/>
    <cellStyle name="Comma 10 74 7" xfId="27742"/>
    <cellStyle name="Comma 10 75" xfId="1773"/>
    <cellStyle name="Comma 10 75 2" xfId="4216"/>
    <cellStyle name="Comma 10 75 2 2" xfId="10986"/>
    <cellStyle name="Comma 10 75 2 3" xfId="23676"/>
    <cellStyle name="Comma 10 75 2 4" xfId="16769"/>
    <cellStyle name="Comma 10 75 2 5" xfId="30999"/>
    <cellStyle name="Comma 10 75 3" xfId="6147"/>
    <cellStyle name="Comma 10 75 3 2" xfId="12917"/>
    <cellStyle name="Comma 10 75 3 3" xfId="25607"/>
    <cellStyle name="Comma 10 75 3 4" xfId="17130"/>
    <cellStyle name="Comma 10 75 3 5" xfId="30349"/>
    <cellStyle name="Comma 10 75 4" xfId="8543"/>
    <cellStyle name="Comma 10 75 5" xfId="21329"/>
    <cellStyle name="Comma 10 75 6" xfId="17279"/>
    <cellStyle name="Comma 10 75 7" xfId="30660"/>
    <cellStyle name="Comma 10 76" xfId="1796"/>
    <cellStyle name="Comma 10 76 2" xfId="4238"/>
    <cellStyle name="Comma 10 76 2 2" xfId="11008"/>
    <cellStyle name="Comma 10 76 2 3" xfId="23698"/>
    <cellStyle name="Comma 10 76 2 4" xfId="14238"/>
    <cellStyle name="Comma 10 76 2 5" xfId="31918"/>
    <cellStyle name="Comma 10 76 3" xfId="6167"/>
    <cellStyle name="Comma 10 76 3 2" xfId="12937"/>
    <cellStyle name="Comma 10 76 3 3" xfId="25627"/>
    <cellStyle name="Comma 10 76 3 4" xfId="18955"/>
    <cellStyle name="Comma 10 76 3 5" xfId="32390"/>
    <cellStyle name="Comma 10 76 4" xfId="8566"/>
    <cellStyle name="Comma 10 76 5" xfId="21349"/>
    <cellStyle name="Comma 10 76 6" xfId="19070"/>
    <cellStyle name="Comma 10 76 7" xfId="28636"/>
    <cellStyle name="Comma 10 77" xfId="1819"/>
    <cellStyle name="Comma 10 77 2" xfId="4261"/>
    <cellStyle name="Comma 10 77 2 2" xfId="11031"/>
    <cellStyle name="Comma 10 77 2 3" xfId="23721"/>
    <cellStyle name="Comma 10 77 2 4" xfId="16461"/>
    <cellStyle name="Comma 10 77 2 5" xfId="26284"/>
    <cellStyle name="Comma 10 77 3" xfId="6187"/>
    <cellStyle name="Comma 10 77 3 2" xfId="12957"/>
    <cellStyle name="Comma 10 77 3 3" xfId="25647"/>
    <cellStyle name="Comma 10 77 3 4" xfId="14487"/>
    <cellStyle name="Comma 10 77 3 5" xfId="31463"/>
    <cellStyle name="Comma 10 77 4" xfId="8589"/>
    <cellStyle name="Comma 10 77 5" xfId="21369"/>
    <cellStyle name="Comma 10 77 6" xfId="14617"/>
    <cellStyle name="Comma 10 77 7" xfId="32327"/>
    <cellStyle name="Comma 10 78" xfId="1842"/>
    <cellStyle name="Comma 10 78 2" xfId="4283"/>
    <cellStyle name="Comma 10 78 2 2" xfId="11053"/>
    <cellStyle name="Comma 10 78 2 3" xfId="23743"/>
    <cellStyle name="Comma 10 78 2 4" xfId="13951"/>
    <cellStyle name="Comma 10 78 2 5" xfId="27924"/>
    <cellStyle name="Comma 10 78 3" xfId="6207"/>
    <cellStyle name="Comma 10 78 3 2" xfId="12977"/>
    <cellStyle name="Comma 10 78 3 3" xfId="25667"/>
    <cellStyle name="Comma 10 78 3 4" xfId="16733"/>
    <cellStyle name="Comma 10 78 3 5" xfId="30262"/>
    <cellStyle name="Comma 10 78 4" xfId="8612"/>
    <cellStyle name="Comma 10 78 5" xfId="21389"/>
    <cellStyle name="Comma 10 78 6" xfId="16818"/>
    <cellStyle name="Comma 10 78 7" xfId="27241"/>
    <cellStyle name="Comma 10 79" xfId="1865"/>
    <cellStyle name="Comma 10 79 2" xfId="4305"/>
    <cellStyle name="Comma 10 79 2 2" xfId="11075"/>
    <cellStyle name="Comma 10 79 2 3" xfId="23765"/>
    <cellStyle name="Comma 10 79 2 4" xfId="16169"/>
    <cellStyle name="Comma 10 79 2 5" xfId="28855"/>
    <cellStyle name="Comma 10 79 3" xfId="6227"/>
    <cellStyle name="Comma 10 79 3 2" xfId="12997"/>
    <cellStyle name="Comma 10 79 3 3" xfId="25687"/>
    <cellStyle name="Comma 10 79 3 4" xfId="18582"/>
    <cellStyle name="Comma 10 79 3 5" xfId="32305"/>
    <cellStyle name="Comma 10 79 4" xfId="8635"/>
    <cellStyle name="Comma 10 79 5" xfId="21409"/>
    <cellStyle name="Comma 10 79 6" xfId="18659"/>
    <cellStyle name="Comma 10 79 7" xfId="26425"/>
    <cellStyle name="Comma 10 8" xfId="240"/>
    <cellStyle name="Comma 10 8 2" xfId="2718"/>
    <cellStyle name="Comma 10 8 2 2" xfId="9488"/>
    <cellStyle name="Comma 10 8 2 3" xfId="22178"/>
    <cellStyle name="Comma 10 8 2 4" xfId="16247"/>
    <cellStyle name="Comma 10 8 2 5" xfId="26308"/>
    <cellStyle name="Comma 10 8 3" xfId="2514"/>
    <cellStyle name="Comma 10 8 3 2" xfId="9284"/>
    <cellStyle name="Comma 10 8 3 3" xfId="21974"/>
    <cellStyle name="Comma 10 8 3 4" xfId="18757"/>
    <cellStyle name="Comma 10 8 3 5" xfId="26932"/>
    <cellStyle name="Comma 10 8 4" xfId="7010"/>
    <cellStyle name="Comma 10 8 5" xfId="13562"/>
    <cellStyle name="Comma 10 8 6" xfId="18406"/>
    <cellStyle name="Comma 10 8 7" xfId="30499"/>
    <cellStyle name="Comma 10 80" xfId="1888"/>
    <cellStyle name="Comma 10 80 2" xfId="4327"/>
    <cellStyle name="Comma 10 80 2 2" xfId="11097"/>
    <cellStyle name="Comma 10 80 2 3" xfId="23787"/>
    <cellStyle name="Comma 10 80 2 4" xfId="18146"/>
    <cellStyle name="Comma 10 80 2 5" xfId="27310"/>
    <cellStyle name="Comma 10 80 3" xfId="6247"/>
    <cellStyle name="Comma 10 80 3 2" xfId="13017"/>
    <cellStyle name="Comma 10 80 3 3" xfId="25707"/>
    <cellStyle name="Comma 10 80 3 4" xfId="14092"/>
    <cellStyle name="Comma 10 80 3 5" xfId="30494"/>
    <cellStyle name="Comma 10 80 4" xfId="8658"/>
    <cellStyle name="Comma 10 80 5" xfId="21429"/>
    <cellStyle name="Comma 10 80 6" xfId="14155"/>
    <cellStyle name="Comma 10 80 7" xfId="28351"/>
    <cellStyle name="Comma 10 81" xfId="1911"/>
    <cellStyle name="Comma 10 81 2" xfId="4349"/>
    <cellStyle name="Comma 10 81 2 2" xfId="11119"/>
    <cellStyle name="Comma 10 81 2 3" xfId="23809"/>
    <cellStyle name="Comma 10 81 2 4" xfId="15622"/>
    <cellStyle name="Comma 10 81 2 5" xfId="28452"/>
    <cellStyle name="Comma 10 81 3" xfId="6267"/>
    <cellStyle name="Comma 10 81 3 2" xfId="13037"/>
    <cellStyle name="Comma 10 81 3 3" xfId="25727"/>
    <cellStyle name="Comma 10 81 3 4" xfId="8899"/>
    <cellStyle name="Comma 10 81 3 5" xfId="30185"/>
    <cellStyle name="Comma 10 81 4" xfId="8681"/>
    <cellStyle name="Comma 10 81 5" xfId="21449"/>
    <cellStyle name="Comma 10 81 6" xfId="15981"/>
    <cellStyle name="Comma 10 81 7" xfId="31284"/>
    <cellStyle name="Comma 10 82" xfId="1933"/>
    <cellStyle name="Comma 10 82 2" xfId="4370"/>
    <cellStyle name="Comma 10 82 2 2" xfId="11140"/>
    <cellStyle name="Comma 10 82 2 3" xfId="23830"/>
    <cellStyle name="Comma 10 82 2 4" xfId="15511"/>
    <cellStyle name="Comma 10 82 2 5" xfId="32297"/>
    <cellStyle name="Comma 10 82 3" xfId="6286"/>
    <cellStyle name="Comma 10 82 3 2" xfId="13056"/>
    <cellStyle name="Comma 10 82 3 3" xfId="25746"/>
    <cellStyle name="Comma 10 82 3 4" xfId="8512"/>
    <cellStyle name="Comma 10 82 3 5" xfId="27169"/>
    <cellStyle name="Comma 10 82 4" xfId="8703"/>
    <cellStyle name="Comma 10 82 5" xfId="21468"/>
    <cellStyle name="Comma 10 82 6" xfId="13846"/>
    <cellStyle name="Comma 10 82 7" xfId="30775"/>
    <cellStyle name="Comma 10 83" xfId="1955"/>
    <cellStyle name="Comma 10 83 2" xfId="4392"/>
    <cellStyle name="Comma 10 83 2 2" xfId="11162"/>
    <cellStyle name="Comma 10 83 2 3" xfId="23852"/>
    <cellStyle name="Comma 10 83 2 4" xfId="19612"/>
    <cellStyle name="Comma 10 83 2 5" xfId="30202"/>
    <cellStyle name="Comma 10 83 3" xfId="6305"/>
    <cellStyle name="Comma 10 83 3 2" xfId="13075"/>
    <cellStyle name="Comma 10 83 3 3" xfId="25765"/>
    <cellStyle name="Comma 10 83 3 4" xfId="6889"/>
    <cellStyle name="Comma 10 83 3 5" xfId="32201"/>
    <cellStyle name="Comma 10 83 4" xfId="8725"/>
    <cellStyle name="Comma 10 83 5" xfId="21487"/>
    <cellStyle name="Comma 10 83 6" xfId="20025"/>
    <cellStyle name="Comma 10 83 7" xfId="30075"/>
    <cellStyle name="Comma 10 84" xfId="1978"/>
    <cellStyle name="Comma 10 84 2" xfId="4414"/>
    <cellStyle name="Comma 10 84 2 2" xfId="11184"/>
    <cellStyle name="Comma 10 84 2 3" xfId="23874"/>
    <cellStyle name="Comma 10 84 2 4" xfId="17598"/>
    <cellStyle name="Comma 10 84 2 5" xfId="31328"/>
    <cellStyle name="Comma 10 84 3" xfId="6325"/>
    <cellStyle name="Comma 10 84 3 2" xfId="13095"/>
    <cellStyle name="Comma 10 84 3 3" xfId="25785"/>
    <cellStyle name="Comma 10 84 3 4" xfId="7692"/>
    <cellStyle name="Comma 10 84 3 5" xfId="31260"/>
    <cellStyle name="Comma 10 84 4" xfId="8748"/>
    <cellStyle name="Comma 10 84 5" xfId="21507"/>
    <cellStyle name="Comma 10 84 6" xfId="13895"/>
    <cellStyle name="Comma 10 84 7" xfId="28214"/>
    <cellStyle name="Comma 10 85" xfId="2001"/>
    <cellStyle name="Comma 10 85 2" xfId="4437"/>
    <cellStyle name="Comma 10 85 2 2" xfId="11207"/>
    <cellStyle name="Comma 10 85 2 3" xfId="23897"/>
    <cellStyle name="Comma 10 85 2 4" xfId="19355"/>
    <cellStyle name="Comma 10 85 2 5" xfId="29245"/>
    <cellStyle name="Comma 10 85 3" xfId="6345"/>
    <cellStyle name="Comma 10 85 3 2" xfId="13115"/>
    <cellStyle name="Comma 10 85 3 3" xfId="25805"/>
    <cellStyle name="Comma 10 85 3 4" xfId="7279"/>
    <cellStyle name="Comma 10 85 3 5" xfId="30080"/>
    <cellStyle name="Comma 10 85 4" xfId="8771"/>
    <cellStyle name="Comma 10 85 5" xfId="21527"/>
    <cellStyle name="Comma 10 85 6" xfId="18254"/>
    <cellStyle name="Comma 10 85 7" xfId="30444"/>
    <cellStyle name="Comma 10 86" xfId="2023"/>
    <cellStyle name="Comma 10 86 2" xfId="4458"/>
    <cellStyle name="Comma 10 86 2 2" xfId="11228"/>
    <cellStyle name="Comma 10 86 2 3" xfId="23918"/>
    <cellStyle name="Comma 10 86 2 4" xfId="19218"/>
    <cellStyle name="Comma 10 86 2 5" xfId="30118"/>
    <cellStyle name="Comma 10 86 3" xfId="6364"/>
    <cellStyle name="Comma 10 86 3 2" xfId="13134"/>
    <cellStyle name="Comma 10 86 3 3" xfId="25824"/>
    <cellStyle name="Comma 10 86 3 4" xfId="8995"/>
    <cellStyle name="Comma 10 86 3 5" xfId="27048"/>
    <cellStyle name="Comma 10 86 4" xfId="8793"/>
    <cellStyle name="Comma 10 86 5" xfId="21546"/>
    <cellStyle name="Comma 10 86 6" xfId="15749"/>
    <cellStyle name="Comma 10 86 7" xfId="32048"/>
    <cellStyle name="Comma 10 87" xfId="2046"/>
    <cellStyle name="Comma 10 87 2" xfId="4480"/>
    <cellStyle name="Comma 10 87 2 2" xfId="11250"/>
    <cellStyle name="Comma 10 87 2 3" xfId="23940"/>
    <cellStyle name="Comma 10 87 2 4" xfId="17163"/>
    <cellStyle name="Comma 10 87 2 5" xfId="31231"/>
    <cellStyle name="Comma 10 87 3" xfId="6384"/>
    <cellStyle name="Comma 10 87 3 2" xfId="13154"/>
    <cellStyle name="Comma 10 87 3 3" xfId="25844"/>
    <cellStyle name="Comma 10 87 3 4" xfId="13893"/>
    <cellStyle name="Comma 10 87 3 5" xfId="29135"/>
    <cellStyle name="Comma 10 87 4" xfId="8816"/>
    <cellStyle name="Comma 10 87 5" xfId="21566"/>
    <cellStyle name="Comma 10 87 6" xfId="16250"/>
    <cellStyle name="Comma 10 87 7" xfId="26923"/>
    <cellStyle name="Comma 10 88" xfId="2069"/>
    <cellStyle name="Comma 10 88 2" xfId="4502"/>
    <cellStyle name="Comma 10 88 2 2" xfId="11272"/>
    <cellStyle name="Comma 10 88 2 3" xfId="23962"/>
    <cellStyle name="Comma 10 88 2 4" xfId="14653"/>
    <cellStyle name="Comma 10 88 2 5" xfId="32115"/>
    <cellStyle name="Comma 10 88 3" xfId="6404"/>
    <cellStyle name="Comma 10 88 3 2" xfId="13174"/>
    <cellStyle name="Comma 10 88 3 3" xfId="25864"/>
    <cellStyle name="Comma 10 88 3 4" xfId="18236"/>
    <cellStyle name="Comma 10 88 3 5" xfId="28167"/>
    <cellStyle name="Comma 10 88 4" xfId="8839"/>
    <cellStyle name="Comma 10 88 5" xfId="21586"/>
    <cellStyle name="Comma 10 88 6" xfId="15921"/>
    <cellStyle name="Comma 10 88 7" xfId="29917"/>
    <cellStyle name="Comma 10 89" xfId="2092"/>
    <cellStyle name="Comma 10 89 2" xfId="4523"/>
    <cellStyle name="Comma 10 89 2 2" xfId="11293"/>
    <cellStyle name="Comma 10 89 2 3" xfId="23983"/>
    <cellStyle name="Comma 10 89 2 4" xfId="14502"/>
    <cellStyle name="Comma 10 89 2 5" xfId="27495"/>
    <cellStyle name="Comma 10 89 3" xfId="6424"/>
    <cellStyle name="Comma 10 89 3 2" xfId="13194"/>
    <cellStyle name="Comma 10 89 3 3" xfId="25884"/>
    <cellStyle name="Comma 10 89 3 4" xfId="19938"/>
    <cellStyle name="Comma 10 89 3 5" xfId="26952"/>
    <cellStyle name="Comma 10 89 4" xfId="8862"/>
    <cellStyle name="Comma 10 89 5" xfId="21606"/>
    <cellStyle name="Comma 10 89 6" xfId="15729"/>
    <cellStyle name="Comma 10 89 7" xfId="28034"/>
    <cellStyle name="Comma 10 9" xfId="255"/>
    <cellStyle name="Comma 10 9 2" xfId="2733"/>
    <cellStyle name="Comma 10 9 2 2" xfId="9503"/>
    <cellStyle name="Comma 10 9 2 3" xfId="22193"/>
    <cellStyle name="Comma 10 9 2 4" xfId="16120"/>
    <cellStyle name="Comma 10 9 2 5" xfId="30724"/>
    <cellStyle name="Comma 10 9 3" xfId="4451"/>
    <cellStyle name="Comma 10 9 3 2" xfId="11221"/>
    <cellStyle name="Comma 10 9 3 3" xfId="23911"/>
    <cellStyle name="Comma 10 9 3 4" xfId="14984"/>
    <cellStyle name="Comma 10 9 3 5" xfId="28300"/>
    <cellStyle name="Comma 10 9 4" xfId="7025"/>
    <cellStyle name="Comma 10 9 5" xfId="15475"/>
    <cellStyle name="Comma 10 9 6" xfId="19906"/>
    <cellStyle name="Comma 10 9 7" xfId="27215"/>
    <cellStyle name="Comma 10 90" xfId="2115"/>
    <cellStyle name="Comma 10 90 2" xfId="4545"/>
    <cellStyle name="Comma 10 90 2 2" xfId="11315"/>
    <cellStyle name="Comma 10 90 2 3" xfId="24005"/>
    <cellStyle name="Comma 10 90 2 4" xfId="18712"/>
    <cellStyle name="Comma 10 90 2 5" xfId="29099"/>
    <cellStyle name="Comma 10 90 3" xfId="6444"/>
    <cellStyle name="Comma 10 90 3 2" xfId="13214"/>
    <cellStyle name="Comma 10 90 3 3" xfId="25904"/>
    <cellStyle name="Comma 10 90 3 4" xfId="17995"/>
    <cellStyle name="Comma 10 90 3 5" xfId="27659"/>
    <cellStyle name="Comma 10 90 4" xfId="8885"/>
    <cellStyle name="Comma 10 90 5" xfId="21626"/>
    <cellStyle name="Comma 10 90 6" xfId="16367"/>
    <cellStyle name="Comma 10 90 7" xfId="30957"/>
    <cellStyle name="Comma 10 91" xfId="2137"/>
    <cellStyle name="Comma 10 91 2" xfId="4565"/>
    <cellStyle name="Comma 10 91 2 2" xfId="11335"/>
    <cellStyle name="Comma 10 91 2 3" xfId="24025"/>
    <cellStyle name="Comma 10 91 2 4" xfId="13641"/>
    <cellStyle name="Comma 10 91 2 5" xfId="28129"/>
    <cellStyle name="Comma 10 91 3" xfId="6463"/>
    <cellStyle name="Comma 10 91 3 2" xfId="13233"/>
    <cellStyle name="Comma 10 91 3 3" xfId="25923"/>
    <cellStyle name="Comma 10 91 3 4" xfId="15525"/>
    <cellStyle name="Comma 10 91 3 5" xfId="31039"/>
    <cellStyle name="Comma 10 91 4" xfId="8907"/>
    <cellStyle name="Comma 10 91 5" xfId="21645"/>
    <cellStyle name="Comma 10 91 6" xfId="17980"/>
    <cellStyle name="Comma 10 91 7" xfId="31893"/>
    <cellStyle name="Comma 10 92" xfId="2157"/>
    <cellStyle name="Comma 10 92 2" xfId="4584"/>
    <cellStyle name="Comma 10 92 2 2" xfId="11354"/>
    <cellStyle name="Comma 10 92 2 3" xfId="24044"/>
    <cellStyle name="Comma 10 92 2 4" xfId="18477"/>
    <cellStyle name="Comma 10 92 2 5" xfId="26745"/>
    <cellStyle name="Comma 10 92 3" xfId="6481"/>
    <cellStyle name="Comma 10 92 3 2" xfId="13251"/>
    <cellStyle name="Comma 10 92 3 3" xfId="25941"/>
    <cellStyle name="Comma 10 92 3 4" xfId="15398"/>
    <cellStyle name="Comma 10 92 3 5" xfId="31006"/>
    <cellStyle name="Comma 10 92 4" xfId="8927"/>
    <cellStyle name="Comma 10 92 5" xfId="21663"/>
    <cellStyle name="Comma 10 92 6" xfId="19714"/>
    <cellStyle name="Comma 10 92 7" xfId="30892"/>
    <cellStyle name="Comma 10 93" xfId="2175"/>
    <cellStyle name="Comma 10 93 2" xfId="4601"/>
    <cellStyle name="Comma 10 93 2 2" xfId="11371"/>
    <cellStyle name="Comma 10 93 2 3" xfId="24061"/>
    <cellStyle name="Comma 10 93 2 4" xfId="13993"/>
    <cellStyle name="Comma 10 93 2 5" xfId="28074"/>
    <cellStyle name="Comma 10 93 3" xfId="6497"/>
    <cellStyle name="Comma 10 93 3 2" xfId="13267"/>
    <cellStyle name="Comma 10 93 3 3" xfId="25957"/>
    <cellStyle name="Comma 10 93 3 4" xfId="19567"/>
    <cellStyle name="Comma 10 93 3 5" xfId="31932"/>
    <cellStyle name="Comma 10 93 4" xfId="8945"/>
    <cellStyle name="Comma 10 93 5" xfId="21679"/>
    <cellStyle name="Comma 10 93 6" xfId="19622"/>
    <cellStyle name="Comma 10 93 7" xfId="30862"/>
    <cellStyle name="Comma 10 94" xfId="2185"/>
    <cellStyle name="Comma 10 94 2" xfId="4611"/>
    <cellStyle name="Comma 10 94 2 2" xfId="11381"/>
    <cellStyle name="Comma 10 94 2 3" xfId="24071"/>
    <cellStyle name="Comma 10 94 2 4" xfId="18319"/>
    <cellStyle name="Comma 10 94 2 5" xfId="29003"/>
    <cellStyle name="Comma 10 94 3" xfId="6507"/>
    <cellStyle name="Comma 10 94 3 2" xfId="13277"/>
    <cellStyle name="Comma 10 94 3 3" xfId="25967"/>
    <cellStyle name="Comma 10 94 3 4" xfId="17613"/>
    <cellStyle name="Comma 10 94 3 5" xfId="26755"/>
    <cellStyle name="Comma 10 94 4" xfId="8955"/>
    <cellStyle name="Comma 10 94 5" xfId="21689"/>
    <cellStyle name="Comma 10 94 6" xfId="17674"/>
    <cellStyle name="Comma 10 94 7" xfId="31817"/>
    <cellStyle name="Comma 10 95" xfId="2207"/>
    <cellStyle name="Comma 10 95 2" xfId="4632"/>
    <cellStyle name="Comma 10 95 2 2" xfId="11402"/>
    <cellStyle name="Comma 10 95 2 3" xfId="24092"/>
    <cellStyle name="Comma 10 95 2 4" xfId="20087"/>
    <cellStyle name="Comma 10 95 2 5" xfId="29864"/>
    <cellStyle name="Comma 10 95 3" xfId="6526"/>
    <cellStyle name="Comma 10 95 3 2" xfId="13296"/>
    <cellStyle name="Comma 10 95 3 3" xfId="25986"/>
    <cellStyle name="Comma 10 95 3 4" xfId="13746"/>
    <cellStyle name="Comma 10 95 3 5" xfId="26793"/>
    <cellStyle name="Comma 10 95 4" xfId="8977"/>
    <cellStyle name="Comma 10 95 5" xfId="21708"/>
    <cellStyle name="Comma 10 95 6" xfId="15161"/>
    <cellStyle name="Comma 10 95 7" xfId="29713"/>
    <cellStyle name="Comma 10 96" xfId="2252"/>
    <cellStyle name="Comma 10 96 2" xfId="4674"/>
    <cellStyle name="Comma 10 96 2 2" xfId="11444"/>
    <cellStyle name="Comma 10 96 2 3" xfId="24134"/>
    <cellStyle name="Comma 10 96 2 4" xfId="19720"/>
    <cellStyle name="Comma 10 96 2 5" xfId="29807"/>
    <cellStyle name="Comma 10 96 3" xfId="6561"/>
    <cellStyle name="Comma 10 96 3 2" xfId="13331"/>
    <cellStyle name="Comma 10 96 3 3" xfId="26021"/>
    <cellStyle name="Comma 10 96 3 4" xfId="16078"/>
    <cellStyle name="Comma 10 96 3 5" xfId="29769"/>
    <cellStyle name="Comma 10 96 4" xfId="9022"/>
    <cellStyle name="Comma 10 96 5" xfId="21743"/>
    <cellStyle name="Comma 10 96 6" xfId="14865"/>
    <cellStyle name="Comma 10 96 7" xfId="28738"/>
    <cellStyle name="Comma 10 97" xfId="2274"/>
    <cellStyle name="Comma 10 97 2" xfId="4695"/>
    <cellStyle name="Comma 10 97 2 2" xfId="11465"/>
    <cellStyle name="Comma 10 97 2 3" xfId="24155"/>
    <cellStyle name="Comma 10 97 2 4" xfId="19873"/>
    <cellStyle name="Comma 10 97 2 5" xfId="28880"/>
    <cellStyle name="Comma 10 97 3" xfId="6580"/>
    <cellStyle name="Comma 10 97 3 2" xfId="13350"/>
    <cellStyle name="Comma 10 97 3 3" xfId="26040"/>
    <cellStyle name="Comma 10 97 3 4" xfId="14759"/>
    <cellStyle name="Comma 10 97 3 5" xfId="26716"/>
    <cellStyle name="Comma 10 97 4" xfId="9044"/>
    <cellStyle name="Comma 10 97 5" xfId="21762"/>
    <cellStyle name="Comma 10 97 6" xfId="19034"/>
    <cellStyle name="Comma 10 97 7" xfId="27303"/>
    <cellStyle name="Comma 10 98" xfId="2296"/>
    <cellStyle name="Comma 10 98 2" xfId="4717"/>
    <cellStyle name="Comma 10 98 2 2" xfId="11487"/>
    <cellStyle name="Comma 10 98 2 3" xfId="24177"/>
    <cellStyle name="Comma 10 98 2 4" xfId="16123"/>
    <cellStyle name="Comma 10 98 2 5" xfId="26306"/>
    <cellStyle name="Comma 10 98 3" xfId="6599"/>
    <cellStyle name="Comma 10 98 3 2" xfId="13369"/>
    <cellStyle name="Comma 10 98 3 3" xfId="26059"/>
    <cellStyle name="Comma 10 98 3 4" xfId="18960"/>
    <cellStyle name="Comma 10 98 3 5" xfId="31791"/>
    <cellStyle name="Comma 10 98 4" xfId="9066"/>
    <cellStyle name="Comma 10 98 5" xfId="21781"/>
    <cellStyle name="Comma 10 98 6" xfId="15949"/>
    <cellStyle name="Comma 10 98 7" xfId="28438"/>
    <cellStyle name="Comma 10 99" xfId="2318"/>
    <cellStyle name="Comma 10 99 2" xfId="4739"/>
    <cellStyle name="Comma 10 99 2 2" xfId="11509"/>
    <cellStyle name="Comma 10 99 2 3" xfId="24199"/>
    <cellStyle name="Comma 10 99 2 4" xfId="15363"/>
    <cellStyle name="Comma 10 99 2 5" xfId="27845"/>
    <cellStyle name="Comma 10 99 3" xfId="6618"/>
    <cellStyle name="Comma 10 99 3 2" xfId="13388"/>
    <cellStyle name="Comma 10 99 3 3" xfId="26078"/>
    <cellStyle name="Comma 10 99 3 4" xfId="16874"/>
    <cellStyle name="Comma 10 99 3 5" xfId="28786"/>
    <cellStyle name="Comma 10 99 4" xfId="9088"/>
    <cellStyle name="Comma 10 99 5" xfId="21800"/>
    <cellStyle name="Comma 10 99 6" xfId="14426"/>
    <cellStyle name="Comma 10 99 7" xfId="29322"/>
    <cellStyle name="Comma 11" xfId="34055"/>
    <cellStyle name="Comma 12" xfId="34134"/>
    <cellStyle name="Comma 2" xfId="7"/>
    <cellStyle name="Comma 2 2" xfId="20"/>
    <cellStyle name="Comma 2 2 10" xfId="242"/>
    <cellStyle name="Comma 2 2 10 2" xfId="2720"/>
    <cellStyle name="Comma 2 2 10 2 2" xfId="9490"/>
    <cellStyle name="Comma 2 2 10 2 3" xfId="22180"/>
    <cellStyle name="Comma 2 2 10 2 4" xfId="18270"/>
    <cellStyle name="Comma 2 2 10 2 5" xfId="28298"/>
    <cellStyle name="Comma 2 2 10 3" xfId="2512"/>
    <cellStyle name="Comma 2 2 10 3 2" xfId="9282"/>
    <cellStyle name="Comma 2 2 10 3 3" xfId="21972"/>
    <cellStyle name="Comma 2 2 10 3 4" xfId="16863"/>
    <cellStyle name="Comma 2 2 10 3 5" xfId="28120"/>
    <cellStyle name="Comma 2 2 10 4" xfId="7012"/>
    <cellStyle name="Comma 2 2 10 5" xfId="13561"/>
    <cellStyle name="Comma 2 2 10 6" xfId="14002"/>
    <cellStyle name="Comma 2 2 10 7" xfId="30217"/>
    <cellStyle name="Comma 2 2 100" xfId="2312"/>
    <cellStyle name="Comma 2 2 100 2" xfId="4733"/>
    <cellStyle name="Comma 2 2 100 2 2" xfId="11503"/>
    <cellStyle name="Comma 2 2 100 2 3" xfId="24193"/>
    <cellStyle name="Comma 2 2 100 2 4" xfId="15404"/>
    <cellStyle name="Comma 2 2 100 2 5" xfId="27856"/>
    <cellStyle name="Comma 2 2 100 3" xfId="6613"/>
    <cellStyle name="Comma 2 2 100 3 2" xfId="13383"/>
    <cellStyle name="Comma 2 2 100 3 3" xfId="26073"/>
    <cellStyle name="Comma 2 2 100 3 4" xfId="14539"/>
    <cellStyle name="Comma 2 2 100 3 5" xfId="30789"/>
    <cellStyle name="Comma 2 2 100 4" xfId="9082"/>
    <cellStyle name="Comma 2 2 100 5" xfId="21795"/>
    <cellStyle name="Comma 2 2 100 6" xfId="14468"/>
    <cellStyle name="Comma 2 2 100 7" xfId="29331"/>
    <cellStyle name="Comma 2 2 101" xfId="2334"/>
    <cellStyle name="Comma 2 2 101 2" xfId="4755"/>
    <cellStyle name="Comma 2 2 101 2 2" xfId="11525"/>
    <cellStyle name="Comma 2 2 101 2 3" xfId="24215"/>
    <cellStyle name="Comma 2 2 101 2 4" xfId="19532"/>
    <cellStyle name="Comma 2 2 101 2 5" xfId="28787"/>
    <cellStyle name="Comma 2 2 101 3" xfId="6632"/>
    <cellStyle name="Comma 2 2 101 3 2" xfId="13402"/>
    <cellStyle name="Comma 2 2 101 3 3" xfId="26092"/>
    <cellStyle name="Comma 2 2 101 3 4" xfId="18766"/>
    <cellStyle name="Comma 2 2 101 3 5" xfId="27792"/>
    <cellStyle name="Comma 2 2 101 4" xfId="9104"/>
    <cellStyle name="Comma 2 2 101 5" xfId="21814"/>
    <cellStyle name="Comma 2 2 101 6" xfId="19878"/>
    <cellStyle name="Comma 2 2 101 7" xfId="27219"/>
    <cellStyle name="Comma 2 2 102" xfId="2356"/>
    <cellStyle name="Comma 2 2 102 2" xfId="4776"/>
    <cellStyle name="Comma 2 2 102 2 2" xfId="11546"/>
    <cellStyle name="Comma 2 2 102 2 3" xfId="24236"/>
    <cellStyle name="Comma 2 2 102 2 4" xfId="19392"/>
    <cellStyle name="Comma 2 2 102 2 5" xfId="29645"/>
    <cellStyle name="Comma 2 2 102 3" xfId="6651"/>
    <cellStyle name="Comma 2 2 102 3 2" xfId="13421"/>
    <cellStyle name="Comma 2 2 102 3 3" xfId="26111"/>
    <cellStyle name="Comma 2 2 102 3 4" xfId="16653"/>
    <cellStyle name="Comma 2 2 102 3 5" xfId="29635"/>
    <cellStyle name="Comma 2 2 102 4" xfId="9126"/>
    <cellStyle name="Comma 2 2 102 5" xfId="21833"/>
    <cellStyle name="Comma 2 2 102 6" xfId="17881"/>
    <cellStyle name="Comma 2 2 102 7" xfId="28358"/>
    <cellStyle name="Comma 2 2 103" xfId="2377"/>
    <cellStyle name="Comma 2 2 103 2" xfId="4796"/>
    <cellStyle name="Comma 2 2 103 2 2" xfId="11566"/>
    <cellStyle name="Comma 2 2 103 2 3" xfId="24256"/>
    <cellStyle name="Comma 2 2 103 2 4" xfId="15005"/>
    <cellStyle name="Comma 2 2 103 2 5" xfId="31698"/>
    <cellStyle name="Comma 2 2 103 3" xfId="6669"/>
    <cellStyle name="Comma 2 2 103 3 2" xfId="13439"/>
    <cellStyle name="Comma 2 2 103 3 3" xfId="26129"/>
    <cellStyle name="Comma 2 2 103 3 4" xfId="16542"/>
    <cellStyle name="Comma 2 2 103 3 5" xfId="29604"/>
    <cellStyle name="Comma 2 2 103 4" xfId="9147"/>
    <cellStyle name="Comma 2 2 103 5" xfId="21851"/>
    <cellStyle name="Comma 2 2 103 6" xfId="17753"/>
    <cellStyle name="Comma 2 2 103 7" xfId="32214"/>
    <cellStyle name="Comma 2 2 104" xfId="2397"/>
    <cellStyle name="Comma 2 2 104 2" xfId="4815"/>
    <cellStyle name="Comma 2 2 104 2 2" xfId="11585"/>
    <cellStyle name="Comma 2 2 104 2 3" xfId="24275"/>
    <cellStyle name="Comma 2 2 104 2 4" xfId="16456"/>
    <cellStyle name="Comma 2 2 104 2 5" xfId="28695"/>
    <cellStyle name="Comma 2 2 104 3" xfId="6686"/>
    <cellStyle name="Comma 2 2 104 3 2" xfId="13456"/>
    <cellStyle name="Comma 2 2 104 3 3" xfId="26146"/>
    <cellStyle name="Comma 2 2 104 3 4" xfId="18432"/>
    <cellStyle name="Comma 2 2 104 3 5" xfId="27697"/>
    <cellStyle name="Comma 2 2 104 4" xfId="9167"/>
    <cellStyle name="Comma 2 2 104 5" xfId="21868"/>
    <cellStyle name="Comma 2 2 104 6" xfId="19517"/>
    <cellStyle name="Comma 2 2 104 7" xfId="31274"/>
    <cellStyle name="Comma 2 2 105" xfId="2413"/>
    <cellStyle name="Comma 2 2 105 2" xfId="4831"/>
    <cellStyle name="Comma 2 2 105 2 2" xfId="11601"/>
    <cellStyle name="Comma 2 2 105 2 3" xfId="24291"/>
    <cellStyle name="Comma 2 2 105 2 4" xfId="17141"/>
    <cellStyle name="Comma 2 2 105 2 5" xfId="26514"/>
    <cellStyle name="Comma 2 2 105 3" xfId="6701"/>
    <cellStyle name="Comma 2 2 105 3 2" xfId="13471"/>
    <cellStyle name="Comma 2 2 105 3 3" xfId="26161"/>
    <cellStyle name="Comma 2 2 105 3 4" xfId="18352"/>
    <cellStyle name="Comma 2 2 105 3 5" xfId="31628"/>
    <cellStyle name="Comma 2 2 105 4" xfId="9183"/>
    <cellStyle name="Comma 2 2 105 5" xfId="21883"/>
    <cellStyle name="Comma 2 2 105 6" xfId="17516"/>
    <cellStyle name="Comma 2 2 105 7" xfId="32165"/>
    <cellStyle name="Comma 2 2 106" xfId="2435"/>
    <cellStyle name="Comma 2 2 106 2" xfId="4853"/>
    <cellStyle name="Comma 2 2 106 2 2" xfId="11623"/>
    <cellStyle name="Comma 2 2 106 2 3" xfId="24313"/>
    <cellStyle name="Comma 2 2 106 2 4" xfId="14631"/>
    <cellStyle name="Comma 2 2 106 2 5" xfId="27440"/>
    <cellStyle name="Comma 2 2 106 3" xfId="6721"/>
    <cellStyle name="Comma 2 2 106 3 2" xfId="13491"/>
    <cellStyle name="Comma 2 2 106 3 3" xfId="26181"/>
    <cellStyle name="Comma 2 2 106 3 4" xfId="16930"/>
    <cellStyle name="Comma 2 2 106 3 5" xfId="30601"/>
    <cellStyle name="Comma 2 2 106 4" xfId="9205"/>
    <cellStyle name="Comma 2 2 106 5" xfId="21903"/>
    <cellStyle name="Comma 2 2 106 6" xfId="15010"/>
    <cellStyle name="Comma 2 2 106 7" xfId="30064"/>
    <cellStyle name="Comma 2 2 107" xfId="2459"/>
    <cellStyle name="Comma 2 2 107 2" xfId="4877"/>
    <cellStyle name="Comma 2 2 107 2 2" xfId="11647"/>
    <cellStyle name="Comma 2 2 107 2 3" xfId="24337"/>
    <cellStyle name="Comma 2 2 107 2 4" xfId="14456"/>
    <cellStyle name="Comma 2 2 107 2 5" xfId="27597"/>
    <cellStyle name="Comma 2 2 107 3" xfId="6742"/>
    <cellStyle name="Comma 2 2 107 3 2" xfId="13512"/>
    <cellStyle name="Comma 2 2 107 3 3" xfId="26202"/>
    <cellStyle name="Comma 2 2 107 3 4" xfId="15794"/>
    <cellStyle name="Comma 2 2 107 3 5" xfId="26426"/>
    <cellStyle name="Comma 2 2 107 4" xfId="9229"/>
    <cellStyle name="Comma 2 2 107 5" xfId="21924"/>
    <cellStyle name="Comma 2 2 107 6" xfId="14858"/>
    <cellStyle name="Comma 2 2 107 7" xfId="30036"/>
    <cellStyle name="Comma 2 2 108" xfId="2477"/>
    <cellStyle name="Comma 2 2 108 2" xfId="4894"/>
    <cellStyle name="Comma 2 2 108 2 2" xfId="11664"/>
    <cellStyle name="Comma 2 2 108 2 3" xfId="24354"/>
    <cellStyle name="Comma 2 2 108 2 4" xfId="16723"/>
    <cellStyle name="Comma 2 2 108 2 5" xfId="30525"/>
    <cellStyle name="Comma 2 2 108 3" xfId="6758"/>
    <cellStyle name="Comma 2 2 108 3 2" xfId="13528"/>
    <cellStyle name="Comma 2 2 108 3 3" xfId="26218"/>
    <cellStyle name="Comma 2 2 108 3 4" xfId="26239"/>
    <cellStyle name="Comma 2 2 108 3 5" xfId="27560"/>
    <cellStyle name="Comma 2 2 108 4" xfId="9247"/>
    <cellStyle name="Comma 2 2 108 5" xfId="21940"/>
    <cellStyle name="Comma 2 2 108 6" xfId="14724"/>
    <cellStyle name="Comma 2 2 108 7" xfId="30010"/>
    <cellStyle name="Comma 2 2 109" xfId="32453"/>
    <cellStyle name="Comma 2 2 11" xfId="280"/>
    <cellStyle name="Comma 2 2 11 2" xfId="2756"/>
    <cellStyle name="Comma 2 2 11 2 2" xfId="9526"/>
    <cellStyle name="Comma 2 2 11 2 3" xfId="22216"/>
    <cellStyle name="Comma 2 2 11 2 4" xfId="20010"/>
    <cellStyle name="Comma 2 2 11 2 5" xfId="28697"/>
    <cellStyle name="Comma 2 2 11 3" xfId="3946"/>
    <cellStyle name="Comma 2 2 11 3 2" xfId="10716"/>
    <cellStyle name="Comma 2 2 11 3 3" xfId="23406"/>
    <cellStyle name="Comma 2 2 11 3 4" xfId="16397"/>
    <cellStyle name="Comma 2 2 11 3 5" xfId="31416"/>
    <cellStyle name="Comma 2 2 11 4" xfId="7050"/>
    <cellStyle name="Comma 2 2 11 5" xfId="15014"/>
    <cellStyle name="Comma 2 2 11 6" xfId="16133"/>
    <cellStyle name="Comma 2 2 11 7" xfId="32235"/>
    <cellStyle name="Comma 2 2 110" xfId="32489"/>
    <cellStyle name="Comma 2 2 111" xfId="32512"/>
    <cellStyle name="Comma 2 2 112" xfId="32535"/>
    <cellStyle name="Comma 2 2 113" xfId="32558"/>
    <cellStyle name="Comma 2 2 114" xfId="32581"/>
    <cellStyle name="Comma 2 2 115" xfId="32604"/>
    <cellStyle name="Comma 2 2 116" xfId="32627"/>
    <cellStyle name="Comma 2 2 117" xfId="32650"/>
    <cellStyle name="Comma 2 2 118" xfId="32673"/>
    <cellStyle name="Comma 2 2 119" xfId="32696"/>
    <cellStyle name="Comma 2 2 12" xfId="62"/>
    <cellStyle name="Comma 2 2 12 2" xfId="2547"/>
    <cellStyle name="Comma 2 2 12 2 2" xfId="9317"/>
    <cellStyle name="Comma 2 2 12 2 3" xfId="22007"/>
    <cellStyle name="Comma 2 2 12 2 4" xfId="18590"/>
    <cellStyle name="Comma 2 2 12 2 5" xfId="31031"/>
    <cellStyle name="Comma 2 2 12 3" xfId="3681"/>
    <cellStyle name="Comma 2 2 12 3 2" xfId="10451"/>
    <cellStyle name="Comma 2 2 12 3 3" xfId="23141"/>
    <cellStyle name="Comma 2 2 12 3 4" xfId="19970"/>
    <cellStyle name="Comma 2 2 12 3 5" xfId="30489"/>
    <cellStyle name="Comma 2 2 12 4" xfId="6832"/>
    <cellStyle name="Comma 2 2 12 5" xfId="14756"/>
    <cellStyle name="Comma 2 2 12 6" xfId="15204"/>
    <cellStyle name="Comma 2 2 12 7" xfId="29711"/>
    <cellStyle name="Comma 2 2 120" xfId="32719"/>
    <cellStyle name="Comma 2 2 121" xfId="32742"/>
    <cellStyle name="Comma 2 2 122" xfId="32765"/>
    <cellStyle name="Comma 2 2 123" xfId="32788"/>
    <cellStyle name="Comma 2 2 124" xfId="32811"/>
    <cellStyle name="Comma 2 2 125" xfId="32834"/>
    <cellStyle name="Comma 2 2 126" xfId="32857"/>
    <cellStyle name="Comma 2 2 127" xfId="32880"/>
    <cellStyle name="Comma 2 2 128" xfId="32902"/>
    <cellStyle name="Comma 2 2 129" xfId="32925"/>
    <cellStyle name="Comma 2 2 13" xfId="328"/>
    <cellStyle name="Comma 2 2 13 2" xfId="2804"/>
    <cellStyle name="Comma 2 2 13 2 2" xfId="9574"/>
    <cellStyle name="Comma 2 2 13 2 3" xfId="22264"/>
    <cellStyle name="Comma 2 2 13 2 4" xfId="16544"/>
    <cellStyle name="Comma 2 2 13 2 5" xfId="28621"/>
    <cellStyle name="Comma 2 2 13 3" xfId="2961"/>
    <cellStyle name="Comma 2 2 13 3 2" xfId="9731"/>
    <cellStyle name="Comma 2 2 13 3 3" xfId="22421"/>
    <cellStyle name="Comma 2 2 13 3 4" xfId="7771"/>
    <cellStyle name="Comma 2 2 13 3 5" xfId="30608"/>
    <cellStyle name="Comma 2 2 13 4" xfId="7098"/>
    <cellStyle name="Comma 2 2 13 5" xfId="14045"/>
    <cellStyle name="Comma 2 2 13 6" xfId="17592"/>
    <cellStyle name="Comma 2 2 13 7" xfId="32170"/>
    <cellStyle name="Comma 2 2 130" xfId="32948"/>
    <cellStyle name="Comma 2 2 131" xfId="32971"/>
    <cellStyle name="Comma 2 2 132" xfId="32994"/>
    <cellStyle name="Comma 2 2 133" xfId="33017"/>
    <cellStyle name="Comma 2 2 134" xfId="33040"/>
    <cellStyle name="Comma 2 2 135" xfId="33063"/>
    <cellStyle name="Comma 2 2 136" xfId="33086"/>
    <cellStyle name="Comma 2 2 137" xfId="33109"/>
    <cellStyle name="Comma 2 2 138" xfId="33131"/>
    <cellStyle name="Comma 2 2 139" xfId="33154"/>
    <cellStyle name="Comma 2 2 14" xfId="351"/>
    <cellStyle name="Comma 2 2 14 2" xfId="2827"/>
    <cellStyle name="Comma 2 2 14 2 2" xfId="9597"/>
    <cellStyle name="Comma 2 2 14 2 3" xfId="22287"/>
    <cellStyle name="Comma 2 2 14 2 4" xfId="8768"/>
    <cellStyle name="Comma 2 2 14 2 5" xfId="31455"/>
    <cellStyle name="Comma 2 2 14 3" xfId="2511"/>
    <cellStyle name="Comma 2 2 14 3 2" xfId="9281"/>
    <cellStyle name="Comma 2 2 14 3 3" xfId="21971"/>
    <cellStyle name="Comma 2 2 14 3 4" xfId="18834"/>
    <cellStyle name="Comma 2 2 14 3 5" xfId="31083"/>
    <cellStyle name="Comma 2 2 14 4" xfId="7121"/>
    <cellStyle name="Comma 2 2 14 5" xfId="15683"/>
    <cellStyle name="Comma 2 2 14 6" xfId="19351"/>
    <cellStyle name="Comma 2 2 14 7" xfId="27066"/>
    <cellStyle name="Comma 2 2 140" xfId="33173"/>
    <cellStyle name="Comma 2 2 141" xfId="33181"/>
    <cellStyle name="Comma 2 2 142" xfId="33210"/>
    <cellStyle name="Comma 2 2 143" xfId="33234"/>
    <cellStyle name="Comma 2 2 144" xfId="33265"/>
    <cellStyle name="Comma 2 2 145" xfId="33288"/>
    <cellStyle name="Comma 2 2 146" xfId="33311"/>
    <cellStyle name="Comma 2 2 147" xfId="33334"/>
    <cellStyle name="Comma 2 2 148" xfId="33357"/>
    <cellStyle name="Comma 2 2 149" xfId="33380"/>
    <cellStyle name="Comma 2 2 15" xfId="374"/>
    <cellStyle name="Comma 2 2 15 2" xfId="2850"/>
    <cellStyle name="Comma 2 2 15 2 2" xfId="9620"/>
    <cellStyle name="Comma 2 2 15 2 3" xfId="22310"/>
    <cellStyle name="Comma 2 2 15 2 4" xfId="8290"/>
    <cellStyle name="Comma 2 2 15 2 5" xfId="27408"/>
    <cellStyle name="Comma 2 2 15 3" xfId="4931"/>
    <cellStyle name="Comma 2 2 15 3 2" xfId="11701"/>
    <cellStyle name="Comma 2 2 15 3 3" xfId="24391"/>
    <cellStyle name="Comma 2 2 15 3 4" xfId="14101"/>
    <cellStyle name="Comma 2 2 15 3 5" xfId="28548"/>
    <cellStyle name="Comma 2 2 15 4" xfId="7144"/>
    <cellStyle name="Comma 2 2 15 5" xfId="20113"/>
    <cellStyle name="Comma 2 2 15 6" xfId="14914"/>
    <cellStyle name="Comma 2 2 15 7" xfId="30041"/>
    <cellStyle name="Comma 2 2 150" xfId="33403"/>
    <cellStyle name="Comma 2 2 151" xfId="33426"/>
    <cellStyle name="Comma 2 2 152" xfId="33449"/>
    <cellStyle name="Comma 2 2 153" xfId="33472"/>
    <cellStyle name="Comma 2 2 154" xfId="33495"/>
    <cellStyle name="Comma 2 2 155" xfId="33518"/>
    <cellStyle name="Comma 2 2 156" xfId="33541"/>
    <cellStyle name="Comma 2 2 157" xfId="33564"/>
    <cellStyle name="Comma 2 2 158" xfId="33587"/>
    <cellStyle name="Comma 2 2 159" xfId="33610"/>
    <cellStyle name="Comma 2 2 16" xfId="397"/>
    <cellStyle name="Comma 2 2 16 2" xfId="2873"/>
    <cellStyle name="Comma 2 2 16 2 2" xfId="9643"/>
    <cellStyle name="Comma 2 2 16 2 3" xfId="22333"/>
    <cellStyle name="Comma 2 2 16 2 4" xfId="7810"/>
    <cellStyle name="Comma 2 2 16 2 5" xfId="30346"/>
    <cellStyle name="Comma 2 2 16 3" xfId="4951"/>
    <cellStyle name="Comma 2 2 16 3 2" xfId="11721"/>
    <cellStyle name="Comma 2 2 16 3 3" xfId="24411"/>
    <cellStyle name="Comma 2 2 16 3 4" xfId="16348"/>
    <cellStyle name="Comma 2 2 16 3 5" xfId="27339"/>
    <cellStyle name="Comma 2 2 16 4" xfId="7167"/>
    <cellStyle name="Comma 2 2 16 5" xfId="20133"/>
    <cellStyle name="Comma 2 2 16 6" xfId="17137"/>
    <cellStyle name="Comma 2 2 16 7" xfId="28176"/>
    <cellStyle name="Comma 2 2 160" xfId="33633"/>
    <cellStyle name="Comma 2 2 161" xfId="33655"/>
    <cellStyle name="Comma 2 2 162" xfId="33677"/>
    <cellStyle name="Comma 2 2 163" xfId="33700"/>
    <cellStyle name="Comma 2 2 164" xfId="33723"/>
    <cellStyle name="Comma 2 2 165" xfId="33746"/>
    <cellStyle name="Comma 2 2 166" xfId="33769"/>
    <cellStyle name="Comma 2 2 167" xfId="33792"/>
    <cellStyle name="Comma 2 2 168" xfId="33815"/>
    <cellStyle name="Comma 2 2 169" xfId="33838"/>
    <cellStyle name="Comma 2 2 17" xfId="420"/>
    <cellStyle name="Comma 2 2 17 2" xfId="2895"/>
    <cellStyle name="Comma 2 2 17 2 2" xfId="9665"/>
    <cellStyle name="Comma 2 2 17 2 3" xfId="22355"/>
    <cellStyle name="Comma 2 2 17 2 4" xfId="7353"/>
    <cellStyle name="Comma 2 2 17 2 5" xfId="31486"/>
    <cellStyle name="Comma 2 2 17 3" xfId="4971"/>
    <cellStyle name="Comma 2 2 17 3 2" xfId="11741"/>
    <cellStyle name="Comma 2 2 17 3 3" xfId="24431"/>
    <cellStyle name="Comma 2 2 17 3 4" xfId="16579"/>
    <cellStyle name="Comma 2 2 17 3 5" xfId="27905"/>
    <cellStyle name="Comma 2 2 17 4" xfId="7190"/>
    <cellStyle name="Comma 2 2 17 5" xfId="20153"/>
    <cellStyle name="Comma 2 2 17 6" xfId="18940"/>
    <cellStyle name="Comma 2 2 17 7" xfId="31101"/>
    <cellStyle name="Comma 2 2 170" xfId="33861"/>
    <cellStyle name="Comma 2 2 171" xfId="33884"/>
    <cellStyle name="Comma 2 2 172" xfId="33907"/>
    <cellStyle name="Comma 2 2 173" xfId="33930"/>
    <cellStyle name="Comma 2 2 174" xfId="33953"/>
    <cellStyle name="Comma 2 2 175" xfId="33976"/>
    <cellStyle name="Comma 2 2 176" xfId="33998"/>
    <cellStyle name="Comma 2 2 177" xfId="34018"/>
    <cellStyle name="Comma 2 2 178" xfId="34036"/>
    <cellStyle name="Comma 2 2 18" xfId="442"/>
    <cellStyle name="Comma 2 2 18 2" xfId="2917"/>
    <cellStyle name="Comma 2 2 18 2 2" xfId="9687"/>
    <cellStyle name="Comma 2 2 18 2 3" xfId="22377"/>
    <cellStyle name="Comma 2 2 18 2 4" xfId="8683"/>
    <cellStyle name="Comma 2 2 18 2 5" xfId="31682"/>
    <cellStyle name="Comma 2 2 18 3" xfId="4990"/>
    <cellStyle name="Comma 2 2 18 3 2" xfId="11760"/>
    <cellStyle name="Comma 2 2 18 3 3" xfId="24450"/>
    <cellStyle name="Comma 2 2 18 3 4" xfId="18207"/>
    <cellStyle name="Comma 2 2 18 3 5" xfId="30782"/>
    <cellStyle name="Comma 2 2 18 4" xfId="7212"/>
    <cellStyle name="Comma 2 2 18 5" xfId="20172"/>
    <cellStyle name="Comma 2 2 18 6" xfId="16829"/>
    <cellStyle name="Comma 2 2 18 7" xfId="32015"/>
    <cellStyle name="Comma 2 2 19" xfId="465"/>
    <cellStyle name="Comma 2 2 19 2" xfId="2940"/>
    <cellStyle name="Comma 2 2 19 2 2" xfId="9710"/>
    <cellStyle name="Comma 2 2 19 2 3" xfId="22400"/>
    <cellStyle name="Comma 2 2 19 2 4" xfId="8204"/>
    <cellStyle name="Comma 2 2 19 2 5" xfId="26518"/>
    <cellStyle name="Comma 2 2 19 3" xfId="5010"/>
    <cellStyle name="Comma 2 2 19 3 2" xfId="11780"/>
    <cellStyle name="Comma 2 2 19 3 3" xfId="24470"/>
    <cellStyle name="Comma 2 2 19 3 4" xfId="6804"/>
    <cellStyle name="Comma 2 2 19 3 5" xfId="29650"/>
    <cellStyle name="Comma 2 2 19 4" xfId="7235"/>
    <cellStyle name="Comma 2 2 19 5" xfId="20192"/>
    <cellStyle name="Comma 2 2 19 6" xfId="18668"/>
    <cellStyle name="Comma 2 2 19 7" xfId="26885"/>
    <cellStyle name="Comma 2 2 2" xfId="60"/>
    <cellStyle name="Comma 2 2 2 10" xfId="232"/>
    <cellStyle name="Comma 2 2 2 100" xfId="2266"/>
    <cellStyle name="Comma 2 2 2 101" xfId="2288"/>
    <cellStyle name="Comma 2 2 2 102" xfId="2310"/>
    <cellStyle name="Comma 2 2 2 103" xfId="2332"/>
    <cellStyle name="Comma 2 2 2 104" xfId="2354"/>
    <cellStyle name="Comma 2 2 2 105" xfId="2227"/>
    <cellStyle name="Comma 2 2 2 106" xfId="2225"/>
    <cellStyle name="Comma 2 2 2 107" xfId="2447"/>
    <cellStyle name="Comma 2 2 2 108" xfId="2420"/>
    <cellStyle name="Comma 2 2 2 109" xfId="2545"/>
    <cellStyle name="Comma 2 2 2 109 2" xfId="9315"/>
    <cellStyle name="Comma 2 2 2 109 3" xfId="22005"/>
    <cellStyle name="Comma 2 2 2 109 4" xfId="16644"/>
    <cellStyle name="Comma 2 2 2 109 5" xfId="31980"/>
    <cellStyle name="Comma 2 2 2 11" xfId="266"/>
    <cellStyle name="Comma 2 2 2 110" xfId="3726"/>
    <cellStyle name="Comma 2 2 2 110 2" xfId="10496"/>
    <cellStyle name="Comma 2 2 2 110 3" xfId="23186"/>
    <cellStyle name="Comma 2 2 2 110 4" xfId="19726"/>
    <cellStyle name="Comma 2 2 2 110 5" xfId="27326"/>
    <cellStyle name="Comma 2 2 2 111" xfId="6830"/>
    <cellStyle name="Comma 2 2 2 112" xfId="14800"/>
    <cellStyle name="Comma 2 2 2 113" xfId="19481"/>
    <cellStyle name="Comma 2 2 2 114" xfId="30814"/>
    <cellStyle name="Comma 2 2 2 115" xfId="32464"/>
    <cellStyle name="Comma 2 2 2 116" xfId="32473"/>
    <cellStyle name="Comma 2 2 2 117" xfId="32455"/>
    <cellStyle name="Comma 2 2 2 118" xfId="32487"/>
    <cellStyle name="Comma 2 2 2 119" xfId="32510"/>
    <cellStyle name="Comma 2 2 2 12" xfId="302"/>
    <cellStyle name="Comma 2 2 2 120" xfId="32533"/>
    <cellStyle name="Comma 2 2 2 121" xfId="32556"/>
    <cellStyle name="Comma 2 2 2 122" xfId="32579"/>
    <cellStyle name="Comma 2 2 2 123" xfId="32602"/>
    <cellStyle name="Comma 2 2 2 124" xfId="32625"/>
    <cellStyle name="Comma 2 2 2 125" xfId="32648"/>
    <cellStyle name="Comma 2 2 2 126" xfId="32671"/>
    <cellStyle name="Comma 2 2 2 127" xfId="32694"/>
    <cellStyle name="Comma 2 2 2 128" xfId="32717"/>
    <cellStyle name="Comma 2 2 2 129" xfId="32740"/>
    <cellStyle name="Comma 2 2 2 13" xfId="312"/>
    <cellStyle name="Comma 2 2 2 130" xfId="32763"/>
    <cellStyle name="Comma 2 2 2 131" xfId="32786"/>
    <cellStyle name="Comma 2 2 2 132" xfId="32809"/>
    <cellStyle name="Comma 2 2 2 133" xfId="32832"/>
    <cellStyle name="Comma 2 2 2 134" xfId="32855"/>
    <cellStyle name="Comma 2 2 2 135" xfId="32878"/>
    <cellStyle name="Comma 2 2 2 136" xfId="32900"/>
    <cellStyle name="Comma 2 2 2 137" xfId="32923"/>
    <cellStyle name="Comma 2 2 2 138" xfId="32946"/>
    <cellStyle name="Comma 2 2 2 139" xfId="32969"/>
    <cellStyle name="Comma 2 2 2 14" xfId="269"/>
    <cellStyle name="Comma 2 2 2 140" xfId="32992"/>
    <cellStyle name="Comma 2 2 2 141" xfId="33015"/>
    <cellStyle name="Comma 2 2 2 142" xfId="33038"/>
    <cellStyle name="Comma 2 2 2 143" xfId="33061"/>
    <cellStyle name="Comma 2 2 2 144" xfId="33084"/>
    <cellStyle name="Comma 2 2 2 145" xfId="33107"/>
    <cellStyle name="Comma 2 2 2 146" xfId="33129"/>
    <cellStyle name="Comma 2 2 2 147" xfId="33171"/>
    <cellStyle name="Comma 2 2 2 148" xfId="33199"/>
    <cellStyle name="Comma 2 2 2 149" xfId="33245"/>
    <cellStyle name="Comma 2 2 2 15" xfId="326"/>
    <cellStyle name="Comma 2 2 2 150" xfId="33249"/>
    <cellStyle name="Comma 2 2 2 151" xfId="33236"/>
    <cellStyle name="Comma 2 2 2 152" xfId="33263"/>
    <cellStyle name="Comma 2 2 2 153" xfId="33286"/>
    <cellStyle name="Comma 2 2 2 154" xfId="33309"/>
    <cellStyle name="Comma 2 2 2 155" xfId="33332"/>
    <cellStyle name="Comma 2 2 2 156" xfId="33355"/>
    <cellStyle name="Comma 2 2 2 157" xfId="33378"/>
    <cellStyle name="Comma 2 2 2 158" xfId="33401"/>
    <cellStyle name="Comma 2 2 2 159" xfId="33424"/>
    <cellStyle name="Comma 2 2 2 16" xfId="349"/>
    <cellStyle name="Comma 2 2 2 160" xfId="33447"/>
    <cellStyle name="Comma 2 2 2 161" xfId="33470"/>
    <cellStyle name="Comma 2 2 2 162" xfId="33493"/>
    <cellStyle name="Comma 2 2 2 163" xfId="33516"/>
    <cellStyle name="Comma 2 2 2 164" xfId="33539"/>
    <cellStyle name="Comma 2 2 2 165" xfId="33562"/>
    <cellStyle name="Comma 2 2 2 166" xfId="33585"/>
    <cellStyle name="Comma 2 2 2 167" xfId="33608"/>
    <cellStyle name="Comma 2 2 2 168" xfId="33631"/>
    <cellStyle name="Comma 2 2 2 169" xfId="33653"/>
    <cellStyle name="Comma 2 2 2 17" xfId="372"/>
    <cellStyle name="Comma 2 2 2 170" xfId="33675"/>
    <cellStyle name="Comma 2 2 2 171" xfId="33698"/>
    <cellStyle name="Comma 2 2 2 172" xfId="33721"/>
    <cellStyle name="Comma 2 2 2 173" xfId="33744"/>
    <cellStyle name="Comma 2 2 2 174" xfId="33767"/>
    <cellStyle name="Comma 2 2 2 175" xfId="33790"/>
    <cellStyle name="Comma 2 2 2 176" xfId="33813"/>
    <cellStyle name="Comma 2 2 2 177" xfId="33836"/>
    <cellStyle name="Comma 2 2 2 178" xfId="33859"/>
    <cellStyle name="Comma 2 2 2 179" xfId="33882"/>
    <cellStyle name="Comma 2 2 2 18" xfId="395"/>
    <cellStyle name="Comma 2 2 2 180" xfId="33905"/>
    <cellStyle name="Comma 2 2 2 181" xfId="33928"/>
    <cellStyle name="Comma 2 2 2 182" xfId="33951"/>
    <cellStyle name="Comma 2 2 2 183" xfId="33974"/>
    <cellStyle name="Comma 2 2 2 184" xfId="33996"/>
    <cellStyle name="Comma 2 2 2 19" xfId="418"/>
    <cellStyle name="Comma 2 2 2 2" xfId="71"/>
    <cellStyle name="Comma 2 2 2 20" xfId="440"/>
    <cellStyle name="Comma 2 2 2 21" xfId="463"/>
    <cellStyle name="Comma 2 2 2 22" xfId="486"/>
    <cellStyle name="Comma 2 2 2 23" xfId="509"/>
    <cellStyle name="Comma 2 2 2 24" xfId="532"/>
    <cellStyle name="Comma 2 2 2 25" xfId="555"/>
    <cellStyle name="Comma 2 2 2 26" xfId="589"/>
    <cellStyle name="Comma 2 2 2 27" xfId="633"/>
    <cellStyle name="Comma 2 2 2 28" xfId="611"/>
    <cellStyle name="Comma 2 2 2 29" xfId="632"/>
    <cellStyle name="Comma 2 2 2 3" xfId="81"/>
    <cellStyle name="Comma 2 2 2 30" xfId="700"/>
    <cellStyle name="Comma 2 2 2 31" xfId="658"/>
    <cellStyle name="Comma 2 2 2 32" xfId="713"/>
    <cellStyle name="Comma 2 2 2 33" xfId="770"/>
    <cellStyle name="Comma 2 2 2 34" xfId="757"/>
    <cellStyle name="Comma 2 2 2 35" xfId="784"/>
    <cellStyle name="Comma 2 2 2 36" xfId="807"/>
    <cellStyle name="Comma 2 2 2 37" xfId="830"/>
    <cellStyle name="Comma 2 2 2 38" xfId="853"/>
    <cellStyle name="Comma 2 2 2 39" xfId="876"/>
    <cellStyle name="Comma 2 2 2 4" xfId="105"/>
    <cellStyle name="Comma 2 2 2 40" xfId="899"/>
    <cellStyle name="Comma 2 2 2 41" xfId="922"/>
    <cellStyle name="Comma 2 2 2 42" xfId="725"/>
    <cellStyle name="Comma 2 2 2 43" xfId="999"/>
    <cellStyle name="Comma 2 2 2 44" xfId="986"/>
    <cellStyle name="Comma 2 2 2 45" xfId="1013"/>
    <cellStyle name="Comma 2 2 2 46" xfId="1035"/>
    <cellStyle name="Comma 2 2 2 47" xfId="1057"/>
    <cellStyle name="Comma 2 2 2 48" xfId="1080"/>
    <cellStyle name="Comma 2 2 2 49" xfId="1103"/>
    <cellStyle name="Comma 2 2 2 5" xfId="95"/>
    <cellStyle name="Comma 2 2 2 50" xfId="1125"/>
    <cellStyle name="Comma 2 2 2 51" xfId="1159"/>
    <cellStyle name="Comma 2 2 2 52" xfId="1202"/>
    <cellStyle name="Comma 2 2 2 53" xfId="1180"/>
    <cellStyle name="Comma 2 2 2 54" xfId="1216"/>
    <cellStyle name="Comma 2 2 2 55" xfId="1239"/>
    <cellStyle name="Comma 2 2 2 56" xfId="1262"/>
    <cellStyle name="Comma 2 2 2 57" xfId="1285"/>
    <cellStyle name="Comma 2 2 2 58" xfId="1308"/>
    <cellStyle name="Comma 2 2 2 59" xfId="1331"/>
    <cellStyle name="Comma 2 2 2 6" xfId="119"/>
    <cellStyle name="Comma 2 2 2 60" xfId="1354"/>
    <cellStyle name="Comma 2 2 2 61" xfId="1377"/>
    <cellStyle name="Comma 2 2 2 62" xfId="1400"/>
    <cellStyle name="Comma 2 2 2 63" xfId="1423"/>
    <cellStyle name="Comma 2 2 2 64" xfId="1446"/>
    <cellStyle name="Comma 2 2 2 65" xfId="1469"/>
    <cellStyle name="Comma 2 2 2 66" xfId="1492"/>
    <cellStyle name="Comma 2 2 2 67" xfId="1515"/>
    <cellStyle name="Comma 2 2 2 68" xfId="1538"/>
    <cellStyle name="Comma 2 2 2 69" xfId="1561"/>
    <cellStyle name="Comma 2 2 2 7" xfId="142"/>
    <cellStyle name="Comma 2 2 2 70" xfId="1584"/>
    <cellStyle name="Comma 2 2 2 71" xfId="1607"/>
    <cellStyle name="Comma 2 2 2 72" xfId="1197"/>
    <cellStyle name="Comma 2 2 2 73" xfId="1682"/>
    <cellStyle name="Comma 2 2 2 74" xfId="1626"/>
    <cellStyle name="Comma 2 2 2 75" xfId="1696"/>
    <cellStyle name="Comma 2 2 2 76" xfId="1719"/>
    <cellStyle name="Comma 2 2 2 77" xfId="1742"/>
    <cellStyle name="Comma 2 2 2 78" xfId="1765"/>
    <cellStyle name="Comma 2 2 2 79" xfId="1788"/>
    <cellStyle name="Comma 2 2 2 8" xfId="165"/>
    <cellStyle name="Comma 2 2 2 80" xfId="1811"/>
    <cellStyle name="Comma 2 2 2 81" xfId="1834"/>
    <cellStyle name="Comma 2 2 2 82" xfId="1857"/>
    <cellStyle name="Comma 2 2 2 83" xfId="1880"/>
    <cellStyle name="Comma 2 2 2 84" xfId="1903"/>
    <cellStyle name="Comma 2 2 2 85" xfId="1925"/>
    <cellStyle name="Comma 2 2 2 86" xfId="1947"/>
    <cellStyle name="Comma 2 2 2 87" xfId="1970"/>
    <cellStyle name="Comma 2 2 2 88" xfId="1993"/>
    <cellStyle name="Comma 2 2 2 89" xfId="2015"/>
    <cellStyle name="Comma 2 2 2 9" xfId="188"/>
    <cellStyle name="Comma 2 2 2 90" xfId="2038"/>
    <cellStyle name="Comma 2 2 2 91" xfId="2061"/>
    <cellStyle name="Comma 2 2 2 92" xfId="2084"/>
    <cellStyle name="Comma 2 2 2 93" xfId="2107"/>
    <cellStyle name="Comma 2 2 2 94" xfId="2129"/>
    <cellStyle name="Comma 2 2 2 95" xfId="2196"/>
    <cellStyle name="Comma 2 2 2 96" xfId="2224"/>
    <cellStyle name="Comma 2 2 2 97" xfId="2231"/>
    <cellStyle name="Comma 2 2 2 98" xfId="2216"/>
    <cellStyle name="Comma 2 2 2 99" xfId="2244"/>
    <cellStyle name="Comma 2 2 20" xfId="488"/>
    <cellStyle name="Comma 2 2 20 2" xfId="2963"/>
    <cellStyle name="Comma 2 2 20 2 2" xfId="9733"/>
    <cellStyle name="Comma 2 2 20 2 3" xfId="22423"/>
    <cellStyle name="Comma 2 2 20 2 4" xfId="7725"/>
    <cellStyle name="Comma 2 2 20 2 5" xfId="29523"/>
    <cellStyle name="Comma 2 2 20 3" xfId="5030"/>
    <cellStyle name="Comma 2 2 20 3 2" xfId="11800"/>
    <cellStyle name="Comma 2 2 20 3 3" xfId="24490"/>
    <cellStyle name="Comma 2 2 20 3 4" xfId="15620"/>
    <cellStyle name="Comma 2 2 20 3 5" xfId="31694"/>
    <cellStyle name="Comma 2 2 20 4" xfId="7258"/>
    <cellStyle name="Comma 2 2 20 5" xfId="20212"/>
    <cellStyle name="Comma 2 2 20 6" xfId="14166"/>
    <cellStyle name="Comma 2 2 20 7" xfId="29871"/>
    <cellStyle name="Comma 2 2 21" xfId="511"/>
    <cellStyle name="Comma 2 2 21 2" xfId="2986"/>
    <cellStyle name="Comma 2 2 21 2 2" xfId="9756"/>
    <cellStyle name="Comma 2 2 21 2 3" xfId="22446"/>
    <cellStyle name="Comma 2 2 21 2 4" xfId="7244"/>
    <cellStyle name="Comma 2 2 21 2 5" xfId="28468"/>
    <cellStyle name="Comma 2 2 21 3" xfId="5050"/>
    <cellStyle name="Comma 2 2 21 3 2" xfId="11820"/>
    <cellStyle name="Comma 2 2 21 3 3" xfId="24510"/>
    <cellStyle name="Comma 2 2 21 3 4" xfId="16061"/>
    <cellStyle name="Comma 2 2 21 3 5" xfId="28689"/>
    <cellStyle name="Comma 2 2 21 4" xfId="7281"/>
    <cellStyle name="Comma 2 2 21 5" xfId="20232"/>
    <cellStyle name="Comma 2 2 21 6" xfId="15992"/>
    <cellStyle name="Comma 2 2 21 7" xfId="27993"/>
    <cellStyle name="Comma 2 2 22" xfId="534"/>
    <cellStyle name="Comma 2 2 22 2" xfId="3008"/>
    <cellStyle name="Comma 2 2 22 2 2" xfId="9778"/>
    <cellStyle name="Comma 2 2 22 2 3" xfId="22468"/>
    <cellStyle name="Comma 2 2 22 2 4" xfId="7238"/>
    <cellStyle name="Comma 2 2 22 2 5" xfId="29347"/>
    <cellStyle name="Comma 2 2 22 3" xfId="5070"/>
    <cellStyle name="Comma 2 2 22 3 2" xfId="11840"/>
    <cellStyle name="Comma 2 2 22 3 3" xfId="24530"/>
    <cellStyle name="Comma 2 2 22 3 4" xfId="19571"/>
    <cellStyle name="Comma 2 2 22 3 5" xfId="27666"/>
    <cellStyle name="Comma 2 2 22 4" xfId="7304"/>
    <cellStyle name="Comma 2 2 22 5" xfId="20252"/>
    <cellStyle name="Comma 2 2 22 6" xfId="16222"/>
    <cellStyle name="Comma 2 2 22 7" xfId="30916"/>
    <cellStyle name="Comma 2 2 23" xfId="557"/>
    <cellStyle name="Comma 2 2 23 2" xfId="3030"/>
    <cellStyle name="Comma 2 2 23 2 2" xfId="9800"/>
    <cellStyle name="Comma 2 2 23 2 3" xfId="22490"/>
    <cellStyle name="Comma 2 2 23 2 4" xfId="17894"/>
    <cellStyle name="Comma 2 2 23 2 5" xfId="26376"/>
    <cellStyle name="Comma 2 2 23 3" xfId="5090"/>
    <cellStyle name="Comma 2 2 23 3 2" xfId="11860"/>
    <cellStyle name="Comma 2 2 23 3 3" xfId="24550"/>
    <cellStyle name="Comma 2 2 23 3 4" xfId="15193"/>
    <cellStyle name="Comma 2 2 23 3 5" xfId="26457"/>
    <cellStyle name="Comma 2 2 23 4" xfId="7327"/>
    <cellStyle name="Comma 2 2 23 5" xfId="20272"/>
    <cellStyle name="Comma 2 2 23 6" xfId="15813"/>
    <cellStyle name="Comma 2 2 23 7" xfId="28877"/>
    <cellStyle name="Comma 2 2 24" xfId="580"/>
    <cellStyle name="Comma 2 2 24 2" xfId="3053"/>
    <cellStyle name="Comma 2 2 24 2 2" xfId="9823"/>
    <cellStyle name="Comma 2 2 24 2 3" xfId="22513"/>
    <cellStyle name="Comma 2 2 24 2 4" xfId="15628"/>
    <cellStyle name="Comma 2 2 24 2 5" xfId="30187"/>
    <cellStyle name="Comma 2 2 24 3" xfId="5111"/>
    <cellStyle name="Comma 2 2 24 3 2" xfId="11881"/>
    <cellStyle name="Comma 2 2 24 3 3" xfId="24571"/>
    <cellStyle name="Comma 2 2 24 3 4" xfId="15046"/>
    <cellStyle name="Comma 2 2 24 3 5" xfId="28581"/>
    <cellStyle name="Comma 2 2 24 4" xfId="7350"/>
    <cellStyle name="Comma 2 2 24 5" xfId="20293"/>
    <cellStyle name="Comma 2 2 24 6" xfId="16268"/>
    <cellStyle name="Comma 2 2 24 7" xfId="31820"/>
    <cellStyle name="Comma 2 2 25" xfId="601"/>
    <cellStyle name="Comma 2 2 25 2" xfId="3074"/>
    <cellStyle name="Comma 2 2 25 2 2" xfId="9844"/>
    <cellStyle name="Comma 2 2 25 2 3" xfId="22534"/>
    <cellStyle name="Comma 2 2 25 2 4" xfId="15524"/>
    <cellStyle name="Comma 2 2 25 2 5" xfId="29264"/>
    <cellStyle name="Comma 2 2 25 3" xfId="5129"/>
    <cellStyle name="Comma 2 2 25 3 2" xfId="11899"/>
    <cellStyle name="Comma 2 2 25 3 3" xfId="24589"/>
    <cellStyle name="Comma 2 2 25 3 4" xfId="14938"/>
    <cellStyle name="Comma 2 2 25 3 5" xfId="28132"/>
    <cellStyle name="Comma 2 2 25 4" xfId="7371"/>
    <cellStyle name="Comma 2 2 25 5" xfId="20311"/>
    <cellStyle name="Comma 2 2 25 6" xfId="16091"/>
    <cellStyle name="Comma 2 2 25 7" xfId="27842"/>
    <cellStyle name="Comma 2 2 26" xfId="575"/>
    <cellStyle name="Comma 2 2 26 2" xfId="3048"/>
    <cellStyle name="Comma 2 2 26 2 2" xfId="9818"/>
    <cellStyle name="Comma 2 2 26 2 3" xfId="22508"/>
    <cellStyle name="Comma 2 2 26 2 4" xfId="19904"/>
    <cellStyle name="Comma 2 2 26 2 5" xfId="27209"/>
    <cellStyle name="Comma 2 2 26 3" xfId="5106"/>
    <cellStyle name="Comma 2 2 26 3 2" xfId="11876"/>
    <cellStyle name="Comma 2 2 26 3 3" xfId="24566"/>
    <cellStyle name="Comma 2 2 26 3 4" xfId="19408"/>
    <cellStyle name="Comma 2 2 26 3 5" xfId="30554"/>
    <cellStyle name="Comma 2 2 26 4" xfId="7345"/>
    <cellStyle name="Comma 2 2 26 5" xfId="20288"/>
    <cellStyle name="Comma 2 2 26 6" xfId="13938"/>
    <cellStyle name="Comma 2 2 26 7" xfId="28859"/>
    <cellStyle name="Comma 2 2 27" xfId="649"/>
    <cellStyle name="Comma 2 2 27 2" xfId="3122"/>
    <cellStyle name="Comma 2 2 27 2 2" xfId="9892"/>
    <cellStyle name="Comma 2 2 27 2 3" xfId="22582"/>
    <cellStyle name="Comma 2 2 27 2 4" xfId="15209"/>
    <cellStyle name="Comma 2 2 27 2 5" xfId="29200"/>
    <cellStyle name="Comma 2 2 27 3" xfId="5171"/>
    <cellStyle name="Comma 2 2 27 3 2" xfId="11941"/>
    <cellStyle name="Comma 2 2 27 3 3" xfId="24631"/>
    <cellStyle name="Comma 2 2 27 3 4" xfId="14630"/>
    <cellStyle name="Comma 2 2 27 3 5" xfId="29454"/>
    <cellStyle name="Comma 2 2 27 4" xfId="7419"/>
    <cellStyle name="Comma 2 2 27 5" xfId="20353"/>
    <cellStyle name="Comma 2 2 27 6" xfId="17615"/>
    <cellStyle name="Comma 2 2 27 7" xfId="27765"/>
    <cellStyle name="Comma 2 2 28" xfId="670"/>
    <cellStyle name="Comma 2 2 28 2" xfId="3142"/>
    <cellStyle name="Comma 2 2 28 2 2" xfId="9912"/>
    <cellStyle name="Comma 2 2 28 2 3" xfId="22602"/>
    <cellStyle name="Comma 2 2 28 2 4" xfId="17462"/>
    <cellStyle name="Comma 2 2 28 2 5" xfId="28242"/>
    <cellStyle name="Comma 2 2 28 3" xfId="5189"/>
    <cellStyle name="Comma 2 2 28 3 2" xfId="11959"/>
    <cellStyle name="Comma 2 2 28 3 3" xfId="24649"/>
    <cellStyle name="Comma 2 2 28 3 4" xfId="14543"/>
    <cellStyle name="Comma 2 2 28 3 5" xfId="29431"/>
    <cellStyle name="Comma 2 2 28 4" xfId="7440"/>
    <cellStyle name="Comma 2 2 28 5" xfId="20371"/>
    <cellStyle name="Comma 2 2 28 6" xfId="19404"/>
    <cellStyle name="Comma 2 2 28 7" xfId="31678"/>
    <cellStyle name="Comma 2 2 29" xfId="691"/>
    <cellStyle name="Comma 2 2 29 2" xfId="3163"/>
    <cellStyle name="Comma 2 2 29 2 2" xfId="9933"/>
    <cellStyle name="Comma 2 2 29 2 3" xfId="22623"/>
    <cellStyle name="Comma 2 2 29 2 4" xfId="17311"/>
    <cellStyle name="Comma 2 2 29 2 5" xfId="30569"/>
    <cellStyle name="Comma 2 2 29 3" xfId="5208"/>
    <cellStyle name="Comma 2 2 29 3 2" xfId="11978"/>
    <cellStyle name="Comma 2 2 29 3 3" xfId="24668"/>
    <cellStyle name="Comma 2 2 29 3 4" xfId="18750"/>
    <cellStyle name="Comma 2 2 29 3 5" xfId="31469"/>
    <cellStyle name="Comma 2 2 29 4" xfId="7461"/>
    <cellStyle name="Comma 2 2 29 5" xfId="20390"/>
    <cellStyle name="Comma 2 2 29 6" xfId="14957"/>
    <cellStyle name="Comma 2 2 29 7" xfId="27681"/>
    <cellStyle name="Comma 2 2 3" xfId="97"/>
    <cellStyle name="Comma 2 2 3 2" xfId="2581"/>
    <cellStyle name="Comma 2 2 3 2 2" xfId="9351"/>
    <cellStyle name="Comma 2 2 3 2 3" xfId="22041"/>
    <cellStyle name="Comma 2 2 3 2 4" xfId="16399"/>
    <cellStyle name="Comma 2 2 3 2 5" xfId="31926"/>
    <cellStyle name="Comma 2 2 3 3" xfId="2966"/>
    <cellStyle name="Comma 2 2 3 3 2" xfId="9736"/>
    <cellStyle name="Comma 2 2 3 3 3" xfId="22426"/>
    <cellStyle name="Comma 2 2 3 3 4" xfId="7680"/>
    <cellStyle name="Comma 2 2 3 3 5" xfId="28624"/>
    <cellStyle name="Comma 2 2 3 4" xfId="6867"/>
    <cellStyle name="Comma 2 2 3 5" xfId="14050"/>
    <cellStyle name="Comma 2 2 3 6" xfId="17350"/>
    <cellStyle name="Comma 2 2 3 7" xfId="27784"/>
    <cellStyle name="Comma 2 2 30" xfId="715"/>
    <cellStyle name="Comma 2 2 30 2" xfId="3187"/>
    <cellStyle name="Comma 2 2 30 2 2" xfId="9957"/>
    <cellStyle name="Comma 2 2 30 2 3" xfId="22647"/>
    <cellStyle name="Comma 2 2 30 2 4" xfId="17155"/>
    <cellStyle name="Comma 2 2 30 2 5" xfId="32073"/>
    <cellStyle name="Comma 2 2 30 3" xfId="5228"/>
    <cellStyle name="Comma 2 2 30 3 2" xfId="11998"/>
    <cellStyle name="Comma 2 2 30 3 3" xfId="24688"/>
    <cellStyle name="Comma 2 2 30 3 4" xfId="14283"/>
    <cellStyle name="Comma 2 2 30 3 5" xfId="26438"/>
    <cellStyle name="Comma 2 2 30 4" xfId="7485"/>
    <cellStyle name="Comma 2 2 30 5" xfId="20410"/>
    <cellStyle name="Comma 2 2 30 6" xfId="14783"/>
    <cellStyle name="Comma 2 2 30 7" xfId="27645"/>
    <cellStyle name="Comma 2 2 31" xfId="737"/>
    <cellStyle name="Comma 2 2 31 2" xfId="3208"/>
    <cellStyle name="Comma 2 2 31 2 2" xfId="9978"/>
    <cellStyle name="Comma 2 2 31 2 3" xfId="22668"/>
    <cellStyle name="Comma 2 2 31 2 4" xfId="17022"/>
    <cellStyle name="Comma 2 2 31 2 5" xfId="28141"/>
    <cellStyle name="Comma 2 2 31 3" xfId="5247"/>
    <cellStyle name="Comma 2 2 31 3 2" xfId="12017"/>
    <cellStyle name="Comma 2 2 31 3 3" xfId="24707"/>
    <cellStyle name="Comma 2 2 31 3 4" xfId="16872"/>
    <cellStyle name="Comma 2 2 31 3 5" xfId="26385"/>
    <cellStyle name="Comma 2 2 31 4" xfId="7507"/>
    <cellStyle name="Comma 2 2 31 5" xfId="20429"/>
    <cellStyle name="Comma 2 2 31 6" xfId="14627"/>
    <cellStyle name="Comma 2 2 31 7" xfId="28596"/>
    <cellStyle name="Comma 2 2 32" xfId="761"/>
    <cellStyle name="Comma 2 2 32 2" xfId="3232"/>
    <cellStyle name="Comma 2 2 32 2 2" xfId="10002"/>
    <cellStyle name="Comma 2 2 32 2 3" xfId="22692"/>
    <cellStyle name="Comma 2 2 32 2 4" xfId="16850"/>
    <cellStyle name="Comma 2 2 32 2 5" xfId="27497"/>
    <cellStyle name="Comma 2 2 32 3" xfId="5268"/>
    <cellStyle name="Comma 2 2 32 3 2" xfId="12038"/>
    <cellStyle name="Comma 2 2 32 3 3" xfId="24728"/>
    <cellStyle name="Comma 2 2 32 3 4" xfId="18396"/>
    <cellStyle name="Comma 2 2 32 3 5" xfId="30495"/>
    <cellStyle name="Comma 2 2 32 4" xfId="7531"/>
    <cellStyle name="Comma 2 2 32 5" xfId="20450"/>
    <cellStyle name="Comma 2 2 32 6" xfId="18748"/>
    <cellStyle name="Comma 2 2 32 7" xfId="27557"/>
    <cellStyle name="Comma 2 2 33" xfId="786"/>
    <cellStyle name="Comma 2 2 33 2" xfId="3255"/>
    <cellStyle name="Comma 2 2 33 2 2" xfId="10025"/>
    <cellStyle name="Comma 2 2 33 2 3" xfId="22715"/>
    <cellStyle name="Comma 2 2 33 2 4" xfId="18686"/>
    <cellStyle name="Comma 2 2 33 2 5" xfId="31030"/>
    <cellStyle name="Comma 2 2 33 3" xfId="5289"/>
    <cellStyle name="Comma 2 2 33 3 2" xfId="12059"/>
    <cellStyle name="Comma 2 2 33 3 3" xfId="24749"/>
    <cellStyle name="Comma 2 2 33 3 4" xfId="18278"/>
    <cellStyle name="Comma 2 2 33 3 5" xfId="26314"/>
    <cellStyle name="Comma 2 2 33 4" xfId="7556"/>
    <cellStyle name="Comma 2 2 33 5" xfId="20471"/>
    <cellStyle name="Comma 2 2 33 6" xfId="14241"/>
    <cellStyle name="Comma 2 2 33 7" xfId="31533"/>
    <cellStyle name="Comma 2 2 34" xfId="809"/>
    <cellStyle name="Comma 2 2 34 2" xfId="3277"/>
    <cellStyle name="Comma 2 2 34 2 2" xfId="10047"/>
    <cellStyle name="Comma 2 2 34 2 3" xfId="22737"/>
    <cellStyle name="Comma 2 2 34 2 4" xfId="16563"/>
    <cellStyle name="Comma 2 2 34 2 5" xfId="31943"/>
    <cellStyle name="Comma 2 2 34 3" xfId="5309"/>
    <cellStyle name="Comma 2 2 34 3 2" xfId="12079"/>
    <cellStyle name="Comma 2 2 34 3 3" xfId="24769"/>
    <cellStyle name="Comma 2 2 34 3 4" xfId="17757"/>
    <cellStyle name="Comma 2 2 34 3 5" xfId="15906"/>
    <cellStyle name="Comma 2 2 34 4" xfId="7579"/>
    <cellStyle name="Comma 2 2 34 5" xfId="20491"/>
    <cellStyle name="Comma 2 2 34 6" xfId="18033"/>
    <cellStyle name="Comma 2 2 34 7" xfId="29426"/>
    <cellStyle name="Comma 2 2 35" xfId="832"/>
    <cellStyle name="Comma 2 2 35 2" xfId="3299"/>
    <cellStyle name="Comma 2 2 35 2 2" xfId="10069"/>
    <cellStyle name="Comma 2 2 35 2 3" xfId="22759"/>
    <cellStyle name="Comma 2 2 35 2 4" xfId="14030"/>
    <cellStyle name="Comma 2 2 35 2 5" xfId="29845"/>
    <cellStyle name="Comma 2 2 35 3" xfId="5329"/>
    <cellStyle name="Comma 2 2 35 3 2" xfId="12099"/>
    <cellStyle name="Comma 2 2 35 3 3" xfId="24789"/>
    <cellStyle name="Comma 2 2 35 3 4" xfId="18102"/>
    <cellStyle name="Comma 2 2 35 3 5" xfId="20092"/>
    <cellStyle name="Comma 2 2 35 4" xfId="7602"/>
    <cellStyle name="Comma 2 2 35 5" xfId="20511"/>
    <cellStyle name="Comma 2 2 35 6" xfId="19734"/>
    <cellStyle name="Comma 2 2 35 7" xfId="31590"/>
    <cellStyle name="Comma 2 2 36" xfId="855"/>
    <cellStyle name="Comma 2 2 36 2" xfId="3321"/>
    <cellStyle name="Comma 2 2 36 2 2" xfId="10091"/>
    <cellStyle name="Comma 2 2 36 2 3" xfId="22781"/>
    <cellStyle name="Comma 2 2 36 2 4" xfId="18293"/>
    <cellStyle name="Comma 2 2 36 2 5" xfId="30920"/>
    <cellStyle name="Comma 2 2 36 3" xfId="5349"/>
    <cellStyle name="Comma 2 2 36 3 2" xfId="12119"/>
    <cellStyle name="Comma 2 2 36 3 3" xfId="24809"/>
    <cellStyle name="Comma 2 2 36 3 4" xfId="15642"/>
    <cellStyle name="Comma 2 2 36 3 5" xfId="18954"/>
    <cellStyle name="Comma 2 2 36 4" xfId="7625"/>
    <cellStyle name="Comma 2 2 36 5" xfId="20531"/>
    <cellStyle name="Comma 2 2 36 6" xfId="15356"/>
    <cellStyle name="Comma 2 2 36 7" xfId="26407"/>
    <cellStyle name="Comma 2 2 37" xfId="878"/>
    <cellStyle name="Comma 2 2 37 2" xfId="3343"/>
    <cellStyle name="Comma 2 2 37 2 2" xfId="10113"/>
    <cellStyle name="Comma 2 2 37 2 3" xfId="22803"/>
    <cellStyle name="Comma 2 2 37 2 4" xfId="18240"/>
    <cellStyle name="Comma 2 2 37 2 5" xfId="31853"/>
    <cellStyle name="Comma 2 2 37 3" xfId="5369"/>
    <cellStyle name="Comma 2 2 37 3 2" xfId="12139"/>
    <cellStyle name="Comma 2 2 37 3 3" xfId="24829"/>
    <cellStyle name="Comma 2 2 37 3 4" xfId="17874"/>
    <cellStyle name="Comma 2 2 37 3 5" xfId="14584"/>
    <cellStyle name="Comma 2 2 37 4" xfId="7648"/>
    <cellStyle name="Comma 2 2 37 5" xfId="20551"/>
    <cellStyle name="Comma 2 2 37 6" xfId="17589"/>
    <cellStyle name="Comma 2 2 37 7" xfId="26447"/>
    <cellStyle name="Comma 2 2 38" xfId="901"/>
    <cellStyle name="Comma 2 2 38 2" xfId="3365"/>
    <cellStyle name="Comma 2 2 38 2 2" xfId="10135"/>
    <cellStyle name="Comma 2 2 38 2 3" xfId="22825"/>
    <cellStyle name="Comma 2 2 38 2 4" xfId="15719"/>
    <cellStyle name="Comma 2 2 38 2 5" xfId="29752"/>
    <cellStyle name="Comma 2 2 38 3" xfId="5389"/>
    <cellStyle name="Comma 2 2 38 3 2" xfId="12159"/>
    <cellStyle name="Comma 2 2 38 3 3" xfId="24849"/>
    <cellStyle name="Comma 2 2 38 3 4" xfId="19627"/>
    <cellStyle name="Comma 2 2 38 3 5" xfId="16344"/>
    <cellStyle name="Comma 2 2 38 4" xfId="7671"/>
    <cellStyle name="Comma 2 2 38 5" xfId="20571"/>
    <cellStyle name="Comma 2 2 38 6" xfId="19329"/>
    <cellStyle name="Comma 2 2 38 7" xfId="28538"/>
    <cellStyle name="Comma 2 2 39" xfId="924"/>
    <cellStyle name="Comma 2 2 39 2" xfId="3388"/>
    <cellStyle name="Comma 2 2 39 2 2" xfId="10158"/>
    <cellStyle name="Comma 2 2 39 2 3" xfId="22848"/>
    <cellStyle name="Comma 2 2 39 2 4" xfId="17941"/>
    <cellStyle name="Comma 2 2 39 2 5" xfId="27846"/>
    <cellStyle name="Comma 2 2 39 3" xfId="5409"/>
    <cellStyle name="Comma 2 2 39 3 2" xfId="12179"/>
    <cellStyle name="Comma 2 2 39 3 3" xfId="24869"/>
    <cellStyle name="Comma 2 2 39 3 4" xfId="15256"/>
    <cellStyle name="Comma 2 2 39 3 5" xfId="17713"/>
    <cellStyle name="Comma 2 2 39 4" xfId="7694"/>
    <cellStyle name="Comma 2 2 39 5" xfId="20591"/>
    <cellStyle name="Comma 2 2 39 6" xfId="14911"/>
    <cellStyle name="Comma 2 2 39 7" xfId="31488"/>
    <cellStyle name="Comma 2 2 4" xfId="121"/>
    <cellStyle name="Comma 2 2 4 2" xfId="2605"/>
    <cellStyle name="Comma 2 2 4 2 2" xfId="9375"/>
    <cellStyle name="Comma 2 2 4 2 3" xfId="22065"/>
    <cellStyle name="Comma 2 2 4 2 4" xfId="16240"/>
    <cellStyle name="Comma 2 2 4 2 5" xfId="31901"/>
    <cellStyle name="Comma 2 2 4 3" xfId="4241"/>
    <cellStyle name="Comma 2 2 4 3 2" xfId="11011"/>
    <cellStyle name="Comma 2 2 4 3 3" xfId="23701"/>
    <cellStyle name="Comma 2 2 4 3 4" xfId="13642"/>
    <cellStyle name="Comma 2 2 4 3 5" xfId="27988"/>
    <cellStyle name="Comma 2 2 4 4" xfId="6891"/>
    <cellStyle name="Comma 2 2 4 5" xfId="13726"/>
    <cellStyle name="Comma 2 2 4 6" xfId="17193"/>
    <cellStyle name="Comma 2 2 4 7" xfId="27750"/>
    <cellStyle name="Comma 2 2 40" xfId="947"/>
    <cellStyle name="Comma 2 2 40 2" xfId="3411"/>
    <cellStyle name="Comma 2 2 40 2 2" xfId="10181"/>
    <cellStyle name="Comma 2 2 40 2 3" xfId="22871"/>
    <cellStyle name="Comma 2 2 40 2 4" xfId="19671"/>
    <cellStyle name="Comma 2 2 40 2 5" xfId="30766"/>
    <cellStyle name="Comma 2 2 40 3" xfId="5430"/>
    <cellStyle name="Comma 2 2 40 3 2" xfId="12200"/>
    <cellStyle name="Comma 2 2 40 3 3" xfId="24890"/>
    <cellStyle name="Comma 2 2 40 3 4" xfId="15113"/>
    <cellStyle name="Comma 2 2 40 3 5" xfId="14320"/>
    <cellStyle name="Comma 2 2 40 4" xfId="7717"/>
    <cellStyle name="Comma 2 2 40 5" xfId="20612"/>
    <cellStyle name="Comma 2 2 40 6" xfId="17134"/>
    <cellStyle name="Comma 2 2 40 7" xfId="27445"/>
    <cellStyle name="Comma 2 2 41" xfId="968"/>
    <cellStyle name="Comma 2 2 41 2" xfId="3432"/>
    <cellStyle name="Comma 2 2 41 2 2" xfId="10202"/>
    <cellStyle name="Comma 2 2 41 2 3" xfId="22892"/>
    <cellStyle name="Comma 2 2 41 2 4" xfId="19556"/>
    <cellStyle name="Comma 2 2 41 2 5" xfId="26607"/>
    <cellStyle name="Comma 2 2 41 3" xfId="5448"/>
    <cellStyle name="Comma 2 2 41 3 2" xfId="12218"/>
    <cellStyle name="Comma 2 2 41 3 3" xfId="24908"/>
    <cellStyle name="Comma 2 2 41 3 4" xfId="15003"/>
    <cellStyle name="Comma 2 2 41 3 5" xfId="19290"/>
    <cellStyle name="Comma 2 2 41 4" xfId="7738"/>
    <cellStyle name="Comma 2 2 41 5" xfId="20630"/>
    <cellStyle name="Comma 2 2 41 6" xfId="16980"/>
    <cellStyle name="Comma 2 2 41 7" xfId="30116"/>
    <cellStyle name="Comma 2 2 42" xfId="990"/>
    <cellStyle name="Comma 2 2 42 2" xfId="3454"/>
    <cellStyle name="Comma 2 2 42 2 2" xfId="10224"/>
    <cellStyle name="Comma 2 2 42 2 3" xfId="22914"/>
    <cellStyle name="Comma 2 2 42 2 4" xfId="17515"/>
    <cellStyle name="Comma 2 2 42 2 5" xfId="27735"/>
    <cellStyle name="Comma 2 2 42 3" xfId="5467"/>
    <cellStyle name="Comma 2 2 42 3 2" xfId="12237"/>
    <cellStyle name="Comma 2 2 42 3 3" xfId="24927"/>
    <cellStyle name="Comma 2 2 42 3 4" xfId="19159"/>
    <cellStyle name="Comma 2 2 42 3 5" xfId="14098"/>
    <cellStyle name="Comma 2 2 42 4" xfId="7760"/>
    <cellStyle name="Comma 2 2 42 5" xfId="20649"/>
    <cellStyle name="Comma 2 2 42 6" xfId="14471"/>
    <cellStyle name="Comma 2 2 42 7" xfId="31228"/>
    <cellStyle name="Comma 2 2 43" xfId="1015"/>
    <cellStyle name="Comma 2 2 43 2" xfId="3479"/>
    <cellStyle name="Comma 2 2 43 2 2" xfId="10249"/>
    <cellStyle name="Comma 2 2 43 2 3" xfId="22939"/>
    <cellStyle name="Comma 2 2 43 2 4" xfId="14987"/>
    <cellStyle name="Comma 2 2 43 2 5" xfId="29560"/>
    <cellStyle name="Comma 2 2 43 3" xfId="5488"/>
    <cellStyle name="Comma 2 2 43 3 2" xfId="12258"/>
    <cellStyle name="Comma 2 2 43 3 3" xfId="24948"/>
    <cellStyle name="Comma 2 2 43 3 4" xfId="19041"/>
    <cellStyle name="Comma 2 2 43 3 5" xfId="18641"/>
    <cellStyle name="Comma 2 2 43 4" xfId="7785"/>
    <cellStyle name="Comma 2 2 43 5" xfId="20670"/>
    <cellStyle name="Comma 2 2 43 6" xfId="18665"/>
    <cellStyle name="Comma 2 2 43 7" xfId="30971"/>
    <cellStyle name="Comma 2 2 44" xfId="1037"/>
    <cellStyle name="Comma 2 2 44 2" xfId="3500"/>
    <cellStyle name="Comma 2 2 44 2 2" xfId="10270"/>
    <cellStyle name="Comma 2 2 44 2 3" xfId="22960"/>
    <cellStyle name="Comma 2 2 44 2 4" xfId="14857"/>
    <cellStyle name="Comma 2 2 44 2 5" xfId="28641"/>
    <cellStyle name="Comma 2 2 44 3" xfId="5507"/>
    <cellStyle name="Comma 2 2 44 3 2" xfId="12277"/>
    <cellStyle name="Comma 2 2 44 3 3" xfId="24967"/>
    <cellStyle name="Comma 2 2 44 3 4" xfId="15995"/>
    <cellStyle name="Comma 2 2 44 3 5" xfId="14447"/>
    <cellStyle name="Comma 2 2 44 4" xfId="7807"/>
    <cellStyle name="Comma 2 2 44 5" xfId="20689"/>
    <cellStyle name="Comma 2 2 44 6" xfId="18530"/>
    <cellStyle name="Comma 2 2 44 7" xfId="32080"/>
    <cellStyle name="Comma 2 2 45" xfId="1059"/>
    <cellStyle name="Comma 2 2 45 2" xfId="3521"/>
    <cellStyle name="Comma 2 2 45 2 2" xfId="10291"/>
    <cellStyle name="Comma 2 2 45 2 3" xfId="22981"/>
    <cellStyle name="Comma 2 2 45 2 4" xfId="14701"/>
    <cellStyle name="Comma 2 2 45 2 5" xfId="29499"/>
    <cellStyle name="Comma 2 2 45 3" xfId="5526"/>
    <cellStyle name="Comma 2 2 45 3 2" xfId="12296"/>
    <cellStyle name="Comma 2 2 45 3 3" xfId="24986"/>
    <cellStyle name="Comma 2 2 45 3 4" xfId="14475"/>
    <cellStyle name="Comma 2 2 45 3 5" xfId="27936"/>
    <cellStyle name="Comma 2 2 45 4" xfId="7829"/>
    <cellStyle name="Comma 2 2 45 5" xfId="20708"/>
    <cellStyle name="Comma 2 2 45 6" xfId="16363"/>
    <cellStyle name="Comma 2 2 45 7" xfId="19541"/>
    <cellStyle name="Comma 2 2 46" xfId="1082"/>
    <cellStyle name="Comma 2 2 46 2" xfId="3544"/>
    <cellStyle name="Comma 2 2 46 2 2" xfId="10314"/>
    <cellStyle name="Comma 2 2 46 2 3" xfId="23004"/>
    <cellStyle name="Comma 2 2 46 2 4" xfId="16925"/>
    <cellStyle name="Comma 2 2 46 2 5" xfId="27562"/>
    <cellStyle name="Comma 2 2 46 3" xfId="5546"/>
    <cellStyle name="Comma 2 2 46 3 2" xfId="12316"/>
    <cellStyle name="Comma 2 2 46 3 3" xfId="25006"/>
    <cellStyle name="Comma 2 2 46 3 4" xfId="16721"/>
    <cellStyle name="Comma 2 2 46 3 5" xfId="28485"/>
    <cellStyle name="Comma 2 2 46 4" xfId="7852"/>
    <cellStyle name="Comma 2 2 46 5" xfId="20728"/>
    <cellStyle name="Comma 2 2 46 6" xfId="19790"/>
    <cellStyle name="Comma 2 2 46 7" xfId="31069"/>
    <cellStyle name="Comma 2 2 47" xfId="1105"/>
    <cellStyle name="Comma 2 2 47 2" xfId="3566"/>
    <cellStyle name="Comma 2 2 47 2 2" xfId="10336"/>
    <cellStyle name="Comma 2 2 47 2 3" xfId="23026"/>
    <cellStyle name="Comma 2 2 47 2 4" xfId="14418"/>
    <cellStyle name="Comma 2 2 47 2 5" xfId="29471"/>
    <cellStyle name="Comma 2 2 47 3" xfId="5566"/>
    <cellStyle name="Comma 2 2 47 3 2" xfId="12336"/>
    <cellStyle name="Comma 2 2 47 3 3" xfId="25026"/>
    <cellStyle name="Comma 2 2 47 3 4" xfId="18515"/>
    <cellStyle name="Comma 2 2 47 3 5" xfId="27273"/>
    <cellStyle name="Comma 2 2 47 4" xfId="7875"/>
    <cellStyle name="Comma 2 2 47 5" xfId="20748"/>
    <cellStyle name="Comma 2 2 47 6" xfId="15415"/>
    <cellStyle name="Comma 2 2 47 7" xfId="29010"/>
    <cellStyle name="Comma 2 2 48" xfId="1127"/>
    <cellStyle name="Comma 2 2 48 2" xfId="3588"/>
    <cellStyle name="Comma 2 2 48 2 2" xfId="10358"/>
    <cellStyle name="Comma 2 2 48 2 3" xfId="23048"/>
    <cellStyle name="Comma 2 2 48 2 4" xfId="18616"/>
    <cellStyle name="Comma 2 2 48 2 5" xfId="27359"/>
    <cellStyle name="Comma 2 2 48 3" xfId="5585"/>
    <cellStyle name="Comma 2 2 48 3 2" xfId="12355"/>
    <cellStyle name="Comma 2 2 48 3 3" xfId="25045"/>
    <cellStyle name="Comma 2 2 48 3 4" xfId="16496"/>
    <cellStyle name="Comma 2 2 48 3 5" xfId="32303"/>
    <cellStyle name="Comma 2 2 48 4" xfId="7897"/>
    <cellStyle name="Comma 2 2 48 5" xfId="20767"/>
    <cellStyle name="Comma 2 2 48 6" xfId="19524"/>
    <cellStyle name="Comma 2 2 48 7" xfId="29872"/>
    <cellStyle name="Comma 2 2 49" xfId="1150"/>
    <cellStyle name="Comma 2 2 49 2" xfId="3610"/>
    <cellStyle name="Comma 2 2 49 2 2" xfId="10380"/>
    <cellStyle name="Comma 2 2 49 2 3" xfId="23070"/>
    <cellStyle name="Comma 2 2 49 2 4" xfId="16484"/>
    <cellStyle name="Comma 2 2 49 2 5" xfId="28498"/>
    <cellStyle name="Comma 2 2 49 3" xfId="5606"/>
    <cellStyle name="Comma 2 2 49 3 2" xfId="12376"/>
    <cellStyle name="Comma 2 2 49 3 3" xfId="25066"/>
    <cellStyle name="Comma 2 2 49 3 4" xfId="15966"/>
    <cellStyle name="Comma 2 2 49 3 5" xfId="28398"/>
    <cellStyle name="Comma 2 2 49 4" xfId="7920"/>
    <cellStyle name="Comma 2 2 49 5" xfId="20788"/>
    <cellStyle name="Comma 2 2 49 6" xfId="15117"/>
    <cellStyle name="Comma 2 2 49 7" xfId="28000"/>
    <cellStyle name="Comma 2 2 5" xfId="144"/>
    <cellStyle name="Comma 2 2 5 2" xfId="2628"/>
    <cellStyle name="Comma 2 2 5 2 2" xfId="9398"/>
    <cellStyle name="Comma 2 2 5 2 3" xfId="22088"/>
    <cellStyle name="Comma 2 2 5 2 4" xfId="20036"/>
    <cellStyle name="Comma 2 2 5 2 5" xfId="26759"/>
    <cellStyle name="Comma 2 2 5 3" xfId="3777"/>
    <cellStyle name="Comma 2 2 5 3 2" xfId="10547"/>
    <cellStyle name="Comma 2 2 5 3 3" xfId="23237"/>
    <cellStyle name="Comma 2 2 5 3 4" xfId="19415"/>
    <cellStyle name="Comma 2 2 5 3 5" xfId="30531"/>
    <cellStyle name="Comma 2 2 5 4" xfId="6914"/>
    <cellStyle name="Comma 2 2 5 5" xfId="14850"/>
    <cellStyle name="Comma 2 2 5 6" xfId="18971"/>
    <cellStyle name="Comma 2 2 5 7" xfId="30668"/>
    <cellStyle name="Comma 2 2 50" xfId="1170"/>
    <cellStyle name="Comma 2 2 50 2" xfId="3630"/>
    <cellStyle name="Comma 2 2 50 2 2" xfId="10400"/>
    <cellStyle name="Comma 2 2 50 2 3" xfId="23090"/>
    <cellStyle name="Comma 2 2 50 2 4" xfId="18381"/>
    <cellStyle name="Comma 2 2 50 2 5" xfId="26433"/>
    <cellStyle name="Comma 2 2 50 3" xfId="5623"/>
    <cellStyle name="Comma 2 2 50 3 2" xfId="12393"/>
    <cellStyle name="Comma 2 2 50 3 3" xfId="25083"/>
    <cellStyle name="Comma 2 2 50 3 4" xfId="16622"/>
    <cellStyle name="Comma 2 2 50 3 5" xfId="31344"/>
    <cellStyle name="Comma 2 2 50 4" xfId="7940"/>
    <cellStyle name="Comma 2 2 50 5" xfId="20805"/>
    <cellStyle name="Comma 2 2 50 6" xfId="17375"/>
    <cellStyle name="Comma 2 2 50 7" xfId="17672"/>
    <cellStyle name="Comma 2 2 51" xfId="1145"/>
    <cellStyle name="Comma 2 2 51 2" xfId="3605"/>
    <cellStyle name="Comma 2 2 51 2 2" xfId="10375"/>
    <cellStyle name="Comma 2 2 51 2 3" xfId="23065"/>
    <cellStyle name="Comma 2 2 51 2 4" xfId="14152"/>
    <cellStyle name="Comma 2 2 51 2 5" xfId="30307"/>
    <cellStyle name="Comma 2 2 51 3" xfId="5601"/>
    <cellStyle name="Comma 2 2 51 3 2" xfId="12371"/>
    <cellStyle name="Comma 2 2 51 3 3" xfId="25061"/>
    <cellStyle name="Comma 2 2 51 3 4" xfId="13969"/>
    <cellStyle name="Comma 2 2 51 3 5" xfId="30216"/>
    <cellStyle name="Comma 2 2 51 4" xfId="7915"/>
    <cellStyle name="Comma 2 2 51 5" xfId="20783"/>
    <cellStyle name="Comma 2 2 51 6" xfId="19424"/>
    <cellStyle name="Comma 2 2 51 7" xfId="29858"/>
    <cellStyle name="Comma 2 2 52" xfId="1218"/>
    <cellStyle name="Comma 2 2 52 2" xfId="3678"/>
    <cellStyle name="Comma 2 2 52 2 2" xfId="10448"/>
    <cellStyle name="Comma 2 2 52 2 3" xfId="23138"/>
    <cellStyle name="Comma 2 2 52 2 4" xfId="19988"/>
    <cellStyle name="Comma 2 2 52 2 5" xfId="26368"/>
    <cellStyle name="Comma 2 2 52 3" xfId="5664"/>
    <cellStyle name="Comma 2 2 52 3 2" xfId="12434"/>
    <cellStyle name="Comma 2 2 52 3 3" xfId="25124"/>
    <cellStyle name="Comma 2 2 52 3 4" xfId="13786"/>
    <cellStyle name="Comma 2 2 52 3 5" xfId="27419"/>
    <cellStyle name="Comma 2 2 52 4" xfId="7988"/>
    <cellStyle name="Comma 2 2 52 5" xfId="20846"/>
    <cellStyle name="Comma 2 2 52 6" xfId="17033"/>
    <cellStyle name="Comma 2 2 52 7" xfId="30799"/>
    <cellStyle name="Comma 2 2 53" xfId="1241"/>
    <cellStyle name="Comma 2 2 53 2" xfId="3701"/>
    <cellStyle name="Comma 2 2 53 2 2" xfId="10471"/>
    <cellStyle name="Comma 2 2 53 2 3" xfId="23161"/>
    <cellStyle name="Comma 2 2 53 2 4" xfId="15624"/>
    <cellStyle name="Comma 2 2 53 2 5" xfId="30338"/>
    <cellStyle name="Comma 2 2 53 3" xfId="5684"/>
    <cellStyle name="Comma 2 2 53 3 2" xfId="12454"/>
    <cellStyle name="Comma 2 2 53 3 3" xfId="25144"/>
    <cellStyle name="Comma 2 2 53 3 4" xfId="19864"/>
    <cellStyle name="Comma 2 2 53 3 5" xfId="28285"/>
    <cellStyle name="Comma 2 2 53 4" xfId="8011"/>
    <cellStyle name="Comma 2 2 53 5" xfId="20866"/>
    <cellStyle name="Comma 2 2 53 6" xfId="18859"/>
    <cellStyle name="Comma 2 2 53 7" xfId="26627"/>
    <cellStyle name="Comma 2 2 54" xfId="1264"/>
    <cellStyle name="Comma 2 2 54 2" xfId="3723"/>
    <cellStyle name="Comma 2 2 54 2 2" xfId="10493"/>
    <cellStyle name="Comma 2 2 54 2 3" xfId="23183"/>
    <cellStyle name="Comma 2 2 54 2 4" xfId="19744"/>
    <cellStyle name="Comma 2 2 54 2 5" xfId="31479"/>
    <cellStyle name="Comma 2 2 54 3" xfId="5704"/>
    <cellStyle name="Comma 2 2 54 3 2" xfId="12474"/>
    <cellStyle name="Comma 2 2 54 3 3" xfId="25164"/>
    <cellStyle name="Comma 2 2 54 3 4" xfId="15451"/>
    <cellStyle name="Comma 2 2 54 3 5" xfId="27075"/>
    <cellStyle name="Comma 2 2 54 4" xfId="8034"/>
    <cellStyle name="Comma 2 2 54 5" xfId="20886"/>
    <cellStyle name="Comma 2 2 54 6" xfId="14384"/>
    <cellStyle name="Comma 2 2 54 7" xfId="29626"/>
    <cellStyle name="Comma 2 2 55" xfId="1287"/>
    <cellStyle name="Comma 2 2 55 2" xfId="3745"/>
    <cellStyle name="Comma 2 2 55 2 2" xfId="10515"/>
    <cellStyle name="Comma 2 2 55 2 3" xfId="23205"/>
    <cellStyle name="Comma 2 2 55 2 4" xfId="17730"/>
    <cellStyle name="Comma 2 2 55 2 5" xfId="31550"/>
    <cellStyle name="Comma 2 2 55 3" xfId="5724"/>
    <cellStyle name="Comma 2 2 55 3 2" xfId="12494"/>
    <cellStyle name="Comma 2 2 55 3 3" xfId="25184"/>
    <cellStyle name="Comma 2 2 55 3 4" xfId="17712"/>
    <cellStyle name="Comma 2 2 55 3 5" xfId="29149"/>
    <cellStyle name="Comma 2 2 55 4" xfId="8057"/>
    <cellStyle name="Comma 2 2 55 5" xfId="20906"/>
    <cellStyle name="Comma 2 2 55 6" xfId="16583"/>
    <cellStyle name="Comma 2 2 55 7" xfId="27728"/>
    <cellStyle name="Comma 2 2 56" xfId="1310"/>
    <cellStyle name="Comma 2 2 56 2" xfId="3768"/>
    <cellStyle name="Comma 2 2 56 2 2" xfId="10538"/>
    <cellStyle name="Comma 2 2 56 2 3" xfId="23228"/>
    <cellStyle name="Comma 2 2 56 2 4" xfId="19475"/>
    <cellStyle name="Comma 2 2 56 2 5" xfId="26421"/>
    <cellStyle name="Comma 2 2 56 3" xfId="5744"/>
    <cellStyle name="Comma 2 2 56 3 2" xfId="12514"/>
    <cellStyle name="Comma 2 2 56 3 3" xfId="25204"/>
    <cellStyle name="Comma 2 2 56 3 4" xfId="19478"/>
    <cellStyle name="Comma 2 2 56 3 5" xfId="28195"/>
    <cellStyle name="Comma 2 2 56 4" xfId="8080"/>
    <cellStyle name="Comma 2 2 56 5" xfId="20926"/>
    <cellStyle name="Comma 2 2 56 6" xfId="19834"/>
    <cellStyle name="Comma 2 2 56 7" xfId="31407"/>
    <cellStyle name="Comma 2 2 57" xfId="1333"/>
    <cellStyle name="Comma 2 2 57 2" xfId="3791"/>
    <cellStyle name="Comma 2 2 57 2 2" xfId="10561"/>
    <cellStyle name="Comma 2 2 57 2 3" xfId="23251"/>
    <cellStyle name="Comma 2 2 57 2 4" xfId="15071"/>
    <cellStyle name="Comma 2 2 57 2 5" xfId="26482"/>
    <cellStyle name="Comma 2 2 57 3" xfId="5764"/>
    <cellStyle name="Comma 2 2 57 3 2" xfId="12534"/>
    <cellStyle name="Comma 2 2 57 3 3" xfId="25224"/>
    <cellStyle name="Comma 2 2 57 3 4" xfId="15123"/>
    <cellStyle name="Comma 2 2 57 3 5" xfId="26985"/>
    <cellStyle name="Comma 2 2 57 4" xfId="8103"/>
    <cellStyle name="Comma 2 2 57 5" xfId="20946"/>
    <cellStyle name="Comma 2 2 57 6" xfId="15474"/>
    <cellStyle name="Comma 2 2 57 7" xfId="29317"/>
    <cellStyle name="Comma 2 2 58" xfId="1356"/>
    <cellStyle name="Comma 2 2 58 2" xfId="3813"/>
    <cellStyle name="Comma 2 2 58 2 2" xfId="10583"/>
    <cellStyle name="Comma 2 2 58 2 3" xfId="23273"/>
    <cellStyle name="Comma 2 2 58 2 4" xfId="19204"/>
    <cellStyle name="Comma 2 2 58 2 5" xfId="30490"/>
    <cellStyle name="Comma 2 2 58 3" xfId="5784"/>
    <cellStyle name="Comma 2 2 58 3 2" xfId="12554"/>
    <cellStyle name="Comma 2 2 58 3 3" xfId="25244"/>
    <cellStyle name="Comma 2 2 58 3 4" xfId="17324"/>
    <cellStyle name="Comma 2 2 58 3 5" xfId="29065"/>
    <cellStyle name="Comma 2 2 58 4" xfId="8126"/>
    <cellStyle name="Comma 2 2 58 5" xfId="20966"/>
    <cellStyle name="Comma 2 2 58 6" xfId="17692"/>
    <cellStyle name="Comma 2 2 58 7" xfId="32258"/>
    <cellStyle name="Comma 2 2 59" xfId="1379"/>
    <cellStyle name="Comma 2 2 59 2" xfId="3835"/>
    <cellStyle name="Comma 2 2 59 2 2" xfId="10605"/>
    <cellStyle name="Comma 2 2 59 2 3" xfId="23295"/>
    <cellStyle name="Comma 2 2 59 2 4" xfId="17144"/>
    <cellStyle name="Comma 2 2 59 2 5" xfId="32406"/>
    <cellStyle name="Comma 2 2 59 3" xfId="5804"/>
    <cellStyle name="Comma 2 2 59 3 2" xfId="12574"/>
    <cellStyle name="Comma 2 2 59 3 3" xfId="25264"/>
    <cellStyle name="Comma 2 2 59 3 4" xfId="19107"/>
    <cellStyle name="Comma 2 2 59 3 5" xfId="28103"/>
    <cellStyle name="Comma 2 2 59 4" xfId="8149"/>
    <cellStyle name="Comma 2 2 59 5" xfId="20986"/>
    <cellStyle name="Comma 2 2 59 6" xfId="19440"/>
    <cellStyle name="Comma 2 2 59 7" xfId="27166"/>
    <cellStyle name="Comma 2 2 6" xfId="167"/>
    <cellStyle name="Comma 2 2 6 2" xfId="2650"/>
    <cellStyle name="Comma 2 2 6 2 2" xfId="9420"/>
    <cellStyle name="Comma 2 2 6 2 3" xfId="22110"/>
    <cellStyle name="Comma 2 2 6 2 4" xfId="15962"/>
    <cellStyle name="Comma 2 2 6 2 5" xfId="27892"/>
    <cellStyle name="Comma 2 2 6 3" xfId="3307"/>
    <cellStyle name="Comma 2 2 6 3 2" xfId="10077"/>
    <cellStyle name="Comma 2 2 6 3 3" xfId="22767"/>
    <cellStyle name="Comma 2 2 6 3 4" xfId="16364"/>
    <cellStyle name="Comma 2 2 6 3 5" xfId="31908"/>
    <cellStyle name="Comma 2 2 6 4" xfId="6937"/>
    <cellStyle name="Comma 2 2 6 5" xfId="14390"/>
    <cellStyle name="Comma 2 2 6 6" xfId="14510"/>
    <cellStyle name="Comma 2 2 6 7" xfId="28643"/>
    <cellStyle name="Comma 2 2 60" xfId="1402"/>
    <cellStyle name="Comma 2 2 60 2" xfId="3858"/>
    <cellStyle name="Comma 2 2 60 2 2" xfId="10628"/>
    <cellStyle name="Comma 2 2 60 2 3" xfId="23318"/>
    <cellStyle name="Comma 2 2 60 2 4" xfId="18947"/>
    <cellStyle name="Comma 2 2 60 2 5" xfId="27327"/>
    <cellStyle name="Comma 2 2 60 3" xfId="5824"/>
    <cellStyle name="Comma 2 2 60 3 2" xfId="12594"/>
    <cellStyle name="Comma 2 2 60 3 3" xfId="25284"/>
    <cellStyle name="Comma 2 2 60 3 4" xfId="14670"/>
    <cellStyle name="Comma 2 2 60 3 5" xfId="26884"/>
    <cellStyle name="Comma 2 2 60 4" xfId="8172"/>
    <cellStyle name="Comma 2 2 60 5" xfId="21006"/>
    <cellStyle name="Comma 2 2 60 6" xfId="15034"/>
    <cellStyle name="Comma 2 2 60 7" xfId="30123"/>
    <cellStyle name="Comma 2 2 61" xfId="1425"/>
    <cellStyle name="Comma 2 2 61 2" xfId="3879"/>
    <cellStyle name="Comma 2 2 61 2 2" xfId="10649"/>
    <cellStyle name="Comma 2 2 61 2 3" xfId="23339"/>
    <cellStyle name="Comma 2 2 61 2 4" xfId="18813"/>
    <cellStyle name="Comma 2 2 61 2 5" xfId="30480"/>
    <cellStyle name="Comma 2 2 61 3" xfId="5844"/>
    <cellStyle name="Comma 2 2 61 3 2" xfId="12614"/>
    <cellStyle name="Comma 2 2 61 3 3" xfId="25304"/>
    <cellStyle name="Comma 2 2 61 3 4" xfId="16927"/>
    <cellStyle name="Comma 2 2 61 3 5" xfId="28980"/>
    <cellStyle name="Comma 2 2 61 4" xfId="8195"/>
    <cellStyle name="Comma 2 2 61 5" xfId="21026"/>
    <cellStyle name="Comma 2 2 61 6" xfId="16070"/>
    <cellStyle name="Comma 2 2 61 7" xfId="28276"/>
    <cellStyle name="Comma 2 2 62" xfId="1448"/>
    <cellStyle name="Comma 2 2 62 2" xfId="3902"/>
    <cellStyle name="Comma 2 2 62 2 2" xfId="10672"/>
    <cellStyle name="Comma 2 2 62 2 3" xfId="23362"/>
    <cellStyle name="Comma 2 2 62 2 4" xfId="14332"/>
    <cellStyle name="Comma 2 2 62 2 5" xfId="28649"/>
    <cellStyle name="Comma 2 2 62 3" xfId="5864"/>
    <cellStyle name="Comma 2 2 62 3 2" xfId="12634"/>
    <cellStyle name="Comma 2 2 62 3 3" xfId="25324"/>
    <cellStyle name="Comma 2 2 62 3 4" xfId="18777"/>
    <cellStyle name="Comma 2 2 62 3 5" xfId="27491"/>
    <cellStyle name="Comma 2 2 62 4" xfId="8218"/>
    <cellStyle name="Comma 2 2 62 5" xfId="21046"/>
    <cellStyle name="Comma 2 2 62 6" xfId="19031"/>
    <cellStyle name="Comma 2 2 62 7" xfId="31204"/>
    <cellStyle name="Comma 2 2 63" xfId="1471"/>
    <cellStyle name="Comma 2 2 63 2" xfId="3925"/>
    <cellStyle name="Comma 2 2 63 2 2" xfId="10695"/>
    <cellStyle name="Comma 2 2 63 2 3" xfId="23385"/>
    <cellStyle name="Comma 2 2 63 2 4" xfId="16551"/>
    <cellStyle name="Comma 2 2 63 2 5" xfId="26437"/>
    <cellStyle name="Comma 2 2 63 3" xfId="5884"/>
    <cellStyle name="Comma 2 2 63 3 2" xfId="12654"/>
    <cellStyle name="Comma 2 2 63 3 3" xfId="25344"/>
    <cellStyle name="Comma 2 2 63 3 4" xfId="14290"/>
    <cellStyle name="Comma 2 2 63 3 5" xfId="26791"/>
    <cellStyle name="Comma 2 2 63 4" xfId="8241"/>
    <cellStyle name="Comma 2 2 63 5" xfId="21066"/>
    <cellStyle name="Comma 2 2 63 6" xfId="14575"/>
    <cellStyle name="Comma 2 2 63 7" xfId="29132"/>
    <cellStyle name="Comma 2 2 64" xfId="1494"/>
    <cellStyle name="Comma 2 2 64 2" xfId="3948"/>
    <cellStyle name="Comma 2 2 64 2 2" xfId="10718"/>
    <cellStyle name="Comma 2 2 64 2 3" xfId="23408"/>
    <cellStyle name="Comma 2 2 64 2 4" xfId="18400"/>
    <cellStyle name="Comma 2 2 64 2 5" xfId="30248"/>
    <cellStyle name="Comma 2 2 64 3" xfId="5904"/>
    <cellStyle name="Comma 2 2 64 3 2" xfId="12674"/>
    <cellStyle name="Comma 2 2 64 3 3" xfId="25364"/>
    <cellStyle name="Comma 2 2 64 3 4" xfId="16547"/>
    <cellStyle name="Comma 2 2 64 3 5" xfId="28895"/>
    <cellStyle name="Comma 2 2 64 4" xfId="8264"/>
    <cellStyle name="Comma 2 2 64 5" xfId="21086"/>
    <cellStyle name="Comma 2 2 64 6" xfId="16798"/>
    <cellStyle name="Comma 2 2 64 7" xfId="32068"/>
    <cellStyle name="Comma 2 2 65" xfId="1517"/>
    <cellStyle name="Comma 2 2 65 2" xfId="3970"/>
    <cellStyle name="Comma 2 2 65 2 2" xfId="10740"/>
    <cellStyle name="Comma 2 2 65 2 3" xfId="23430"/>
    <cellStyle name="Comma 2 2 65 2 4" xfId="16238"/>
    <cellStyle name="Comma 2 2 65 2 5" xfId="31380"/>
    <cellStyle name="Comma 2 2 65 3" xfId="5924"/>
    <cellStyle name="Comma 2 2 65 3 2" xfId="12694"/>
    <cellStyle name="Comma 2 2 65 3 3" xfId="25384"/>
    <cellStyle name="Comma 2 2 65 3 4" xfId="18403"/>
    <cellStyle name="Comma 2 2 65 3 5" xfId="27896"/>
    <cellStyle name="Comma 2 2 65 4" xfId="8287"/>
    <cellStyle name="Comma 2 2 65 5" xfId="21106"/>
    <cellStyle name="Comma 2 2 65 6" xfId="18619"/>
    <cellStyle name="Comma 2 2 65 7" xfId="26949"/>
    <cellStyle name="Comma 2 2 66" xfId="1540"/>
    <cellStyle name="Comma 2 2 66 2" xfId="3992"/>
    <cellStyle name="Comma 2 2 66 2 2" xfId="10762"/>
    <cellStyle name="Comma 2 2 66 2 3" xfId="23452"/>
    <cellStyle name="Comma 2 2 66 2 4" xfId="15842"/>
    <cellStyle name="Comma 2 2 66 2 5" xfId="32256"/>
    <cellStyle name="Comma 2 2 66 3" xfId="5944"/>
    <cellStyle name="Comma 2 2 66 3 2" xfId="12714"/>
    <cellStyle name="Comma 2 2 66 3 3" xfId="25404"/>
    <cellStyle name="Comma 2 2 66 3 4" xfId="13888"/>
    <cellStyle name="Comma 2 2 66 3 5" xfId="26702"/>
    <cellStyle name="Comma 2 2 66 4" xfId="8310"/>
    <cellStyle name="Comma 2 2 66 5" xfId="21126"/>
    <cellStyle name="Comma 2 2 66 6" xfId="14108"/>
    <cellStyle name="Comma 2 2 66 7" xfId="29928"/>
    <cellStyle name="Comma 2 2 67" xfId="1563"/>
    <cellStyle name="Comma 2 2 67 2" xfId="4014"/>
    <cellStyle name="Comma 2 2 67 2 2" xfId="10784"/>
    <cellStyle name="Comma 2 2 67 2 3" xfId="23474"/>
    <cellStyle name="Comma 2 2 67 2 4" xfId="19930"/>
    <cellStyle name="Comma 2 2 67 2 5" xfId="30163"/>
    <cellStyle name="Comma 2 2 67 3" xfId="5964"/>
    <cellStyle name="Comma 2 2 67 3 2" xfId="12734"/>
    <cellStyle name="Comma 2 2 67 3 3" xfId="25424"/>
    <cellStyle name="Comma 2 2 67 3 4" xfId="16138"/>
    <cellStyle name="Comma 2 2 67 3 5" xfId="28802"/>
    <cellStyle name="Comma 2 2 67 4" xfId="8333"/>
    <cellStyle name="Comma 2 2 67 5" xfId="21146"/>
    <cellStyle name="Comma 2 2 67 6" xfId="16333"/>
    <cellStyle name="Comma 2 2 67 7" xfId="28059"/>
    <cellStyle name="Comma 2 2 68" xfId="1586"/>
    <cellStyle name="Comma 2 2 68 2" xfId="4036"/>
    <cellStyle name="Comma 2 2 68 2 2" xfId="10806"/>
    <cellStyle name="Comma 2 2 68 2 3" xfId="23496"/>
    <cellStyle name="Comma 2 2 68 2 4" xfId="17939"/>
    <cellStyle name="Comma 2 2 68 2 5" xfId="31283"/>
    <cellStyle name="Comma 2 2 68 3" xfId="5984"/>
    <cellStyle name="Comma 2 2 68 3 2" xfId="12754"/>
    <cellStyle name="Comma 2 2 68 3 3" xfId="25444"/>
    <cellStyle name="Comma 2 2 68 3 4" xfId="19953"/>
    <cellStyle name="Comma 2 2 68 3 5" xfId="27798"/>
    <cellStyle name="Comma 2 2 68 4" xfId="8356"/>
    <cellStyle name="Comma 2 2 68 5" xfId="21166"/>
    <cellStyle name="Comma 2 2 68 6" xfId="16173"/>
    <cellStyle name="Comma 2 2 68 7" xfId="30980"/>
    <cellStyle name="Comma 2 2 69" xfId="1609"/>
    <cellStyle name="Comma 2 2 69 2" xfId="4058"/>
    <cellStyle name="Comma 2 2 69 2 2" xfId="10828"/>
    <cellStyle name="Comma 2 2 69 2 3" xfId="23518"/>
    <cellStyle name="Comma 2 2 69 2 4" xfId="15426"/>
    <cellStyle name="Comma 2 2 69 2 5" xfId="32166"/>
    <cellStyle name="Comma 2 2 69 3" xfId="6004"/>
    <cellStyle name="Comma 2 2 69 3 2" xfId="12774"/>
    <cellStyle name="Comma 2 2 69 3 3" xfId="25464"/>
    <cellStyle name="Comma 2 2 69 3 4" xfId="15684"/>
    <cellStyle name="Comma 2 2 69 3 5" xfId="26600"/>
    <cellStyle name="Comma 2 2 69 4" xfId="8379"/>
    <cellStyle name="Comma 2 2 69 5" xfId="21186"/>
    <cellStyle name="Comma 2 2 69 6" xfId="15765"/>
    <cellStyle name="Comma 2 2 69 7" xfId="28935"/>
    <cellStyle name="Comma 2 2 7" xfId="190"/>
    <cellStyle name="Comma 2 2 7 2" xfId="2672"/>
    <cellStyle name="Comma 2 2 7 2 2" xfId="9442"/>
    <cellStyle name="Comma 2 2 7 2 3" xfId="22132"/>
    <cellStyle name="Comma 2 2 7 2 4" xfId="14202"/>
    <cellStyle name="Comma 2 2 7 2 5" xfId="28830"/>
    <cellStyle name="Comma 2 2 7 3" xfId="2836"/>
    <cellStyle name="Comma 2 2 7 3 2" xfId="9606"/>
    <cellStyle name="Comma 2 2 7 3 3" xfId="22296"/>
    <cellStyle name="Comma 2 2 7 3 4" xfId="8586"/>
    <cellStyle name="Comma 2 2 7 3 5" xfId="27563"/>
    <cellStyle name="Comma 2 2 7 4" xfId="6960"/>
    <cellStyle name="Comma 2 2 7 5" xfId="13925"/>
    <cellStyle name="Comma 2 2 7 6" xfId="16732"/>
    <cellStyle name="Comma 2 2 7 7" xfId="32354"/>
    <cellStyle name="Comma 2 2 70" xfId="1631"/>
    <cellStyle name="Comma 2 2 70 2" xfId="4079"/>
    <cellStyle name="Comma 2 2 70 2 2" xfId="10849"/>
    <cellStyle name="Comma 2 2 70 2 3" xfId="23539"/>
    <cellStyle name="Comma 2 2 70 2 4" xfId="15303"/>
    <cellStyle name="Comma 2 2 70 2 5" xfId="28254"/>
    <cellStyle name="Comma 2 2 70 3" xfId="6023"/>
    <cellStyle name="Comma 2 2 70 3 2" xfId="12793"/>
    <cellStyle name="Comma 2 2 70 3 3" xfId="25483"/>
    <cellStyle name="Comma 2 2 70 3 4" xfId="19788"/>
    <cellStyle name="Comma 2 2 70 3 5" xfId="31686"/>
    <cellStyle name="Comma 2 2 70 4" xfId="8401"/>
    <cellStyle name="Comma 2 2 70 5" xfId="21205"/>
    <cellStyle name="Comma 2 2 70 6" xfId="18449"/>
    <cellStyle name="Comma 2 2 70 7" xfId="26770"/>
    <cellStyle name="Comma 2 2 71" xfId="1652"/>
    <cellStyle name="Comma 2 2 71 2" xfId="4100"/>
    <cellStyle name="Comma 2 2 71 2 2" xfId="10870"/>
    <cellStyle name="Comma 2 2 71 2 3" xfId="23560"/>
    <cellStyle name="Comma 2 2 71 2 4" xfId="15151"/>
    <cellStyle name="Comma 2 2 71 2 5" xfId="32111"/>
    <cellStyle name="Comma 2 2 71 3" xfId="6041"/>
    <cellStyle name="Comma 2 2 71 3 2" xfId="12811"/>
    <cellStyle name="Comma 2 2 71 3 3" xfId="25501"/>
    <cellStyle name="Comma 2 2 71 3 4" xfId="19694"/>
    <cellStyle name="Comma 2 2 71 3 5" xfId="31658"/>
    <cellStyle name="Comma 2 2 71 4" xfId="8422"/>
    <cellStyle name="Comma 2 2 71 5" xfId="21223"/>
    <cellStyle name="Comma 2 2 71 6" xfId="19916"/>
    <cellStyle name="Comma 2 2 71 7" xfId="30873"/>
    <cellStyle name="Comma 2 2 72" xfId="1669"/>
    <cellStyle name="Comma 2 2 72 2" xfId="4117"/>
    <cellStyle name="Comma 2 2 72 2 2" xfId="10887"/>
    <cellStyle name="Comma 2 2 72 2 3" xfId="23577"/>
    <cellStyle name="Comma 2 2 72 2 4" xfId="17428"/>
    <cellStyle name="Comma 2 2 72 2 5" xfId="27014"/>
    <cellStyle name="Comma 2 2 72 3" xfId="6057"/>
    <cellStyle name="Comma 2 2 72 3 2" xfId="12827"/>
    <cellStyle name="Comma 2 2 72 3 3" xfId="25517"/>
    <cellStyle name="Comma 2 2 72 3 4" xfId="17717"/>
    <cellStyle name="Comma 2 2 72 3 5" xfId="27290"/>
    <cellStyle name="Comma 2 2 72 4" xfId="8439"/>
    <cellStyle name="Comma 2 2 72 5" xfId="21239"/>
    <cellStyle name="Comma 2 2 72 6" xfId="15577"/>
    <cellStyle name="Comma 2 2 72 7" xfId="28845"/>
    <cellStyle name="Comma 2 2 73" xfId="1698"/>
    <cellStyle name="Comma 2 2 73 2" xfId="4145"/>
    <cellStyle name="Comma 2 2 73 2 2" xfId="10915"/>
    <cellStyle name="Comma 2 2 73 2 3" xfId="23605"/>
    <cellStyle name="Comma 2 2 73 2 4" xfId="14876"/>
    <cellStyle name="Comma 2 2 73 2 5" xfId="28153"/>
    <cellStyle name="Comma 2 2 73 3" xfId="6082"/>
    <cellStyle name="Comma 2 2 73 3 2" xfId="12852"/>
    <cellStyle name="Comma 2 2 73 3 3" xfId="25542"/>
    <cellStyle name="Comma 2 2 73 3 4" xfId="15183"/>
    <cellStyle name="Comma 2 2 73 3 5" xfId="26461"/>
    <cellStyle name="Comma 2 2 73 4" xfId="8468"/>
    <cellStyle name="Comma 2 2 73 5" xfId="21264"/>
    <cellStyle name="Comma 2 2 73 6" xfId="17778"/>
    <cellStyle name="Comma 2 2 73 7" xfId="31778"/>
    <cellStyle name="Comma 2 2 74" xfId="1721"/>
    <cellStyle name="Comma 2 2 74 2" xfId="4166"/>
    <cellStyle name="Comma 2 2 74 2 2" xfId="10936"/>
    <cellStyle name="Comma 2 2 74 2 3" xfId="23626"/>
    <cellStyle name="Comma 2 2 74 2 4" xfId="14721"/>
    <cellStyle name="Comma 2 2 74 2 5" xfId="32020"/>
    <cellStyle name="Comma 2 2 74 3" xfId="6102"/>
    <cellStyle name="Comma 2 2 74 3 2" xfId="12872"/>
    <cellStyle name="Comma 2 2 74 3 3" xfId="25562"/>
    <cellStyle name="Comma 2 2 74 3 4" xfId="17437"/>
    <cellStyle name="Comma 2 2 74 3 5" xfId="28584"/>
    <cellStyle name="Comma 2 2 74 4" xfId="8491"/>
    <cellStyle name="Comma 2 2 74 5" xfId="21284"/>
    <cellStyle name="Comma 2 2 74 6" xfId="19519"/>
    <cellStyle name="Comma 2 2 74 7" xfId="26624"/>
    <cellStyle name="Comma 2 2 75" xfId="1744"/>
    <cellStyle name="Comma 2 2 75 2" xfId="4188"/>
    <cellStyle name="Comma 2 2 75 2 2" xfId="10958"/>
    <cellStyle name="Comma 2 2 75 2 3" xfId="23648"/>
    <cellStyle name="Comma 2 2 75 2 4" xfId="18908"/>
    <cellStyle name="Comma 2 2 75 2 5" xfId="29916"/>
    <cellStyle name="Comma 2 2 75 3" xfId="6122"/>
    <cellStyle name="Comma 2 2 75 3 2" xfId="12892"/>
    <cellStyle name="Comma 2 2 75 3 3" xfId="25582"/>
    <cellStyle name="Comma 2 2 75 3 4" xfId="19210"/>
    <cellStyle name="Comma 2 2 75 3 5" xfId="27433"/>
    <cellStyle name="Comma 2 2 75 4" xfId="8514"/>
    <cellStyle name="Comma 2 2 75 5" xfId="21304"/>
    <cellStyle name="Comma 2 2 75 6" xfId="13736"/>
    <cellStyle name="Comma 2 2 75 7" xfId="17694"/>
    <cellStyle name="Comma 2 2 76" xfId="1767"/>
    <cellStyle name="Comma 2 2 76 2" xfId="4210"/>
    <cellStyle name="Comma 2 2 76 2 2" xfId="10980"/>
    <cellStyle name="Comma 2 2 76 2 3" xfId="23670"/>
    <cellStyle name="Comma 2 2 76 2 4" xfId="16021"/>
    <cellStyle name="Comma 2 2 76 2 5" xfId="31010"/>
    <cellStyle name="Comma 2 2 76 3" xfId="6142"/>
    <cellStyle name="Comma 2 2 76 3 2" xfId="12912"/>
    <cellStyle name="Comma 2 2 76 3 3" xfId="25602"/>
    <cellStyle name="Comma 2 2 76 3 4" xfId="14797"/>
    <cellStyle name="Comma 2 2 76 3 5" xfId="27381"/>
    <cellStyle name="Comma 2 2 76 4" xfId="8537"/>
    <cellStyle name="Comma 2 2 76 5" xfId="21324"/>
    <cellStyle name="Comma 2 2 76 6" xfId="17325"/>
    <cellStyle name="Comma 2 2 76 7" xfId="30672"/>
    <cellStyle name="Comma 2 2 77" xfId="1790"/>
    <cellStyle name="Comma 2 2 77 2" xfId="4232"/>
    <cellStyle name="Comma 2 2 77 2 2" xfId="11002"/>
    <cellStyle name="Comma 2 2 77 2 3" xfId="23692"/>
    <cellStyle name="Comma 2 2 77 2 4" xfId="14286"/>
    <cellStyle name="Comma 2 2 77 2 5" xfId="31899"/>
    <cellStyle name="Comma 2 2 77 3" xfId="6162"/>
    <cellStyle name="Comma 2 2 77 3 2" xfId="12932"/>
    <cellStyle name="Comma 2 2 77 3 3" xfId="25622"/>
    <cellStyle name="Comma 2 2 77 3 4" xfId="17017"/>
    <cellStyle name="Comma 2 2 77 3 5" xfId="29434"/>
    <cellStyle name="Comma 2 2 77 4" xfId="8560"/>
    <cellStyle name="Comma 2 2 77 5" xfId="21344"/>
    <cellStyle name="Comma 2 2 77 6" xfId="19108"/>
    <cellStyle name="Comma 2 2 77 7" xfId="28646"/>
    <cellStyle name="Comma 2 2 78" xfId="1813"/>
    <cellStyle name="Comma 2 2 78 2" xfId="4255"/>
    <cellStyle name="Comma 2 2 78 2 2" xfId="11025"/>
    <cellStyle name="Comma 2 2 78 2 3" xfId="23715"/>
    <cellStyle name="Comma 2 2 78 2 4" xfId="16507"/>
    <cellStyle name="Comma 2 2 78 2 5" xfId="26787"/>
    <cellStyle name="Comma 2 2 78 3" xfId="6182"/>
    <cellStyle name="Comma 2 2 78 3 2" xfId="12952"/>
    <cellStyle name="Comma 2 2 78 3 3" xfId="25642"/>
    <cellStyle name="Comma 2 2 78 3 4" xfId="18857"/>
    <cellStyle name="Comma 2 2 78 3 5" xfId="27548"/>
    <cellStyle name="Comma 2 2 78 4" xfId="8583"/>
    <cellStyle name="Comma 2 2 78 5" xfId="21364"/>
    <cellStyle name="Comma 2 2 78 6" xfId="14658"/>
    <cellStyle name="Comma 2 2 78 7" xfId="32335"/>
    <cellStyle name="Comma 2 2 79" xfId="1836"/>
    <cellStyle name="Comma 2 2 79 2" xfId="4278"/>
    <cellStyle name="Comma 2 2 79 2 2" xfId="11048"/>
    <cellStyle name="Comma 2 2 79 2 3" xfId="23738"/>
    <cellStyle name="Comma 2 2 79 2 4" xfId="18379"/>
    <cellStyle name="Comma 2 2 79 2 5" xfId="29790"/>
    <cellStyle name="Comma 2 2 79 3" xfId="6202"/>
    <cellStyle name="Comma 2 2 79 3 2" xfId="12972"/>
    <cellStyle name="Comma 2 2 79 3 3" xfId="25662"/>
    <cellStyle name="Comma 2 2 79 3 4" xfId="14404"/>
    <cellStyle name="Comma 2 2 79 3 5" xfId="27291"/>
    <cellStyle name="Comma 2 2 79 4" xfId="8606"/>
    <cellStyle name="Comma 2 2 79 5" xfId="21384"/>
    <cellStyle name="Comma 2 2 79 6" xfId="16865"/>
    <cellStyle name="Comma 2 2 79 7" xfId="27250"/>
    <cellStyle name="Comma 2 2 8" xfId="213"/>
    <cellStyle name="Comma 2 2 8 2" xfId="2693"/>
    <cellStyle name="Comma 2 2 8 2 2" xfId="9463"/>
    <cellStyle name="Comma 2 2 8 2 3" xfId="22153"/>
    <cellStyle name="Comma 2 2 8 2 4" xfId="16427"/>
    <cellStyle name="Comma 2 2 8 2 5" xfId="29689"/>
    <cellStyle name="Comma 2 2 8 3" xfId="2766"/>
    <cellStyle name="Comma 2 2 8 3 2" xfId="9536"/>
    <cellStyle name="Comma 2 2 8 3 3" xfId="22226"/>
    <cellStyle name="Comma 2 2 8 3 4" xfId="18115"/>
    <cellStyle name="Comma 2 2 8 3 5" xfId="26527"/>
    <cellStyle name="Comma 2 2 8 4" xfId="6983"/>
    <cellStyle name="Comma 2 2 8 5" xfId="13874"/>
    <cellStyle name="Comma 2 2 8 6" xfId="18562"/>
    <cellStyle name="Comma 2 2 8 7" xfId="27269"/>
    <cellStyle name="Comma 2 2 80" xfId="1859"/>
    <cellStyle name="Comma 2 2 80 2" xfId="4300"/>
    <cellStyle name="Comma 2 2 80 2 2" xfId="11070"/>
    <cellStyle name="Comma 2 2 80 2 3" xfId="23760"/>
    <cellStyle name="Comma 2 2 80 2 4" xfId="16194"/>
    <cellStyle name="Comma 2 2 80 2 5" xfId="30861"/>
    <cellStyle name="Comma 2 2 80 3" xfId="6222"/>
    <cellStyle name="Comma 2 2 80 3 2" xfId="12992"/>
    <cellStyle name="Comma 2 2 80 3 3" xfId="25682"/>
    <cellStyle name="Comma 2 2 80 3 4" xfId="16626"/>
    <cellStyle name="Comma 2 2 80 3 5" xfId="29345"/>
    <cellStyle name="Comma 2 2 80 4" xfId="8629"/>
    <cellStyle name="Comma 2 2 80 5" xfId="21404"/>
    <cellStyle name="Comma 2 2 80 6" xfId="18698"/>
    <cellStyle name="Comma 2 2 80 7" xfId="30198"/>
    <cellStyle name="Comma 2 2 81" xfId="1882"/>
    <cellStyle name="Comma 2 2 81 2" xfId="4322"/>
    <cellStyle name="Comma 2 2 81 2 2" xfId="11092"/>
    <cellStyle name="Comma 2 2 81 2 3" xfId="23782"/>
    <cellStyle name="Comma 2 2 81 2 4" xfId="15799"/>
    <cellStyle name="Comma 2 2 81 2 5" xfId="31796"/>
    <cellStyle name="Comma 2 2 81 3" xfId="6242"/>
    <cellStyle name="Comma 2 2 81 3 2" xfId="13012"/>
    <cellStyle name="Comma 2 2 81 3 3" xfId="25702"/>
    <cellStyle name="Comma 2 2 81 3 4" xfId="18463"/>
    <cellStyle name="Comma 2 2 81 3 5" xfId="28401"/>
    <cellStyle name="Comma 2 2 81 4" xfId="8652"/>
    <cellStyle name="Comma 2 2 81 5" xfId="21424"/>
    <cellStyle name="Comma 2 2 81 6" xfId="14198"/>
    <cellStyle name="Comma 2 2 81 7" xfId="28361"/>
    <cellStyle name="Comma 2 2 82" xfId="1905"/>
    <cellStyle name="Comma 2 2 82 2" xfId="4344"/>
    <cellStyle name="Comma 2 2 82 2 2" xfId="11114"/>
    <cellStyle name="Comma 2 2 82 2 3" xfId="23804"/>
    <cellStyle name="Comma 2 2 82 2 4" xfId="19892"/>
    <cellStyle name="Comma 2 2 82 2 5" xfId="30269"/>
    <cellStyle name="Comma 2 2 82 3" xfId="6262"/>
    <cellStyle name="Comma 2 2 82 3 2" xfId="13032"/>
    <cellStyle name="Comma 2 2 82 3 3" xfId="25722"/>
    <cellStyle name="Comma 2 2 82 3 4" xfId="9014"/>
    <cellStyle name="Comma 2 2 82 3 5" xfId="27207"/>
    <cellStyle name="Comma 2 2 82 4" xfId="8675"/>
    <cellStyle name="Comma 2 2 82 5" xfId="21444"/>
    <cellStyle name="Comma 2 2 82 6" xfId="16401"/>
    <cellStyle name="Comma 2 2 82 7" xfId="31295"/>
    <cellStyle name="Comma 2 2 83" xfId="1927"/>
    <cellStyle name="Comma 2 2 83 2" xfId="4365"/>
    <cellStyle name="Comma 2 2 83 2 2" xfId="11135"/>
    <cellStyle name="Comma 2 2 83 2 3" xfId="23825"/>
    <cellStyle name="Comma 2 2 83 2 4" xfId="19761"/>
    <cellStyle name="Comma 2 2 83 2 5" xfId="29338"/>
    <cellStyle name="Comma 2 2 83 3" xfId="6281"/>
    <cellStyle name="Comma 2 2 83 3 2" xfId="13051"/>
    <cellStyle name="Comma 2 2 83 3 3" xfId="25741"/>
    <cellStyle name="Comma 2 2 83 3 4" xfId="8604"/>
    <cellStyle name="Comma 2 2 83 3 5" xfId="32236"/>
    <cellStyle name="Comma 2 2 83 4" xfId="8697"/>
    <cellStyle name="Comma 2 2 83 5" xfId="21463"/>
    <cellStyle name="Comma 2 2 83 6" xfId="13889"/>
    <cellStyle name="Comma 2 2 83 7" xfId="32176"/>
    <cellStyle name="Comma 2 2 84" xfId="1949"/>
    <cellStyle name="Comma 2 2 84 2" xfId="4386"/>
    <cellStyle name="Comma 2 2 84 2 2" xfId="11156"/>
    <cellStyle name="Comma 2 2 84 2 3" xfId="23846"/>
    <cellStyle name="Comma 2 2 84 2 4" xfId="19649"/>
    <cellStyle name="Comma 2 2 84 2 5" xfId="26272"/>
    <cellStyle name="Comma 2 2 84 3" xfId="6300"/>
    <cellStyle name="Comma 2 2 84 3 2" xfId="13070"/>
    <cellStyle name="Comma 2 2 84 3 3" xfId="25760"/>
    <cellStyle name="Comma 2 2 84 3 4" xfId="8216"/>
    <cellStyle name="Comma 2 2 84 3 5" xfId="29244"/>
    <cellStyle name="Comma 2 2 84 4" xfId="8719"/>
    <cellStyle name="Comma 2 2 84 5" xfId="21482"/>
    <cellStyle name="Comma 2 2 84 6" xfId="20060"/>
    <cellStyle name="Comma 2 2 84 7" xfId="30085"/>
    <cellStyle name="Comma 2 2 85" xfId="1972"/>
    <cellStyle name="Comma 2 2 85 2" xfId="4409"/>
    <cellStyle name="Comma 2 2 85 2 2" xfId="11179"/>
    <cellStyle name="Comma 2 2 85 2 3" xfId="23869"/>
    <cellStyle name="Comma 2 2 85 2 4" xfId="15259"/>
    <cellStyle name="Comma 2 2 85 2 5" xfId="28365"/>
    <cellStyle name="Comma 2 2 85 3" xfId="6320"/>
    <cellStyle name="Comma 2 2 85 3 2" xfId="13090"/>
    <cellStyle name="Comma 2 2 85 3 3" xfId="25780"/>
    <cellStyle name="Comma 2 2 85 3 4" xfId="7805"/>
    <cellStyle name="Comma 2 2 85 3 5" xfId="28299"/>
    <cellStyle name="Comma 2 2 85 4" xfId="8742"/>
    <cellStyle name="Comma 2 2 85 5" xfId="21502"/>
    <cellStyle name="Comma 2 2 85 6" xfId="13941"/>
    <cellStyle name="Comma 2 2 85 7" xfId="28224"/>
    <cellStyle name="Comma 2 2 86" xfId="1995"/>
    <cellStyle name="Comma 2 2 86 2" xfId="4431"/>
    <cellStyle name="Comma 2 2 86 2 2" xfId="11201"/>
    <cellStyle name="Comma 2 2 86 2 3" xfId="23891"/>
    <cellStyle name="Comma 2 2 86 2 4" xfId="19373"/>
    <cellStyle name="Comma 2 2 86 2 5" xfId="29254"/>
    <cellStyle name="Comma 2 2 86 3" xfId="6340"/>
    <cellStyle name="Comma 2 2 86 3 2" xfId="13110"/>
    <cellStyle name="Comma 2 2 86 3 3" xfId="25800"/>
    <cellStyle name="Comma 2 2 86 3 4" xfId="7381"/>
    <cellStyle name="Comma 2 2 86 3 5" xfId="27089"/>
    <cellStyle name="Comma 2 2 86 4" xfId="8765"/>
    <cellStyle name="Comma 2 2 86 5" xfId="21522"/>
    <cellStyle name="Comma 2 2 86 6" xfId="16121"/>
    <cellStyle name="Comma 2 2 86 7" xfId="31150"/>
    <cellStyle name="Comma 2 2 87" xfId="2017"/>
    <cellStyle name="Comma 2 2 87 2" xfId="4453"/>
    <cellStyle name="Comma 2 2 87 2 2" xfId="11223"/>
    <cellStyle name="Comma 2 2 87 2 3" xfId="23913"/>
    <cellStyle name="Comma 2 2 87 2 4" xfId="17341"/>
    <cellStyle name="Comma 2 2 87 2 5" xfId="26351"/>
    <cellStyle name="Comma 2 2 87 3" xfId="6359"/>
    <cellStyle name="Comma 2 2 87 3 2" xfId="13129"/>
    <cellStyle name="Comma 2 2 87 3 3" xfId="25819"/>
    <cellStyle name="Comma 2 2 87 3 4" xfId="17111"/>
    <cellStyle name="Comma 2 2 87 3 5" xfId="32126"/>
    <cellStyle name="Comma 2 2 87 4" xfId="8787"/>
    <cellStyle name="Comma 2 2 87 5" xfId="21541"/>
    <cellStyle name="Comma 2 2 87 6" xfId="15790"/>
    <cellStyle name="Comma 2 2 87 7" xfId="32058"/>
    <cellStyle name="Comma 2 2 88" xfId="2040"/>
    <cellStyle name="Comma 2 2 88 2" xfId="4475"/>
    <cellStyle name="Comma 2 2 88 2 2" xfId="11245"/>
    <cellStyle name="Comma 2 2 88 2 3" xfId="23935"/>
    <cellStyle name="Comma 2 2 88 2 4" xfId="14832"/>
    <cellStyle name="Comma 2 2 88 2 5" xfId="28271"/>
    <cellStyle name="Comma 2 2 88 3" xfId="6379"/>
    <cellStyle name="Comma 2 2 88 3 2" xfId="13149"/>
    <cellStyle name="Comma 2 2 88 3 3" xfId="25839"/>
    <cellStyle name="Comma 2 2 88 3 4" xfId="18328"/>
    <cellStyle name="Comma 2 2 88 3 5" xfId="30472"/>
    <cellStyle name="Comma 2 2 88 4" xfId="8810"/>
    <cellStyle name="Comma 2 2 88 5" xfId="21561"/>
    <cellStyle name="Comma 2 2 88 6" xfId="16295"/>
    <cellStyle name="Comma 2 2 88 7" xfId="26935"/>
    <cellStyle name="Comma 2 2 89" xfId="2063"/>
    <cellStyle name="Comma 2 2 89 2" xfId="4497"/>
    <cellStyle name="Comma 2 2 89 2 2" xfId="11267"/>
    <cellStyle name="Comma 2 2 89 2 3" xfId="23957"/>
    <cellStyle name="Comma 2 2 89 2 4" xfId="18983"/>
    <cellStyle name="Comma 2 2 89 2 5" xfId="29162"/>
    <cellStyle name="Comma 2 2 89 3" xfId="6399"/>
    <cellStyle name="Comma 2 2 89 3 2" xfId="13169"/>
    <cellStyle name="Comma 2 2 89 3 3" xfId="25859"/>
    <cellStyle name="Comma 2 2 89 3 4" xfId="15886"/>
    <cellStyle name="Comma 2 2 89 3 5" xfId="30007"/>
    <cellStyle name="Comma 2 2 89 4" xfId="8833"/>
    <cellStyle name="Comma 2 2 89 5" xfId="21581"/>
    <cellStyle name="Comma 2 2 89 6" xfId="15940"/>
    <cellStyle name="Comma 2 2 89 7" xfId="27109"/>
    <cellStyle name="Comma 2 2 9" xfId="234"/>
    <cellStyle name="Comma 2 2 9 2" xfId="2713"/>
    <cellStyle name="Comma 2 2 9 2 2" xfId="9483"/>
    <cellStyle name="Comma 2 2 9 2 3" xfId="22173"/>
    <cellStyle name="Comma 2 2 9 2 4" xfId="13917"/>
    <cellStyle name="Comma 2 2 9 2 5" xfId="31732"/>
    <cellStyle name="Comma 2 2 9 3" xfId="2519"/>
    <cellStyle name="Comma 2 2 9 3 2" xfId="9289"/>
    <cellStyle name="Comma 2 2 9 3 3" xfId="21979"/>
    <cellStyle name="Comma 2 2 9 3 4" xfId="14441"/>
    <cellStyle name="Comma 2 2 9 3 5" xfId="26288"/>
    <cellStyle name="Comma 2 2 9 4" xfId="7004"/>
    <cellStyle name="Comma 2 2 9 5" xfId="13568"/>
    <cellStyle name="Comma 2 2 9 6" xfId="18446"/>
    <cellStyle name="Comma 2 2 9 7" xfId="31383"/>
    <cellStyle name="Comma 2 2 90" xfId="2086"/>
    <cellStyle name="Comma 2 2 90 2" xfId="4518"/>
    <cellStyle name="Comma 2 2 90 2 2" xfId="11288"/>
    <cellStyle name="Comma 2 2 90 2 3" xfId="23978"/>
    <cellStyle name="Comma 2 2 90 2 4" xfId="18867"/>
    <cellStyle name="Comma 2 2 90 2 5" xfId="26512"/>
    <cellStyle name="Comma 2 2 90 3" xfId="6419"/>
    <cellStyle name="Comma 2 2 90 3 2" xfId="13189"/>
    <cellStyle name="Comma 2 2 90 3 3" xfId="25879"/>
    <cellStyle name="Comma 2 2 90 3 4" xfId="18135"/>
    <cellStyle name="Comma 2 2 90 3 5" xfId="32043"/>
    <cellStyle name="Comma 2 2 90 4" xfId="8856"/>
    <cellStyle name="Comma 2 2 90 5" xfId="21601"/>
    <cellStyle name="Comma 2 2 90 6" xfId="15772"/>
    <cellStyle name="Comma 2 2 90 7" xfId="28045"/>
    <cellStyle name="Comma 2 2 91" xfId="2109"/>
    <cellStyle name="Comma 2 2 91 2" xfId="4540"/>
    <cellStyle name="Comma 2 2 91 2 2" xfId="11310"/>
    <cellStyle name="Comma 2 2 91 2 3" xfId="24000"/>
    <cellStyle name="Comma 2 2 91 2 4" xfId="16768"/>
    <cellStyle name="Comma 2 2 91 2 5" xfId="31134"/>
    <cellStyle name="Comma 2 2 91 3" xfId="6439"/>
    <cellStyle name="Comma 2 2 91 3 2" xfId="13209"/>
    <cellStyle name="Comma 2 2 91 3 3" xfId="25899"/>
    <cellStyle name="Comma 2 2 91 3 4" xfId="15669"/>
    <cellStyle name="Comma 2 2 91 3 5" xfId="31070"/>
    <cellStyle name="Comma 2 2 91 4" xfId="8879"/>
    <cellStyle name="Comma 2 2 91 5" xfId="21621"/>
    <cellStyle name="Comma 2 2 91 6" xfId="16411"/>
    <cellStyle name="Comma 2 2 91 7" xfId="30964"/>
    <cellStyle name="Comma 2 2 92" xfId="2131"/>
    <cellStyle name="Comma 2 2 92 2" xfId="4560"/>
    <cellStyle name="Comma 2 2 92 2 2" xfId="11330"/>
    <cellStyle name="Comma 2 2 92 2 3" xfId="24020"/>
    <cellStyle name="Comma 2 2 92 2 4" xfId="18613"/>
    <cellStyle name="Comma 2 2 92 2 5" xfId="29971"/>
    <cellStyle name="Comma 2 2 92 3" xfId="6458"/>
    <cellStyle name="Comma 2 2 92 3 2" xfId="13228"/>
    <cellStyle name="Comma 2 2 92 3 3" xfId="25918"/>
    <cellStyle name="Comma 2 2 92 3 4" xfId="19774"/>
    <cellStyle name="Comma 2 2 92 3 5" xfId="28084"/>
    <cellStyle name="Comma 2 2 92 4" xfId="8901"/>
    <cellStyle name="Comma 2 2 92 5" xfId="21640"/>
    <cellStyle name="Comma 2 2 92 6" xfId="16231"/>
    <cellStyle name="Comma 2 2 92 7" xfId="31441"/>
    <cellStyle name="Comma 2 2 93" xfId="2151"/>
    <cellStyle name="Comma 2 2 93 2" xfId="4579"/>
    <cellStyle name="Comma 2 2 93 2 2" xfId="11349"/>
    <cellStyle name="Comma 2 2 93 2 3" xfId="24039"/>
    <cellStyle name="Comma 2 2 93 2 4" xfId="16506"/>
    <cellStyle name="Comma 2 2 93 2 5" xfId="26919"/>
    <cellStyle name="Comma 2 2 93 3" xfId="6476"/>
    <cellStyle name="Comma 2 2 93 3 2" xfId="13246"/>
    <cellStyle name="Comma 2 2 93 3 3" xfId="25936"/>
    <cellStyle name="Comma 2 2 93 3 4" xfId="19681"/>
    <cellStyle name="Comma 2 2 93 3 5" xfId="28051"/>
    <cellStyle name="Comma 2 2 93 4" xfId="8921"/>
    <cellStyle name="Comma 2 2 93 5" xfId="21658"/>
    <cellStyle name="Comma 2 2 93 6" xfId="19751"/>
    <cellStyle name="Comma 2 2 93 7" xfId="30903"/>
    <cellStyle name="Comma 2 2 94" xfId="2169"/>
    <cellStyle name="Comma 2 2 94 2" xfId="4596"/>
    <cellStyle name="Comma 2 2 94 2 2" xfId="11366"/>
    <cellStyle name="Comma 2 2 94 2 3" xfId="24056"/>
    <cellStyle name="Comma 2 2 94 2 4" xfId="18398"/>
    <cellStyle name="Comma 2 2 94 2 5" xfId="29923"/>
    <cellStyle name="Comma 2 2 94 3" xfId="6492"/>
    <cellStyle name="Comma 2 2 94 3 2" xfId="13262"/>
    <cellStyle name="Comma 2 2 94 3 3" xfId="25952"/>
    <cellStyle name="Comma 2 2 94 3 4" xfId="17700"/>
    <cellStyle name="Comma 2 2 94 3 5" xfId="28973"/>
    <cellStyle name="Comma 2 2 94 4" xfId="8939"/>
    <cellStyle name="Comma 2 2 94 5" xfId="21674"/>
    <cellStyle name="Comma 2 2 94 6" xfId="19658"/>
    <cellStyle name="Comma 2 2 94 7" xfId="30871"/>
    <cellStyle name="Comma 2 2 95" xfId="2191"/>
    <cellStyle name="Comma 2 2 95 2" xfId="4616"/>
    <cellStyle name="Comma 2 2 95 2 2" xfId="11386"/>
    <cellStyle name="Comma 2 2 95 2 3" xfId="24076"/>
    <cellStyle name="Comma 2 2 95 2 4" xfId="13883"/>
    <cellStyle name="Comma 2 2 95 2 5" xfId="31959"/>
    <cellStyle name="Comma 2 2 95 3" xfId="6512"/>
    <cellStyle name="Comma 2 2 95 3 2" xfId="13282"/>
    <cellStyle name="Comma 2 2 95 3 3" xfId="25972"/>
    <cellStyle name="Comma 2 2 95 3 4" xfId="19467"/>
    <cellStyle name="Comma 2 2 95 3 5" xfId="27483"/>
    <cellStyle name="Comma 2 2 95 4" xfId="8961"/>
    <cellStyle name="Comma 2 2 95 5" xfId="21694"/>
    <cellStyle name="Comma 2 2 95 6" xfId="17631"/>
    <cellStyle name="Comma 2 2 95 7" xfId="31807"/>
    <cellStyle name="Comma 2 2 96" xfId="2214"/>
    <cellStyle name="Comma 2 2 96 2" xfId="4638"/>
    <cellStyle name="Comma 2 2 96 2 2" xfId="11408"/>
    <cellStyle name="Comma 2 2 96 2 3" xfId="24098"/>
    <cellStyle name="Comma 2 2 96 2 4" xfId="20055"/>
    <cellStyle name="Comma 2 2 96 2 5" xfId="29852"/>
    <cellStyle name="Comma 2 2 96 3" xfId="6532"/>
    <cellStyle name="Comma 2 2 96 3 2" xfId="13302"/>
    <cellStyle name="Comma 2 2 96 3 3" xfId="25992"/>
    <cellStyle name="Comma 2 2 96 3 4" xfId="15082"/>
    <cellStyle name="Comma 2 2 96 3 5" xfId="26782"/>
    <cellStyle name="Comma 2 2 96 4" xfId="8984"/>
    <cellStyle name="Comma 2 2 96 5" xfId="21714"/>
    <cellStyle name="Comma 2 2 96 6" xfId="19382"/>
    <cellStyle name="Comma 2 2 96 7" xfId="26664"/>
    <cellStyle name="Comma 2 2 97" xfId="2246"/>
    <cellStyle name="Comma 2 2 97 2" xfId="4668"/>
    <cellStyle name="Comma 2 2 97 2 2" xfId="11438"/>
    <cellStyle name="Comma 2 2 97 2 3" xfId="24128"/>
    <cellStyle name="Comma 2 2 97 2 4" xfId="19757"/>
    <cellStyle name="Comma 2 2 97 2 5" xfId="29816"/>
    <cellStyle name="Comma 2 2 97 3" xfId="6556"/>
    <cellStyle name="Comma 2 2 97 3 2" xfId="13326"/>
    <cellStyle name="Comma 2 2 97 3 3" xfId="26016"/>
    <cellStyle name="Comma 2 2 97 3 4" xfId="14913"/>
    <cellStyle name="Comma 2 2 97 3 5" xfId="26746"/>
    <cellStyle name="Comma 2 2 97 4" xfId="9016"/>
    <cellStyle name="Comma 2 2 97 5" xfId="21738"/>
    <cellStyle name="Comma 2 2 97 6" xfId="14908"/>
    <cellStyle name="Comma 2 2 97 7" xfId="28750"/>
    <cellStyle name="Comma 2 2 98" xfId="2268"/>
    <cellStyle name="Comma 2 2 98 2" xfId="4689"/>
    <cellStyle name="Comma 2 2 98 2 2" xfId="11459"/>
    <cellStyle name="Comma 2 2 98 2 3" xfId="24149"/>
    <cellStyle name="Comma 2 2 98 2 4" xfId="19909"/>
    <cellStyle name="Comma 2 2 98 2 5" xfId="28889"/>
    <cellStyle name="Comma 2 2 98 3" xfId="6575"/>
    <cellStyle name="Comma 2 2 98 3 2" xfId="13345"/>
    <cellStyle name="Comma 2 2 98 3 3" xfId="26035"/>
    <cellStyle name="Comma 2 2 98 3 4" xfId="19097"/>
    <cellStyle name="Comma 2 2 98 3 5" xfId="31090"/>
    <cellStyle name="Comma 2 2 98 4" xfId="9038"/>
    <cellStyle name="Comma 2 2 98 5" xfId="21757"/>
    <cellStyle name="Comma 2 2 98 6" xfId="19074"/>
    <cellStyle name="Comma 2 2 98 7" xfId="27312"/>
    <cellStyle name="Comma 2 2 99" xfId="2290"/>
    <cellStyle name="Comma 2 2 99 2" xfId="4711"/>
    <cellStyle name="Comma 2 2 99 2 2" xfId="11481"/>
    <cellStyle name="Comma 2 2 99 2 3" xfId="24171"/>
    <cellStyle name="Comma 2 2 99 2 4" xfId="17917"/>
    <cellStyle name="Comma 2 2 99 2 5" xfId="26717"/>
    <cellStyle name="Comma 2 2 99 3" xfId="6594"/>
    <cellStyle name="Comma 2 2 99 3 2" xfId="13364"/>
    <cellStyle name="Comma 2 2 99 3 3" xfId="26054"/>
    <cellStyle name="Comma 2 2 99 3 4" xfId="16057"/>
    <cellStyle name="Comma 2 2 99 3 5" xfId="28827"/>
    <cellStyle name="Comma 2 2 99 4" xfId="9060"/>
    <cellStyle name="Comma 2 2 99 5" xfId="21776"/>
    <cellStyle name="Comma 2 2 99 6" xfId="16977"/>
    <cellStyle name="Comma 2 2 99 7" xfId="28447"/>
    <cellStyle name="Comma 2 3" xfId="13"/>
    <cellStyle name="Comma 2 3 10" xfId="68"/>
    <cellStyle name="Comma 2 3 10 2" xfId="2553"/>
    <cellStyle name="Comma 2 3 10 2 2" xfId="9323"/>
    <cellStyle name="Comma 2 3 10 2 3" xfId="22013"/>
    <cellStyle name="Comma 2 3 10 2 4" xfId="18578"/>
    <cellStyle name="Comma 2 3 10 2 5" xfId="31020"/>
    <cellStyle name="Comma 2 3 10 3" xfId="3569"/>
    <cellStyle name="Comma 2 3 10 3 2" xfId="10339"/>
    <cellStyle name="Comma 2 3 10 3 3" xfId="23029"/>
    <cellStyle name="Comma 2 3 10 3 4" xfId="14397"/>
    <cellStyle name="Comma 2 3 10 3 5" xfId="30360"/>
    <cellStyle name="Comma 2 3 10 4" xfId="6838"/>
    <cellStyle name="Comma 2 3 10 5" xfId="14645"/>
    <cellStyle name="Comma 2 3 10 6" xfId="15159"/>
    <cellStyle name="Comma 2 3 10 7" xfId="29701"/>
    <cellStyle name="Comma 2 3 100" xfId="2241"/>
    <cellStyle name="Comma 2 3 100 2" xfId="4663"/>
    <cellStyle name="Comma 2 3 100 2 2" xfId="11433"/>
    <cellStyle name="Comma 2 3 100 2 3" xfId="24123"/>
    <cellStyle name="Comma 2 3 100 2 4" xfId="17934"/>
    <cellStyle name="Comma 2 3 100 2 5" xfId="26794"/>
    <cellStyle name="Comma 2 3 100 3" xfId="6552"/>
    <cellStyle name="Comma 2 3 100 3 2" xfId="13322"/>
    <cellStyle name="Comma 2 3 100 3 3" xfId="26012"/>
    <cellStyle name="Comma 2 3 100 3 4" xfId="17312"/>
    <cellStyle name="Comma 2 3 100 3 5" xfId="28888"/>
    <cellStyle name="Comma 2 3 100 4" xfId="9011"/>
    <cellStyle name="Comma 2 3 100 5" xfId="21734"/>
    <cellStyle name="Comma 2 3 100 6" xfId="19228"/>
    <cellStyle name="Comma 2 3 100 7" xfId="30750"/>
    <cellStyle name="Comma 2 3 101" xfId="2263"/>
    <cellStyle name="Comma 2 3 101 2" xfId="4685"/>
    <cellStyle name="Comma 2 3 101 2 2" xfId="11455"/>
    <cellStyle name="Comma 2 3 101 2 3" xfId="24145"/>
    <cellStyle name="Comma 2 3 101 2 4" xfId="15715"/>
    <cellStyle name="Comma 2 3 101 2 5" xfId="27929"/>
    <cellStyle name="Comma 2 3 101 3" xfId="6571"/>
    <cellStyle name="Comma 2 3 101 3 2" xfId="13341"/>
    <cellStyle name="Comma 2 3 101 3 3" xfId="26031"/>
    <cellStyle name="Comma 2 3 101 3 4" xfId="14825"/>
    <cellStyle name="Comma 2 3 101 3 5" xfId="30857"/>
    <cellStyle name="Comma 2 3 101 4" xfId="9033"/>
    <cellStyle name="Comma 2 3 101 5" xfId="21753"/>
    <cellStyle name="Comma 2 3 101 6" xfId="15986"/>
    <cellStyle name="Comma 2 3 101 7" xfId="32368"/>
    <cellStyle name="Comma 2 3 102" xfId="2285"/>
    <cellStyle name="Comma 2 3 102 2" xfId="4706"/>
    <cellStyle name="Comma 2 3 102 2 2" xfId="11476"/>
    <cellStyle name="Comma 2 3 102 2 3" xfId="24166"/>
    <cellStyle name="Comma 2 3 102 2 4" xfId="15571"/>
    <cellStyle name="Comma 2 3 102 2 5" xfId="31833"/>
    <cellStyle name="Comma 2 3 102 3" xfId="6590"/>
    <cellStyle name="Comma 2 3 102 3 2" xfId="13360"/>
    <cellStyle name="Comma 2 3 102 3 3" xfId="26050"/>
    <cellStyle name="Comma 2 3 102 3 4" xfId="18994"/>
    <cellStyle name="Comma 2 3 102 3 5" xfId="27866"/>
    <cellStyle name="Comma 2 3 102 4" xfId="9055"/>
    <cellStyle name="Comma 2 3 102 5" xfId="21772"/>
    <cellStyle name="Comma 2 3 102 6" xfId="14643"/>
    <cellStyle name="Comma 2 3 102 7" xfId="30264"/>
    <cellStyle name="Comma 2 3 103" xfId="2307"/>
    <cellStyle name="Comma 2 3 103 2" xfId="4728"/>
    <cellStyle name="Comma 2 3 103 2 2" xfId="11498"/>
    <cellStyle name="Comma 2 3 103 2 3" xfId="24188"/>
    <cellStyle name="Comma 2 3 103 2 4" xfId="19685"/>
    <cellStyle name="Comma 2 3 103 2 5" xfId="29728"/>
    <cellStyle name="Comma 2 3 103 3" xfId="6609"/>
    <cellStyle name="Comma 2 3 103 3 2" xfId="13379"/>
    <cellStyle name="Comma 2 3 103 3 3" xfId="26069"/>
    <cellStyle name="Comma 2 3 103 3 4" xfId="16937"/>
    <cellStyle name="Comma 2 3 103 3 5" xfId="29697"/>
    <cellStyle name="Comma 2 3 103 4" xfId="9077"/>
    <cellStyle name="Comma 2 3 103 5" xfId="21791"/>
    <cellStyle name="Comma 2 3 103 6" xfId="18840"/>
    <cellStyle name="Comma 2 3 103 7" xfId="31395"/>
    <cellStyle name="Comma 2 3 104" xfId="2329"/>
    <cellStyle name="Comma 2 3 104 2" xfId="4750"/>
    <cellStyle name="Comma 2 3 104 2 2" xfId="11520"/>
    <cellStyle name="Comma 2 3 104 2 3" xfId="24210"/>
    <cellStyle name="Comma 2 3 104 2 4" xfId="16102"/>
    <cellStyle name="Comma 2 3 104 2 5" xfId="30790"/>
    <cellStyle name="Comma 2 3 104 3" xfId="6628"/>
    <cellStyle name="Comma 2 3 104 3 2" xfId="13398"/>
    <cellStyle name="Comma 2 3 104 3 3" xfId="26088"/>
    <cellStyle name="Comma 2 3 104 3 4" xfId="14452"/>
    <cellStyle name="Comma 2 3 104 3 5" xfId="26628"/>
    <cellStyle name="Comma 2 3 104 4" xfId="9099"/>
    <cellStyle name="Comma 2 3 104 5" xfId="21810"/>
    <cellStyle name="Comma 2 3 104 6" xfId="18064"/>
    <cellStyle name="Comma 2 3 104 7" xfId="32282"/>
    <cellStyle name="Comma 2 3 105" xfId="2406"/>
    <cellStyle name="Comma 2 3 105 2" xfId="4824"/>
    <cellStyle name="Comma 2 3 105 2 2" xfId="11594"/>
    <cellStyle name="Comma 2 3 105 2 3" xfId="24284"/>
    <cellStyle name="Comma 2 3 105 2 4" xfId="19121"/>
    <cellStyle name="Comma 2 3 105 2 5" xfId="29570"/>
    <cellStyle name="Comma 2 3 105 3" xfId="6694"/>
    <cellStyle name="Comma 2 3 105 3 2" xfId="13464"/>
    <cellStyle name="Comma 2 3 105 3 3" xfId="26154"/>
    <cellStyle name="Comma 2 3 105 3 4" xfId="14008"/>
    <cellStyle name="Comma 2 3 105 3 5" xfId="26513"/>
    <cellStyle name="Comma 2 3 105 4" xfId="9176"/>
    <cellStyle name="Comma 2 3 105 5" xfId="21876"/>
    <cellStyle name="Comma 2 3 105 6" xfId="19457"/>
    <cellStyle name="Comma 2 3 105 7" xfId="27113"/>
    <cellStyle name="Comma 2 3 106" xfId="2428"/>
    <cellStyle name="Comma 2 3 106 2" xfId="4846"/>
    <cellStyle name="Comma 2 3 106 2 2" xfId="11616"/>
    <cellStyle name="Comma 2 3 106 2 3" xfId="24306"/>
    <cellStyle name="Comma 2 3 106 2 4" xfId="17028"/>
    <cellStyle name="Comma 2 3 106 2 5" xfId="30616"/>
    <cellStyle name="Comma 2 3 106 3" xfId="6714"/>
    <cellStyle name="Comma 2 3 106 3 2" xfId="13484"/>
    <cellStyle name="Comma 2 3 106 3 3" xfId="26174"/>
    <cellStyle name="Comma 2 3 106 3 4" xfId="16230"/>
    <cellStyle name="Comma 2 3 106 3 5" xfId="28639"/>
    <cellStyle name="Comma 2 3 106 4" xfId="9198"/>
    <cellStyle name="Comma 2 3 106 5" xfId="21896"/>
    <cellStyle name="Comma 2 3 106 6" xfId="17431"/>
    <cellStyle name="Comma 2 3 106 7" xfId="28253"/>
    <cellStyle name="Comma 2 3 107" xfId="2427"/>
    <cellStyle name="Comma 2 3 107 2" xfId="4845"/>
    <cellStyle name="Comma 2 3 107 2 2" xfId="11615"/>
    <cellStyle name="Comma 2 3 107 2 3" xfId="24305"/>
    <cellStyle name="Comma 2 3 107 2 4" xfId="18982"/>
    <cellStyle name="Comma 2 3 107 2 5" xfId="28640"/>
    <cellStyle name="Comma 2 3 107 3" xfId="6713"/>
    <cellStyle name="Comma 2 3 107 3 2" xfId="13483"/>
    <cellStyle name="Comma 2 3 107 3 3" xfId="26173"/>
    <cellStyle name="Comma 2 3 107 3 4" xfId="18274"/>
    <cellStyle name="Comma 2 3 107 3 5" xfId="31617"/>
    <cellStyle name="Comma 2 3 107 4" xfId="9197"/>
    <cellStyle name="Comma 2 3 107 5" xfId="21895"/>
    <cellStyle name="Comma 2 3 107 6" xfId="19341"/>
    <cellStyle name="Comma 2 3 107 7" xfId="31222"/>
    <cellStyle name="Comma 2 3 108" xfId="2442"/>
    <cellStyle name="Comma 2 3 108 2" xfId="4860"/>
    <cellStyle name="Comma 2 3 108 2 2" xfId="11630"/>
    <cellStyle name="Comma 2 3 108 2 3" xfId="24320"/>
    <cellStyle name="Comma 2 3 108 2 4" xfId="18906"/>
    <cellStyle name="Comma 2 3 108 2 5" xfId="29518"/>
    <cellStyle name="Comma 2 3 108 3" xfId="6727"/>
    <cellStyle name="Comma 2 3 108 3 2" xfId="13497"/>
    <cellStyle name="Comma 2 3 108 3 3" xfId="26187"/>
    <cellStyle name="Comma 2 3 108 3 4" xfId="15892"/>
    <cellStyle name="Comma 2 3 108 3 5" xfId="30587"/>
    <cellStyle name="Comma 2 3 108 4" xfId="9212"/>
    <cellStyle name="Comma 2 3 108 5" xfId="21909"/>
    <cellStyle name="Comma 2 3 108 6" xfId="19242"/>
    <cellStyle name="Comma 2 3 108 7" xfId="27051"/>
    <cellStyle name="Comma 2 3 109" xfId="2505"/>
    <cellStyle name="Comma 2 3 109 2" xfId="9275"/>
    <cellStyle name="Comma 2 3 109 3" xfId="21966"/>
    <cellStyle name="Comma 2 3 109 4" xfId="18871"/>
    <cellStyle name="Comma 2 3 109 5" xfId="31094"/>
    <cellStyle name="Comma 2 3 11" xfId="75"/>
    <cellStyle name="Comma 2 3 11 2" xfId="2559"/>
    <cellStyle name="Comma 2 3 11 2 2" xfId="9329"/>
    <cellStyle name="Comma 2 3 11 2 3" xfId="22019"/>
    <cellStyle name="Comma 2 3 11 2 4" xfId="18494"/>
    <cellStyle name="Comma 2 3 11 2 5" xfId="31009"/>
    <cellStyle name="Comma 2 3 11 3" xfId="3414"/>
    <cellStyle name="Comma 2 3 11 3 2" xfId="10184"/>
    <cellStyle name="Comma 2 3 11 3 3" xfId="22874"/>
    <cellStyle name="Comma 2 3 11 3 4" xfId="19652"/>
    <cellStyle name="Comma 2 3 11 3 5" xfId="26629"/>
    <cellStyle name="Comma 2 3 11 4" xfId="6845"/>
    <cellStyle name="Comma 2 3 11 5" xfId="14490"/>
    <cellStyle name="Comma 2 3 11 6" xfId="19380"/>
    <cellStyle name="Comma 2 3 11 7" xfId="26653"/>
    <cellStyle name="Comma 2 3 110" xfId="4692"/>
    <cellStyle name="Comma 2 3 110 2" xfId="11462"/>
    <cellStyle name="Comma 2 3 110 3" xfId="24152"/>
    <cellStyle name="Comma 2 3 110 4" xfId="19891"/>
    <cellStyle name="Comma 2 3 110 5" xfId="29779"/>
    <cellStyle name="Comma 2 3 111" xfId="6785"/>
    <cellStyle name="Comma 2 3 112" xfId="13554"/>
    <cellStyle name="Comma 2 3 113" xfId="19749"/>
    <cellStyle name="Comma 2 3 114" xfId="30890"/>
    <cellStyle name="Comma 2 3 115" xfId="32458"/>
    <cellStyle name="Comma 2 3 116" xfId="32459"/>
    <cellStyle name="Comma 2 3 117" xfId="32448"/>
    <cellStyle name="Comma 2 3 118" xfId="32456"/>
    <cellStyle name="Comma 2 3 119" xfId="32484"/>
    <cellStyle name="Comma 2 3 12" xfId="261"/>
    <cellStyle name="Comma 2 3 12 2" xfId="2739"/>
    <cellStyle name="Comma 2 3 12 2 2" xfId="9509"/>
    <cellStyle name="Comma 2 3 12 2 3" xfId="22199"/>
    <cellStyle name="Comma 2 3 12 2 4" xfId="15907"/>
    <cellStyle name="Comma 2 3 12 2 5" xfId="30715"/>
    <cellStyle name="Comma 2 3 12 3" xfId="4320"/>
    <cellStyle name="Comma 2 3 12 3 2" xfId="11090"/>
    <cellStyle name="Comma 2 3 12 3 3" xfId="23780"/>
    <cellStyle name="Comma 2 3 12 3 4" xfId="20020"/>
    <cellStyle name="Comma 2 3 12 3 5" xfId="29723"/>
    <cellStyle name="Comma 2 3 12 4" xfId="7031"/>
    <cellStyle name="Comma 2 3 12 5" xfId="15372"/>
    <cellStyle name="Comma 2 3 12 6" xfId="19855"/>
    <cellStyle name="Comma 2 3 12 7" xfId="27206"/>
    <cellStyle name="Comma 2 3 120" xfId="32507"/>
    <cellStyle name="Comma 2 3 121" xfId="32530"/>
    <cellStyle name="Comma 2 3 122" xfId="32553"/>
    <cellStyle name="Comma 2 3 123" xfId="32576"/>
    <cellStyle name="Comma 2 3 124" xfId="32599"/>
    <cellStyle name="Comma 2 3 125" xfId="32622"/>
    <cellStyle name="Comma 2 3 126" xfId="32645"/>
    <cellStyle name="Comma 2 3 127" xfId="32668"/>
    <cellStyle name="Comma 2 3 128" xfId="32691"/>
    <cellStyle name="Comma 2 3 129" xfId="32714"/>
    <cellStyle name="Comma 2 3 13" xfId="268"/>
    <cellStyle name="Comma 2 3 13 2" xfId="2745"/>
    <cellStyle name="Comma 2 3 13 2 2" xfId="9515"/>
    <cellStyle name="Comma 2 3 13 2 3" xfId="22205"/>
    <cellStyle name="Comma 2 3 13 2 4" xfId="18237"/>
    <cellStyle name="Comma 2 3 13 2 5" xfId="30703"/>
    <cellStyle name="Comma 2 3 13 3" xfId="4186"/>
    <cellStyle name="Comma 2 3 13 3 2" xfId="10956"/>
    <cellStyle name="Comma 2 3 13 3 3" xfId="23646"/>
    <cellStyle name="Comma 2 3 13 3 4" xfId="16967"/>
    <cellStyle name="Comma 2 3 13 3 5" xfId="31043"/>
    <cellStyle name="Comma 2 3 13 4" xfId="7038"/>
    <cellStyle name="Comma 2 3 13 5" xfId="15244"/>
    <cellStyle name="Comma 2 3 13 6" xfId="17967"/>
    <cellStyle name="Comma 2 3 13 7" xfId="32251"/>
    <cellStyle name="Comma 2 3 130" xfId="32737"/>
    <cellStyle name="Comma 2 3 131" xfId="32760"/>
    <cellStyle name="Comma 2 3 132" xfId="32783"/>
    <cellStyle name="Comma 2 3 133" xfId="32806"/>
    <cellStyle name="Comma 2 3 134" xfId="32829"/>
    <cellStyle name="Comma 2 3 135" xfId="32852"/>
    <cellStyle name="Comma 2 3 136" xfId="32875"/>
    <cellStyle name="Comma 2 3 137" xfId="32897"/>
    <cellStyle name="Comma 2 3 138" xfId="32920"/>
    <cellStyle name="Comma 2 3 139" xfId="32943"/>
    <cellStyle name="Comma 2 3 14" xfId="223"/>
    <cellStyle name="Comma 2 3 14 2" xfId="2702"/>
    <cellStyle name="Comma 2 3 14 2 2" xfId="9472"/>
    <cellStyle name="Comma 2 3 14 2 3" xfId="22162"/>
    <cellStyle name="Comma 2 3 14 2 4" xfId="16360"/>
    <cellStyle name="Comma 2 3 14 2 5" xfId="28779"/>
    <cellStyle name="Comma 2 3 14 3" xfId="4736"/>
    <cellStyle name="Comma 2 3 14 3 2" xfId="11506"/>
    <cellStyle name="Comma 2 3 14 3 3" xfId="24196"/>
    <cellStyle name="Comma 2 3 14 3 4" xfId="15383"/>
    <cellStyle name="Comma 2 3 14 3 5" xfId="31792"/>
    <cellStyle name="Comma 2 3 14 4" xfId="6993"/>
    <cellStyle name="Comma 2 3 14 5" xfId="15771"/>
    <cellStyle name="Comma 2 3 14 6" xfId="16515"/>
    <cellStyle name="Comma 2 3 14 7" xfId="28426"/>
    <cellStyle name="Comma 2 3 140" xfId="32966"/>
    <cellStyle name="Comma 2 3 141" xfId="32989"/>
    <cellStyle name="Comma 2 3 142" xfId="33012"/>
    <cellStyle name="Comma 2 3 143" xfId="33035"/>
    <cellStyle name="Comma 2 3 144" xfId="33058"/>
    <cellStyle name="Comma 2 3 145" xfId="33081"/>
    <cellStyle name="Comma 2 3 146" xfId="33104"/>
    <cellStyle name="Comma 2 3 147" xfId="32467"/>
    <cellStyle name="Comma 2 3 148" xfId="32468"/>
    <cellStyle name="Comma 2 3 149" xfId="33239"/>
    <cellStyle name="Comma 2 3 15" xfId="259"/>
    <cellStyle name="Comma 2 3 15 2" xfId="2737"/>
    <cellStyle name="Comma 2 3 15 2 2" xfId="9507"/>
    <cellStyle name="Comma 2 3 15 2 3" xfId="22197"/>
    <cellStyle name="Comma 2 3 15 2 4" xfId="13548"/>
    <cellStyle name="Comma 2 3 15 2 5" xfId="31701"/>
    <cellStyle name="Comma 2 3 15 3" xfId="4363"/>
    <cellStyle name="Comma 2 3 15 3 2" xfId="11133"/>
    <cellStyle name="Comma 2 3 15 3 3" xfId="23823"/>
    <cellStyle name="Comma 2 3 15 3 4" xfId="17918"/>
    <cellStyle name="Comma 2 3 15 3 5" xfId="27255"/>
    <cellStyle name="Comma 2 3 15 4" xfId="7029"/>
    <cellStyle name="Comma 2 3 15 5" xfId="15412"/>
    <cellStyle name="Comma 2 3 15 6" xfId="18036"/>
    <cellStyle name="Comma 2 3 15 7" xfId="28380"/>
    <cellStyle name="Comma 2 3 150" xfId="33240"/>
    <cellStyle name="Comma 2 3 151" xfId="33229"/>
    <cellStyle name="Comma 2 3 152" xfId="33237"/>
    <cellStyle name="Comma 2 3 153" xfId="33260"/>
    <cellStyle name="Comma 2 3 154" xfId="33283"/>
    <cellStyle name="Comma 2 3 155" xfId="33306"/>
    <cellStyle name="Comma 2 3 156" xfId="33329"/>
    <cellStyle name="Comma 2 3 157" xfId="33352"/>
    <cellStyle name="Comma 2 3 158" xfId="33375"/>
    <cellStyle name="Comma 2 3 159" xfId="33398"/>
    <cellStyle name="Comma 2 3 16" xfId="323"/>
    <cellStyle name="Comma 2 3 16 2" xfId="2799"/>
    <cellStyle name="Comma 2 3 16 2 2" xfId="9569"/>
    <cellStyle name="Comma 2 3 16 2 3" xfId="22259"/>
    <cellStyle name="Comma 2 3 16 2 4" xfId="16128"/>
    <cellStyle name="Comma 2 3 16 2 5" xfId="30604"/>
    <cellStyle name="Comma 2 3 16 3" xfId="3106"/>
    <cellStyle name="Comma 2 3 16 3 2" xfId="9876"/>
    <cellStyle name="Comma 2 3 16 3 3" xfId="22566"/>
    <cellStyle name="Comma 2 3 16 3 4" xfId="16116"/>
    <cellStyle name="Comma 2 3 16 3 5" xfId="28301"/>
    <cellStyle name="Comma 2 3 16 4" xfId="7093"/>
    <cellStyle name="Comma 2 3 16 5" xfId="14142"/>
    <cellStyle name="Comma 2 3 16 6" xfId="15253"/>
    <cellStyle name="Comma 2 3 16 7" xfId="29214"/>
    <cellStyle name="Comma 2 3 160" xfId="33421"/>
    <cellStyle name="Comma 2 3 161" xfId="33444"/>
    <cellStyle name="Comma 2 3 162" xfId="33467"/>
    <cellStyle name="Comma 2 3 163" xfId="33490"/>
    <cellStyle name="Comma 2 3 164" xfId="33513"/>
    <cellStyle name="Comma 2 3 165" xfId="33536"/>
    <cellStyle name="Comma 2 3 166" xfId="33559"/>
    <cellStyle name="Comma 2 3 167" xfId="33582"/>
    <cellStyle name="Comma 2 3 168" xfId="33605"/>
    <cellStyle name="Comma 2 3 169" xfId="33628"/>
    <cellStyle name="Comma 2 3 17" xfId="346"/>
    <cellStyle name="Comma 2 3 17 2" xfId="2822"/>
    <cellStyle name="Comma 2 3 17 2 2" xfId="9592"/>
    <cellStyle name="Comma 2 3 17 2 3" xfId="22282"/>
    <cellStyle name="Comma 2 3 17 2 4" xfId="8859"/>
    <cellStyle name="Comma 2 3 17 2 5" xfId="28590"/>
    <cellStyle name="Comma 2 3 17 3" xfId="4753"/>
    <cellStyle name="Comma 2 3 17 3 2" xfId="11523"/>
    <cellStyle name="Comma 2 3 17 3 3" xfId="24213"/>
    <cellStyle name="Comma 2 3 17 3 4" xfId="17662"/>
    <cellStyle name="Comma 2 3 17 3 5" xfId="26650"/>
    <cellStyle name="Comma 2 3 17 4" xfId="7116"/>
    <cellStyle name="Comma 2 3 17 5" xfId="15647"/>
    <cellStyle name="Comma 2 3 17 6" xfId="16098"/>
    <cellStyle name="Comma 2 3 17 7" xfId="32142"/>
    <cellStyle name="Comma 2 3 170" xfId="33650"/>
    <cellStyle name="Comma 2 3 171" xfId="33672"/>
    <cellStyle name="Comma 2 3 172" xfId="33695"/>
    <cellStyle name="Comma 2 3 173" xfId="33718"/>
    <cellStyle name="Comma 2 3 174" xfId="33741"/>
    <cellStyle name="Comma 2 3 175" xfId="33764"/>
    <cellStyle name="Comma 2 3 176" xfId="33787"/>
    <cellStyle name="Comma 2 3 177" xfId="33810"/>
    <cellStyle name="Comma 2 3 178" xfId="33833"/>
    <cellStyle name="Comma 2 3 179" xfId="33856"/>
    <cellStyle name="Comma 2 3 18" xfId="369"/>
    <cellStyle name="Comma 2 3 18 2" xfId="2845"/>
    <cellStyle name="Comma 2 3 18 2 2" xfId="9615"/>
    <cellStyle name="Comma 2 3 18 2 3" xfId="22305"/>
    <cellStyle name="Comma 2 3 18 2 4" xfId="6963"/>
    <cellStyle name="Comma 2 3 18 2 5" xfId="30518"/>
    <cellStyle name="Comma 2 3 18 3" xfId="4927"/>
    <cellStyle name="Comma 2 3 18 3 2" xfId="11697"/>
    <cellStyle name="Comma 2 3 18 3 3" xfId="24387"/>
    <cellStyle name="Comma 2 3 18 3 4" xfId="16505"/>
    <cellStyle name="Comma 2 3 18 3 5" xfId="27375"/>
    <cellStyle name="Comma 2 3 18 4" xfId="7139"/>
    <cellStyle name="Comma 2 3 18 5" xfId="20109"/>
    <cellStyle name="Comma 2 3 18 6" xfId="19233"/>
    <cellStyle name="Comma 2 3 18 7" xfId="26360"/>
    <cellStyle name="Comma 2 3 180" xfId="33879"/>
    <cellStyle name="Comma 2 3 181" xfId="33902"/>
    <cellStyle name="Comma 2 3 182" xfId="33925"/>
    <cellStyle name="Comma 2 3 183" xfId="33948"/>
    <cellStyle name="Comma 2 3 184" xfId="33971"/>
    <cellStyle name="Comma 2 3 19" xfId="392"/>
    <cellStyle name="Comma 2 3 19 2" xfId="2868"/>
    <cellStyle name="Comma 2 3 19 2 2" xfId="9638"/>
    <cellStyle name="Comma 2 3 19 2 3" xfId="22328"/>
    <cellStyle name="Comma 2 3 19 2 4" xfId="7923"/>
    <cellStyle name="Comma 2 3 19 2 5" xfId="27378"/>
    <cellStyle name="Comma 2 3 19 3" xfId="4947"/>
    <cellStyle name="Comma 2 3 19 3 2" xfId="11717"/>
    <cellStyle name="Comma 2 3 19 3 3" xfId="24407"/>
    <cellStyle name="Comma 2 3 19 3 4" xfId="16584"/>
    <cellStyle name="Comma 2 3 19 3 5" xfId="29427"/>
    <cellStyle name="Comma 2 3 19 4" xfId="7162"/>
    <cellStyle name="Comma 2 3 19 5" xfId="20129"/>
    <cellStyle name="Comma 2 3 19 6" xfId="14804"/>
    <cellStyle name="Comma 2 3 19 7" xfId="30014"/>
    <cellStyle name="Comma 2 3 2" xfId="65"/>
    <cellStyle name="Comma 2 3 2 2" xfId="2550"/>
    <cellStyle name="Comma 2 3 2 2 2" xfId="9320"/>
    <cellStyle name="Comma 2 3 2 2 3" xfId="22010"/>
    <cellStyle name="Comma 2 3 2 2 4" xfId="18567"/>
    <cellStyle name="Comma 2 3 2 2 5" xfId="26879"/>
    <cellStyle name="Comma 2 3 2 3" xfId="2631"/>
    <cellStyle name="Comma 2 3 2 3 2" xfId="9401"/>
    <cellStyle name="Comma 2 3 2 3 3" xfId="22091"/>
    <cellStyle name="Comma 2 3 2 3 4" xfId="20017"/>
    <cellStyle name="Comma 2 3 2 3 5" xfId="30889"/>
    <cellStyle name="Comma 2 3 2 4" xfId="6835"/>
    <cellStyle name="Comma 2 3 2 5" xfId="14678"/>
    <cellStyle name="Comma 2 3 2 6" xfId="15182"/>
    <cellStyle name="Comma 2 3 2 7" xfId="28809"/>
    <cellStyle name="Comma 2 3 20" xfId="415"/>
    <cellStyle name="Comma 2 3 20 2" xfId="2890"/>
    <cellStyle name="Comma 2 3 20 2 2" xfId="9660"/>
    <cellStyle name="Comma 2 3 20 2 3" xfId="22350"/>
    <cellStyle name="Comma 2 3 20 2 4" xfId="7464"/>
    <cellStyle name="Comma 2 3 20 2 5" xfId="28519"/>
    <cellStyle name="Comma 2 3 20 3" xfId="4967"/>
    <cellStyle name="Comma 2 3 20 3 2" xfId="11737"/>
    <cellStyle name="Comma 2 3 20 3 3" xfId="24427"/>
    <cellStyle name="Comma 2 3 20 3 4" xfId="13861"/>
    <cellStyle name="Comma 2 3 20 3 5" xfId="28488"/>
    <cellStyle name="Comma 2 3 20 4" xfId="7185"/>
    <cellStyle name="Comma 2 3 20 5" xfId="20149"/>
    <cellStyle name="Comma 2 3 20 6" xfId="17024"/>
    <cellStyle name="Comma 2 3 20 7" xfId="28146"/>
    <cellStyle name="Comma 2 3 21" xfId="437"/>
    <cellStyle name="Comma 2 3 21 2" xfId="2912"/>
    <cellStyle name="Comma 2 3 21 2 2" xfId="9682"/>
    <cellStyle name="Comma 2 3 21 2 3" xfId="22372"/>
    <cellStyle name="Comma 2 3 21 2 4" xfId="8796"/>
    <cellStyle name="Comma 2 3 21 2 5" xfId="28721"/>
    <cellStyle name="Comma 2 3 21 3" xfId="4986"/>
    <cellStyle name="Comma 2 3 21 3 2" xfId="11756"/>
    <cellStyle name="Comma 2 3 21 3 3" xfId="24446"/>
    <cellStyle name="Comma 2 3 21 3 4" xfId="20054"/>
    <cellStyle name="Comma 2 3 21 3 5" xfId="29691"/>
    <cellStyle name="Comma 2 3 21 4" xfId="7207"/>
    <cellStyle name="Comma 2 3 21 5" xfId="20168"/>
    <cellStyle name="Comma 2 3 21 6" xfId="14495"/>
    <cellStyle name="Comma 2 3 21 7" xfId="28520"/>
    <cellStyle name="Comma 2 3 22" xfId="460"/>
    <cellStyle name="Comma 2 3 22 2" xfId="2935"/>
    <cellStyle name="Comma 2 3 22 2 2" xfId="9705"/>
    <cellStyle name="Comma 2 3 22 2 3" xfId="22395"/>
    <cellStyle name="Comma 2 3 22 2 4" xfId="8319"/>
    <cellStyle name="Comma 2 3 22 2 5" xfId="31656"/>
    <cellStyle name="Comma 2 3 22 3" xfId="5006"/>
    <cellStyle name="Comma 2 3 22 3 2" xfId="11776"/>
    <cellStyle name="Comma 2 3 22 3 3" xfId="24466"/>
    <cellStyle name="Comma 2 3 22 3 4" xfId="13794"/>
    <cellStyle name="Comma 2 3 22 3 5" xfId="31734"/>
    <cellStyle name="Comma 2 3 22 4" xfId="7230"/>
    <cellStyle name="Comma 2 3 22 5" xfId="20188"/>
    <cellStyle name="Comma 2 3 22 6" xfId="16718"/>
    <cellStyle name="Comma 2 3 22 7" xfId="31985"/>
    <cellStyle name="Comma 2 3 23" xfId="483"/>
    <cellStyle name="Comma 2 3 23 2" xfId="2958"/>
    <cellStyle name="Comma 2 3 23 2 2" xfId="9728"/>
    <cellStyle name="Comma 2 3 23 2 3" xfId="22418"/>
    <cellStyle name="Comma 2 3 23 2 4" xfId="7838"/>
    <cellStyle name="Comma 2 3 23 2 5" xfId="26481"/>
    <cellStyle name="Comma 2 3 23 3" xfId="5026"/>
    <cellStyle name="Comma 2 3 23 3 2" xfId="11796"/>
    <cellStyle name="Comma 2 3 23 3 3" xfId="24486"/>
    <cellStyle name="Comma 2 3 23 3 4" xfId="18011"/>
    <cellStyle name="Comma 2 3 23 3 5" xfId="30717"/>
    <cellStyle name="Comma 2 3 23 4" xfId="7253"/>
    <cellStyle name="Comma 2 3 23 5" xfId="20208"/>
    <cellStyle name="Comma 2 3 23 6" xfId="18570"/>
    <cellStyle name="Comma 2 3 23 7" xfId="26852"/>
    <cellStyle name="Comma 2 3 24" xfId="506"/>
    <cellStyle name="Comma 2 3 24 2" xfId="2981"/>
    <cellStyle name="Comma 2 3 24 2 2" xfId="9751"/>
    <cellStyle name="Comma 2 3 24 2 3" xfId="22441"/>
    <cellStyle name="Comma 2 3 24 2 4" xfId="7358"/>
    <cellStyle name="Comma 2 3 24 2 5" xfId="30281"/>
    <cellStyle name="Comma 2 3 24 3" xfId="5046"/>
    <cellStyle name="Comma 2 3 24 3 2" xfId="11816"/>
    <cellStyle name="Comma 2 3 24 3 3" xfId="24506"/>
    <cellStyle name="Comma 2 3 24 3 4" xfId="19703"/>
    <cellStyle name="Comma 2 3 24 3 5" xfId="27714"/>
    <cellStyle name="Comma 2 3 24 4" xfId="7276"/>
    <cellStyle name="Comma 2 3 24 5" xfId="20228"/>
    <cellStyle name="Comma 2 3 24 6" xfId="14032"/>
    <cellStyle name="Comma 2 3 24 7" xfId="29851"/>
    <cellStyle name="Comma 2 3 25" xfId="529"/>
    <cellStyle name="Comma 2 3 25 2" xfId="3004"/>
    <cellStyle name="Comma 2 3 25 2 2" xfId="9774"/>
    <cellStyle name="Comma 2 3 25 2 3" xfId="22464"/>
    <cellStyle name="Comma 2 3 25 2 4" xfId="9090"/>
    <cellStyle name="Comma 2 3 25 2 5" xfId="28437"/>
    <cellStyle name="Comma 2 3 25 3" xfId="5066"/>
    <cellStyle name="Comma 2 3 25 3 2" xfId="11836"/>
    <cellStyle name="Comma 2 3 25 3 3" xfId="24526"/>
    <cellStyle name="Comma 2 3 25 3 4" xfId="15341"/>
    <cellStyle name="Comma 2 3 25 3 5" xfId="26505"/>
    <cellStyle name="Comma 2 3 25 4" xfId="7299"/>
    <cellStyle name="Comma 2 3 25 5" xfId="20248"/>
    <cellStyle name="Comma 2 3 25 6" xfId="16253"/>
    <cellStyle name="Comma 2 3 25 7" xfId="27959"/>
    <cellStyle name="Comma 2 3 26" xfId="578"/>
    <cellStyle name="Comma 2 3 26 2" xfId="3051"/>
    <cellStyle name="Comma 2 3 26 2 2" xfId="9821"/>
    <cellStyle name="Comma 2 3 26 2 3" xfId="22511"/>
    <cellStyle name="Comma 2 3 26 2 4" xfId="19886"/>
    <cellStyle name="Comma 2 3 26 2 5" xfId="31348"/>
    <cellStyle name="Comma 2 3 26 3" xfId="5109"/>
    <cellStyle name="Comma 2 3 26 3 2" xfId="11879"/>
    <cellStyle name="Comma 2 3 26 3 3" xfId="24569"/>
    <cellStyle name="Comma 2 3 26 3 4" xfId="19335"/>
    <cellStyle name="Comma 2 3 26 3 5" xfId="26419"/>
    <cellStyle name="Comma 2 3 26 4" xfId="7348"/>
    <cellStyle name="Comma 2 3 26 5" xfId="20291"/>
    <cellStyle name="Comma 2 3 26 6" xfId="13915"/>
    <cellStyle name="Comma 2 3 26 7" xfId="29748"/>
    <cellStyle name="Comma 2 3 27" xfId="303"/>
    <cellStyle name="Comma 2 3 27 2" xfId="2779"/>
    <cellStyle name="Comma 2 3 27 2 2" xfId="9549"/>
    <cellStyle name="Comma 2 3 27 2 3" xfId="22239"/>
    <cellStyle name="Comma 2 3 27 2 4" xfId="13719"/>
    <cellStyle name="Comma 2 3 27 2 5" xfId="31631"/>
    <cellStyle name="Comma 2 3 27 3" xfId="3477"/>
    <cellStyle name="Comma 2 3 27 3 2" xfId="10247"/>
    <cellStyle name="Comma 2 3 27 3 3" xfId="22937"/>
    <cellStyle name="Comma 2 3 27 3 4" xfId="19281"/>
    <cellStyle name="Comma 2 3 27 3 5" xfId="30653"/>
    <cellStyle name="Comma 2 3 27 4" xfId="7073"/>
    <cellStyle name="Comma 2 3 27 5" xfId="14553"/>
    <cellStyle name="Comma 2 3 27 6" xfId="19626"/>
    <cellStyle name="Comma 2 3 27 7" xfId="26371"/>
    <cellStyle name="Comma 2 3 28" xfId="623"/>
    <cellStyle name="Comma 2 3 28 2" xfId="3096"/>
    <cellStyle name="Comma 2 3 28 2 2" xfId="9866"/>
    <cellStyle name="Comma 2 3 28 2 3" xfId="22556"/>
    <cellStyle name="Comma 2 3 28 2 4" xfId="19624"/>
    <cellStyle name="Comma 2 3 28 2 5" xfId="26363"/>
    <cellStyle name="Comma 2 3 28 3" xfId="5148"/>
    <cellStyle name="Comma 2 3 28 3 2" xfId="11918"/>
    <cellStyle name="Comma 2 3 28 3 3" xfId="24608"/>
    <cellStyle name="Comma 2 3 28 3 4" xfId="17853"/>
    <cellStyle name="Comma 2 3 28 3 5" xfId="30382"/>
    <cellStyle name="Comma 2 3 28 4" xfId="7393"/>
    <cellStyle name="Comma 2 3 28 5" xfId="20330"/>
    <cellStyle name="Comma 2 3 28 6" xfId="15746"/>
    <cellStyle name="Comma 2 3 28 7" xfId="28774"/>
    <cellStyle name="Comma 2 3 29" xfId="644"/>
    <cellStyle name="Comma 2 3 29 2" xfId="3117"/>
    <cellStyle name="Comma 2 3 29 2 2" xfId="9887"/>
    <cellStyle name="Comma 2 3 29 2 3" xfId="22577"/>
    <cellStyle name="Comma 2 3 29 2 4" xfId="19506"/>
    <cellStyle name="Comma 2 3 29 2 5" xfId="31252"/>
    <cellStyle name="Comma 2 3 29 3" xfId="5166"/>
    <cellStyle name="Comma 2 3 29 3 2" xfId="11936"/>
    <cellStyle name="Comma 2 3 29 3 3" xfId="24626"/>
    <cellStyle name="Comma 2 3 29 3 4" xfId="19002"/>
    <cellStyle name="Comma 2 3 29 3 5" xfId="30478"/>
    <cellStyle name="Comma 2 3 29 4" xfId="7414"/>
    <cellStyle name="Comma 2 3 29 5" xfId="20348"/>
    <cellStyle name="Comma 2 3 29 6" xfId="15275"/>
    <cellStyle name="Comma 2 3 29 7" xfId="29643"/>
    <cellStyle name="Comma 2 3 3" xfId="66"/>
    <cellStyle name="Comma 2 3 3 2" xfId="2551"/>
    <cellStyle name="Comma 2 3 3 2 2" xfId="9321"/>
    <cellStyle name="Comma 2 3 3 2 3" xfId="22011"/>
    <cellStyle name="Comma 2 3 3 2 4" xfId="16562"/>
    <cellStyle name="Comma 2 3 3 2 5" xfId="31970"/>
    <cellStyle name="Comma 2 3 3 3" xfId="3613"/>
    <cellStyle name="Comma 2 3 3 3 2" xfId="10383"/>
    <cellStyle name="Comma 2 3 3 3 3" xfId="23073"/>
    <cellStyle name="Comma 2 3 3 3 4" xfId="16463"/>
    <cellStyle name="Comma 2 3 3 3 5" xfId="30442"/>
    <cellStyle name="Comma 2 3 3 4" xfId="6836"/>
    <cellStyle name="Comma 2 3 3 5" xfId="14664"/>
    <cellStyle name="Comma 2 3 3 6" xfId="19441"/>
    <cellStyle name="Comma 2 3 3 7" xfId="30804"/>
    <cellStyle name="Comma 2 3 30" xfId="681"/>
    <cellStyle name="Comma 2 3 30 2" xfId="3153"/>
    <cellStyle name="Comma 2 3 30 2 2" xfId="9923"/>
    <cellStyle name="Comma 2 3 30 2 3" xfId="22613"/>
    <cellStyle name="Comma 2 3 30 2 4" xfId="19291"/>
    <cellStyle name="Comma 2 3 30 2 5" xfId="31190"/>
    <cellStyle name="Comma 2 3 30 3" xfId="5198"/>
    <cellStyle name="Comma 2 3 30 3 2" xfId="11968"/>
    <cellStyle name="Comma 2 3 30 3 3" xfId="24658"/>
    <cellStyle name="Comma 2 3 30 3 4" xfId="14476"/>
    <cellStyle name="Comma 2 3 30 3 5" xfId="30310"/>
    <cellStyle name="Comma 2 3 30 4" xfId="7451"/>
    <cellStyle name="Comma 2 3 30 5" xfId="20380"/>
    <cellStyle name="Comma 2 3 30 6" xfId="15022"/>
    <cellStyle name="Comma 2 3 30 7" xfId="26532"/>
    <cellStyle name="Comma 2 3 31" xfId="687"/>
    <cellStyle name="Comma 2 3 31 2" xfId="3159"/>
    <cellStyle name="Comma 2 3 31 2 2" xfId="9929"/>
    <cellStyle name="Comma 2 3 31 2 3" xfId="22619"/>
    <cellStyle name="Comma 2 3 31 2 4" xfId="19251"/>
    <cellStyle name="Comma 2 3 31 2 5" xfId="31179"/>
    <cellStyle name="Comma 2 3 31 3" xfId="5204"/>
    <cellStyle name="Comma 2 3 31 3 2" xfId="11974"/>
    <cellStyle name="Comma 2 3 31 3 3" xfId="24664"/>
    <cellStyle name="Comma 2 3 31 3 4" xfId="14242"/>
    <cellStyle name="Comma 2 3 31 3 5" xfId="30302"/>
    <cellStyle name="Comma 2 3 31 4" xfId="7457"/>
    <cellStyle name="Comma 2 3 31 5" xfId="20386"/>
    <cellStyle name="Comma 2 3 31 6" xfId="14979"/>
    <cellStyle name="Comma 2 3 31 7" xfId="26520"/>
    <cellStyle name="Comma 2 3 32" xfId="742"/>
    <cellStyle name="Comma 2 3 32 2" xfId="3213"/>
    <cellStyle name="Comma 2 3 32 2 2" xfId="9983"/>
    <cellStyle name="Comma 2 3 32 2 3" xfId="22673"/>
    <cellStyle name="Comma 2 3 32 2 4" xfId="18938"/>
    <cellStyle name="Comma 2 3 32 2 5" xfId="31093"/>
    <cellStyle name="Comma 2 3 32 3" xfId="5251"/>
    <cellStyle name="Comma 2 3 32 3 2" xfId="12021"/>
    <cellStyle name="Comma 2 3 32 3 3" xfId="24711"/>
    <cellStyle name="Comma 2 3 32 3 4" xfId="16184"/>
    <cellStyle name="Comma 2 3 32 3 5" xfId="27542"/>
    <cellStyle name="Comma 2 3 32 4" xfId="7512"/>
    <cellStyle name="Comma 2 3 32 5" xfId="20433"/>
    <cellStyle name="Comma 2 3 32 6" xfId="16939"/>
    <cellStyle name="Comma 2 3 32 7" xfId="31562"/>
    <cellStyle name="Comma 2 3 33" xfId="750"/>
    <cellStyle name="Comma 2 3 33 2" xfId="3221"/>
    <cellStyle name="Comma 2 3 33 2 2" xfId="9991"/>
    <cellStyle name="Comma 2 3 33 2 3" xfId="22681"/>
    <cellStyle name="Comma 2 3 33 2 4" xfId="14560"/>
    <cellStyle name="Comma 2 3 33 2 5" xfId="29953"/>
    <cellStyle name="Comma 2 3 33 3" xfId="5258"/>
    <cellStyle name="Comma 2 3 33 3 2" xfId="12028"/>
    <cellStyle name="Comma 2 3 33 3 3" xfId="24718"/>
    <cellStyle name="Comma 2 3 33 3 4" xfId="14141"/>
    <cellStyle name="Comma 2 3 33 3 5" xfId="26321"/>
    <cellStyle name="Comma 2 3 33 4" xfId="7520"/>
    <cellStyle name="Comma 2 3 33 5" xfId="20440"/>
    <cellStyle name="Comma 2 3 33 6" xfId="16854"/>
    <cellStyle name="Comma 2 3 33 7" xfId="30533"/>
    <cellStyle name="Comma 2 3 34" xfId="766"/>
    <cellStyle name="Comma 2 3 34 2" xfId="3237"/>
    <cellStyle name="Comma 2 3 34 2 2" xfId="10007"/>
    <cellStyle name="Comma 2 3 34 2 3" xfId="22697"/>
    <cellStyle name="Comma 2 3 34 2 4" xfId="17050"/>
    <cellStyle name="Comma 2 3 34 2 5" xfId="31062"/>
    <cellStyle name="Comma 2 3 34 3" xfId="5272"/>
    <cellStyle name="Comma 2 3 34 3 2" xfId="12042"/>
    <cellStyle name="Comma 2 3 34 3 3" xfId="24732"/>
    <cellStyle name="Comma 2 3 34 3 4" xfId="16347"/>
    <cellStyle name="Comma 2 3 34 3 5" xfId="31505"/>
    <cellStyle name="Comma 2 3 34 4" xfId="7536"/>
    <cellStyle name="Comma 2 3 34 5" xfId="20454"/>
    <cellStyle name="Comma 2 3 34 6" xfId="14369"/>
    <cellStyle name="Comma 2 3 34 7" xfId="32446"/>
    <cellStyle name="Comma 2 3 35" xfId="756"/>
    <cellStyle name="Comma 2 3 35 2" xfId="3227"/>
    <cellStyle name="Comma 2 3 35 2 2" xfId="9997"/>
    <cellStyle name="Comma 2 3 35 2 3" xfId="22687"/>
    <cellStyle name="Comma 2 3 35 2 4" xfId="14516"/>
    <cellStyle name="Comma 2 3 35 2 5" xfId="26487"/>
    <cellStyle name="Comma 2 3 35 3" xfId="5264"/>
    <cellStyle name="Comma 2 3 35 3 2" xfId="12034"/>
    <cellStyle name="Comma 2 3 35 3 3" xfId="24724"/>
    <cellStyle name="Comma 2 3 35 3 4" xfId="14036"/>
    <cellStyle name="Comma 2 3 35 3 5" xfId="27248"/>
    <cellStyle name="Comma 2 3 35 4" xfId="7526"/>
    <cellStyle name="Comma 2 3 35 5" xfId="20446"/>
    <cellStyle name="Comma 2 3 35 6" xfId="16817"/>
    <cellStyle name="Comma 2 3 35 7" xfId="26786"/>
    <cellStyle name="Comma 2 3 36" xfId="781"/>
    <cellStyle name="Comma 2 3 36 2" xfId="3251"/>
    <cellStyle name="Comma 2 3 36 2 2" xfId="10021"/>
    <cellStyle name="Comma 2 3 36 2 3" xfId="22711"/>
    <cellStyle name="Comma 2 3 36 2 4" xfId="14366"/>
    <cellStyle name="Comma 2 3 36 2 5" xfId="29914"/>
    <cellStyle name="Comma 2 3 36 3" xfId="5285"/>
    <cellStyle name="Comma 2 3 36 3 2" xfId="12055"/>
    <cellStyle name="Comma 2 3 36 3 3" xfId="24745"/>
    <cellStyle name="Comma 2 3 36 3 4" xfId="13904"/>
    <cellStyle name="Comma 2 3 36 3 5" xfId="27470"/>
    <cellStyle name="Comma 2 3 36 4" xfId="7551"/>
    <cellStyle name="Comma 2 3 36 5" xfId="20467"/>
    <cellStyle name="Comma 2 3 36 6" xfId="18629"/>
    <cellStyle name="Comma 2 3 36 7" xfId="28565"/>
    <cellStyle name="Comma 2 3 37" xfId="804"/>
    <cellStyle name="Comma 2 3 37 2" xfId="3272"/>
    <cellStyle name="Comma 2 3 37 2 2" xfId="10042"/>
    <cellStyle name="Comma 2 3 37 2 3" xfId="22732"/>
    <cellStyle name="Comma 2 3 37 2 4" xfId="14229"/>
    <cellStyle name="Comma 2 3 37 2 5" xfId="28985"/>
    <cellStyle name="Comma 2 3 37 3" xfId="5305"/>
    <cellStyle name="Comma 2 3 37 3 2" xfId="12075"/>
    <cellStyle name="Comma 2 3 37 3 3" xfId="24765"/>
    <cellStyle name="Comma 2 3 37 3 4" xfId="16185"/>
    <cellStyle name="Comma 2 3 37 3 5" xfId="18426"/>
    <cellStyle name="Comma 2 3 37 4" xfId="7574"/>
    <cellStyle name="Comma 2 3 37 5" xfId="20487"/>
    <cellStyle name="Comma 2 3 37 6" xfId="14134"/>
    <cellStyle name="Comma 2 3 37 7" xfId="31504"/>
    <cellStyle name="Comma 2 3 38" xfId="827"/>
    <cellStyle name="Comma 2 3 38 2" xfId="3295"/>
    <cellStyle name="Comma 2 3 38 2 2" xfId="10065"/>
    <cellStyle name="Comma 2 3 38 2 3" xfId="22755"/>
    <cellStyle name="Comma 2 3 38 2 4" xfId="16431"/>
    <cellStyle name="Comma 2 3 38 2 5" xfId="30425"/>
    <cellStyle name="Comma 2 3 38 3" xfId="5325"/>
    <cellStyle name="Comma 2 3 38 3 2" xfId="12095"/>
    <cellStyle name="Comma 2 3 38 3 3" xfId="24785"/>
    <cellStyle name="Comma 2 3 38 3 4" xfId="19965"/>
    <cellStyle name="Comma 2 3 38 3 5" xfId="19898"/>
    <cellStyle name="Comma 2 3 38 4" xfId="7597"/>
    <cellStyle name="Comma 2 3 38 5" xfId="20507"/>
    <cellStyle name="Comma 2 3 38 6" xfId="17910"/>
    <cellStyle name="Comma 2 3 38 7" xfId="28622"/>
    <cellStyle name="Comma 2 3 39" xfId="850"/>
    <cellStyle name="Comma 2 3 39 2" xfId="3316"/>
    <cellStyle name="Comma 2 3 39 2 2" xfId="10086"/>
    <cellStyle name="Comma 2 3 39 2 3" xfId="22776"/>
    <cellStyle name="Comma 2 3 39 2 4" xfId="16296"/>
    <cellStyle name="Comma 2 3 39 2 5" xfId="27963"/>
    <cellStyle name="Comma 2 3 39 3" xfId="5345"/>
    <cellStyle name="Comma 2 3 39 3 2" xfId="12115"/>
    <cellStyle name="Comma 2 3 39 3 3" xfId="24805"/>
    <cellStyle name="Comma 2 3 39 3 4" xfId="18038"/>
    <cellStyle name="Comma 2 3 39 3 5" xfId="18841"/>
    <cellStyle name="Comma 2 3 39 4" xfId="7620"/>
    <cellStyle name="Comma 2 3 39 5" xfId="20527"/>
    <cellStyle name="Comma 2 3 39 6" xfId="19641"/>
    <cellStyle name="Comma 2 3 39 7" xfId="30486"/>
    <cellStyle name="Comma 2 3 4" xfId="55"/>
    <cellStyle name="Comma 2 3 4 2" xfId="2540"/>
    <cellStyle name="Comma 2 3 4 2 2" xfId="9310"/>
    <cellStyle name="Comma 2 3 4 2 3" xfId="22000"/>
    <cellStyle name="Comma 2 3 4 2 4" xfId="14312"/>
    <cellStyle name="Comma 2 3 4 2 5" xfId="29023"/>
    <cellStyle name="Comma 2 3 4 3" xfId="3838"/>
    <cellStyle name="Comma 2 3 4 3 2" xfId="10608"/>
    <cellStyle name="Comma 2 3 4 3 3" xfId="23298"/>
    <cellStyle name="Comma 2 3 4 3 4" xfId="17123"/>
    <cellStyle name="Comma 2 3 4 3 5" xfId="28535"/>
    <cellStyle name="Comma 2 3 4 4" xfId="6825"/>
    <cellStyle name="Comma 2 3 4 5" xfId="14888"/>
    <cellStyle name="Comma 2 3 4 6" xfId="17629"/>
    <cellStyle name="Comma 2 3 4 7" xfId="27859"/>
    <cellStyle name="Comma 2 3 40" xfId="873"/>
    <cellStyle name="Comma 2 3 40 2" xfId="3338"/>
    <cellStyle name="Comma 2 3 40 2 2" xfId="10108"/>
    <cellStyle name="Comma 2 3 40 2 3" xfId="22798"/>
    <cellStyle name="Comma 2 3 40 2 4" xfId="15891"/>
    <cellStyle name="Comma 2 3 40 2 5" xfId="28890"/>
    <cellStyle name="Comma 2 3 40 3" xfId="5365"/>
    <cellStyle name="Comma 2 3 40 3 2" xfId="12135"/>
    <cellStyle name="Comma 2 3 40 3 3" xfId="24825"/>
    <cellStyle name="Comma 2 3 40 3 4" xfId="19758"/>
    <cellStyle name="Comma 2 3 40 3 5" xfId="19716"/>
    <cellStyle name="Comma 2 3 40 4" xfId="7643"/>
    <cellStyle name="Comma 2 3 40 5" xfId="20547"/>
    <cellStyle name="Comma 2 3 40 6" xfId="15250"/>
    <cellStyle name="Comma 2 3 40 7" xfId="26262"/>
    <cellStyle name="Comma 2 3 41" xfId="896"/>
    <cellStyle name="Comma 2 3 41 2" xfId="3360"/>
    <cellStyle name="Comma 2 3 41 2 2" xfId="10130"/>
    <cellStyle name="Comma 2 3 41 2 3" xfId="22820"/>
    <cellStyle name="Comma 2 3 41 2 4" xfId="19961"/>
    <cellStyle name="Comma 2 3 41 2 5" xfId="26317"/>
    <cellStyle name="Comma 2 3 41 3" xfId="5385"/>
    <cellStyle name="Comma 2 3 41 3 2" xfId="12155"/>
    <cellStyle name="Comma 2 3 41 3 3" xfId="24845"/>
    <cellStyle name="Comma 2 3 41 3 4" xfId="15402"/>
    <cellStyle name="Comma 2 3 41 3 5" xfId="19327"/>
    <cellStyle name="Comma 2 3 41 4" xfId="7666"/>
    <cellStyle name="Comma 2 3 41 5" xfId="20567"/>
    <cellStyle name="Comma 2 3 41 6" xfId="17461"/>
    <cellStyle name="Comma 2 3 41 7" xfId="30342"/>
    <cellStyle name="Comma 2 3 42" xfId="942"/>
    <cellStyle name="Comma 2 3 42 2" xfId="3406"/>
    <cellStyle name="Comma 2 3 42 2 2" xfId="10176"/>
    <cellStyle name="Comma 2 3 42 2 3" xfId="22866"/>
    <cellStyle name="Comma 2 3 42 2 4" xfId="17839"/>
    <cellStyle name="Comma 2 3 42 2 5" xfId="27813"/>
    <cellStyle name="Comma 2 3 42 3" xfId="5425"/>
    <cellStyle name="Comma 2 3 42 3 2" xfId="12195"/>
    <cellStyle name="Comma 2 3 42 3 3" xfId="24885"/>
    <cellStyle name="Comma 2 3 42 3 4" xfId="19410"/>
    <cellStyle name="Comma 2 3 42 3 5" xfId="18933"/>
    <cellStyle name="Comma 2 3 42 4" xfId="7712"/>
    <cellStyle name="Comma 2 3 42 5" xfId="20607"/>
    <cellStyle name="Comma 2 3 42 6" xfId="14801"/>
    <cellStyle name="Comma 2 3 42 7" xfId="31456"/>
    <cellStyle name="Comma 2 3 43" xfId="979"/>
    <cellStyle name="Comma 2 3 43 2" xfId="3443"/>
    <cellStyle name="Comma 2 3 43 2 2" xfId="10213"/>
    <cellStyle name="Comma 2 3 43 2 3" xfId="22903"/>
    <cellStyle name="Comma 2 3 43 2 4" xfId="15220"/>
    <cellStyle name="Comma 2 3 43 2 5" xfId="29627"/>
    <cellStyle name="Comma 2 3 43 3" xfId="5457"/>
    <cellStyle name="Comma 2 3 43 3 2" xfId="12227"/>
    <cellStyle name="Comma 2 3 43 3 3" xfId="24917"/>
    <cellStyle name="Comma 2 3 43 3 4" xfId="14937"/>
    <cellStyle name="Comma 2 3 43 3 5" xfId="19178"/>
    <cellStyle name="Comma 2 3 43 4" xfId="7749"/>
    <cellStyle name="Comma 2 3 43 5" xfId="20639"/>
    <cellStyle name="Comma 2 3 43 6" xfId="18879"/>
    <cellStyle name="Comma 2 3 43 7" xfId="28278"/>
    <cellStyle name="Comma 2 3 44" xfId="995"/>
    <cellStyle name="Comma 2 3 44 2" xfId="3459"/>
    <cellStyle name="Comma 2 3 44 2 2" xfId="10229"/>
    <cellStyle name="Comma 2 3 44 2 3" xfId="22919"/>
    <cellStyle name="Comma 2 3 44 2 4" xfId="19376"/>
    <cellStyle name="Comma 2 3 44 2 5" xfId="30692"/>
    <cellStyle name="Comma 2 3 44 3" xfId="5471"/>
    <cellStyle name="Comma 2 3 44 3 2" xfId="12241"/>
    <cellStyle name="Comma 2 3 44 3 3" xfId="24931"/>
    <cellStyle name="Comma 2 3 44 3 4" xfId="17203"/>
    <cellStyle name="Comma 2 3 44 3 5" xfId="14562"/>
    <cellStyle name="Comma 2 3 44 4" xfId="7765"/>
    <cellStyle name="Comma 2 3 44 5" xfId="20653"/>
    <cellStyle name="Comma 2 3 44 6" xfId="16805"/>
    <cellStyle name="Comma 2 3 44 7" xfId="29179"/>
    <cellStyle name="Comma 2 3 45" xfId="985"/>
    <cellStyle name="Comma 2 3 45 2" xfId="3449"/>
    <cellStyle name="Comma 2 3 45 2 2" xfId="10219"/>
    <cellStyle name="Comma 2 3 45 2 3" xfId="22909"/>
    <cellStyle name="Comma 2 3 45 2 4" xfId="15176"/>
    <cellStyle name="Comma 2 3 45 2 5" xfId="29615"/>
    <cellStyle name="Comma 2 3 45 3" xfId="5463"/>
    <cellStyle name="Comma 2 3 45 3 2" xfId="12233"/>
    <cellStyle name="Comma 2 3 45 3 3" xfId="24923"/>
    <cellStyle name="Comma 2 3 45 3 4" xfId="14894"/>
    <cellStyle name="Comma 2 3 45 3 5" xfId="16380"/>
    <cellStyle name="Comma 2 3 45 4" xfId="7755"/>
    <cellStyle name="Comma 2 3 45 5" xfId="20645"/>
    <cellStyle name="Comma 2 3 45 6" xfId="18842"/>
    <cellStyle name="Comma 2 3 45 7" xfId="28268"/>
    <cellStyle name="Comma 2 3 46" xfId="1010"/>
    <cellStyle name="Comma 2 3 46 2" xfId="3474"/>
    <cellStyle name="Comma 2 3 46 2 2" xfId="10244"/>
    <cellStyle name="Comma 2 3 46 2 3" xfId="22934"/>
    <cellStyle name="Comma 2 3 46 2 4" xfId="19301"/>
    <cellStyle name="Comma 2 3 46 2 5" xfId="26526"/>
    <cellStyle name="Comma 2 3 46 3" xfId="5484"/>
    <cellStyle name="Comma 2 3 46 3 2" xfId="12254"/>
    <cellStyle name="Comma 2 3 46 3 3" xfId="24944"/>
    <cellStyle name="Comma 2 3 46 3 4" xfId="14763"/>
    <cellStyle name="Comma 2 3 46 3 5" xfId="19709"/>
    <cellStyle name="Comma 2 3 46 4" xfId="7780"/>
    <cellStyle name="Comma 2 3 46 5" xfId="20666"/>
    <cellStyle name="Comma 2 3 46 6" xfId="16715"/>
    <cellStyle name="Comma 2 3 46 7" xfId="28229"/>
    <cellStyle name="Comma 2 3 47" xfId="1032"/>
    <cellStyle name="Comma 2 3 47 2" xfId="3496"/>
    <cellStyle name="Comma 2 3 47 2 2" xfId="10266"/>
    <cellStyle name="Comma 2 3 47 2 3" xfId="22956"/>
    <cellStyle name="Comma 2 3 47 2 4" xfId="16066"/>
    <cellStyle name="Comma 2 3 47 2 5" xfId="27450"/>
    <cellStyle name="Comma 2 3 47 3" xfId="5503"/>
    <cellStyle name="Comma 2 3 47 3 2" xfId="12273"/>
    <cellStyle name="Comma 2 3 47 3 3" xfId="24963"/>
    <cellStyle name="Comma 2 3 47 3 4" xfId="18942"/>
    <cellStyle name="Comma 2 3 47 3 5" xfId="19497"/>
    <cellStyle name="Comma 2 3 47 4" xfId="7802"/>
    <cellStyle name="Comma 2 3 47 5" xfId="20685"/>
    <cellStyle name="Comma 2 3 47 6" xfId="14184"/>
    <cellStyle name="Comma 2 3 47 7" xfId="29125"/>
    <cellStyle name="Comma 2 3 48" xfId="1054"/>
    <cellStyle name="Comma 2 3 48 2" xfId="3516"/>
    <cellStyle name="Comma 2 3 48 2 2" xfId="10286"/>
    <cellStyle name="Comma 2 3 48 2 3" xfId="22976"/>
    <cellStyle name="Comma 2 3 48 2 4" xfId="19047"/>
    <cellStyle name="Comma 2 3 48 2 5" xfId="26454"/>
    <cellStyle name="Comma 2 3 48 3" xfId="5522"/>
    <cellStyle name="Comma 2 3 48 3 2" xfId="12292"/>
    <cellStyle name="Comma 2 3 48 3 3" xfId="24982"/>
    <cellStyle name="Comma 2 3 48 3 4" xfId="16877"/>
    <cellStyle name="Comma 2 3 48 3 5" xfId="27446"/>
    <cellStyle name="Comma 2 3 48 4" xfId="7824"/>
    <cellStyle name="Comma 2 3 48 5" xfId="20704"/>
    <cellStyle name="Comma 2 3 48 6" xfId="14029"/>
    <cellStyle name="Comma 2 3 48 7" xfId="26974"/>
    <cellStyle name="Comma 2 3 49" xfId="1077"/>
    <cellStyle name="Comma 2 3 49 2" xfId="3539"/>
    <cellStyle name="Comma 2 3 49 2 2" xfId="10309"/>
    <cellStyle name="Comma 2 3 49 2 3" xfId="22999"/>
    <cellStyle name="Comma 2 3 49 2 4" xfId="14592"/>
    <cellStyle name="Comma 2 3 49 2 5" xfId="26557"/>
    <cellStyle name="Comma 2 3 49 3" xfId="5542"/>
    <cellStyle name="Comma 2 3 49 3 2" xfId="12312"/>
    <cellStyle name="Comma 2 3 49 3 3" xfId="25002"/>
    <cellStyle name="Comma 2 3 49 3 4" xfId="18729"/>
    <cellStyle name="Comma 2 3 49 3 5" xfId="27319"/>
    <cellStyle name="Comma 2 3 49 4" xfId="7847"/>
    <cellStyle name="Comma 2 3 49 5" xfId="20724"/>
    <cellStyle name="Comma 2 3 49 6" xfId="17963"/>
    <cellStyle name="Comma 2 3 49 7" xfId="28115"/>
    <cellStyle name="Comma 2 3 5" xfId="63"/>
    <cellStyle name="Comma 2 3 5 2" xfId="2548"/>
    <cellStyle name="Comma 2 3 5 2 2" xfId="9318"/>
    <cellStyle name="Comma 2 3 5 2 3" xfId="22008"/>
    <cellStyle name="Comma 2 3 5 2 4" xfId="16591"/>
    <cellStyle name="Comma 2 3 5 2 5" xfId="28066"/>
    <cellStyle name="Comma 2 3 5 3" xfId="3648"/>
    <cellStyle name="Comma 2 3 5 3 2" xfId="10418"/>
    <cellStyle name="Comma 2 3 5 3 3" xfId="23108"/>
    <cellStyle name="Comma 2 3 5 3 4" xfId="18012"/>
    <cellStyle name="Comma 2 3 5 3 5" xfId="26393"/>
    <cellStyle name="Comma 2 3 5 4" xfId="6833"/>
    <cellStyle name="Comma 2 3 5 5" xfId="14733"/>
    <cellStyle name="Comma 2 3 5 6" xfId="19461"/>
    <cellStyle name="Comma 2 3 5 7" xfId="26675"/>
    <cellStyle name="Comma 2 3 50" xfId="1100"/>
    <cellStyle name="Comma 2 3 50 2" xfId="3561"/>
    <cellStyle name="Comma 2 3 50 2 2" xfId="10331"/>
    <cellStyle name="Comma 2 3 50 2 3" xfId="23021"/>
    <cellStyle name="Comma 2 3 50 2 4" xfId="17292"/>
    <cellStyle name="Comma 2 3 50 2 5" xfId="31554"/>
    <cellStyle name="Comma 2 3 50 3" xfId="5562"/>
    <cellStyle name="Comma 2 3 50 3 2" xfId="12332"/>
    <cellStyle name="Comma 2 3 50 3 3" xfId="25022"/>
    <cellStyle name="Comma 2 3 50 3 4" xfId="14109"/>
    <cellStyle name="Comma 2 3 50 3 5" xfId="29365"/>
    <cellStyle name="Comma 2 3 50 4" xfId="7870"/>
    <cellStyle name="Comma 2 3 50 5" xfId="20744"/>
    <cellStyle name="Comma 2 3 50 6" xfId="19696"/>
    <cellStyle name="Comma 2 3 50 7" xfId="31038"/>
    <cellStyle name="Comma 2 3 51" xfId="1148"/>
    <cellStyle name="Comma 2 3 51 2" xfId="3608"/>
    <cellStyle name="Comma 2 3 51 2 2" xfId="10378"/>
    <cellStyle name="Comma 2 3 51 2 3" xfId="23068"/>
    <cellStyle name="Comma 2 3 51 2 4" xfId="14127"/>
    <cellStyle name="Comma 2 3 51 2 5" xfId="29409"/>
    <cellStyle name="Comma 2 3 51 3" xfId="5604"/>
    <cellStyle name="Comma 2 3 51 3 2" xfId="12374"/>
    <cellStyle name="Comma 2 3 51 3 3" xfId="25064"/>
    <cellStyle name="Comma 2 3 51 3 4" xfId="13610"/>
    <cellStyle name="Comma 2 3 51 3 5" xfId="29318"/>
    <cellStyle name="Comma 2 3 51 4" xfId="7918"/>
    <cellStyle name="Comma 2 3 51 5" xfId="20786"/>
    <cellStyle name="Comma 2 3 51 6" xfId="19401"/>
    <cellStyle name="Comma 2 3 51 7" xfId="28962"/>
    <cellStyle name="Comma 2 3 52" xfId="966"/>
    <cellStyle name="Comma 2 3 52 2" xfId="3430"/>
    <cellStyle name="Comma 2 3 52 2 2" xfId="10200"/>
    <cellStyle name="Comma 2 3 52 2 3" xfId="22890"/>
    <cellStyle name="Comma 2 3 52 2 4" xfId="16106"/>
    <cellStyle name="Comma 2 3 52 2 5" xfId="27461"/>
    <cellStyle name="Comma 2 3 52 3" xfId="5446"/>
    <cellStyle name="Comma 2 3 52 3 2" xfId="12216"/>
    <cellStyle name="Comma 2 3 52 3 3" xfId="24906"/>
    <cellStyle name="Comma 2 3 52 3 4" xfId="19295"/>
    <cellStyle name="Comma 2 3 52 3 5" xfId="14845"/>
    <cellStyle name="Comma 2 3 52 4" xfId="7736"/>
    <cellStyle name="Comma 2 3 52 5" xfId="20628"/>
    <cellStyle name="Comma 2 3 52 6" xfId="14623"/>
    <cellStyle name="Comma 2 3 52 7" xfId="31269"/>
    <cellStyle name="Comma 2 3 53" xfId="1192"/>
    <cellStyle name="Comma 2 3 53 2" xfId="3652"/>
    <cellStyle name="Comma 2 3 53 2 2" xfId="10422"/>
    <cellStyle name="Comma 2 3 53 2 3" xfId="23112"/>
    <cellStyle name="Comma 2 3 53 2 4" xfId="16196"/>
    <cellStyle name="Comma 2 3 53 2 5" xfId="27551"/>
    <cellStyle name="Comma 2 3 53 3" xfId="5642"/>
    <cellStyle name="Comma 2 3 53 3 2" xfId="12412"/>
    <cellStyle name="Comma 2 3 53 3 3" xfId="25102"/>
    <cellStyle name="Comma 2 3 53 3 4" xfId="18202"/>
    <cellStyle name="Comma 2 3 53 3 5" xfId="28344"/>
    <cellStyle name="Comma 2 3 53 4" xfId="7962"/>
    <cellStyle name="Comma 2 3 53 5" xfId="20824"/>
    <cellStyle name="Comma 2 3 53 6" xfId="14843"/>
    <cellStyle name="Comma 2 3 53 7" xfId="31821"/>
    <cellStyle name="Comma 2 3 54" xfId="1179"/>
    <cellStyle name="Comma 2 3 54 2" xfId="3639"/>
    <cellStyle name="Comma 2 3 54 2 2" xfId="10409"/>
    <cellStyle name="Comma 2 3 54 2 3" xfId="23099"/>
    <cellStyle name="Comma 2 3 54 2 4" xfId="18322"/>
    <cellStyle name="Comma 2 3 54 2 5" xfId="30543"/>
    <cellStyle name="Comma 2 3 54 3" xfId="5631"/>
    <cellStyle name="Comma 2 3 54 3 2" xfId="12401"/>
    <cellStyle name="Comma 2 3 54 3 3" xfId="25091"/>
    <cellStyle name="Comma 2 3 54 3 4" xfId="13564"/>
    <cellStyle name="Comma 2 3 54 3 5" xfId="30175"/>
    <cellStyle name="Comma 2 3 54 4" xfId="7949"/>
    <cellStyle name="Comma 2 3 54 5" xfId="20813"/>
    <cellStyle name="Comma 2 3 54 6" xfId="17308"/>
    <cellStyle name="Comma 2 3 54 7" xfId="26720"/>
    <cellStyle name="Comma 2 3 55" xfId="1213"/>
    <cellStyle name="Comma 2 3 55 2" xfId="3673"/>
    <cellStyle name="Comma 2 3 55 2 2" xfId="10443"/>
    <cellStyle name="Comma 2 3 55 2 3" xfId="23133"/>
    <cellStyle name="Comma 2 3 55 2 4" xfId="18189"/>
    <cellStyle name="Comma 2 3 55 2 5" xfId="32439"/>
    <cellStyle name="Comma 2 3 55 3" xfId="5660"/>
    <cellStyle name="Comma 2 3 55 3 2" xfId="12430"/>
    <cellStyle name="Comma 2 3 55 3 3" xfId="25120"/>
    <cellStyle name="Comma 2 3 55 3 4" xfId="18079"/>
    <cellStyle name="Comma 2 3 55 3 5" xfId="28316"/>
    <cellStyle name="Comma 2 3 55 4" xfId="7983"/>
    <cellStyle name="Comma 2 3 55 5" xfId="20842"/>
    <cellStyle name="Comma 2 3 55 6" xfId="14710"/>
    <cellStyle name="Comma 2 3 55 7" xfId="27843"/>
    <cellStyle name="Comma 2 3 56" xfId="1236"/>
    <cellStyle name="Comma 2 3 56 2" xfId="3696"/>
    <cellStyle name="Comma 2 3 56 2 2" xfId="10466"/>
    <cellStyle name="Comma 2 3 56 2 3" xfId="23156"/>
    <cellStyle name="Comma 2 3 56 2 4" xfId="19894"/>
    <cellStyle name="Comma 2 3 56 2 5" xfId="27371"/>
    <cellStyle name="Comma 2 3 56 3" xfId="5680"/>
    <cellStyle name="Comma 2 3 56 3 2" xfId="12450"/>
    <cellStyle name="Comma 2 3 56 3 3" xfId="25140"/>
    <cellStyle name="Comma 2 3 56 3 4" xfId="15631"/>
    <cellStyle name="Comma 2 3 56 3 5" xfId="27117"/>
    <cellStyle name="Comma 2 3 56 4" xfId="8006"/>
    <cellStyle name="Comma 2 3 56 5" xfId="20862"/>
    <cellStyle name="Comma 2 3 56 6" xfId="16934"/>
    <cellStyle name="Comma 2 3 56 7" xfId="31749"/>
    <cellStyle name="Comma 2 3 57" xfId="1259"/>
    <cellStyle name="Comma 2 3 57 2" xfId="3718"/>
    <cellStyle name="Comma 2 3 57 2 2" xfId="10488"/>
    <cellStyle name="Comma 2 3 57 2 3" xfId="23178"/>
    <cellStyle name="Comma 2 3 57 2 4" xfId="17900"/>
    <cellStyle name="Comma 2 3 57 2 5" xfId="28513"/>
    <cellStyle name="Comma 2 3 57 3" xfId="5700"/>
    <cellStyle name="Comma 2 3 57 3 2" xfId="12470"/>
    <cellStyle name="Comma 2 3 57 3 3" xfId="25160"/>
    <cellStyle name="Comma 2 3 57 3 4" xfId="17862"/>
    <cellStyle name="Comma 2 3 57 3 5" xfId="29186"/>
    <cellStyle name="Comma 2 3 57 4" xfId="8029"/>
    <cellStyle name="Comma 2 3 57 5" xfId="20882"/>
    <cellStyle name="Comma 2 3 57 6" xfId="18743"/>
    <cellStyle name="Comma 2 3 57 7" xfId="26574"/>
    <cellStyle name="Comma 2 3 58" xfId="1282"/>
    <cellStyle name="Comma 2 3 58 2" xfId="3741"/>
    <cellStyle name="Comma 2 3 58 2 2" xfId="10511"/>
    <cellStyle name="Comma 2 3 58 2 3" xfId="23201"/>
    <cellStyle name="Comma 2 3 58 2 4" xfId="19632"/>
    <cellStyle name="Comma 2 3 58 2 5" xfId="31447"/>
    <cellStyle name="Comma 2 3 58 3" xfId="5720"/>
    <cellStyle name="Comma 2 3 58 3 2" xfId="12490"/>
    <cellStyle name="Comma 2 3 58 3 3" xfId="25180"/>
    <cellStyle name="Comma 2 3 58 3 4" xfId="19617"/>
    <cellStyle name="Comma 2 3 58 3 5" xfId="28227"/>
    <cellStyle name="Comma 2 3 58 4" xfId="8052"/>
    <cellStyle name="Comma 2 3 58 5" xfId="20902"/>
    <cellStyle name="Comma 2 3 58 6" xfId="14248"/>
    <cellStyle name="Comma 2 3 58 7" xfId="29609"/>
    <cellStyle name="Comma 2 3 59" xfId="1305"/>
    <cellStyle name="Comma 2 3 59 2" xfId="3763"/>
    <cellStyle name="Comma 2 3 59 2 2" xfId="10533"/>
    <cellStyle name="Comma 2 3 59 2 3" xfId="23223"/>
    <cellStyle name="Comma 2 3 59 2 4" xfId="17622"/>
    <cellStyle name="Comma 2 3 59 2 5" xfId="31571"/>
    <cellStyle name="Comma 2 3 59 3" xfId="5740"/>
    <cellStyle name="Comma 2 3 59 3 2" xfId="12510"/>
    <cellStyle name="Comma 2 3 59 3 3" xfId="25200"/>
    <cellStyle name="Comma 2 3 59 3 4" xfId="13669"/>
    <cellStyle name="Comma 2 3 59 3 5" xfId="27027"/>
    <cellStyle name="Comma 2 3 59 4" xfId="8075"/>
    <cellStyle name="Comma 2 3 59 5" xfId="20922"/>
    <cellStyle name="Comma 2 3 59 6" xfId="18027"/>
    <cellStyle name="Comma 2 3 59 7" xfId="28441"/>
    <cellStyle name="Comma 2 3 6" xfId="92"/>
    <cellStyle name="Comma 2 3 6 2" xfId="2576"/>
    <cellStyle name="Comma 2 3 6 2 2" xfId="9346"/>
    <cellStyle name="Comma 2 3 6 2 3" xfId="22036"/>
    <cellStyle name="Comma 2 3 6 2 4" xfId="14063"/>
    <cellStyle name="Comma 2 3 6 2 5" xfId="28968"/>
    <cellStyle name="Comma 2 3 6 3" xfId="3077"/>
    <cellStyle name="Comma 2 3 6 3 2" xfId="9847"/>
    <cellStyle name="Comma 2 3 6 3 3" xfId="22537"/>
    <cellStyle name="Comma 2 3 6 3 4" xfId="15503"/>
    <cellStyle name="Comma 2 3 6 3 5" xfId="30152"/>
    <cellStyle name="Comma 2 3 6 4" xfId="6862"/>
    <cellStyle name="Comma 2 3 6 5" xfId="14162"/>
    <cellStyle name="Comma 2 3 6 6" xfId="15015"/>
    <cellStyle name="Comma 2 3 6 7" xfId="29661"/>
    <cellStyle name="Comma 2 3 60" xfId="1328"/>
    <cellStyle name="Comma 2 3 60 2" xfId="3786"/>
    <cellStyle name="Comma 2 3 60 2 2" xfId="10556"/>
    <cellStyle name="Comma 2 3 60 2 3" xfId="23246"/>
    <cellStyle name="Comma 2 3 60 2 4" xfId="15947"/>
    <cellStyle name="Comma 2 3 60 2 5" xfId="26389"/>
    <cellStyle name="Comma 2 3 60 3" xfId="5760"/>
    <cellStyle name="Comma 2 3 60 3 2" xfId="12530"/>
    <cellStyle name="Comma 2 3 60 3 3" xfId="25220"/>
    <cellStyle name="Comma 2 3 60 3 4" xfId="17500"/>
    <cellStyle name="Comma 2 3 60 3 5" xfId="29105"/>
    <cellStyle name="Comma 2 3 60 4" xfId="8098"/>
    <cellStyle name="Comma 2 3 60 5" xfId="20942"/>
    <cellStyle name="Comma 2 3 60 6" xfId="19748"/>
    <cellStyle name="Comma 2 3 60 7" xfId="31381"/>
    <cellStyle name="Comma 2 3 61" xfId="1351"/>
    <cellStyle name="Comma 2 3 61 2" xfId="3808"/>
    <cellStyle name="Comma 2 3 61 2 2" xfId="10578"/>
    <cellStyle name="Comma 2 3 61 2 3" xfId="23268"/>
    <cellStyle name="Comma 2 3 61 2 4" xfId="17321"/>
    <cellStyle name="Comma 2 3 61 2 5" xfId="28574"/>
    <cellStyle name="Comma 2 3 61 3" xfId="5780"/>
    <cellStyle name="Comma 2 3 61 3 2" xfId="12550"/>
    <cellStyle name="Comma 2 3 61 3 3" xfId="25240"/>
    <cellStyle name="Comma 2 3 61 3 4" xfId="19263"/>
    <cellStyle name="Comma 2 3 61 3 5" xfId="28136"/>
    <cellStyle name="Comma 2 3 61 4" xfId="8121"/>
    <cellStyle name="Comma 2 3 61 5" xfId="20962"/>
    <cellStyle name="Comma 2 3 61 6" xfId="15350"/>
    <cellStyle name="Comma 2 3 61 7" xfId="27538"/>
    <cellStyle name="Comma 2 3 62" xfId="1374"/>
    <cellStyle name="Comma 2 3 62 2" xfId="3830"/>
    <cellStyle name="Comma 2 3 62 2 2" xfId="10600"/>
    <cellStyle name="Comma 2 3 62 2 3" xfId="23290"/>
    <cellStyle name="Comma 2 3 62 2 4" xfId="14812"/>
    <cellStyle name="Comma 2 3 62 2 5" xfId="29450"/>
    <cellStyle name="Comma 2 3 62 3" xfId="5800"/>
    <cellStyle name="Comma 2 3 62 3 2" xfId="12570"/>
    <cellStyle name="Comma 2 3 62 3 3" xfId="25260"/>
    <cellStyle name="Comma 2 3 62 3 4" xfId="14837"/>
    <cellStyle name="Comma 2 3 62 3 5" xfId="26925"/>
    <cellStyle name="Comma 2 3 62 4" xfId="8144"/>
    <cellStyle name="Comma 2 3 62 5" xfId="20982"/>
    <cellStyle name="Comma 2 3 62 6" xfId="17583"/>
    <cellStyle name="Comma 2 3 62 7" xfId="32233"/>
    <cellStyle name="Comma 2 3 63" xfId="1397"/>
    <cellStyle name="Comma 2 3 63 2" xfId="3853"/>
    <cellStyle name="Comma 2 3 63 2 2" xfId="10623"/>
    <cellStyle name="Comma 2 3 63 2 3" xfId="23313"/>
    <cellStyle name="Comma 2 3 63 2 4" xfId="16044"/>
    <cellStyle name="Comma 2 3 63 2 5" xfId="32381"/>
    <cellStyle name="Comma 2 3 63 3" xfId="5820"/>
    <cellStyle name="Comma 2 3 63 3 2" xfId="12590"/>
    <cellStyle name="Comma 2 3 63 3 3" xfId="25280"/>
    <cellStyle name="Comma 2 3 63 3 4" xfId="17082"/>
    <cellStyle name="Comma 2 3 63 3 5" xfId="29017"/>
    <cellStyle name="Comma 2 3 63 4" xfId="8167"/>
    <cellStyle name="Comma 2 3 63 5" xfId="21002"/>
    <cellStyle name="Comma 2 3 63 6" xfId="19344"/>
    <cellStyle name="Comma 2 3 63 7" xfId="27136"/>
    <cellStyle name="Comma 2 3 64" xfId="1420"/>
    <cellStyle name="Comma 2 3 64 2" xfId="3875"/>
    <cellStyle name="Comma 2 3 64 2 2" xfId="10645"/>
    <cellStyle name="Comma 2 3 64 2 3" xfId="23335"/>
    <cellStyle name="Comma 2 3 64 2 4" xfId="14504"/>
    <cellStyle name="Comma 2 3 64 2 5" xfId="27402"/>
    <cellStyle name="Comma 2 3 64 3" xfId="5840"/>
    <cellStyle name="Comma 2 3 64 3 2" xfId="12610"/>
    <cellStyle name="Comma 2 3 64 3 3" xfId="25300"/>
    <cellStyle name="Comma 2 3 64 3 4" xfId="17034"/>
    <cellStyle name="Comma 2 3 64 3 5" xfId="28036"/>
    <cellStyle name="Comma 2 3 64 4" xfId="8190"/>
    <cellStyle name="Comma 2 3 64 5" xfId="21022"/>
    <cellStyle name="Comma 2 3 64 6" xfId="14904"/>
    <cellStyle name="Comma 2 3 64 7" xfId="30105"/>
    <cellStyle name="Comma 2 3 65" xfId="1443"/>
    <cellStyle name="Comma 2 3 65 2" xfId="3897"/>
    <cellStyle name="Comma 2 3 65 2 2" xfId="10667"/>
    <cellStyle name="Comma 2 3 65 2 3" xfId="23357"/>
    <cellStyle name="Comma 2 3 65 2 4" xfId="18714"/>
    <cellStyle name="Comma 2 3 65 2 5" xfId="30638"/>
    <cellStyle name="Comma 2 3 65 3" xfId="5860"/>
    <cellStyle name="Comma 2 3 65 3 2" xfId="12630"/>
    <cellStyle name="Comma 2 3 65 3 3" xfId="25320"/>
    <cellStyle name="Comma 2 3 65 3 4" xfId="14477"/>
    <cellStyle name="Comma 2 3 65 3 5" xfId="26334"/>
    <cellStyle name="Comma 2 3 65 4" xfId="8213"/>
    <cellStyle name="Comma 2 3 65 5" xfId="21042"/>
    <cellStyle name="Comma 2 3 65 6" xfId="17128"/>
    <cellStyle name="Comma 2 3 65 7" xfId="28247"/>
    <cellStyle name="Comma 2 3 66" xfId="1466"/>
    <cellStyle name="Comma 2 3 66 2" xfId="3920"/>
    <cellStyle name="Comma 2 3 66 2 2" xfId="10690"/>
    <cellStyle name="Comma 2 3 66 2 3" xfId="23380"/>
    <cellStyle name="Comma 2 3 66 2 4" xfId="14217"/>
    <cellStyle name="Comma 2 3 66 2 5" xfId="31585"/>
    <cellStyle name="Comma 2 3 66 3" xfId="5880"/>
    <cellStyle name="Comma 2 3 66 3 2" xfId="12650"/>
    <cellStyle name="Comma 2 3 66 3 3" xfId="25340"/>
    <cellStyle name="Comma 2 3 66 3 4" xfId="16688"/>
    <cellStyle name="Comma 2 3 66 3 5" xfId="28936"/>
    <cellStyle name="Comma 2 3 66 4" xfId="8236"/>
    <cellStyle name="Comma 2 3 66 5" xfId="21062"/>
    <cellStyle name="Comma 2 3 66 6" xfId="18932"/>
    <cellStyle name="Comma 2 3 66 7" xfId="31173"/>
    <cellStyle name="Comma 2 3 67" xfId="1489"/>
    <cellStyle name="Comma 2 3 67 2" xfId="3943"/>
    <cellStyle name="Comma 2 3 67 2 2" xfId="10713"/>
    <cellStyle name="Comma 2 3 67 2 3" xfId="23403"/>
    <cellStyle name="Comma 2 3 67 2 4" xfId="16418"/>
    <cellStyle name="Comma 2 3 67 2 5" xfId="27277"/>
    <cellStyle name="Comma 2 3 67 3" xfId="5900"/>
    <cellStyle name="Comma 2 3 67 3 2" xfId="12670"/>
    <cellStyle name="Comma 2 3 67 3 3" xfId="25360"/>
    <cellStyle name="Comma 2 3 67 3 4" xfId="18559"/>
    <cellStyle name="Comma 2 3 67 3 5" xfId="27938"/>
    <cellStyle name="Comma 2 3 67 4" xfId="8259"/>
    <cellStyle name="Comma 2 3 67 5" xfId="21082"/>
    <cellStyle name="Comma 2 3 67 6" xfId="13671"/>
    <cellStyle name="Comma 2 3 67 7" xfId="29113"/>
    <cellStyle name="Comma 2 3 68" xfId="1512"/>
    <cellStyle name="Comma 2 3 68 2" xfId="3965"/>
    <cellStyle name="Comma 2 3 68 2 2" xfId="10735"/>
    <cellStyle name="Comma 2 3 68 2 3" xfId="23425"/>
    <cellStyle name="Comma 2 3 68 2 4" xfId="13908"/>
    <cellStyle name="Comma 2 3 68 2 5" xfId="28414"/>
    <cellStyle name="Comma 2 3 68 3" xfId="5920"/>
    <cellStyle name="Comma 2 3 68 3 2" xfId="12690"/>
    <cellStyle name="Comma 2 3 68 3 3" xfId="25380"/>
    <cellStyle name="Comma 2 3 68 3 4" xfId="14043"/>
    <cellStyle name="Comma 2 3 68 3 5" xfId="26735"/>
    <cellStyle name="Comma 2 3 68 4" xfId="8282"/>
    <cellStyle name="Comma 2 3 68 5" xfId="21102"/>
    <cellStyle name="Comma 2 3 68 6" xfId="16667"/>
    <cellStyle name="Comma 2 3 68 7" xfId="32041"/>
    <cellStyle name="Comma 2 3 69" xfId="1535"/>
    <cellStyle name="Comma 2 3 69 2" xfId="3987"/>
    <cellStyle name="Comma 2 3 69 2 2" xfId="10757"/>
    <cellStyle name="Comma 2 3 69 2 3" xfId="23447"/>
    <cellStyle name="Comma 2 3 69 2 4" xfId="20073"/>
    <cellStyle name="Comma 2 3 69 2 5" xfId="29298"/>
    <cellStyle name="Comma 2 3 69 3" xfId="5940"/>
    <cellStyle name="Comma 2 3 69 3 2" xfId="12710"/>
    <cellStyle name="Comma 2 3 69 3 3" xfId="25400"/>
    <cellStyle name="Comma 2 3 69 3 4" xfId="15955"/>
    <cellStyle name="Comma 2 3 69 3 5" xfId="28846"/>
    <cellStyle name="Comma 2 3 69 4" xfId="8305"/>
    <cellStyle name="Comma 2 3 69 5" xfId="21122"/>
    <cellStyle name="Comma 2 3 69 6" xfId="18524"/>
    <cellStyle name="Comma 2 3 69 7" xfId="26915"/>
    <cellStyle name="Comma 2 3 7" xfId="116"/>
    <cellStyle name="Comma 2 3 7 2" xfId="2600"/>
    <cellStyle name="Comma 2 3 7 2 2" xfId="9370"/>
    <cellStyle name="Comma 2 3 7 2 3" xfId="22060"/>
    <cellStyle name="Comma 2 3 7 2 4" xfId="13910"/>
    <cellStyle name="Comma 2 3 7 2 5" xfId="28942"/>
    <cellStyle name="Comma 2 3 7 3" xfId="4330"/>
    <cellStyle name="Comma 2 3 7 3 2" xfId="11100"/>
    <cellStyle name="Comma 2 3 7 3 3" xfId="23790"/>
    <cellStyle name="Comma 2 3 7 3 4" xfId="18126"/>
    <cellStyle name="Comma 2 3 7 3 5" xfId="31453"/>
    <cellStyle name="Comma 2 3 7 4" xfId="6886"/>
    <cellStyle name="Comma 2 3 7 5" xfId="15380"/>
    <cellStyle name="Comma 2 3 7 6" xfId="13673"/>
    <cellStyle name="Comma 2 3 7 7" xfId="29629"/>
    <cellStyle name="Comma 2 3 70" xfId="1558"/>
    <cellStyle name="Comma 2 3 70 2" xfId="4009"/>
    <cellStyle name="Comma 2 3 70 2 2" xfId="10779"/>
    <cellStyle name="Comma 2 3 70 2 3" xfId="23469"/>
    <cellStyle name="Comma 2 3 70 2 4" xfId="18106"/>
    <cellStyle name="Comma 2 3 70 2 5" xfId="27183"/>
    <cellStyle name="Comma 2 3 70 3" xfId="5960"/>
    <cellStyle name="Comma 2 3 70 3 2" xfId="12730"/>
    <cellStyle name="Comma 2 3 70 3 3" xfId="25420"/>
    <cellStyle name="Comma 2 3 70 3 4" xfId="17561"/>
    <cellStyle name="Comma 2 3 70 3 5" xfId="27841"/>
    <cellStyle name="Comma 2 3 70 4" xfId="8328"/>
    <cellStyle name="Comma 2 3 70 5" xfId="21142"/>
    <cellStyle name="Comma 2 3 70 6" xfId="14000"/>
    <cellStyle name="Comma 2 3 70 7" xfId="29908"/>
    <cellStyle name="Comma 2 3 71" xfId="1581"/>
    <cellStyle name="Comma 2 3 71 2" xfId="4031"/>
    <cellStyle name="Comma 2 3 71 2 2" xfId="10801"/>
    <cellStyle name="Comma 2 3 71 2 3" xfId="23491"/>
    <cellStyle name="Comma 2 3 71 2 4" xfId="15588"/>
    <cellStyle name="Comma 2 3 71 2 5" xfId="28322"/>
    <cellStyle name="Comma 2 3 71 3" xfId="5980"/>
    <cellStyle name="Comma 2 3 71 3 2" xfId="12750"/>
    <cellStyle name="Comma 2 3 71 3 3" xfId="25440"/>
    <cellStyle name="Comma 2 3 71 3 4" xfId="15815"/>
    <cellStyle name="Comma 2 3 71 3 5" xfId="26634"/>
    <cellStyle name="Comma 2 3 71 4" xfId="8351"/>
    <cellStyle name="Comma 2 3 71 5" xfId="21162"/>
    <cellStyle name="Comma 2 3 71 6" xfId="16200"/>
    <cellStyle name="Comma 2 3 71 7" xfId="28024"/>
    <cellStyle name="Comma 2 3 72" xfId="1661"/>
    <cellStyle name="Comma 2 3 72 2" xfId="4109"/>
    <cellStyle name="Comma 2 3 72 2 2" xfId="10879"/>
    <cellStyle name="Comma 2 3 72 2 3" xfId="23569"/>
    <cellStyle name="Comma 2 3 72 2 4" xfId="13731"/>
    <cellStyle name="Comma 2 3 72 2 5" xfId="28203"/>
    <cellStyle name="Comma 2 3 72 3" xfId="6049"/>
    <cellStyle name="Comma 2 3 72 3 2" xfId="12819"/>
    <cellStyle name="Comma 2 3 72 3 3" xfId="25509"/>
    <cellStyle name="Comma 2 3 72 3 4" xfId="15393"/>
    <cellStyle name="Comma 2 3 72 3 5" xfId="30647"/>
    <cellStyle name="Comma 2 3 72 4" xfId="8431"/>
    <cellStyle name="Comma 2 3 72 5" xfId="21231"/>
    <cellStyle name="Comma 2 3 72 6" xfId="19851"/>
    <cellStyle name="Comma 2 3 72 7" xfId="26723"/>
    <cellStyle name="Comma 2 3 73" xfId="1660"/>
    <cellStyle name="Comma 2 3 73 2" xfId="4108"/>
    <cellStyle name="Comma 2 3 73 2 2" xfId="10878"/>
    <cellStyle name="Comma 2 3 73 2 3" xfId="23568"/>
    <cellStyle name="Comma 2 3 73 2 4" xfId="17469"/>
    <cellStyle name="Comma 2 3 73 2 5" xfId="31170"/>
    <cellStyle name="Comma 2 3 73 3" xfId="6048"/>
    <cellStyle name="Comma 2 3 73 3 2" xfId="12818"/>
    <cellStyle name="Comma 2 3 73 3 3" xfId="25508"/>
    <cellStyle name="Comma 2 3 73 3 4" xfId="17781"/>
    <cellStyle name="Comma 2 3 73 3 5" xfId="28669"/>
    <cellStyle name="Comma 2 3 73 4" xfId="8430"/>
    <cellStyle name="Comma 2 3 73 5" xfId="21230"/>
    <cellStyle name="Comma 2 3 73 6" xfId="15626"/>
    <cellStyle name="Comma 2 3 73 7" xfId="29757"/>
    <cellStyle name="Comma 2 3 74" xfId="1676"/>
    <cellStyle name="Comma 2 3 74 2" xfId="4123"/>
    <cellStyle name="Comma 2 3 74 2 2" xfId="10893"/>
    <cellStyle name="Comma 2 3 74 2 3" xfId="23583"/>
    <cellStyle name="Comma 2 3 74 2 4" xfId="17386"/>
    <cellStyle name="Comma 2 3 74 2 5" xfId="27003"/>
    <cellStyle name="Comma 2 3 74 3" xfId="6063"/>
    <cellStyle name="Comma 2 3 74 3 2" xfId="12833"/>
    <cellStyle name="Comma 2 3 74 3 3" xfId="25523"/>
    <cellStyle name="Comma 2 3 74 3 4" xfId="17673"/>
    <cellStyle name="Comma 2 3 74 3 5" xfId="29544"/>
    <cellStyle name="Comma 2 3 74 4" xfId="8446"/>
    <cellStyle name="Comma 2 3 74 5" xfId="21245"/>
    <cellStyle name="Comma 2 3 74 6" xfId="19767"/>
    <cellStyle name="Comma 2 3 74 7" xfId="30828"/>
    <cellStyle name="Comma 2 3 75" xfId="1663"/>
    <cellStyle name="Comma 2 3 75 2" xfId="4111"/>
    <cellStyle name="Comma 2 3 75 2 2" xfId="10881"/>
    <cellStyle name="Comma 2 3 75 2 3" xfId="23571"/>
    <cellStyle name="Comma 2 3 75 2 4" xfId="16085"/>
    <cellStyle name="Comma 2 3 75 2 5" xfId="27025"/>
    <cellStyle name="Comma 2 3 75 3" xfId="6051"/>
    <cellStyle name="Comma 2 3 75 3 2" xfId="12821"/>
    <cellStyle name="Comma 2 3 75 3 3" xfId="25511"/>
    <cellStyle name="Comma 2 3 75 3 4" xfId="17759"/>
    <cellStyle name="Comma 2 3 75 3 5" xfId="29555"/>
    <cellStyle name="Comma 2 3 75 4" xfId="8433"/>
    <cellStyle name="Comma 2 3 75 5" xfId="21233"/>
    <cellStyle name="Comma 2 3 75 6" xfId="15606"/>
    <cellStyle name="Comma 2 3 75 7" xfId="28857"/>
    <cellStyle name="Comma 2 3 76" xfId="1693"/>
    <cellStyle name="Comma 2 3 76 2" xfId="4140"/>
    <cellStyle name="Comma 2 3 76 2 2" xfId="10910"/>
    <cellStyle name="Comma 2 3 76 2 3" xfId="23600"/>
    <cellStyle name="Comma 2 3 76 2 4" xfId="19183"/>
    <cellStyle name="Comma 2 3 76 2 5" xfId="29993"/>
    <cellStyle name="Comma 2 3 76 3" xfId="6078"/>
    <cellStyle name="Comma 2 3 76 3 2" xfId="12848"/>
    <cellStyle name="Comma 2 3 76 3 3" xfId="25538"/>
    <cellStyle name="Comma 2 3 76 3 4" xfId="17585"/>
    <cellStyle name="Comma 2 3 76 3 5" xfId="28626"/>
    <cellStyle name="Comma 2 3 76 4" xfId="8463"/>
    <cellStyle name="Comma 2 3 76 5" xfId="21260"/>
    <cellStyle name="Comma 2 3 76 6" xfId="15431"/>
    <cellStyle name="Comma 2 3 76 7" xfId="28812"/>
    <cellStyle name="Comma 2 3 77" xfId="1716"/>
    <cellStyle name="Comma 2 3 77 2" xfId="4162"/>
    <cellStyle name="Comma 2 3 77 2 2" xfId="10932"/>
    <cellStyle name="Comma 2 3 77 2 3" xfId="23622"/>
    <cellStyle name="Comma 2 3 77 2 4" xfId="17122"/>
    <cellStyle name="Comma 2 3 77 2 5" xfId="31085"/>
    <cellStyle name="Comma 2 3 77 3" xfId="6098"/>
    <cellStyle name="Comma 2 3 77 3 2" xfId="12868"/>
    <cellStyle name="Comma 2 3 77 3 3" xfId="25558"/>
    <cellStyle name="Comma 2 3 77 3 4" xfId="16232"/>
    <cellStyle name="Comma 2 3 77 3 5" xfId="27593"/>
    <cellStyle name="Comma 2 3 77 4" xfId="8486"/>
    <cellStyle name="Comma 2 3 77 5" xfId="21280"/>
    <cellStyle name="Comma 2 3 77 6" xfId="17669"/>
    <cellStyle name="Comma 2 3 77 7" xfId="31746"/>
    <cellStyle name="Comma 2 3 78" xfId="1739"/>
    <cellStyle name="Comma 2 3 78 2" xfId="4183"/>
    <cellStyle name="Comma 2 3 78 2 2" xfId="10953"/>
    <cellStyle name="Comma 2 3 78 2 3" xfId="23643"/>
    <cellStyle name="Comma 2 3 78 2 4" xfId="16989"/>
    <cellStyle name="Comma 2 3 78 2 5" xfId="26904"/>
    <cellStyle name="Comma 2 3 78 3" xfId="6118"/>
    <cellStyle name="Comma 2 3 78 3 2" xfId="12888"/>
    <cellStyle name="Comma 2 3 78 3 3" xfId="25578"/>
    <cellStyle name="Comma 2 3 78 3 4" xfId="14949"/>
    <cellStyle name="Comma 2 3 78 3 5" xfId="27955"/>
    <cellStyle name="Comma 2 3 78 4" xfId="8509"/>
    <cellStyle name="Comma 2 3 78 5" xfId="21300"/>
    <cellStyle name="Comma 2 3 78 6" xfId="19399"/>
    <cellStyle name="Comma 2 3 78 7" xfId="26589"/>
    <cellStyle name="Comma 2 3 79" xfId="1762"/>
    <cellStyle name="Comma 2 3 79 2" xfId="4206"/>
    <cellStyle name="Comma 2 3 79 2 2" xfId="10976"/>
    <cellStyle name="Comma 2 3 79 2 3" xfId="23666"/>
    <cellStyle name="Comma 2 3 79 2 4" xfId="18791"/>
    <cellStyle name="Comma 2 3 79 2 5" xfId="29897"/>
    <cellStyle name="Comma 2 3 79 3" xfId="6138"/>
    <cellStyle name="Comma 2 3 79 3 2" xfId="12908"/>
    <cellStyle name="Comma 2 3 79 3 3" xfId="25598"/>
    <cellStyle name="Comma 2 3 79 3 4" xfId="17194"/>
    <cellStyle name="Comma 2 3 79 3 5" xfId="29468"/>
    <cellStyle name="Comma 2 3 79 4" xfId="8532"/>
    <cellStyle name="Comma 2 3 79 5" xfId="21320"/>
    <cellStyle name="Comma 2 3 79 6" xfId="14990"/>
    <cellStyle name="Comma 2 3 79 7" xfId="27716"/>
    <cellStyle name="Comma 2 3 8" xfId="139"/>
    <cellStyle name="Comma 2 3 8 2" xfId="2623"/>
    <cellStyle name="Comma 2 3 8 2 2" xfId="9393"/>
    <cellStyle name="Comma 2 3 8 2 3" xfId="22083"/>
    <cellStyle name="Comma 2 3 8 2 4" xfId="18249"/>
    <cellStyle name="Comma 2 3 8 2 5" xfId="31872"/>
    <cellStyle name="Comma 2 3 8 3" xfId="3866"/>
    <cellStyle name="Comma 2 3 8 3 2" xfId="10636"/>
    <cellStyle name="Comma 2 3 8 3 3" xfId="23326"/>
    <cellStyle name="Comma 2 3 8 3 4" xfId="14570"/>
    <cellStyle name="Comma 2 3 8 3 5" xfId="29395"/>
    <cellStyle name="Comma 2 3 8 4" xfId="6909"/>
    <cellStyle name="Comma 2 3 8 5" xfId="14936"/>
    <cellStyle name="Comma 2 3 8 6" xfId="17063"/>
    <cellStyle name="Comma 2 3 8 7" xfId="27713"/>
    <cellStyle name="Comma 2 3 80" xfId="1785"/>
    <cellStyle name="Comma 2 3 80 2" xfId="4228"/>
    <cellStyle name="Comma 2 3 80 2 2" xfId="10998"/>
    <cellStyle name="Comma 2 3 80 2 3" xfId="23688"/>
    <cellStyle name="Comma 2 3 80 2 4" xfId="16684"/>
    <cellStyle name="Comma 2 3 80 2 5" xfId="30978"/>
    <cellStyle name="Comma 2 3 80 3" xfId="6158"/>
    <cellStyle name="Comma 2 3 80 3 2" xfId="12928"/>
    <cellStyle name="Comma 2 3 80 3 3" xfId="25618"/>
    <cellStyle name="Comma 2 3 80 3 4" xfId="18950"/>
    <cellStyle name="Comma 2 3 80 3 5" xfId="28536"/>
    <cellStyle name="Comma 2 3 80 4" xfId="8555"/>
    <cellStyle name="Comma 2 3 80 5" xfId="21340"/>
    <cellStyle name="Comma 2 3 80 6" xfId="17212"/>
    <cellStyle name="Comma 2 3 80 7" xfId="30635"/>
    <cellStyle name="Comma 2 3 81" xfId="1808"/>
    <cellStyle name="Comma 2 3 81 2" xfId="4250"/>
    <cellStyle name="Comma 2 3 81 2 2" xfId="11020"/>
    <cellStyle name="Comma 2 3 81 2 3" xfId="23710"/>
    <cellStyle name="Comma 2 3 81 2 4" xfId="14171"/>
    <cellStyle name="Comma 2 3 81 2 5" xfId="31902"/>
    <cellStyle name="Comma 2 3 81 3" xfId="6178"/>
    <cellStyle name="Comma 2 3 81 3 2" xfId="12948"/>
    <cellStyle name="Comma 2 3 81 3 3" xfId="25638"/>
    <cellStyle name="Comma 2 3 81 3 4" xfId="14555"/>
    <cellStyle name="Comma 2 3 81 3 5" xfId="26390"/>
    <cellStyle name="Comma 2 3 81 4" xfId="8578"/>
    <cellStyle name="Comma 2 3 81 5" xfId="21360"/>
    <cellStyle name="Comma 2 3 81 6" xfId="18988"/>
    <cellStyle name="Comma 2 3 81 7" xfId="29376"/>
    <cellStyle name="Comma 2 3 82" xfId="1831"/>
    <cellStyle name="Comma 2 3 82 2" xfId="4273"/>
    <cellStyle name="Comma 2 3 82 2 2" xfId="11043"/>
    <cellStyle name="Comma 2 3 82 2 3" xfId="23733"/>
    <cellStyle name="Comma 2 3 82 2 4" xfId="16373"/>
    <cellStyle name="Comma 2 3 82 2 5" xfId="26768"/>
    <cellStyle name="Comma 2 3 82 3" xfId="6198"/>
    <cellStyle name="Comma 2 3 82 3 2" xfId="12968"/>
    <cellStyle name="Comma 2 3 82 3 3" xfId="25658"/>
    <cellStyle name="Comma 2 3 82 3 4" xfId="16008"/>
    <cellStyle name="Comma 2 3 82 3 5" xfId="29380"/>
    <cellStyle name="Comma 2 3 82 4" xfId="8601"/>
    <cellStyle name="Comma 2 3 82 5" xfId="21380"/>
    <cellStyle name="Comma 2 3 82 6" xfId="14529"/>
    <cellStyle name="Comma 2 3 82 7" xfId="32310"/>
    <cellStyle name="Comma 2 3 83" xfId="1854"/>
    <cellStyle name="Comma 2 3 83 2" xfId="4295"/>
    <cellStyle name="Comma 2 3 83 2 2" xfId="11065"/>
    <cellStyle name="Comma 2 3 83 2 3" xfId="23755"/>
    <cellStyle name="Comma 2 3 83 2 4" xfId="13863"/>
    <cellStyle name="Comma 2 3 83 2 5" xfId="27903"/>
    <cellStyle name="Comma 2 3 83 3" xfId="6218"/>
    <cellStyle name="Comma 2 3 83 3 2" xfId="12988"/>
    <cellStyle name="Comma 2 3 83 3 3" xfId="25678"/>
    <cellStyle name="Comma 2 3 83 3 4" xfId="18642"/>
    <cellStyle name="Comma 2 3 83 3 5" xfId="28436"/>
    <cellStyle name="Comma 2 3 83 4" xfId="8624"/>
    <cellStyle name="Comma 2 3 83 5" xfId="21400"/>
    <cellStyle name="Comma 2 3 83 6" xfId="16751"/>
    <cellStyle name="Comma 2 3 83 7" xfId="27222"/>
    <cellStyle name="Comma 2 3 84" xfId="1877"/>
    <cellStyle name="Comma 2 3 84 2" xfId="4317"/>
    <cellStyle name="Comma 2 3 84 2 2" xfId="11087"/>
    <cellStyle name="Comma 2 3 84 2 3" xfId="23777"/>
    <cellStyle name="Comma 2 3 84 2 4" xfId="20039"/>
    <cellStyle name="Comma 2 3 84 2 5" xfId="28831"/>
    <cellStyle name="Comma 2 3 84 3" xfId="6238"/>
    <cellStyle name="Comma 2 3 84 3 2" xfId="13008"/>
    <cellStyle name="Comma 2 3 84 3 3" xfId="25698"/>
    <cellStyle name="Comma 2 3 84 3 4" xfId="14159"/>
    <cellStyle name="Comma 2 3 84 3 5" xfId="27235"/>
    <cellStyle name="Comma 2 3 84 4" xfId="8647"/>
    <cellStyle name="Comma 2 3 84 5" xfId="21420"/>
    <cellStyle name="Comma 2 3 84 6" xfId="17681"/>
    <cellStyle name="Comma 2 3 84 7" xfId="30182"/>
    <cellStyle name="Comma 2 3 85" xfId="1900"/>
    <cellStyle name="Comma 2 3 85 2" xfId="4339"/>
    <cellStyle name="Comma 2 3 85 2 2" xfId="11109"/>
    <cellStyle name="Comma 2 3 85 2 3" xfId="23799"/>
    <cellStyle name="Comma 2 3 85 2 4" xfId="18082"/>
    <cellStyle name="Comma 2 3 85 2 5" xfId="27292"/>
    <cellStyle name="Comma 2 3 85 3" xfId="6258"/>
    <cellStyle name="Comma 2 3 85 3 2" xfId="13028"/>
    <cellStyle name="Comma 2 3 85 3 3" xfId="25718"/>
    <cellStyle name="Comma 2 3 85 3 4" xfId="16382"/>
    <cellStyle name="Comma 2 3 85 3 5" xfId="29302"/>
    <cellStyle name="Comma 2 3 85 4" xfId="8670"/>
    <cellStyle name="Comma 2 3 85 5" xfId="21440"/>
    <cellStyle name="Comma 2 3 85 6" xfId="14065"/>
    <cellStyle name="Comma 2 3 85 7" xfId="28333"/>
    <cellStyle name="Comma 2 3 86" xfId="1922"/>
    <cellStyle name="Comma 2 3 86 2" xfId="4360"/>
    <cellStyle name="Comma 2 3 86 2 2" xfId="11130"/>
    <cellStyle name="Comma 2 3 86 2 3" xfId="23820"/>
    <cellStyle name="Comma 2 3 86 2 4" xfId="17938"/>
    <cellStyle name="Comma 2 3 86 2 5" xfId="31402"/>
    <cellStyle name="Comma 2 3 86 3" xfId="6277"/>
    <cellStyle name="Comma 2 3 86 3 2" xfId="13047"/>
    <cellStyle name="Comma 2 3 86 3 3" xfId="25737"/>
    <cellStyle name="Comma 2 3 86 3 4" xfId="8695"/>
    <cellStyle name="Comma 2 3 86 3 5" xfId="31327"/>
    <cellStyle name="Comma 2 3 86 4" xfId="8692"/>
    <cellStyle name="Comma 2 3 86 5" xfId="21459"/>
    <cellStyle name="Comma 2 3 86 6" xfId="18325"/>
    <cellStyle name="Comma 2 3 86 7" xfId="29220"/>
    <cellStyle name="Comma 2 3 87" xfId="1944"/>
    <cellStyle name="Comma 2 3 87 2" xfId="4381"/>
    <cellStyle name="Comma 2 3 87 2 2" xfId="11151"/>
    <cellStyle name="Comma 2 3 87 2 3" xfId="23841"/>
    <cellStyle name="Comma 2 3 87 2 4" xfId="17814"/>
    <cellStyle name="Comma 2 3 87 2 5" xfId="27227"/>
    <cellStyle name="Comma 2 3 87 3" xfId="6296"/>
    <cellStyle name="Comma 2 3 87 3 2" xfId="13066"/>
    <cellStyle name="Comma 2 3 87 3 3" xfId="25756"/>
    <cellStyle name="Comma 2 3 87 3 4" xfId="8308"/>
    <cellStyle name="Comma 2 3 87 3 5" xfId="28328"/>
    <cellStyle name="Comma 2 3 87 4" xfId="8714"/>
    <cellStyle name="Comma 2 3 87 5" xfId="21478"/>
    <cellStyle name="Comma 2 3 87 6" xfId="18265"/>
    <cellStyle name="Comma 2 3 87 7" xfId="27093"/>
    <cellStyle name="Comma 2 3 88" xfId="1967"/>
    <cellStyle name="Comma 2 3 88 2" xfId="4404"/>
    <cellStyle name="Comma 2 3 88 2 2" xfId="11174"/>
    <cellStyle name="Comma 2 3 88 2 3" xfId="23864"/>
    <cellStyle name="Comma 2 3 88 2 4" xfId="19553"/>
    <cellStyle name="Comma 2 3 88 2 5" xfId="30186"/>
    <cellStyle name="Comma 2 3 88 3" xfId="6316"/>
    <cellStyle name="Comma 2 3 88 3 2" xfId="13086"/>
    <cellStyle name="Comma 2 3 88 3 3" xfId="25776"/>
    <cellStyle name="Comma 2 3 88 3 4" xfId="6865"/>
    <cellStyle name="Comma 2 3 88 3 5" xfId="27130"/>
    <cellStyle name="Comma 2 3 88 4" xfId="8737"/>
    <cellStyle name="Comma 2 3 88 5" xfId="21498"/>
    <cellStyle name="Comma 2 3 88 6" xfId="19954"/>
    <cellStyle name="Comma 2 3 88 7" xfId="30055"/>
    <cellStyle name="Comma 2 3 89" xfId="1990"/>
    <cellStyle name="Comma 2 3 89 2" xfId="4426"/>
    <cellStyle name="Comma 2 3 89 2 2" xfId="11196"/>
    <cellStyle name="Comma 2 3 89 2 3" xfId="23886"/>
    <cellStyle name="Comma 2 3 89 2 4" xfId="17512"/>
    <cellStyle name="Comma 2 3 89 2 5" xfId="31309"/>
    <cellStyle name="Comma 2 3 89 3" xfId="6336"/>
    <cellStyle name="Comma 2 3 89 3 2" xfId="13106"/>
    <cellStyle name="Comma 2 3 89 3 3" xfId="25796"/>
    <cellStyle name="Comma 2 3 89 3 4" xfId="7428"/>
    <cellStyle name="Comma 2 3 89 3 5" xfId="29198"/>
    <cellStyle name="Comma 2 3 89 4" xfId="8760"/>
    <cellStyle name="Comma 2 3 89 5" xfId="21518"/>
    <cellStyle name="Comma 2 3 89 6" xfId="13806"/>
    <cellStyle name="Comma 2 3 89 7" xfId="28193"/>
    <cellStyle name="Comma 2 3 9" xfId="162"/>
    <cellStyle name="Comma 2 3 9 2" xfId="2646"/>
    <cellStyle name="Comma 2 3 9 2 2" xfId="9416"/>
    <cellStyle name="Comma 2 3 9 2 3" xfId="22106"/>
    <cellStyle name="Comma 2 3 9 2 4" xfId="19933"/>
    <cellStyle name="Comma 2 3 9 2 5" xfId="26732"/>
    <cellStyle name="Comma 2 3 9 3" xfId="3397"/>
    <cellStyle name="Comma 2 3 9 3 2" xfId="10167"/>
    <cellStyle name="Comma 2 3 9 3 3" xfId="22857"/>
    <cellStyle name="Comma 2 3 9 3 4" xfId="16127"/>
    <cellStyle name="Comma 2 3 9 3 5" xfId="31773"/>
    <cellStyle name="Comma 2 3 9 4" xfId="6932"/>
    <cellStyle name="Comma 2 3 9 5" xfId="14474"/>
    <cellStyle name="Comma 2 3 9 6" xfId="18875"/>
    <cellStyle name="Comma 2 3 9 7" xfId="30632"/>
    <cellStyle name="Comma 2 3 90" xfId="2012"/>
    <cellStyle name="Comma 2 3 90 2" xfId="4448"/>
    <cellStyle name="Comma 2 3 90 2 2" xfId="11218"/>
    <cellStyle name="Comma 2 3 90 2 3" xfId="23908"/>
    <cellStyle name="Comma 2 3 90 2 4" xfId="15006"/>
    <cellStyle name="Comma 2 3 90 2 5" xfId="32192"/>
    <cellStyle name="Comma 2 3 90 3" xfId="6355"/>
    <cellStyle name="Comma 2 3 90 3 2" xfId="13125"/>
    <cellStyle name="Comma 2 3 90 3 3" xfId="25815"/>
    <cellStyle name="Comma 2 3 90 3 4" xfId="7039"/>
    <cellStyle name="Comma 2 3 90 3 5" xfId="31208"/>
    <cellStyle name="Comma 2 3 90 4" xfId="8782"/>
    <cellStyle name="Comma 2 3 90 5" xfId="21537"/>
    <cellStyle name="Comma 2 3 90 6" xfId="20027"/>
    <cellStyle name="Comma 2 3 90 7" xfId="29103"/>
    <cellStyle name="Comma 2 3 91" xfId="2035"/>
    <cellStyle name="Comma 2 3 91 2" xfId="4470"/>
    <cellStyle name="Comma 2 3 91 2 2" xfId="11240"/>
    <cellStyle name="Comma 2 3 91 2 3" xfId="23930"/>
    <cellStyle name="Comma 2 3 91 2 4" xfId="19162"/>
    <cellStyle name="Comma 2 3 91 2 5" xfId="30100"/>
    <cellStyle name="Comma 2 3 91 3" xfId="6375"/>
    <cellStyle name="Comma 2 3 91 3 2" xfId="13145"/>
    <cellStyle name="Comma 2 3 91 3 3" xfId="25835"/>
    <cellStyle name="Comma 2 3 91 3 4" xfId="13960"/>
    <cellStyle name="Comma 2 3 91 3 5" xfId="26349"/>
    <cellStyle name="Comma 2 3 91 4" xfId="8805"/>
    <cellStyle name="Comma 2 3 91 5" xfId="21557"/>
    <cellStyle name="Comma 2 3 91 6" xfId="13742"/>
    <cellStyle name="Comma 2 3 91 7" xfId="32031"/>
    <cellStyle name="Comma 2 3 92" xfId="2058"/>
    <cellStyle name="Comma 2 3 92 2" xfId="4492"/>
    <cellStyle name="Comma 2 3 92 2 2" xfId="11262"/>
    <cellStyle name="Comma 2 3 92 2 3" xfId="23952"/>
    <cellStyle name="Comma 2 3 92 2 4" xfId="17077"/>
    <cellStyle name="Comma 2 3 92 2 5" xfId="31209"/>
    <cellStyle name="Comma 2 3 92 3" xfId="6395"/>
    <cellStyle name="Comma 2 3 92 3 2" xfId="13165"/>
    <cellStyle name="Comma 2 3 92 3 3" xfId="25855"/>
    <cellStyle name="Comma 2 3 92 3 4" xfId="15952"/>
    <cellStyle name="Comma 2 3 92 3 5" xfId="32081"/>
    <cellStyle name="Comma 2 3 92 4" xfId="8828"/>
    <cellStyle name="Comma 2 3 92 5" xfId="21577"/>
    <cellStyle name="Comma 2 3 92 6" xfId="16159"/>
    <cellStyle name="Comma 2 3 92 7" xfId="26905"/>
    <cellStyle name="Comma 2 3 93" xfId="2081"/>
    <cellStyle name="Comma 2 3 93 2" xfId="4513"/>
    <cellStyle name="Comma 2 3 93 2 2" xfId="11283"/>
    <cellStyle name="Comma 2 3 93 2 3" xfId="23973"/>
    <cellStyle name="Comma 2 3 93 2 4" xfId="16944"/>
    <cellStyle name="Comma 2 3 93 2 5" xfId="27031"/>
    <cellStyle name="Comma 2 3 93 3" xfId="6415"/>
    <cellStyle name="Comma 2 3 93 3 2" xfId="13185"/>
    <cellStyle name="Comma 2 3 93 3 3" xfId="25875"/>
    <cellStyle name="Comma 2 3 93 3 4" xfId="19993"/>
    <cellStyle name="Comma 2 3 93 3 5" xfId="31112"/>
    <cellStyle name="Comma 2 3 93 4" xfId="8851"/>
    <cellStyle name="Comma 2 3 93 5" xfId="21597"/>
    <cellStyle name="Comma 2 3 93 6" xfId="20011"/>
    <cellStyle name="Comma 2 3 93 7" xfId="29898"/>
    <cellStyle name="Comma 2 3 94" xfId="2104"/>
    <cellStyle name="Comma 2 3 94 2" xfId="4535"/>
    <cellStyle name="Comma 2 3 94 2 2" xfId="11305"/>
    <cellStyle name="Comma 2 3 94 2 3" xfId="23995"/>
    <cellStyle name="Comma 2 3 94 2 4" xfId="14437"/>
    <cellStyle name="Comma 2 3 94 2 5" xfId="28178"/>
    <cellStyle name="Comma 2 3 94 3" xfId="6435"/>
    <cellStyle name="Comma 2 3 94 3 2" xfId="13205"/>
    <cellStyle name="Comma 2 3 94 3 3" xfId="25895"/>
    <cellStyle name="Comma 2 3 94 3 4" xfId="18076"/>
    <cellStyle name="Comma 2 3 94 3 5" xfId="29951"/>
    <cellStyle name="Comma 2 3 94 4" xfId="8874"/>
    <cellStyle name="Comma 2 3 94 5" xfId="21617"/>
    <cellStyle name="Comma 2 3 94 6" xfId="14077"/>
    <cellStyle name="Comma 2 3 94 7" xfId="28011"/>
    <cellStyle name="Comma 2 3 95" xfId="2194"/>
    <cellStyle name="Comma 2 3 95 2" xfId="4619"/>
    <cellStyle name="Comma 2 3 95 2 2" xfId="11389"/>
    <cellStyle name="Comma 2 3 95 2 3" xfId="24079"/>
    <cellStyle name="Comma 2 3 95 2 4" xfId="13862"/>
    <cellStyle name="Comma 2 3 95 2 5" xfId="28041"/>
    <cellStyle name="Comma 2 3 95 3" xfId="6515"/>
    <cellStyle name="Comma 2 3 95 3 2" xfId="13285"/>
    <cellStyle name="Comma 2 3 95 3 3" xfId="25975"/>
    <cellStyle name="Comma 2 3 95 3 4" xfId="19447"/>
    <cellStyle name="Comma 2 3 95 3 5" xfId="31914"/>
    <cellStyle name="Comma 2 3 95 4" xfId="8964"/>
    <cellStyle name="Comma 2 3 95 5" xfId="21697"/>
    <cellStyle name="Comma 2 3 95 6" xfId="17608"/>
    <cellStyle name="Comma 2 3 95 7" xfId="27861"/>
    <cellStyle name="Comma 2 3 96" xfId="2219"/>
    <cellStyle name="Comma 2 3 96 2" xfId="4642"/>
    <cellStyle name="Comma 2 3 96 2 2" xfId="11412"/>
    <cellStyle name="Comma 2 3 96 2 3" xfId="24102"/>
    <cellStyle name="Comma 2 3 96 2 4" xfId="18208"/>
    <cellStyle name="Comma 2 3 96 2 5" xfId="30962"/>
    <cellStyle name="Comma 2 3 96 3" xfId="6536"/>
    <cellStyle name="Comma 2 3 96 3 2" xfId="13306"/>
    <cellStyle name="Comma 2 3 96 3 3" xfId="25996"/>
    <cellStyle name="Comma 2 3 96 3 4" xfId="19331"/>
    <cellStyle name="Comma 2 3 96 3 5" xfId="27951"/>
    <cellStyle name="Comma 2 3 96 4" xfId="8989"/>
    <cellStyle name="Comma 2 3 96 5" xfId="21718"/>
    <cellStyle name="Comma 2 3 96 6" xfId="15078"/>
    <cellStyle name="Comma 2 3 96 7" xfId="29692"/>
    <cellStyle name="Comma 2 3 97" xfId="2220"/>
    <cellStyle name="Comma 2 3 97 2" xfId="4643"/>
    <cellStyle name="Comma 2 3 97 2 2" xfId="11413"/>
    <cellStyle name="Comma 2 3 97 2 3" xfId="24103"/>
    <cellStyle name="Comma 2 3 97 2 4" xfId="15818"/>
    <cellStyle name="Comma 2 3 97 2 5" xfId="27994"/>
    <cellStyle name="Comma 2 3 97 3" xfId="6537"/>
    <cellStyle name="Comma 2 3 97 3 2" xfId="13307"/>
    <cellStyle name="Comma 2 3 97 3 3" xfId="25997"/>
    <cellStyle name="Comma 2 3 97 3 4" xfId="17420"/>
    <cellStyle name="Comma 2 3 97 3 5" xfId="29806"/>
    <cellStyle name="Comma 2 3 97 4" xfId="8990"/>
    <cellStyle name="Comma 2 3 97 5" xfId="21719"/>
    <cellStyle name="Comma 2 3 97 6" xfId="19346"/>
    <cellStyle name="Comma 2 3 97 7" xfId="26655"/>
    <cellStyle name="Comma 2 3 98" xfId="2209"/>
    <cellStyle name="Comma 2 3 98 2" xfId="4634"/>
    <cellStyle name="Comma 2 3 98 2 2" xfId="11404"/>
    <cellStyle name="Comma 2 3 98 2 3" xfId="24094"/>
    <cellStyle name="Comma 2 3 98 2 4" xfId="15878"/>
    <cellStyle name="Comma 2 3 98 2 5" xfId="31933"/>
    <cellStyle name="Comma 2 3 98 3" xfId="6528"/>
    <cellStyle name="Comma 2 3 98 3 2" xfId="13298"/>
    <cellStyle name="Comma 2 3 98 3 3" xfId="25988"/>
    <cellStyle name="Comma 2 3 98 3 4" xfId="16097"/>
    <cellStyle name="Comma 2 3 98 3 5" xfId="28928"/>
    <cellStyle name="Comma 2 3 98 4" xfId="8979"/>
    <cellStyle name="Comma 2 3 98 5" xfId="21710"/>
    <cellStyle name="Comma 2 3 98 6" xfId="17523"/>
    <cellStyle name="Comma 2 3 98 7" xfId="31786"/>
    <cellStyle name="Comma 2 3 99" xfId="2217"/>
    <cellStyle name="Comma 2 3 99 2" xfId="4640"/>
    <cellStyle name="Comma 2 3 99 2 2" xfId="11410"/>
    <cellStyle name="Comma 2 3 99 2 3" xfId="24100"/>
    <cellStyle name="Comma 2 3 99 2 4" xfId="15840"/>
    <cellStyle name="Comma 2 3 99 2 5" xfId="31923"/>
    <cellStyle name="Comma 2 3 99 3" xfId="6534"/>
    <cellStyle name="Comma 2 3 99 3 2" xfId="13304"/>
    <cellStyle name="Comma 2 3 99 3 3" xfId="25994"/>
    <cellStyle name="Comma 2 3 99 3 4" xfId="17441"/>
    <cellStyle name="Comma 2 3 99 3 5" xfId="28919"/>
    <cellStyle name="Comma 2 3 99 4" xfId="8987"/>
    <cellStyle name="Comma 2 3 99 5" xfId="21716"/>
    <cellStyle name="Comma 2 3 99 6" xfId="19365"/>
    <cellStyle name="Comma 2 3 99 7" xfId="30795"/>
    <cellStyle name="Comma 2 4" xfId="2500"/>
    <cellStyle name="Comma 2 4 2" xfId="9270"/>
    <cellStyle name="Comma 2 4 3" xfId="21961"/>
    <cellStyle name="Comma 2 4 4" xfId="16948"/>
    <cellStyle name="Comma 2 4 5" xfId="28142"/>
    <cellStyle name="Comma 2 5" xfId="2532"/>
    <cellStyle name="Comma 2 5 2" xfId="9302"/>
    <cellStyle name="Comma 2 5 3" xfId="21992"/>
    <cellStyle name="Comma 2 5 4" xfId="18716"/>
    <cellStyle name="Comma 2 5 5" xfId="26912"/>
    <cellStyle name="Comma 2 6" xfId="6780"/>
    <cellStyle name="Comma 2 7" xfId="13581"/>
    <cellStyle name="Comma 2 8" xfId="19787"/>
    <cellStyle name="Comma 2 9" xfId="30901"/>
    <cellStyle name="Comma 3" xfId="10"/>
    <cellStyle name="Comma 3 2" xfId="21"/>
    <cellStyle name="Comma 3 2 2" xfId="22"/>
    <cellStyle name="Comma 3 3" xfId="23"/>
    <cellStyle name="Comma 3 4" xfId="17"/>
    <cellStyle name="Comma 4" xfId="24"/>
    <cellStyle name="Comma 5" xfId="25"/>
    <cellStyle name="Comma 6" xfId="26"/>
    <cellStyle name="Comma 6 10" xfId="262"/>
    <cellStyle name="Comma 6 10 2" xfId="2740"/>
    <cellStyle name="Comma 6 10 2 2" xfId="9510"/>
    <cellStyle name="Comma 6 10 2 3" xfId="22200"/>
    <cellStyle name="Comma 6 10 2 4" xfId="15887"/>
    <cellStyle name="Comma 6 10 2 5" xfId="27749"/>
    <cellStyle name="Comma 6 10 3" xfId="4298"/>
    <cellStyle name="Comma 6 10 3 2" xfId="11068"/>
    <cellStyle name="Comma 6 10 3 3" xfId="23758"/>
    <cellStyle name="Comma 6 10 3 4" xfId="13841"/>
    <cellStyle name="Comma 6 10 3 5" xfId="31837"/>
    <cellStyle name="Comma 6 10 4" xfId="7032"/>
    <cellStyle name="Comma 6 10 5" xfId="15351"/>
    <cellStyle name="Comma 6 10 6" xfId="17996"/>
    <cellStyle name="Comma 6 10 7" xfId="32260"/>
    <cellStyle name="Comma 6 100" xfId="2277"/>
    <cellStyle name="Comma 6 100 2" xfId="4698"/>
    <cellStyle name="Comma 6 100 2 2" xfId="11468"/>
    <cellStyle name="Comma 6 100 2 3" xfId="24158"/>
    <cellStyle name="Comma 6 100 2 4" xfId="19846"/>
    <cellStyle name="Comma 6 100 2 5" xfId="29740"/>
    <cellStyle name="Comma 6 100 3" xfId="6582"/>
    <cellStyle name="Comma 6 100 3 2" xfId="13352"/>
    <cellStyle name="Comma 6 100 3 3" xfId="26042"/>
    <cellStyle name="Comma 6 100 3 4" xfId="17114"/>
    <cellStyle name="Comma 6 100 3 5" xfId="28849"/>
    <cellStyle name="Comma 6 100 4" xfId="9047"/>
    <cellStyle name="Comma 6 100 5" xfId="21764"/>
    <cellStyle name="Comma 6 100 6" xfId="19014"/>
    <cellStyle name="Comma 6 100 7" xfId="31445"/>
    <cellStyle name="Comma 6 101" xfId="2299"/>
    <cellStyle name="Comma 6 101 2" xfId="4720"/>
    <cellStyle name="Comma 6 101 2 2" xfId="11490"/>
    <cellStyle name="Comma 6 101 2 3" xfId="24180"/>
    <cellStyle name="Comma 6 101 2 4" xfId="17876"/>
    <cellStyle name="Comma 6 101 2 5" xfId="30427"/>
    <cellStyle name="Comma 6 101 3" xfId="6601"/>
    <cellStyle name="Comma 6 101 3 2" xfId="13371"/>
    <cellStyle name="Comma 6 101 3 3" xfId="26061"/>
    <cellStyle name="Comma 6 101 3 4" xfId="14625"/>
    <cellStyle name="Comma 6 101 3 5" xfId="30810"/>
    <cellStyle name="Comma 6 101 4" xfId="9069"/>
    <cellStyle name="Comma 6 101 5" xfId="21783"/>
    <cellStyle name="Comma 6 101 6" xfId="16933"/>
    <cellStyle name="Comma 6 101 7" xfId="32317"/>
    <cellStyle name="Comma 6 102" xfId="2321"/>
    <cellStyle name="Comma 6 102 2" xfId="4742"/>
    <cellStyle name="Comma 6 102 2 2" xfId="11512"/>
    <cellStyle name="Comma 6 102 2 3" xfId="24202"/>
    <cellStyle name="Comma 6 102 2 4" xfId="15342"/>
    <cellStyle name="Comma 6 102 2 5" xfId="31781"/>
    <cellStyle name="Comma 6 102 3" xfId="6620"/>
    <cellStyle name="Comma 6 102 3 2" xfId="13390"/>
    <cellStyle name="Comma 6 102 3 3" xfId="26080"/>
    <cellStyle name="Comma 6 102 3 4" xfId="18824"/>
    <cellStyle name="Comma 6 102 3 5" xfId="27811"/>
    <cellStyle name="Comma 6 102 4" xfId="9091"/>
    <cellStyle name="Comma 6 102 5" xfId="21802"/>
    <cellStyle name="Comma 6 102 6" xfId="14405"/>
    <cellStyle name="Comma 6 102 7" xfId="27230"/>
    <cellStyle name="Comma 6 103" xfId="2343"/>
    <cellStyle name="Comma 6 103 2" xfId="4763"/>
    <cellStyle name="Comma 6 103 2 2" xfId="11533"/>
    <cellStyle name="Comma 6 103 2 3" xfId="24223"/>
    <cellStyle name="Comma 6 103 2 4" xfId="15216"/>
    <cellStyle name="Comma 6 103 2 5" xfId="27801"/>
    <cellStyle name="Comma 6 103 3" xfId="6639"/>
    <cellStyle name="Comma 6 103 3 2" xfId="13409"/>
    <cellStyle name="Comma 6 103 3 3" xfId="26099"/>
    <cellStyle name="Comma 6 103 3 4" xfId="16739"/>
    <cellStyle name="Comma 6 103 3 5" xfId="27188"/>
    <cellStyle name="Comma 6 103 4" xfId="9113"/>
    <cellStyle name="Comma 6 103 5" xfId="21821"/>
    <cellStyle name="Comma 6 103 6" xfId="19818"/>
    <cellStyle name="Comma 6 103 7" xfId="31349"/>
    <cellStyle name="Comma 6 104" xfId="2365"/>
    <cellStyle name="Comma 6 104 2" xfId="4784"/>
    <cellStyle name="Comma 6 104 2 2" xfId="11554"/>
    <cellStyle name="Comma 6 104 2 3" xfId="24244"/>
    <cellStyle name="Comma 6 104 2 4" xfId="15087"/>
    <cellStyle name="Comma 6 104 2 5" xfId="30691"/>
    <cellStyle name="Comma 6 104 3" xfId="6658"/>
    <cellStyle name="Comma 6 104 3 2" xfId="13428"/>
    <cellStyle name="Comma 6 104 3 3" xfId="26118"/>
    <cellStyle name="Comma 6 104 3 4" xfId="13657"/>
    <cellStyle name="Comma 6 104 3 5" xfId="26580"/>
    <cellStyle name="Comma 6 104 4" xfId="9135"/>
    <cellStyle name="Comma 6 104 5" xfId="21840"/>
    <cellStyle name="Comma 6 104 6" xfId="17840"/>
    <cellStyle name="Comma 6 104 7" xfId="32231"/>
    <cellStyle name="Comma 6 105" xfId="2395"/>
    <cellStyle name="Comma 6 105 2" xfId="4813"/>
    <cellStyle name="Comma 6 105 2 2" xfId="11583"/>
    <cellStyle name="Comma 6 105 2 3" xfId="24273"/>
    <cellStyle name="Comma 6 105 2 4" xfId="17250"/>
    <cellStyle name="Comma 6 105 2 5" xfId="26545"/>
    <cellStyle name="Comma 6 105 3" xfId="6684"/>
    <cellStyle name="Comma 6 105 3 2" xfId="13454"/>
    <cellStyle name="Comma 6 105 3 3" xfId="26144"/>
    <cellStyle name="Comma 6 105 3 4" xfId="16432"/>
    <cellStyle name="Comma 6 105 3 5" xfId="28684"/>
    <cellStyle name="Comma 6 105 4" xfId="9165"/>
    <cellStyle name="Comma 6 105 5" xfId="21866"/>
    <cellStyle name="Comma 6 105 6" xfId="17647"/>
    <cellStyle name="Comma 6 105 7" xfId="32194"/>
    <cellStyle name="Comma 6 106" xfId="2372"/>
    <cellStyle name="Comma 6 106 2" xfId="4791"/>
    <cellStyle name="Comma 6 106 2 2" xfId="11561"/>
    <cellStyle name="Comma 6 106 2 3" xfId="24251"/>
    <cellStyle name="Comma 6 106 2 4" xfId="19317"/>
    <cellStyle name="Comma 6 106 2 5" xfId="28705"/>
    <cellStyle name="Comma 6 106 3" xfId="6665"/>
    <cellStyle name="Comma 6 106 3 2" xfId="13435"/>
    <cellStyle name="Comma 6 106 3 3" xfId="26125"/>
    <cellStyle name="Comma 6 106 3 4" xfId="18569"/>
    <cellStyle name="Comma 6 106 3 5" xfId="31689"/>
    <cellStyle name="Comma 6 106 4" xfId="9142"/>
    <cellStyle name="Comma 6 106 5" xfId="21847"/>
    <cellStyle name="Comma 6 106 6" xfId="15409"/>
    <cellStyle name="Comma 6 106 7" xfId="29256"/>
    <cellStyle name="Comma 6 107" xfId="2425"/>
    <cellStyle name="Comma 6 107 2" xfId="4843"/>
    <cellStyle name="Comma 6 107 2 2" xfId="11613"/>
    <cellStyle name="Comma 6 107 2 3" xfId="24303"/>
    <cellStyle name="Comma 6 107 2 4" xfId="17053"/>
    <cellStyle name="Comma 6 107 2 5" xfId="26489"/>
    <cellStyle name="Comma 6 107 3" xfId="6711"/>
    <cellStyle name="Comma 6 107 3 2" xfId="13481"/>
    <cellStyle name="Comma 6 107 3 3" xfId="26171"/>
    <cellStyle name="Comma 6 107 3 4" xfId="16252"/>
    <cellStyle name="Comma 6 107 3 5" xfId="29536"/>
    <cellStyle name="Comma 6 107 4" xfId="9195"/>
    <cellStyle name="Comma 6 107 5" xfId="21893"/>
    <cellStyle name="Comma 6 107 6" xfId="16067"/>
    <cellStyle name="Comma 6 107 7" xfId="32147"/>
    <cellStyle name="Comma 6 108" xfId="2449"/>
    <cellStyle name="Comma 6 108 2" xfId="4867"/>
    <cellStyle name="Comma 6 108 2 2" xfId="11637"/>
    <cellStyle name="Comma 6 108 2 3" xfId="24327"/>
    <cellStyle name="Comma 6 108 2 4" xfId="16899"/>
    <cellStyle name="Comma 6 108 2 5" xfId="26453"/>
    <cellStyle name="Comma 6 108 3" xfId="6732"/>
    <cellStyle name="Comma 6 108 3 2" xfId="13502"/>
    <cellStyle name="Comma 6 108 3 3" xfId="26192"/>
    <cellStyle name="Comma 6 108 3 4" xfId="18241"/>
    <cellStyle name="Comma 6 108 3 5" xfId="28609"/>
    <cellStyle name="Comma 6 108 4" xfId="9219"/>
    <cellStyle name="Comma 6 108 5" xfId="21914"/>
    <cellStyle name="Comma 6 108 6" xfId="17277"/>
    <cellStyle name="Comma 6 108 7" xfId="32110"/>
    <cellStyle name="Comma 6 109" xfId="2516"/>
    <cellStyle name="Comma 6 109 2" xfId="9286"/>
    <cellStyle name="Comma 6 109 3" xfId="21976"/>
    <cellStyle name="Comma 6 109 4" xfId="14461"/>
    <cellStyle name="Comma 6 109 5" xfId="29052"/>
    <cellStyle name="Comma 6 11" xfId="76"/>
    <cellStyle name="Comma 6 11 2" xfId="2560"/>
    <cellStyle name="Comma 6 11 2 2" xfId="9330"/>
    <cellStyle name="Comma 6 11 2 3" xfId="22020"/>
    <cellStyle name="Comma 6 11 2 4" xfId="16477"/>
    <cellStyle name="Comma 6 11 2 5" xfId="28043"/>
    <cellStyle name="Comma 6 11 3" xfId="2608"/>
    <cellStyle name="Comma 6 11 3 2" xfId="9378"/>
    <cellStyle name="Comma 6 11 3 3" xfId="22068"/>
    <cellStyle name="Comma 6 11 3 4" xfId="16218"/>
    <cellStyle name="Comma 6 11 3 5" xfId="27964"/>
    <cellStyle name="Comma 6 11 4" xfId="6846"/>
    <cellStyle name="Comma 6 11 5" xfId="14470"/>
    <cellStyle name="Comma 6 11 6" xfId="17476"/>
    <cellStyle name="Comma 6 11 7" xfId="31764"/>
    <cellStyle name="Comma 6 110" xfId="4434"/>
    <cellStyle name="Comma 6 110 2" xfId="11204"/>
    <cellStyle name="Comma 6 110 3" xfId="23894"/>
    <cellStyle name="Comma 6 110 4" xfId="18078"/>
    <cellStyle name="Comma 6 110 5" xfId="30144"/>
    <cellStyle name="Comma 6 111" xfId="6797"/>
    <cellStyle name="Comma 6 112" xfId="15479"/>
    <cellStyle name="Comma 6 113" xfId="17823"/>
    <cellStyle name="Comma 6 114" xfId="27902"/>
    <cellStyle name="Comma 6 115" xfId="32469"/>
    <cellStyle name="Comma 6 116" xfId="32461"/>
    <cellStyle name="Comma 6 117" xfId="32476"/>
    <cellStyle name="Comma 6 118" xfId="32499"/>
    <cellStyle name="Comma 6 119" xfId="32522"/>
    <cellStyle name="Comma 6 12" xfId="308"/>
    <cellStyle name="Comma 6 12 2" xfId="2784"/>
    <cellStyle name="Comma 6 12 2 2" xfId="9554"/>
    <cellStyle name="Comma 6 12 2 3" xfId="22244"/>
    <cellStyle name="Comma 6 12 2 4" xfId="16209"/>
    <cellStyle name="Comma 6 12 2 5" xfId="26298"/>
    <cellStyle name="Comma 6 12 3" xfId="3363"/>
    <cellStyle name="Comma 6 12 3 2" xfId="10133"/>
    <cellStyle name="Comma 6 12 3 3" xfId="22823"/>
    <cellStyle name="Comma 6 12 3 4" xfId="17214"/>
    <cellStyle name="Comma 6 12 3 5" xfId="30440"/>
    <cellStyle name="Comma 6 12 4" xfId="7078"/>
    <cellStyle name="Comma 6 12 5" xfId="14234"/>
    <cellStyle name="Comma 6 12 6" xfId="15337"/>
    <cellStyle name="Comma 6 12 7" xfId="30133"/>
    <cellStyle name="Comma 6 120" xfId="32545"/>
    <cellStyle name="Comma 6 121" xfId="32568"/>
    <cellStyle name="Comma 6 122" xfId="32591"/>
    <cellStyle name="Comma 6 123" xfId="32614"/>
    <cellStyle name="Comma 6 124" xfId="32637"/>
    <cellStyle name="Comma 6 125" xfId="32660"/>
    <cellStyle name="Comma 6 126" xfId="32683"/>
    <cellStyle name="Comma 6 127" xfId="32706"/>
    <cellStyle name="Comma 6 128" xfId="32729"/>
    <cellStyle name="Comma 6 129" xfId="32752"/>
    <cellStyle name="Comma 6 13" xfId="222"/>
    <cellStyle name="Comma 6 13 2" xfId="2701"/>
    <cellStyle name="Comma 6 13 2 2" xfId="9471"/>
    <cellStyle name="Comma 6 13 2 3" xfId="22161"/>
    <cellStyle name="Comma 6 13 2 4" xfId="18388"/>
    <cellStyle name="Comma 6 13 2 5" xfId="31753"/>
    <cellStyle name="Comma 6 13 3" xfId="4758"/>
    <cellStyle name="Comma 6 13 3 2" xfId="11528"/>
    <cellStyle name="Comma 6 13 3 3" xfId="24218"/>
    <cellStyle name="Comma 6 13 3 4" xfId="19512"/>
    <cellStyle name="Comma 6 13 3 5" xfId="29678"/>
    <cellStyle name="Comma 6 13 4" xfId="6992"/>
    <cellStyle name="Comma 6 13 5" xfId="15791"/>
    <cellStyle name="Comma 6 13 6" xfId="18526"/>
    <cellStyle name="Comma 6 13 7" xfId="31400"/>
    <cellStyle name="Comma 6 130" xfId="32775"/>
    <cellStyle name="Comma 6 131" xfId="32798"/>
    <cellStyle name="Comma 6 132" xfId="32821"/>
    <cellStyle name="Comma 6 133" xfId="32844"/>
    <cellStyle name="Comma 6 134" xfId="32867"/>
    <cellStyle name="Comma 6 135" xfId="32889"/>
    <cellStyle name="Comma 6 136" xfId="32912"/>
    <cellStyle name="Comma 6 137" xfId="32935"/>
    <cellStyle name="Comma 6 138" xfId="32958"/>
    <cellStyle name="Comma 6 139" xfId="32981"/>
    <cellStyle name="Comma 6 14" xfId="315"/>
    <cellStyle name="Comma 6 14 2" xfId="2791"/>
    <cellStyle name="Comma 6 14 2 2" xfId="9561"/>
    <cellStyle name="Comma 6 14 2 3" xfId="22251"/>
    <cellStyle name="Comma 6 14 2 4" xfId="13714"/>
    <cellStyle name="Comma 6 14 2 5" xfId="31620"/>
    <cellStyle name="Comma 6 14 3" xfId="3228"/>
    <cellStyle name="Comma 6 14 3 2" xfId="9998"/>
    <cellStyle name="Comma 6 14 3 3" xfId="22688"/>
    <cellStyle name="Comma 6 14 3 4" xfId="18843"/>
    <cellStyle name="Comma 6 14 3 5" xfId="26340"/>
    <cellStyle name="Comma 6 14 4" xfId="7085"/>
    <cellStyle name="Comma 6 14 5" xfId="14316"/>
    <cellStyle name="Comma 6 14 6" xfId="19568"/>
    <cellStyle name="Comma 6 14 7" xfId="27128"/>
    <cellStyle name="Comma 6 140" xfId="33004"/>
    <cellStyle name="Comma 6 141" xfId="33027"/>
    <cellStyle name="Comma 6 142" xfId="33050"/>
    <cellStyle name="Comma 6 143" xfId="33073"/>
    <cellStyle name="Comma 6 144" xfId="33096"/>
    <cellStyle name="Comma 6 145" xfId="33119"/>
    <cellStyle name="Comma 6 146" xfId="33141"/>
    <cellStyle name="Comma 6 147" xfId="33197"/>
    <cellStyle name="Comma 6 148" xfId="32470"/>
    <cellStyle name="Comma 6 149" xfId="33247"/>
    <cellStyle name="Comma 6 15" xfId="338"/>
    <cellStyle name="Comma 6 15 2" xfId="2814"/>
    <cellStyle name="Comma 6 15 2 2" xfId="9584"/>
    <cellStyle name="Comma 6 15 2 3" xfId="22274"/>
    <cellStyle name="Comma 6 15 2 4" xfId="9041"/>
    <cellStyle name="Comma 6 15 2 5" xfId="26442"/>
    <cellStyle name="Comma 6 15 3" xfId="2788"/>
    <cellStyle name="Comma 6 15 3 2" xfId="9558"/>
    <cellStyle name="Comma 6 15 3 3" xfId="22248"/>
    <cellStyle name="Comma 6 15 3 4" xfId="13802"/>
    <cellStyle name="Comma 6 15 3 5" xfId="27451"/>
    <cellStyle name="Comma 6 15 4" xfId="7108"/>
    <cellStyle name="Comma 6 15 5" xfId="13848"/>
    <cellStyle name="Comma 6 15 6" xfId="15142"/>
    <cellStyle name="Comma 6 15 7" xfId="30088"/>
    <cellStyle name="Comma 6 150" xfId="33242"/>
    <cellStyle name="Comma 6 151" xfId="33252"/>
    <cellStyle name="Comma 6 152" xfId="33275"/>
    <cellStyle name="Comma 6 153" xfId="33298"/>
    <cellStyle name="Comma 6 154" xfId="33321"/>
    <cellStyle name="Comma 6 155" xfId="33344"/>
    <cellStyle name="Comma 6 156" xfId="33367"/>
    <cellStyle name="Comma 6 157" xfId="33390"/>
    <cellStyle name="Comma 6 158" xfId="33413"/>
    <cellStyle name="Comma 6 159" xfId="33436"/>
    <cellStyle name="Comma 6 16" xfId="361"/>
    <cellStyle name="Comma 6 16 2" xfId="2837"/>
    <cellStyle name="Comma 6 16 2 2" xfId="9607"/>
    <cellStyle name="Comma 6 16 2 3" xfId="22297"/>
    <cellStyle name="Comma 6 16 2 4" xfId="8563"/>
    <cellStyle name="Comma 6 16 2 5" xfId="27053"/>
    <cellStyle name="Comma 6 16 3" xfId="4919"/>
    <cellStyle name="Comma 6 16 3 2" xfId="11689"/>
    <cellStyle name="Comma 6 16 3 3" xfId="24379"/>
    <cellStyle name="Comma 6 16 3 4" xfId="14192"/>
    <cellStyle name="Comma 6 16 3 5" xfId="28567"/>
    <cellStyle name="Comma 6 16 4" xfId="7131"/>
    <cellStyle name="Comma 6 16 5" xfId="20101"/>
    <cellStyle name="Comma 6 16 6" xfId="17379"/>
    <cellStyle name="Comma 6 16 7" xfId="28228"/>
    <cellStyle name="Comma 6 160" xfId="33459"/>
    <cellStyle name="Comma 6 161" xfId="33482"/>
    <cellStyle name="Comma 6 162" xfId="33505"/>
    <cellStyle name="Comma 6 163" xfId="33528"/>
    <cellStyle name="Comma 6 164" xfId="33551"/>
    <cellStyle name="Comma 6 165" xfId="33574"/>
    <cellStyle name="Comma 6 166" xfId="33597"/>
    <cellStyle name="Comma 6 167" xfId="33620"/>
    <cellStyle name="Comma 6 168" xfId="33642"/>
    <cellStyle name="Comma 6 169" xfId="33664"/>
    <cellStyle name="Comma 6 17" xfId="384"/>
    <cellStyle name="Comma 6 17 2" xfId="2860"/>
    <cellStyle name="Comma 6 17 2 2" xfId="9630"/>
    <cellStyle name="Comma 6 17 2 3" xfId="22320"/>
    <cellStyle name="Comma 6 17 2 4" xfId="8083"/>
    <cellStyle name="Comma 6 17 2 5" xfId="28569"/>
    <cellStyle name="Comma 6 17 3" xfId="4939"/>
    <cellStyle name="Comma 6 17 3 2" xfId="11709"/>
    <cellStyle name="Comma 6 17 3 3" xfId="24399"/>
    <cellStyle name="Comma 6 17 3 4" xfId="16415"/>
    <cellStyle name="Comma 6 17 3 5" xfId="27358"/>
    <cellStyle name="Comma 6 17 4" xfId="7154"/>
    <cellStyle name="Comma 6 17 5" xfId="20121"/>
    <cellStyle name="Comma 6 17 6" xfId="19157"/>
    <cellStyle name="Comma 6 17 7" xfId="31163"/>
    <cellStyle name="Comma 6 170" xfId="33687"/>
    <cellStyle name="Comma 6 171" xfId="33710"/>
    <cellStyle name="Comma 6 172" xfId="33733"/>
    <cellStyle name="Comma 6 173" xfId="33756"/>
    <cellStyle name="Comma 6 174" xfId="33779"/>
    <cellStyle name="Comma 6 175" xfId="33802"/>
    <cellStyle name="Comma 6 176" xfId="33825"/>
    <cellStyle name="Comma 6 177" xfId="33848"/>
    <cellStyle name="Comma 6 178" xfId="33871"/>
    <cellStyle name="Comma 6 179" xfId="33894"/>
    <cellStyle name="Comma 6 18" xfId="407"/>
    <cellStyle name="Comma 6 18 2" xfId="2882"/>
    <cellStyle name="Comma 6 18 2 2" xfId="9652"/>
    <cellStyle name="Comma 6 18 2 3" xfId="22342"/>
    <cellStyle name="Comma 6 18 2 4" xfId="7628"/>
    <cellStyle name="Comma 6 18 2 5" xfId="29438"/>
    <cellStyle name="Comma 6 18 3" xfId="4959"/>
    <cellStyle name="Comma 6 18 3 2" xfId="11729"/>
    <cellStyle name="Comma 6 18 3 3" xfId="24419"/>
    <cellStyle name="Comma 6 18 3 4" xfId="18318"/>
    <cellStyle name="Comma 6 18 3 5" xfId="29408"/>
    <cellStyle name="Comma 6 18 4" xfId="7177"/>
    <cellStyle name="Comma 6 18 5" xfId="20141"/>
    <cellStyle name="Comma 6 18 6" xfId="14686"/>
    <cellStyle name="Comma 6 18 7" xfId="29096"/>
    <cellStyle name="Comma 6 180" xfId="33917"/>
    <cellStyle name="Comma 6 181" xfId="33940"/>
    <cellStyle name="Comma 6 182" xfId="33963"/>
    <cellStyle name="Comma 6 183" xfId="33986"/>
    <cellStyle name="Comma 6 184" xfId="34008"/>
    <cellStyle name="Comma 6 19" xfId="429"/>
    <cellStyle name="Comma 6 19 2" xfId="2904"/>
    <cellStyle name="Comma 6 19 2 2" xfId="9674"/>
    <cellStyle name="Comma 6 19 2 3" xfId="22364"/>
    <cellStyle name="Comma 6 19 2 4" xfId="8965"/>
    <cellStyle name="Comma 6 19 2 5" xfId="26384"/>
    <cellStyle name="Comma 6 19 3" xfId="4978"/>
    <cellStyle name="Comma 6 19 3 2" xfId="11748"/>
    <cellStyle name="Comma 6 19 3 3" xfId="24438"/>
    <cellStyle name="Comma 6 19 3 4" xfId="15930"/>
    <cellStyle name="Comma 6 19 3 5" xfId="30805"/>
    <cellStyle name="Comma 6 19 4" xfId="7199"/>
    <cellStyle name="Comma 6 19 5" xfId="20160"/>
    <cellStyle name="Comma 6 19 6" xfId="18882"/>
    <cellStyle name="Comma 6 19 7" xfId="26939"/>
    <cellStyle name="Comma 6 2" xfId="77"/>
    <cellStyle name="Comma 6 2 2" xfId="2561"/>
    <cellStyle name="Comma 6 2 2 2" xfId="9331"/>
    <cellStyle name="Comma 6 2 2 3" xfId="22021"/>
    <cellStyle name="Comma 6 2 2 4" xfId="14174"/>
    <cellStyle name="Comma 6 2 2 5" xfId="29886"/>
    <cellStyle name="Comma 6 2 3" xfId="3391"/>
    <cellStyle name="Comma 6 2 3 2" xfId="10161"/>
    <cellStyle name="Comma 6 2 3 3" xfId="22851"/>
    <cellStyle name="Comma 6 2 3 4" xfId="17921"/>
    <cellStyle name="Comma 6 2 3 5" xfId="31782"/>
    <cellStyle name="Comma 6 2 4" xfId="6847"/>
    <cellStyle name="Comma 6 2 5" xfId="14449"/>
    <cellStyle name="Comma 6 2 6" xfId="15096"/>
    <cellStyle name="Comma 6 2 7" xfId="28790"/>
    <cellStyle name="Comma 6 20" xfId="452"/>
    <cellStyle name="Comma 6 20 2" xfId="2927"/>
    <cellStyle name="Comma 6 20 2 2" xfId="9697"/>
    <cellStyle name="Comma 6 20 2 3" xfId="22387"/>
    <cellStyle name="Comma 6 20 2 4" xfId="8477"/>
    <cellStyle name="Comma 6 20 2 5" xfId="29587"/>
    <cellStyle name="Comma 6 20 3" xfId="4998"/>
    <cellStyle name="Comma 6 20 3 2" xfId="11768"/>
    <cellStyle name="Comma 6 20 3 3" xfId="24458"/>
    <cellStyle name="Comma 6 20 3 4" xfId="19984"/>
    <cellStyle name="Comma 6 20 3 5" xfId="29672"/>
    <cellStyle name="Comma 6 20 4" xfId="7222"/>
    <cellStyle name="Comma 6 20 5" xfId="20180"/>
    <cellStyle name="Comma 6 20 6" xfId="14409"/>
    <cellStyle name="Comma 6 20 7" xfId="29930"/>
    <cellStyle name="Comma 6 21" xfId="475"/>
    <cellStyle name="Comma 6 21 2" xfId="2950"/>
    <cellStyle name="Comma 6 21 2 2" xfId="9720"/>
    <cellStyle name="Comma 6 21 2 3" xfId="22410"/>
    <cellStyle name="Comma 6 21 2 4" xfId="7997"/>
    <cellStyle name="Comma 6 21 2 5" xfId="27667"/>
    <cellStyle name="Comma 6 21 3" xfId="5018"/>
    <cellStyle name="Comma 6 21 3 2" xfId="11788"/>
    <cellStyle name="Comma 6 21 3 3" xfId="24478"/>
    <cellStyle name="Comma 6 21 3 4" xfId="15654"/>
    <cellStyle name="Comma 6 21 3 5" xfId="31711"/>
    <cellStyle name="Comma 6 21 4" xfId="7245"/>
    <cellStyle name="Comma 6 21 5" xfId="20200"/>
    <cellStyle name="Comma 6 21 6" xfId="16610"/>
    <cellStyle name="Comma 6 21 7" xfId="28049"/>
    <cellStyle name="Comma 6 22" xfId="498"/>
    <cellStyle name="Comma 6 22 2" xfId="2973"/>
    <cellStyle name="Comma 6 22 2 2" xfId="9743"/>
    <cellStyle name="Comma 6 22 2 3" xfId="22433"/>
    <cellStyle name="Comma 6 22 2 4" xfId="7517"/>
    <cellStyle name="Comma 6 22 2 5" xfId="31465"/>
    <cellStyle name="Comma 6 22 3" xfId="5038"/>
    <cellStyle name="Comma 6 22 3 2" xfId="11808"/>
    <cellStyle name="Comma 6 22 3 3" xfId="24498"/>
    <cellStyle name="Comma 6 22 3 4" xfId="17896"/>
    <cellStyle name="Comma 6 22 3 5" xfId="28674"/>
    <cellStyle name="Comma 6 22 4" xfId="7268"/>
    <cellStyle name="Comma 6 22 5" xfId="20220"/>
    <cellStyle name="Comma 6 22 6" xfId="18474"/>
    <cellStyle name="Comma 6 22 7" xfId="30970"/>
    <cellStyle name="Comma 6 23" xfId="521"/>
    <cellStyle name="Comma 6 23 2" xfId="2996"/>
    <cellStyle name="Comma 6 23 2 2" xfId="9766"/>
    <cellStyle name="Comma 6 23 2 3" xfId="22456"/>
    <cellStyle name="Comma 6 23 2 4" xfId="7037"/>
    <cellStyle name="Comma 6 23 2 5" xfId="29364"/>
    <cellStyle name="Comma 6 23 3" xfId="5058"/>
    <cellStyle name="Comma 6 23 3 2" xfId="11828"/>
    <cellStyle name="Comma 6 23 3 3" xfId="24518"/>
    <cellStyle name="Comma 6 23 3 4" xfId="19647"/>
    <cellStyle name="Comma 6 23 3 5" xfId="27690"/>
    <cellStyle name="Comma 6 23 4" xfId="7291"/>
    <cellStyle name="Comma 6 23 5" xfId="20240"/>
    <cellStyle name="Comma 6 23 6" xfId="13945"/>
    <cellStyle name="Comma 6 23 7" xfId="28937"/>
    <cellStyle name="Comma 6 24" xfId="544"/>
    <cellStyle name="Comma 6 24 2" xfId="3017"/>
    <cellStyle name="Comma 6 24 2 2" xfId="9787"/>
    <cellStyle name="Comma 6 24 2 3" xfId="22477"/>
    <cellStyle name="Comma 6 24 2 4" xfId="9250"/>
    <cellStyle name="Comma 6 24 2 5" xfId="30228"/>
    <cellStyle name="Comma 6 24 3" xfId="5078"/>
    <cellStyle name="Comma 6 24 3 2" xfId="11848"/>
    <cellStyle name="Comma 6 24 3 3" xfId="24538"/>
    <cellStyle name="Comma 6 24 3 4" xfId="15257"/>
    <cellStyle name="Comma 6 24 3 5" xfId="26480"/>
    <cellStyle name="Comma 6 24 4" xfId="7314"/>
    <cellStyle name="Comma 6 24 5" xfId="20260"/>
    <cellStyle name="Comma 6 24 6" xfId="18269"/>
    <cellStyle name="Comma 6 24 7" xfId="31868"/>
    <cellStyle name="Comma 6 25" xfId="567"/>
    <cellStyle name="Comma 6 25 2" xfId="3040"/>
    <cellStyle name="Comma 6 25 2 2" xfId="9810"/>
    <cellStyle name="Comma 6 25 2 3" xfId="22500"/>
    <cellStyle name="Comma 6 25 2 4" xfId="15944"/>
    <cellStyle name="Comma 6 25 2 5" xfId="28393"/>
    <cellStyle name="Comma 6 25 3" xfId="5098"/>
    <cellStyle name="Comma 6 25 3 2" xfId="11868"/>
    <cellStyle name="Comma 6 25 3 3" xfId="24558"/>
    <cellStyle name="Comma 6 25 3 4" xfId="17510"/>
    <cellStyle name="Comma 6 25 3 5" xfId="31580"/>
    <cellStyle name="Comma 6 25 4" xfId="7337"/>
    <cellStyle name="Comma 6 25 5" xfId="20280"/>
    <cellStyle name="Comma 6 25 6" xfId="19963"/>
    <cellStyle name="Comma 6 25 7" xfId="26324"/>
    <cellStyle name="Comma 6 26" xfId="629"/>
    <cellStyle name="Comma 6 26 2" xfId="3102"/>
    <cellStyle name="Comma 6 26 2 2" xfId="9872"/>
    <cellStyle name="Comma 6 26 2 3" xfId="22562"/>
    <cellStyle name="Comma 6 26 2 4" xfId="19586"/>
    <cellStyle name="Comma 6 26 2 5" xfId="27132"/>
    <cellStyle name="Comma 6 26 3" xfId="5154"/>
    <cellStyle name="Comma 6 26 3 2" xfId="11924"/>
    <cellStyle name="Comma 6 26 3 3" xfId="24614"/>
    <cellStyle name="Comma 6 26 3 4" xfId="19082"/>
    <cellStyle name="Comma 6 26 3 5" xfId="31548"/>
    <cellStyle name="Comma 6 26 4" xfId="7399"/>
    <cellStyle name="Comma 6 26 5" xfId="20336"/>
    <cellStyle name="Comma 6 26 6" xfId="15703"/>
    <cellStyle name="Comma 6 26 7" xfId="28764"/>
    <cellStyle name="Comma 6 27" xfId="305"/>
    <cellStyle name="Comma 6 27 2" xfId="2781"/>
    <cellStyle name="Comma 6 27 2 2" xfId="9551"/>
    <cellStyle name="Comma 6 27 2 3" xfId="22241"/>
    <cellStyle name="Comma 6 27 2 4" xfId="16074"/>
    <cellStyle name="Comma 6 27 2 5" xfId="30630"/>
    <cellStyle name="Comma 6 27 3" xfId="3463"/>
    <cellStyle name="Comma 6 27 3 2" xfId="10233"/>
    <cellStyle name="Comma 6 27 3 3" xfId="22923"/>
    <cellStyle name="Comma 6 27 3 4" xfId="16087"/>
    <cellStyle name="Comma 6 27 3 5" xfId="31671"/>
    <cellStyle name="Comma 6 27 4" xfId="7075"/>
    <cellStyle name="Comma 6 27 5" xfId="14509"/>
    <cellStyle name="Comma 6 27 6" xfId="15359"/>
    <cellStyle name="Comma 6 27 7" xfId="27421"/>
    <cellStyle name="Comma 6 28" xfId="636"/>
    <cellStyle name="Comma 6 28 2" xfId="3109"/>
    <cellStyle name="Comma 6 28 2 2" xfId="9879"/>
    <cellStyle name="Comma 6 28 2 3" xfId="22569"/>
    <cellStyle name="Comma 6 28 2 4" xfId="17677"/>
    <cellStyle name="Comma 6 28 2 5" xfId="32183"/>
    <cellStyle name="Comma 6 28 3" xfId="5158"/>
    <cellStyle name="Comma 6 28 3 2" xfId="11928"/>
    <cellStyle name="Comma 6 28 3 3" xfId="24618"/>
    <cellStyle name="Comma 6 28 3 4" xfId="17119"/>
    <cellStyle name="Comma 6 28 3 5" xfId="32429"/>
    <cellStyle name="Comma 6 28 4" xfId="7406"/>
    <cellStyle name="Comma 6 28 5" xfId="20340"/>
    <cellStyle name="Comma 6 28 6" xfId="19589"/>
    <cellStyle name="Comma 6 28 7" xfId="30435"/>
    <cellStyle name="Comma 6 29" xfId="311"/>
    <cellStyle name="Comma 6 29 2" xfId="2787"/>
    <cellStyle name="Comma 6 29 2 2" xfId="9557"/>
    <cellStyle name="Comma 6 29 2 3" xfId="22247"/>
    <cellStyle name="Comma 6 29 2 4" xfId="16188"/>
    <cellStyle name="Comma 6 29 2 5" xfId="30417"/>
    <cellStyle name="Comma 6 29 3" xfId="3319"/>
    <cellStyle name="Comma 6 29 3 2" xfId="10089"/>
    <cellStyle name="Comma 6 29 3 3" xfId="22779"/>
    <cellStyle name="Comma 6 29 3 4" xfId="16274"/>
    <cellStyle name="Comma 6 29 3 5" xfId="31890"/>
    <cellStyle name="Comma 6 29 4" xfId="7081"/>
    <cellStyle name="Comma 6 29 5" xfId="13636"/>
    <cellStyle name="Comma 6 29 6" xfId="13766"/>
    <cellStyle name="Comma 6 29 7" xfId="29232"/>
    <cellStyle name="Comma 6 3" xfId="74"/>
    <cellStyle name="Comma 6 3 2" xfId="2558"/>
    <cellStyle name="Comma 6 3 2 2" xfId="9328"/>
    <cellStyle name="Comma 6 3 2 3" xfId="22018"/>
    <cellStyle name="Comma 6 3 2 4" xfId="14120"/>
    <cellStyle name="Comma 6 3 2 5" xfId="28996"/>
    <cellStyle name="Comma 6 3 3" xfId="3435"/>
    <cellStyle name="Comma 6 3 3 2" xfId="10205"/>
    <cellStyle name="Comma 6 3 3 3" xfId="22895"/>
    <cellStyle name="Comma 6 3 3 4" xfId="19536"/>
    <cellStyle name="Comma 6 3 3 5" xfId="30735"/>
    <cellStyle name="Comma 6 3 4" xfId="6844"/>
    <cellStyle name="Comma 6 3 5" xfId="14514"/>
    <cellStyle name="Comma 6 3 6" xfId="15114"/>
    <cellStyle name="Comma 6 3 7" xfId="29690"/>
    <cellStyle name="Comma 6 30" xfId="679"/>
    <cellStyle name="Comma 6 30 2" xfId="3151"/>
    <cellStyle name="Comma 6 30 2 2" xfId="9921"/>
    <cellStyle name="Comma 6 30 2 3" xfId="22611"/>
    <cellStyle name="Comma 6 30 2 4" xfId="17398"/>
    <cellStyle name="Comma 6 30 2 5" xfId="32118"/>
    <cellStyle name="Comma 6 30 3" xfId="5196"/>
    <cellStyle name="Comma 6 30 3 2" xfId="11966"/>
    <cellStyle name="Comma 6 30 3 3" xfId="24656"/>
    <cellStyle name="Comma 6 30 3 4" xfId="18828"/>
    <cellStyle name="Comma 6 30 3 5" xfId="31489"/>
    <cellStyle name="Comma 6 30 4" xfId="7449"/>
    <cellStyle name="Comma 6 30 5" xfId="20378"/>
    <cellStyle name="Comma 6 30 6" xfId="19314"/>
    <cellStyle name="Comma 6 30 7" xfId="27707"/>
    <cellStyle name="Comma 6 31" xfId="637"/>
    <cellStyle name="Comma 6 31 2" xfId="3110"/>
    <cellStyle name="Comma 6 31 2 2" xfId="9880"/>
    <cellStyle name="Comma 6 31 2 3" xfId="22570"/>
    <cellStyle name="Comma 6 31 2 4" xfId="15294"/>
    <cellStyle name="Comma 6 31 2 5" xfId="29217"/>
    <cellStyle name="Comma 6 31 3" xfId="5159"/>
    <cellStyle name="Comma 6 31 3 2" xfId="11929"/>
    <cellStyle name="Comma 6 31 3 3" xfId="24619"/>
    <cellStyle name="Comma 6 31 3 4" xfId="14741"/>
    <cellStyle name="Comma 6 31 3 5" xfId="29465"/>
    <cellStyle name="Comma 6 31 4" xfId="7407"/>
    <cellStyle name="Comma 6 31 5" xfId="20341"/>
    <cellStyle name="Comma 6 31 6" xfId="17702"/>
    <cellStyle name="Comma 6 31 7" xfId="27468"/>
    <cellStyle name="Comma 6 32" xfId="599"/>
    <cellStyle name="Comma 6 32 2" xfId="3072"/>
    <cellStyle name="Comma 6 32 2 2" xfId="9842"/>
    <cellStyle name="Comma 6 32 2 3" xfId="22532"/>
    <cellStyle name="Comma 6 32 2 4" xfId="16071"/>
    <cellStyle name="Comma 6 32 2 5" xfId="27171"/>
    <cellStyle name="Comma 6 32 3" xfId="5127"/>
    <cellStyle name="Comma 6 32 3 2" xfId="11897"/>
    <cellStyle name="Comma 6 32 3 3" xfId="24587"/>
    <cellStyle name="Comma 6 32 3 4" xfId="19236"/>
    <cellStyle name="Comma 6 32 3 5" xfId="26387"/>
    <cellStyle name="Comma 6 32 4" xfId="7369"/>
    <cellStyle name="Comma 6 32 5" xfId="20309"/>
    <cellStyle name="Comma 6 32 6" xfId="13738"/>
    <cellStyle name="Comma 6 32 7" xfId="28814"/>
    <cellStyle name="Comma 6 33" xfId="748"/>
    <cellStyle name="Comma 6 33 2" xfId="3219"/>
    <cellStyle name="Comma 6 33 2 2" xfId="9989"/>
    <cellStyle name="Comma 6 33 2 3" xfId="22679"/>
    <cellStyle name="Comma 6 33 2 4" xfId="18900"/>
    <cellStyle name="Comma 6 33 2 5" xfId="31082"/>
    <cellStyle name="Comma 6 33 3" xfId="5256"/>
    <cellStyle name="Comma 6 33 3 2" xfId="12026"/>
    <cellStyle name="Comma 6 33 3 3" xfId="24716"/>
    <cellStyle name="Comma 6 33 3 4" xfId="18456"/>
    <cellStyle name="Comma 6 33 3 5" xfId="30462"/>
    <cellStyle name="Comma 6 33 4" xfId="7518"/>
    <cellStyle name="Comma 6 33 5" xfId="20438"/>
    <cellStyle name="Comma 6 33 6" xfId="14497"/>
    <cellStyle name="Comma 6 33 7" xfId="30540"/>
    <cellStyle name="Comma 6 34" xfId="773"/>
    <cellStyle name="Comma 6 34 2" xfId="3243"/>
    <cellStyle name="Comma 6 34 2 2" xfId="10013"/>
    <cellStyle name="Comma 6 34 2 3" xfId="22703"/>
    <cellStyle name="Comma 6 34 2 4" xfId="18765"/>
    <cellStyle name="Comma 6 34 2 5" xfId="31051"/>
    <cellStyle name="Comma 6 34 3" xfId="5277"/>
    <cellStyle name="Comma 6 34 3 2" xfId="12047"/>
    <cellStyle name="Comma 6 34 3 3" xfId="24737"/>
    <cellStyle name="Comma 6 34 3 4" xfId="18336"/>
    <cellStyle name="Comma 6 34 3 5" xfId="26336"/>
    <cellStyle name="Comma 6 34 4" xfId="7543"/>
    <cellStyle name="Comma 6 34 5" xfId="20459"/>
    <cellStyle name="Comma 6 34 6" xfId="18669"/>
    <cellStyle name="Comma 6 34 7" xfId="29477"/>
    <cellStyle name="Comma 6 35" xfId="796"/>
    <cellStyle name="Comma 6 35 2" xfId="3264"/>
    <cellStyle name="Comma 6 35 2 2" xfId="10034"/>
    <cellStyle name="Comma 6 35 2 3" xfId="22724"/>
    <cellStyle name="Comma 6 35 2 4" xfId="18626"/>
    <cellStyle name="Comma 6 35 2 5" xfId="26867"/>
    <cellStyle name="Comma 6 35 3" xfId="5297"/>
    <cellStyle name="Comma 6 35 3 2" xfId="12067"/>
    <cellStyle name="Comma 6 35 3 3" xfId="24757"/>
    <cellStyle name="Comma 6 35 3 4" xfId="13787"/>
    <cellStyle name="Comma 6 35 3 5" xfId="14886"/>
    <cellStyle name="Comma 6 35 4" xfId="7566"/>
    <cellStyle name="Comma 6 35 5" xfId="20479"/>
    <cellStyle name="Comma 6 35 6" xfId="18540"/>
    <cellStyle name="Comma 6 35 7" xfId="32408"/>
    <cellStyle name="Comma 6 36" xfId="819"/>
    <cellStyle name="Comma 6 36 2" xfId="3287"/>
    <cellStyle name="Comma 6 36 2 2" xfId="10057"/>
    <cellStyle name="Comma 6 36 2 3" xfId="22747"/>
    <cellStyle name="Comma 6 36 2 4" xfId="14116"/>
    <cellStyle name="Comma 6 36 2 5" xfId="29855"/>
    <cellStyle name="Comma 6 36 3" xfId="5317"/>
    <cellStyle name="Comma 6 36 3 2" xfId="12087"/>
    <cellStyle name="Comma 6 36 3 3" xfId="24777"/>
    <cellStyle name="Comma 6 36 3 4" xfId="18015"/>
    <cellStyle name="Comma 6 36 3 5" xfId="16841"/>
    <cellStyle name="Comma 6 36 4" xfId="7589"/>
    <cellStyle name="Comma 6 36 5" xfId="20499"/>
    <cellStyle name="Comma 6 36 6" xfId="15583"/>
    <cellStyle name="Comma 6 36 7" xfId="26391"/>
    <cellStyle name="Comma 6 37" xfId="842"/>
    <cellStyle name="Comma 6 37 2" xfId="3308"/>
    <cellStyle name="Comma 6 37 2 2" xfId="10078"/>
    <cellStyle name="Comma 6 37 2 3" xfId="22768"/>
    <cellStyle name="Comma 6 37 2 4" xfId="13985"/>
    <cellStyle name="Comma 6 37 2 5" xfId="28941"/>
    <cellStyle name="Comma 6 37 3" xfId="5337"/>
    <cellStyle name="Comma 6 37 3 2" xfId="12107"/>
    <cellStyle name="Comma 6 37 3 3" xfId="24797"/>
    <cellStyle name="Comma 6 37 3 4" xfId="19890"/>
    <cellStyle name="Comma 6 37 3 5" xfId="15013"/>
    <cellStyle name="Comma 6 37 4" xfId="7612"/>
    <cellStyle name="Comma 6 37 5" xfId="20519"/>
    <cellStyle name="Comma 6 37 6" xfId="17827"/>
    <cellStyle name="Comma 6 37 7" xfId="29490"/>
    <cellStyle name="Comma 6 38" xfId="865"/>
    <cellStyle name="Comma 6 38 2" xfId="3330"/>
    <cellStyle name="Comma 6 38 2 2" xfId="10100"/>
    <cellStyle name="Comma 6 38 2 3" xfId="22790"/>
    <cellStyle name="Comma 6 38 2 4" xfId="17309"/>
    <cellStyle name="Comma 6 38 2 5" xfId="26766"/>
    <cellStyle name="Comma 6 38 3" xfId="5357"/>
    <cellStyle name="Comma 6 38 3 2" xfId="12127"/>
    <cellStyle name="Comma 6 38 3 3" xfId="24817"/>
    <cellStyle name="Comma 6 38 3 4" xfId="17986"/>
    <cellStyle name="Comma 6 38 3 5" xfId="14450"/>
    <cellStyle name="Comma 6 38 4" xfId="7635"/>
    <cellStyle name="Comma 6 38 5" xfId="20539"/>
    <cellStyle name="Comma 6 38 6" xfId="19545"/>
    <cellStyle name="Comma 6 38 7" xfId="27536"/>
    <cellStyle name="Comma 6 39" xfId="888"/>
    <cellStyle name="Comma 6 39 2" xfId="3352"/>
    <cellStyle name="Comma 6 39 2 2" xfId="10122"/>
    <cellStyle name="Comma 6 39 2 3" xfId="22812"/>
    <cellStyle name="Comma 6 39 2 4" xfId="18179"/>
    <cellStyle name="Comma 6 39 2 5" xfId="27900"/>
    <cellStyle name="Comma 6 39 3" xfId="5377"/>
    <cellStyle name="Comma 6 39 3 2" xfId="12147"/>
    <cellStyle name="Comma 6 39 3 3" xfId="24837"/>
    <cellStyle name="Comma 6 39 3 4" xfId="19702"/>
    <cellStyle name="Comma 6 39 3 5" xfId="16245"/>
    <cellStyle name="Comma 6 39 4" xfId="7658"/>
    <cellStyle name="Comma 6 39 5" xfId="20559"/>
    <cellStyle name="Comma 6 39 6" xfId="15137"/>
    <cellStyle name="Comma 6 39 7" xfId="31547"/>
    <cellStyle name="Comma 6 4" xfId="84"/>
    <cellStyle name="Comma 6 4 2" xfId="2568"/>
    <cellStyle name="Comma 6 4 2 2" xfId="9338"/>
    <cellStyle name="Comma 6 4 2 3" xfId="22028"/>
    <cellStyle name="Comma 6 4 2 4" xfId="18493"/>
    <cellStyle name="Comma 6 4 2 5" xfId="26847"/>
    <cellStyle name="Comma 6 4 3" xfId="3235"/>
    <cellStyle name="Comma 6 4 3 2" xfId="10005"/>
    <cellStyle name="Comma 6 4 3 3" xfId="22695"/>
    <cellStyle name="Comma 6 4 3 4" xfId="16827"/>
    <cellStyle name="Comma 6 4 3 5" xfId="32009"/>
    <cellStyle name="Comma 6 4 4" xfId="6854"/>
    <cellStyle name="Comma 6 4 5" xfId="14321"/>
    <cellStyle name="Comma 6 4 6" xfId="16720"/>
    <cellStyle name="Comma 6 4 7" xfId="30768"/>
    <cellStyle name="Comma 6 40" xfId="911"/>
    <cellStyle name="Comma 6 40 2" xfId="3375"/>
    <cellStyle name="Comma 6 40 2 2" xfId="10145"/>
    <cellStyle name="Comma 6 40 2 3" xfId="22835"/>
    <cellStyle name="Comma 6 40 2 4" xfId="19877"/>
    <cellStyle name="Comma 6 40 2 5" xfId="30835"/>
    <cellStyle name="Comma 6 40 3" xfId="5397"/>
    <cellStyle name="Comma 6 40 3 2" xfId="12167"/>
    <cellStyle name="Comma 6 40 3 3" xfId="24857"/>
    <cellStyle name="Comma 6 40 3 4" xfId="15319"/>
    <cellStyle name="Comma 6 40 3 5" xfId="20005"/>
    <cellStyle name="Comma 6 40 4" xfId="7681"/>
    <cellStyle name="Comma 6 40 5" xfId="20579"/>
    <cellStyle name="Comma 6 40 6" xfId="17376"/>
    <cellStyle name="Comma 6 40 7" xfId="29439"/>
    <cellStyle name="Comma 6 41" xfId="934"/>
    <cellStyle name="Comma 6 41 2" xfId="3398"/>
    <cellStyle name="Comma 6 41 2 2" xfId="10168"/>
    <cellStyle name="Comma 6 41 2 3" xfId="22858"/>
    <cellStyle name="Comma 6 41 2 4" xfId="15514"/>
    <cellStyle name="Comma 6 41 2 5" xfId="28798"/>
    <cellStyle name="Comma 6 41 3" xfId="5417"/>
    <cellStyle name="Comma 6 41 3 2" xfId="12187"/>
    <cellStyle name="Comma 6 41 3 3" xfId="24877"/>
    <cellStyle name="Comma 6 41 3 4" xfId="17573"/>
    <cellStyle name="Comma 6 41 3 5" xfId="14044"/>
    <cellStyle name="Comma 6 41 4" xfId="7704"/>
    <cellStyle name="Comma 6 41 5" xfId="20599"/>
    <cellStyle name="Comma 6 41 6" xfId="19134"/>
    <cellStyle name="Comma 6 41 7" xfId="32369"/>
    <cellStyle name="Comma 6 42" xfId="628"/>
    <cellStyle name="Comma 6 42 2" xfId="3101"/>
    <cellStyle name="Comma 6 42 2 2" xfId="9871"/>
    <cellStyle name="Comma 6 42 2 3" xfId="22561"/>
    <cellStyle name="Comma 6 42 2 4" xfId="15335"/>
    <cellStyle name="Comma 6 42 2 5" xfId="30128"/>
    <cellStyle name="Comma 6 42 3" xfId="5153"/>
    <cellStyle name="Comma 6 42 3 2" xfId="11923"/>
    <cellStyle name="Comma 6 42 3 3" xfId="24613"/>
    <cellStyle name="Comma 6 42 3 4" xfId="14785"/>
    <cellStyle name="Comma 6 42 3 5" xfId="29473"/>
    <cellStyle name="Comma 6 42 4" xfId="7398"/>
    <cellStyle name="Comma 6 42 5" xfId="20335"/>
    <cellStyle name="Comma 6 42 6" xfId="18091"/>
    <cellStyle name="Comma 6 42 7" xfId="31738"/>
    <cellStyle name="Comma 6 43" xfId="977"/>
    <cellStyle name="Comma 6 43 2" xfId="3441"/>
    <cellStyle name="Comma 6 43 2 2" xfId="10211"/>
    <cellStyle name="Comma 6 43 2 3" xfId="22901"/>
    <cellStyle name="Comma 6 43 2 4" xfId="19496"/>
    <cellStyle name="Comma 6 43 2 5" xfId="30723"/>
    <cellStyle name="Comma 6 43 3" xfId="5455"/>
    <cellStyle name="Comma 6 43 3 2" xfId="12225"/>
    <cellStyle name="Comma 6 43 3 3" xfId="24915"/>
    <cellStyle name="Comma 6 43 3 4" xfId="19235"/>
    <cellStyle name="Comma 6 43 3 5" xfId="9280"/>
    <cellStyle name="Comma 6 43 4" xfId="7747"/>
    <cellStyle name="Comma 6 43 5" xfId="20637"/>
    <cellStyle name="Comma 6 43 6" xfId="16935"/>
    <cellStyle name="Comma 6 43 7" xfId="29206"/>
    <cellStyle name="Comma 6 44" xfId="1002"/>
    <cellStyle name="Comma 6 44 2" xfId="3466"/>
    <cellStyle name="Comma 6 44 2 2" xfId="10236"/>
    <cellStyle name="Comma 6 44 2 3" xfId="22926"/>
    <cellStyle name="Comma 6 44 2 4" xfId="17450"/>
    <cellStyle name="Comma 6 44 2 5" xfId="27711"/>
    <cellStyle name="Comma 6 44 3" xfId="5476"/>
    <cellStyle name="Comma 6 44 3 2" xfId="12246"/>
    <cellStyle name="Comma 6 44 3 3" xfId="24936"/>
    <cellStyle name="Comma 6 44 3 4" xfId="19119"/>
    <cellStyle name="Comma 6 44 3 5" xfId="15317"/>
    <cellStyle name="Comma 6 44 4" xfId="7772"/>
    <cellStyle name="Comma 6 44 5" xfId="20658"/>
    <cellStyle name="Comma 6 44 6" xfId="13589"/>
    <cellStyle name="Comma 6 44 7" xfId="29170"/>
    <cellStyle name="Comma 6 45" xfId="1024"/>
    <cellStyle name="Comma 6 45 2" xfId="3488"/>
    <cellStyle name="Comma 6 45 2 2" xfId="10258"/>
    <cellStyle name="Comma 6 45 2 3" xfId="22948"/>
    <cellStyle name="Comma 6 45 2 4" xfId="14923"/>
    <cellStyle name="Comma 6 45 2 5" xfId="28652"/>
    <cellStyle name="Comma 6 45 3" xfId="5495"/>
    <cellStyle name="Comma 6 45 3 2" xfId="12265"/>
    <cellStyle name="Comma 6 45 3 3" xfId="24955"/>
    <cellStyle name="Comma 6 45 3 4" xfId="17051"/>
    <cellStyle name="Comma 6 45 3 5" xfId="19332"/>
    <cellStyle name="Comma 6 45 4" xfId="7794"/>
    <cellStyle name="Comma 6 45 5" xfId="20677"/>
    <cellStyle name="Comma 6 45 6" xfId="18604"/>
    <cellStyle name="Comma 6 45 7" xfId="27029"/>
    <cellStyle name="Comma 6 46" xfId="1046"/>
    <cellStyle name="Comma 6 46 2" xfId="3508"/>
    <cellStyle name="Comma 6 46 2 2" xfId="10278"/>
    <cellStyle name="Comma 6 46 2 3" xfId="22968"/>
    <cellStyle name="Comma 6 46 2 4" xfId="17166"/>
    <cellStyle name="Comma 6 46 2 5" xfId="27636"/>
    <cellStyle name="Comma 6 46 3" xfId="5514"/>
    <cellStyle name="Comma 6 46 3 2" xfId="12284"/>
    <cellStyle name="Comma 6 46 3 3" xfId="24974"/>
    <cellStyle name="Comma 6 46 3 4" xfId="14565"/>
    <cellStyle name="Comma 6 46 3 5" xfId="28400"/>
    <cellStyle name="Comma 6 46 4" xfId="7816"/>
    <cellStyle name="Comma 6 46 5" xfId="20696"/>
    <cellStyle name="Comma 6 46 6" xfId="18471"/>
    <cellStyle name="Comma 6 46 7" xfId="28166"/>
    <cellStyle name="Comma 6 47" xfId="1069"/>
    <cellStyle name="Comma 6 47 2" xfId="3531"/>
    <cellStyle name="Comma 6 47 2 2" xfId="10301"/>
    <cellStyle name="Comma 6 47 2 3" xfId="22991"/>
    <cellStyle name="Comma 6 47 2 4" xfId="18967"/>
    <cellStyle name="Comma 6 47 2 5" xfId="30551"/>
    <cellStyle name="Comma 6 47 3" xfId="5534"/>
    <cellStyle name="Comma 6 47 3 2" xfId="12304"/>
    <cellStyle name="Comma 6 47 3 3" xfId="24994"/>
    <cellStyle name="Comma 6 47 3 4" xfId="16788"/>
    <cellStyle name="Comma 6 47 3 5" xfId="27435"/>
    <cellStyle name="Comma 6 47 4" xfId="7839"/>
    <cellStyle name="Comma 6 47 5" xfId="20716"/>
    <cellStyle name="Comma 6 47 6" xfId="15633"/>
    <cellStyle name="Comma 6 47 7" xfId="29067"/>
    <cellStyle name="Comma 6 48" xfId="1092"/>
    <cellStyle name="Comma 6 48 2" xfId="3553"/>
    <cellStyle name="Comma 6 48 2 2" xfId="10323"/>
    <cellStyle name="Comma 6 48 2 3" xfId="23013"/>
    <cellStyle name="Comma 6 48 2 4" xfId="16862"/>
    <cellStyle name="Comma 6 48 2 5" xfId="30517"/>
    <cellStyle name="Comma 6 48 3" xfId="5554"/>
    <cellStyle name="Comma 6 48 3 2" xfId="12324"/>
    <cellStyle name="Comma 6 48 3 3" xfId="25014"/>
    <cellStyle name="Comma 6 48 3 4" xfId="18650"/>
    <cellStyle name="Comma 6 48 3 5" xfId="27298"/>
    <cellStyle name="Comma 6 48 4" xfId="7862"/>
    <cellStyle name="Comma 6 48 5" xfId="20736"/>
    <cellStyle name="Comma 6 48 6" xfId="17868"/>
    <cellStyle name="Comma 6 48 7" xfId="31996"/>
    <cellStyle name="Comma 6 49" xfId="1114"/>
    <cellStyle name="Comma 6 49 2" xfId="3575"/>
    <cellStyle name="Comma 6 49 2 2" xfId="10345"/>
    <cellStyle name="Comma 6 49 2 3" xfId="23035"/>
    <cellStyle name="Comma 6 49 2 4" xfId="14354"/>
    <cellStyle name="Comma 6 49 2 5" xfId="30353"/>
    <cellStyle name="Comma 6 49 3" xfId="5573"/>
    <cellStyle name="Comma 6 49 3 2" xfId="12343"/>
    <cellStyle name="Comma 6 49 3 3" xfId="25033"/>
    <cellStyle name="Comma 6 49 3 4" xfId="15963"/>
    <cellStyle name="Comma 6 49 3 5" xfId="32320"/>
    <cellStyle name="Comma 6 49 4" xfId="7884"/>
    <cellStyle name="Comma 6 49 5" xfId="20755"/>
    <cellStyle name="Comma 6 49 6" xfId="15355"/>
    <cellStyle name="Comma 6 49 7" xfId="29892"/>
    <cellStyle name="Comma 6 5" xfId="108"/>
    <cellStyle name="Comma 6 5 2" xfId="2592"/>
    <cellStyle name="Comma 6 5 2 2" xfId="9362"/>
    <cellStyle name="Comma 6 5 2 3" xfId="22052"/>
    <cellStyle name="Comma 6 5 2 4" xfId="18362"/>
    <cellStyle name="Comma 6 5 2 5" xfId="26816"/>
    <cellStyle name="Comma 6 5 3" xfId="2700"/>
    <cellStyle name="Comma 6 5 3 2" xfId="9470"/>
    <cellStyle name="Comma 6 5 3 3" xfId="22160"/>
    <cellStyle name="Comma 6 5 3 4" xfId="14004"/>
    <cellStyle name="Comma 6 5 3 5" xfId="26641"/>
    <cellStyle name="Comma 6 5 4" xfId="6878"/>
    <cellStyle name="Comma 6 5 5" xfId="15528"/>
    <cellStyle name="Comma 6 5 6" xfId="19190"/>
    <cellStyle name="Comma 6 5 7" xfId="30725"/>
    <cellStyle name="Comma 6 50" xfId="1137"/>
    <cellStyle name="Comma 6 50 2" xfId="3597"/>
    <cellStyle name="Comma 6 50 2 2" xfId="10367"/>
    <cellStyle name="Comma 6 50 2 3" xfId="23057"/>
    <cellStyle name="Comma 6 50 2 4" xfId="18577"/>
    <cellStyle name="Comma 6 50 2 5" xfId="31495"/>
    <cellStyle name="Comma 6 50 3" xfId="5593"/>
    <cellStyle name="Comma 6 50 3 2" xfId="12363"/>
    <cellStyle name="Comma 6 50 3 3" xfId="25053"/>
    <cellStyle name="Comma 6 50 3 4" xfId="18415"/>
    <cellStyle name="Comma 6 50 3 5" xfId="31382"/>
    <cellStyle name="Comma 6 50 4" xfId="7907"/>
    <cellStyle name="Comma 6 50 5" xfId="20775"/>
    <cellStyle name="Comma 6 50 6" xfId="17587"/>
    <cellStyle name="Comma 6 50 7" xfId="30972"/>
    <cellStyle name="Comma 6 51" xfId="1198"/>
    <cellStyle name="Comma 6 51 2" xfId="3658"/>
    <cellStyle name="Comma 6 51 2 2" xfId="10428"/>
    <cellStyle name="Comma 6 51 2 3" xfId="23118"/>
    <cellStyle name="Comma 6 51 2 4" xfId="15934"/>
    <cellStyle name="Comma 6 51 2 5" xfId="27545"/>
    <cellStyle name="Comma 6 51 3" xfId="5647"/>
    <cellStyle name="Comma 6 51 3 2" xfId="12417"/>
    <cellStyle name="Comma 6 51 3 3" xfId="25107"/>
    <cellStyle name="Comma 6 51 3 4" xfId="20007"/>
    <cellStyle name="Comma 6 51 3 5" xfId="31305"/>
    <cellStyle name="Comma 6 51 4" xfId="7968"/>
    <cellStyle name="Comma 6 51 5" xfId="20829"/>
    <cellStyle name="Comma 6 51 6" xfId="14821"/>
    <cellStyle name="Comma 6 51 7" xfId="31810"/>
    <cellStyle name="Comma 6 52" xfId="935"/>
    <cellStyle name="Comma 6 52 2" xfId="3399"/>
    <cellStyle name="Comma 6 52 2 2" xfId="10169"/>
    <cellStyle name="Comma 6 52 2 3" xfId="22859"/>
    <cellStyle name="Comma 6 52 2 4" xfId="19745"/>
    <cellStyle name="Comma 6 52 2 5" xfId="30791"/>
    <cellStyle name="Comma 6 52 3" xfId="5418"/>
    <cellStyle name="Comma 6 52 3 2" xfId="12188"/>
    <cellStyle name="Comma 6 52 3 3" xfId="24878"/>
    <cellStyle name="Comma 6 52 3 4" xfId="15192"/>
    <cellStyle name="Comma 6 52 3 5" xfId="18580"/>
    <cellStyle name="Comma 6 52 4" xfId="7705"/>
    <cellStyle name="Comma 6 52 5" xfId="20600"/>
    <cellStyle name="Comma 6 52 6" xfId="17198"/>
    <cellStyle name="Comma 6 52 7" xfId="29402"/>
    <cellStyle name="Comma 6 53" xfId="1205"/>
    <cellStyle name="Comma 6 53 2" xfId="3665"/>
    <cellStyle name="Comma 6 53 2 2" xfId="10435"/>
    <cellStyle name="Comma 6 53 2 3" xfId="23125"/>
    <cellStyle name="Comma 6 53 2 4" xfId="15863"/>
    <cellStyle name="Comma 6 53 2 5" xfId="26277"/>
    <cellStyle name="Comma 6 53 3" xfId="5652"/>
    <cellStyle name="Comma 6 53 3 2" xfId="12422"/>
    <cellStyle name="Comma 6 53 3 3" xfId="25112"/>
    <cellStyle name="Comma 6 53 3 4" xfId="15756"/>
    <cellStyle name="Comma 6 53 3 5" xfId="29251"/>
    <cellStyle name="Comma 6 53 4" xfId="7975"/>
    <cellStyle name="Comma 6 53 5" xfId="20834"/>
    <cellStyle name="Comma 6 53 6" xfId="19075"/>
    <cellStyle name="Comma 6 53 7" xfId="28826"/>
    <cellStyle name="Comma 6 54" xfId="1228"/>
    <cellStyle name="Comma 6 54 2" xfId="3688"/>
    <cellStyle name="Comma 6 54 2 2" xfId="10458"/>
    <cellStyle name="Comma 6 54 2 3" xfId="23148"/>
    <cellStyle name="Comma 6 54 2 4" xfId="16149"/>
    <cellStyle name="Comma 6 54 2 5" xfId="28562"/>
    <cellStyle name="Comma 6 54 3" xfId="5672"/>
    <cellStyle name="Comma 6 54 3 2" xfId="12442"/>
    <cellStyle name="Comma 6 54 3 3" xfId="25132"/>
    <cellStyle name="Comma 6 54 3 4" xfId="6792"/>
    <cellStyle name="Comma 6 54 3 5" xfId="28306"/>
    <cellStyle name="Comma 6 54 4" xfId="7998"/>
    <cellStyle name="Comma 6 54 5" xfId="20854"/>
    <cellStyle name="Comma 6 54 6" xfId="13631"/>
    <cellStyle name="Comma 6 54 7" xfId="29685"/>
    <cellStyle name="Comma 6 55" xfId="1251"/>
    <cellStyle name="Comma 6 55 2" xfId="3710"/>
    <cellStyle name="Comma 6 55 2 2" xfId="10480"/>
    <cellStyle name="Comma 6 55 2 3" xfId="23170"/>
    <cellStyle name="Comma 6 55 2 4" xfId="15574"/>
    <cellStyle name="Comma 6 55 2 5" xfId="29432"/>
    <cellStyle name="Comma 6 55 3" xfId="5692"/>
    <cellStyle name="Comma 6 55 3 2" xfId="12462"/>
    <cellStyle name="Comma 6 55 3 3" xfId="25152"/>
    <cellStyle name="Comma 6 55 3 4" xfId="15537"/>
    <cellStyle name="Comma 6 55 3 5" xfId="27096"/>
    <cellStyle name="Comma 6 55 4" xfId="8021"/>
    <cellStyle name="Comma 6 55 5" xfId="20874"/>
    <cellStyle name="Comma 6 55 6" xfId="16824"/>
    <cellStyle name="Comma 6 55 7" xfId="27781"/>
    <cellStyle name="Comma 6 56" xfId="1274"/>
    <cellStyle name="Comma 6 56 2" xfId="3733"/>
    <cellStyle name="Comma 6 56 2 2" xfId="10503"/>
    <cellStyle name="Comma 6 56 2 3" xfId="23193"/>
    <cellStyle name="Comma 6 56 2 4" xfId="17816"/>
    <cellStyle name="Comma 6 56 2 5" xfId="32361"/>
    <cellStyle name="Comma 6 56 3" xfId="5712"/>
    <cellStyle name="Comma 6 56 3 2" xfId="12482"/>
    <cellStyle name="Comma 6 56 3 3" xfId="25172"/>
    <cellStyle name="Comma 6 56 3 4" xfId="17798"/>
    <cellStyle name="Comma 6 56 3 5" xfId="29168"/>
    <cellStyle name="Comma 6 56 4" xfId="8044"/>
    <cellStyle name="Comma 6 56 5" xfId="20894"/>
    <cellStyle name="Comma 6 56 6" xfId="18664"/>
    <cellStyle name="Comma 6 56 7" xfId="30699"/>
    <cellStyle name="Comma 6 57" xfId="1297"/>
    <cellStyle name="Comma 6 57 2" xfId="3755"/>
    <cellStyle name="Comma 6 57 2 2" xfId="10525"/>
    <cellStyle name="Comma 6 57 2 3" xfId="23215"/>
    <cellStyle name="Comma 6 57 2 4" xfId="15304"/>
    <cellStyle name="Comma 6 57 2 5" xfId="29504"/>
    <cellStyle name="Comma 6 57 3" xfId="5732"/>
    <cellStyle name="Comma 6 57 3 2" xfId="12502"/>
    <cellStyle name="Comma 6 57 3 3" xfId="25192"/>
    <cellStyle name="Comma 6 57 3 4" xfId="19538"/>
    <cellStyle name="Comma 6 57 3 5" xfId="27515"/>
    <cellStyle name="Comma 6 57 4" xfId="8067"/>
    <cellStyle name="Comma 6 57 5" xfId="20914"/>
    <cellStyle name="Comma 6 57 6" xfId="15701"/>
    <cellStyle name="Comma 6 57 7" xfId="29367"/>
    <cellStyle name="Comma 6 58" xfId="1320"/>
    <cellStyle name="Comma 6 58 2" xfId="3778"/>
    <cellStyle name="Comma 6 58 2 2" xfId="10548"/>
    <cellStyle name="Comma 6 58 2 3" xfId="23238"/>
    <cellStyle name="Comma 6 58 2 4" xfId="17514"/>
    <cellStyle name="Comma 6 58 2 5" xfId="27568"/>
    <cellStyle name="Comma 6 58 3" xfId="5752"/>
    <cellStyle name="Comma 6 58 3 2" xfId="12522"/>
    <cellStyle name="Comma 6 58 3 3" xfId="25212"/>
    <cellStyle name="Comma 6 58 3 4" xfId="15155"/>
    <cellStyle name="Comma 6 58 3 5" xfId="27006"/>
    <cellStyle name="Comma 6 58 4" xfId="8090"/>
    <cellStyle name="Comma 6 58 5" xfId="20934"/>
    <cellStyle name="Comma 6 58 6" xfId="17924"/>
    <cellStyle name="Comma 6 58 7" xfId="32302"/>
    <cellStyle name="Comma 6 59" xfId="1343"/>
    <cellStyle name="Comma 6 59 2" xfId="3800"/>
    <cellStyle name="Comma 6 59 2 2" xfId="10570"/>
    <cellStyle name="Comma 6 59 2 3" xfId="23260"/>
    <cellStyle name="Comma 6 59 2 4" xfId="15008"/>
    <cellStyle name="Comma 6 59 2 5" xfId="27432"/>
    <cellStyle name="Comma 6 59 3" xfId="5772"/>
    <cellStyle name="Comma 6 59 3 2" xfId="12542"/>
    <cellStyle name="Comma 6 59 3 3" xfId="25232"/>
    <cellStyle name="Comma 6 59 3 4" xfId="17390"/>
    <cellStyle name="Comma 6 59 3 5" xfId="29085"/>
    <cellStyle name="Comma 6 59 4" xfId="8113"/>
    <cellStyle name="Comma 6 59 5" xfId="20954"/>
    <cellStyle name="Comma 6 59 6" xfId="19656"/>
    <cellStyle name="Comma 6 59 7" xfId="27213"/>
    <cellStyle name="Comma 6 6" xfId="131"/>
    <cellStyle name="Comma 6 6 2" xfId="2615"/>
    <cellStyle name="Comma 6 6 2 2" xfId="9385"/>
    <cellStyle name="Comma 6 6 2 3" xfId="22075"/>
    <cellStyle name="Comma 6 6 2 4" xfId="13551"/>
    <cellStyle name="Comma 6 6 2 5" xfId="29809"/>
    <cellStyle name="Comma 6 6 3" xfId="4044"/>
    <cellStyle name="Comma 6 6 3 2" xfId="10814"/>
    <cellStyle name="Comma 6 6 3 3" xfId="23504"/>
    <cellStyle name="Comma 6 6 3 4" xfId="17985"/>
    <cellStyle name="Comma 6 6 3 5" xfId="30121"/>
    <cellStyle name="Comma 6 6 4" xfId="6901"/>
    <cellStyle name="Comma 6 6 5" xfId="15085"/>
    <cellStyle name="Comma 6 6 6" xfId="14752"/>
    <cellStyle name="Comma 6 6 7" xfId="28706"/>
    <cellStyle name="Comma 6 60" xfId="1366"/>
    <cellStyle name="Comma 6 60 2" xfId="3822"/>
    <cellStyle name="Comma 6 60 2 2" xfId="10592"/>
    <cellStyle name="Comma 6 60 2 3" xfId="23282"/>
    <cellStyle name="Comma 6 60 2 4" xfId="19164"/>
    <cellStyle name="Comma 6 60 2 5" xfId="27380"/>
    <cellStyle name="Comma 6 60 3" xfId="5792"/>
    <cellStyle name="Comma 6 60 3 2" xfId="12562"/>
    <cellStyle name="Comma 6 60 3 3" xfId="25252"/>
    <cellStyle name="Comma 6 60 3 4" xfId="19187"/>
    <cellStyle name="Comma 6 60 3 5" xfId="28113"/>
    <cellStyle name="Comma 6 60 4" xfId="8136"/>
    <cellStyle name="Comma 6 60 5" xfId="20974"/>
    <cellStyle name="Comma 6 60 6" xfId="15266"/>
    <cellStyle name="Comma 6 60 7" xfId="30174"/>
    <cellStyle name="Comma 6 61" xfId="1389"/>
    <cellStyle name="Comma 6 61 2" xfId="3845"/>
    <cellStyle name="Comma 6 61 2 2" xfId="10615"/>
    <cellStyle name="Comma 6 61 2 3" xfId="23305"/>
    <cellStyle name="Comma 6 61 2 4" xfId="14700"/>
    <cellStyle name="Comma 6 61 2 5" xfId="30321"/>
    <cellStyle name="Comma 6 61 3" xfId="5812"/>
    <cellStyle name="Comma 6 61 3 2" xfId="12582"/>
    <cellStyle name="Comma 6 61 3 3" xfId="25272"/>
    <cellStyle name="Comma 6 61 3 4" xfId="14771"/>
    <cellStyle name="Comma 6 61 3 5" xfId="26907"/>
    <cellStyle name="Comma 6 61 4" xfId="8159"/>
    <cellStyle name="Comma 6 61 5" xfId="20994"/>
    <cellStyle name="Comma 6 61 6" xfId="17474"/>
    <cellStyle name="Comma 6 61 7" xfId="28324"/>
    <cellStyle name="Comma 6 62" xfId="1412"/>
    <cellStyle name="Comma 6 62 2" xfId="3867"/>
    <cellStyle name="Comma 6 62 2 2" xfId="10637"/>
    <cellStyle name="Comma 6 62 2 3" xfId="23327"/>
    <cellStyle name="Comma 6 62 2 4" xfId="18889"/>
    <cellStyle name="Comma 6 62 2 5" xfId="31460"/>
    <cellStyle name="Comma 6 62 3" xfId="5832"/>
    <cellStyle name="Comma 6 62 3 2" xfId="12602"/>
    <cellStyle name="Comma 6 62 3 3" xfId="25292"/>
    <cellStyle name="Comma 6 62 3 4" xfId="16820"/>
    <cellStyle name="Comma 6 62 3 5" xfId="28999"/>
    <cellStyle name="Comma 6 62 4" xfId="8182"/>
    <cellStyle name="Comma 6 62 5" xfId="21014"/>
    <cellStyle name="Comma 6 62 6" xfId="19245"/>
    <cellStyle name="Comma 6 62 7" xfId="31256"/>
    <cellStyle name="Comma 6 63" xfId="1435"/>
    <cellStyle name="Comma 6 63 2" xfId="3889"/>
    <cellStyle name="Comma 6 63 2 2" xfId="10659"/>
    <cellStyle name="Comma 6 63 2 3" xfId="23349"/>
    <cellStyle name="Comma 6 63 2 4" xfId="16793"/>
    <cellStyle name="Comma 6 63 2 5" xfId="31648"/>
    <cellStyle name="Comma 6 63 3" xfId="5852"/>
    <cellStyle name="Comma 6 63 3 2" xfId="12622"/>
    <cellStyle name="Comma 6 63 3 3" xfId="25312"/>
    <cellStyle name="Comma 6 63 3 4" xfId="18835"/>
    <cellStyle name="Comma 6 63 3 5" xfId="28013"/>
    <cellStyle name="Comma 6 63 4" xfId="8205"/>
    <cellStyle name="Comma 6 63 5" xfId="21034"/>
    <cellStyle name="Comma 6 63 6" xfId="14817"/>
    <cellStyle name="Comma 6 63 7" xfId="29185"/>
    <cellStyle name="Comma 6 64" xfId="1458"/>
    <cellStyle name="Comma 6 64 2" xfId="3912"/>
    <cellStyle name="Comma 6 64 2 2" xfId="10682"/>
    <cellStyle name="Comma 6 64 2 3" xfId="23372"/>
    <cellStyle name="Comma 6 64 2 4" xfId="18615"/>
    <cellStyle name="Comma 6 64 2 5" xfId="26474"/>
    <cellStyle name="Comma 6 64 3" xfId="5872"/>
    <cellStyle name="Comma 6 64 3 2" xfId="12642"/>
    <cellStyle name="Comma 6 64 3 3" xfId="25332"/>
    <cellStyle name="Comma 6 64 3 4" xfId="13588"/>
    <cellStyle name="Comma 6 64 3 5" xfId="26810"/>
    <cellStyle name="Comma 6 64 4" xfId="8228"/>
    <cellStyle name="Comma 6 64 5" xfId="21054"/>
    <cellStyle name="Comma 6 64 6" xfId="16049"/>
    <cellStyle name="Comma 6 64 7" xfId="32112"/>
    <cellStyle name="Comma 6 65" xfId="1481"/>
    <cellStyle name="Comma 6 65 2" xfId="3935"/>
    <cellStyle name="Comma 6 65 2 2" xfId="10705"/>
    <cellStyle name="Comma 6 65 2 3" xfId="23395"/>
    <cellStyle name="Comma 6 65 2 4" xfId="14104"/>
    <cellStyle name="Comma 6 65 2 5" xfId="27583"/>
    <cellStyle name="Comma 6 65 3" xfId="5892"/>
    <cellStyle name="Comma 6 65 3 2" xfId="12662"/>
    <cellStyle name="Comma 6 65 3 3" xfId="25352"/>
    <cellStyle name="Comma 6 65 3 4" xfId="16631"/>
    <cellStyle name="Comma 6 65 3 5" xfId="28916"/>
    <cellStyle name="Comma 6 65 4" xfId="8251"/>
    <cellStyle name="Comma 6 65 5" xfId="21074"/>
    <cellStyle name="Comma 6 65 6" xfId="18837"/>
    <cellStyle name="Comma 6 65 7" xfId="26322"/>
    <cellStyle name="Comma 6 66" xfId="1504"/>
    <cellStyle name="Comma 6 66 2" xfId="3957"/>
    <cellStyle name="Comma 6 66 2 2" xfId="10727"/>
    <cellStyle name="Comma 6 66 2 3" xfId="23417"/>
    <cellStyle name="Comma 6 66 2 4" xfId="18360"/>
    <cellStyle name="Comma 6 66 2 5" xfId="29341"/>
    <cellStyle name="Comma 6 66 3" xfId="5912"/>
    <cellStyle name="Comma 6 66 3 2" xfId="12682"/>
    <cellStyle name="Comma 6 66 3 3" xfId="25372"/>
    <cellStyle name="Comma 6 66 3 4" xfId="18504"/>
    <cellStyle name="Comma 6 66 3 5" xfId="27917"/>
    <cellStyle name="Comma 6 66 4" xfId="8274"/>
    <cellStyle name="Comma 6 66 5" xfId="21094"/>
    <cellStyle name="Comma 6 66 6" xfId="14358"/>
    <cellStyle name="Comma 6 66 7" xfId="29985"/>
    <cellStyle name="Comma 6 67" xfId="1527"/>
    <cellStyle name="Comma 6 67 2" xfId="3979"/>
    <cellStyle name="Comma 6 67 2 2" xfId="10749"/>
    <cellStyle name="Comma 6 67 2 3" xfId="23439"/>
    <cellStyle name="Comma 6 67 2 4" xfId="13818"/>
    <cellStyle name="Comma 6 67 2 5" xfId="27221"/>
    <cellStyle name="Comma 6 67 3" xfId="5932"/>
    <cellStyle name="Comma 6 67 3 2" xfId="12702"/>
    <cellStyle name="Comma 6 67 3 3" xfId="25392"/>
    <cellStyle name="Comma 6 67 3 4" xfId="13955"/>
    <cellStyle name="Comma 6 67 3 5" xfId="26724"/>
    <cellStyle name="Comma 6 67 4" xfId="8297"/>
    <cellStyle name="Comma 6 67 5" xfId="21114"/>
    <cellStyle name="Comma 6 67 6" xfId="16578"/>
    <cellStyle name="Comma 6 67 7" xfId="28112"/>
    <cellStyle name="Comma 6 68" xfId="1550"/>
    <cellStyle name="Comma 6 68 2" xfId="4001"/>
    <cellStyle name="Comma 6 68 2 2" xfId="10771"/>
    <cellStyle name="Comma 6 68 2 3" xfId="23461"/>
    <cellStyle name="Comma 6 68 2 4" xfId="15781"/>
    <cellStyle name="Comma 6 68 2 5" xfId="27487"/>
    <cellStyle name="Comma 6 68 3" xfId="5952"/>
    <cellStyle name="Comma 6 68 3 2" xfId="12722"/>
    <cellStyle name="Comma 6 68 3 3" xfId="25412"/>
    <cellStyle name="Comma 6 68 3 4" xfId="16198"/>
    <cellStyle name="Comma 6 68 3 5" xfId="28824"/>
    <cellStyle name="Comma 6 68 4" xfId="8320"/>
    <cellStyle name="Comma 6 68 5" xfId="21134"/>
    <cellStyle name="Comma 6 68 6" xfId="18425"/>
    <cellStyle name="Comma 6 68 7" xfId="30433"/>
    <cellStyle name="Comma 6 69" xfId="1573"/>
    <cellStyle name="Comma 6 69 2" xfId="4023"/>
    <cellStyle name="Comma 6 69 2 2" xfId="10793"/>
    <cellStyle name="Comma 6 69 2 3" xfId="23483"/>
    <cellStyle name="Comma 6 69 2 4" xfId="19875"/>
    <cellStyle name="Comma 6 69 2 5" xfId="29257"/>
    <cellStyle name="Comma 6 69 3" xfId="5972"/>
    <cellStyle name="Comma 6 69 3 2" xfId="12742"/>
    <cellStyle name="Comma 6 69 3 3" xfId="25432"/>
    <cellStyle name="Comma 6 69 3 4" xfId="20048"/>
    <cellStyle name="Comma 6 69 3 5" xfId="27819"/>
    <cellStyle name="Comma 6 69 4" xfId="8343"/>
    <cellStyle name="Comma 6 69 5" xfId="21154"/>
    <cellStyle name="Comma 6 69 6" xfId="13890"/>
    <cellStyle name="Comma 6 69 7" xfId="28989"/>
    <cellStyle name="Comma 6 7" xfId="154"/>
    <cellStyle name="Comma 6 7 2" xfId="2638"/>
    <cellStyle name="Comma 6 7 2 2" xfId="9408"/>
    <cellStyle name="Comma 6 7 2 3" xfId="22098"/>
    <cellStyle name="Comma 6 7 2 4" xfId="18149"/>
    <cellStyle name="Comma 6 7 2 5" xfId="27913"/>
    <cellStyle name="Comma 6 7 3" xfId="3574"/>
    <cellStyle name="Comma 6 7 3 2" xfId="10344"/>
    <cellStyle name="Comma 6 7 3 3" xfId="23034"/>
    <cellStyle name="Comma 6 7 3 4" xfId="16727"/>
    <cellStyle name="Comma 6 7 3 5" xfId="28558"/>
    <cellStyle name="Comma 6 7 4" xfId="6924"/>
    <cellStyle name="Comma 6 7 5" xfId="13660"/>
    <cellStyle name="Comma 6 7 6" xfId="16975"/>
    <cellStyle name="Comma 6 7 7" xfId="31642"/>
    <cellStyle name="Comma 6 70" xfId="1596"/>
    <cellStyle name="Comma 6 70 2" xfId="4045"/>
    <cellStyle name="Comma 6 70 2 2" xfId="10815"/>
    <cellStyle name="Comma 6 70 2 3" xfId="23505"/>
    <cellStyle name="Comma 6 70 2 4" xfId="16125"/>
    <cellStyle name="Comma 6 70 2 5" xfId="27124"/>
    <cellStyle name="Comma 6 70 3" xfId="5992"/>
    <cellStyle name="Comma 6 70 3 2" xfId="12762"/>
    <cellStyle name="Comma 6 70 3 3" xfId="25452"/>
    <cellStyle name="Comma 6 70 3 4" xfId="15680"/>
    <cellStyle name="Comma 6 70 3 5" xfId="26313"/>
    <cellStyle name="Comma 6 70 4" xfId="8366"/>
    <cellStyle name="Comma 6 70 5" xfId="21174"/>
    <cellStyle name="Comma 6 70 6" xfId="18234"/>
    <cellStyle name="Comma 6 70 7" xfId="31920"/>
    <cellStyle name="Comma 6 71" xfId="1619"/>
    <cellStyle name="Comma 6 71 2" xfId="4067"/>
    <cellStyle name="Comma 6 71 2 2" xfId="10837"/>
    <cellStyle name="Comma 6 71 2 3" xfId="23527"/>
    <cellStyle name="Comma 6 71 2 4" xfId="15365"/>
    <cellStyle name="Comma 6 71 2 5" xfId="27476"/>
    <cellStyle name="Comma 6 71 3" xfId="6012"/>
    <cellStyle name="Comma 6 71 3 2" xfId="12782"/>
    <cellStyle name="Comma 6 71 3 3" xfId="25472"/>
    <cellStyle name="Comma 6 71 3 4" xfId="18001"/>
    <cellStyle name="Comma 6 71 3 5" xfId="28732"/>
    <cellStyle name="Comma 6 71 4" xfId="8389"/>
    <cellStyle name="Comma 6 71 5" xfId="21194"/>
    <cellStyle name="Comma 6 71 6" xfId="18529"/>
    <cellStyle name="Comma 6 71 7" xfId="26790"/>
    <cellStyle name="Comma 6 72" xfId="1650"/>
    <cellStyle name="Comma 6 72 2" xfId="4098"/>
    <cellStyle name="Comma 6 72 2 2" xfId="10868"/>
    <cellStyle name="Comma 6 72 2 3" xfId="23558"/>
    <cellStyle name="Comma 6 72 2 4" xfId="19434"/>
    <cellStyle name="Comma 6 72 2 5" xfId="30045"/>
    <cellStyle name="Comma 6 72 3" xfId="6039"/>
    <cellStyle name="Comma 6 72 3 2" xfId="12809"/>
    <cellStyle name="Comma 6 72 3 3" xfId="25499"/>
    <cellStyle name="Comma 6 72 3 4" xfId="17845"/>
    <cellStyle name="Comma 6 72 3 5" xfId="29578"/>
    <cellStyle name="Comma 6 72 4" xfId="8420"/>
    <cellStyle name="Comma 6 72 5" xfId="21221"/>
    <cellStyle name="Comma 6 72 6" xfId="18088"/>
    <cellStyle name="Comma 6 72 7" xfId="31847"/>
    <cellStyle name="Comma 6 73" xfId="1201"/>
    <cellStyle name="Comma 6 73 2" xfId="3661"/>
    <cellStyle name="Comma 6 73 2 2" xfId="10431"/>
    <cellStyle name="Comma 6 73 2 3" xfId="23121"/>
    <cellStyle name="Comma 6 73 2 4" xfId="18264"/>
    <cellStyle name="Comma 6 73 2 5" xfId="31434"/>
    <cellStyle name="Comma 6 73 3" xfId="5650"/>
    <cellStyle name="Comma 6 73 3 2" xfId="12420"/>
    <cellStyle name="Comma 6 73 3 3" xfId="25110"/>
    <cellStyle name="Comma 6 73 3 4" xfId="19983"/>
    <cellStyle name="Comma 6 73 3 5" xfId="27157"/>
    <cellStyle name="Comma 6 73 4" xfId="7971"/>
    <cellStyle name="Comma 6 73 5" xfId="20832"/>
    <cellStyle name="Comma 6 73 6" xfId="14799"/>
    <cellStyle name="Comma 6 73 7" xfId="27864"/>
    <cellStyle name="Comma 6 74" xfId="1685"/>
    <cellStyle name="Comma 6 74 2" xfId="4132"/>
    <cellStyle name="Comma 6 74 2 2" xfId="10902"/>
    <cellStyle name="Comma 6 74 2 3" xfId="23592"/>
    <cellStyle name="Comma 6 74 2 4" xfId="17320"/>
    <cellStyle name="Comma 6 74 2 5" xfId="30431"/>
    <cellStyle name="Comma 6 74 3" xfId="6070"/>
    <cellStyle name="Comma 6 74 3 2" xfId="12840"/>
    <cellStyle name="Comma 6 74 3 3" xfId="25530"/>
    <cellStyle name="Comma 6 74 3 4" xfId="15267"/>
    <cellStyle name="Comma 6 74 3 5" xfId="26484"/>
    <cellStyle name="Comma 6 74 4" xfId="8455"/>
    <cellStyle name="Comma 6 74 5" xfId="21252"/>
    <cellStyle name="Comma 6 74 6" xfId="19730"/>
    <cellStyle name="Comma 6 74 7" xfId="26690"/>
    <cellStyle name="Comma 6 75" xfId="1708"/>
    <cellStyle name="Comma 6 75 2" xfId="4154"/>
    <cellStyle name="Comma 6 75 2 2" xfId="10924"/>
    <cellStyle name="Comma 6 75 2 3" xfId="23614"/>
    <cellStyle name="Comma 6 75 2 4" xfId="14811"/>
    <cellStyle name="Comma 6 75 2 5" xfId="32039"/>
    <cellStyle name="Comma 6 75 3" xfId="6090"/>
    <cellStyle name="Comma 6 75 3 2" xfId="12860"/>
    <cellStyle name="Comma 6 75 3 3" xfId="25550"/>
    <cellStyle name="Comma 6 75 3 4" xfId="17494"/>
    <cellStyle name="Comma 6 75 3 5" xfId="28606"/>
    <cellStyle name="Comma 6 75 4" xfId="8478"/>
    <cellStyle name="Comma 6 75 5" xfId="21272"/>
    <cellStyle name="Comma 6 75 6" xfId="15328"/>
    <cellStyle name="Comma 6 75 7" xfId="29682"/>
    <cellStyle name="Comma 6 76" xfId="1731"/>
    <cellStyle name="Comma 6 76 2" xfId="4175"/>
    <cellStyle name="Comma 6 76 2 2" xfId="10945"/>
    <cellStyle name="Comma 6 76 2 3" xfId="23635"/>
    <cellStyle name="Comma 6 76 2 4" xfId="13688"/>
    <cellStyle name="Comma 6 76 2 5" xfId="28100"/>
    <cellStyle name="Comma 6 76 3" xfId="6110"/>
    <cellStyle name="Comma 6 76 3 2" xfId="12880"/>
    <cellStyle name="Comma 6 76 3 3" xfId="25570"/>
    <cellStyle name="Comma 6 76 3 4" xfId="19287"/>
    <cellStyle name="Comma 6 76 3 5" xfId="27569"/>
    <cellStyle name="Comma 6 76 4" xfId="8501"/>
    <cellStyle name="Comma 6 76 5" xfId="21292"/>
    <cellStyle name="Comma 6 76 6" xfId="17560"/>
    <cellStyle name="Comma 6 76 7" xfId="27774"/>
    <cellStyle name="Comma 6 77" xfId="1754"/>
    <cellStyle name="Comma 6 77 2" xfId="4198"/>
    <cellStyle name="Comma 6 77 2 2" xfId="10968"/>
    <cellStyle name="Comma 6 77 2 3" xfId="23658"/>
    <cellStyle name="Comma 6 77 2 4" xfId="16881"/>
    <cellStyle name="Comma 6 77 2 5" xfId="30419"/>
    <cellStyle name="Comma 6 77 3" xfId="6130"/>
    <cellStyle name="Comma 6 77 3 2" xfId="12900"/>
    <cellStyle name="Comma 6 77 3 3" xfId="25590"/>
    <cellStyle name="Comma 6 77 3 4" xfId="13696"/>
    <cellStyle name="Comma 6 77 3 5" xfId="27404"/>
    <cellStyle name="Comma 6 77 4" xfId="8524"/>
    <cellStyle name="Comma 6 77 5" xfId="21312"/>
    <cellStyle name="Comma 6 77 6" xfId="19324"/>
    <cellStyle name="Comma 6 77 7" xfId="28711"/>
    <cellStyle name="Comma 6 78" xfId="1777"/>
    <cellStyle name="Comma 6 78 2" xfId="4220"/>
    <cellStyle name="Comma 6 78 2 2" xfId="10990"/>
    <cellStyle name="Comma 6 78 2 3" xfId="23680"/>
    <cellStyle name="Comma 6 78 2 4" xfId="14375"/>
    <cellStyle name="Comma 6 78 2 5" xfId="31945"/>
    <cellStyle name="Comma 6 78 3" xfId="6150"/>
    <cellStyle name="Comma 6 78 3 2" xfId="12920"/>
    <cellStyle name="Comma 6 78 3 3" xfId="25610"/>
    <cellStyle name="Comma 6 78 3 4" xfId="17108"/>
    <cellStyle name="Comma 6 78 3 5" xfId="29451"/>
    <cellStyle name="Comma 6 78 4" xfId="8547"/>
    <cellStyle name="Comma 6 78 5" xfId="21332"/>
    <cellStyle name="Comma 6 78 6" xfId="13715"/>
    <cellStyle name="Comma 6 78 7" xfId="31645"/>
    <cellStyle name="Comma 6 79" xfId="1800"/>
    <cellStyle name="Comma 6 79 2" xfId="4242"/>
    <cellStyle name="Comma 6 79 2 2" xfId="11012"/>
    <cellStyle name="Comma 6 79 2 3" xfId="23702"/>
    <cellStyle name="Comma 6 79 2 4" xfId="17789"/>
    <cellStyle name="Comma 6 79 2 5" xfId="29838"/>
    <cellStyle name="Comma 6 79 3" xfId="6170"/>
    <cellStyle name="Comma 6 79 3 2" xfId="12940"/>
    <cellStyle name="Comma 6 79 3 3" xfId="25630"/>
    <cellStyle name="Comma 6 79 3 4" xfId="18934"/>
    <cellStyle name="Comma 6 79 3 5" xfId="28515"/>
    <cellStyle name="Comma 6 79 4" xfId="8570"/>
    <cellStyle name="Comma 6 79 5" xfId="21352"/>
    <cellStyle name="Comma 6 79 6" xfId="17105"/>
    <cellStyle name="Comma 6 79 7" xfId="26471"/>
    <cellStyle name="Comma 6 8" xfId="177"/>
    <cellStyle name="Comma 6 8 2" xfId="2659"/>
    <cellStyle name="Comma 6 8 2 2" xfId="9429"/>
    <cellStyle name="Comma 6 8 2 3" xfId="22119"/>
    <cellStyle name="Comma 6 8 2 4" xfId="16671"/>
    <cellStyle name="Comma 6 8 2 5" xfId="31825"/>
    <cellStyle name="Comma 6 8 3" xfId="3108"/>
    <cellStyle name="Comma 6 8 3 2" xfId="9878"/>
    <cellStyle name="Comma 6 8 3 3" xfId="22568"/>
    <cellStyle name="Comma 6 8 3 4" xfId="19566"/>
    <cellStyle name="Comma 6 8 3 5" xfId="27123"/>
    <cellStyle name="Comma 6 8 4" xfId="6947"/>
    <cellStyle name="Comma 6 8 5" xfId="14188"/>
    <cellStyle name="Comma 6 8 6" xfId="18781"/>
    <cellStyle name="Comma 6 8 7" xfId="27329"/>
    <cellStyle name="Comma 6 80" xfId="1823"/>
    <cellStyle name="Comma 6 80 2" xfId="4265"/>
    <cellStyle name="Comma 6 80 2 2" xfId="11035"/>
    <cellStyle name="Comma 6 80 2 3" xfId="23725"/>
    <cellStyle name="Comma 6 80 2 4" xfId="14060"/>
    <cellStyle name="Comma 6 80 2 5" xfId="27438"/>
    <cellStyle name="Comma 6 80 3" xfId="6190"/>
    <cellStyle name="Comma 6 80 3 2" xfId="12960"/>
    <cellStyle name="Comma 6 80 3 3" xfId="25650"/>
    <cellStyle name="Comma 6 80 3 4" xfId="14467"/>
    <cellStyle name="Comma 6 80 3 5" xfId="27309"/>
    <cellStyle name="Comma 6 80 4" xfId="8593"/>
    <cellStyle name="Comma 6 80 5" xfId="21372"/>
    <cellStyle name="Comma 6 80 6" xfId="18913"/>
    <cellStyle name="Comma 6 80 7" xfId="30249"/>
    <cellStyle name="Comma 6 81" xfId="1846"/>
    <cellStyle name="Comma 6 81 2" xfId="4287"/>
    <cellStyle name="Comma 6 81 2 2" xfId="11057"/>
    <cellStyle name="Comma 6 81 2 3" xfId="23747"/>
    <cellStyle name="Comma 6 81 2 4" xfId="18320"/>
    <cellStyle name="Comma 6 81 2 5" xfId="28883"/>
    <cellStyle name="Comma 6 81 3" xfId="6210"/>
    <cellStyle name="Comma 6 81 3 2" xfId="12980"/>
    <cellStyle name="Comma 6 81 3 3" xfId="25670"/>
    <cellStyle name="Comma 6 81 3 4" xfId="16712"/>
    <cellStyle name="Comma 6 81 3 5" xfId="29363"/>
    <cellStyle name="Comma 6 81 4" xfId="8616"/>
    <cellStyle name="Comma 6 81 5" xfId="21392"/>
    <cellStyle name="Comma 6 81 6" xfId="14443"/>
    <cellStyle name="Comma 6 81 7" xfId="28406"/>
    <cellStyle name="Comma 6 82" xfId="1869"/>
    <cellStyle name="Comma 6 82 2" xfId="4309"/>
    <cellStyle name="Comma 6 82 2 2" xfId="11079"/>
    <cellStyle name="Comma 6 82 2 3" xfId="23769"/>
    <cellStyle name="Comma 6 82 2 4" xfId="18262"/>
    <cellStyle name="Comma 6 82 2 5" xfId="26709"/>
    <cellStyle name="Comma 6 82 3" xfId="6230"/>
    <cellStyle name="Comma 6 82 3 2" xfId="13000"/>
    <cellStyle name="Comma 6 82 3 3" xfId="25690"/>
    <cellStyle name="Comma 6 82 3 4" xfId="16362"/>
    <cellStyle name="Comma 6 82 3 5" xfId="28419"/>
    <cellStyle name="Comma 6 82 4" xfId="8639"/>
    <cellStyle name="Comma 6 82 5" xfId="21412"/>
    <cellStyle name="Comma 6 82 6" xfId="16646"/>
    <cellStyle name="Comma 6 82 7" xfId="30467"/>
    <cellStyle name="Comma 6 83" xfId="1892"/>
    <cellStyle name="Comma 6 83 2" xfId="4331"/>
    <cellStyle name="Comma 6 83 2 2" xfId="11101"/>
    <cellStyle name="Comma 6 83 2 3" xfId="23791"/>
    <cellStyle name="Comma 6 83 2 4" xfId="15738"/>
    <cellStyle name="Comma 6 83 2 5" xfId="28476"/>
    <cellStyle name="Comma 6 83 3" xfId="6250"/>
    <cellStyle name="Comma 6 83 3 2" xfId="13020"/>
    <cellStyle name="Comma 6 83 3 3" xfId="25710"/>
    <cellStyle name="Comma 6 83 3 4" xfId="14069"/>
    <cellStyle name="Comma 6 83 3 5" xfId="27226"/>
    <cellStyle name="Comma 6 83 4" xfId="8662"/>
    <cellStyle name="Comma 6 83 5" xfId="21432"/>
    <cellStyle name="Comma 6 83 6" xfId="18502"/>
    <cellStyle name="Comma 6 83 7" xfId="29267"/>
    <cellStyle name="Comma 6 84" xfId="1914"/>
    <cellStyle name="Comma 6 84 2" xfId="4352"/>
    <cellStyle name="Comma 6 84 2 2" xfId="11122"/>
    <cellStyle name="Comma 6 84 2 3" xfId="23812"/>
    <cellStyle name="Comma 6 84 2 4" xfId="15602"/>
    <cellStyle name="Comma 6 84 2 5" xfId="32329"/>
    <cellStyle name="Comma 6 84 3" xfId="6269"/>
    <cellStyle name="Comma 6 84 3 2" xfId="13039"/>
    <cellStyle name="Comma 6 84 3 3" xfId="25729"/>
    <cellStyle name="Comma 6 84 3 4" xfId="8854"/>
    <cellStyle name="Comma 6 84 3 5" xfId="32252"/>
    <cellStyle name="Comma 6 84 4" xfId="8684"/>
    <cellStyle name="Comma 6 84 5" xfId="21451"/>
    <cellStyle name="Comma 6 84 6" xfId="16355"/>
    <cellStyle name="Comma 6 84 7" xfId="27135"/>
    <cellStyle name="Comma 6 85" xfId="1936"/>
    <cellStyle name="Comma 6 85 2" xfId="4373"/>
    <cellStyle name="Comma 6 85 2 2" xfId="11143"/>
    <cellStyle name="Comma 6 85 2 3" xfId="23833"/>
    <cellStyle name="Comma 6 85 2 4" xfId="15489"/>
    <cellStyle name="Comma 6 85 2 5" xfId="28411"/>
    <cellStyle name="Comma 6 85 3" xfId="6288"/>
    <cellStyle name="Comma 6 85 3 2" xfId="13058"/>
    <cellStyle name="Comma 6 85 3 3" xfId="25748"/>
    <cellStyle name="Comma 6 85 3 4" xfId="8466"/>
    <cellStyle name="Comma 6 85 3 5" xfId="29262"/>
    <cellStyle name="Comma 6 85 4" xfId="8706"/>
    <cellStyle name="Comma 6 85 5" xfId="21470"/>
    <cellStyle name="Comma 6 85 6" xfId="13578"/>
    <cellStyle name="Comma 6 85 7" xfId="27488"/>
    <cellStyle name="Comma 6 86" xfId="1959"/>
    <cellStyle name="Comma 6 86 2" xfId="4396"/>
    <cellStyle name="Comma 6 86 2 2" xfId="11166"/>
    <cellStyle name="Comma 6 86 2 3" xfId="23856"/>
    <cellStyle name="Comma 6 86 2 4" xfId="17707"/>
    <cellStyle name="Comma 6 86 2 5" xfId="31357"/>
    <cellStyle name="Comma 6 86 3" xfId="6308"/>
    <cellStyle name="Comma 6 86 3 2" xfId="13078"/>
    <cellStyle name="Comma 6 86 3 3" xfId="25768"/>
    <cellStyle name="Comma 6 86 3 4" xfId="8055"/>
    <cellStyle name="Comma 6 86 3 5" xfId="28310"/>
    <cellStyle name="Comma 6 86 4" xfId="8729"/>
    <cellStyle name="Comma 6 86 5" xfId="21490"/>
    <cellStyle name="Comma 6 86 6" xfId="18170"/>
    <cellStyle name="Comma 6 86 7" xfId="31213"/>
    <cellStyle name="Comma 6 87" xfId="1982"/>
    <cellStyle name="Comma 6 87 2" xfId="4418"/>
    <cellStyle name="Comma 6 87 2 2" xfId="11188"/>
    <cellStyle name="Comma 6 87 2 3" xfId="23878"/>
    <cellStyle name="Comma 6 87 2 4" xfId="15195"/>
    <cellStyle name="Comma 6 87 2 5" xfId="32237"/>
    <cellStyle name="Comma 6 87 3" xfId="6328"/>
    <cellStyle name="Comma 6 87 3 2" xfId="13098"/>
    <cellStyle name="Comma 6 87 3 3" xfId="25788"/>
    <cellStyle name="Comma 6 87 3 4" xfId="7646"/>
    <cellStyle name="Comma 6 87 3 5" xfId="27110"/>
    <cellStyle name="Comma 6 87 4" xfId="8752"/>
    <cellStyle name="Comma 6 87 5" xfId="21510"/>
    <cellStyle name="Comma 6 87 6" xfId="18271"/>
    <cellStyle name="Comma 6 87 7" xfId="29139"/>
    <cellStyle name="Comma 6 88" xfId="2004"/>
    <cellStyle name="Comma 6 88 2" xfId="4440"/>
    <cellStyle name="Comma 6 88 2 2" xfId="11210"/>
    <cellStyle name="Comma 6 88 2 3" xfId="23900"/>
    <cellStyle name="Comma 6 88 2 4" xfId="19337"/>
    <cellStyle name="Comma 6 88 2 5" xfId="30135"/>
    <cellStyle name="Comma 6 88 3" xfId="6347"/>
    <cellStyle name="Comma 6 88 3 2" xfId="13117"/>
    <cellStyle name="Comma 6 88 3 3" xfId="25807"/>
    <cellStyle name="Comma 6 88 3 4" xfId="7233"/>
    <cellStyle name="Comma 6 88 3 5" xfId="32144"/>
    <cellStyle name="Comma 6 88 4" xfId="8774"/>
    <cellStyle name="Comma 6 88 5" xfId="21529"/>
    <cellStyle name="Comma 6 88 6" xfId="16114"/>
    <cellStyle name="Comma 6 88 7" xfId="27004"/>
    <cellStyle name="Comma 6 89" xfId="2027"/>
    <cellStyle name="Comma 6 89 2" xfId="4462"/>
    <cellStyle name="Comma 6 89 2 2" xfId="11232"/>
    <cellStyle name="Comma 6 89 2 3" xfId="23922"/>
    <cellStyle name="Comma 6 89 2 4" xfId="17273"/>
    <cellStyle name="Comma 6 89 2 5" xfId="31261"/>
    <cellStyle name="Comma 6 89 3" xfId="6367"/>
    <cellStyle name="Comma 6 89 3 2" xfId="13137"/>
    <cellStyle name="Comma 6 89 3 3" xfId="25827"/>
    <cellStyle name="Comma 6 89 3 4" xfId="9102"/>
    <cellStyle name="Comma 6 89 3 5" xfId="31188"/>
    <cellStyle name="Comma 6 89 4" xfId="8797"/>
    <cellStyle name="Comma 6 89 5" xfId="21549"/>
    <cellStyle name="Comma 6 89 6" xfId="19940"/>
    <cellStyle name="Comma 6 89 7" xfId="29975"/>
    <cellStyle name="Comma 6 9" xfId="200"/>
    <cellStyle name="Comma 6 9 2" xfId="2680"/>
    <cellStyle name="Comma 6 9 2 2" xfId="9450"/>
    <cellStyle name="Comma 6 9 2 3" xfId="22140"/>
    <cellStyle name="Comma 6 9 2 4" xfId="16517"/>
    <cellStyle name="Comma 6 9 2 5" xfId="27847"/>
    <cellStyle name="Comma 6 9 3" xfId="4783"/>
    <cellStyle name="Comma 6 9 3 2" xfId="11553"/>
    <cellStyle name="Comma 6 9 3 3" xfId="24243"/>
    <cellStyle name="Comma 6 9 3 4" xfId="16083"/>
    <cellStyle name="Comma 6 9 3 5" xfId="26296"/>
    <cellStyle name="Comma 6 9 4" xfId="6970"/>
    <cellStyle name="Comma 6 9 5" xfId="15796"/>
    <cellStyle name="Comma 6 9 6" xfId="14294"/>
    <cellStyle name="Comma 6 9 7" xfId="30266"/>
    <cellStyle name="Comma 6 90" xfId="2050"/>
    <cellStyle name="Comma 6 90 2" xfId="4484"/>
    <cellStyle name="Comma 6 90 2 2" xfId="11254"/>
    <cellStyle name="Comma 6 90 2 3" xfId="23944"/>
    <cellStyle name="Comma 6 90 2 4" xfId="14766"/>
    <cellStyle name="Comma 6 90 2 5" xfId="32145"/>
    <cellStyle name="Comma 6 90 3" xfId="6387"/>
    <cellStyle name="Comma 6 90 3 2" xfId="13157"/>
    <cellStyle name="Comma 6 90 3 3" xfId="25847"/>
    <cellStyle name="Comma 6 90 3 4" xfId="13871"/>
    <cellStyle name="Comma 6 90 3 5" xfId="30024"/>
    <cellStyle name="Comma 6 90 4" xfId="8820"/>
    <cellStyle name="Comma 6 90 5" xfId="21569"/>
    <cellStyle name="Comma 6 90 6" xfId="13854"/>
    <cellStyle name="Comma 6 90 7" xfId="28101"/>
    <cellStyle name="Comma 6 91" xfId="2073"/>
    <cellStyle name="Comma 6 91 2" xfId="4505"/>
    <cellStyle name="Comma 6 91 2 2" xfId="11275"/>
    <cellStyle name="Comma 6 91 2 3" xfId="23965"/>
    <cellStyle name="Comma 6 91 2 4" xfId="14632"/>
    <cellStyle name="Comma 6 91 2 5" xfId="28219"/>
    <cellStyle name="Comma 6 91 3" xfId="6407"/>
    <cellStyle name="Comma 6 91 3 2" xfId="13177"/>
    <cellStyle name="Comma 6 91 3 3" xfId="25867"/>
    <cellStyle name="Comma 6 91 3 4" xfId="18212"/>
    <cellStyle name="Comma 6 91 3 5" xfId="32062"/>
    <cellStyle name="Comma 6 91 4" xfId="8843"/>
    <cellStyle name="Comma 6 91 5" xfId="21589"/>
    <cellStyle name="Comma 6 91 6" xfId="18239"/>
    <cellStyle name="Comma 6 91 7" xfId="31034"/>
    <cellStyle name="Comma 6 92" xfId="2096"/>
    <cellStyle name="Comma 6 92 2" xfId="4527"/>
    <cellStyle name="Comma 6 92 2 2" xfId="11297"/>
    <cellStyle name="Comma 6 92 2 3" xfId="23987"/>
    <cellStyle name="Comma 6 92 2 4" xfId="18811"/>
    <cellStyle name="Comma 6 92 2 5" xfId="29127"/>
    <cellStyle name="Comma 6 92 3" xfId="6427"/>
    <cellStyle name="Comma 6 92 3 2" xfId="13197"/>
    <cellStyle name="Comma 6 92 3 3" xfId="25887"/>
    <cellStyle name="Comma 6 92 3 4" xfId="15919"/>
    <cellStyle name="Comma 6 92 3 5" xfId="31091"/>
    <cellStyle name="Comma 6 92 4" xfId="8866"/>
    <cellStyle name="Comma 6 92 5" xfId="21609"/>
    <cellStyle name="Comma 6 92 6" xfId="19922"/>
    <cellStyle name="Comma 6 92 7" xfId="28978"/>
    <cellStyle name="Comma 6 93" xfId="2119"/>
    <cellStyle name="Comma 6 93 2" xfId="4548"/>
    <cellStyle name="Comma 6 93 2 2" xfId="11318"/>
    <cellStyle name="Comma 6 93 2 3" xfId="24008"/>
    <cellStyle name="Comma 6 93 2 4" xfId="18692"/>
    <cellStyle name="Comma 6 93 2 5" xfId="29990"/>
    <cellStyle name="Comma 6 93 3" xfId="6447"/>
    <cellStyle name="Comma 6 93 3 2" xfId="13217"/>
    <cellStyle name="Comma 6 93 3 3" xfId="25907"/>
    <cellStyle name="Comma 6 93 3 4" xfId="17976"/>
    <cellStyle name="Comma 6 93 3 5" xfId="29942"/>
    <cellStyle name="Comma 6 93 4" xfId="8889"/>
    <cellStyle name="Comma 6 93 5" xfId="21629"/>
    <cellStyle name="Comma 6 93 6" xfId="13968"/>
    <cellStyle name="Comma 6 93 7" xfId="31911"/>
    <cellStyle name="Comma 6 94" xfId="2141"/>
    <cellStyle name="Comma 6 94 2" xfId="4569"/>
    <cellStyle name="Comma 6 94 2 2" xfId="11339"/>
    <cellStyle name="Comma 6 94 2 3" xfId="24029"/>
    <cellStyle name="Comma 6 94 2 4" xfId="18574"/>
    <cellStyle name="Comma 6 94 2 5" xfId="29060"/>
    <cellStyle name="Comma 6 94 3" xfId="6466"/>
    <cellStyle name="Comma 6 94 3 2" xfId="13236"/>
    <cellStyle name="Comma 6 94 3 3" xfId="25926"/>
    <cellStyle name="Comma 6 94 3 4" xfId="15504"/>
    <cellStyle name="Comma 6 94 3 5" xfId="26887"/>
    <cellStyle name="Comma 6 94 4" xfId="8911"/>
    <cellStyle name="Comma 6 94 5" xfId="21648"/>
    <cellStyle name="Comma 6 94 6" xfId="15581"/>
    <cellStyle name="Comma 6 94 7" xfId="29811"/>
    <cellStyle name="Comma 6 95" xfId="2197"/>
    <cellStyle name="Comma 6 95 2" xfId="4622"/>
    <cellStyle name="Comma 6 95 2 2" xfId="11392"/>
    <cellStyle name="Comma 6 95 2 3" xfId="24082"/>
    <cellStyle name="Comma 6 95 2 4" xfId="13840"/>
    <cellStyle name="Comma 6 95 2 5" xfId="31951"/>
    <cellStyle name="Comma 6 95 3" xfId="6516"/>
    <cellStyle name="Comma 6 95 3 2" xfId="13286"/>
    <cellStyle name="Comma 6 95 3 3" xfId="25976"/>
    <cellStyle name="Comma 6 95 3 4" xfId="17549"/>
    <cellStyle name="Comma 6 95 3 5" xfId="28948"/>
    <cellStyle name="Comma 6 95 4" xfId="8967"/>
    <cellStyle name="Comma 6 95 5" xfId="21698"/>
    <cellStyle name="Comma 6 95 6" xfId="16030"/>
    <cellStyle name="Comma 6 95 7" xfId="31024"/>
    <cellStyle name="Comma 6 96" xfId="2228"/>
    <cellStyle name="Comma 6 96 2" xfId="4651"/>
    <cellStyle name="Comma 6 96 2 2" xfId="11421"/>
    <cellStyle name="Comma 6 96 2 3" xfId="24111"/>
    <cellStyle name="Comma 6 96 2 4" xfId="18145"/>
    <cellStyle name="Comma 6 96 2 5" xfId="26316"/>
    <cellStyle name="Comma 6 96 3" xfId="6541"/>
    <cellStyle name="Comma 6 96 3 2" xfId="13311"/>
    <cellStyle name="Comma 6 96 3 3" xfId="26001"/>
    <cellStyle name="Comma 6 96 3 4" xfId="15020"/>
    <cellStyle name="Comma 6 96 3 5" xfId="30908"/>
    <cellStyle name="Comma 6 96 4" xfId="8998"/>
    <cellStyle name="Comma 6 96 5" xfId="21723"/>
    <cellStyle name="Comma 6 96 6" xfId="13652"/>
    <cellStyle name="Comma 6 96 7" xfId="28781"/>
    <cellStyle name="Comma 6 97" xfId="2222"/>
    <cellStyle name="Comma 6 97 2" xfId="4645"/>
    <cellStyle name="Comma 6 97 2 2" xfId="11415"/>
    <cellStyle name="Comma 6 97 2 3" xfId="24105"/>
    <cellStyle name="Comma 6 97 2 4" xfId="18186"/>
    <cellStyle name="Comma 6 97 2 5" xfId="26814"/>
    <cellStyle name="Comma 6 97 3" xfId="6539"/>
    <cellStyle name="Comma 6 97 3 2" xfId="13309"/>
    <cellStyle name="Comma 6 97 3 3" xfId="25999"/>
    <cellStyle name="Comma 6 97 3 4" xfId="19312"/>
    <cellStyle name="Comma 6 97 3 5" xfId="31880"/>
    <cellStyle name="Comma 6 97 4" xfId="8992"/>
    <cellStyle name="Comma 6 97 5" xfId="21721"/>
    <cellStyle name="Comma 6 97 6" xfId="15059"/>
    <cellStyle name="Comma 6 97 7" xfId="28792"/>
    <cellStyle name="Comma 6 98" xfId="2233"/>
    <cellStyle name="Comma 6 98 2" xfId="4655"/>
    <cellStyle name="Comma 6 98 2 2" xfId="11425"/>
    <cellStyle name="Comma 6 98 2 3" xfId="24115"/>
    <cellStyle name="Comma 6 98 2 4" xfId="15737"/>
    <cellStyle name="Comma 6 98 2 5" xfId="27472"/>
    <cellStyle name="Comma 6 98 3" xfId="6544"/>
    <cellStyle name="Comma 6 98 3 2" xfId="13314"/>
    <cellStyle name="Comma 6 98 3 3" xfId="26004"/>
    <cellStyle name="Comma 6 98 3 4" xfId="14999"/>
    <cellStyle name="Comma 6 98 3 5" xfId="26764"/>
    <cellStyle name="Comma 6 98 4" xfId="9003"/>
    <cellStyle name="Comma 6 98 5" xfId="21726"/>
    <cellStyle name="Comma 6 98 6" xfId="17374"/>
    <cellStyle name="Comma 6 98 7" xfId="31745"/>
    <cellStyle name="Comma 6 99" xfId="2255"/>
    <cellStyle name="Comma 6 99 2" xfId="4677"/>
    <cellStyle name="Comma 6 99 2 2" xfId="11447"/>
    <cellStyle name="Comma 6 99 2 3" xfId="24137"/>
    <cellStyle name="Comma 6 99 2 4" xfId="19701"/>
    <cellStyle name="Comma 6 99 2 5" xfId="28909"/>
    <cellStyle name="Comma 6 99 3" xfId="6563"/>
    <cellStyle name="Comma 6 99 3 2" xfId="13333"/>
    <cellStyle name="Comma 6 99 3 3" xfId="26023"/>
    <cellStyle name="Comma 6 99 3 4" xfId="19176"/>
    <cellStyle name="Comma 6 99 3 5" xfId="31842"/>
    <cellStyle name="Comma 6 99 4" xfId="9025"/>
    <cellStyle name="Comma 6 99 5" xfId="21745"/>
    <cellStyle name="Comma 6 99 6" xfId="14842"/>
    <cellStyle name="Comma 6 99 7" xfId="29631"/>
    <cellStyle name="Comma 7" xfId="27"/>
    <cellStyle name="Comma 8" xfId="28"/>
    <cellStyle name="Comma 8 10" xfId="264"/>
    <cellStyle name="Comma 8 10 2" xfId="2742"/>
    <cellStyle name="Comma 8 10 2 2" xfId="9512"/>
    <cellStyle name="Comma 8 10 2 3" xfId="22202"/>
    <cellStyle name="Comma 8 10 2 4" xfId="18253"/>
    <cellStyle name="Comma 8 10 2 5" xfId="26573"/>
    <cellStyle name="Comma 8 10 3" xfId="4253"/>
    <cellStyle name="Comma 8 10 3 2" xfId="11023"/>
    <cellStyle name="Comma 8 10 3 3" xfId="23713"/>
    <cellStyle name="Comma 8 10 3 4" xfId="14150"/>
    <cellStyle name="Comma 8 10 3 5" xfId="27966"/>
    <cellStyle name="Comma 8 10 4" xfId="7034"/>
    <cellStyle name="Comma 8 10 5" xfId="15310"/>
    <cellStyle name="Comma 8 10 6" xfId="19837"/>
    <cellStyle name="Comma 8 10 7" xfId="31345"/>
    <cellStyle name="Comma 8 100" xfId="2256"/>
    <cellStyle name="Comma 8 100 2" xfId="4678"/>
    <cellStyle name="Comma 8 100 2 2" xfId="11448"/>
    <cellStyle name="Comma 8 100 2 3" xfId="24138"/>
    <cellStyle name="Comma 8 100 2 4" xfId="17831"/>
    <cellStyle name="Comma 8 100 2 5" xfId="30909"/>
    <cellStyle name="Comma 8 100 3" xfId="6564"/>
    <cellStyle name="Comma 8 100 3 2" xfId="13334"/>
    <cellStyle name="Comma 8 100 3 3" xfId="26024"/>
    <cellStyle name="Comma 8 100 3 4" xfId="17244"/>
    <cellStyle name="Comma 8 100 3 5" xfId="28870"/>
    <cellStyle name="Comma 8 100 4" xfId="9026"/>
    <cellStyle name="Comma 8 100 5" xfId="21746"/>
    <cellStyle name="Comma 8 100 6" xfId="19132"/>
    <cellStyle name="Comma 8 100 7" xfId="26587"/>
    <cellStyle name="Comma 8 101" xfId="2278"/>
    <cellStyle name="Comma 8 101 2" xfId="4699"/>
    <cellStyle name="Comma 8 101 2 2" xfId="11469"/>
    <cellStyle name="Comma 8 101 2 3" xfId="24159"/>
    <cellStyle name="Comma 8 101 2 4" xfId="17988"/>
    <cellStyle name="Comma 8 101 2 5" xfId="26706"/>
    <cellStyle name="Comma 8 101 3" xfId="6583"/>
    <cellStyle name="Comma 8 101 3 2" xfId="13353"/>
    <cellStyle name="Comma 8 101 3 3" xfId="26043"/>
    <cellStyle name="Comma 8 101 3 4" xfId="14736"/>
    <cellStyle name="Comma 8 101 3 5" xfId="30845"/>
    <cellStyle name="Comma 8 101 4" xfId="9048"/>
    <cellStyle name="Comma 8 101 5" xfId="21765"/>
    <cellStyle name="Comma 8 101 6" xfId="17065"/>
    <cellStyle name="Comma 8 101 7" xfId="28469"/>
    <cellStyle name="Comma 8 102" xfId="2300"/>
    <cellStyle name="Comma 8 102 2" xfId="4721"/>
    <cellStyle name="Comma 8 102 2 2" xfId="11491"/>
    <cellStyle name="Comma 8 102 2 3" xfId="24181"/>
    <cellStyle name="Comma 8 102 2 4" xfId="15488"/>
    <cellStyle name="Comma 8 102 2 5" xfId="27460"/>
    <cellStyle name="Comma 8 102 3" xfId="6602"/>
    <cellStyle name="Comma 8 102 3 2" xfId="13372"/>
    <cellStyle name="Comma 8 102 3 3" xfId="26062"/>
    <cellStyle name="Comma 8 102 3 4" xfId="18939"/>
    <cellStyle name="Comma 8 102 3 5" xfId="27844"/>
    <cellStyle name="Comma 8 102 4" xfId="9070"/>
    <cellStyle name="Comma 8 102 5" xfId="21784"/>
    <cellStyle name="Comma 8 102 6" xfId="14556"/>
    <cellStyle name="Comma 8 102 7" xfId="29348"/>
    <cellStyle name="Comma 8 103" xfId="2322"/>
    <cellStyle name="Comma 8 103 2" xfId="4743"/>
    <cellStyle name="Comma 8 103 2 2" xfId="11513"/>
    <cellStyle name="Comma 8 103 2 3" xfId="24203"/>
    <cellStyle name="Comma 8 103 2 4" xfId="19592"/>
    <cellStyle name="Comma 8 103 2 5" xfId="28806"/>
    <cellStyle name="Comma 8 103 3" xfId="6621"/>
    <cellStyle name="Comma 8 103 3 2" xfId="13391"/>
    <cellStyle name="Comma 8 103 3 3" xfId="26081"/>
    <cellStyle name="Comma 8 103 3 4" xfId="16851"/>
    <cellStyle name="Comma 8 103 3 5" xfId="29677"/>
    <cellStyle name="Comma 8 103 4" xfId="9092"/>
    <cellStyle name="Comma 8 103 5" xfId="21803"/>
    <cellStyle name="Comma 8 103 6" xfId="18742"/>
    <cellStyle name="Comma 8 103 7" xfId="26377"/>
    <cellStyle name="Comma 8 104" xfId="2344"/>
    <cellStyle name="Comma 8 104 2" xfId="4764"/>
    <cellStyle name="Comma 8 104 2 2" xfId="11534"/>
    <cellStyle name="Comma 8 104 2 3" xfId="24224"/>
    <cellStyle name="Comma 8 104 2 4" xfId="19472"/>
    <cellStyle name="Comma 8 104 2 5" xfId="29656"/>
    <cellStyle name="Comma 8 104 3" xfId="6640"/>
    <cellStyle name="Comma 8 104 3 2" xfId="13410"/>
    <cellStyle name="Comma 8 104 3 3" xfId="26100"/>
    <cellStyle name="Comma 8 104 3 4" xfId="14367"/>
    <cellStyle name="Comma 8 104 3 5" xfId="26305"/>
    <cellStyle name="Comma 8 104 4" xfId="9114"/>
    <cellStyle name="Comma 8 104 5" xfId="21822"/>
    <cellStyle name="Comma 8 104 6" xfId="17958"/>
    <cellStyle name="Comma 8 104 7" xfId="28374"/>
    <cellStyle name="Comma 8 105" xfId="2424"/>
    <cellStyle name="Comma 8 105 2" xfId="4842"/>
    <cellStyle name="Comma 8 105 2 2" xfId="11612"/>
    <cellStyle name="Comma 8 105 2 3" xfId="24302"/>
    <cellStyle name="Comma 8 105 2 4" xfId="19003"/>
    <cellStyle name="Comma 8 105 2 5" xfId="29537"/>
    <cellStyle name="Comma 8 105 3" xfId="6710"/>
    <cellStyle name="Comma 8 105 3 2" xfId="13480"/>
    <cellStyle name="Comma 8 105 3 3" xfId="26170"/>
    <cellStyle name="Comma 8 105 3 4" xfId="18294"/>
    <cellStyle name="Comma 8 105 3 5" xfId="27448"/>
    <cellStyle name="Comma 8 105 4" xfId="9194"/>
    <cellStyle name="Comma 8 105 5" xfId="21892"/>
    <cellStyle name="Comma 8 105 6" xfId="16345"/>
    <cellStyle name="Comma 8 105 7" xfId="27081"/>
    <cellStyle name="Comma 8 106" xfId="2446"/>
    <cellStyle name="Comma 8 106 2" xfId="4864"/>
    <cellStyle name="Comma 8 106 2 2" xfId="11634"/>
    <cellStyle name="Comma 8 106 2 3" xfId="24324"/>
    <cellStyle name="Comma 8 106 2 4" xfId="16921"/>
    <cellStyle name="Comma 8 106 2 5" xfId="30588"/>
    <cellStyle name="Comma 8 106 3" xfId="6731"/>
    <cellStyle name="Comma 8 106 3 2" xfId="13501"/>
    <cellStyle name="Comma 8 106 3 3" xfId="26191"/>
    <cellStyle name="Comma 8 106 3 4" xfId="20068"/>
    <cellStyle name="Comma 8 106 3 5" xfId="31586"/>
    <cellStyle name="Comma 8 106 4" xfId="9216"/>
    <cellStyle name="Comma 8 106 5" xfId="21913"/>
    <cellStyle name="Comma 8 106 6" xfId="17300"/>
    <cellStyle name="Comma 8 106 7" xfId="28223"/>
    <cellStyle name="Comma 8 107" xfId="2230"/>
    <cellStyle name="Comma 8 107 2" xfId="4653"/>
    <cellStyle name="Comma 8 107 2 2" xfId="11423"/>
    <cellStyle name="Comma 8 107 2 3" xfId="24113"/>
    <cellStyle name="Comma 8 107 2 4" xfId="19967"/>
    <cellStyle name="Comma 8 107 2 5" xfId="28116"/>
    <cellStyle name="Comma 8 107 3" xfId="6543"/>
    <cellStyle name="Comma 8 107 3 2" xfId="13313"/>
    <cellStyle name="Comma 8 107 3 3" xfId="26003"/>
    <cellStyle name="Comma 8 107 3 4" xfId="17378"/>
    <cellStyle name="Comma 8 107 3 5" xfId="29795"/>
    <cellStyle name="Comma 8 107 4" xfId="9000"/>
    <cellStyle name="Comma 8 107 5" xfId="21725"/>
    <cellStyle name="Comma 8 107 6" xfId="16009"/>
    <cellStyle name="Comma 8 107 7" xfId="27806"/>
    <cellStyle name="Comma 8 108" xfId="2426"/>
    <cellStyle name="Comma 8 108 2" xfId="4844"/>
    <cellStyle name="Comma 8 108 2 2" xfId="11614"/>
    <cellStyle name="Comma 8 108 2 3" xfId="24304"/>
    <cellStyle name="Comma 8 108 2 4" xfId="14673"/>
    <cellStyle name="Comma 8 108 2 5" xfId="31618"/>
    <cellStyle name="Comma 8 108 3" xfId="6712"/>
    <cellStyle name="Comma 8 108 3 2" xfId="13482"/>
    <cellStyle name="Comma 8 108 3 3" xfId="26172"/>
    <cellStyle name="Comma 8 108 3 4" xfId="13877"/>
    <cellStyle name="Comma 8 108 3 5" xfId="26488"/>
    <cellStyle name="Comma 8 108 4" xfId="9196"/>
    <cellStyle name="Comma 8 108 5" xfId="21894"/>
    <cellStyle name="Comma 8 108 6" xfId="15073"/>
    <cellStyle name="Comma 8 108 7" xfId="29183"/>
    <cellStyle name="Comma 8 109" xfId="2518"/>
    <cellStyle name="Comma 8 109 2" xfId="9288"/>
    <cellStyle name="Comma 8 109 3" xfId="21978"/>
    <cellStyle name="Comma 8 109 4" xfId="16816"/>
    <cellStyle name="Comma 8 109 5" xfId="28108"/>
    <cellStyle name="Comma 8 11" xfId="258"/>
    <cellStyle name="Comma 8 11 2" xfId="2736"/>
    <cellStyle name="Comma 8 11 2 2" xfId="9506"/>
    <cellStyle name="Comma 8 11 2 3" xfId="22196"/>
    <cellStyle name="Comma 8 11 2 4" xfId="16113"/>
    <cellStyle name="Comma 8 11 2 5" xfId="26584"/>
    <cellStyle name="Comma 8 11 3" xfId="4384"/>
    <cellStyle name="Comma 8 11 3 2" xfId="11154"/>
    <cellStyle name="Comma 8 11 3 3" xfId="23844"/>
    <cellStyle name="Comma 8 11 3 4" xfId="17793"/>
    <cellStyle name="Comma 8 11 3 5" xfId="31365"/>
    <cellStyle name="Comma 8 11 4" xfId="7028"/>
    <cellStyle name="Comma 8 11 5" xfId="15433"/>
    <cellStyle name="Comma 8 11 6" xfId="19888"/>
    <cellStyle name="Comma 8 11 7" xfId="31355"/>
    <cellStyle name="Comma 8 110" xfId="4389"/>
    <cellStyle name="Comma 8 110 2" xfId="11159"/>
    <cellStyle name="Comma 8 110 3" xfId="23849"/>
    <cellStyle name="Comma 8 110 4" xfId="19630"/>
    <cellStyle name="Comma 8 110 5" xfId="27425"/>
    <cellStyle name="Comma 8 111" xfId="6799"/>
    <cellStyle name="Comma 8 112" xfId="15437"/>
    <cellStyle name="Comma 8 113" xfId="19676"/>
    <cellStyle name="Comma 8 114" xfId="26733"/>
    <cellStyle name="Comma 8 115" xfId="32471"/>
    <cellStyle name="Comma 8 116" xfId="32465"/>
    <cellStyle name="Comma 8 117" xfId="32460"/>
    <cellStyle name="Comma 8 118" xfId="32477"/>
    <cellStyle name="Comma 8 119" xfId="32500"/>
    <cellStyle name="Comma 8 12" xfId="310"/>
    <cellStyle name="Comma 8 12 2" xfId="2786"/>
    <cellStyle name="Comma 8 12 2 2" xfId="9556"/>
    <cellStyle name="Comma 8 12 2 3" xfId="22246"/>
    <cellStyle name="Comma 8 12 2 4" xfId="16668"/>
    <cellStyle name="Comma 8 12 2 5" xfId="27692"/>
    <cellStyle name="Comma 8 12 3" xfId="3341"/>
    <cellStyle name="Comma 8 12 3 2" xfId="10111"/>
    <cellStyle name="Comma 8 12 3 3" xfId="22801"/>
    <cellStyle name="Comma 8 12 3 4" xfId="15873"/>
    <cellStyle name="Comma 8 12 3 5" xfId="29780"/>
    <cellStyle name="Comma 8 12 4" xfId="7080"/>
    <cellStyle name="Comma 8 12 5" xfId="14402"/>
    <cellStyle name="Comma 8 12 6" xfId="17701"/>
    <cellStyle name="Comma 8 12 7" xfId="32199"/>
    <cellStyle name="Comma 8 120" xfId="32523"/>
    <cellStyle name="Comma 8 121" xfId="32546"/>
    <cellStyle name="Comma 8 122" xfId="32569"/>
    <cellStyle name="Comma 8 123" xfId="32592"/>
    <cellStyle name="Comma 8 124" xfId="32615"/>
    <cellStyle name="Comma 8 125" xfId="32638"/>
    <cellStyle name="Comma 8 126" xfId="32661"/>
    <cellStyle name="Comma 8 127" xfId="32684"/>
    <cellStyle name="Comma 8 128" xfId="32707"/>
    <cellStyle name="Comma 8 129" xfId="32730"/>
    <cellStyle name="Comma 8 13" xfId="304"/>
    <cellStyle name="Comma 8 13 2" xfId="2780"/>
    <cellStyle name="Comma 8 13 2 2" xfId="9550"/>
    <cellStyle name="Comma 8 13 2 3" xfId="22240"/>
    <cellStyle name="Comma 8 13 2 4" xfId="16210"/>
    <cellStyle name="Comma 8 13 2 5" xfId="28653"/>
    <cellStyle name="Comma 8 13 3" xfId="3450"/>
    <cellStyle name="Comma 8 13 3 2" xfId="10220"/>
    <cellStyle name="Comma 8 13 3 3" xfId="22910"/>
    <cellStyle name="Comma 8 13 3 4" xfId="19436"/>
    <cellStyle name="Comma 8 13 3 5" xfId="26572"/>
    <cellStyle name="Comma 8 13 4" xfId="7074"/>
    <cellStyle name="Comma 8 13 5" xfId="14531"/>
    <cellStyle name="Comma 8 13 6" xfId="17744"/>
    <cellStyle name="Comma 8 13 7" xfId="30388"/>
    <cellStyle name="Comma 8 130" xfId="32753"/>
    <cellStyle name="Comma 8 131" xfId="32776"/>
    <cellStyle name="Comma 8 132" xfId="32799"/>
    <cellStyle name="Comma 8 133" xfId="32822"/>
    <cellStyle name="Comma 8 134" xfId="32845"/>
    <cellStyle name="Comma 8 135" xfId="32868"/>
    <cellStyle name="Comma 8 136" xfId="32890"/>
    <cellStyle name="Comma 8 137" xfId="32913"/>
    <cellStyle name="Comma 8 138" xfId="32936"/>
    <cellStyle name="Comma 8 139" xfId="32959"/>
    <cellStyle name="Comma 8 14" xfId="263"/>
    <cellStyle name="Comma 8 14 2" xfId="2741"/>
    <cellStyle name="Comma 8 14 2 2" xfId="9511"/>
    <cellStyle name="Comma 8 14 2 3" xfId="22201"/>
    <cellStyle name="Comma 8 14 2 4" xfId="20080"/>
    <cellStyle name="Comma 8 14 2 5" xfId="29616"/>
    <cellStyle name="Comma 8 14 3" xfId="4276"/>
    <cellStyle name="Comma 8 14 3 2" xfId="11046"/>
    <cellStyle name="Comma 8 14 3 3" xfId="23736"/>
    <cellStyle name="Comma 8 14 3 4" xfId="15976"/>
    <cellStyle name="Comma 8 14 3 5" xfId="30902"/>
    <cellStyle name="Comma 8 14 4" xfId="7033"/>
    <cellStyle name="Comma 8 14 5" xfId="15329"/>
    <cellStyle name="Comma 8 14 6" xfId="15610"/>
    <cellStyle name="Comma 8 14 7" xfId="29294"/>
    <cellStyle name="Comma 8 140" xfId="32982"/>
    <cellStyle name="Comma 8 141" xfId="33005"/>
    <cellStyle name="Comma 8 142" xfId="33028"/>
    <cellStyle name="Comma 8 143" xfId="33051"/>
    <cellStyle name="Comma 8 144" xfId="33074"/>
    <cellStyle name="Comma 8 145" xfId="33097"/>
    <cellStyle name="Comma 8 146" xfId="33120"/>
    <cellStyle name="Comma 8 147" xfId="33198"/>
    <cellStyle name="Comma 8 148" xfId="33196"/>
    <cellStyle name="Comma 8 149" xfId="33248"/>
    <cellStyle name="Comma 8 15" xfId="316"/>
    <cellStyle name="Comma 8 15 2" xfId="2792"/>
    <cellStyle name="Comma 8 15 2 2" xfId="9562"/>
    <cellStyle name="Comma 8 15 2 3" xfId="22252"/>
    <cellStyle name="Comma 8 15 2 4" xfId="15959"/>
    <cellStyle name="Comma 8 15 2 5" xfId="28642"/>
    <cellStyle name="Comma 8 15 3" xfId="3241"/>
    <cellStyle name="Comma 8 15 3 2" xfId="10011"/>
    <cellStyle name="Comma 8 15 3 3" xfId="22701"/>
    <cellStyle name="Comma 8 15 3 4" xfId="16806"/>
    <cellStyle name="Comma 8 15 3 5" xfId="31999"/>
    <cellStyle name="Comma 8 15 4" xfId="7086"/>
    <cellStyle name="Comma 8 15 5" xfId="14293"/>
    <cellStyle name="Comma 8 15 6" xfId="17679"/>
    <cellStyle name="Comma 8 15 7" xfId="32189"/>
    <cellStyle name="Comma 8 150" xfId="33246"/>
    <cellStyle name="Comma 8 151" xfId="33241"/>
    <cellStyle name="Comma 8 152" xfId="33253"/>
    <cellStyle name="Comma 8 153" xfId="33276"/>
    <cellStyle name="Comma 8 154" xfId="33299"/>
    <cellStyle name="Comma 8 155" xfId="33322"/>
    <cellStyle name="Comma 8 156" xfId="33345"/>
    <cellStyle name="Comma 8 157" xfId="33368"/>
    <cellStyle name="Comma 8 158" xfId="33391"/>
    <cellStyle name="Comma 8 159" xfId="33414"/>
    <cellStyle name="Comma 8 16" xfId="339"/>
    <cellStyle name="Comma 8 16 2" xfId="2815"/>
    <cellStyle name="Comma 8 16 2 2" xfId="9585"/>
    <cellStyle name="Comma 8 16 2 3" xfId="22275"/>
    <cellStyle name="Comma 8 16 2 4" xfId="9019"/>
    <cellStyle name="Comma 8 16 2 5" xfId="31578"/>
    <cellStyle name="Comma 8 16 3" xfId="2778"/>
    <cellStyle name="Comma 8 16 3 2" xfId="9548"/>
    <cellStyle name="Comma 8 16 3 3" xfId="22238"/>
    <cellStyle name="Comma 8 16 3 4" xfId="18030"/>
    <cellStyle name="Comma 8 16 3 5" xfId="26502"/>
    <cellStyle name="Comma 8 16 4" xfId="7109"/>
    <cellStyle name="Comma 8 16 5" xfId="13793"/>
    <cellStyle name="Comma 8 16 6" xfId="19407"/>
    <cellStyle name="Comma 8 16 7" xfId="27086"/>
    <cellStyle name="Comma 8 160" xfId="33437"/>
    <cellStyle name="Comma 8 161" xfId="33460"/>
    <cellStyle name="Comma 8 162" xfId="33483"/>
    <cellStyle name="Comma 8 163" xfId="33506"/>
    <cellStyle name="Comma 8 164" xfId="33529"/>
    <cellStyle name="Comma 8 165" xfId="33552"/>
    <cellStyle name="Comma 8 166" xfId="33575"/>
    <cellStyle name="Comma 8 167" xfId="33598"/>
    <cellStyle name="Comma 8 168" xfId="33621"/>
    <cellStyle name="Comma 8 169" xfId="33643"/>
    <cellStyle name="Comma 8 17" xfId="362"/>
    <cellStyle name="Comma 8 17 2" xfId="2838"/>
    <cellStyle name="Comma 8 17 2 2" xfId="9608"/>
    <cellStyle name="Comma 8 17 2 3" xfId="22298"/>
    <cellStyle name="Comma 8 17 2 4" xfId="8540"/>
    <cellStyle name="Comma 8 17 2 5" xfId="26276"/>
    <cellStyle name="Comma 8 17 3" xfId="4920"/>
    <cellStyle name="Comma 8 17 3 2" xfId="11690"/>
    <cellStyle name="Comma 8 17 3 3" xfId="24380"/>
    <cellStyle name="Comma 8 17 3 4" xfId="18554"/>
    <cellStyle name="Comma 8 17 3 5" xfId="30359"/>
    <cellStyle name="Comma 8 17 4" xfId="7132"/>
    <cellStyle name="Comma 8 17 5" xfId="20102"/>
    <cellStyle name="Comma 8 17 6" xfId="15000"/>
    <cellStyle name="Comma 8 17 7" xfId="30049"/>
    <cellStyle name="Comma 8 170" xfId="33665"/>
    <cellStyle name="Comma 8 171" xfId="33688"/>
    <cellStyle name="Comma 8 172" xfId="33711"/>
    <cellStyle name="Comma 8 173" xfId="33734"/>
    <cellStyle name="Comma 8 174" xfId="33757"/>
    <cellStyle name="Comma 8 175" xfId="33780"/>
    <cellStyle name="Comma 8 176" xfId="33803"/>
    <cellStyle name="Comma 8 177" xfId="33826"/>
    <cellStyle name="Comma 8 178" xfId="33849"/>
    <cellStyle name="Comma 8 179" xfId="33872"/>
    <cellStyle name="Comma 8 18" xfId="385"/>
    <cellStyle name="Comma 8 18 2" xfId="2861"/>
    <cellStyle name="Comma 8 18 2 2" xfId="9631"/>
    <cellStyle name="Comma 8 18 2 3" xfId="22321"/>
    <cellStyle name="Comma 8 18 2 4" xfId="8060"/>
    <cellStyle name="Comma 8 18 2 5" xfId="30361"/>
    <cellStyle name="Comma 8 18 3" xfId="4940"/>
    <cellStyle name="Comma 8 18 3 2" xfId="11710"/>
    <cellStyle name="Comma 8 18 3 3" xfId="24400"/>
    <cellStyle name="Comma 8 18 3 4" xfId="14037"/>
    <cellStyle name="Comma 8 18 3 5" xfId="32401"/>
    <cellStyle name="Comma 8 18 4" xfId="7155"/>
    <cellStyle name="Comma 8 18 5" xfId="20122"/>
    <cellStyle name="Comma 8 18 6" xfId="17223"/>
    <cellStyle name="Comma 8 18 7" xfId="28196"/>
    <cellStyle name="Comma 8 180" xfId="33895"/>
    <cellStyle name="Comma 8 181" xfId="33918"/>
    <cellStyle name="Comma 8 182" xfId="33941"/>
    <cellStyle name="Comma 8 183" xfId="33964"/>
    <cellStyle name="Comma 8 184" xfId="33987"/>
    <cellStyle name="Comma 8 19" xfId="408"/>
    <cellStyle name="Comma 8 19 2" xfId="2883"/>
    <cellStyle name="Comma 8 19 2 2" xfId="9653"/>
    <cellStyle name="Comma 8 19 2 3" xfId="22343"/>
    <cellStyle name="Comma 8 19 2 4" xfId="7605"/>
    <cellStyle name="Comma 8 19 2 5" xfId="31508"/>
    <cellStyle name="Comma 8 19 3" xfId="4960"/>
    <cellStyle name="Comma 8 19 3 2" xfId="11730"/>
    <cellStyle name="Comma 8 19 3 3" xfId="24420"/>
    <cellStyle name="Comma 8 19 3 4" xfId="16280"/>
    <cellStyle name="Comma 8 19 3 5" xfId="31474"/>
    <cellStyle name="Comma 8 19 4" xfId="7178"/>
    <cellStyle name="Comma 8 19 5" xfId="20142"/>
    <cellStyle name="Comma 8 19 6" xfId="18995"/>
    <cellStyle name="Comma 8 19 7" xfId="31121"/>
    <cellStyle name="Comma 8 2" xfId="79"/>
    <cellStyle name="Comma 8 2 2" xfId="2563"/>
    <cellStyle name="Comma 8 2 2 2" xfId="9333"/>
    <cellStyle name="Comma 8 2 2 3" xfId="22023"/>
    <cellStyle name="Comma 8 2 2 4" xfId="16530"/>
    <cellStyle name="Comma 8 2 2 5" xfId="31953"/>
    <cellStyle name="Comma 8 2 3" xfId="3346"/>
    <cellStyle name="Comma 8 2 3 2" xfId="10116"/>
    <cellStyle name="Comma 8 2 3 3" xfId="22806"/>
    <cellStyle name="Comma 8 2 3 4" xfId="18220"/>
    <cellStyle name="Comma 8 2 3 5" xfId="27912"/>
    <cellStyle name="Comma 8 2 4" xfId="6849"/>
    <cellStyle name="Comma 8 2 5" xfId="14428"/>
    <cellStyle name="Comma 8 2 6" xfId="17456"/>
    <cellStyle name="Comma 8 2 7" xfId="27816"/>
    <cellStyle name="Comma 8 20" xfId="430"/>
    <cellStyle name="Comma 8 20 2" xfId="2905"/>
    <cellStyle name="Comma 8 20 2 2" xfId="9675"/>
    <cellStyle name="Comma 8 20 2 3" xfId="22365"/>
    <cellStyle name="Comma 8 20 2 4" xfId="8929"/>
    <cellStyle name="Comma 8 20 2 5" xfId="31137"/>
    <cellStyle name="Comma 8 20 3" xfId="4979"/>
    <cellStyle name="Comma 8 20 3 2" xfId="11749"/>
    <cellStyle name="Comma 8 20 3 3" xfId="24439"/>
    <cellStyle name="Comma 8 20 3 4" xfId="15894"/>
    <cellStyle name="Comma 8 20 3 5" xfId="27838"/>
    <cellStyle name="Comma 8 20 4" xfId="7200"/>
    <cellStyle name="Comma 8 20 5" xfId="20161"/>
    <cellStyle name="Comma 8 20 6" xfId="16916"/>
    <cellStyle name="Comma 8 20 7" xfId="32024"/>
    <cellStyle name="Comma 8 21" xfId="453"/>
    <cellStyle name="Comma 8 21 2" xfId="2928"/>
    <cellStyle name="Comma 8 21 2 2" xfId="9698"/>
    <cellStyle name="Comma 8 21 2 3" xfId="22388"/>
    <cellStyle name="Comma 8 21 2 4" xfId="8454"/>
    <cellStyle name="Comma 8 21 2 5" xfId="26540"/>
    <cellStyle name="Comma 8 21 3" xfId="4999"/>
    <cellStyle name="Comma 8 21 3 2" xfId="11769"/>
    <cellStyle name="Comma 8 21 3 3" xfId="24459"/>
    <cellStyle name="Comma 8 21 3 4" xfId="18144"/>
    <cellStyle name="Comma 8 21 3 5" xfId="26632"/>
    <cellStyle name="Comma 8 21 4" xfId="7223"/>
    <cellStyle name="Comma 8 21 5" xfId="20181"/>
    <cellStyle name="Comma 8 21 6" xfId="18747"/>
    <cellStyle name="Comma 8 21 7" xfId="26908"/>
    <cellStyle name="Comma 8 22" xfId="476"/>
    <cellStyle name="Comma 8 22 2" xfId="2951"/>
    <cellStyle name="Comma 8 22 2 2" xfId="9721"/>
    <cellStyle name="Comma 8 22 2 3" xfId="22411"/>
    <cellStyle name="Comma 8 22 2 4" xfId="7974"/>
    <cellStyle name="Comma 8 22 2 5" xfId="29542"/>
    <cellStyle name="Comma 8 22 3" xfId="5019"/>
    <cellStyle name="Comma 8 22 3 2" xfId="11789"/>
    <cellStyle name="Comma 8 22 3 3" xfId="24479"/>
    <cellStyle name="Comma 8 22 3 4" xfId="19872"/>
    <cellStyle name="Comma 8 22 3 5" xfId="28737"/>
    <cellStyle name="Comma 8 22 4" xfId="7246"/>
    <cellStyle name="Comma 8 22 5" xfId="20201"/>
    <cellStyle name="Comma 8 22 6" xfId="13658"/>
    <cellStyle name="Comma 8 22 7" xfId="29891"/>
    <cellStyle name="Comma 8 23" xfId="499"/>
    <cellStyle name="Comma 8 23 2" xfId="2974"/>
    <cellStyle name="Comma 8 23 2 2" xfId="9744"/>
    <cellStyle name="Comma 8 23 2 3" xfId="22434"/>
    <cellStyle name="Comma 8 23 2 4" xfId="7493"/>
    <cellStyle name="Comma 8 23 2 5" xfId="28489"/>
    <cellStyle name="Comma 8 23 3" xfId="5039"/>
    <cellStyle name="Comma 8 23 3 2" xfId="11809"/>
    <cellStyle name="Comma 8 23 3 3" xfId="24499"/>
    <cellStyle name="Comma 8 23 3 4" xfId="15509"/>
    <cellStyle name="Comma 8 23 3 5" xfId="30652"/>
    <cellStyle name="Comma 8 23 4" xfId="7269"/>
    <cellStyle name="Comma 8 23 5" xfId="20221"/>
    <cellStyle name="Comma 8 23 6" xfId="16455"/>
    <cellStyle name="Comma 8 23 7" xfId="28002"/>
    <cellStyle name="Comma 8 24" xfId="522"/>
    <cellStyle name="Comma 8 24 2" xfId="2997"/>
    <cellStyle name="Comma 8 24 2 2" xfId="9767"/>
    <cellStyle name="Comma 8 24 2 3" xfId="22457"/>
    <cellStyle name="Comma 8 24 2 4" xfId="9237"/>
    <cellStyle name="Comma 8 24 2 5" xfId="31420"/>
    <cellStyle name="Comma 8 24 3" xfId="5059"/>
    <cellStyle name="Comma 8 24 3 2" xfId="11829"/>
    <cellStyle name="Comma 8 24 3 3" xfId="24519"/>
    <cellStyle name="Comma 8 24 3 4" xfId="17770"/>
    <cellStyle name="Comma 8 24 3 5" xfId="29563"/>
    <cellStyle name="Comma 8 24 4" xfId="7292"/>
    <cellStyle name="Comma 8 24 5" xfId="20241"/>
    <cellStyle name="Comma 8 24 6" xfId="18334"/>
    <cellStyle name="Comma 8 24 7" xfId="30939"/>
    <cellStyle name="Comma 8 25" xfId="545"/>
    <cellStyle name="Comma 8 25 2" xfId="3018"/>
    <cellStyle name="Comma 8 25 2 2" xfId="9788"/>
    <cellStyle name="Comma 8 25 2 3" xfId="22478"/>
    <cellStyle name="Comma 8 25 2 4" xfId="9232"/>
    <cellStyle name="Comma 8 25 2 5" xfId="27247"/>
    <cellStyle name="Comma 8 25 3" xfId="5079"/>
    <cellStyle name="Comma 8 25 3 2" xfId="11849"/>
    <cellStyle name="Comma 8 25 3 3" xfId="24539"/>
    <cellStyle name="Comma 8 25 3 4" xfId="19511"/>
    <cellStyle name="Comma 8 25 3 5" xfId="31611"/>
    <cellStyle name="Comma 8 25 4" xfId="7315"/>
    <cellStyle name="Comma 8 25 5" xfId="20261"/>
    <cellStyle name="Comma 8 25 6" xfId="15893"/>
    <cellStyle name="Comma 8 25 7" xfId="28896"/>
    <cellStyle name="Comma 8 26" xfId="631"/>
    <cellStyle name="Comma 8 26 2" xfId="3104"/>
    <cellStyle name="Comma 8 26 2 2" xfId="9874"/>
    <cellStyle name="Comma 8 26 2 3" xfId="22564"/>
    <cellStyle name="Comma 8 26 2 4" xfId="13764"/>
    <cellStyle name="Comma 8 26 2 5" xfId="29226"/>
    <cellStyle name="Comma 8 26 3" xfId="5156"/>
    <cellStyle name="Comma 8 26 3 2" xfId="11926"/>
    <cellStyle name="Comma 8 26 3 3" xfId="24616"/>
    <cellStyle name="Comma 8 26 3 4" xfId="14764"/>
    <cellStyle name="Comma 8 26 3 5" xfId="30363"/>
    <cellStyle name="Comma 8 26 4" xfId="7401"/>
    <cellStyle name="Comma 8 26 5" xfId="20338"/>
    <cellStyle name="Comma 8 26 6" xfId="18069"/>
    <cellStyle name="Comma 8 26 7" xfId="27789"/>
    <cellStyle name="Comma 8 27" xfId="568"/>
    <cellStyle name="Comma 8 27 2" xfId="3041"/>
    <cellStyle name="Comma 8 27 2 2" xfId="9811"/>
    <cellStyle name="Comma 8 27 2 3" xfId="22501"/>
    <cellStyle name="Comma 8 27 2 4" xfId="15730"/>
    <cellStyle name="Comma 8 27 2 5" xfId="30203"/>
    <cellStyle name="Comma 8 27 3" xfId="5099"/>
    <cellStyle name="Comma 8 27 3 2" xfId="11869"/>
    <cellStyle name="Comma 8 27 3 3" xfId="24559"/>
    <cellStyle name="Comma 8 27 3 4" xfId="15095"/>
    <cellStyle name="Comma 8 27 3 5" xfId="28603"/>
    <cellStyle name="Comma 8 27 4" xfId="7338"/>
    <cellStyle name="Comma 8 27 5" xfId="20281"/>
    <cellStyle name="Comma 8 27 6" xfId="18121"/>
    <cellStyle name="Comma 8 27 7" xfId="30950"/>
    <cellStyle name="Comma 8 28" xfId="590"/>
    <cellStyle name="Comma 8 28 2" xfId="3063"/>
    <cellStyle name="Comma 8 28 2 2" xfId="9833"/>
    <cellStyle name="Comma 8 28 2 3" xfId="22523"/>
    <cellStyle name="Comma 8 28 2 4" xfId="19810"/>
    <cellStyle name="Comma 8 28 2 5" xfId="31329"/>
    <cellStyle name="Comma 8 28 3" xfId="5118"/>
    <cellStyle name="Comma 8 28 3 2" xfId="11888"/>
    <cellStyle name="Comma 8 28 3 3" xfId="24578"/>
    <cellStyle name="Comma 8 28 3 4" xfId="19296"/>
    <cellStyle name="Comma 8 28 3 5" xfId="30529"/>
    <cellStyle name="Comma 8 28 4" xfId="7360"/>
    <cellStyle name="Comma 8 28 5" xfId="20300"/>
    <cellStyle name="Comma 8 28 6" xfId="13781"/>
    <cellStyle name="Comma 8 28 7" xfId="29726"/>
    <cellStyle name="Comma 8 29" xfId="309"/>
    <cellStyle name="Comma 8 29 2" xfId="2785"/>
    <cellStyle name="Comma 8 29 2 2" xfId="9555"/>
    <cellStyle name="Comma 8 29 2 3" xfId="22245"/>
    <cellStyle name="Comma 8 29 2 4" xfId="13835"/>
    <cellStyle name="Comma 8 29 2 5" xfId="30659"/>
    <cellStyle name="Comma 8 29 3" xfId="2589"/>
    <cellStyle name="Comma 8 29 3 2" xfId="9359"/>
    <cellStyle name="Comma 8 29 3 3" xfId="22049"/>
    <cellStyle name="Comma 8 29 3 4" xfId="17020"/>
    <cellStyle name="Comma 8 29 3 5" xfId="30453"/>
    <cellStyle name="Comma 8 29 4" xfId="7079"/>
    <cellStyle name="Comma 8 29 5" xfId="14423"/>
    <cellStyle name="Comma 8 29 6" xfId="19588"/>
    <cellStyle name="Comma 8 29 7" xfId="27138"/>
    <cellStyle name="Comma 8 3" xfId="72"/>
    <cellStyle name="Comma 8 3 2" xfId="2556"/>
    <cellStyle name="Comma 8 3 2 2" xfId="9326"/>
    <cellStyle name="Comma 8 3 2 3" xfId="22016"/>
    <cellStyle name="Comma 8 3 2 4" xfId="16486"/>
    <cellStyle name="Comma 8 3 2 5" xfId="26868"/>
    <cellStyle name="Comma 8 3 3" xfId="3482"/>
    <cellStyle name="Comma 8 3 3 2" xfId="10252"/>
    <cellStyle name="Comma 8 3 3 3" xfId="22942"/>
    <cellStyle name="Comma 8 3 3 4" xfId="14965"/>
    <cellStyle name="Comma 8 3 3 5" xfId="28663"/>
    <cellStyle name="Comma 8 3 4" xfId="6842"/>
    <cellStyle name="Comma 8 3 5" xfId="14558"/>
    <cellStyle name="Comma 8 3 6" xfId="19342"/>
    <cellStyle name="Comma 8 3 7" xfId="30793"/>
    <cellStyle name="Comma 8 30" xfId="630"/>
    <cellStyle name="Comma 8 30 2" xfId="3103"/>
    <cellStyle name="Comma 8 30 2 2" xfId="9873"/>
    <cellStyle name="Comma 8 30 2 3" xfId="22563"/>
    <cellStyle name="Comma 8 30 2 4" xfId="17699"/>
    <cellStyle name="Comma 8 30 2 5" xfId="32193"/>
    <cellStyle name="Comma 8 30 3" xfId="5155"/>
    <cellStyle name="Comma 8 30 3 2" xfId="11925"/>
    <cellStyle name="Comma 8 30 3 3" xfId="24615"/>
    <cellStyle name="Comma 8 30 3 4" xfId="17140"/>
    <cellStyle name="Comma 8 30 3 5" xfId="28571"/>
    <cellStyle name="Comma 8 30 4" xfId="7400"/>
    <cellStyle name="Comma 8 30 5" xfId="20337"/>
    <cellStyle name="Comma 8 30 6" xfId="19918"/>
    <cellStyle name="Comma 8 30 7" xfId="30752"/>
    <cellStyle name="Comma 8 31" xfId="668"/>
    <cellStyle name="Comma 8 31 2" xfId="3140"/>
    <cellStyle name="Comma 8 31 2 2" xfId="9910"/>
    <cellStyle name="Comma 8 31 2 3" xfId="22600"/>
    <cellStyle name="Comma 8 31 2 4" xfId="15100"/>
    <cellStyle name="Comma 8 31 2 5" xfId="29173"/>
    <cellStyle name="Comma 8 31 3" xfId="5187"/>
    <cellStyle name="Comma 8 31 3 2" xfId="11957"/>
    <cellStyle name="Comma 8 31 3 3" xfId="24647"/>
    <cellStyle name="Comma 8 31 3 4" xfId="18885"/>
    <cellStyle name="Comma 8 31 3 5" xfId="27353"/>
    <cellStyle name="Comma 8 31 4" xfId="7438"/>
    <cellStyle name="Comma 8 31 5" xfId="20369"/>
    <cellStyle name="Comma 8 31 6" xfId="17045"/>
    <cellStyle name="Comma 8 31 7" xfId="29600"/>
    <cellStyle name="Comma 8 32" xfId="703"/>
    <cellStyle name="Comma 8 32 2" xfId="3175"/>
    <cellStyle name="Comma 8 32 2 2" xfId="9945"/>
    <cellStyle name="Comma 8 32 2 3" xfId="22635"/>
    <cellStyle name="Comma 8 32 2 4" xfId="17243"/>
    <cellStyle name="Comma 8 32 2 5" xfId="32092"/>
    <cellStyle name="Comma 8 32 3" xfId="5217"/>
    <cellStyle name="Comma 8 32 3 2" xfId="11987"/>
    <cellStyle name="Comma 8 32 3 3" xfId="24677"/>
    <cellStyle name="Comma 8 32 3 4" xfId="18710"/>
    <cellStyle name="Comma 8 32 3 5" xfId="27304"/>
    <cellStyle name="Comma 8 32 4" xfId="7473"/>
    <cellStyle name="Comma 8 32 5" xfId="20399"/>
    <cellStyle name="Comma 8 32 6" xfId="14871"/>
    <cellStyle name="Comma 8 32 7" xfId="27456"/>
    <cellStyle name="Comma 8 33" xfId="680"/>
    <cellStyle name="Comma 8 33 2" xfId="3152"/>
    <cellStyle name="Comma 8 33 2 2" xfId="9922"/>
    <cellStyle name="Comma 8 33 2 3" xfId="22612"/>
    <cellStyle name="Comma 8 33 2 4" xfId="15019"/>
    <cellStyle name="Comma 8 33 2 5" xfId="29154"/>
    <cellStyle name="Comma 8 33 3" xfId="5197"/>
    <cellStyle name="Comma 8 33 3 2" xfId="11967"/>
    <cellStyle name="Comma 8 33 3 3" xfId="24657"/>
    <cellStyle name="Comma 8 33 3 4" xfId="16857"/>
    <cellStyle name="Comma 8 33 3 5" xfId="28512"/>
    <cellStyle name="Comma 8 33 4" xfId="7450"/>
    <cellStyle name="Comma 8 33 5" xfId="20379"/>
    <cellStyle name="Comma 8 33 6" xfId="17401"/>
    <cellStyle name="Comma 8 33 7" xfId="29579"/>
    <cellStyle name="Comma 8 34" xfId="749"/>
    <cellStyle name="Comma 8 34 2" xfId="3220"/>
    <cellStyle name="Comma 8 34 2 2" xfId="9990"/>
    <cellStyle name="Comma 8 34 2 3" xfId="22680"/>
    <cellStyle name="Comma 8 34 2 4" xfId="16936"/>
    <cellStyle name="Comma 8 34 2 5" xfId="28119"/>
    <cellStyle name="Comma 8 34 3" xfId="5257"/>
    <cellStyle name="Comma 8 34 3 2" xfId="12027"/>
    <cellStyle name="Comma 8 34 3 3" xfId="24717"/>
    <cellStyle name="Comma 8 34 3 4" xfId="16437"/>
    <cellStyle name="Comma 8 34 3 5" xfId="27496"/>
    <cellStyle name="Comma 8 34 4" xfId="7519"/>
    <cellStyle name="Comma 8 34 5" xfId="20439"/>
    <cellStyle name="Comma 8 34 6" xfId="18826"/>
    <cellStyle name="Comma 8 34 7" xfId="27577"/>
    <cellStyle name="Comma 8 35" xfId="774"/>
    <cellStyle name="Comma 8 35 2" xfId="3244"/>
    <cellStyle name="Comma 8 35 2 2" xfId="10014"/>
    <cellStyle name="Comma 8 35 2 3" xfId="22704"/>
    <cellStyle name="Comma 8 35 2 4" xfId="16783"/>
    <cellStyle name="Comma 8 35 2 5" xfId="28086"/>
    <cellStyle name="Comma 8 35 3" xfId="5278"/>
    <cellStyle name="Comma 8 35 3 2" xfId="12048"/>
    <cellStyle name="Comma 8 35 3 3" xfId="24738"/>
    <cellStyle name="Comma 8 35 3 4" xfId="16301"/>
    <cellStyle name="Comma 8 35 3 5" xfId="30721"/>
    <cellStyle name="Comma 8 35 4" xfId="7544"/>
    <cellStyle name="Comma 8 35 5" xfId="20460"/>
    <cellStyle name="Comma 8 35 6" xfId="16678"/>
    <cellStyle name="Comma 8 35 7" xfId="31553"/>
    <cellStyle name="Comma 8 36" xfId="797"/>
    <cellStyle name="Comma 8 36 2" xfId="3265"/>
    <cellStyle name="Comma 8 36 2 2" xfId="10035"/>
    <cellStyle name="Comma 8 36 2 3" xfId="22725"/>
    <cellStyle name="Comma 8 36 2 4" xfId="16632"/>
    <cellStyle name="Comma 8 36 2 5" xfId="31960"/>
    <cellStyle name="Comma 8 36 3" xfId="5298"/>
    <cellStyle name="Comma 8 36 3 2" xfId="12068"/>
    <cellStyle name="Comma 8 36 3 3" xfId="24758"/>
    <cellStyle name="Comma 8 36 3 4" xfId="17650"/>
    <cellStyle name="Comma 8 36 3 5" xfId="19398"/>
    <cellStyle name="Comma 8 36 4" xfId="7567"/>
    <cellStyle name="Comma 8 36 5" xfId="20480"/>
    <cellStyle name="Comma 8 36 6" xfId="16531"/>
    <cellStyle name="Comma 8 36 7" xfId="29444"/>
    <cellStyle name="Comma 8 37" xfId="820"/>
    <cellStyle name="Comma 8 37 2" xfId="3288"/>
    <cellStyle name="Comma 8 37 2 2" xfId="10058"/>
    <cellStyle name="Comma 8 37 2 3" xfId="22748"/>
    <cellStyle name="Comma 8 37 2 4" xfId="18490"/>
    <cellStyle name="Comma 8 37 2 5" xfId="26824"/>
    <cellStyle name="Comma 8 37 3" xfId="5318"/>
    <cellStyle name="Comma 8 37 3 2" xfId="12088"/>
    <cellStyle name="Comma 8 37 3 3" xfId="24778"/>
    <cellStyle name="Comma 8 37 3 4" xfId="15855"/>
    <cellStyle name="Comma 8 37 3 5" xfId="14638"/>
    <cellStyle name="Comma 8 37 4" xfId="7590"/>
    <cellStyle name="Comma 8 37 5" xfId="20500"/>
    <cellStyle name="Comma 8 37 6" xfId="19809"/>
    <cellStyle name="Comma 8 37 7" xfId="30430"/>
    <cellStyle name="Comma 8 38" xfId="843"/>
    <cellStyle name="Comma 8 38 2" xfId="3309"/>
    <cellStyle name="Comma 8 38 2 2" xfId="10079"/>
    <cellStyle name="Comma 8 38 2 3" xfId="22769"/>
    <cellStyle name="Comma 8 38 2 4" xfId="18371"/>
    <cellStyle name="Comma 8 38 2 5" xfId="30943"/>
    <cellStyle name="Comma 8 38 3" xfId="5338"/>
    <cellStyle name="Comma 8 38 3 2" xfId="12108"/>
    <cellStyle name="Comma 8 38 3 3" xfId="24798"/>
    <cellStyle name="Comma 8 38 3 4" xfId="18039"/>
    <cellStyle name="Comma 8 38 3 5" xfId="14486"/>
    <cellStyle name="Comma 8 38 4" xfId="7613"/>
    <cellStyle name="Comma 8 38 5" xfId="20520"/>
    <cellStyle name="Comma 8 38 6" xfId="15438"/>
    <cellStyle name="Comma 8 38 7" xfId="26431"/>
    <cellStyle name="Comma 8 39" xfId="866"/>
    <cellStyle name="Comma 8 39 2" xfId="3331"/>
    <cellStyle name="Comma 8 39 2 2" xfId="10101"/>
    <cellStyle name="Comma 8 39 2 3" xfId="22791"/>
    <cellStyle name="Comma 8 39 2 4" xfId="13821"/>
    <cellStyle name="Comma 8 39 2 5" xfId="31871"/>
    <cellStyle name="Comma 8 39 3" xfId="5358"/>
    <cellStyle name="Comma 8 39 3 2" xfId="12128"/>
    <cellStyle name="Comma 8 39 3 3" xfId="24818"/>
    <cellStyle name="Comma 8 39 3 4" xfId="15570"/>
    <cellStyle name="Comma 8 39 3 5" xfId="15989"/>
    <cellStyle name="Comma 8 39 4" xfId="7636"/>
    <cellStyle name="Comma 8 39 5" xfId="20540"/>
    <cellStyle name="Comma 8 39 6" xfId="17654"/>
    <cellStyle name="Comma 8 39 7" xfId="27002"/>
    <cellStyle name="Comma 8 4" xfId="78"/>
    <cellStyle name="Comma 8 4 2" xfId="2562"/>
    <cellStyle name="Comma 8 4 2 2" xfId="9332"/>
    <cellStyle name="Comma 8 4 2 3" xfId="22022"/>
    <cellStyle name="Comma 8 4 2 4" xfId="18539"/>
    <cellStyle name="Comma 8 4 2 5" xfId="26858"/>
    <cellStyle name="Comma 8 4 3" xfId="3368"/>
    <cellStyle name="Comma 8 4 3 2" xfId="10138"/>
    <cellStyle name="Comma 8 4 3 3" xfId="22828"/>
    <cellStyle name="Comma 8 4 3 4" xfId="15697"/>
    <cellStyle name="Comma 8 4 3 5" xfId="28851"/>
    <cellStyle name="Comma 8 4 4" xfId="6848"/>
    <cellStyle name="Comma 8 4 5" xfId="13654"/>
    <cellStyle name="Comma 8 4 6" xfId="19363"/>
    <cellStyle name="Comma 8 4 7" xfId="30781"/>
    <cellStyle name="Comma 8 40" xfId="889"/>
    <cellStyle name="Comma 8 40 2" xfId="3353"/>
    <cellStyle name="Comma 8 40 2 2" xfId="10123"/>
    <cellStyle name="Comma 8 40 2 3" xfId="22813"/>
    <cellStyle name="Comma 8 40 2 4" xfId="15793"/>
    <cellStyle name="Comma 8 40 2 5" xfId="29763"/>
    <cellStyle name="Comma 8 40 3" xfId="5378"/>
    <cellStyle name="Comma 8 40 3 2" xfId="12148"/>
    <cellStyle name="Comma 8 40 3 3" xfId="24838"/>
    <cellStyle name="Comma 8 40 3 4" xfId="17833"/>
    <cellStyle name="Comma 8 40 3 5" xfId="15795"/>
    <cellStyle name="Comma 8 40 4" xfId="7659"/>
    <cellStyle name="Comma 8 40 5" xfId="20560"/>
    <cellStyle name="Comma 8 40 6" xfId="19402"/>
    <cellStyle name="Comma 8 40 7" xfId="28570"/>
    <cellStyle name="Comma 8 41" xfId="912"/>
    <cellStyle name="Comma 8 41 2" xfId="3376"/>
    <cellStyle name="Comma 8 41 2 2" xfId="10146"/>
    <cellStyle name="Comma 8 41 2 3" xfId="22836"/>
    <cellStyle name="Comma 8 41 2 4" xfId="18023"/>
    <cellStyle name="Comma 8 41 2 5" xfId="27869"/>
    <cellStyle name="Comma 8 41 3" xfId="5398"/>
    <cellStyle name="Comma 8 41 3 2" xfId="12168"/>
    <cellStyle name="Comma 8 41 3 3" xfId="24858"/>
    <cellStyle name="Comma 8 41 3 4" xfId="19570"/>
    <cellStyle name="Comma 8 41 3 5" xfId="16199"/>
    <cellStyle name="Comma 8 41 4" xfId="7682"/>
    <cellStyle name="Comma 8 41 5" xfId="20580"/>
    <cellStyle name="Comma 8 41 6" xfId="14997"/>
    <cellStyle name="Comma 8 41 7" xfId="31509"/>
    <cellStyle name="Comma 8 42" xfId="733"/>
    <cellStyle name="Comma 8 42 2" xfId="3204"/>
    <cellStyle name="Comma 8 42 2 2" xfId="9974"/>
    <cellStyle name="Comma 8 42 2 3" xfId="22664"/>
    <cellStyle name="Comma 8 42 2 4" xfId="16589"/>
    <cellStyle name="Comma 8 42 2 5" xfId="26966"/>
    <cellStyle name="Comma 8 42 3" xfId="5243"/>
    <cellStyle name="Comma 8 42 3 2" xfId="12013"/>
    <cellStyle name="Comma 8 42 3 3" xfId="24703"/>
    <cellStyle name="Comma 8 42 3 4" xfId="14140"/>
    <cellStyle name="Comma 8 42 3 5" xfId="27815"/>
    <cellStyle name="Comma 8 42 4" xfId="7503"/>
    <cellStyle name="Comma 8 42 5" xfId="20425"/>
    <cellStyle name="Comma 8 42 6" xfId="16590"/>
    <cellStyle name="Comma 8 42 7" xfId="27606"/>
    <cellStyle name="Comma 8 43" xfId="702"/>
    <cellStyle name="Comma 8 43 2" xfId="3174"/>
    <cellStyle name="Comma 8 43 2 2" xfId="9944"/>
    <cellStyle name="Comma 8 43 2 3" xfId="22634"/>
    <cellStyle name="Comma 8 43 2 4" xfId="19175"/>
    <cellStyle name="Comma 8 43 2 5" xfId="27022"/>
    <cellStyle name="Comma 8 43 3" xfId="5216"/>
    <cellStyle name="Comma 8 43 3 2" xfId="11986"/>
    <cellStyle name="Comma 8 43 3 3" xfId="24676"/>
    <cellStyle name="Comma 8 43 3 4" xfId="14372"/>
    <cellStyle name="Comma 8 43 3 5" xfId="30283"/>
    <cellStyle name="Comma 8 43 4" xfId="7472"/>
    <cellStyle name="Comma 8 43 5" xfId="20398"/>
    <cellStyle name="Comma 8 43 6" xfId="17246"/>
    <cellStyle name="Comma 8 43 7" xfId="30423"/>
    <cellStyle name="Comma 8 44" xfId="978"/>
    <cellStyle name="Comma 8 44 2" xfId="3442"/>
    <cellStyle name="Comma 8 44 2 2" xfId="10212"/>
    <cellStyle name="Comma 8 44 2 3" xfId="22902"/>
    <cellStyle name="Comma 8 44 2 4" xfId="17601"/>
    <cellStyle name="Comma 8 44 2 5" xfId="27758"/>
    <cellStyle name="Comma 8 44 3" xfId="5456"/>
    <cellStyle name="Comma 8 44 3 2" xfId="12226"/>
    <cellStyle name="Comma 8 44 3 3" xfId="24916"/>
    <cellStyle name="Comma 8 44 3 4" xfId="17316"/>
    <cellStyle name="Comma 8 44 3 5" xfId="19040"/>
    <cellStyle name="Comma 8 44 4" xfId="7748"/>
    <cellStyle name="Comma 8 44 5" xfId="20638"/>
    <cellStyle name="Comma 8 44 6" xfId="14559"/>
    <cellStyle name="Comma 8 44 7" xfId="31249"/>
    <cellStyle name="Comma 8 45" xfId="1003"/>
    <cellStyle name="Comma 8 45 2" xfId="3467"/>
    <cellStyle name="Comma 8 45 2 2" xfId="10237"/>
    <cellStyle name="Comma 8 45 2 3" xfId="22927"/>
    <cellStyle name="Comma 8 45 2 4" xfId="15072"/>
    <cellStyle name="Comma 8 45 2 5" xfId="29583"/>
    <cellStyle name="Comma 8 45 3" xfId="5477"/>
    <cellStyle name="Comma 8 45 3 2" xfId="12247"/>
    <cellStyle name="Comma 8 45 3 3" xfId="24937"/>
    <cellStyle name="Comma 8 45 3 4" xfId="17182"/>
    <cellStyle name="Comma 8 45 3 5" xfId="17977"/>
    <cellStyle name="Comma 8 45 4" xfId="7773"/>
    <cellStyle name="Comma 8 45 5" xfId="20659"/>
    <cellStyle name="Comma 8 45 6" xfId="17197"/>
    <cellStyle name="Comma 8 45 7" xfId="31206"/>
    <cellStyle name="Comma 8 46" xfId="1025"/>
    <cellStyle name="Comma 8 46 2" xfId="3489"/>
    <cellStyle name="Comma 8 46 2 2" xfId="10259"/>
    <cellStyle name="Comma 8 46 2 3" xfId="22949"/>
    <cellStyle name="Comma 8 46 2 4" xfId="19205"/>
    <cellStyle name="Comma 8 46 2 5" xfId="30629"/>
    <cellStyle name="Comma 8 46 3" xfId="5496"/>
    <cellStyle name="Comma 8 46 3 2" xfId="12266"/>
    <cellStyle name="Comma 8 46 3 3" xfId="24956"/>
    <cellStyle name="Comma 8 46 3 4" xfId="14435"/>
    <cellStyle name="Comma 8 46 3 5" xfId="17570"/>
    <cellStyle name="Comma 8 46 4" xfId="7795"/>
    <cellStyle name="Comma 8 46 5" xfId="20678"/>
    <cellStyle name="Comma 8 46 6" xfId="16606"/>
    <cellStyle name="Comma 8 46 7" xfId="32098"/>
    <cellStyle name="Comma 8 47" xfId="1047"/>
    <cellStyle name="Comma 8 47 2" xfId="3509"/>
    <cellStyle name="Comma 8 47 2 2" xfId="10279"/>
    <cellStyle name="Comma 8 47 2 3" xfId="22969"/>
    <cellStyle name="Comma 8 47 2 4" xfId="14790"/>
    <cellStyle name="Comma 8 47 2 5" xfId="29519"/>
    <cellStyle name="Comma 8 47 3" xfId="5515"/>
    <cellStyle name="Comma 8 47 3 2" xfId="12285"/>
    <cellStyle name="Comma 8 47 3 3" xfId="24975"/>
    <cellStyle name="Comma 8 47 3 4" xfId="18884"/>
    <cellStyle name="Comma 8 47 3 5" xfId="30424"/>
    <cellStyle name="Comma 8 47 4" xfId="7817"/>
    <cellStyle name="Comma 8 47 5" xfId="20697"/>
    <cellStyle name="Comma 8 47 6" xfId="16452"/>
    <cellStyle name="Comma 8 47 7" xfId="29997"/>
    <cellStyle name="Comma 8 48" xfId="1070"/>
    <cellStyle name="Comma 8 48 2" xfId="3532"/>
    <cellStyle name="Comma 8 48 2 2" xfId="10302"/>
    <cellStyle name="Comma 8 48 2 3" xfId="22992"/>
    <cellStyle name="Comma 8 48 2 4" xfId="17012"/>
    <cellStyle name="Comma 8 48 2 5" xfId="27586"/>
    <cellStyle name="Comma 8 48 3" xfId="5535"/>
    <cellStyle name="Comma 8 48 3 2" xfId="12305"/>
    <cellStyle name="Comma 8 48 3 3" xfId="24995"/>
    <cellStyle name="Comma 8 48 3 4" xfId="14412"/>
    <cellStyle name="Comma 8 48 3 5" xfId="30305"/>
    <cellStyle name="Comma 8 48 4" xfId="7840"/>
    <cellStyle name="Comma 8 48 5" xfId="20717"/>
    <cellStyle name="Comma 8 48 6" xfId="19858"/>
    <cellStyle name="Comma 8 48 7" xfId="31089"/>
    <cellStyle name="Comma 8 49" xfId="1093"/>
    <cellStyle name="Comma 8 49 2" xfId="3554"/>
    <cellStyle name="Comma 8 49 2 2" xfId="10324"/>
    <cellStyle name="Comma 8 49 2 3" xfId="23014"/>
    <cellStyle name="Comma 8 49 2 4" xfId="14482"/>
    <cellStyle name="Comma 8 49 2 5" xfId="27554"/>
    <cellStyle name="Comma 8 49 3" xfId="5555"/>
    <cellStyle name="Comma 8 49 3 2" xfId="12325"/>
    <cellStyle name="Comma 8 49 3 3" xfId="25015"/>
    <cellStyle name="Comma 8 49 3 4" xfId="16657"/>
    <cellStyle name="Comma 8 49 3 5" xfId="32344"/>
    <cellStyle name="Comma 8 49 4" xfId="7863"/>
    <cellStyle name="Comma 8 49 5" xfId="20737"/>
    <cellStyle name="Comma 8 49 6" xfId="15478"/>
    <cellStyle name="Comma 8 49 7" xfId="29028"/>
    <cellStyle name="Comma 8 5" xfId="85"/>
    <cellStyle name="Comma 8 5 2" xfId="2569"/>
    <cellStyle name="Comma 8 5 2 2" xfId="9339"/>
    <cellStyle name="Comma 8 5 2 3" xfId="22029"/>
    <cellStyle name="Comma 8 5 2 4" xfId="16476"/>
    <cellStyle name="Comma 8 5 2 5" xfId="31944"/>
    <cellStyle name="Comma 8 5 3" xfId="3211"/>
    <cellStyle name="Comma 8 5 3 2" xfId="9981"/>
    <cellStyle name="Comma 8 5 3 3" xfId="22671"/>
    <cellStyle name="Comma 8 5 3 4" xfId="17003"/>
    <cellStyle name="Comma 8 5 3 5" xfId="32037"/>
    <cellStyle name="Comma 8 5 4" xfId="6855"/>
    <cellStyle name="Comma 8 5 5" xfId="14298"/>
    <cellStyle name="Comma 8 5 6" xfId="16050"/>
    <cellStyle name="Comma 8 5 7" xfId="27804"/>
    <cellStyle name="Comma 8 50" xfId="1115"/>
    <cellStyle name="Comma 8 50 2" xfId="3576"/>
    <cellStyle name="Comma 8 50 2 2" xfId="10346"/>
    <cellStyle name="Comma 8 50 2 3" xfId="23036"/>
    <cellStyle name="Comma 8 50 2 4" xfId="18695"/>
    <cellStyle name="Comma 8 50 2 5" xfId="27377"/>
    <cellStyle name="Comma 8 50 3" xfId="5574"/>
    <cellStyle name="Comma 8 50 3 2" xfId="12344"/>
    <cellStyle name="Comma 8 50 3 3" xfId="25034"/>
    <cellStyle name="Comma 8 50 3 4" xfId="13833"/>
    <cellStyle name="Comma 8 50 3 5" xfId="29352"/>
    <cellStyle name="Comma 8 50 4" xfId="7885"/>
    <cellStyle name="Comma 8 50 5" xfId="20756"/>
    <cellStyle name="Comma 8 50 6" xfId="19604"/>
    <cellStyle name="Comma 8 50 7" xfId="26864"/>
    <cellStyle name="Comma 8 51" xfId="1200"/>
    <cellStyle name="Comma 8 51 2" xfId="3660"/>
    <cellStyle name="Comma 8 51 2 2" xfId="10430"/>
    <cellStyle name="Comma 8 51 2 3" xfId="23120"/>
    <cellStyle name="Comma 8 51 2 4" xfId="20090"/>
    <cellStyle name="Comma 8 51 2 5" xfId="26373"/>
    <cellStyle name="Comma 8 51 3" xfId="5649"/>
    <cellStyle name="Comma 8 51 3 2" xfId="12419"/>
    <cellStyle name="Comma 8 51 3 3" xfId="25109"/>
    <cellStyle name="Comma 8 51 3 4" xfId="15777"/>
    <cellStyle name="Comma 8 51 3 5" xfId="30149"/>
    <cellStyle name="Comma 8 51 4" xfId="7970"/>
    <cellStyle name="Comma 8 51 5" xfId="20831"/>
    <cellStyle name="Comma 8 51 6" xfId="17175"/>
    <cellStyle name="Comma 8 51 7" xfId="30830"/>
    <cellStyle name="Comma 8 52" xfId="1138"/>
    <cellStyle name="Comma 8 52 2" xfId="3598"/>
    <cellStyle name="Comma 8 52 2 2" xfId="10368"/>
    <cellStyle name="Comma 8 52 2 3" xfId="23058"/>
    <cellStyle name="Comma 8 52 2 4" xfId="16574"/>
    <cellStyle name="Comma 8 52 2 5" xfId="28518"/>
    <cellStyle name="Comma 8 52 3" xfId="5594"/>
    <cellStyle name="Comma 8 52 3 2" xfId="12364"/>
    <cellStyle name="Comma 8 52 3 3" xfId="25054"/>
    <cellStyle name="Comma 8 52 3 4" xfId="16392"/>
    <cellStyle name="Comma 8 52 3 5" xfId="28408"/>
    <cellStyle name="Comma 8 52 4" xfId="7908"/>
    <cellStyle name="Comma 8 52 5" xfId="20776"/>
    <cellStyle name="Comma 8 52 6" xfId="15207"/>
    <cellStyle name="Comma 8 52 7" xfId="28004"/>
    <cellStyle name="Comma 8 53" xfId="1160"/>
    <cellStyle name="Comma 8 53 2" xfId="3620"/>
    <cellStyle name="Comma 8 53 2 2" xfId="10390"/>
    <cellStyle name="Comma 8 53 2 3" xfId="23080"/>
    <cellStyle name="Comma 8 53 2 4" xfId="14041"/>
    <cellStyle name="Comma 8 53 2 5" xfId="28615"/>
    <cellStyle name="Comma 8 53 3" xfId="5613"/>
    <cellStyle name="Comma 8 53 3 2" xfId="12383"/>
    <cellStyle name="Comma 8 53 3 3" xfId="25073"/>
    <cellStyle name="Comma 8 53 3 4" xfId="13903"/>
    <cellStyle name="Comma 8 53 3 5" xfId="30199"/>
    <cellStyle name="Comma 8 53 4" xfId="7930"/>
    <cellStyle name="Comma 8 53 5" xfId="20795"/>
    <cellStyle name="Comma 8 53 6" xfId="19328"/>
    <cellStyle name="Comma 8 53 7" xfId="31887"/>
    <cellStyle name="Comma 8 54" xfId="1206"/>
    <cellStyle name="Comma 8 54 2" xfId="3666"/>
    <cellStyle name="Comma 8 54 2 2" xfId="10436"/>
    <cellStyle name="Comma 8 54 2 3" xfId="23126"/>
    <cellStyle name="Comma 8 54 2 4" xfId="20058"/>
    <cellStyle name="Comma 8 54 2 5" xfId="26258"/>
    <cellStyle name="Comma 8 54 3" xfId="5653"/>
    <cellStyle name="Comma 8 54 3 2" xfId="12423"/>
    <cellStyle name="Comma 8 54 3 3" xfId="25113"/>
    <cellStyle name="Comma 8 54 3 4" xfId="19964"/>
    <cellStyle name="Comma 8 54 3 5" xfId="31296"/>
    <cellStyle name="Comma 8 54 4" xfId="7976"/>
    <cellStyle name="Comma 8 54 5" xfId="20835"/>
    <cellStyle name="Comma 8 54 6" xfId="17132"/>
    <cellStyle name="Comma 8 54 7" xfId="30820"/>
    <cellStyle name="Comma 8 55" xfId="1229"/>
    <cellStyle name="Comma 8 55 2" xfId="3689"/>
    <cellStyle name="Comma 8 55 2 2" xfId="10459"/>
    <cellStyle name="Comma 8 55 2 3" xfId="23149"/>
    <cellStyle name="Comma 8 55 2 4" xfId="15718"/>
    <cellStyle name="Comma 8 55 2 5" xfId="30355"/>
    <cellStyle name="Comma 8 55 3" xfId="5673"/>
    <cellStyle name="Comma 8 55 3 2" xfId="12443"/>
    <cellStyle name="Comma 8 55 3 3" xfId="25133"/>
    <cellStyle name="Comma 8 55 3 4" xfId="6783"/>
    <cellStyle name="Comma 8 55 3 5" xfId="30124"/>
    <cellStyle name="Comma 8 55 4" xfId="7999"/>
    <cellStyle name="Comma 8 55 5" xfId="20855"/>
    <cellStyle name="Comma 8 55 6" xfId="18037"/>
    <cellStyle name="Comma 8 55 7" xfId="26647"/>
    <cellStyle name="Comma 8 56" xfId="1252"/>
    <cellStyle name="Comma 8 56 2" xfId="3711"/>
    <cellStyle name="Comma 8 56 2 2" xfId="10481"/>
    <cellStyle name="Comma 8 56 2 3" xfId="23171"/>
    <cellStyle name="Comma 8 56 2 4" xfId="19800"/>
    <cellStyle name="Comma 8 56 2 5" xfId="31500"/>
    <cellStyle name="Comma 8 56 3" xfId="5693"/>
    <cellStyle name="Comma 8 56 3 2" xfId="12463"/>
    <cellStyle name="Comma 8 56 3 3" xfId="25153"/>
    <cellStyle name="Comma 8 56 3 4" xfId="19766"/>
    <cellStyle name="Comma 8 56 3 5" xfId="32159"/>
    <cellStyle name="Comma 8 56 4" xfId="8022"/>
    <cellStyle name="Comma 8 56 5" xfId="20875"/>
    <cellStyle name="Comma 8 56 6" xfId="14448"/>
    <cellStyle name="Comma 8 56 7" xfId="29646"/>
    <cellStyle name="Comma 8 57" xfId="1275"/>
    <cellStyle name="Comma 8 57 2" xfId="3734"/>
    <cellStyle name="Comma 8 57 2 2" xfId="10504"/>
    <cellStyle name="Comma 8 57 2 3" xfId="23194"/>
    <cellStyle name="Comma 8 57 2 4" xfId="15427"/>
    <cellStyle name="Comma 8 57 2 5" xfId="29394"/>
    <cellStyle name="Comma 8 57 3" xfId="5713"/>
    <cellStyle name="Comma 8 57 3 2" xfId="12483"/>
    <cellStyle name="Comma 8 57 3 3" xfId="25173"/>
    <cellStyle name="Comma 8 57 3 4" xfId="15410"/>
    <cellStyle name="Comma 8 57 3 5" xfId="31205"/>
    <cellStyle name="Comma 8 57 4" xfId="8045"/>
    <cellStyle name="Comma 8 57 5" xfId="20895"/>
    <cellStyle name="Comma 8 57 6" xfId="16672"/>
    <cellStyle name="Comma 8 57 7" xfId="27732"/>
    <cellStyle name="Comma 8 58" xfId="1298"/>
    <cellStyle name="Comma 8 58 2" xfId="3756"/>
    <cellStyle name="Comma 8 58 2 2" xfId="10526"/>
    <cellStyle name="Comma 8 58 2 3" xfId="23216"/>
    <cellStyle name="Comma 8 58 2 4" xfId="19555"/>
    <cellStyle name="Comma 8 58 2 5" xfId="26448"/>
    <cellStyle name="Comma 8 58 3" xfId="5733"/>
    <cellStyle name="Comma 8 58 3 2" xfId="12503"/>
    <cellStyle name="Comma 8 58 3 3" xfId="25193"/>
    <cellStyle name="Comma 8 58 3 4" xfId="17648"/>
    <cellStyle name="Comma 8 58 3 5" xfId="30040"/>
    <cellStyle name="Comma 8 58 4" xfId="8068"/>
    <cellStyle name="Comma 8 58 5" xfId="20915"/>
    <cellStyle name="Comma 8 58 6" xfId="19917"/>
    <cellStyle name="Comma 8 58 7" xfId="31424"/>
    <cellStyle name="Comma 8 59" xfId="1321"/>
    <cellStyle name="Comma 8 59 2" xfId="3779"/>
    <cellStyle name="Comma 8 59 2 2" xfId="10549"/>
    <cellStyle name="Comma 8 59 2 3" xfId="23239"/>
    <cellStyle name="Comma 8 59 2 4" xfId="15129"/>
    <cellStyle name="Comma 8 59 2 5" xfId="26880"/>
    <cellStyle name="Comma 8 59 3" xfId="5753"/>
    <cellStyle name="Comma 8 59 3 2" xfId="12523"/>
    <cellStyle name="Comma 8 59 3 3" xfId="25213"/>
    <cellStyle name="Comma 8 59 3 4" xfId="19418"/>
    <cellStyle name="Comma 8 59 3 5" xfId="32078"/>
    <cellStyle name="Comma 8 59 4" xfId="8091"/>
    <cellStyle name="Comma 8 59 5" xfId="20935"/>
    <cellStyle name="Comma 8 59 6" xfId="15539"/>
    <cellStyle name="Comma 8 59 7" xfId="29334"/>
    <cellStyle name="Comma 8 6" xfId="109"/>
    <cellStyle name="Comma 8 6 2" xfId="2593"/>
    <cellStyle name="Comma 8 6 2 2" xfId="9363"/>
    <cellStyle name="Comma 8 6 2 3" xfId="22053"/>
    <cellStyle name="Comma 8 6 2 4" xfId="16330"/>
    <cellStyle name="Comma 8 6 2 5" xfId="31917"/>
    <cellStyle name="Comma 8 6 3" xfId="4483"/>
    <cellStyle name="Comma 8 6 3 2" xfId="11253"/>
    <cellStyle name="Comma 8 6 3 3" xfId="23943"/>
    <cellStyle name="Comma 8 6 3 4" xfId="17142"/>
    <cellStyle name="Comma 8 6 3 5" xfId="27079"/>
    <cellStyle name="Comma 8 6 4" xfId="6879"/>
    <cellStyle name="Comma 8 6 5" xfId="15507"/>
    <cellStyle name="Comma 8 6 6" xfId="17259"/>
    <cellStyle name="Comma 8 6 7" xfId="27760"/>
    <cellStyle name="Comma 8 60" xfId="1344"/>
    <cellStyle name="Comma 8 60 2" xfId="3801"/>
    <cellStyle name="Comma 8 60 2 2" xfId="10571"/>
    <cellStyle name="Comma 8 60 2 3" xfId="23261"/>
    <cellStyle name="Comma 8 60 2 4" xfId="19280"/>
    <cellStyle name="Comma 8 60 2 5" xfId="30380"/>
    <cellStyle name="Comma 8 60 3" xfId="5773"/>
    <cellStyle name="Comma 8 60 3 2" xfId="12543"/>
    <cellStyle name="Comma 8 60 3 3" xfId="25233"/>
    <cellStyle name="Comma 8 60 3 4" xfId="13646"/>
    <cellStyle name="Comma 8 60 3 5" xfId="31110"/>
    <cellStyle name="Comma 8 60 4" xfId="8114"/>
    <cellStyle name="Comma 8 60 5" xfId="20955"/>
    <cellStyle name="Comma 8 60 6" xfId="17779"/>
    <cellStyle name="Comma 8 60 7" xfId="32267"/>
    <cellStyle name="Comma 8 61" xfId="1367"/>
    <cellStyle name="Comma 8 61 2" xfId="3823"/>
    <cellStyle name="Comma 8 61 2 2" xfId="10593"/>
    <cellStyle name="Comma 8 61 2 3" xfId="23283"/>
    <cellStyle name="Comma 8 61 2 4" xfId="17231"/>
    <cellStyle name="Comma 8 61 2 5" xfId="32423"/>
    <cellStyle name="Comma 8 61 3" xfId="5793"/>
    <cellStyle name="Comma 8 61 3 2" xfId="12563"/>
    <cellStyle name="Comma 8 61 3 3" xfId="25253"/>
    <cellStyle name="Comma 8 61 3 4" xfId="17256"/>
    <cellStyle name="Comma 8 61 3 5" xfId="26381"/>
    <cellStyle name="Comma 8 61 4" xfId="8137"/>
    <cellStyle name="Comma 8 61 5" xfId="20975"/>
    <cellStyle name="Comma 8 61 6" xfId="19520"/>
    <cellStyle name="Comma 8 61 7" xfId="27185"/>
    <cellStyle name="Comma 8 62" xfId="1390"/>
    <cellStyle name="Comma 8 62 2" xfId="3846"/>
    <cellStyle name="Comma 8 62 2 2" xfId="10616"/>
    <cellStyle name="Comma 8 62 2 3" xfId="23306"/>
    <cellStyle name="Comma 8 62 2 4" xfId="19006"/>
    <cellStyle name="Comma 8 62 2 5" xfId="27347"/>
    <cellStyle name="Comma 8 62 3" xfId="5813"/>
    <cellStyle name="Comma 8 62 3 2" xfId="12583"/>
    <cellStyle name="Comma 8 62 3 3" xfId="25273"/>
    <cellStyle name="Comma 8 62 3 4" xfId="19069"/>
    <cellStyle name="Comma 8 62 3 5" xfId="31994"/>
    <cellStyle name="Comma 8 62 4" xfId="8160"/>
    <cellStyle name="Comma 8 62 5" xfId="20995"/>
    <cellStyle name="Comma 8 62 6" xfId="13737"/>
    <cellStyle name="Comma 8 62 7" xfId="30140"/>
    <cellStyle name="Comma 8 63" xfId="1413"/>
    <cellStyle name="Comma 8 63 2" xfId="3868"/>
    <cellStyle name="Comma 8 63 2 2" xfId="10638"/>
    <cellStyle name="Comma 8 63 2 3" xfId="23328"/>
    <cellStyle name="Comma 8 63 2 4" xfId="16924"/>
    <cellStyle name="Comma 8 63 2 5" xfId="28484"/>
    <cellStyle name="Comma 8 63 3" xfId="5833"/>
    <cellStyle name="Comma 8 63 3 2" xfId="12603"/>
    <cellStyle name="Comma 8 63 3 3" xfId="25293"/>
    <cellStyle name="Comma 8 63 3 4" xfId="14640"/>
    <cellStyle name="Comma 8 63 3 5" xfId="31014"/>
    <cellStyle name="Comma 8 63 4" xfId="8183"/>
    <cellStyle name="Comma 8 63 5" xfId="21015"/>
    <cellStyle name="Comma 8 63 6" xfId="17326"/>
    <cellStyle name="Comma 8 63 7" xfId="28284"/>
    <cellStyle name="Comma 8 64" xfId="1436"/>
    <cellStyle name="Comma 8 64 2" xfId="3890"/>
    <cellStyle name="Comma 8 64 2 2" xfId="10660"/>
    <cellStyle name="Comma 8 64 2 3" xfId="23350"/>
    <cellStyle name="Comma 8 64 2 4" xfId="14417"/>
    <cellStyle name="Comma 8 64 2 5" xfId="28671"/>
    <cellStyle name="Comma 8 64 3" xfId="5853"/>
    <cellStyle name="Comma 8 64 3 2" xfId="12623"/>
    <cellStyle name="Comma 8 64 3 3" xfId="25313"/>
    <cellStyle name="Comma 8 64 3 4" xfId="16864"/>
    <cellStyle name="Comma 8 64 3 5" xfId="29859"/>
    <cellStyle name="Comma 8 64 4" xfId="8206"/>
    <cellStyle name="Comma 8 64 5" xfId="21035"/>
    <cellStyle name="Comma 8 64 6" xfId="19109"/>
    <cellStyle name="Comma 8 64 7" xfId="31225"/>
    <cellStyle name="Comma 8 65" xfId="1459"/>
    <cellStyle name="Comma 8 65 2" xfId="3913"/>
    <cellStyle name="Comma 8 65 2 2" xfId="10683"/>
    <cellStyle name="Comma 8 65 2 3" xfId="23373"/>
    <cellStyle name="Comma 8 65 2 4" xfId="16619"/>
    <cellStyle name="Comma 8 65 2 5" xfId="31605"/>
    <cellStyle name="Comma 8 65 3" xfId="5873"/>
    <cellStyle name="Comma 8 65 3 2" xfId="12643"/>
    <cellStyle name="Comma 8 65 3 3" xfId="25333"/>
    <cellStyle name="Comma 8 65 3 4" xfId="17219"/>
    <cellStyle name="Comma 8 65 3 5" xfId="31913"/>
    <cellStyle name="Comma 8 65 4" xfId="8229"/>
    <cellStyle name="Comma 8 65 5" xfId="21055"/>
    <cellStyle name="Comma 8 65 6" xfId="14659"/>
    <cellStyle name="Comma 8 65 7" xfId="29148"/>
    <cellStyle name="Comma 8 66" xfId="1482"/>
    <cellStyle name="Comma 8 66 2" xfId="3936"/>
    <cellStyle name="Comma 8 66 2 2" xfId="10706"/>
    <cellStyle name="Comma 8 66 2 3" xfId="23396"/>
    <cellStyle name="Comma 8 66 2 4" xfId="18479"/>
    <cellStyle name="Comma 8 66 2 5" xfId="30268"/>
    <cellStyle name="Comma 8 66 3" xfId="5893"/>
    <cellStyle name="Comma 8 66 3 2" xfId="12663"/>
    <cellStyle name="Comma 8 66 3 3" xfId="25353"/>
    <cellStyle name="Comma 8 66 3 4" xfId="14259"/>
    <cellStyle name="Comma 8 66 3 5" xfId="30915"/>
    <cellStyle name="Comma 8 66 4" xfId="8252"/>
    <cellStyle name="Comma 8 66 5" xfId="21075"/>
    <cellStyle name="Comma 8 66 6" xfId="16866"/>
    <cellStyle name="Comma 8 66 7" xfId="30984"/>
    <cellStyle name="Comma 8 67" xfId="1505"/>
    <cellStyle name="Comma 8 67 2" xfId="3958"/>
    <cellStyle name="Comma 8 67 2 2" xfId="10728"/>
    <cellStyle name="Comma 8 67 2 3" xfId="23418"/>
    <cellStyle name="Comma 8 67 2 4" xfId="16328"/>
    <cellStyle name="Comma 8 67 2 5" xfId="31396"/>
    <cellStyle name="Comma 8 67 3" xfId="5913"/>
    <cellStyle name="Comma 8 67 3 2" xfId="12683"/>
    <cellStyle name="Comma 8 67 3 3" xfId="25373"/>
    <cellStyle name="Comma 8 67 3 4" xfId="16490"/>
    <cellStyle name="Comma 8 67 3 5" xfId="29775"/>
    <cellStyle name="Comma 8 67 4" xfId="8275"/>
    <cellStyle name="Comma 8 67 5" xfId="21095"/>
    <cellStyle name="Comma 8 67 6" xfId="18699"/>
    <cellStyle name="Comma 8 67 7" xfId="26971"/>
    <cellStyle name="Comma 8 68" xfId="1528"/>
    <cellStyle name="Comma 8 68 2" xfId="3980"/>
    <cellStyle name="Comma 8 68 2 2" xfId="10750"/>
    <cellStyle name="Comma 8 68 2 3" xfId="23440"/>
    <cellStyle name="Comma 8 68 2 4" xfId="17048"/>
    <cellStyle name="Comma 8 68 2 5" xfId="32274"/>
    <cellStyle name="Comma 8 68 3" xfId="5933"/>
    <cellStyle name="Comma 8 68 3 2" xfId="12703"/>
    <cellStyle name="Comma 8 68 3 3" xfId="25393"/>
    <cellStyle name="Comma 8 68 3 4" xfId="18343"/>
    <cellStyle name="Comma 8 68 3 5" xfId="31830"/>
    <cellStyle name="Comma 8 68 4" xfId="8298"/>
    <cellStyle name="Comma 8 68 5" xfId="21115"/>
    <cellStyle name="Comma 8 68 6" xfId="14199"/>
    <cellStyle name="Comma 8 68 7" xfId="29948"/>
    <cellStyle name="Comma 8 69" xfId="1551"/>
    <cellStyle name="Comma 8 69 2" xfId="4002"/>
    <cellStyle name="Comma 8 69 2 2" xfId="10772"/>
    <cellStyle name="Comma 8 69 2 3" xfId="23462"/>
    <cellStyle name="Comma 8 69 2 4" xfId="19987"/>
    <cellStyle name="Comma 8 69 2 5" xfId="30181"/>
    <cellStyle name="Comma 8 69 3" xfId="5953"/>
    <cellStyle name="Comma 8 69 3 2" xfId="12723"/>
    <cellStyle name="Comma 8 69 3 3" xfId="25413"/>
    <cellStyle name="Comma 8 69 3 4" xfId="13783"/>
    <cellStyle name="Comma 8 69 3 5" xfId="30818"/>
    <cellStyle name="Comma 8 69 4" xfId="8321"/>
    <cellStyle name="Comma 8 69 5" xfId="21135"/>
    <cellStyle name="Comma 8 69 6" xfId="16402"/>
    <cellStyle name="Comma 8 69 7" xfId="27466"/>
    <cellStyle name="Comma 8 7" xfId="132"/>
    <cellStyle name="Comma 8 7 2" xfId="2616"/>
    <cellStyle name="Comma 8 7 2 2" xfId="9386"/>
    <cellStyle name="Comma 8 7 2 3" xfId="22076"/>
    <cellStyle name="Comma 8 7 2 4" xfId="18073"/>
    <cellStyle name="Comma 8 7 2 5" xfId="26776"/>
    <cellStyle name="Comma 8 7 3" xfId="4022"/>
    <cellStyle name="Comma 8 7 3 2" xfId="10792"/>
    <cellStyle name="Comma 8 7 3 3" xfId="23482"/>
    <cellStyle name="Comma 8 7 3 4" xfId="15657"/>
    <cellStyle name="Comma 8 7 3 5" xfId="32223"/>
    <cellStyle name="Comma 8 7 4" xfId="6902"/>
    <cellStyle name="Comma 8 7 5" xfId="13705"/>
    <cellStyle name="Comma 8 7 6" xfId="19052"/>
    <cellStyle name="Comma 8 7 7" xfId="30688"/>
    <cellStyle name="Comma 8 70" xfId="1574"/>
    <cellStyle name="Comma 8 70 2" xfId="4024"/>
    <cellStyle name="Comma 8 70 2 2" xfId="10794"/>
    <cellStyle name="Comma 8 70 2 3" xfId="23484"/>
    <cellStyle name="Comma 8 70 2 4" xfId="18021"/>
    <cellStyle name="Comma 8 70 2 5" xfId="31303"/>
    <cellStyle name="Comma 8 70 3" xfId="5973"/>
    <cellStyle name="Comma 8 70 3 2" xfId="12743"/>
    <cellStyle name="Comma 8 70 3 3" xfId="25433"/>
    <cellStyle name="Comma 8 70 3 4" xfId="18219"/>
    <cellStyle name="Comma 8 70 3 5" xfId="29683"/>
    <cellStyle name="Comma 8 70 4" xfId="8344"/>
    <cellStyle name="Comma 8 70 5" xfId="21155"/>
    <cellStyle name="Comma 8 70 6" xfId="18287"/>
    <cellStyle name="Comma 8 70 7" xfId="31001"/>
    <cellStyle name="Comma 8 71" xfId="1597"/>
    <cellStyle name="Comma 8 71 2" xfId="4046"/>
    <cellStyle name="Comma 8 71 2 2" xfId="10816"/>
    <cellStyle name="Comma 8 71 2 3" xfId="23506"/>
    <cellStyle name="Comma 8 71 2 4" xfId="15512"/>
    <cellStyle name="Comma 8 71 2 5" xfId="32185"/>
    <cellStyle name="Comma 8 71 3" xfId="5993"/>
    <cellStyle name="Comma 8 71 3 2" xfId="12763"/>
    <cellStyle name="Comma 8 71 3 3" xfId="25453"/>
    <cellStyle name="Comma 8 71 3 4" xfId="19897"/>
    <cellStyle name="Comma 8 71 3 5" xfId="31197"/>
    <cellStyle name="Comma 8 71 4" xfId="8367"/>
    <cellStyle name="Comma 8 71 5" xfId="21175"/>
    <cellStyle name="Comma 8 71 6" xfId="15847"/>
    <cellStyle name="Comma 8 71 7" xfId="28954"/>
    <cellStyle name="Comma 8 72" xfId="1681"/>
    <cellStyle name="Comma 8 72 2" xfId="4128"/>
    <cellStyle name="Comma 8 72 2 2" xfId="10898"/>
    <cellStyle name="Comma 8 72 2 3" xfId="23588"/>
    <cellStyle name="Comma 8 72 2 4" xfId="19259"/>
    <cellStyle name="Comma 8 72 2 5" xfId="27120"/>
    <cellStyle name="Comma 8 72 3" xfId="6068"/>
    <cellStyle name="Comma 8 72 3 2" xfId="12838"/>
    <cellStyle name="Comma 8 72 3 3" xfId="25528"/>
    <cellStyle name="Comma 8 72 3 4" xfId="19542"/>
    <cellStyle name="Comma 8 72 3 5" xfId="27656"/>
    <cellStyle name="Comma 8 72 4" xfId="8451"/>
    <cellStyle name="Comma 8 72 5" xfId="21250"/>
    <cellStyle name="Comma 8 72 6" xfId="15516"/>
    <cellStyle name="Comma 8 72 7" xfId="28079"/>
    <cellStyle name="Comma 8 73" xfId="1640"/>
    <cellStyle name="Comma 8 73 2" xfId="4088"/>
    <cellStyle name="Comma 8 73 2 2" xfId="10858"/>
    <cellStyle name="Comma 8 73 2 3" xfId="23548"/>
    <cellStyle name="Comma 8 73 2 4" xfId="15237"/>
    <cellStyle name="Comma 8 73 2 5" xfId="32130"/>
    <cellStyle name="Comma 8 73 3" xfId="6030"/>
    <cellStyle name="Comma 8 73 3 2" xfId="12800"/>
    <cellStyle name="Comma 8 73 3 3" xfId="25490"/>
    <cellStyle name="Comma 8 73 3 4" xfId="17887"/>
    <cellStyle name="Comma 8 73 3 5" xfId="28702"/>
    <cellStyle name="Comma 8 73 4" xfId="8410"/>
    <cellStyle name="Comma 8 73 5" xfId="21212"/>
    <cellStyle name="Comma 8 73 6" xfId="18389"/>
    <cellStyle name="Comma 8 73 7" xfId="30893"/>
    <cellStyle name="Comma 8 74" xfId="1629"/>
    <cellStyle name="Comma 8 74 2" xfId="4077"/>
    <cellStyle name="Comma 8 74 2 2" xfId="10847"/>
    <cellStyle name="Comma 8 74 2 3" xfId="23537"/>
    <cellStyle name="Comma 8 74 2 4" xfId="15905"/>
    <cellStyle name="Comma 8 74 2 5" xfId="29184"/>
    <cellStyle name="Comma 8 74 3" xfId="6021"/>
    <cellStyle name="Comma 8 74 3 2" xfId="12791"/>
    <cellStyle name="Comma 8 74 3 3" xfId="25481"/>
    <cellStyle name="Comma 8 74 3 4" xfId="17946"/>
    <cellStyle name="Comma 8 74 3 5" xfId="29610"/>
    <cellStyle name="Comma 8 74 4" xfId="8399"/>
    <cellStyle name="Comma 8 74 5" xfId="21203"/>
    <cellStyle name="Comma 8 74 6" xfId="16450"/>
    <cellStyle name="Comma 8 74 7" xfId="27947"/>
    <cellStyle name="Comma 8 75" xfId="1686"/>
    <cellStyle name="Comma 8 75 2" xfId="4133"/>
    <cellStyle name="Comma 8 75 2 2" xfId="10903"/>
    <cellStyle name="Comma 8 75 2 3" xfId="23593"/>
    <cellStyle name="Comma 8 75 2 4" xfId="14941"/>
    <cellStyle name="Comma 8 75 2 5" xfId="27464"/>
    <cellStyle name="Comma 8 75 3" xfId="6071"/>
    <cellStyle name="Comma 8 75 3 2" xfId="12841"/>
    <cellStyle name="Comma 8 75 3 3" xfId="25531"/>
    <cellStyle name="Comma 8 75 3 4" xfId="19522"/>
    <cellStyle name="Comma 8 75 3 5" xfId="31614"/>
    <cellStyle name="Comma 8 75 4" xfId="8456"/>
    <cellStyle name="Comma 8 75 5" xfId="21253"/>
    <cellStyle name="Comma 8 75 6" xfId="17863"/>
    <cellStyle name="Comma 8 75 7" xfId="31798"/>
    <cellStyle name="Comma 8 76" xfId="1709"/>
    <cellStyle name="Comma 8 76 2" xfId="4155"/>
    <cellStyle name="Comma 8 76 2 2" xfId="10925"/>
    <cellStyle name="Comma 8 76 2 3" xfId="23615"/>
    <cellStyle name="Comma 8 76 2 4" xfId="19103"/>
    <cellStyle name="Comma 8 76 2 5" xfId="29072"/>
    <cellStyle name="Comma 8 76 3" xfId="6091"/>
    <cellStyle name="Comma 8 76 3 2" xfId="12861"/>
    <cellStyle name="Comma 8 76 3 3" xfId="25551"/>
    <cellStyle name="Comma 8 76 3 4" xfId="15115"/>
    <cellStyle name="Comma 8 76 3 5" xfId="30571"/>
    <cellStyle name="Comma 8 76 4" xfId="8479"/>
    <cellStyle name="Comma 8 76 5" xfId="21273"/>
    <cellStyle name="Comma 8 76 6" xfId="19579"/>
    <cellStyle name="Comma 8 76 7" xfId="26644"/>
    <cellStyle name="Comma 8 77" xfId="1732"/>
    <cellStyle name="Comma 8 77 2" xfId="4176"/>
    <cellStyle name="Comma 8 77 2 2" xfId="10946"/>
    <cellStyle name="Comma 8 77 2 3" xfId="23636"/>
    <cellStyle name="Comma 8 77 2 4" xfId="16876"/>
    <cellStyle name="Comma 8 77 2 5" xfId="29936"/>
    <cellStyle name="Comma 8 77 3" xfId="6111"/>
    <cellStyle name="Comma 8 77 3 2" xfId="12881"/>
    <cellStyle name="Comma 8 77 3 3" xfId="25571"/>
    <cellStyle name="Comma 8 77 3 4" xfId="17373"/>
    <cellStyle name="Comma 8 77 3 5" xfId="26983"/>
    <cellStyle name="Comma 8 77 4" xfId="8502"/>
    <cellStyle name="Comma 8 77 5" xfId="21293"/>
    <cellStyle name="Comma 8 77 6" xfId="15179"/>
    <cellStyle name="Comma 8 77 7" xfId="29640"/>
    <cellStyle name="Comma 8 78" xfId="1755"/>
    <cellStyle name="Comma 8 78 2" xfId="4199"/>
    <cellStyle name="Comma 8 78 2 2" xfId="10969"/>
    <cellStyle name="Comma 8 78 2 3" xfId="23659"/>
    <cellStyle name="Comma 8 78 2 4" xfId="14503"/>
    <cellStyle name="Comma 8 78 2 5" xfId="27453"/>
    <cellStyle name="Comma 8 78 3" xfId="6131"/>
    <cellStyle name="Comma 8 78 3 2" xfId="12901"/>
    <cellStyle name="Comma 8 78 3 3" xfId="25591"/>
    <cellStyle name="Comma 8 78 3 4" xfId="16698"/>
    <cellStyle name="Comma 8 78 3 5" xfId="32441"/>
    <cellStyle name="Comma 8 78 4" xfId="8525"/>
    <cellStyle name="Comma 8 78 5" xfId="21313"/>
    <cellStyle name="Comma 8 78 6" xfId="17412"/>
    <cellStyle name="Comma 8 78 7" xfId="30694"/>
    <cellStyle name="Comma 8 79" xfId="1778"/>
    <cellStyle name="Comma 8 79 2" xfId="4221"/>
    <cellStyle name="Comma 8 79 2 2" xfId="10991"/>
    <cellStyle name="Comma 8 79 2 3" xfId="23681"/>
    <cellStyle name="Comma 8 79 2 4" xfId="18713"/>
    <cellStyle name="Comma 8 79 2 5" xfId="28977"/>
    <cellStyle name="Comma 8 79 3" xfId="6151"/>
    <cellStyle name="Comma 8 79 3 2" xfId="12921"/>
    <cellStyle name="Comma 8 79 3 3" xfId="25611"/>
    <cellStyle name="Comma 8 79 3 4" xfId="14730"/>
    <cellStyle name="Comma 8 79 3 5" xfId="31523"/>
    <cellStyle name="Comma 8 79 4" xfId="8548"/>
    <cellStyle name="Comma 8 79 5" xfId="21333"/>
    <cellStyle name="Comma 8 79 6" xfId="16322"/>
    <cellStyle name="Comma 8 79 7" xfId="28668"/>
    <cellStyle name="Comma 8 8" xfId="155"/>
    <cellStyle name="Comma 8 8 2" xfId="2639"/>
    <cellStyle name="Comma 8 8 2 2" xfId="9409"/>
    <cellStyle name="Comma 8 8 2 3" xfId="22099"/>
    <cellStyle name="Comma 8 8 2 4" xfId="15763"/>
    <cellStyle name="Comma 8 8 2 5" xfId="29771"/>
    <cellStyle name="Comma 8 8 3" xfId="3552"/>
    <cellStyle name="Comma 8 8 3 2" xfId="10322"/>
    <cellStyle name="Comma 8 8 3 3" xfId="23012"/>
    <cellStyle name="Comma 8 8 3 4" xfId="18833"/>
    <cellStyle name="Comma 8 8 3 5" xfId="27965"/>
    <cellStyle name="Comma 8 8 4" xfId="6925"/>
    <cellStyle name="Comma 8 8 5" xfId="14628"/>
    <cellStyle name="Comma 8 8 6" xfId="14598"/>
    <cellStyle name="Comma 8 8 7" xfId="28665"/>
    <cellStyle name="Comma 8 80" xfId="1801"/>
    <cellStyle name="Comma 8 80 2" xfId="4243"/>
    <cellStyle name="Comma 8 80 2 2" xfId="11013"/>
    <cellStyle name="Comma 8 80 2 3" xfId="23703"/>
    <cellStyle name="Comma 8 80 2 4" xfId="15999"/>
    <cellStyle name="Comma 8 80 2 5" xfId="26808"/>
    <cellStyle name="Comma 8 80 3" xfId="6171"/>
    <cellStyle name="Comma 8 80 3 2" xfId="12941"/>
    <cellStyle name="Comma 8 80 3 3" xfId="25631"/>
    <cellStyle name="Comma 8 80 3 4" xfId="16976"/>
    <cellStyle name="Comma 8 80 3 5" xfId="30313"/>
    <cellStyle name="Comma 8 80 4" xfId="8571"/>
    <cellStyle name="Comma 8 80 5" xfId="21353"/>
    <cellStyle name="Comma 8 80 6" xfId="14726"/>
    <cellStyle name="Comma 8 80 7" xfId="31603"/>
    <cellStyle name="Comma 8 81" xfId="1824"/>
    <cellStyle name="Comma 8 81 2" xfId="4266"/>
    <cellStyle name="Comma 8 81 2 2" xfId="11036"/>
    <cellStyle name="Comma 8 81 2 3" xfId="23726"/>
    <cellStyle name="Comma 8 81 2 4" xfId="18439"/>
    <cellStyle name="Comma 8 81 2 5" xfId="29810"/>
    <cellStyle name="Comma 8 81 3" xfId="6191"/>
    <cellStyle name="Comma 8 81 3 2" xfId="12961"/>
    <cellStyle name="Comma 8 81 3 3" xfId="25651"/>
    <cellStyle name="Comma 8 81 3 4" xfId="18800"/>
    <cellStyle name="Comma 8 81 3 5" xfId="32355"/>
    <cellStyle name="Comma 8 81 4" xfId="8594"/>
    <cellStyle name="Comma 8 81 5" xfId="21373"/>
    <cellStyle name="Comma 8 81 6" xfId="16950"/>
    <cellStyle name="Comma 8 81 7" xfId="27266"/>
    <cellStyle name="Comma 8 82" xfId="1847"/>
    <cellStyle name="Comma 8 82 2" xfId="4288"/>
    <cellStyle name="Comma 8 82 2 2" xfId="11058"/>
    <cellStyle name="Comma 8 82 2 3" xfId="23748"/>
    <cellStyle name="Comma 8 82 2 4" xfId="16282"/>
    <cellStyle name="Comma 8 82 2 5" xfId="30881"/>
    <cellStyle name="Comma 8 82 3" xfId="6211"/>
    <cellStyle name="Comma 8 82 3 2" xfId="12981"/>
    <cellStyle name="Comma 8 82 3 3" xfId="25671"/>
    <cellStyle name="Comma 8 82 3 4" xfId="14339"/>
    <cellStyle name="Comma 8 82 3 5" xfId="31419"/>
    <cellStyle name="Comma 8 82 4" xfId="8617"/>
    <cellStyle name="Comma 8 82 5" xfId="21393"/>
    <cellStyle name="Comma 8 82 6" xfId="18778"/>
    <cellStyle name="Comma 8 82 7" xfId="30214"/>
    <cellStyle name="Comma 8 83" xfId="1870"/>
    <cellStyle name="Comma 8 83 2" xfId="4310"/>
    <cellStyle name="Comma 8 83 2 2" xfId="11080"/>
    <cellStyle name="Comma 8 83 2 3" xfId="23770"/>
    <cellStyle name="Comma 8 83 2 4" xfId="15879"/>
    <cellStyle name="Comma 8 83 2 5" xfId="31816"/>
    <cellStyle name="Comma 8 83 3" xfId="6231"/>
    <cellStyle name="Comma 8 83 3 2" xfId="13001"/>
    <cellStyle name="Comma 8 83 3 3" xfId="25691"/>
    <cellStyle name="Comma 8 83 3 4" xfId="15985"/>
    <cellStyle name="Comma 8 83 3 5" xfId="30226"/>
    <cellStyle name="Comma 8 83 4" xfId="8640"/>
    <cellStyle name="Comma 8 83 5" xfId="21413"/>
    <cellStyle name="Comma 8 83 6" xfId="14267"/>
    <cellStyle name="Comma 8 83 7" xfId="27501"/>
    <cellStyle name="Comma 8 84" xfId="1893"/>
    <cellStyle name="Comma 8 84 2" xfId="4332"/>
    <cellStyle name="Comma 8 84 2 2" xfId="11102"/>
    <cellStyle name="Comma 8 84 2 3" xfId="23792"/>
    <cellStyle name="Comma 8 84 2 4" xfId="19949"/>
    <cellStyle name="Comma 8 84 2 5" xfId="30280"/>
    <cellStyle name="Comma 8 84 3" xfId="6251"/>
    <cellStyle name="Comma 8 84 3 2" xfId="13021"/>
    <cellStyle name="Comma 8 84 3 3" xfId="25711"/>
    <cellStyle name="Comma 8 84 3 4" xfId="18447"/>
    <cellStyle name="Comma 8 84 3 5" xfId="32279"/>
    <cellStyle name="Comma 8 84 4" xfId="8663"/>
    <cellStyle name="Comma 8 84 5" xfId="21433"/>
    <cellStyle name="Comma 8 84 6" xfId="16487"/>
    <cellStyle name="Comma 8 84 7" xfId="31313"/>
    <cellStyle name="Comma 8 85" xfId="1915"/>
    <cellStyle name="Comma 8 85 2" xfId="4353"/>
    <cellStyle name="Comma 8 85 2 2" xfId="11123"/>
    <cellStyle name="Comma 8 85 2 3" xfId="23813"/>
    <cellStyle name="Comma 8 85 2 4" xfId="19829"/>
    <cellStyle name="Comma 8 85 2 5" xfId="29362"/>
    <cellStyle name="Comma 8 85 3" xfId="6270"/>
    <cellStyle name="Comma 8 85 3 2" xfId="13040"/>
    <cellStyle name="Comma 8 85 3 3" xfId="25730"/>
    <cellStyle name="Comma 8 85 3 4" xfId="8831"/>
    <cellStyle name="Comma 8 85 3 5" xfId="29286"/>
    <cellStyle name="Comma 8 85 4" xfId="8685"/>
    <cellStyle name="Comma 8 85 5" xfId="21452"/>
    <cellStyle name="Comma 8 85 6" xfId="13978"/>
    <cellStyle name="Comma 8 85 7" xfId="32196"/>
    <cellStyle name="Comma 8 86" xfId="1937"/>
    <cellStyle name="Comma 8 86 2" xfId="4374"/>
    <cellStyle name="Comma 8 86 2 2" xfId="11144"/>
    <cellStyle name="Comma 8 86 2 3" xfId="23834"/>
    <cellStyle name="Comma 8 86 2 4" xfId="19724"/>
    <cellStyle name="Comma 8 86 2 5" xfId="30219"/>
    <cellStyle name="Comma 8 86 3" xfId="6289"/>
    <cellStyle name="Comma 8 86 3 2" xfId="13059"/>
    <cellStyle name="Comma 8 86 3 3" xfId="25749"/>
    <cellStyle name="Comma 8 86 3 4" xfId="8396"/>
    <cellStyle name="Comma 8 86 3 5" xfId="31308"/>
    <cellStyle name="Comma 8 86 4" xfId="8707"/>
    <cellStyle name="Comma 8 86 5" xfId="21471"/>
    <cellStyle name="Comma 8 86 6" xfId="17480"/>
    <cellStyle name="Comma 8 86 7" xfId="30104"/>
    <cellStyle name="Comma 8 87" xfId="1960"/>
    <cellStyle name="Comma 8 87 2" xfId="4397"/>
    <cellStyle name="Comma 8 87 2 2" xfId="11167"/>
    <cellStyle name="Comma 8 87 2 3" xfId="23857"/>
    <cellStyle name="Comma 8 87 2 4" xfId="15322"/>
    <cellStyle name="Comma 8 87 2 5" xfId="28382"/>
    <cellStyle name="Comma 8 87 3" xfId="6309"/>
    <cellStyle name="Comma 8 87 3 2" xfId="13079"/>
    <cellStyle name="Comma 8 87 3 3" xfId="25769"/>
    <cellStyle name="Comma 8 87 3 4" xfId="8032"/>
    <cellStyle name="Comma 8 87 3 5" xfId="26257"/>
    <cellStyle name="Comma 8 87 4" xfId="8730"/>
    <cellStyle name="Comma 8 87 5" xfId="21491"/>
    <cellStyle name="Comma 8 87 6" xfId="15785"/>
    <cellStyle name="Comma 8 87 7" xfId="28245"/>
    <cellStyle name="Comma 8 88" xfId="1983"/>
    <cellStyle name="Comma 8 88 2" xfId="4419"/>
    <cellStyle name="Comma 8 88 2 2" xfId="11189"/>
    <cellStyle name="Comma 8 88 2 3" xfId="23879"/>
    <cellStyle name="Comma 8 88 2 4" xfId="19453"/>
    <cellStyle name="Comma 8 88 2 5" xfId="29272"/>
    <cellStyle name="Comma 8 88 3" xfId="6329"/>
    <cellStyle name="Comma 8 88 3 2" xfId="13099"/>
    <cellStyle name="Comma 8 88 3 3" xfId="25789"/>
    <cellStyle name="Comma 8 88 3 4" xfId="7623"/>
    <cellStyle name="Comma 8 88 3 5" xfId="32171"/>
    <cellStyle name="Comma 8 88 4" xfId="8753"/>
    <cellStyle name="Comma 8 88 5" xfId="21511"/>
    <cellStyle name="Comma 8 88 6" xfId="16226"/>
    <cellStyle name="Comma 8 88 7" xfId="31171"/>
    <cellStyle name="Comma 8 89" xfId="2005"/>
    <cellStyle name="Comma 8 89 2" xfId="4441"/>
    <cellStyle name="Comma 8 89 2 2" xfId="11211"/>
    <cellStyle name="Comma 8 89 2 3" xfId="23901"/>
    <cellStyle name="Comma 8 89 2 4" xfId="17427"/>
    <cellStyle name="Comma 8 89 2 5" xfId="27141"/>
    <cellStyle name="Comma 8 89 3" xfId="6348"/>
    <cellStyle name="Comma 8 89 3 2" xfId="13118"/>
    <cellStyle name="Comma 8 89 3 3" xfId="25808"/>
    <cellStyle name="Comma 8 89 3 4" xfId="7210"/>
    <cellStyle name="Comma 8 89 3 5" xfId="29180"/>
    <cellStyle name="Comma 8 89 4" xfId="8775"/>
    <cellStyle name="Comma 8 89 5" xfId="21530"/>
    <cellStyle name="Comma 8 89 6" xfId="15870"/>
    <cellStyle name="Comma 8 89 7" xfId="32076"/>
    <cellStyle name="Comma 8 9" xfId="178"/>
    <cellStyle name="Comma 8 9 2" xfId="2660"/>
    <cellStyle name="Comma 8 9 2 2" xfId="9430"/>
    <cellStyle name="Comma 8 9 2 3" xfId="22120"/>
    <cellStyle name="Comma 8 9 2 4" xfId="14296"/>
    <cellStyle name="Comma 8 9 2 5" xfId="28852"/>
    <cellStyle name="Comma 8 9 3" xfId="2782"/>
    <cellStyle name="Comma 8 9 3 2" xfId="9552"/>
    <cellStyle name="Comma 8 9 3 3" xfId="22242"/>
    <cellStyle name="Comma 8 9 3 4" xfId="13858"/>
    <cellStyle name="Comma 8 9 3 5" xfId="27663"/>
    <cellStyle name="Comma 8 9 4" xfId="6948"/>
    <cellStyle name="Comma 8 9 5" xfId="14167"/>
    <cellStyle name="Comma 8 9 6" xfId="16800"/>
    <cellStyle name="Comma 8 9 7" xfId="32374"/>
    <cellStyle name="Comma 8 90" xfId="2028"/>
    <cellStyle name="Comma 8 90 2" xfId="4463"/>
    <cellStyle name="Comma 8 90 2 2" xfId="11233"/>
    <cellStyle name="Comma 8 90 2 3" xfId="23923"/>
    <cellStyle name="Comma 8 90 2 4" xfId="14897"/>
    <cellStyle name="Comma 8 90 2 5" xfId="28289"/>
    <cellStyle name="Comma 8 90 3" xfId="6368"/>
    <cellStyle name="Comma 8 90 3 2" xfId="13138"/>
    <cellStyle name="Comma 8 90 3 3" xfId="25828"/>
    <cellStyle name="Comma 8 90 3 4" xfId="9080"/>
    <cellStyle name="Comma 8 90 3 5" xfId="28220"/>
    <cellStyle name="Comma 8 90 4" xfId="8798"/>
    <cellStyle name="Comma 8 90 5" xfId="21550"/>
    <cellStyle name="Comma 8 90 6" xfId="18094"/>
    <cellStyle name="Comma 8 90 7" xfId="26957"/>
    <cellStyle name="Comma 8 91" xfId="2051"/>
    <cellStyle name="Comma 8 91 2" xfId="4485"/>
    <cellStyle name="Comma 8 91 2 2" xfId="11255"/>
    <cellStyle name="Comma 8 91 2 3" xfId="23945"/>
    <cellStyle name="Comma 8 91 2 4" xfId="19064"/>
    <cellStyle name="Comma 8 91 2 5" xfId="29181"/>
    <cellStyle name="Comma 8 91 3" xfId="6388"/>
    <cellStyle name="Comma 8 91 3 2" xfId="13158"/>
    <cellStyle name="Comma 8 91 3 3" xfId="25848"/>
    <cellStyle name="Comma 8 91 3 4" xfId="15918"/>
    <cellStyle name="Comma 8 91 3 5" xfId="27020"/>
    <cellStyle name="Comma 8 91 4" xfId="8821"/>
    <cellStyle name="Comma 8 91 5" xfId="21570"/>
    <cellStyle name="Comma 8 91 6" xfId="16289"/>
    <cellStyle name="Comma 8 91 7" xfId="29937"/>
    <cellStyle name="Comma 8 92" xfId="2074"/>
    <cellStyle name="Comma 8 92 2" xfId="4506"/>
    <cellStyle name="Comma 8 92 2 2" xfId="11276"/>
    <cellStyle name="Comma 8 92 2 3" xfId="23966"/>
    <cellStyle name="Comma 8 92 2 4" xfId="18945"/>
    <cellStyle name="Comma 8 92 2 5" xfId="30043"/>
    <cellStyle name="Comma 8 92 3" xfId="6408"/>
    <cellStyle name="Comma 8 92 3 2" xfId="13178"/>
    <cellStyle name="Comma 8 92 3 3" xfId="25868"/>
    <cellStyle name="Comma 8 92 3 4" xfId="15822"/>
    <cellStyle name="Comma 8 92 3 5" xfId="29098"/>
    <cellStyle name="Comma 8 92 4" xfId="8844"/>
    <cellStyle name="Comma 8 92 5" xfId="21590"/>
    <cellStyle name="Comma 8 92 6" xfId="15850"/>
    <cellStyle name="Comma 8 92 7" xfId="28069"/>
    <cellStyle name="Comma 8 93" xfId="2097"/>
    <cellStyle name="Comma 8 93 2" xfId="4528"/>
    <cellStyle name="Comma 8 93 2 2" xfId="11298"/>
    <cellStyle name="Comma 8 93 2 3" xfId="23988"/>
    <cellStyle name="Comma 8 93 2 4" xfId="16835"/>
    <cellStyle name="Comma 8 93 2 5" xfId="31156"/>
    <cellStyle name="Comma 8 93 3" xfId="6428"/>
    <cellStyle name="Comma 8 93 3 2" xfId="13198"/>
    <cellStyle name="Comma 8 93 3 3" xfId="25888"/>
    <cellStyle name="Comma 8 93 3 4" xfId="16119"/>
    <cellStyle name="Comma 8 93 3 5" xfId="28128"/>
    <cellStyle name="Comma 8 93 4" xfId="8867"/>
    <cellStyle name="Comma 8 93 5" xfId="21610"/>
    <cellStyle name="Comma 8 93 6" xfId="18074"/>
    <cellStyle name="Comma 8 93 7" xfId="30990"/>
    <cellStyle name="Comma 8 94" xfId="2120"/>
    <cellStyle name="Comma 8 94 2" xfId="4549"/>
    <cellStyle name="Comma 8 94 2 2" xfId="11319"/>
    <cellStyle name="Comma 8 94 2 3" xfId="24009"/>
    <cellStyle name="Comma 8 94 2 4" xfId="16702"/>
    <cellStyle name="Comma 8 94 2 5" xfId="26977"/>
    <cellStyle name="Comma 8 94 3" xfId="6448"/>
    <cellStyle name="Comma 8 94 3 2" xfId="13218"/>
    <cellStyle name="Comma 8 94 3 3" xfId="25908"/>
    <cellStyle name="Comma 8 94 3 4" xfId="15600"/>
    <cellStyle name="Comma 8 94 3 5" xfId="26918"/>
    <cellStyle name="Comma 8 94 4" xfId="8890"/>
    <cellStyle name="Comma 8 94 5" xfId="21630"/>
    <cellStyle name="Comma 8 94 6" xfId="18354"/>
    <cellStyle name="Comma 8 94 7" xfId="28944"/>
    <cellStyle name="Comma 8 95" xfId="2198"/>
    <cellStyle name="Comma 8 95 2" xfId="4623"/>
    <cellStyle name="Comma 8 95 2 2" xfId="11393"/>
    <cellStyle name="Comma 8 95 2 3" xfId="24083"/>
    <cellStyle name="Comma 8 95 2 4" xfId="16524"/>
    <cellStyle name="Comma 8 95 2 5" xfId="28984"/>
    <cellStyle name="Comma 8 95 3" xfId="6517"/>
    <cellStyle name="Comma 8 95 3 2" xfId="13287"/>
    <cellStyle name="Comma 8 95 3 3" xfId="25977"/>
    <cellStyle name="Comma 8 95 3 4" xfId="15166"/>
    <cellStyle name="Comma 8 95 3 5" xfId="30952"/>
    <cellStyle name="Comma 8 95 4" xfId="8968"/>
    <cellStyle name="Comma 8 95 5" xfId="21699"/>
    <cellStyle name="Comma 8 95 6" xfId="15227"/>
    <cellStyle name="Comma 8 95 7" xfId="28058"/>
    <cellStyle name="Comma 8 96" xfId="2229"/>
    <cellStyle name="Comma 8 96 2" xfId="4652"/>
    <cellStyle name="Comma 8 96 2 2" xfId="11422"/>
    <cellStyle name="Comma 8 96 2 3" xfId="24112"/>
    <cellStyle name="Comma 8 96 2 4" xfId="15759"/>
    <cellStyle name="Comma 8 96 2 5" xfId="31079"/>
    <cellStyle name="Comma 8 96 3" xfId="6542"/>
    <cellStyle name="Comma 8 96 3 2" xfId="13312"/>
    <cellStyle name="Comma 8 96 3 3" xfId="26002"/>
    <cellStyle name="Comma 8 96 3 4" xfId="19292"/>
    <cellStyle name="Comma 8 96 3 5" xfId="27941"/>
    <cellStyle name="Comma 8 96 4" xfId="8999"/>
    <cellStyle name="Comma 8 96 5" xfId="21724"/>
    <cellStyle name="Comma 8 96 6" xfId="17594"/>
    <cellStyle name="Comma 8 96 7" xfId="30770"/>
    <cellStyle name="Comma 8 97" xfId="2226"/>
    <cellStyle name="Comma 8 97 2" xfId="4649"/>
    <cellStyle name="Comma 8 97 2 2" xfId="11419"/>
    <cellStyle name="Comma 8 97 2 3" xfId="24109"/>
    <cellStyle name="Comma 8 97 2 4" xfId="15779"/>
    <cellStyle name="Comma 8 97 2 5" xfId="27985"/>
    <cellStyle name="Comma 8 97 3" xfId="6540"/>
    <cellStyle name="Comma 8 97 3 2" xfId="13310"/>
    <cellStyle name="Comma 8 97 3 3" xfId="26000"/>
    <cellStyle name="Comma 8 97 3 4" xfId="17399"/>
    <cellStyle name="Comma 8 97 3 5" xfId="28908"/>
    <cellStyle name="Comma 8 97 4" xfId="8996"/>
    <cellStyle name="Comma 8 97 5" xfId="21722"/>
    <cellStyle name="Comma 8 97 6" xfId="19308"/>
    <cellStyle name="Comma 8 97 7" xfId="26643"/>
    <cellStyle name="Comma 8 98" xfId="2221"/>
    <cellStyle name="Comma 8 98 2" xfId="4644"/>
    <cellStyle name="Comma 8 98 2 2" xfId="11414"/>
    <cellStyle name="Comma 8 98 2 3" xfId="24104"/>
    <cellStyle name="Comma 8 98 2 4" xfId="20019"/>
    <cellStyle name="Comma 8 98 2 5" xfId="29844"/>
    <cellStyle name="Comma 8 98 3" xfId="6538"/>
    <cellStyle name="Comma 8 98 3 2" xfId="13308"/>
    <cellStyle name="Comma 8 98 3 3" xfId="25998"/>
    <cellStyle name="Comma 8 98 3 4" xfId="15041"/>
    <cellStyle name="Comma 8 98 3 5" xfId="26773"/>
    <cellStyle name="Comma 8 98 4" xfId="8991"/>
    <cellStyle name="Comma 8 98 5" xfId="21720"/>
    <cellStyle name="Comma 8 98 6" xfId="17438"/>
    <cellStyle name="Comma 8 98 7" xfId="31766"/>
    <cellStyle name="Comma 8 99" xfId="2234"/>
    <cellStyle name="Comma 8 99 2" xfId="4656"/>
    <cellStyle name="Comma 8 99 2 2" xfId="11426"/>
    <cellStyle name="Comma 8 99 2 3" xfId="24116"/>
    <cellStyle name="Comma 8 99 2 4" xfId="19948"/>
    <cellStyle name="Comma 8 99 2 5" xfId="29835"/>
    <cellStyle name="Comma 8 99 3" xfId="6545"/>
    <cellStyle name="Comma 8 99 3 2" xfId="13315"/>
    <cellStyle name="Comma 8 99 3 3" xfId="26005"/>
    <cellStyle name="Comma 8 99 3 4" xfId="19272"/>
    <cellStyle name="Comma 8 99 3 5" xfId="31869"/>
    <cellStyle name="Comma 8 99 4" xfId="9004"/>
    <cellStyle name="Comma 8 99 5" xfId="21727"/>
    <cellStyle name="Comma 8 99 6" xfId="14994"/>
    <cellStyle name="Comma 8 99 7" xfId="28771"/>
    <cellStyle name="Comma 9" xfId="16"/>
    <cellStyle name="Currency" xfId="34136" builtinId="4"/>
    <cellStyle name="Currency 2" xfId="29"/>
    <cellStyle name="Currency 2 2" xfId="80"/>
    <cellStyle name="Currency 3" xfId="34137"/>
    <cellStyle name="Flashing" xfId="30"/>
    <cellStyle name="Hyperlink" xfId="9" builtinId="8"/>
    <cellStyle name="Hyperlink 2" xfId="31"/>
    <cellStyle name="Hyperlink 3" xfId="32"/>
    <cellStyle name="Hyperlink 4" xfId="33"/>
    <cellStyle name="Hyperlink 5" xfId="34"/>
    <cellStyle name="Hyperlink 6" xfId="34133"/>
    <cellStyle name="Normal" xfId="0" builtinId="0"/>
    <cellStyle name="Normal 10" xfId="35"/>
    <cellStyle name="Normal 10 10" xfId="270"/>
    <cellStyle name="Normal 10 10 2" xfId="2746"/>
    <cellStyle name="Normal 10 10 2 2" xfId="9516"/>
    <cellStyle name="Normal 10 10 2 3" xfId="22206"/>
    <cellStyle name="Normal 10 10 2 4" xfId="13741"/>
    <cellStyle name="Normal 10 10 2 5" xfId="27736"/>
    <cellStyle name="Normal 10 10 3" xfId="4143"/>
    <cellStyle name="Normal 10 10 3 2" xfId="10913"/>
    <cellStyle name="Normal 10 10 3 3" xfId="23603"/>
    <cellStyle name="Normal 10 10 3 4" xfId="16412"/>
    <cellStyle name="Normal 10 10 3 5" xfId="29092"/>
    <cellStyle name="Normal 10 10 4" xfId="7040"/>
    <cellStyle name="Normal 10 10 5" xfId="15203"/>
    <cellStyle name="Normal 10 10 6" xfId="19812"/>
    <cellStyle name="Normal 10 10 7" xfId="31336"/>
    <cellStyle name="Normal 10 100" xfId="2323"/>
    <cellStyle name="Normal 10 100 2" xfId="4744"/>
    <cellStyle name="Normal 10 100 2 2" xfId="11514"/>
    <cellStyle name="Normal 10 100 2 3" xfId="24204"/>
    <cellStyle name="Normal 10 100 2 4" xfId="17706"/>
    <cellStyle name="Normal 10 100 2 5" xfId="30801"/>
    <cellStyle name="Normal 10 100 3" xfId="6622"/>
    <cellStyle name="Normal 10 100 3 2" xfId="13392"/>
    <cellStyle name="Normal 10 100 3 3" xfId="26082"/>
    <cellStyle name="Normal 10 100 3 4" xfId="14473"/>
    <cellStyle name="Normal 10 100 3 5" xfId="26638"/>
    <cellStyle name="Normal 10 100 4" xfId="9093"/>
    <cellStyle name="Normal 10 100 5" xfId="21804"/>
    <cellStyle name="Normal 10 100 6" xfId="16756"/>
    <cellStyle name="Normal 10 100 7" xfId="31350"/>
    <cellStyle name="Normal 10 101" xfId="2345"/>
    <cellStyle name="Normal 10 101 2" xfId="4765"/>
    <cellStyle name="Normal 10 101 2 2" xfId="11535"/>
    <cellStyle name="Normal 10 101 2 3" xfId="24225"/>
    <cellStyle name="Normal 10 101 2 4" xfId="17575"/>
    <cellStyle name="Normal 10 101 2 5" xfId="26616"/>
    <cellStyle name="Normal 10 101 3" xfId="6641"/>
    <cellStyle name="Normal 10 101 3 2" xfId="13411"/>
    <cellStyle name="Normal 10 101 3 3" xfId="26101"/>
    <cellStyle name="Normal 10 101 3 4" xfId="18706"/>
    <cellStyle name="Normal 10 101 3 5" xfId="31307"/>
    <cellStyle name="Normal 10 101 4" xfId="9115"/>
    <cellStyle name="Normal 10 101 5" xfId="21823"/>
    <cellStyle name="Normal 10 101 6" xfId="15576"/>
    <cellStyle name="Normal 10 101 7" xfId="30188"/>
    <cellStyle name="Normal 10 102" xfId="2366"/>
    <cellStyle name="Normal 10 102 2" xfId="4785"/>
    <cellStyle name="Normal 10 102 2 2" xfId="11555"/>
    <cellStyle name="Normal 10 102 2 3" xfId="24245"/>
    <cellStyle name="Normal 10 102 2 4" xfId="19354"/>
    <cellStyle name="Normal 10 102 2 5" xfId="27724"/>
    <cellStyle name="Normal 10 102 3" xfId="6659"/>
    <cellStyle name="Normal 10 102 3 2" xfId="13429"/>
    <cellStyle name="Normal 10 102 3 3" xfId="26119"/>
    <cellStyle name="Normal 10 102 3 4" xfId="17466"/>
    <cellStyle name="Normal 10 102 3 5" xfId="31697"/>
    <cellStyle name="Normal 10 102 4" xfId="9136"/>
    <cellStyle name="Normal 10 102 5" xfId="21841"/>
    <cellStyle name="Normal 10 102 6" xfId="15450"/>
    <cellStyle name="Normal 10 102 7" xfId="29265"/>
    <cellStyle name="Normal 10 103" xfId="2387"/>
    <cellStyle name="Normal 10 103 2" xfId="4805"/>
    <cellStyle name="Normal 10 103 2 2" xfId="11575"/>
    <cellStyle name="Normal 10 103 2 3" xfId="24265"/>
    <cellStyle name="Normal 10 103 2 4" xfId="14939"/>
    <cellStyle name="Normal 10 103 2 5" xfId="27734"/>
    <cellStyle name="Normal 10 103 3" xfId="6676"/>
    <cellStyle name="Normal 10 103 3 2" xfId="13446"/>
    <cellStyle name="Normal 10 103 3 3" xfId="26136"/>
    <cellStyle name="Normal 10 103 3 4" xfId="14117"/>
    <cellStyle name="Normal 10 103 3 5" xfId="26544"/>
    <cellStyle name="Normal 10 103 4" xfId="9157"/>
    <cellStyle name="Normal 10 103 5" xfId="21858"/>
    <cellStyle name="Normal 10 103 6" xfId="15306"/>
    <cellStyle name="Normal 10 103 7" xfId="26270"/>
    <cellStyle name="Normal 10 104" xfId="2408"/>
    <cellStyle name="Normal 10 104 2" xfId="4826"/>
    <cellStyle name="Normal 10 104 2 2" xfId="11596"/>
    <cellStyle name="Normal 10 104 2 3" xfId="24286"/>
    <cellStyle name="Normal 10 104 2 4" xfId="14809"/>
    <cellStyle name="Normal 10 104 2 5" xfId="31650"/>
    <cellStyle name="Normal 10 104 3" xfId="6696"/>
    <cellStyle name="Normal 10 104 3 2" xfId="13466"/>
    <cellStyle name="Normal 10 104 3 3" xfId="26156"/>
    <cellStyle name="Normal 10 104 3 4" xfId="16365"/>
    <cellStyle name="Normal 10 104 3 5" xfId="28661"/>
    <cellStyle name="Normal 10 104 4" xfId="9178"/>
    <cellStyle name="Normal 10 104 5" xfId="21878"/>
    <cellStyle name="Normal 10 104 6" xfId="15177"/>
    <cellStyle name="Normal 10 104 7" xfId="29210"/>
    <cellStyle name="Normal 10 105" xfId="2430"/>
    <cellStyle name="Normal 10 105 2" xfId="4848"/>
    <cellStyle name="Normal 10 105 2 2" xfId="11618"/>
    <cellStyle name="Normal 10 105 2 3" xfId="24308"/>
    <cellStyle name="Normal 10 105 2 4" xfId="16918"/>
    <cellStyle name="Normal 10 105 2 5" xfId="26839"/>
    <cellStyle name="Normal 10 105 3" xfId="6716"/>
    <cellStyle name="Normal 10 105 3 2" xfId="13486"/>
    <cellStyle name="Normal 10 105 3 3" xfId="26176"/>
    <cellStyle name="Normal 10 105 3 4" xfId="16244"/>
    <cellStyle name="Normal 10 105 3 5" xfId="27648"/>
    <cellStyle name="Normal 10 105 4" xfId="9200"/>
    <cellStyle name="Normal 10 105 5" xfId="21898"/>
    <cellStyle name="Normal 10 105 6" xfId="19322"/>
    <cellStyle name="Normal 10 105 7" xfId="27071"/>
    <cellStyle name="Normal 10 106" xfId="2450"/>
    <cellStyle name="Normal 10 106 2" xfId="4868"/>
    <cellStyle name="Normal 10 106 2 2" xfId="11638"/>
    <cellStyle name="Normal 10 106 2 3" xfId="24328"/>
    <cellStyle name="Normal 10 106 2 4" xfId="14522"/>
    <cellStyle name="Normal 10 106 2 5" xfId="31587"/>
    <cellStyle name="Normal 10 106 3" xfId="6733"/>
    <cellStyle name="Normal 10 106 3 2" xfId="13503"/>
    <cellStyle name="Normal 10 106 3 3" xfId="26193"/>
    <cellStyle name="Normal 10 106 3 4" xfId="15853"/>
    <cellStyle name="Normal 10 106 3 5" xfId="30574"/>
    <cellStyle name="Normal 10 106 4" xfId="9220"/>
    <cellStyle name="Normal 10 106 5" xfId="21915"/>
    <cellStyle name="Normal 10 106 6" xfId="14901"/>
    <cellStyle name="Normal 10 106 7" xfId="29145"/>
    <cellStyle name="Normal 10 107" xfId="2468"/>
    <cellStyle name="Normal 10 107 2" xfId="4885"/>
    <cellStyle name="Normal 10 107 2 2" xfId="11655"/>
    <cellStyle name="Normal 10 107 2 3" xfId="24345"/>
    <cellStyle name="Normal 10 107 2 4" xfId="16790"/>
    <cellStyle name="Normal 10 107 2 5" xfId="26415"/>
    <cellStyle name="Normal 10 107 3" xfId="6749"/>
    <cellStyle name="Normal 10 107 3 2" xfId="13519"/>
    <cellStyle name="Normal 10 107 3 3" xfId="26209"/>
    <cellStyle name="Normal 10 107 3 4" xfId="19962"/>
    <cellStyle name="Normal 10 107 3 5" xfId="31429"/>
    <cellStyle name="Normal 10 107 4" xfId="9238"/>
    <cellStyle name="Normal 10 107 5" xfId="21931"/>
    <cellStyle name="Normal 10 107 6" xfId="14791"/>
    <cellStyle name="Normal 10 107 7" xfId="29129"/>
    <cellStyle name="Normal 10 108" xfId="2485"/>
    <cellStyle name="Normal 10 108 2" xfId="4902"/>
    <cellStyle name="Normal 10 108 2 2" xfId="11672"/>
    <cellStyle name="Normal 10 108 2 3" xfId="24362"/>
    <cellStyle name="Normal 10 108 2 4" xfId="18652"/>
    <cellStyle name="Normal 10 108 2 5" xfId="26274"/>
    <cellStyle name="Normal 10 108 3" xfId="6765"/>
    <cellStyle name="Normal 10 108 3 2" xfId="13535"/>
    <cellStyle name="Normal 10 108 3 3" xfId="26225"/>
    <cellStyle name="Normal 10 108 3 4" xfId="26246"/>
    <cellStyle name="Normal 10 108 3 5" xfId="30951"/>
    <cellStyle name="Normal 10 108 4" xfId="9255"/>
    <cellStyle name="Normal 10 108 5" xfId="21947"/>
    <cellStyle name="Normal 10 108 6" xfId="17025"/>
    <cellStyle name="Normal 10 108 7" xfId="32065"/>
    <cellStyle name="Normal 10 109" xfId="2524"/>
    <cellStyle name="Normal 10 109 2" xfId="9294"/>
    <cellStyle name="Normal 10 109 3" xfId="21984"/>
    <cellStyle name="Normal 10 109 4" xfId="16002"/>
    <cellStyle name="Normal 10 109 5" xfId="27498"/>
    <cellStyle name="Normal 10 11" xfId="292"/>
    <cellStyle name="Normal 10 11 2" xfId="2768"/>
    <cellStyle name="Normal 10 11 2 2" xfId="9538"/>
    <cellStyle name="Normal 10 11 2 3" xfId="22228"/>
    <cellStyle name="Normal 10 11 2 4" xfId="19939"/>
    <cellStyle name="Normal 10 11 2 5" xfId="28676"/>
    <cellStyle name="Normal 10 11 3" xfId="3699"/>
    <cellStyle name="Normal 10 11 3 2" xfId="10469"/>
    <cellStyle name="Normal 10 11 3 3" xfId="23159"/>
    <cellStyle name="Normal 10 11 3 4" xfId="19876"/>
    <cellStyle name="Normal 10 11 3 5" xfId="31520"/>
    <cellStyle name="Normal 10 11 4" xfId="7062"/>
    <cellStyle name="Normal 10 11 5" xfId="14774"/>
    <cellStyle name="Normal 10 11 6" xfId="17830"/>
    <cellStyle name="Normal 10 11 7" xfId="32218"/>
    <cellStyle name="Normal 10 110" xfId="4258"/>
    <cellStyle name="Normal 10 110 2" xfId="11028"/>
    <cellStyle name="Normal 10 110 3" xfId="23718"/>
    <cellStyle name="Normal 10 110 4" xfId="16482"/>
    <cellStyle name="Normal 10 110 5" xfId="30923"/>
    <cellStyle name="Normal 10 111" xfId="6806"/>
    <cellStyle name="Normal 10 112" xfId="13743"/>
    <cellStyle name="Normal 10 113" xfId="17758"/>
    <cellStyle name="Normal 10 114" xfId="31826"/>
    <cellStyle name="Normal 10 115" xfId="32478"/>
    <cellStyle name="Normal 10 116" xfId="32501"/>
    <cellStyle name="Normal 10 117" xfId="32524"/>
    <cellStyle name="Normal 10 118" xfId="32547"/>
    <cellStyle name="Normal 10 119" xfId="32570"/>
    <cellStyle name="Normal 10 12" xfId="317"/>
    <cellStyle name="Normal 10 12 2" xfId="2793"/>
    <cellStyle name="Normal 10 12 2 2" xfId="9563"/>
    <cellStyle name="Normal 10 12 2 3" xfId="22253"/>
    <cellStyle name="Normal 10 12 2 4" xfId="16068"/>
    <cellStyle name="Normal 10 12 2 5" xfId="30618"/>
    <cellStyle name="Normal 10 12 3" xfId="3185"/>
    <cellStyle name="Normal 10 12 3 2" xfId="9955"/>
    <cellStyle name="Normal 10 12 3 3" xfId="22645"/>
    <cellStyle name="Normal 10 12 3 4" xfId="14802"/>
    <cellStyle name="Normal 10 12 3 5" xfId="30009"/>
    <cellStyle name="Normal 10 12 4" xfId="7087"/>
    <cellStyle name="Normal 10 12 5" xfId="14266"/>
    <cellStyle name="Normal 10 12 6" xfId="15296"/>
    <cellStyle name="Normal 10 12 7" xfId="29222"/>
    <cellStyle name="Normal 10 120" xfId="32593"/>
    <cellStyle name="Normal 10 121" xfId="32616"/>
    <cellStyle name="Normal 10 122" xfId="32639"/>
    <cellStyle name="Normal 10 123" xfId="32662"/>
    <cellStyle name="Normal 10 124" xfId="32685"/>
    <cellStyle name="Normal 10 125" xfId="32708"/>
    <cellStyle name="Normal 10 126" xfId="32731"/>
    <cellStyle name="Normal 10 127" xfId="32754"/>
    <cellStyle name="Normal 10 128" xfId="32777"/>
    <cellStyle name="Normal 10 129" xfId="32800"/>
    <cellStyle name="Normal 10 13" xfId="340"/>
    <cellStyle name="Normal 10 13 2" xfId="2816"/>
    <cellStyle name="Normal 10 13 2 2" xfId="9586"/>
    <cellStyle name="Normal 10 13 2 3" xfId="22276"/>
    <cellStyle name="Normal 10 13 2 4" xfId="8981"/>
    <cellStyle name="Normal 10 13 2 5" xfId="28601"/>
    <cellStyle name="Normal 10 13 3" xfId="2743"/>
    <cellStyle name="Normal 10 13 3 2" xfId="9513"/>
    <cellStyle name="Normal 10 13 3 3" xfId="22203"/>
    <cellStyle name="Normal 10 13 3 4" xfId="15869"/>
    <cellStyle name="Normal 10 13 3 5" xfId="31692"/>
    <cellStyle name="Normal 10 13 4" xfId="7110"/>
    <cellStyle name="Normal 10 13 5" xfId="13834"/>
    <cellStyle name="Normal 10 13 6" xfId="17504"/>
    <cellStyle name="Normal 10 13 7" xfId="32151"/>
    <cellStyle name="Normal 10 130" xfId="32823"/>
    <cellStyle name="Normal 10 131" xfId="32846"/>
    <cellStyle name="Normal 10 132" xfId="32869"/>
    <cellStyle name="Normal 10 133" xfId="32891"/>
    <cellStyle name="Normal 10 134" xfId="32914"/>
    <cellStyle name="Normal 10 135" xfId="32937"/>
    <cellStyle name="Normal 10 136" xfId="32960"/>
    <cellStyle name="Normal 10 137" xfId="32983"/>
    <cellStyle name="Normal 10 138" xfId="33006"/>
    <cellStyle name="Normal 10 139" xfId="33029"/>
    <cellStyle name="Normal 10 14" xfId="363"/>
    <cellStyle name="Normal 10 14 2" xfId="2839"/>
    <cellStyle name="Normal 10 14 2 2" xfId="9609"/>
    <cellStyle name="Normal 10 14 2 3" xfId="22299"/>
    <cellStyle name="Normal 10 14 2 4" xfId="8517"/>
    <cellStyle name="Normal 10 14 2 5" xfId="31172"/>
    <cellStyle name="Normal 10 14 3" xfId="4921"/>
    <cellStyle name="Normal 10 14 3 2" xfId="11691"/>
    <cellStyle name="Normal 10 14 3 3" xfId="24381"/>
    <cellStyle name="Normal 10 14 3 4" xfId="16548"/>
    <cellStyle name="Normal 10 14 3 5" xfId="27385"/>
    <cellStyle name="Normal 10 14 4" xfId="7133"/>
    <cellStyle name="Normal 10 14 5" xfId="20103"/>
    <cellStyle name="Normal 10 14 6" xfId="19273"/>
    <cellStyle name="Normal 10 14 7" xfId="27046"/>
    <cellStyle name="Normal 10 140" xfId="33052"/>
    <cellStyle name="Normal 10 141" xfId="33075"/>
    <cellStyle name="Normal 10 142" xfId="33098"/>
    <cellStyle name="Normal 10 143" xfId="33121"/>
    <cellStyle name="Normal 10 144" xfId="33143"/>
    <cellStyle name="Normal 10 145" xfId="33163"/>
    <cellStyle name="Normal 10 146" xfId="33185"/>
    <cellStyle name="Normal 10 147" xfId="33201"/>
    <cellStyle name="Normal 10 148" xfId="33218"/>
    <cellStyle name="Normal 10 149" xfId="33254"/>
    <cellStyle name="Normal 10 15" xfId="386"/>
    <cellStyle name="Normal 10 15 2" xfId="2862"/>
    <cellStyle name="Normal 10 15 2 2" xfId="9632"/>
    <cellStyle name="Normal 10 15 2 3" xfId="22322"/>
    <cellStyle name="Normal 10 15 2 4" xfId="8037"/>
    <cellStyle name="Normal 10 15 2 5" xfId="27387"/>
    <cellStyle name="Normal 10 15 3" xfId="4941"/>
    <cellStyle name="Normal 10 15 3 2" xfId="11711"/>
    <cellStyle name="Normal 10 15 3 3" xfId="24401"/>
    <cellStyle name="Normal 10 15 3 4" xfId="18417"/>
    <cellStyle name="Normal 10 15 3 5" xfId="29436"/>
    <cellStyle name="Normal 10 15 4" xfId="7156"/>
    <cellStyle name="Normal 10 15 5" xfId="20123"/>
    <cellStyle name="Normal 10 15 6" xfId="14848"/>
    <cellStyle name="Normal 10 15 7" xfId="30022"/>
    <cellStyle name="Normal 10 150" xfId="33277"/>
    <cellStyle name="Normal 10 151" xfId="33300"/>
    <cellStyle name="Normal 10 152" xfId="33323"/>
    <cellStyle name="Normal 10 153" xfId="33346"/>
    <cellStyle name="Normal 10 154" xfId="33369"/>
    <cellStyle name="Normal 10 155" xfId="33392"/>
    <cellStyle name="Normal 10 156" xfId="33415"/>
    <cellStyle name="Normal 10 157" xfId="33438"/>
    <cellStyle name="Normal 10 158" xfId="33461"/>
    <cellStyle name="Normal 10 159" xfId="33484"/>
    <cellStyle name="Normal 10 16" xfId="409"/>
    <cellStyle name="Normal 10 16 2" xfId="2884"/>
    <cellStyle name="Normal 10 16 2 2" xfId="9654"/>
    <cellStyle name="Normal 10 16 2 3" xfId="22344"/>
    <cellStyle name="Normal 10 16 2 4" xfId="7582"/>
    <cellStyle name="Normal 10 16 2 5" xfId="28531"/>
    <cellStyle name="Normal 10 16 3" xfId="4961"/>
    <cellStyle name="Normal 10 16 3 2" xfId="11731"/>
    <cellStyle name="Normal 10 16 3 3" xfId="24421"/>
    <cellStyle name="Normal 10 16 3 4" xfId="13905"/>
    <cellStyle name="Normal 10 16 3 5" xfId="28497"/>
    <cellStyle name="Normal 10 16 4" xfId="7179"/>
    <cellStyle name="Normal 10 16 5" xfId="20143"/>
    <cellStyle name="Normal 10 16 6" xfId="17042"/>
    <cellStyle name="Normal 10 16 7" xfId="28155"/>
    <cellStyle name="Normal 10 160" xfId="33507"/>
    <cellStyle name="Normal 10 161" xfId="33530"/>
    <cellStyle name="Normal 10 162" xfId="33553"/>
    <cellStyle name="Normal 10 163" xfId="33576"/>
    <cellStyle name="Normal 10 164" xfId="33599"/>
    <cellStyle name="Normal 10 165" xfId="33622"/>
    <cellStyle name="Normal 10 166" xfId="33644"/>
    <cellStyle name="Normal 10 167" xfId="33666"/>
    <cellStyle name="Normal 10 168" xfId="33689"/>
    <cellStyle name="Normal 10 169" xfId="33712"/>
    <cellStyle name="Normal 10 17" xfId="431"/>
    <cellStyle name="Normal 10 17 2" xfId="2906"/>
    <cellStyle name="Normal 10 17 2 2" xfId="9676"/>
    <cellStyle name="Normal 10 17 2 3" xfId="22366"/>
    <cellStyle name="Normal 10 17 2 4" xfId="8910"/>
    <cellStyle name="Normal 10 17 2 5" xfId="28171"/>
    <cellStyle name="Normal 10 17 3" xfId="4980"/>
    <cellStyle name="Normal 10 17 3 2" xfId="11750"/>
    <cellStyle name="Normal 10 17 3 3" xfId="24440"/>
    <cellStyle name="Normal 10 17 3 4" xfId="20086"/>
    <cellStyle name="Normal 10 17 3 5" xfId="29702"/>
    <cellStyle name="Normal 10 17 4" xfId="7201"/>
    <cellStyle name="Normal 10 17 5" xfId="20162"/>
    <cellStyle name="Normal 10 17 6" xfId="14540"/>
    <cellStyle name="Normal 10 17 7" xfId="29057"/>
    <cellStyle name="Normal 10 170" xfId="33735"/>
    <cellStyle name="Normal 10 171" xfId="33758"/>
    <cellStyle name="Normal 10 172" xfId="33781"/>
    <cellStyle name="Normal 10 173" xfId="33804"/>
    <cellStyle name="Normal 10 174" xfId="33827"/>
    <cellStyle name="Normal 10 175" xfId="33850"/>
    <cellStyle name="Normal 10 176" xfId="33873"/>
    <cellStyle name="Normal 10 177" xfId="33896"/>
    <cellStyle name="Normal 10 178" xfId="33919"/>
    <cellStyle name="Normal 10 179" xfId="33942"/>
    <cellStyle name="Normal 10 18" xfId="454"/>
    <cellStyle name="Normal 10 18 2" xfId="2929"/>
    <cellStyle name="Normal 10 18 2 2" xfId="9699"/>
    <cellStyle name="Normal 10 18 2 3" xfId="22389"/>
    <cellStyle name="Normal 10 18 2 4" xfId="8411"/>
    <cellStyle name="Normal 10 18 2 5" xfId="31666"/>
    <cellStyle name="Normal 10 18 3" xfId="5000"/>
    <cellStyle name="Normal 10 18 3 2" xfId="11770"/>
    <cellStyle name="Normal 10 18 3 3" xfId="24460"/>
    <cellStyle name="Normal 10 18 3 4" xfId="15758"/>
    <cellStyle name="Normal 10 18 3 5" xfId="31744"/>
    <cellStyle name="Normal 10 18 4" xfId="7224"/>
    <cellStyle name="Normal 10 18 5" xfId="20182"/>
    <cellStyle name="Normal 10 18 6" xfId="16762"/>
    <cellStyle name="Normal 10 18 7" xfId="31995"/>
    <cellStyle name="Normal 10 180" xfId="33965"/>
    <cellStyle name="Normal 10 181" xfId="33988"/>
    <cellStyle name="Normal 10 182" xfId="34009"/>
    <cellStyle name="Normal 10 183" xfId="34027"/>
    <cellStyle name="Normal 10 184" xfId="34044"/>
    <cellStyle name="Normal 10 19" xfId="477"/>
    <cellStyle name="Normal 10 19 2" xfId="2952"/>
    <cellStyle name="Normal 10 19 2 2" xfId="9722"/>
    <cellStyle name="Normal 10 19 2 3" xfId="22412"/>
    <cellStyle name="Normal 10 19 2 4" xfId="7726"/>
    <cellStyle name="Normal 10 19 2 5" xfId="26494"/>
    <cellStyle name="Normal 10 19 3" xfId="5020"/>
    <cellStyle name="Normal 10 19 3 2" xfId="11790"/>
    <cellStyle name="Normal 10 19 3 3" xfId="24480"/>
    <cellStyle name="Normal 10 19 3 4" xfId="18018"/>
    <cellStyle name="Normal 10 19 3 5" xfId="30726"/>
    <cellStyle name="Normal 10 19 4" xfId="7247"/>
    <cellStyle name="Normal 10 19 5" xfId="20202"/>
    <cellStyle name="Normal 10 19 6" xfId="17464"/>
    <cellStyle name="Normal 10 19 7" xfId="26863"/>
    <cellStyle name="Normal 10 2" xfId="86"/>
    <cellStyle name="Normal 10 2 2" xfId="2570"/>
    <cellStyle name="Normal 10 2 2 2" xfId="9340"/>
    <cellStyle name="Normal 10 2 2 3" xfId="22030"/>
    <cellStyle name="Normal 10 2 2 4" xfId="14106"/>
    <cellStyle name="Normal 10 2 2 5" xfId="28976"/>
    <cellStyle name="Normal 10 2 3" xfId="3190"/>
    <cellStyle name="Normal 10 2 3 2" xfId="9960"/>
    <cellStyle name="Normal 10 2 3 3" xfId="22650"/>
    <cellStyle name="Normal 10 2 3 4" xfId="17135"/>
    <cellStyle name="Normal 10 2 3 5" xfId="28169"/>
    <cellStyle name="Normal 10 2 4" xfId="6856"/>
    <cellStyle name="Normal 10 2 5" xfId="14273"/>
    <cellStyle name="Normal 10 2 6" xfId="15057"/>
    <cellStyle name="Normal 10 2 7" xfId="29671"/>
    <cellStyle name="Normal 10 20" xfId="500"/>
    <cellStyle name="Normal 10 20 2" xfId="2975"/>
    <cellStyle name="Normal 10 20 2 2" xfId="9745"/>
    <cellStyle name="Normal 10 20 2 3" xfId="22435"/>
    <cellStyle name="Normal 10 20 2 4" xfId="7471"/>
    <cellStyle name="Normal 10 20 2 5" xfId="30289"/>
    <cellStyle name="Normal 10 20 3" xfId="5040"/>
    <cellStyle name="Normal 10 20 3 2" xfId="11810"/>
    <cellStyle name="Normal 10 20 3 3" xfId="24500"/>
    <cellStyle name="Normal 10 20 3 4" xfId="19740"/>
    <cellStyle name="Normal 10 20 3 5" xfId="27685"/>
    <cellStyle name="Normal 10 20 4" xfId="7270"/>
    <cellStyle name="Normal 10 20 5" xfId="20222"/>
    <cellStyle name="Normal 10 20 6" xfId="14076"/>
    <cellStyle name="Normal 10 20 7" xfId="26614"/>
    <cellStyle name="Normal 10 21" xfId="523"/>
    <cellStyle name="Normal 10 21 2" xfId="2998"/>
    <cellStyle name="Normal 10 21 2 2" xfId="9768"/>
    <cellStyle name="Normal 10 21 2 3" xfId="22458"/>
    <cellStyle name="Normal 10 21 2 4" xfId="9218"/>
    <cellStyle name="Normal 10 21 2 5" xfId="28446"/>
    <cellStyle name="Normal 10 21 3" xfId="5060"/>
    <cellStyle name="Normal 10 21 3 2" xfId="11830"/>
    <cellStyle name="Normal 10 21 3 3" xfId="24520"/>
    <cellStyle name="Normal 10 21 3 4" xfId="15382"/>
    <cellStyle name="Normal 10 21 3 5" xfId="26517"/>
    <cellStyle name="Normal 10 21 4" xfId="7293"/>
    <cellStyle name="Normal 10 21 5" xfId="20242"/>
    <cellStyle name="Normal 10 21 6" xfId="16298"/>
    <cellStyle name="Normal 10 21 7" xfId="27971"/>
    <cellStyle name="Normal 10 22" xfId="546"/>
    <cellStyle name="Normal 10 22 2" xfId="3019"/>
    <cellStyle name="Normal 10 22 2 2" xfId="9789"/>
    <cellStyle name="Normal 10 22 2 3" xfId="22479"/>
    <cellStyle name="Normal 10 22 2 4" xfId="9210"/>
    <cellStyle name="Normal 10 22 2 5" xfId="32298"/>
    <cellStyle name="Normal 10 22 3" xfId="5080"/>
    <cellStyle name="Normal 10 22 3 2" xfId="11850"/>
    <cellStyle name="Normal 10 22 3 3" xfId="24540"/>
    <cellStyle name="Normal 10 22 3 4" xfId="17618"/>
    <cellStyle name="Normal 10 22 3 5" xfId="28634"/>
    <cellStyle name="Normal 10 22 4" xfId="7316"/>
    <cellStyle name="Normal 10 22 5" xfId="20262"/>
    <cellStyle name="Normal 10 22 6" xfId="20085"/>
    <cellStyle name="Normal 10 22 7" xfId="30895"/>
    <cellStyle name="Normal 10 23" xfId="569"/>
    <cellStyle name="Normal 10 23 2" xfId="3042"/>
    <cellStyle name="Normal 10 23 2 2" xfId="9812"/>
    <cellStyle name="Normal 10 23 2 3" xfId="22502"/>
    <cellStyle name="Normal 10 23 2 4" xfId="19942"/>
    <cellStyle name="Normal 10 23 2 5" xfId="27218"/>
    <cellStyle name="Normal 10 23 3" xfId="5100"/>
    <cellStyle name="Normal 10 23 3 2" xfId="11870"/>
    <cellStyle name="Normal 10 23 3 3" xfId="24560"/>
    <cellStyle name="Normal 10 23 3 4" xfId="19362"/>
    <cellStyle name="Normal 10 23 3 5" xfId="30567"/>
    <cellStyle name="Normal 10 23 4" xfId="7339"/>
    <cellStyle name="Normal 10 23 5" xfId="20282"/>
    <cellStyle name="Normal 10 23 6" xfId="13810"/>
    <cellStyle name="Normal 10 23 7" xfId="27982"/>
    <cellStyle name="Normal 10 24" xfId="591"/>
    <cellStyle name="Normal 10 24 2" xfId="3064"/>
    <cellStyle name="Normal 10 24 2 2" xfId="9834"/>
    <cellStyle name="Normal 10 24 2 3" xfId="22524"/>
    <cellStyle name="Normal 10 24 2 4" xfId="17949"/>
    <cellStyle name="Normal 10 24 2 5" xfId="28357"/>
    <cellStyle name="Normal 10 24 3" xfId="5119"/>
    <cellStyle name="Normal 10 24 3 2" xfId="11889"/>
    <cellStyle name="Normal 10 24 3 3" xfId="24579"/>
    <cellStyle name="Normal 10 24 3 4" xfId="17383"/>
    <cellStyle name="Normal 10 24 3 5" xfId="27566"/>
    <cellStyle name="Normal 10 24 4" xfId="7361"/>
    <cellStyle name="Normal 10 24 5" xfId="20301"/>
    <cellStyle name="Normal 10 24 6" xfId="17780"/>
    <cellStyle name="Normal 10 24 7" xfId="26692"/>
    <cellStyle name="Normal 10 25" xfId="613"/>
    <cellStyle name="Normal 10 25 2" xfId="3086"/>
    <cellStyle name="Normal 10 25 2 2" xfId="9856"/>
    <cellStyle name="Normal 10 25 2 3" xfId="22546"/>
    <cellStyle name="Normal 10 25 2 4" xfId="15439"/>
    <cellStyle name="Normal 10 25 2 5" xfId="29246"/>
    <cellStyle name="Normal 10 25 3" xfId="5139"/>
    <cellStyle name="Normal 10 25 3 2" xfId="11909"/>
    <cellStyle name="Normal 10 25 3 3" xfId="24599"/>
    <cellStyle name="Normal 10 25 3 4" xfId="19160"/>
    <cellStyle name="Normal 10 25 3 5" xfId="26367"/>
    <cellStyle name="Normal 10 25 4" xfId="7383"/>
    <cellStyle name="Normal 10 25 5" xfId="20321"/>
    <cellStyle name="Normal 10 25 6" xfId="18130"/>
    <cellStyle name="Normal 10 25 7" xfId="27820"/>
    <cellStyle name="Normal 10 26" xfId="638"/>
    <cellStyle name="Normal 10 26 2" xfId="3111"/>
    <cellStyle name="Normal 10 26 2 2" xfId="9881"/>
    <cellStyle name="Normal 10 26 2 3" xfId="22571"/>
    <cellStyle name="Normal 10 26 2 4" xfId="19546"/>
    <cellStyle name="Normal 10 26 2 5" xfId="31262"/>
    <cellStyle name="Normal 10 26 3" xfId="5160"/>
    <cellStyle name="Normal 10 26 3 2" xfId="11930"/>
    <cellStyle name="Normal 10 26 3 3" xfId="24620"/>
    <cellStyle name="Normal 10 26 3 4" xfId="19042"/>
    <cellStyle name="Normal 10 26 3 5" xfId="31538"/>
    <cellStyle name="Normal 10 26 4" xfId="7408"/>
    <cellStyle name="Normal 10 26 5" xfId="20342"/>
    <cellStyle name="Normal 10 26 6" xfId="15318"/>
    <cellStyle name="Normal 10 26 7" xfId="29654"/>
    <cellStyle name="Normal 10 27" xfId="659"/>
    <cellStyle name="Normal 10 27 2" xfId="3131"/>
    <cellStyle name="Normal 10 27 2 2" xfId="9901"/>
    <cellStyle name="Normal 10 27 2 3" xfId="22591"/>
    <cellStyle name="Normal 10 27 2 4" xfId="15140"/>
    <cellStyle name="Normal 10 27 2 5" xfId="30082"/>
    <cellStyle name="Normal 10 27 3" xfId="5178"/>
    <cellStyle name="Normal 10 27 3 2" xfId="11948"/>
    <cellStyle name="Normal 10 27 3 3" xfId="24638"/>
    <cellStyle name="Normal 10 27 3 4" xfId="18923"/>
    <cellStyle name="Normal 10 27 3 5" xfId="31517"/>
    <cellStyle name="Normal 10 27 4" xfId="7429"/>
    <cellStyle name="Normal 10 27 5" xfId="20360"/>
    <cellStyle name="Normal 10 27 6" xfId="6820"/>
    <cellStyle name="Normal 10 27 7" xfId="28724"/>
    <cellStyle name="Normal 10 28" xfId="682"/>
    <cellStyle name="Normal 10 28 2" xfId="3154"/>
    <cellStyle name="Normal 10 28 2 2" xfId="9924"/>
    <cellStyle name="Normal 10 28 2 3" xfId="22614"/>
    <cellStyle name="Normal 10 28 2 4" xfId="17377"/>
    <cellStyle name="Normal 10 28 2 5" xfId="28222"/>
    <cellStyle name="Normal 10 28 3" xfId="5199"/>
    <cellStyle name="Normal 10 28 3 2" xfId="11969"/>
    <cellStyle name="Normal 10 28 3 3" xfId="24659"/>
    <cellStyle name="Normal 10 28 3 4" xfId="18808"/>
    <cellStyle name="Normal 10 28 3 5" xfId="27334"/>
    <cellStyle name="Normal 10 28 4" xfId="7452"/>
    <cellStyle name="Normal 10 28 5" xfId="20381"/>
    <cellStyle name="Normal 10 28 6" xfId="19294"/>
    <cellStyle name="Normal 10 28 7" xfId="31659"/>
    <cellStyle name="Normal 10 29" xfId="704"/>
    <cellStyle name="Normal 10 29 2" xfId="3176"/>
    <cellStyle name="Normal 10 29 2 2" xfId="9946"/>
    <cellStyle name="Normal 10 29 2 3" xfId="22636"/>
    <cellStyle name="Normal 10 29 2 4" xfId="14868"/>
    <cellStyle name="Normal 10 29 2 5" xfId="29128"/>
    <cellStyle name="Normal 10 29 3" xfId="5218"/>
    <cellStyle name="Normal 10 29 3 2" xfId="11988"/>
    <cellStyle name="Normal 10 29 3 3" xfId="24678"/>
    <cellStyle name="Normal 10 29 3 4" xfId="16722"/>
    <cellStyle name="Normal 10 29 3 5" xfId="32350"/>
    <cellStyle name="Normal 10 29 4" xfId="7474"/>
    <cellStyle name="Normal 10 29 5" xfId="20400"/>
    <cellStyle name="Normal 10 29 6" xfId="19158"/>
    <cellStyle name="Normal 10 29 7" xfId="29545"/>
    <cellStyle name="Normal 10 3" xfId="110"/>
    <cellStyle name="Normal 10 3 2" xfId="2594"/>
    <cellStyle name="Normal 10 3 2 2" xfId="9364"/>
    <cellStyle name="Normal 10 3 2 3" xfId="22054"/>
    <cellStyle name="Normal 10 3 2 4" xfId="13954"/>
    <cellStyle name="Normal 10 3 2 5" xfId="28951"/>
    <cellStyle name="Normal 10 3 3" xfId="4461"/>
    <cellStyle name="Normal 10 3 3 2" xfId="11231"/>
    <cellStyle name="Normal 10 3 3 3" xfId="23921"/>
    <cellStyle name="Normal 10 3 3 4" xfId="19202"/>
    <cellStyle name="Normal 10 3 3 5" xfId="29216"/>
    <cellStyle name="Normal 10 3 4" xfId="6880"/>
    <cellStyle name="Normal 10 3 5" xfId="13748"/>
    <cellStyle name="Normal 10 3 6" xfId="14884"/>
    <cellStyle name="Normal 10 3 7" xfId="26871"/>
    <cellStyle name="Normal 10 30" xfId="727"/>
    <cellStyle name="Normal 10 30 2" xfId="3198"/>
    <cellStyle name="Normal 10 30 2 2" xfId="9968"/>
    <cellStyle name="Normal 10 30 2 3" xfId="22658"/>
    <cellStyle name="Normal 10 30 2 4" xfId="19017"/>
    <cellStyle name="Normal 10 30 2 5" xfId="26978"/>
    <cellStyle name="Normal 10 30 3" xfId="5237"/>
    <cellStyle name="Normal 10 30 3 2" xfId="12007"/>
    <cellStyle name="Normal 10 30 3 3" xfId="24697"/>
    <cellStyle name="Normal 10 30 3 4" xfId="14213"/>
    <cellStyle name="Normal 10 30 3 5" xfId="27564"/>
    <cellStyle name="Normal 10 30 4" xfId="7497"/>
    <cellStyle name="Normal 10 30 5" xfId="20419"/>
    <cellStyle name="Normal 10 30 6" xfId="17072"/>
    <cellStyle name="Normal 10 30 7" xfId="27618"/>
    <cellStyle name="Normal 10 31" xfId="751"/>
    <cellStyle name="Normal 10 31 2" xfId="3222"/>
    <cellStyle name="Normal 10 31 2 2" xfId="9992"/>
    <cellStyle name="Normal 10 31 2 3" xfId="22682"/>
    <cellStyle name="Normal 10 31 2 4" xfId="18880"/>
    <cellStyle name="Normal 10 31 2 5" xfId="26931"/>
    <cellStyle name="Normal 10 31 3" xfId="5259"/>
    <cellStyle name="Normal 10 31 3 2" xfId="12029"/>
    <cellStyle name="Normal 10 31 3 3" xfId="24719"/>
    <cellStyle name="Normal 10 31 3 4" xfId="18512"/>
    <cellStyle name="Normal 10 31 3 5" xfId="26287"/>
    <cellStyle name="Normal 10 31 4" xfId="7521"/>
    <cellStyle name="Normal 10 31 5" xfId="20441"/>
    <cellStyle name="Normal 10 31 6" xfId="14444"/>
    <cellStyle name="Normal 10 31 7" xfId="27570"/>
    <cellStyle name="Normal 10 32" xfId="775"/>
    <cellStyle name="Normal 10 32 2" xfId="3245"/>
    <cellStyle name="Normal 10 32 2 2" xfId="10015"/>
    <cellStyle name="Normal 10 32 2 3" xfId="22705"/>
    <cellStyle name="Normal 10 32 2 4" xfId="14407"/>
    <cellStyle name="Normal 10 32 2 5" xfId="29924"/>
    <cellStyle name="Normal 10 32 3" xfId="5279"/>
    <cellStyle name="Normal 10 32 3 2" xfId="12049"/>
    <cellStyle name="Normal 10 32 3 3" xfId="24739"/>
    <cellStyle name="Normal 10 32 3 4" xfId="13612"/>
    <cellStyle name="Normal 10 32 3 5" xfId="27756"/>
    <cellStyle name="Normal 10 32 4" xfId="7545"/>
    <cellStyle name="Normal 10 32 5" xfId="20461"/>
    <cellStyle name="Normal 10 32 6" xfId="6816"/>
    <cellStyle name="Normal 10 32 7" xfId="28576"/>
    <cellStyle name="Normal 10 33" xfId="798"/>
    <cellStyle name="Normal 10 33 2" xfId="3266"/>
    <cellStyle name="Normal 10 33 2 2" xfId="10036"/>
    <cellStyle name="Normal 10 33 2 3" xfId="22726"/>
    <cellStyle name="Normal 10 33 2 4" xfId="14252"/>
    <cellStyle name="Normal 10 33 2 5" xfId="28995"/>
    <cellStyle name="Normal 10 33 3" xfId="5299"/>
    <cellStyle name="Normal 10 33 3 2" xfId="12069"/>
    <cellStyle name="Normal 10 33 3 3" xfId="24759"/>
    <cellStyle name="Normal 10 33 3 4" xfId="16140"/>
    <cellStyle name="Normal 10 33 3 5" xfId="17653"/>
    <cellStyle name="Normal 10 33 4" xfId="7568"/>
    <cellStyle name="Normal 10 33 5" xfId="20481"/>
    <cellStyle name="Normal 10 33 6" xfId="14144"/>
    <cellStyle name="Normal 10 33 7" xfId="31514"/>
    <cellStyle name="Normal 10 34" xfId="821"/>
    <cellStyle name="Normal 10 34 2" xfId="3289"/>
    <cellStyle name="Normal 10 34 2 2" xfId="10059"/>
    <cellStyle name="Normal 10 34 2 3" xfId="22749"/>
    <cellStyle name="Normal 10 34 2 4" xfId="16473"/>
    <cellStyle name="Normal 10 34 2 5" xfId="31925"/>
    <cellStyle name="Normal 10 34 3" xfId="5319"/>
    <cellStyle name="Normal 10 34 3 2" xfId="12089"/>
    <cellStyle name="Normal 10 34 3 3" xfId="24779"/>
    <cellStyle name="Normal 10 34 3 4" xfId="20052"/>
    <cellStyle name="Normal 10 34 3 5" xfId="19090"/>
    <cellStyle name="Normal 10 34 4" xfId="7591"/>
    <cellStyle name="Normal 10 34 5" xfId="20501"/>
    <cellStyle name="Normal 10 34 6" xfId="17948"/>
    <cellStyle name="Normal 10 34 7" xfId="27463"/>
    <cellStyle name="Normal 10 35" xfId="844"/>
    <cellStyle name="Normal 10 35 2" xfId="3310"/>
    <cellStyle name="Normal 10 35 2 2" xfId="10080"/>
    <cellStyle name="Normal 10 35 2 3" xfId="22770"/>
    <cellStyle name="Normal 10 35 2 4" xfId="16341"/>
    <cellStyle name="Normal 10 35 2 5" xfId="27975"/>
    <cellStyle name="Normal 10 35 3" xfId="5339"/>
    <cellStyle name="Normal 10 35 3 2" xfId="12109"/>
    <cellStyle name="Normal 10 35 3 3" xfId="24799"/>
    <cellStyle name="Normal 10 35 3 4" xfId="13788"/>
    <cellStyle name="Normal 10 35 3 5" xfId="19420"/>
    <cellStyle name="Normal 10 35 4" xfId="7614"/>
    <cellStyle name="Normal 10 35 5" xfId="20521"/>
    <cellStyle name="Normal 10 35 6" xfId="19679"/>
    <cellStyle name="Normal 10 35 7" xfId="31568"/>
    <cellStyle name="Normal 10 36" xfId="867"/>
    <cellStyle name="Normal 10 36 2" xfId="3332"/>
    <cellStyle name="Normal 10 36 2 2" xfId="10102"/>
    <cellStyle name="Normal 10 36 2 3" xfId="22792"/>
    <cellStyle name="Normal 10 36 2 4" xfId="16952"/>
    <cellStyle name="Normal 10 36 2 5" xfId="28899"/>
    <cellStyle name="Normal 10 36 3" xfId="5359"/>
    <cellStyle name="Normal 10 36 3 2" xfId="12129"/>
    <cellStyle name="Normal 10 36 3 3" xfId="24819"/>
    <cellStyle name="Normal 10 36 3 4" xfId="19796"/>
    <cellStyle name="Normal 10 36 3 5" xfId="17112"/>
    <cellStyle name="Normal 10 36 4" xfId="7637"/>
    <cellStyle name="Normal 10 36 5" xfId="20541"/>
    <cellStyle name="Normal 10 36 6" xfId="15271"/>
    <cellStyle name="Normal 10 36 7" xfId="26386"/>
    <cellStyle name="Normal 10 37" xfId="890"/>
    <cellStyle name="Normal 10 37 2" xfId="3354"/>
    <cellStyle name="Normal 10 37 2 2" xfId="10124"/>
    <cellStyle name="Normal 10 37 2 3" xfId="22814"/>
    <cellStyle name="Normal 10 37 2 4" xfId="19996"/>
    <cellStyle name="Normal 10 37 2 5" xfId="26731"/>
    <cellStyle name="Normal 10 37 3" xfId="5379"/>
    <cellStyle name="Normal 10 37 3 2" xfId="12149"/>
    <cellStyle name="Normal 10 37 3 3" xfId="24839"/>
    <cellStyle name="Normal 10 37 3 4" xfId="15443"/>
    <cellStyle name="Normal 10 37 3 5" xfId="17263"/>
    <cellStyle name="Normal 10 37 4" xfId="7660"/>
    <cellStyle name="Normal 10 37 5" xfId="20561"/>
    <cellStyle name="Normal 10 37 6" xfId="17499"/>
    <cellStyle name="Normal 10 37 7" xfId="30362"/>
    <cellStyle name="Normal 10 38" xfId="913"/>
    <cellStyle name="Normal 10 38 2" xfId="3377"/>
    <cellStyle name="Normal 10 38 2 2" xfId="10147"/>
    <cellStyle name="Normal 10 38 2 3" xfId="22837"/>
    <cellStyle name="Normal 10 38 2 4" xfId="15625"/>
    <cellStyle name="Normal 10 38 2 5" xfId="29729"/>
    <cellStyle name="Normal 10 38 3" xfId="5399"/>
    <cellStyle name="Normal 10 38 3 2" xfId="12169"/>
    <cellStyle name="Normal 10 38 3 3" xfId="24859"/>
    <cellStyle name="Normal 10 38 3 4" xfId="17682"/>
    <cellStyle name="Normal 10 38 3 5" xfId="18384"/>
    <cellStyle name="Normal 10 38 4" xfId="7683"/>
    <cellStyle name="Normal 10 38 5" xfId="20581"/>
    <cellStyle name="Normal 10 38 6" xfId="19270"/>
    <cellStyle name="Normal 10 38 7" xfId="28532"/>
    <cellStyle name="Normal 10 39" xfId="936"/>
    <cellStyle name="Normal 10 39 2" xfId="3400"/>
    <cellStyle name="Normal 10 39 2 2" xfId="10170"/>
    <cellStyle name="Normal 10 39 2 3" xfId="22860"/>
    <cellStyle name="Normal 10 39 2 4" xfId="17880"/>
    <cellStyle name="Normal 10 39 2 5" xfId="27825"/>
    <cellStyle name="Normal 10 39 3" xfId="5419"/>
    <cellStyle name="Normal 10 39 3 2" xfId="12189"/>
    <cellStyle name="Normal 10 39 3 3" xfId="24879"/>
    <cellStyle name="Normal 10 39 3 4" xfId="19450"/>
    <cellStyle name="Normal 10 39 3 5" xfId="16730"/>
    <cellStyle name="Normal 10 39 4" xfId="7706"/>
    <cellStyle name="Normal 10 39 5" xfId="20601"/>
    <cellStyle name="Normal 10 39 6" xfId="13655"/>
    <cellStyle name="Normal 10 39 7" xfId="31468"/>
    <cellStyle name="Normal 10 4" xfId="133"/>
    <cellStyle name="Normal 10 4 2" xfId="2617"/>
    <cellStyle name="Normal 10 4 2 2" xfId="9387"/>
    <cellStyle name="Normal 10 4 2 3" xfId="22077"/>
    <cellStyle name="Normal 10 4 2 4" xfId="13799"/>
    <cellStyle name="Normal 10 4 2 5" xfId="31883"/>
    <cellStyle name="Normal 10 4 3" xfId="4000"/>
    <cellStyle name="Normal 10 4 3 2" xfId="10770"/>
    <cellStyle name="Normal 10 4 3 3" xfId="23460"/>
    <cellStyle name="Normal 10 4 3 4" xfId="18167"/>
    <cellStyle name="Normal 10 4 3 5" xfId="30454"/>
    <cellStyle name="Normal 10 4 4" xfId="6903"/>
    <cellStyle name="Normal 10 4 5" xfId="15065"/>
    <cellStyle name="Normal 10 4 6" xfId="17107"/>
    <cellStyle name="Normal 10 4 7" xfId="27721"/>
    <cellStyle name="Normal 10 40" xfId="957"/>
    <cellStyle name="Normal 10 40 2" xfId="3421"/>
    <cellStyle name="Normal 10 40 2 2" xfId="10191"/>
    <cellStyle name="Normal 10 40 2 3" xfId="22881"/>
    <cellStyle name="Normal 10 40 2 4" xfId="17731"/>
    <cellStyle name="Normal 10 40 2 5" xfId="31731"/>
    <cellStyle name="Normal 10 40 3" xfId="5437"/>
    <cellStyle name="Normal 10 40 3 2" xfId="12207"/>
    <cellStyle name="Normal 10 40 3 3" xfId="24897"/>
    <cellStyle name="Normal 10 40 3 4" xfId="19334"/>
    <cellStyle name="Normal 10 40 3 5" xfId="19484"/>
    <cellStyle name="Normal 10 40 4" xfId="7727"/>
    <cellStyle name="Normal 10 40 5" xfId="20619"/>
    <cellStyle name="Normal 10 40 6" xfId="14681"/>
    <cellStyle name="Normal 10 40 7" xfId="27139"/>
    <cellStyle name="Normal 10 41" xfId="980"/>
    <cellStyle name="Normal 10 41 2" xfId="3444"/>
    <cellStyle name="Normal 10 41 2 2" xfId="10214"/>
    <cellStyle name="Normal 10 41 2 3" xfId="22904"/>
    <cellStyle name="Normal 10 41 2 4" xfId="19476"/>
    <cellStyle name="Normal 10 41 2 5" xfId="26583"/>
    <cellStyle name="Normal 10 41 3" xfId="5458"/>
    <cellStyle name="Normal 10 41 3 2" xfId="12228"/>
    <cellStyle name="Normal 10 41 3 3" xfId="24918"/>
    <cellStyle name="Normal 10 41 3 4" xfId="19215"/>
    <cellStyle name="Normal 10 41 3 5" xfId="13695"/>
    <cellStyle name="Normal 10 41 4" xfId="7750"/>
    <cellStyle name="Normal 10 41 5" xfId="20640"/>
    <cellStyle name="Normal 10 41 6" xfId="16913"/>
    <cellStyle name="Normal 10 41 7" xfId="30098"/>
    <cellStyle name="Normal 10 42" xfId="1004"/>
    <cellStyle name="Normal 10 42 2" xfId="3468"/>
    <cellStyle name="Normal 10 42 2 2" xfId="10238"/>
    <cellStyle name="Normal 10 42 2 3" xfId="22928"/>
    <cellStyle name="Normal 10 42 2 4" xfId="19340"/>
    <cellStyle name="Normal 10 42 2 5" xfId="26536"/>
    <cellStyle name="Normal 10 42 3" xfId="5478"/>
    <cellStyle name="Normal 10 42 3 2" xfId="12248"/>
    <cellStyle name="Normal 10 42 3 3" xfId="24938"/>
    <cellStyle name="Normal 10 42 3 4" xfId="14807"/>
    <cellStyle name="Normal 10 42 3 5" xfId="19827"/>
    <cellStyle name="Normal 10 42 4" xfId="7774"/>
    <cellStyle name="Normal 10 42 5" xfId="20660"/>
    <cellStyle name="Normal 10 42 6" xfId="15946"/>
    <cellStyle name="Normal 10 42 7" xfId="28239"/>
    <cellStyle name="Normal 10 43" xfId="1026"/>
    <cellStyle name="Normal 10 43 2" xfId="3490"/>
    <cellStyle name="Normal 10 43 2 2" xfId="10260"/>
    <cellStyle name="Normal 10 43 2 3" xfId="22950"/>
    <cellStyle name="Normal 10 43 2 4" xfId="17276"/>
    <cellStyle name="Normal 10 43 2 5" xfId="27662"/>
    <cellStyle name="Normal 10 43 3" xfId="5497"/>
    <cellStyle name="Normal 10 43 3 2" xfId="12267"/>
    <cellStyle name="Normal 10 43 3 3" xfId="24957"/>
    <cellStyle name="Normal 10 43 3 4" xfId="18770"/>
    <cellStyle name="Normal 10 43 3 5" xfId="15461"/>
    <cellStyle name="Normal 10 43 4" xfId="7796"/>
    <cellStyle name="Normal 10 43 5" xfId="20679"/>
    <cellStyle name="Normal 10 43 6" xfId="14228"/>
    <cellStyle name="Normal 10 43 7" xfId="29134"/>
    <cellStyle name="Normal 10 44" xfId="1048"/>
    <cellStyle name="Normal 10 44 2" xfId="3510"/>
    <cellStyle name="Normal 10 44 2 2" xfId="10280"/>
    <cellStyle name="Normal 10 44 2 3" xfId="22970"/>
    <cellStyle name="Normal 10 44 2 4" xfId="19087"/>
    <cellStyle name="Normal 10 44 2 5" xfId="26464"/>
    <cellStyle name="Normal 10 44 3" xfId="5516"/>
    <cellStyle name="Normal 10 44 3 2" xfId="12286"/>
    <cellStyle name="Normal 10 44 3 3" xfId="24976"/>
    <cellStyle name="Normal 10 44 3 4" xfId="16919"/>
    <cellStyle name="Normal 10 44 3 5" xfId="27457"/>
    <cellStyle name="Normal 10 44 4" xfId="7818"/>
    <cellStyle name="Normal 10 44 5" xfId="20698"/>
    <cellStyle name="Normal 10 44 6" xfId="14073"/>
    <cellStyle name="Normal 10 44 7" xfId="26987"/>
    <cellStyle name="Normal 10 45" xfId="1071"/>
    <cellStyle name="Normal 10 45 2" xfId="3533"/>
    <cellStyle name="Normal 10 45 2 2" xfId="10303"/>
    <cellStyle name="Normal 10 45 2 3" xfId="22993"/>
    <cellStyle name="Normal 10 45 2 4" xfId="14635"/>
    <cellStyle name="Normal 10 45 2 5" xfId="27343"/>
    <cellStyle name="Normal 10 45 3" xfId="5536"/>
    <cellStyle name="Normal 10 45 3 2" xfId="12306"/>
    <cellStyle name="Normal 10 45 3 3" xfId="24996"/>
    <cellStyle name="Normal 10 45 3 4" xfId="18749"/>
    <cellStyle name="Normal 10 45 3 5" xfId="27328"/>
    <cellStyle name="Normal 10 45 4" xfId="7841"/>
    <cellStyle name="Normal 10 45 5" xfId="20718"/>
    <cellStyle name="Normal 10 45 6" xfId="17999"/>
    <cellStyle name="Normal 10 45 7" xfId="28126"/>
    <cellStyle name="Normal 10 46" xfId="1094"/>
    <cellStyle name="Normal 10 46 2" xfId="3555"/>
    <cellStyle name="Normal 10 46 2 2" xfId="10325"/>
    <cellStyle name="Normal 10 46 2 3" xfId="23015"/>
    <cellStyle name="Normal 10 46 2 4" xfId="18814"/>
    <cellStyle name="Normal 10 46 2 5" xfId="30395"/>
    <cellStyle name="Normal 10 46 3" xfId="5556"/>
    <cellStyle name="Normal 10 46 3 2" xfId="12326"/>
    <cellStyle name="Normal 10 46 3 3" xfId="25016"/>
    <cellStyle name="Normal 10 46 3 4" xfId="14282"/>
    <cellStyle name="Normal 10 46 3 5" xfId="29378"/>
    <cellStyle name="Normal 10 46 4" xfId="7864"/>
    <cellStyle name="Normal 10 46 5" xfId="20738"/>
    <cellStyle name="Normal 10 46 6" xfId="19715"/>
    <cellStyle name="Normal 10 46 7" xfId="31048"/>
    <cellStyle name="Normal 10 47" xfId="1116"/>
    <cellStyle name="Normal 10 47 2" xfId="3577"/>
    <cellStyle name="Normal 10 47 2 2" xfId="10347"/>
    <cellStyle name="Normal 10 47 2 3" xfId="23037"/>
    <cellStyle name="Normal 10 47 2 4" xfId="16705"/>
    <cellStyle name="Normal 10 47 2 5" xfId="32420"/>
    <cellStyle name="Normal 10 47 3" xfId="5575"/>
    <cellStyle name="Normal 10 47 3 2" xfId="12345"/>
    <cellStyle name="Normal 10 47 3 3" xfId="25035"/>
    <cellStyle name="Normal 10 47 3 4" xfId="16710"/>
    <cellStyle name="Normal 10 47 3 5" xfId="31408"/>
    <cellStyle name="Normal 10 47 4" xfId="7886"/>
    <cellStyle name="Normal 10 47 5" xfId="20757"/>
    <cellStyle name="Normal 10 47 6" xfId="17719"/>
    <cellStyle name="Normal 10 47 7" xfId="31957"/>
    <cellStyle name="Normal 10 48" xfId="1139"/>
    <cellStyle name="Normal 10 48 2" xfId="3599"/>
    <cellStyle name="Normal 10 48 2 2" xfId="10369"/>
    <cellStyle name="Normal 10 48 2 3" xfId="23059"/>
    <cellStyle name="Normal 10 48 2 4" xfId="14196"/>
    <cellStyle name="Normal 10 48 2 5" xfId="30316"/>
    <cellStyle name="Normal 10 48 3" xfId="5595"/>
    <cellStyle name="Normal 10 48 3 2" xfId="12365"/>
    <cellStyle name="Normal 10 48 3 3" xfId="25055"/>
    <cellStyle name="Normal 10 48 3 4" xfId="14012"/>
    <cellStyle name="Normal 10 48 3 5" xfId="27220"/>
    <cellStyle name="Normal 10 48 4" xfId="7909"/>
    <cellStyle name="Normal 10 48 5" xfId="20777"/>
    <cellStyle name="Normal 10 48 6" xfId="19464"/>
    <cellStyle name="Normal 10 48 7" xfId="29655"/>
    <cellStyle name="Normal 10 49" xfId="1161"/>
    <cellStyle name="Normal 10 49 2" xfId="3621"/>
    <cellStyle name="Normal 10 49 2 2" xfId="10391"/>
    <cellStyle name="Normal 10 49 2 3" xfId="23081"/>
    <cellStyle name="Normal 10 49 2 4" xfId="18421"/>
    <cellStyle name="Normal 10 49 2 5" xfId="30581"/>
    <cellStyle name="Normal 10 49 3" xfId="5614"/>
    <cellStyle name="Normal 10 49 3 2" xfId="12384"/>
    <cellStyle name="Normal 10 49 3 3" xfId="25074"/>
    <cellStyle name="Normal 10 49 3 4" xfId="18297"/>
    <cellStyle name="Normal 10 49 3 5" xfId="27214"/>
    <cellStyle name="Normal 10 49 4" xfId="7931"/>
    <cellStyle name="Normal 10 49 5" xfId="20796"/>
    <cellStyle name="Normal 10 49 6" xfId="17417"/>
    <cellStyle name="Normal 10 49 7" xfId="28918"/>
    <cellStyle name="Normal 10 5" xfId="156"/>
    <cellStyle name="Normal 10 5 2" xfId="2640"/>
    <cellStyle name="Normal 10 5 2 2" xfId="9410"/>
    <cellStyle name="Normal 10 5 2 3" xfId="22100"/>
    <cellStyle name="Normal 10 5 2 4" xfId="19971"/>
    <cellStyle name="Normal 10 5 2 5" xfId="26739"/>
    <cellStyle name="Normal 10 5 3" xfId="3530"/>
    <cellStyle name="Normal 10 5 3 2" xfId="10300"/>
    <cellStyle name="Normal 10 5 3 3" xfId="22990"/>
    <cellStyle name="Normal 10 5 3 4" xfId="14656"/>
    <cellStyle name="Normal 10 5 3 5" xfId="28589"/>
    <cellStyle name="Normal 10 5 4" xfId="6926"/>
    <cellStyle name="Normal 10 5 5" xfId="14607"/>
    <cellStyle name="Normal 10 5 6" xfId="18914"/>
    <cellStyle name="Normal 10 5 7" xfId="30643"/>
    <cellStyle name="Normal 10 50" xfId="1182"/>
    <cellStyle name="Normal 10 50 2" xfId="3642"/>
    <cellStyle name="Normal 10 50 2 2" xfId="10412"/>
    <cellStyle name="Normal 10 50 2 3" xfId="23102"/>
    <cellStyle name="Normal 10 50 2 4" xfId="18303"/>
    <cellStyle name="Normal 10 50 2 5" xfId="26409"/>
    <cellStyle name="Normal 10 50 3" xfId="5633"/>
    <cellStyle name="Normal 10 50 3 2" xfId="12403"/>
    <cellStyle name="Normal 10 50 3 3" xfId="25093"/>
    <cellStyle name="Normal 10 50 3 4" xfId="13609"/>
    <cellStyle name="Normal 10 50 3 5" xfId="32241"/>
    <cellStyle name="Normal 10 50 4" xfId="7952"/>
    <cellStyle name="Normal 10 50 5" xfId="20815"/>
    <cellStyle name="Normal 10 50 6" xfId="17285"/>
    <cellStyle name="Normal 10 50 7" xfId="30849"/>
    <cellStyle name="Normal 10 51" xfId="1207"/>
    <cellStyle name="Normal 10 51 2" xfId="3667"/>
    <cellStyle name="Normal 10 51 2 2" xfId="10437"/>
    <cellStyle name="Normal 10 51 2 3" xfId="23127"/>
    <cellStyle name="Normal 10 51 2 4" xfId="18231"/>
    <cellStyle name="Normal 10 51 2 5" xfId="30398"/>
    <cellStyle name="Normal 10 51 3" xfId="5654"/>
    <cellStyle name="Normal 10 51 3 2" xfId="12424"/>
    <cellStyle name="Normal 10 51 3 3" xfId="25114"/>
    <cellStyle name="Normal 10 51 3 4" xfId="18122"/>
    <cellStyle name="Normal 10 51 3 5" xfId="28325"/>
    <cellStyle name="Normal 10 51 4" xfId="7977"/>
    <cellStyle name="Normal 10 51 5" xfId="20836"/>
    <cellStyle name="Normal 10 51 6" xfId="14755"/>
    <cellStyle name="Normal 10 51 7" xfId="27854"/>
    <cellStyle name="Normal 10 52" xfId="1230"/>
    <cellStyle name="Normal 10 52 2" xfId="3690"/>
    <cellStyle name="Normal 10 52 2 2" xfId="10460"/>
    <cellStyle name="Normal 10 52 2 3" xfId="23150"/>
    <cellStyle name="Normal 10 52 2 4" xfId="19931"/>
    <cellStyle name="Normal 10 52 2 5" xfId="27379"/>
    <cellStyle name="Normal 10 52 3" xfId="5674"/>
    <cellStyle name="Normal 10 52 3 2" xfId="12444"/>
    <cellStyle name="Normal 10 52 3 3" xfId="25134"/>
    <cellStyle name="Normal 10 52 3 4" xfId="13549"/>
    <cellStyle name="Normal 10 52 3 5" xfId="27127"/>
    <cellStyle name="Normal 10 52 4" xfId="8000"/>
    <cellStyle name="Normal 10 52 5" xfId="20856"/>
    <cellStyle name="Normal 10 52 6" xfId="15987"/>
    <cellStyle name="Normal 10 52 7" xfId="31759"/>
    <cellStyle name="Normal 10 53" xfId="1253"/>
    <cellStyle name="Normal 10 53 2" xfId="3712"/>
    <cellStyle name="Normal 10 53 2 2" xfId="10482"/>
    <cellStyle name="Normal 10 53 2 3" xfId="23172"/>
    <cellStyle name="Normal 10 53 2 4" xfId="17940"/>
    <cellStyle name="Normal 10 53 2 5" xfId="28523"/>
    <cellStyle name="Normal 10 53 3" xfId="5694"/>
    <cellStyle name="Normal 10 53 3 2" xfId="12464"/>
    <cellStyle name="Normal 10 53 3 3" xfId="25154"/>
    <cellStyle name="Normal 10 53 3 4" xfId="17903"/>
    <cellStyle name="Normal 10 53 3 5" xfId="29195"/>
    <cellStyle name="Normal 10 53 4" xfId="8023"/>
    <cellStyle name="Normal 10 53 5" xfId="20876"/>
    <cellStyle name="Normal 10 53 6" xfId="18784"/>
    <cellStyle name="Normal 10 53 7" xfId="26606"/>
    <cellStyle name="Normal 10 54" xfId="1276"/>
    <cellStyle name="Normal 10 54 2" xfId="3735"/>
    <cellStyle name="Normal 10 54 2 2" xfId="10505"/>
    <cellStyle name="Normal 10 54 2 3" xfId="23195"/>
    <cellStyle name="Normal 10 54 2 4" xfId="19670"/>
    <cellStyle name="Normal 10 54 2 5" xfId="31458"/>
    <cellStyle name="Normal 10 54 3" xfId="5714"/>
    <cellStyle name="Normal 10 54 3 2" xfId="12484"/>
    <cellStyle name="Normal 10 54 3 3" xfId="25174"/>
    <cellStyle name="Normal 10 54 3 4" xfId="19654"/>
    <cellStyle name="Normal 10 54 3 5" xfId="28237"/>
    <cellStyle name="Normal 10 54 4" xfId="8046"/>
    <cellStyle name="Normal 10 54 5" xfId="20896"/>
    <cellStyle name="Normal 10 54 6" xfId="14297"/>
    <cellStyle name="Normal 10 54 7" xfId="26744"/>
    <cellStyle name="Normal 10 55" xfId="1299"/>
    <cellStyle name="Normal 10 55 2" xfId="3757"/>
    <cellStyle name="Normal 10 55 2 2" xfId="10527"/>
    <cellStyle name="Normal 10 55 2 3" xfId="23217"/>
    <cellStyle name="Normal 10 55 2 4" xfId="17665"/>
    <cellStyle name="Normal 10 55 2 5" xfId="31582"/>
    <cellStyle name="Normal 10 55 3" xfId="5734"/>
    <cellStyle name="Normal 10 55 3 2" xfId="12504"/>
    <cellStyle name="Normal 10 55 3 3" xfId="25194"/>
    <cellStyle name="Normal 10 55 3 4" xfId="15264"/>
    <cellStyle name="Normal 10 55 3 5" xfId="27037"/>
    <cellStyle name="Normal 10 55 4" xfId="8069"/>
    <cellStyle name="Normal 10 55 5" xfId="20916"/>
    <cellStyle name="Normal 10 55 6" xfId="18067"/>
    <cellStyle name="Normal 10 55 7" xfId="28450"/>
    <cellStyle name="Normal 10 56" xfId="1322"/>
    <cellStyle name="Normal 10 56 2" xfId="3780"/>
    <cellStyle name="Normal 10 56 2 2" xfId="10550"/>
    <cellStyle name="Normal 10 56 2 3" xfId="23240"/>
    <cellStyle name="Normal 10 56 2 4" xfId="19395"/>
    <cellStyle name="Normal 10 56 2 5" xfId="26395"/>
    <cellStyle name="Normal 10 56 3" xfId="5754"/>
    <cellStyle name="Normal 10 56 3 2" xfId="12524"/>
    <cellStyle name="Normal 10 56 3 3" xfId="25214"/>
    <cellStyle name="Normal 10 56 3 4" xfId="17517"/>
    <cellStyle name="Normal 10 56 3 5" xfId="29114"/>
    <cellStyle name="Normal 10 56 4" xfId="8092"/>
    <cellStyle name="Normal 10 56 5" xfId="20936"/>
    <cellStyle name="Normal 10 56 6" xfId="19768"/>
    <cellStyle name="Normal 10 56 7" xfId="31389"/>
    <cellStyle name="Normal 10 57" xfId="1345"/>
    <cellStyle name="Normal 10 57 2" xfId="3802"/>
    <cellStyle name="Normal 10 57 2 2" xfId="10572"/>
    <cellStyle name="Normal 10 57 2 3" xfId="23262"/>
    <cellStyle name="Normal 10 57 2 4" xfId="17365"/>
    <cellStyle name="Normal 10 57 2 5" xfId="27411"/>
    <cellStyle name="Normal 10 57 3" xfId="5774"/>
    <cellStyle name="Normal 10 57 3 2" xfId="12544"/>
    <cellStyle name="Normal 10 57 3 3" xfId="25234"/>
    <cellStyle name="Normal 10 57 3 4" xfId="17703"/>
    <cellStyle name="Normal 10 57 3 5" xfId="28145"/>
    <cellStyle name="Normal 10 57 4" xfId="8115"/>
    <cellStyle name="Normal 10 57 5" xfId="20956"/>
    <cellStyle name="Normal 10 57 6" xfId="15391"/>
    <cellStyle name="Normal 10 57 7" xfId="29299"/>
    <cellStyle name="Normal 10 58" xfId="1368"/>
    <cellStyle name="Normal 10 58 2" xfId="3824"/>
    <cellStyle name="Normal 10 58 2 2" xfId="10594"/>
    <cellStyle name="Normal 10 58 2 3" xfId="23284"/>
    <cellStyle name="Normal 10 58 2 4" xfId="14856"/>
    <cellStyle name="Normal 10 58 2 5" xfId="29458"/>
    <cellStyle name="Normal 10 58 3" xfId="5794"/>
    <cellStyle name="Normal 10 58 3 2" xfId="12564"/>
    <cellStyle name="Normal 10 58 3 3" xfId="25254"/>
    <cellStyle name="Normal 10 58 3 4" xfId="14880"/>
    <cellStyle name="Normal 10 58 3 5" xfId="26346"/>
    <cellStyle name="Normal 10 58 4" xfId="8138"/>
    <cellStyle name="Normal 10 58 5" xfId="20976"/>
    <cellStyle name="Normal 10 58 6" xfId="17627"/>
    <cellStyle name="Normal 10 58 7" xfId="32240"/>
    <cellStyle name="Normal 10 59" xfId="1391"/>
    <cellStyle name="Normal 10 59 2" xfId="3847"/>
    <cellStyle name="Normal 10 59 2 2" xfId="10617"/>
    <cellStyle name="Normal 10 59 2 3" xfId="23307"/>
    <cellStyle name="Normal 10 59 2 4" xfId="17056"/>
    <cellStyle name="Normal 10 59 2 5" xfId="32389"/>
    <cellStyle name="Normal 10 59 3" xfId="5814"/>
    <cellStyle name="Normal 10 59 3 2" xfId="12584"/>
    <cellStyle name="Normal 10 59 3 3" xfId="25274"/>
    <cellStyle name="Normal 10 59 3 4" xfId="17126"/>
    <cellStyle name="Normal 10 59 3 5" xfId="29026"/>
    <cellStyle name="Normal 10 59 4" xfId="8161"/>
    <cellStyle name="Normal 10 59 5" xfId="20996"/>
    <cellStyle name="Normal 10 59 6" xfId="16249"/>
    <cellStyle name="Normal 10 59 7" xfId="27145"/>
    <cellStyle name="Normal 10 6" xfId="179"/>
    <cellStyle name="Normal 10 6 2" xfId="2661"/>
    <cellStyle name="Normal 10 6 2 2" xfId="9431"/>
    <cellStyle name="Normal 10 6 2 3" xfId="22121"/>
    <cellStyle name="Normal 10 6 2 4" xfId="18643"/>
    <cellStyle name="Normal 10 6 2 5" xfId="30848"/>
    <cellStyle name="Normal 10 6 3" xfId="3061"/>
    <cellStyle name="Normal 10 6 3 2" xfId="9831"/>
    <cellStyle name="Normal 10 6 3 3" xfId="22521"/>
    <cellStyle name="Normal 10 6 3 4" xfId="17965"/>
    <cellStyle name="Normal 10 6 3 5" xfId="32245"/>
    <cellStyle name="Normal 10 6 4" xfId="6949"/>
    <cellStyle name="Normal 10 6 5" xfId="14145"/>
    <cellStyle name="Normal 10 6 6" xfId="14424"/>
    <cellStyle name="Normal 10 6 7" xfId="29407"/>
    <cellStyle name="Normal 10 60" xfId="1414"/>
    <cellStyle name="Normal 10 60 2" xfId="3869"/>
    <cellStyle name="Normal 10 60 2 2" xfId="10639"/>
    <cellStyle name="Normal 10 60 2 3" xfId="23329"/>
    <cellStyle name="Normal 10 60 2 4" xfId="14547"/>
    <cellStyle name="Normal 10 60 2 5" xfId="30285"/>
    <cellStyle name="Normal 10 60 3" xfId="5834"/>
    <cellStyle name="Normal 10 60 3 2" xfId="12604"/>
    <cellStyle name="Normal 10 60 3 3" xfId="25294"/>
    <cellStyle name="Normal 10 60 3 4" xfId="18953"/>
    <cellStyle name="Normal 10 60 3 5" xfId="28048"/>
    <cellStyle name="Normal 10 60 4" xfId="8184"/>
    <cellStyle name="Normal 10 60 5" xfId="21016"/>
    <cellStyle name="Normal 10 60 6" xfId="14947"/>
    <cellStyle name="Normal 10 60 7" xfId="26648"/>
    <cellStyle name="Normal 10 61" xfId="1437"/>
    <cellStyle name="Normal 10 61 2" xfId="3891"/>
    <cellStyle name="Normal 10 61 2 2" xfId="10661"/>
    <cellStyle name="Normal 10 61 2 3" xfId="23351"/>
    <cellStyle name="Normal 10 61 2 4" xfId="18754"/>
    <cellStyle name="Normal 10 61 2 5" xfId="30649"/>
    <cellStyle name="Normal 10 61 3" xfId="5854"/>
    <cellStyle name="Normal 10 61 3 2" xfId="12624"/>
    <cellStyle name="Normal 10 61 3 3" xfId="25314"/>
    <cellStyle name="Normal 10 61 3 4" xfId="14483"/>
    <cellStyle name="Normal 10 61 3 5" xfId="26827"/>
    <cellStyle name="Normal 10 61 4" xfId="8207"/>
    <cellStyle name="Normal 10 61 5" xfId="21036"/>
    <cellStyle name="Normal 10 61 6" xfId="17170"/>
    <cellStyle name="Normal 10 61 7" xfId="28256"/>
    <cellStyle name="Normal 10 62" xfId="1460"/>
    <cellStyle name="Normal 10 62 2" xfId="3914"/>
    <cellStyle name="Normal 10 62 2 2" xfId="10684"/>
    <cellStyle name="Normal 10 62 2 3" xfId="23374"/>
    <cellStyle name="Normal 10 62 2 4" xfId="14239"/>
    <cellStyle name="Normal 10 62 2 5" xfId="28628"/>
    <cellStyle name="Normal 10 62 3" xfId="5874"/>
    <cellStyle name="Normal 10 62 3 2" xfId="12644"/>
    <cellStyle name="Normal 10 62 3 3" xfId="25334"/>
    <cellStyle name="Normal 10 62 3 4" xfId="15945"/>
    <cellStyle name="Normal 10 62 3 5" xfId="28946"/>
    <cellStyle name="Normal 10 62 4" xfId="8230"/>
    <cellStyle name="Normal 10 62 5" xfId="21056"/>
    <cellStyle name="Normal 10 62 6" xfId="18970"/>
    <cellStyle name="Normal 10 62 7" xfId="31184"/>
    <cellStyle name="Normal 10 63" xfId="1483"/>
    <cellStyle name="Normal 10 63 2" xfId="3937"/>
    <cellStyle name="Normal 10 63 2 2" xfId="10707"/>
    <cellStyle name="Normal 10 63 2 3" xfId="23397"/>
    <cellStyle name="Normal 10 63 2 4" xfId="16462"/>
    <cellStyle name="Normal 10 63 2 5" xfId="27287"/>
    <cellStyle name="Normal 10 63 3" xfId="5894"/>
    <cellStyle name="Normal 10 63 3 2" xfId="12664"/>
    <cellStyle name="Normal 10 63 3 3" xfId="25354"/>
    <cellStyle name="Normal 10 63 3 4" xfId="18611"/>
    <cellStyle name="Normal 10 63 3 5" xfId="27948"/>
    <cellStyle name="Normal 10 63 4" xfId="8253"/>
    <cellStyle name="Normal 10 63 5" xfId="21076"/>
    <cellStyle name="Normal 10 63 6" xfId="14485"/>
    <cellStyle name="Normal 10 63 7" xfId="28016"/>
    <cellStyle name="Normal 10 64" xfId="1506"/>
    <cellStyle name="Normal 10 64 2" xfId="3959"/>
    <cellStyle name="Normal 10 64 2 2" xfId="10729"/>
    <cellStyle name="Normal 10 64 2 3" xfId="23419"/>
    <cellStyle name="Normal 10 64 2 4" xfId="13952"/>
    <cellStyle name="Normal 10 64 2 5" xfId="28423"/>
    <cellStyle name="Normal 10 64 3" xfId="5914"/>
    <cellStyle name="Normal 10 64 3 2" xfId="12684"/>
    <cellStyle name="Normal 10 64 3 3" xfId="25374"/>
    <cellStyle name="Normal 10 64 3 4" xfId="13825"/>
    <cellStyle name="Normal 10 64 3 5" xfId="26743"/>
    <cellStyle name="Normal 10 64 4" xfId="8276"/>
    <cellStyle name="Normal 10 64 5" xfId="21096"/>
    <cellStyle name="Normal 10 64 6" xfId="16709"/>
    <cellStyle name="Normal 10 64 7" xfId="32049"/>
    <cellStyle name="Normal 10 65" xfId="1529"/>
    <cellStyle name="Normal 10 65 2" xfId="3981"/>
    <cellStyle name="Normal 10 65 2 2" xfId="10751"/>
    <cellStyle name="Normal 10 65 2 3" xfId="23441"/>
    <cellStyle name="Normal 10 65 2 4" xfId="16170"/>
    <cellStyle name="Normal 10 65 2 5" xfId="29306"/>
    <cellStyle name="Normal 10 65 3" xfId="5934"/>
    <cellStyle name="Normal 10 65 3 2" xfId="12704"/>
    <cellStyle name="Normal 10 65 3 3" xfId="25394"/>
    <cellStyle name="Normal 10 65 3 4" xfId="16308"/>
    <cellStyle name="Normal 10 65 3 5" xfId="28858"/>
    <cellStyle name="Normal 10 65 4" xfId="8299"/>
    <cellStyle name="Normal 10 65 5" xfId="21116"/>
    <cellStyle name="Normal 10 65 6" xfId="18561"/>
    <cellStyle name="Normal 10 65 7" xfId="26924"/>
    <cellStyle name="Normal 10 66" xfId="1552"/>
    <cellStyle name="Normal 10 66 2" xfId="4003"/>
    <cellStyle name="Normal 10 66 2 2" xfId="10773"/>
    <cellStyle name="Normal 10 66 2 3" xfId="23463"/>
    <cellStyle name="Normal 10 66 2 4" xfId="18147"/>
    <cellStyle name="Normal 10 66 2 5" xfId="27193"/>
    <cellStyle name="Normal 10 66 3" xfId="5954"/>
    <cellStyle name="Normal 10 66 3 2" xfId="12724"/>
    <cellStyle name="Normal 10 66 3 3" xfId="25414"/>
    <cellStyle name="Normal 10 66 3 4" xfId="17736"/>
    <cellStyle name="Normal 10 66 3 5" xfId="27852"/>
    <cellStyle name="Normal 10 66 4" xfId="8322"/>
    <cellStyle name="Normal 10 66 5" xfId="21136"/>
    <cellStyle name="Normal 10 66 6" xfId="14022"/>
    <cellStyle name="Normal 10 66 7" xfId="29918"/>
    <cellStyle name="Normal 10 67" xfId="1575"/>
    <cellStyle name="Normal 10 67 2" xfId="4025"/>
    <cellStyle name="Normal 10 67 2 2" xfId="10795"/>
    <cellStyle name="Normal 10 67 2 3" xfId="23485"/>
    <cellStyle name="Normal 10 67 2 4" xfId="15623"/>
    <cellStyle name="Normal 10 67 2 5" xfId="28332"/>
    <cellStyle name="Normal 10 67 3" xfId="5974"/>
    <cellStyle name="Normal 10 67 3 2" xfId="12744"/>
    <cellStyle name="Normal 10 67 3 3" xfId="25434"/>
    <cellStyle name="Normal 10 67 3 4" xfId="15836"/>
    <cellStyle name="Normal 10 67 3 5" xfId="26645"/>
    <cellStyle name="Normal 10 67 4" xfId="8345"/>
    <cellStyle name="Normal 10 67 5" xfId="21156"/>
    <cellStyle name="Normal 10 67 6" xfId="16243"/>
    <cellStyle name="Normal 10 67 7" xfId="28035"/>
    <cellStyle name="Normal 10 68" xfId="1598"/>
    <cellStyle name="Normal 10 68 2" xfId="4047"/>
    <cellStyle name="Normal 10 68 2 2" xfId="10817"/>
    <cellStyle name="Normal 10 68 2 3" xfId="23507"/>
    <cellStyle name="Normal 10 68 2 4" xfId="19743"/>
    <cellStyle name="Normal 10 68 2 5" xfId="29219"/>
    <cellStyle name="Normal 10 68 3" xfId="5994"/>
    <cellStyle name="Normal 10 68 3 2" xfId="12764"/>
    <cellStyle name="Normal 10 68 3 3" xfId="25454"/>
    <cellStyle name="Normal 10 68 3 4" xfId="18045"/>
    <cellStyle name="Normal 10 68 3 5" xfId="28230"/>
    <cellStyle name="Normal 10 68 4" xfId="8368"/>
    <cellStyle name="Normal 10 68 5" xfId="21176"/>
    <cellStyle name="Normal 10 68 6" xfId="20045"/>
    <cellStyle name="Normal 10 68 7" xfId="30959"/>
    <cellStyle name="Normal 10 69" xfId="1620"/>
    <cellStyle name="Normal 10 69 2" xfId="4068"/>
    <cellStyle name="Normal 10 69 2 2" xfId="10838"/>
    <cellStyle name="Normal 10 69 2 3" xfId="23528"/>
    <cellStyle name="Normal 10 69 2 4" xfId="19613"/>
    <cellStyle name="Normal 10 69 2 5" xfId="30093"/>
    <cellStyle name="Normal 10 69 3" xfId="6013"/>
    <cellStyle name="Normal 10 69 3 2" xfId="12783"/>
    <cellStyle name="Normal 10 69 3 3" xfId="25473"/>
    <cellStyle name="Normal 10 69 3 4" xfId="15614"/>
    <cellStyle name="Normal 10 69 3 5" xfId="30719"/>
    <cellStyle name="Normal 10 69 4" xfId="8390"/>
    <cellStyle name="Normal 10 69 5" xfId="21195"/>
    <cellStyle name="Normal 10 69 6" xfId="16518"/>
    <cellStyle name="Normal 10 69 7" xfId="31894"/>
    <cellStyle name="Normal 10 7" xfId="202"/>
    <cellStyle name="Normal 10 7 2" xfId="2682"/>
    <cellStyle name="Normal 10 7 2 2" xfId="9452"/>
    <cellStyle name="Normal 10 7 2 3" xfId="22142"/>
    <cellStyle name="Normal 10 7 2 4" xfId="14064"/>
    <cellStyle name="Normal 10 7 2 5" xfId="26673"/>
    <cellStyle name="Normal 10 7 3" xfId="4741"/>
    <cellStyle name="Normal 10 7 3 2" xfId="11511"/>
    <cellStyle name="Normal 10 7 3 3" xfId="24201"/>
    <cellStyle name="Normal 10 7 3 4" xfId="17727"/>
    <cellStyle name="Normal 10 7 3 5" xfId="26671"/>
    <cellStyle name="Normal 10 7 4" xfId="6972"/>
    <cellStyle name="Normal 10 7 5" xfId="15776"/>
    <cellStyle name="Normal 10 7 6" xfId="16647"/>
    <cellStyle name="Normal 10 7 7" xfId="32334"/>
    <cellStyle name="Normal 10 70" xfId="1642"/>
    <cellStyle name="Normal 10 70 2" xfId="4090"/>
    <cellStyle name="Normal 10 70 2 2" xfId="10860"/>
    <cellStyle name="Normal 10 70 2 3" xfId="23550"/>
    <cellStyle name="Normal 10 70 2 4" xfId="17599"/>
    <cellStyle name="Normal 10 70 2 5" xfId="31202"/>
    <cellStyle name="Normal 10 70 3" xfId="6031"/>
    <cellStyle name="Normal 10 70 3 2" xfId="12801"/>
    <cellStyle name="Normal 10 70 3 3" xfId="25491"/>
    <cellStyle name="Normal 10 70 3 4" xfId="13760"/>
    <cellStyle name="Normal 10 70 3 5" xfId="30683"/>
    <cellStyle name="Normal 10 70 4" xfId="8412"/>
    <cellStyle name="Normal 10 70 5" xfId="21213"/>
    <cellStyle name="Normal 10 70 6" xfId="13982"/>
    <cellStyle name="Normal 10 70 7" xfId="29783"/>
    <cellStyle name="Normal 10 71" xfId="1664"/>
    <cellStyle name="Normal 10 71 2" xfId="4112"/>
    <cellStyle name="Normal 10 71 2 2" xfId="10882"/>
    <cellStyle name="Normal 10 71 2 3" xfId="23572"/>
    <cellStyle name="Normal 10 71 2 4" xfId="15089"/>
    <cellStyle name="Normal 10 71 2 5" xfId="32093"/>
    <cellStyle name="Normal 10 71 3" xfId="6052"/>
    <cellStyle name="Normal 10 71 3 2" xfId="12822"/>
    <cellStyle name="Normal 10 71 3 3" xfId="25512"/>
    <cellStyle name="Normal 10 71 3 4" xfId="15374"/>
    <cellStyle name="Normal 10 71 3 5" xfId="26509"/>
    <cellStyle name="Normal 10 71 4" xfId="8434"/>
    <cellStyle name="Normal 10 71 5" xfId="21234"/>
    <cellStyle name="Normal 10 71 6" xfId="19833"/>
    <cellStyle name="Normal 10 71 7" xfId="30853"/>
    <cellStyle name="Normal 10 72" xfId="1687"/>
    <cellStyle name="Normal 10 72 2" xfId="4134"/>
    <cellStyle name="Normal 10 72 2 2" xfId="10904"/>
    <cellStyle name="Normal 10 72 2 3" xfId="23594"/>
    <cellStyle name="Normal 10 72 2 4" xfId="19219"/>
    <cellStyle name="Normal 10 72 2 5" xfId="30002"/>
    <cellStyle name="Normal 10 72 3" xfId="6072"/>
    <cellStyle name="Normal 10 72 3 2" xfId="12842"/>
    <cellStyle name="Normal 10 72 3 3" xfId="25532"/>
    <cellStyle name="Normal 10 72 3 4" xfId="17630"/>
    <cellStyle name="Normal 10 72 3 5" xfId="28637"/>
    <cellStyle name="Normal 10 72 4" xfId="8457"/>
    <cellStyle name="Normal 10 72 5" xfId="21254"/>
    <cellStyle name="Normal 10 72 6" xfId="15473"/>
    <cellStyle name="Normal 10 72 7" xfId="28823"/>
    <cellStyle name="Normal 10 73" xfId="1710"/>
    <cellStyle name="Normal 10 73 2" xfId="4156"/>
    <cellStyle name="Normal 10 73 2 2" xfId="10926"/>
    <cellStyle name="Normal 10 73 2 3" xfId="23616"/>
    <cellStyle name="Normal 10 73 2 4" xfId="17164"/>
    <cellStyle name="Normal 10 73 2 5" xfId="31096"/>
    <cellStyle name="Normal 10 73 3" xfId="6092"/>
    <cellStyle name="Normal 10 73 3 2" xfId="12862"/>
    <cellStyle name="Normal 10 73 3 3" xfId="25552"/>
    <cellStyle name="Normal 10 73 3 4" xfId="19381"/>
    <cellStyle name="Normal 10 73 3 5" xfId="27605"/>
    <cellStyle name="Normal 10 73 4" xfId="8480"/>
    <cellStyle name="Normal 10 73 5" xfId="21274"/>
    <cellStyle name="Normal 10 73 6" xfId="17691"/>
    <cellStyle name="Normal 10 73 7" xfId="31756"/>
    <cellStyle name="Normal 10 74" xfId="1733"/>
    <cellStyle name="Normal 10 74 2" xfId="4177"/>
    <cellStyle name="Normal 10 74 2 2" xfId="10947"/>
    <cellStyle name="Normal 10 74 2 3" xfId="23637"/>
    <cellStyle name="Normal 10 74 2 4" xfId="16043"/>
    <cellStyle name="Normal 10 74 2 5" xfId="26913"/>
    <cellStyle name="Normal 10 74 3" xfId="6112"/>
    <cellStyle name="Normal 10 74 3 2" xfId="12882"/>
    <cellStyle name="Normal 10 74 3 3" xfId="25572"/>
    <cellStyle name="Normal 10 74 3 4" xfId="14993"/>
    <cellStyle name="Normal 10 74 3 5" xfId="26279"/>
    <cellStyle name="Normal 10 74 4" xfId="8503"/>
    <cellStyle name="Normal 10 74 5" xfId="21294"/>
    <cellStyle name="Normal 10 74 6" xfId="19439"/>
    <cellStyle name="Normal 10 74 7" xfId="26598"/>
    <cellStyle name="Normal 10 75" xfId="1756"/>
    <cellStyle name="Normal 10 75 2" xfId="4200"/>
    <cellStyle name="Normal 10 75 2 2" xfId="10970"/>
    <cellStyle name="Normal 10 75 2 3" xfId="23660"/>
    <cellStyle name="Normal 10 75 2 4" xfId="18831"/>
    <cellStyle name="Normal 10 75 2 5" xfId="29906"/>
    <cellStyle name="Normal 10 75 3" xfId="6132"/>
    <cellStyle name="Normal 10 75 3 2" xfId="12902"/>
    <cellStyle name="Normal 10 75 3 3" xfId="25592"/>
    <cellStyle name="Normal 10 75 3 4" xfId="16051"/>
    <cellStyle name="Normal 10 75 3 5" xfId="29476"/>
    <cellStyle name="Normal 10 75 4" xfId="8526"/>
    <cellStyle name="Normal 10 75 5" xfId="21314"/>
    <cellStyle name="Normal 10 75 6" xfId="15033"/>
    <cellStyle name="Normal 10 75 7" xfId="27727"/>
    <cellStyle name="Normal 10 76" xfId="1779"/>
    <cellStyle name="Normal 10 76 2" xfId="4222"/>
    <cellStyle name="Normal 10 76 2 2" xfId="10992"/>
    <cellStyle name="Normal 10 76 2 3" xfId="23682"/>
    <cellStyle name="Normal 10 76 2 4" xfId="16725"/>
    <cellStyle name="Normal 10 76 2 5" xfId="30989"/>
    <cellStyle name="Normal 10 76 3" xfId="6152"/>
    <cellStyle name="Normal 10 76 3 2" xfId="12922"/>
    <cellStyle name="Normal 10 76 3 3" xfId="25612"/>
    <cellStyle name="Normal 10 76 3 4" xfId="19033"/>
    <cellStyle name="Normal 10 76 3 5" xfId="28546"/>
    <cellStyle name="Normal 10 76 4" xfId="8549"/>
    <cellStyle name="Normal 10 76 5" xfId="21334"/>
    <cellStyle name="Normal 10 76 6" xfId="16069"/>
    <cellStyle name="Normal 10 76 7" xfId="30646"/>
    <cellStyle name="Normal 10 77" xfId="1802"/>
    <cellStyle name="Normal 10 77 2" xfId="4244"/>
    <cellStyle name="Normal 10 77 2 2" xfId="11014"/>
    <cellStyle name="Normal 10 77 2 3" xfId="23704"/>
    <cellStyle name="Normal 10 77 2 4" xfId="14216"/>
    <cellStyle name="Normal 10 77 2 5" xfId="31910"/>
    <cellStyle name="Normal 10 77 3" xfId="6172"/>
    <cellStyle name="Normal 10 77 3 2" xfId="12942"/>
    <cellStyle name="Normal 10 77 3 3" xfId="25632"/>
    <cellStyle name="Normal 10 77 3 4" xfId="14599"/>
    <cellStyle name="Normal 10 77 3 5" xfId="27337"/>
    <cellStyle name="Normal 10 77 4" xfId="8572"/>
    <cellStyle name="Normal 10 77 5" xfId="21354"/>
    <cellStyle name="Normal 10 77 6" xfId="19030"/>
    <cellStyle name="Normal 10 77 7" xfId="28625"/>
    <cellStyle name="Normal 10 78" xfId="1825"/>
    <cellStyle name="Normal 10 78 2" xfId="4267"/>
    <cellStyle name="Normal 10 78 2 2" xfId="11037"/>
    <cellStyle name="Normal 10 78 2 3" xfId="23727"/>
    <cellStyle name="Normal 10 78 2 4" xfId="16417"/>
    <cellStyle name="Normal 10 78 2 5" xfId="26777"/>
    <cellStyle name="Normal 10 78 3" xfId="6192"/>
    <cellStyle name="Normal 10 78 3 2" xfId="12962"/>
    <cellStyle name="Normal 10 78 3 3" xfId="25652"/>
    <cellStyle name="Normal 10 78 3 4" xfId="16822"/>
    <cellStyle name="Normal 10 78 3 5" xfId="29388"/>
    <cellStyle name="Normal 10 78 4" xfId="8595"/>
    <cellStyle name="Normal 10 78 5" xfId="21374"/>
    <cellStyle name="Normal 10 78 6" xfId="14574"/>
    <cellStyle name="Normal 10 78 7" xfId="32319"/>
    <cellStyle name="Normal 10 79" xfId="1848"/>
    <cellStyle name="Normal 10 79 2" xfId="4289"/>
    <cellStyle name="Normal 10 79 2 2" xfId="11059"/>
    <cellStyle name="Normal 10 79 2 3" xfId="23749"/>
    <cellStyle name="Normal 10 79 2 4" xfId="13907"/>
    <cellStyle name="Normal 10 79 2 5" xfId="27914"/>
    <cellStyle name="Normal 10 79 3" xfId="6212"/>
    <cellStyle name="Normal 10 79 3 2" xfId="12982"/>
    <cellStyle name="Normal 10 79 3 3" xfId="25672"/>
    <cellStyle name="Normal 10 79 3 4" xfId="18682"/>
    <cellStyle name="Normal 10 79 3 5" xfId="28445"/>
    <cellStyle name="Normal 10 79 4" xfId="8618"/>
    <cellStyle name="Normal 10 79 5" xfId="21394"/>
    <cellStyle name="Normal 10 79 6" xfId="16797"/>
    <cellStyle name="Normal 10 79 7" xfId="27232"/>
    <cellStyle name="Normal 10 8" xfId="224"/>
    <cellStyle name="Normal 10 8 2" xfId="2703"/>
    <cellStyle name="Normal 10 8 2 2" xfId="9473"/>
    <cellStyle name="Normal 10 8 2 3" xfId="22163"/>
    <cellStyle name="Normal 10 8 2 4" xfId="13981"/>
    <cellStyle name="Normal 10 8 2 5" xfId="30767"/>
    <cellStyle name="Normal 10 8 3" xfId="2723"/>
    <cellStyle name="Normal 10 8 3 2" xfId="9493"/>
    <cellStyle name="Normal 10 8 3 3" xfId="22183"/>
    <cellStyle name="Normal 10 8 3 4" xfId="16334"/>
    <cellStyle name="Normal 10 8 3 5" xfId="29648"/>
    <cellStyle name="Normal 10 8 4" xfId="6994"/>
    <cellStyle name="Normal 10 8 5" xfId="15750"/>
    <cellStyle name="Normal 10 8 6" xfId="14122"/>
    <cellStyle name="Normal 10 8 7" xfId="30234"/>
    <cellStyle name="Normal 10 80" xfId="1871"/>
    <cellStyle name="Normal 10 80 2" xfId="4311"/>
    <cellStyle name="Normal 10 80 2 2" xfId="11081"/>
    <cellStyle name="Normal 10 80 2 3" xfId="23771"/>
    <cellStyle name="Normal 10 80 2 4" xfId="20072"/>
    <cellStyle name="Normal 10 80 2 5" xfId="28843"/>
    <cellStyle name="Normal 10 80 3" xfId="6232"/>
    <cellStyle name="Normal 10 80 3 2" xfId="13002"/>
    <cellStyle name="Normal 10 80 3 3" xfId="25692"/>
    <cellStyle name="Normal 10 80 3 4" xfId="14201"/>
    <cellStyle name="Normal 10 80 3 5" xfId="27245"/>
    <cellStyle name="Normal 10 80 4" xfId="8641"/>
    <cellStyle name="Normal 10 80 5" xfId="21414"/>
    <cellStyle name="Normal 10 80 6" xfId="18618"/>
    <cellStyle name="Normal 10 80 7" xfId="30190"/>
    <cellStyle name="Normal 10 81" xfId="1894"/>
    <cellStyle name="Normal 10 81 2" xfId="4333"/>
    <cellStyle name="Normal 10 81 2 2" xfId="11103"/>
    <cellStyle name="Normal 10 81 2 3" xfId="23793"/>
    <cellStyle name="Normal 10 81 2 4" xfId="18105"/>
    <cellStyle name="Normal 10 81 2 5" xfId="27301"/>
    <cellStyle name="Normal 10 81 3" xfId="6252"/>
    <cellStyle name="Normal 10 81 3 2" xfId="13022"/>
    <cellStyle name="Normal 10 81 3 3" xfId="25712"/>
    <cellStyle name="Normal 10 81 3 4" xfId="16426"/>
    <cellStyle name="Normal 10 81 3 5" xfId="29311"/>
    <cellStyle name="Normal 10 81 4" xfId="8664"/>
    <cellStyle name="Normal 10 81 5" xfId="21434"/>
    <cellStyle name="Normal 10 81 6" xfId="14107"/>
    <cellStyle name="Normal 10 81 7" xfId="28343"/>
    <cellStyle name="Normal 10 82" xfId="1916"/>
    <cellStyle name="Normal 10 82 2" xfId="4354"/>
    <cellStyle name="Normal 10 82 2 2" xfId="11124"/>
    <cellStyle name="Normal 10 82 2 3" xfId="23814"/>
    <cellStyle name="Normal 10 82 2 4" xfId="17969"/>
    <cellStyle name="Normal 10 82 2 5" xfId="31417"/>
    <cellStyle name="Normal 10 82 3" xfId="6271"/>
    <cellStyle name="Normal 10 82 3 2" xfId="13041"/>
    <cellStyle name="Normal 10 82 3 3" xfId="25731"/>
    <cellStyle name="Normal 10 82 3 4" xfId="8808"/>
    <cellStyle name="Normal 10 82 3 5" xfId="31337"/>
    <cellStyle name="Normal 10 82 4" xfId="8686"/>
    <cellStyle name="Normal 10 82 5" xfId="21453"/>
    <cellStyle name="Normal 10 82 6" xfId="18364"/>
    <cellStyle name="Normal 10 82 7" xfId="29229"/>
    <cellStyle name="Normal 10 83" xfId="1938"/>
    <cellStyle name="Normal 10 83 2" xfId="4375"/>
    <cellStyle name="Normal 10 83 2 2" xfId="11145"/>
    <cellStyle name="Normal 10 83 2 3" xfId="23835"/>
    <cellStyle name="Normal 10 83 2 4" xfId="17857"/>
    <cellStyle name="Normal 10 83 2 5" xfId="27236"/>
    <cellStyle name="Normal 10 83 3" xfId="6290"/>
    <cellStyle name="Normal 10 83 3 2" xfId="13060"/>
    <cellStyle name="Normal 10 83 3 3" xfId="25750"/>
    <cellStyle name="Normal 10 83 3 4" xfId="8452"/>
    <cellStyle name="Normal 10 83 3 5" xfId="28338"/>
    <cellStyle name="Normal 10 83 4" xfId="8708"/>
    <cellStyle name="Normal 10 83 5" xfId="21472"/>
    <cellStyle name="Normal 10 83 6" xfId="13820"/>
    <cellStyle name="Normal 10 83 7" xfId="27104"/>
    <cellStyle name="Normal 10 84" xfId="1961"/>
    <cellStyle name="Normal 10 84 2" xfId="4398"/>
    <cellStyle name="Normal 10 84 2 2" xfId="11168"/>
    <cellStyle name="Normal 10 84 2 3" xfId="23858"/>
    <cellStyle name="Normal 10 84 2 4" xfId="19573"/>
    <cellStyle name="Normal 10 84 2 5" xfId="30194"/>
    <cellStyle name="Normal 10 84 3" xfId="6310"/>
    <cellStyle name="Normal 10 84 3 2" xfId="13080"/>
    <cellStyle name="Normal 10 84 3 3" xfId="25770"/>
    <cellStyle name="Normal 10 84 3 4" xfId="8009"/>
    <cellStyle name="Normal 10 84 3 5" xfId="26361"/>
    <cellStyle name="Normal 10 84 4" xfId="8731"/>
    <cellStyle name="Normal 10 84 5" xfId="21492"/>
    <cellStyle name="Normal 10 84 6" xfId="19991"/>
    <cellStyle name="Normal 10 84 7" xfId="30066"/>
    <cellStyle name="Normal 10 85" xfId="1984"/>
    <cellStyle name="Normal 10 85 2" xfId="4420"/>
    <cellStyle name="Normal 10 85 2 2" xfId="11190"/>
    <cellStyle name="Normal 10 85 2 3" xfId="23880"/>
    <cellStyle name="Normal 10 85 2 4" xfId="17554"/>
    <cellStyle name="Normal 10 85 2 5" xfId="31318"/>
    <cellStyle name="Normal 10 85 3" xfId="6330"/>
    <cellStyle name="Normal 10 85 3 2" xfId="13100"/>
    <cellStyle name="Normal 10 85 3 3" xfId="25790"/>
    <cellStyle name="Normal 10 85 3 4" xfId="7600"/>
    <cellStyle name="Normal 10 85 3 5" xfId="29207"/>
    <cellStyle name="Normal 10 85 4" xfId="8754"/>
    <cellStyle name="Normal 10 85 5" xfId="21512"/>
    <cellStyle name="Normal 10 85 6" xfId="13852"/>
    <cellStyle name="Normal 10 85 7" xfId="28204"/>
    <cellStyle name="Normal 10 86" xfId="2006"/>
    <cellStyle name="Normal 10 86 2" xfId="4442"/>
    <cellStyle name="Normal 10 86 2 2" xfId="11212"/>
    <cellStyle name="Normal 10 86 2 3" xfId="23902"/>
    <cellStyle name="Normal 10 86 2 4" xfId="15048"/>
    <cellStyle name="Normal 10 86 2 5" xfId="32202"/>
    <cellStyle name="Normal 10 86 3" xfId="6349"/>
    <cellStyle name="Normal 10 86 3 2" xfId="13119"/>
    <cellStyle name="Normal 10 86 3 3" xfId="25809"/>
    <cellStyle name="Normal 10 86 3 4" xfId="6841"/>
    <cellStyle name="Normal 10 86 3 5" xfId="31219"/>
    <cellStyle name="Normal 10 86 4" xfId="8776"/>
    <cellStyle name="Normal 10 86 5" xfId="21531"/>
    <cellStyle name="Normal 10 86 6" xfId="20065"/>
    <cellStyle name="Normal 10 86 7" xfId="29112"/>
    <cellStyle name="Normal 10 87" xfId="2029"/>
    <cellStyle name="Normal 10 87 2" xfId="4464"/>
    <cellStyle name="Normal 10 87 2 2" xfId="11234"/>
    <cellStyle name="Normal 10 87 2 3" xfId="23924"/>
    <cellStyle name="Normal 10 87 2 4" xfId="19182"/>
    <cellStyle name="Normal 10 87 2 5" xfId="30109"/>
    <cellStyle name="Normal 10 87 3" xfId="6369"/>
    <cellStyle name="Normal 10 87 3 2" xfId="13139"/>
    <cellStyle name="Normal 10 87 3 3" xfId="25829"/>
    <cellStyle name="Normal 10 87 3 4" xfId="9058"/>
    <cellStyle name="Normal 10 87 3 5" xfId="30042"/>
    <cellStyle name="Normal 10 87 4" xfId="8799"/>
    <cellStyle name="Normal 10 87 5" xfId="21551"/>
    <cellStyle name="Normal 10 87 6" xfId="15706"/>
    <cellStyle name="Normal 10 87 7" xfId="32040"/>
    <cellStyle name="Normal 10 88" xfId="2052"/>
    <cellStyle name="Normal 10 88 2" xfId="4486"/>
    <cellStyle name="Normal 10 88 2 2" xfId="11256"/>
    <cellStyle name="Normal 10 88 2 3" xfId="23946"/>
    <cellStyle name="Normal 10 88 2 4" xfId="17121"/>
    <cellStyle name="Normal 10 88 2 5" xfId="31220"/>
    <cellStyle name="Normal 10 88 3" xfId="6389"/>
    <cellStyle name="Normal 10 88 3 2" xfId="13159"/>
    <cellStyle name="Normal 10 88 3 3" xfId="25849"/>
    <cellStyle name="Normal 10 88 3 4" xfId="16224"/>
    <cellStyle name="Normal 10 88 3 5" xfId="32090"/>
    <cellStyle name="Normal 10 88 4" xfId="8822"/>
    <cellStyle name="Normal 10 88 5" xfId="21571"/>
    <cellStyle name="Normal 10 88 6" xfId="16205"/>
    <cellStyle name="Normal 10 88 7" xfId="26914"/>
    <cellStyle name="Normal 10 89" xfId="2075"/>
    <cellStyle name="Normal 10 89 2" xfId="4507"/>
    <cellStyle name="Normal 10 89 2 2" xfId="11277"/>
    <cellStyle name="Normal 10 89 2 3" xfId="23967"/>
    <cellStyle name="Normal 10 89 2 4" xfId="16988"/>
    <cellStyle name="Normal 10 89 2 5" xfId="27041"/>
    <cellStyle name="Normal 10 89 3" xfId="6409"/>
    <cellStyle name="Normal 10 89 3 2" xfId="13179"/>
    <cellStyle name="Normal 10 89 3 3" xfId="25869"/>
    <cellStyle name="Normal 10 89 3 4" xfId="20023"/>
    <cellStyle name="Normal 10 89 3 5" xfId="31123"/>
    <cellStyle name="Normal 10 89 4" xfId="8845"/>
    <cellStyle name="Normal 10 89 5" xfId="21591"/>
    <cellStyle name="Normal 10 89 6" xfId="20047"/>
    <cellStyle name="Normal 10 89 7" xfId="29907"/>
    <cellStyle name="Normal 10 9" xfId="246"/>
    <cellStyle name="Normal 10 9 2" xfId="2724"/>
    <cellStyle name="Normal 10 9 2 2" xfId="9494"/>
    <cellStyle name="Normal 10 9 2 3" xfId="22184"/>
    <cellStyle name="Normal 10 9 2 4" xfId="16203"/>
    <cellStyle name="Normal 10 9 2 5" xfId="26608"/>
    <cellStyle name="Normal 10 9 3" xfId="4654"/>
    <cellStyle name="Normal 10 9 3 2" xfId="11424"/>
    <cellStyle name="Normal 10 9 3 3" xfId="24114"/>
    <cellStyle name="Normal 10 9 3 4" xfId="18125"/>
    <cellStyle name="Normal 10 9 3 5" xfId="30439"/>
    <cellStyle name="Normal 10 9 4" xfId="7016"/>
    <cellStyle name="Normal 10 9 5" xfId="15664"/>
    <cellStyle name="Normal 10 9 6" xfId="18366"/>
    <cellStyle name="Normal 10 9 7" xfId="31373"/>
    <cellStyle name="Normal 10 90" xfId="2098"/>
    <cellStyle name="Normal 10 90 2" xfId="4529"/>
    <cellStyle name="Normal 10 90 2 2" xfId="11299"/>
    <cellStyle name="Normal 10 90 2 3" xfId="23989"/>
    <cellStyle name="Normal 10 90 2 4" xfId="14457"/>
    <cellStyle name="Normal 10 90 2 5" xfId="28189"/>
    <cellStyle name="Normal 10 90 3" xfId="6429"/>
    <cellStyle name="Normal 10 90 3 2" xfId="13199"/>
    <cellStyle name="Normal 10 90 3 3" xfId="25889"/>
    <cellStyle name="Normal 10 90 3 4" xfId="6791"/>
    <cellStyle name="Normal 10 90 3 5" xfId="29960"/>
    <cellStyle name="Normal 10 90 4" xfId="8868"/>
    <cellStyle name="Normal 10 90 5" xfId="21611"/>
    <cellStyle name="Normal 10 90 6" xfId="15687"/>
    <cellStyle name="Normal 10 90 7" xfId="28022"/>
    <cellStyle name="Normal 10 91" xfId="2121"/>
    <cellStyle name="Normal 10 91 2" xfId="4550"/>
    <cellStyle name="Normal 10 91 2 2" xfId="11320"/>
    <cellStyle name="Normal 10 91 2 3" xfId="24010"/>
    <cellStyle name="Normal 10 91 2 4" xfId="14330"/>
    <cellStyle name="Normal 10 91 2 5" xfId="32054"/>
    <cellStyle name="Normal 10 91 3" xfId="6449"/>
    <cellStyle name="Normal 10 91 3 2" xfId="13219"/>
    <cellStyle name="Normal 10 91 3 3" xfId="25909"/>
    <cellStyle name="Normal 10 91 3 4" xfId="19826"/>
    <cellStyle name="Normal 10 91 3 5" xfId="32007"/>
    <cellStyle name="Normal 10 91 4" xfId="8891"/>
    <cellStyle name="Normal 10 91 5" xfId="21631"/>
    <cellStyle name="Normal 10 91 6" xfId="16321"/>
    <cellStyle name="Normal 10 91 7" xfId="30946"/>
    <cellStyle name="Normal 10 92" xfId="2142"/>
    <cellStyle name="Normal 10 92 2" xfId="4570"/>
    <cellStyle name="Normal 10 92 2 2" xfId="11340"/>
    <cellStyle name="Normal 10 92 2 3" xfId="24030"/>
    <cellStyle name="Normal 10 92 2 4" xfId="16571"/>
    <cellStyle name="Normal 10 92 2 5" xfId="31081"/>
    <cellStyle name="Normal 10 92 3" xfId="6467"/>
    <cellStyle name="Normal 10 92 3 2" xfId="13237"/>
    <cellStyle name="Normal 10 92 3 3" xfId="25927"/>
    <cellStyle name="Normal 10 92 3 4" xfId="19736"/>
    <cellStyle name="Normal 10 92 3 5" xfId="31977"/>
    <cellStyle name="Normal 10 92 4" xfId="8912"/>
    <cellStyle name="Normal 10 92 5" xfId="21649"/>
    <cellStyle name="Normal 10 92 6" xfId="19807"/>
    <cellStyle name="Normal 10 92 7" xfId="26778"/>
    <cellStyle name="Normal 10 93" xfId="2160"/>
    <cellStyle name="Normal 10 93 2" xfId="4587"/>
    <cellStyle name="Normal 10 93 2 2" xfId="11357"/>
    <cellStyle name="Normal 10 93 2 3" xfId="24047"/>
    <cellStyle name="Normal 10 93 2 4" xfId="18458"/>
    <cellStyle name="Normal 10 93 2 5" xfId="27887"/>
    <cellStyle name="Normal 10 93 3" xfId="6483"/>
    <cellStyle name="Normal 10 93 3 2" xfId="13253"/>
    <cellStyle name="Normal 10 93 3 3" xfId="25943"/>
    <cellStyle name="Normal 10 93 3 4" xfId="17765"/>
    <cellStyle name="Normal 10 93 3 5" xfId="29883"/>
    <cellStyle name="Normal 10 93 4" xfId="8930"/>
    <cellStyle name="Normal 10 93 5" xfId="21665"/>
    <cellStyle name="Normal 10 93 6" xfId="19695"/>
    <cellStyle name="Normal 10 93 7" xfId="26751"/>
    <cellStyle name="Normal 10 94" xfId="2177"/>
    <cellStyle name="Normal 10 94 2" xfId="4603"/>
    <cellStyle name="Normal 10 94 2 2" xfId="11373"/>
    <cellStyle name="Normal 10 94 2 3" xfId="24063"/>
    <cellStyle name="Normal 10 94 2 4" xfId="16349"/>
    <cellStyle name="Normal 10 94 2 5" xfId="26888"/>
    <cellStyle name="Normal 10 94 3" xfId="6499"/>
    <cellStyle name="Normal 10 94 3 2" xfId="13269"/>
    <cellStyle name="Normal 10 94 3 3" xfId="25959"/>
    <cellStyle name="Normal 10 94 3 4" xfId="15295"/>
    <cellStyle name="Normal 10 94 3 5" xfId="30974"/>
    <cellStyle name="Normal 10 94 4" xfId="8947"/>
    <cellStyle name="Normal 10 94 5" xfId="21681"/>
    <cellStyle name="Normal 10 94 6" xfId="15354"/>
    <cellStyle name="Normal 10 94 7" xfId="29756"/>
    <cellStyle name="Normal 10 95" xfId="2199"/>
    <cellStyle name="Normal 10 95 2" xfId="4624"/>
    <cellStyle name="Normal 10 95 2 2" xfId="11394"/>
    <cellStyle name="Normal 10 95 2 3" xfId="24084"/>
    <cellStyle name="Normal 10 95 2 4" xfId="16193"/>
    <cellStyle name="Normal 10 95 2 5" xfId="30995"/>
    <cellStyle name="Normal 10 95 3" xfId="6518"/>
    <cellStyle name="Normal 10 95 3 2" xfId="13288"/>
    <cellStyle name="Normal 10 95 3 3" xfId="25978"/>
    <cellStyle name="Normal 10 95 3 4" xfId="19427"/>
    <cellStyle name="Normal 10 95 3 5" xfId="27984"/>
    <cellStyle name="Normal 10 95 4" xfId="8969"/>
    <cellStyle name="Normal 10 95 5" xfId="21700"/>
    <cellStyle name="Normal 10 95 6" xfId="19483"/>
    <cellStyle name="Normal 10 95 7" xfId="30403"/>
    <cellStyle name="Normal 10 96" xfId="2235"/>
    <cellStyle name="Normal 10 96 2" xfId="4657"/>
    <cellStyle name="Normal 10 96 2 2" xfId="11427"/>
    <cellStyle name="Normal 10 96 2 3" xfId="24117"/>
    <cellStyle name="Normal 10 96 2 4" xfId="18104"/>
    <cellStyle name="Normal 10 96 2 5" xfId="26805"/>
    <cellStyle name="Normal 10 96 3" xfId="6546"/>
    <cellStyle name="Normal 10 96 3 2" xfId="13316"/>
    <cellStyle name="Normal 10 96 3 3" xfId="26006"/>
    <cellStyle name="Normal 10 96 3 4" xfId="17356"/>
    <cellStyle name="Normal 10 96 3 5" xfId="28897"/>
    <cellStyle name="Normal 10 96 4" xfId="9005"/>
    <cellStyle name="Normal 10 96 5" xfId="21728"/>
    <cellStyle name="Normal 10 96 6" xfId="19268"/>
    <cellStyle name="Normal 10 96 7" xfId="30759"/>
    <cellStyle name="Normal 10 97" xfId="2257"/>
    <cellStyle name="Normal 10 97 2" xfId="4679"/>
    <cellStyle name="Normal 10 97 2 2" xfId="11449"/>
    <cellStyle name="Normal 10 97 2 3" xfId="24139"/>
    <cellStyle name="Normal 10 97 2 4" xfId="15420"/>
    <cellStyle name="Normal 10 97 2 5" xfId="27942"/>
    <cellStyle name="Normal 10 97 3" xfId="6565"/>
    <cellStyle name="Normal 10 97 3 2" xfId="13335"/>
    <cellStyle name="Normal 10 97 3 3" xfId="26025"/>
    <cellStyle name="Normal 10 97 3 4" xfId="14869"/>
    <cellStyle name="Normal 10 97 3 5" xfId="30867"/>
    <cellStyle name="Normal 10 97 4" xfId="9027"/>
    <cellStyle name="Normal 10 97 5" xfId="21747"/>
    <cellStyle name="Normal 10 97 6" xfId="17195"/>
    <cellStyle name="Normal 10 97 7" xfId="31704"/>
    <cellStyle name="Normal 10 98" xfId="2279"/>
    <cellStyle name="Normal 10 98 2" xfId="4700"/>
    <cellStyle name="Normal 10 98 2 2" xfId="11470"/>
    <cellStyle name="Normal 10 98 2 3" xfId="24160"/>
    <cellStyle name="Normal 10 98 2 4" xfId="15601"/>
    <cellStyle name="Normal 10 98 2 5" xfId="31813"/>
    <cellStyle name="Normal 10 98 3" xfId="6584"/>
    <cellStyle name="Normal 10 98 3 2" xfId="13354"/>
    <cellStyle name="Normal 10 98 3 3" xfId="26044"/>
    <cellStyle name="Normal 10 98 3 4" xfId="19038"/>
    <cellStyle name="Normal 10 98 3 5" xfId="27876"/>
    <cellStyle name="Normal 10 98 4" xfId="9049"/>
    <cellStyle name="Normal 10 98 5" xfId="21766"/>
    <cellStyle name="Normal 10 98 6" xfId="14616"/>
    <cellStyle name="Normal 10 98 7" xfId="30273"/>
    <cellStyle name="Normal 10 99" xfId="2301"/>
    <cellStyle name="Normal 10 99 2" xfId="4722"/>
    <cellStyle name="Normal 10 99 2 2" xfId="11492"/>
    <cellStyle name="Normal 10 99 2 3" xfId="24182"/>
    <cellStyle name="Normal 10 99 2 4" xfId="19723"/>
    <cellStyle name="Normal 10 99 2 5" xfId="29739"/>
    <cellStyle name="Normal 10 99 3" xfId="6603"/>
    <cellStyle name="Normal 10 99 3 2" xfId="13373"/>
    <cellStyle name="Normal 10 99 3 3" xfId="26063"/>
    <cellStyle name="Normal 10 99 3 4" xfId="16982"/>
    <cellStyle name="Normal 10 99 3 5" xfId="29707"/>
    <cellStyle name="Normal 10 99 4" xfId="9071"/>
    <cellStyle name="Normal 10 99 5" xfId="21785"/>
    <cellStyle name="Normal 10 99 6" xfId="18877"/>
    <cellStyle name="Normal 10 99 7" xfId="31404"/>
    <cellStyle name="Normal 100" xfId="1957"/>
    <cellStyle name="Normal 100 2" xfId="4394"/>
    <cellStyle name="Normal 100 2 2" xfId="11164"/>
    <cellStyle name="Normal 100 2 3" xfId="23854"/>
    <cellStyle name="Normal 100 2 4" xfId="15343"/>
    <cellStyle name="Normal 100 2 5" xfId="32271"/>
    <cellStyle name="Normal 100 3" xfId="6307"/>
    <cellStyle name="Normal 100 3 2" xfId="13077"/>
    <cellStyle name="Normal 100 3 3" xfId="25767"/>
    <cellStyle name="Normal 100 3 4" xfId="8078"/>
    <cellStyle name="Normal 100 3 5" xfId="31280"/>
    <cellStyle name="Normal 100 4" xfId="8727"/>
    <cellStyle name="Normal 100 5" xfId="21489"/>
    <cellStyle name="Normal 100 6" xfId="15803"/>
    <cellStyle name="Normal 100 7" xfId="32139"/>
    <cellStyle name="Normal 100 8" xfId="34082"/>
    <cellStyle name="Normal 101" xfId="1980"/>
    <cellStyle name="Normal 101 2" xfId="4416"/>
    <cellStyle name="Normal 101 2 2" xfId="11186"/>
    <cellStyle name="Normal 101 2 3" xfId="23876"/>
    <cellStyle name="Normal 101 2 4" xfId="19473"/>
    <cellStyle name="Normal 101 2 5" xfId="30169"/>
    <cellStyle name="Normal 101 3" xfId="6327"/>
    <cellStyle name="Normal 101 3 2" xfId="13097"/>
    <cellStyle name="Normal 101 3 3" xfId="25787"/>
    <cellStyle name="Normal 101 3 4" xfId="6875"/>
    <cellStyle name="Normal 101 3 5" xfId="30108"/>
    <cellStyle name="Normal 101 4" xfId="8750"/>
    <cellStyle name="Normal 101 5" xfId="21509"/>
    <cellStyle name="Normal 101 6" xfId="16248"/>
    <cellStyle name="Normal 101 7" xfId="27035"/>
    <cellStyle name="Normal 102" xfId="32447"/>
    <cellStyle name="Normal 102 2" xfId="34087"/>
    <cellStyle name="Normal 103" xfId="2025"/>
    <cellStyle name="Normal 103 2" xfId="4460"/>
    <cellStyle name="Normal 103 2 2" xfId="11230"/>
    <cellStyle name="Normal 103 2 3" xfId="23920"/>
    <cellStyle name="Normal 103 2 4" xfId="14920"/>
    <cellStyle name="Normal 103 2 5" xfId="32182"/>
    <cellStyle name="Normal 103 3" xfId="6366"/>
    <cellStyle name="Normal 103 3 2" xfId="13136"/>
    <cellStyle name="Normal 103 3 3" xfId="25826"/>
    <cellStyle name="Normal 103 3 4" xfId="9124"/>
    <cellStyle name="Normal 103 3 5" xfId="29152"/>
    <cellStyle name="Normal 103 4" xfId="8795"/>
    <cellStyle name="Normal 103 5" xfId="21548"/>
    <cellStyle name="Normal 103 6" xfId="18116"/>
    <cellStyle name="Normal 103 7" xfId="31108"/>
    <cellStyle name="Normal 104" xfId="2048"/>
    <cellStyle name="Normal 104 2" xfId="4482"/>
    <cellStyle name="Normal 104 2 2" xfId="11252"/>
    <cellStyle name="Normal 104 2 3" xfId="23942"/>
    <cellStyle name="Normal 104 2 4" xfId="19084"/>
    <cellStyle name="Normal 104 2 5" xfId="30081"/>
    <cellStyle name="Normal 104 3" xfId="6386"/>
    <cellStyle name="Normal 104 3 2" xfId="13156"/>
    <cellStyle name="Normal 104 3 3" xfId="25846"/>
    <cellStyle name="Normal 104 3 4" xfId="16246"/>
    <cellStyle name="Normal 104 3 5" xfId="28199"/>
    <cellStyle name="Normal 104 4" xfId="8818"/>
    <cellStyle name="Normal 104 5" xfId="21568"/>
    <cellStyle name="Normal 104 6" xfId="18272"/>
    <cellStyle name="Normal 104 7" xfId="29044"/>
    <cellStyle name="Normal 105" xfId="2071"/>
    <cellStyle name="Normal 105 2" xfId="4504"/>
    <cellStyle name="Normal 105 2 2" xfId="11274"/>
    <cellStyle name="Normal 105 2 3" xfId="23964"/>
    <cellStyle name="Normal 105 2 4" xfId="17009"/>
    <cellStyle name="Normal 105 2 5" xfId="31187"/>
    <cellStyle name="Normal 105 3" xfId="6406"/>
    <cellStyle name="Normal 105 3 2" xfId="13176"/>
    <cellStyle name="Normal 105 3 3" xfId="25866"/>
    <cellStyle name="Normal 105 3 4" xfId="20042"/>
    <cellStyle name="Normal 105 3 5" xfId="26988"/>
    <cellStyle name="Normal 105 4" xfId="8841"/>
    <cellStyle name="Normal 105 5" xfId="21588"/>
    <cellStyle name="Normal 105 6" xfId="15872"/>
    <cellStyle name="Normal 105 7" xfId="31982"/>
    <cellStyle name="Normal 106" xfId="2094"/>
    <cellStyle name="Normal 106 2" xfId="4525"/>
    <cellStyle name="Normal 106 2 2" xfId="11295"/>
    <cellStyle name="Normal 106 2 3" xfId="23985"/>
    <cellStyle name="Normal 106 2 4" xfId="16859"/>
    <cellStyle name="Normal 106 2 5" xfId="27021"/>
    <cellStyle name="Normal 106 3" xfId="6426"/>
    <cellStyle name="Normal 106 3 2" xfId="13196"/>
    <cellStyle name="Normal 106 3 3" xfId="25886"/>
    <cellStyle name="Normal 106 3 4" xfId="13767"/>
    <cellStyle name="Normal 106 3 5" xfId="29068"/>
    <cellStyle name="Normal 106 4" xfId="8864"/>
    <cellStyle name="Normal 106 5" xfId="21608"/>
    <cellStyle name="Normal 106 6" xfId="18096"/>
    <cellStyle name="Normal 106 7" xfId="26849"/>
    <cellStyle name="Normal 107" xfId="2117"/>
    <cellStyle name="Normal 107 2" xfId="4547"/>
    <cellStyle name="Normal 107 2 2" xfId="11317"/>
    <cellStyle name="Normal 107 2 3" xfId="24007"/>
    <cellStyle name="Normal 107 2 4" xfId="14351"/>
    <cellStyle name="Normal 107 2 5" xfId="28158"/>
    <cellStyle name="Normal 107 3" xfId="6446"/>
    <cellStyle name="Normal 107 3 2" xfId="13216"/>
    <cellStyle name="Normal 107 3 3" xfId="25906"/>
    <cellStyle name="Normal 107 3 4" xfId="19836"/>
    <cellStyle name="Normal 107 3 5" xfId="27494"/>
    <cellStyle name="Normal 107 4" xfId="8887"/>
    <cellStyle name="Normal 107 5" xfId="21628"/>
    <cellStyle name="Normal 107 6" xfId="18374"/>
    <cellStyle name="Normal 107 7" xfId="29839"/>
    <cellStyle name="Normal 108" xfId="2139"/>
    <cellStyle name="Normal 108 2" xfId="4567"/>
    <cellStyle name="Normal 108 2 2" xfId="11337"/>
    <cellStyle name="Normal 108 2 3" xfId="24027"/>
    <cellStyle name="Normal 108 2 4" xfId="15998"/>
    <cellStyle name="Normal 108 2 5" xfId="26943"/>
    <cellStyle name="Normal 108 3" xfId="6465"/>
    <cellStyle name="Normal 108 3 2" xfId="13235"/>
    <cellStyle name="Normal 108 3 3" xfId="25925"/>
    <cellStyle name="Normal 108 3 4" xfId="17891"/>
    <cellStyle name="Normal 108 3 5" xfId="29912"/>
    <cellStyle name="Normal 108 4" xfId="8909"/>
    <cellStyle name="Normal 108 5" xfId="21647"/>
    <cellStyle name="Normal 108 6" xfId="19822"/>
    <cellStyle name="Normal 108 7" xfId="30924"/>
    <cellStyle name="Normal 109" xfId="32463"/>
    <cellStyle name="Normal 109 2" xfId="34107"/>
    <cellStyle name="Normal 11" xfId="36"/>
    <cellStyle name="Normal 11 10" xfId="271"/>
    <cellStyle name="Normal 11 10 2" xfId="2747"/>
    <cellStyle name="Normal 11 10 2 2" xfId="9517"/>
    <cellStyle name="Normal 11 10 2 3" xfId="22207"/>
    <cellStyle name="Normal 11 10 2 4" xfId="16158"/>
    <cellStyle name="Normal 11 10 2 5" xfId="29607"/>
    <cellStyle name="Normal 11 10 3" xfId="4074"/>
    <cellStyle name="Normal 11 10 3 2" xfId="10844"/>
    <cellStyle name="Normal 11 10 3 3" xfId="23534"/>
    <cellStyle name="Normal 11 10 3 4" xfId="19574"/>
    <cellStyle name="Normal 11 10 3 5" xfId="30084"/>
    <cellStyle name="Normal 11 10 4" xfId="7041"/>
    <cellStyle name="Normal 11 10 5" xfId="15181"/>
    <cellStyle name="Normal 11 10 6" xfId="17951"/>
    <cellStyle name="Normal 11 10 7" xfId="28363"/>
    <cellStyle name="Normal 11 100" xfId="2324"/>
    <cellStyle name="Normal 11 100 2" xfId="4745"/>
    <cellStyle name="Normal 11 100 2 2" xfId="11515"/>
    <cellStyle name="Normal 11 100 2 3" xfId="24205"/>
    <cellStyle name="Normal 11 100 2 4" xfId="15321"/>
    <cellStyle name="Normal 11 100 2 5" xfId="27834"/>
    <cellStyle name="Normal 11 100 3" xfId="6623"/>
    <cellStyle name="Normal 11 100 3 2" xfId="13393"/>
    <cellStyle name="Normal 11 100 3 3" xfId="26083"/>
    <cellStyle name="Normal 11 100 3 4" xfId="18805"/>
    <cellStyle name="Normal 11 100 3 5" xfId="31750"/>
    <cellStyle name="Normal 11 100 4" xfId="9094"/>
    <cellStyle name="Normal 11 100 5" xfId="21805"/>
    <cellStyle name="Normal 11 100 6" xfId="14383"/>
    <cellStyle name="Normal 11 100 7" xfId="28375"/>
    <cellStyle name="Normal 11 101" xfId="2346"/>
    <cellStyle name="Normal 11 101 2" xfId="4766"/>
    <cellStyle name="Normal 11 101 2 2" xfId="11536"/>
    <cellStyle name="Normal 11 101 2 3" xfId="24226"/>
    <cellStyle name="Normal 11 101 2 4" xfId="15194"/>
    <cellStyle name="Normal 11 101 2 5" xfId="31728"/>
    <cellStyle name="Normal 11 101 3" xfId="6642"/>
    <cellStyle name="Normal 11 101 3 2" xfId="13412"/>
    <cellStyle name="Normal 11 101 3 3" xfId="26102"/>
    <cellStyle name="Normal 11 101 3 4" xfId="16717"/>
    <cellStyle name="Normal 11 101 3 5" xfId="28337"/>
    <cellStyle name="Normal 11 101 4" xfId="9116"/>
    <cellStyle name="Normal 11 101 5" xfId="21824"/>
    <cellStyle name="Normal 11 101 6" xfId="19802"/>
    <cellStyle name="Normal 11 101 7" xfId="27200"/>
    <cellStyle name="Normal 11 102" xfId="2367"/>
    <cellStyle name="Normal 11 102 2" xfId="4786"/>
    <cellStyle name="Normal 11 102 2 2" xfId="11556"/>
    <cellStyle name="Normal 11 102 2 3" xfId="24246"/>
    <cellStyle name="Normal 11 102 2 4" xfId="17446"/>
    <cellStyle name="Normal 11 102 2 5" xfId="30415"/>
    <cellStyle name="Normal 11 102 3" xfId="6660"/>
    <cellStyle name="Normal 11 102 3 2" xfId="13430"/>
    <cellStyle name="Normal 11 102 3 3" xfId="26120"/>
    <cellStyle name="Normal 11 102 3 4" xfId="16013"/>
    <cellStyle name="Normal 11 102 3 5" xfId="28725"/>
    <cellStyle name="Normal 11 102 4" xfId="9137"/>
    <cellStyle name="Normal 11 102 5" xfId="21842"/>
    <cellStyle name="Normal 11 102 6" xfId="19690"/>
    <cellStyle name="Normal 11 102 7" xfId="31311"/>
    <cellStyle name="Normal 11 103" xfId="2388"/>
    <cellStyle name="Normal 11 103 2" xfId="4806"/>
    <cellStyle name="Normal 11 103 2 2" xfId="11576"/>
    <cellStyle name="Normal 11 103 2 3" xfId="24266"/>
    <cellStyle name="Normal 11 103 2 4" xfId="19217"/>
    <cellStyle name="Normal 11 103 2 5" xfId="29601"/>
    <cellStyle name="Normal 11 103 3" xfId="6677"/>
    <cellStyle name="Normal 11 103 3 2" xfId="13447"/>
    <cellStyle name="Normal 11 103 3 3" xfId="26137"/>
    <cellStyle name="Normal 11 103 3 4" xfId="18491"/>
    <cellStyle name="Normal 11 103 3 5" xfId="31669"/>
    <cellStyle name="Normal 11 103 4" xfId="9158"/>
    <cellStyle name="Normal 11 103 5" xfId="21859"/>
    <cellStyle name="Normal 11 103 6" xfId="19557"/>
    <cellStyle name="Normal 11 103 7" xfId="26364"/>
    <cellStyle name="Normal 11 104" xfId="2409"/>
    <cellStyle name="Normal 11 104 2" xfId="4827"/>
    <cellStyle name="Normal 11 104 2 2" xfId="11597"/>
    <cellStyle name="Normal 11 104 2 3" xfId="24287"/>
    <cellStyle name="Normal 11 104 2 4" xfId="19101"/>
    <cellStyle name="Normal 11 104 2 5" xfId="28673"/>
    <cellStyle name="Normal 11 104 3" xfId="6697"/>
    <cellStyle name="Normal 11 104 3 2" xfId="13467"/>
    <cellStyle name="Normal 11 104 3 3" xfId="26157"/>
    <cellStyle name="Normal 11 104 3 4" xfId="13986"/>
    <cellStyle name="Normal 11 104 3 5" xfId="30639"/>
    <cellStyle name="Normal 11 104 4" xfId="9179"/>
    <cellStyle name="Normal 11 104 5" xfId="21879"/>
    <cellStyle name="Normal 11 104 6" xfId="19437"/>
    <cellStyle name="Normal 11 104 7" xfId="31253"/>
    <cellStyle name="Normal 11 105" xfId="2431"/>
    <cellStyle name="Normal 11 105 2" xfId="4849"/>
    <cellStyle name="Normal 11 105 2 2" xfId="11619"/>
    <cellStyle name="Normal 11 105 2 3" xfId="24309"/>
    <cellStyle name="Normal 11 105 2 4" xfId="16041"/>
    <cellStyle name="Normal 11 105 2 5" xfId="26286"/>
    <cellStyle name="Normal 11 105 3" xfId="6717"/>
    <cellStyle name="Normal 11 105 3 2" xfId="13487"/>
    <cellStyle name="Normal 11 105 3 3" xfId="26177"/>
    <cellStyle name="Normal 11 105 3 4" xfId="16207"/>
    <cellStyle name="Normal 11 105 3 5" xfId="29527"/>
    <cellStyle name="Normal 11 105 4" xfId="9201"/>
    <cellStyle name="Normal 11 105 5" xfId="21899"/>
    <cellStyle name="Normal 11 105 6" xfId="17410"/>
    <cellStyle name="Normal 11 105 7" xfId="32137"/>
    <cellStyle name="Normal 11 106" xfId="2451"/>
    <cellStyle name="Normal 11 106 2" xfId="4869"/>
    <cellStyle name="Normal 11 106 2 2" xfId="11639"/>
    <cellStyle name="Normal 11 106 2 3" xfId="24329"/>
    <cellStyle name="Normal 11 106 2 4" xfId="18848"/>
    <cellStyle name="Normal 11 106 2 5" xfId="28610"/>
    <cellStyle name="Normal 11 106 3" xfId="6734"/>
    <cellStyle name="Normal 11 106 3 2" xfId="13504"/>
    <cellStyle name="Normal 11 106 3 3" xfId="26194"/>
    <cellStyle name="Normal 11 106 3 4" xfId="20050"/>
    <cellStyle name="Normal 11 106 3 5" xfId="27608"/>
    <cellStyle name="Normal 11 106 4" xfId="9221"/>
    <cellStyle name="Normal 11 106 5" xfId="21916"/>
    <cellStyle name="Normal 11 106 6" xfId="19186"/>
    <cellStyle name="Normal 11 106 7" xfId="31180"/>
    <cellStyle name="Normal 11 107" xfId="2469"/>
    <cellStyle name="Normal 11 107 2" xfId="4886"/>
    <cellStyle name="Normal 11 107 2 2" xfId="11656"/>
    <cellStyle name="Normal 11 107 2 3" xfId="24346"/>
    <cellStyle name="Normal 11 107 2 4" xfId="14414"/>
    <cellStyle name="Normal 11 107 2 5" xfId="31487"/>
    <cellStyle name="Normal 11 107 3" xfId="6750"/>
    <cellStyle name="Normal 11 107 3 2" xfId="13520"/>
    <cellStyle name="Normal 11 107 3 3" xfId="26210"/>
    <cellStyle name="Normal 11 107 3 4" xfId="18120"/>
    <cellStyle name="Normal 11 107 3 5" xfId="28454"/>
    <cellStyle name="Normal 11 107 4" xfId="9239"/>
    <cellStyle name="Normal 11 107 5" xfId="21932"/>
    <cellStyle name="Normal 11 107 6" xfId="19088"/>
    <cellStyle name="Normal 11 107 7" xfId="31158"/>
    <cellStyle name="Normal 11 108" xfId="2486"/>
    <cellStyle name="Normal 11 108 2" xfId="4903"/>
    <cellStyle name="Normal 11 108 2 2" xfId="11673"/>
    <cellStyle name="Normal 11 108 2 3" xfId="24363"/>
    <cellStyle name="Normal 11 108 2 4" xfId="16659"/>
    <cellStyle name="Normal 11 108 2 5" xfId="26261"/>
    <cellStyle name="Normal 11 108 3" xfId="6766"/>
    <cellStyle name="Normal 11 108 3 2" xfId="13536"/>
    <cellStyle name="Normal 11 108 3 3" xfId="26226"/>
    <cellStyle name="Normal 11 108 3 4" xfId="26247"/>
    <cellStyle name="Normal 11 108 3 5" xfId="27983"/>
    <cellStyle name="Normal 11 108 4" xfId="9256"/>
    <cellStyle name="Normal 11 108 5" xfId="21948"/>
    <cellStyle name="Normal 11 108 6" xfId="14657"/>
    <cellStyle name="Normal 11 108 7" xfId="29101"/>
    <cellStyle name="Normal 11 109" xfId="2525"/>
    <cellStyle name="Normal 11 109 2" xfId="9295"/>
    <cellStyle name="Normal 11 109 3" xfId="21985"/>
    <cellStyle name="Normal 11 109 4" xfId="14419"/>
    <cellStyle name="Normal 11 109 5" xfId="29945"/>
    <cellStyle name="Normal 11 11" xfId="293"/>
    <cellStyle name="Normal 11 11 2" xfId="2769"/>
    <cellStyle name="Normal 11 11 2 2" xfId="9539"/>
    <cellStyle name="Normal 11 11 2 3" xfId="22229"/>
    <cellStyle name="Normal 11 11 2 4" xfId="18093"/>
    <cellStyle name="Normal 11 11 2 5" xfId="30654"/>
    <cellStyle name="Normal 11 11 3" xfId="3676"/>
    <cellStyle name="Normal 11 11 3 2" xfId="10446"/>
    <cellStyle name="Normal 11 11 3 3" xfId="23136"/>
    <cellStyle name="Normal 11 11 3 4" xfId="18168"/>
    <cellStyle name="Normal 11 11 3 5" xfId="28572"/>
    <cellStyle name="Normal 11 11 4" xfId="7063"/>
    <cellStyle name="Normal 11 11 5" xfId="14751"/>
    <cellStyle name="Normal 11 11 6" xfId="15441"/>
    <cellStyle name="Normal 11 11 7" xfId="29252"/>
    <cellStyle name="Normal 11 110" xfId="4235"/>
    <cellStyle name="Normal 11 110 2" xfId="11005"/>
    <cellStyle name="Normal 11 110 3" xfId="23695"/>
    <cellStyle name="Normal 11 110 4" xfId="14262"/>
    <cellStyle name="Normal 11 110 5" xfId="27962"/>
    <cellStyle name="Normal 11 111" xfId="6807"/>
    <cellStyle name="Normal 11 112" xfId="15292"/>
    <cellStyle name="Normal 11 113" xfId="15373"/>
    <cellStyle name="Normal 11 114" xfId="28854"/>
    <cellStyle name="Normal 11 115" xfId="32479"/>
    <cellStyle name="Normal 11 116" xfId="32502"/>
    <cellStyle name="Normal 11 117" xfId="32525"/>
    <cellStyle name="Normal 11 118" xfId="32548"/>
    <cellStyle name="Normal 11 119" xfId="32571"/>
    <cellStyle name="Normal 11 12" xfId="318"/>
    <cellStyle name="Normal 11 12 2" xfId="2794"/>
    <cellStyle name="Normal 11 12 2 2" xfId="9564"/>
    <cellStyle name="Normal 11 12 2 3" xfId="22254"/>
    <cellStyle name="Normal 11 12 2 4" xfId="13600"/>
    <cellStyle name="Normal 11 12 2 5" xfId="27651"/>
    <cellStyle name="Normal 11 12 3" xfId="3130"/>
    <cellStyle name="Normal 11 12 3 2" xfId="9900"/>
    <cellStyle name="Normal 11 12 3 3" xfId="22590"/>
    <cellStyle name="Normal 11 12 3 4" xfId="17526"/>
    <cellStyle name="Normal 11 12 3 5" xfId="28262"/>
    <cellStyle name="Normal 11 12 4" xfId="7088"/>
    <cellStyle name="Normal 11 12 5" xfId="14279"/>
    <cellStyle name="Normal 11 12 6" xfId="19548"/>
    <cellStyle name="Normal 11 12 7" xfId="31268"/>
    <cellStyle name="Normal 11 120" xfId="32594"/>
    <cellStyle name="Normal 11 121" xfId="32617"/>
    <cellStyle name="Normal 11 122" xfId="32640"/>
    <cellStyle name="Normal 11 123" xfId="32663"/>
    <cellStyle name="Normal 11 124" xfId="32686"/>
    <cellStyle name="Normal 11 125" xfId="32709"/>
    <cellStyle name="Normal 11 126" xfId="32732"/>
    <cellStyle name="Normal 11 127" xfId="32755"/>
    <cellStyle name="Normal 11 128" xfId="32778"/>
    <cellStyle name="Normal 11 129" xfId="32801"/>
    <cellStyle name="Normal 11 13" xfId="341"/>
    <cellStyle name="Normal 11 13 2" xfId="2817"/>
    <cellStyle name="Normal 11 13 2 2" xfId="9587"/>
    <cellStyle name="Normal 11 13 2 3" xfId="22277"/>
    <cellStyle name="Normal 11 13 2 4" xfId="8958"/>
    <cellStyle name="Normal 11 13 2 5" xfId="30564"/>
    <cellStyle name="Normal 11 13 3" xfId="4838"/>
    <cellStyle name="Normal 11 13 3 2" xfId="11608"/>
    <cellStyle name="Normal 11 13 3 3" xfId="24298"/>
    <cellStyle name="Normal 11 13 3 4" xfId="14719"/>
    <cellStyle name="Normal 11 13 3 5" xfId="31629"/>
    <cellStyle name="Normal 11 13 4" xfId="7111"/>
    <cellStyle name="Normal 11 13 5" xfId="13824"/>
    <cellStyle name="Normal 11 13 6" xfId="15121"/>
    <cellStyle name="Normal 11 13 7" xfId="29187"/>
    <cellStyle name="Normal 11 130" xfId="32824"/>
    <cellStyle name="Normal 11 131" xfId="32847"/>
    <cellStyle name="Normal 11 132" xfId="32870"/>
    <cellStyle name="Normal 11 133" xfId="32892"/>
    <cellStyle name="Normal 11 134" xfId="32915"/>
    <cellStyle name="Normal 11 135" xfId="32938"/>
    <cellStyle name="Normal 11 136" xfId="32961"/>
    <cellStyle name="Normal 11 137" xfId="32984"/>
    <cellStyle name="Normal 11 138" xfId="33007"/>
    <cellStyle name="Normal 11 139" xfId="33030"/>
    <cellStyle name="Normal 11 14" xfId="364"/>
    <cellStyle name="Normal 11 14 2" xfId="2840"/>
    <cellStyle name="Normal 11 14 2 2" xfId="9610"/>
    <cellStyle name="Normal 11 14 2 3" xfId="22300"/>
    <cellStyle name="Normal 11 14 2 4" xfId="8494"/>
    <cellStyle name="Normal 11 14 2 5" xfId="28205"/>
    <cellStyle name="Normal 11 14 3" xfId="4922"/>
    <cellStyle name="Normal 11 14 3 2" xfId="11692"/>
    <cellStyle name="Normal 11 14 3 3" xfId="24382"/>
    <cellStyle name="Normal 11 14 3 4" xfId="14169"/>
    <cellStyle name="Normal 11 14 3 5" xfId="32425"/>
    <cellStyle name="Normal 11 14 4" xfId="7134"/>
    <cellStyle name="Normal 11 14 5" xfId="20104"/>
    <cellStyle name="Normal 11 14 6" xfId="17357"/>
    <cellStyle name="Normal 11 14 7" xfId="32114"/>
    <cellStyle name="Normal 11 140" xfId="33053"/>
    <cellStyle name="Normal 11 141" xfId="33076"/>
    <cellStyle name="Normal 11 142" xfId="33099"/>
    <cellStyle name="Normal 11 143" xfId="33122"/>
    <cellStyle name="Normal 11 144" xfId="33144"/>
    <cellStyle name="Normal 11 145" xfId="33164"/>
    <cellStyle name="Normal 11 146" xfId="33186"/>
    <cellStyle name="Normal 11 147" xfId="33202"/>
    <cellStyle name="Normal 11 148" xfId="33219"/>
    <cellStyle name="Normal 11 149" xfId="33255"/>
    <cellStyle name="Normal 11 15" xfId="387"/>
    <cellStyle name="Normal 11 15 2" xfId="2863"/>
    <cellStyle name="Normal 11 15 2 2" xfId="9633"/>
    <cellStyle name="Normal 11 15 2 3" xfId="22323"/>
    <cellStyle name="Normal 11 15 2 4" xfId="8014"/>
    <cellStyle name="Normal 11 15 2 5" xfId="32427"/>
    <cellStyle name="Normal 11 15 3" xfId="4942"/>
    <cellStyle name="Normal 11 15 3 2" xfId="11712"/>
    <cellStyle name="Normal 11 15 3 3" xfId="24402"/>
    <cellStyle name="Normal 11 15 3 4" xfId="16394"/>
    <cellStyle name="Normal 11 15 3 5" xfId="31506"/>
    <cellStyle name="Normal 11 15 4" xfId="7157"/>
    <cellStyle name="Normal 11 15 5" xfId="20124"/>
    <cellStyle name="Normal 11 15 6" xfId="19137"/>
    <cellStyle name="Normal 11 15 7" xfId="27018"/>
    <cellStyle name="Normal 11 150" xfId="33278"/>
    <cellStyle name="Normal 11 151" xfId="33301"/>
    <cellStyle name="Normal 11 152" xfId="33324"/>
    <cellStyle name="Normal 11 153" xfId="33347"/>
    <cellStyle name="Normal 11 154" xfId="33370"/>
    <cellStyle name="Normal 11 155" xfId="33393"/>
    <cellStyle name="Normal 11 156" xfId="33416"/>
    <cellStyle name="Normal 11 157" xfId="33439"/>
    <cellStyle name="Normal 11 158" xfId="33462"/>
    <cellStyle name="Normal 11 159" xfId="33485"/>
    <cellStyle name="Normal 11 16" xfId="410"/>
    <cellStyle name="Normal 11 16 2" xfId="2885"/>
    <cellStyle name="Normal 11 16 2 2" xfId="9655"/>
    <cellStyle name="Normal 11 16 2 3" xfId="22345"/>
    <cellStyle name="Normal 11 16 2 4" xfId="7559"/>
    <cellStyle name="Normal 11 16 2 5" xfId="30326"/>
    <cellStyle name="Normal 11 16 3" xfId="4962"/>
    <cellStyle name="Normal 11 16 3 2" xfId="11732"/>
    <cellStyle name="Normal 11 16 3 3" xfId="24422"/>
    <cellStyle name="Normal 11 16 3 4" xfId="18299"/>
    <cellStyle name="Normal 11 16 3 5" xfId="30298"/>
    <cellStyle name="Normal 11 16 4" xfId="7180"/>
    <cellStyle name="Normal 11 16 5" xfId="20144"/>
    <cellStyle name="Normal 11 16 6" xfId="13703"/>
    <cellStyle name="Normal 11 16 7" xfId="29987"/>
    <cellStyle name="Normal 11 160" xfId="33508"/>
    <cellStyle name="Normal 11 161" xfId="33531"/>
    <cellStyle name="Normal 11 162" xfId="33554"/>
    <cellStyle name="Normal 11 163" xfId="33577"/>
    <cellStyle name="Normal 11 164" xfId="33600"/>
    <cellStyle name="Normal 11 165" xfId="33623"/>
    <cellStyle name="Normal 11 166" xfId="33645"/>
    <cellStyle name="Normal 11 167" xfId="33667"/>
    <cellStyle name="Normal 11 168" xfId="33690"/>
    <cellStyle name="Normal 11 169" xfId="33713"/>
    <cellStyle name="Normal 11 17" xfId="432"/>
    <cellStyle name="Normal 11 17 2" xfId="2907"/>
    <cellStyle name="Normal 11 17 2 2" xfId="9677"/>
    <cellStyle name="Normal 11 17 2 3" xfId="22367"/>
    <cellStyle name="Normal 11 17 2 4" xfId="8888"/>
    <cellStyle name="Normal 11 17 2 5" xfId="30504"/>
    <cellStyle name="Normal 11 17 3" xfId="4981"/>
    <cellStyle name="Normal 11 17 3 2" xfId="11751"/>
    <cellStyle name="Normal 11 17 3 3" xfId="24441"/>
    <cellStyle name="Normal 11 17 3 4" xfId="18260"/>
    <cellStyle name="Normal 11 17 3 5" xfId="26663"/>
    <cellStyle name="Normal 11 17 4" xfId="7202"/>
    <cellStyle name="Normal 11 17 5" xfId="20163"/>
    <cellStyle name="Normal 11 17 6" xfId="18863"/>
    <cellStyle name="Normal 11 17 7" xfId="31077"/>
    <cellStyle name="Normal 11 170" xfId="33736"/>
    <cellStyle name="Normal 11 171" xfId="33759"/>
    <cellStyle name="Normal 11 172" xfId="33782"/>
    <cellStyle name="Normal 11 173" xfId="33805"/>
    <cellStyle name="Normal 11 174" xfId="33828"/>
    <cellStyle name="Normal 11 175" xfId="33851"/>
    <cellStyle name="Normal 11 176" xfId="33874"/>
    <cellStyle name="Normal 11 177" xfId="33897"/>
    <cellStyle name="Normal 11 178" xfId="33920"/>
    <cellStyle name="Normal 11 179" xfId="33943"/>
    <cellStyle name="Normal 11 18" xfId="455"/>
    <cellStyle name="Normal 11 18 2" xfId="2930"/>
    <cellStyle name="Normal 11 18 2 2" xfId="9700"/>
    <cellStyle name="Normal 11 18 2 3" xfId="22390"/>
    <cellStyle name="Normal 11 18 2 4" xfId="8409"/>
    <cellStyle name="Normal 11 18 2 5" xfId="28690"/>
    <cellStyle name="Normal 11 18 3" xfId="5001"/>
    <cellStyle name="Normal 11 18 3 2" xfId="11771"/>
    <cellStyle name="Normal 11 18 3 3" xfId="24461"/>
    <cellStyle name="Normal 11 18 3 4" xfId="19966"/>
    <cellStyle name="Normal 11 18 3 5" xfId="28770"/>
    <cellStyle name="Normal 11 18 4" xfId="7225"/>
    <cellStyle name="Normal 11 18 5" xfId="20183"/>
    <cellStyle name="Normal 11 18 6" xfId="14388"/>
    <cellStyle name="Normal 11 18 7" xfId="29027"/>
    <cellStyle name="Normal 11 180" xfId="33966"/>
    <cellStyle name="Normal 11 181" xfId="33989"/>
    <cellStyle name="Normal 11 182" xfId="34010"/>
    <cellStyle name="Normal 11 183" xfId="34028"/>
    <cellStyle name="Normal 11 184" xfId="34045"/>
    <cellStyle name="Normal 11 19" xfId="478"/>
    <cellStyle name="Normal 11 19 2" xfId="2953"/>
    <cellStyle name="Normal 11 19 2 2" xfId="9723"/>
    <cellStyle name="Normal 11 19 2 3" xfId="22413"/>
    <cellStyle name="Normal 11 19 2 4" xfId="7928"/>
    <cellStyle name="Normal 11 19 2 5" xfId="31623"/>
    <cellStyle name="Normal 11 19 3" xfId="5021"/>
    <cellStyle name="Normal 11 19 3 2" xfId="11791"/>
    <cellStyle name="Normal 11 19 3 3" xfId="24481"/>
    <cellStyle name="Normal 11 19 3 4" xfId="15641"/>
    <cellStyle name="Normal 11 19 3 5" xfId="27761"/>
    <cellStyle name="Normal 11 19 4" xfId="7248"/>
    <cellStyle name="Normal 11 19 5" xfId="20203"/>
    <cellStyle name="Normal 11 19 6" xfId="16014"/>
    <cellStyle name="Normal 11 19 7" xfId="31956"/>
    <cellStyle name="Normal 11 2" xfId="87"/>
    <cellStyle name="Normal 11 2 2" xfId="2571"/>
    <cellStyle name="Normal 11 2 2 2" xfId="9341"/>
    <cellStyle name="Normal 11 2 2 3" xfId="22031"/>
    <cellStyle name="Normal 11 2 2 4" xfId="18481"/>
    <cellStyle name="Normal 11 2 2 5" xfId="30988"/>
    <cellStyle name="Normal 11 2 3" xfId="2584"/>
    <cellStyle name="Normal 11 2 3 2" xfId="9354"/>
    <cellStyle name="Normal 11 2 3 3" xfId="22044"/>
    <cellStyle name="Normal 11 2 3 4" xfId="16376"/>
    <cellStyle name="Normal 11 2 3 5" xfId="27998"/>
    <cellStyle name="Normal 11 2 4" xfId="6857"/>
    <cellStyle name="Normal 11 2 5" xfId="14249"/>
    <cellStyle name="Normal 11 2 6" xfId="19325"/>
    <cellStyle name="Normal 11 2 7" xfId="26631"/>
    <cellStyle name="Normal 11 20" xfId="501"/>
    <cellStyle name="Normal 11 20 2" xfId="2976"/>
    <cellStyle name="Normal 11 20 2 2" xfId="9746"/>
    <cellStyle name="Normal 11 20 2 3" xfId="22436"/>
    <cellStyle name="Normal 11 20 2 4" xfId="6853"/>
    <cellStyle name="Normal 11 20 2 5" xfId="27311"/>
    <cellStyle name="Normal 11 20 3" xfId="5041"/>
    <cellStyle name="Normal 11 20 3 2" xfId="11811"/>
    <cellStyle name="Normal 11 20 3 3" xfId="24501"/>
    <cellStyle name="Normal 11 20 3 4" xfId="17875"/>
    <cellStyle name="Normal 11 20 3 5" xfId="29596"/>
    <cellStyle name="Normal 11 20 4" xfId="7271"/>
    <cellStyle name="Normal 11 20 5" xfId="20223"/>
    <cellStyle name="Normal 11 20 6" xfId="18453"/>
    <cellStyle name="Normal 11 20 7" xfId="26335"/>
    <cellStyle name="Normal 11 21" xfId="524"/>
    <cellStyle name="Normal 11 21 2" xfId="2999"/>
    <cellStyle name="Normal 11 21 2 2" xfId="9769"/>
    <cellStyle name="Normal 11 21 2 3" xfId="22459"/>
    <cellStyle name="Normal 11 21 2 4" xfId="9145"/>
    <cellStyle name="Normal 11 21 2 5" xfId="30254"/>
    <cellStyle name="Normal 11 21 3" xfId="5061"/>
    <cellStyle name="Normal 11 21 3 2" xfId="11831"/>
    <cellStyle name="Normal 11 21 3 3" xfId="24521"/>
    <cellStyle name="Normal 11 21 3 4" xfId="19628"/>
    <cellStyle name="Normal 11 21 3 5" xfId="31643"/>
    <cellStyle name="Normal 11 21 4" xfId="7294"/>
    <cellStyle name="Normal 11 21 5" xfId="20243"/>
    <cellStyle name="Normal 11 21 6" xfId="13923"/>
    <cellStyle name="Normal 11 21 7" xfId="29822"/>
    <cellStyle name="Normal 11 22" xfId="547"/>
    <cellStyle name="Normal 11 22 2" xfId="3020"/>
    <cellStyle name="Normal 11 22 2 2" xfId="9790"/>
    <cellStyle name="Normal 11 22 2 3" xfId="22480"/>
    <cellStyle name="Normal 11 22 2 4" xfId="9188"/>
    <cellStyle name="Normal 11 22 2 5" xfId="29330"/>
    <cellStyle name="Normal 11 22 3" xfId="5081"/>
    <cellStyle name="Normal 11 22 3 2" xfId="11851"/>
    <cellStyle name="Normal 11 22 3 3" xfId="24541"/>
    <cellStyle name="Normal 11 22 3 4" xfId="13685"/>
    <cellStyle name="Normal 11 22 3 5" xfId="30607"/>
    <cellStyle name="Normal 11 22 4" xfId="7317"/>
    <cellStyle name="Normal 11 22 5" xfId="20263"/>
    <cellStyle name="Normal 11 22 6" xfId="18259"/>
    <cellStyle name="Normal 11 22 7" xfId="27927"/>
    <cellStyle name="Normal 11 23" xfId="570"/>
    <cellStyle name="Normal 11 23 2" xfId="3043"/>
    <cellStyle name="Normal 11 23 2 2" xfId="9813"/>
    <cellStyle name="Normal 11 23 2 3" xfId="22503"/>
    <cellStyle name="Normal 11 23 2 4" xfId="18097"/>
    <cellStyle name="Normal 11 23 2 5" xfId="32272"/>
    <cellStyle name="Normal 11 23 3" xfId="5101"/>
    <cellStyle name="Normal 11 23 3 2" xfId="11871"/>
    <cellStyle name="Normal 11 23 3 3" xfId="24561"/>
    <cellStyle name="Normal 11 23 3 4" xfId="17455"/>
    <cellStyle name="Normal 11 23 3 5" xfId="27601"/>
    <cellStyle name="Normal 11 23 4" xfId="7340"/>
    <cellStyle name="Normal 11 23 5" xfId="20283"/>
    <cellStyle name="Normal 11 23 6" xfId="16006"/>
    <cellStyle name="Normal 11 23 7" xfId="30447"/>
    <cellStyle name="Normal 11 24" xfId="592"/>
    <cellStyle name="Normal 11 24 2" xfId="3065"/>
    <cellStyle name="Normal 11 24 2 2" xfId="9835"/>
    <cellStyle name="Normal 11 24 2 3" xfId="22525"/>
    <cellStyle name="Normal 11 24 2 4" xfId="15565"/>
    <cellStyle name="Normal 11 24 2 5" xfId="30170"/>
    <cellStyle name="Normal 11 24 3" xfId="5120"/>
    <cellStyle name="Normal 11 24 3 2" xfId="11890"/>
    <cellStyle name="Normal 11 24 3 3" xfId="24580"/>
    <cellStyle name="Normal 11 24 3 4" xfId="15004"/>
    <cellStyle name="Normal 11 24 3 5" xfId="26903"/>
    <cellStyle name="Normal 11 24 4" xfId="7362"/>
    <cellStyle name="Normal 11 24 5" xfId="20302"/>
    <cellStyle name="Normal 11 24 6" xfId="16134"/>
    <cellStyle name="Normal 11 24 7" xfId="31800"/>
    <cellStyle name="Normal 11 25" xfId="614"/>
    <cellStyle name="Normal 11 25 2" xfId="3087"/>
    <cellStyle name="Normal 11 25 2 2" xfId="9857"/>
    <cellStyle name="Normal 11 25 2 3" xfId="22547"/>
    <cellStyle name="Normal 11 25 2 4" xfId="19680"/>
    <cellStyle name="Normal 11 25 2 5" xfId="31291"/>
    <cellStyle name="Normal 11 25 3" xfId="5140"/>
    <cellStyle name="Normal 11 25 3 2" xfId="11910"/>
    <cellStyle name="Normal 11 25 3 3" xfId="24600"/>
    <cellStyle name="Normal 11 25 3 4" xfId="17227"/>
    <cellStyle name="Normal 11 25 3 5" xfId="30386"/>
    <cellStyle name="Normal 11 25 4" xfId="7384"/>
    <cellStyle name="Normal 11 25 5" xfId="20322"/>
    <cellStyle name="Normal 11 25 6" xfId="15806"/>
    <cellStyle name="Normal 11 25 7" xfId="29684"/>
    <cellStyle name="Normal 11 26" xfId="639"/>
    <cellStyle name="Normal 11 26 2" xfId="3112"/>
    <cellStyle name="Normal 11 26 2 2" xfId="9882"/>
    <cellStyle name="Normal 11 26 2 3" xfId="22572"/>
    <cellStyle name="Normal 11 26 2 4" xfId="17655"/>
    <cellStyle name="Normal 11 26 2 5" xfId="28290"/>
    <cellStyle name="Normal 11 26 3" xfId="5161"/>
    <cellStyle name="Normal 11 26 3 2" xfId="11931"/>
    <cellStyle name="Normal 11 26 3 3" xfId="24621"/>
    <cellStyle name="Normal 11 26 3 4" xfId="17097"/>
    <cellStyle name="Normal 11 26 3 5" xfId="28561"/>
    <cellStyle name="Normal 11 26 4" xfId="7409"/>
    <cellStyle name="Normal 11 26 5" xfId="20343"/>
    <cellStyle name="Normal 11 26 6" xfId="19569"/>
    <cellStyle name="Normal 11 26 7" xfId="26613"/>
    <cellStyle name="Normal 11 27" xfId="660"/>
    <cellStyle name="Normal 11 27 2" xfId="3132"/>
    <cellStyle name="Normal 11 27 2 2" xfId="9902"/>
    <cellStyle name="Normal 11 27 2 3" xfId="22592"/>
    <cellStyle name="Normal 11 27 2 4" xfId="19405"/>
    <cellStyle name="Normal 11 27 2 5" xfId="27080"/>
    <cellStyle name="Normal 11 27 3" xfId="5179"/>
    <cellStyle name="Normal 11 27 3 2" xfId="11949"/>
    <cellStyle name="Normal 11 27 3 3" xfId="24639"/>
    <cellStyle name="Normal 11 27 3 4" xfId="16964"/>
    <cellStyle name="Normal 11 27 3 5" xfId="28540"/>
    <cellStyle name="Normal 11 27 4" xfId="7430"/>
    <cellStyle name="Normal 11 27 5" xfId="20361"/>
    <cellStyle name="Normal 11 27 6" xfId="15168"/>
    <cellStyle name="Normal 11 27 7" xfId="30710"/>
    <cellStyle name="Normal 11 28" xfId="683"/>
    <cellStyle name="Normal 11 28 2" xfId="3155"/>
    <cellStyle name="Normal 11 28 2 2" xfId="9925"/>
    <cellStyle name="Normal 11 28 2 3" xfId="22615"/>
    <cellStyle name="Normal 11 28 2 4" xfId="14998"/>
    <cellStyle name="Normal 11 28 2 5" xfId="30044"/>
    <cellStyle name="Normal 11 28 3" xfId="5200"/>
    <cellStyle name="Normal 11 28 3 2" xfId="11970"/>
    <cellStyle name="Normal 11 28 3 3" xfId="24660"/>
    <cellStyle name="Normal 11 28 3 4" xfId="16832"/>
    <cellStyle name="Normal 11 28 3 5" xfId="32379"/>
    <cellStyle name="Normal 11 28 4" xfId="7453"/>
    <cellStyle name="Normal 11 28 5" xfId="20382"/>
    <cellStyle name="Normal 11 28 6" xfId="17380"/>
    <cellStyle name="Normal 11 28 7" xfId="28682"/>
    <cellStyle name="Normal 11 29" xfId="705"/>
    <cellStyle name="Normal 11 29 2" xfId="3177"/>
    <cellStyle name="Normal 11 29 2 2" xfId="9947"/>
    <cellStyle name="Normal 11 29 2 3" xfId="22637"/>
    <cellStyle name="Normal 11 29 2 4" xfId="19155"/>
    <cellStyle name="Normal 11 29 2 5" xfId="31157"/>
    <cellStyle name="Normal 11 29 3" xfId="5219"/>
    <cellStyle name="Normal 11 29 3 2" xfId="11989"/>
    <cellStyle name="Normal 11 29 3 3" xfId="24679"/>
    <cellStyle name="Normal 11 29 3 4" xfId="14349"/>
    <cellStyle name="Normal 11 29 3 5" xfId="29383"/>
    <cellStyle name="Normal 11 29 4" xfId="7475"/>
    <cellStyle name="Normal 11 29 5" xfId="20401"/>
    <cellStyle name="Normal 11 29 6" xfId="17224"/>
    <cellStyle name="Normal 11 29 7" xfId="26496"/>
    <cellStyle name="Normal 11 3" xfId="111"/>
    <cellStyle name="Normal 11 3 2" xfId="2595"/>
    <cellStyle name="Normal 11 3 2 2" xfId="9365"/>
    <cellStyle name="Normal 11 3 2 3" xfId="22055"/>
    <cellStyle name="Normal 11 3 2 4" xfId="18342"/>
    <cellStyle name="Normal 11 3 2 5" xfId="30955"/>
    <cellStyle name="Normal 11 3 3" xfId="4439"/>
    <cellStyle name="Normal 11 3 3 2" xfId="11209"/>
    <cellStyle name="Normal 11 3 3 3" xfId="23899"/>
    <cellStyle name="Normal 11 3 3 4" xfId="15069"/>
    <cellStyle name="Normal 11 3 3 5" xfId="28319"/>
    <cellStyle name="Normal 11 3 4" xfId="6881"/>
    <cellStyle name="Normal 11 3 5" xfId="15485"/>
    <cellStyle name="Normal 11 3 6" xfId="19170"/>
    <cellStyle name="Normal 11 3 7" xfId="26285"/>
    <cellStyle name="Normal 11 30" xfId="728"/>
    <cellStyle name="Normal 11 30 2" xfId="3199"/>
    <cellStyle name="Normal 11 30 2 2" xfId="9969"/>
    <cellStyle name="Normal 11 30 2 3" xfId="22659"/>
    <cellStyle name="Normal 11 30 2 4" xfId="17069"/>
    <cellStyle name="Normal 11 30 2 5" xfId="32055"/>
    <cellStyle name="Normal 11 30 3" xfId="5238"/>
    <cellStyle name="Normal 11 30 3 2" xfId="12008"/>
    <cellStyle name="Normal 11 30 3 3" xfId="24698"/>
    <cellStyle name="Normal 11 30 3 4" xfId="18572"/>
    <cellStyle name="Normal 11 30 3 5" xfId="30534"/>
    <cellStyle name="Normal 11 30 4" xfId="7498"/>
    <cellStyle name="Normal 11 30 5" xfId="20420"/>
    <cellStyle name="Normal 11 30 6" xfId="14693"/>
    <cellStyle name="Normal 11 30 7" xfId="29506"/>
    <cellStyle name="Normal 11 31" xfId="752"/>
    <cellStyle name="Normal 11 31 2" xfId="3223"/>
    <cellStyle name="Normal 11 31 2 2" xfId="9993"/>
    <cellStyle name="Normal 11 31 2 3" xfId="22683"/>
    <cellStyle name="Normal 11 31 2 4" xfId="16914"/>
    <cellStyle name="Normal 11 31 2 5" xfId="32018"/>
    <cellStyle name="Normal 11 31 3" xfId="5260"/>
    <cellStyle name="Normal 11 31 3 2" xfId="12030"/>
    <cellStyle name="Normal 11 31 3 3" xfId="24720"/>
    <cellStyle name="Normal 11 31 3 4" xfId="16498"/>
    <cellStyle name="Normal 11 31 3 5" xfId="30936"/>
    <cellStyle name="Normal 11 31 4" xfId="7522"/>
    <cellStyle name="Normal 11 31 5" xfId="20442"/>
    <cellStyle name="Normal 11 31 6" xfId="18780"/>
    <cellStyle name="Normal 11 31 7" xfId="26958"/>
    <cellStyle name="Normal 11 32" xfId="776"/>
    <cellStyle name="Normal 11 32 2" xfId="3246"/>
    <cellStyle name="Normal 11 32 2 2" xfId="10016"/>
    <cellStyle name="Normal 11 32 2 3" xfId="22706"/>
    <cellStyle name="Normal 11 32 2 4" xfId="18745"/>
    <cellStyle name="Normal 11 32 2 5" xfId="26901"/>
    <cellStyle name="Normal 11 32 3" xfId="5280"/>
    <cellStyle name="Normal 11 32 3 2" xfId="12050"/>
    <cellStyle name="Normal 11 32 3 3" xfId="24740"/>
    <cellStyle name="Normal 11 32 3 4" xfId="16736"/>
    <cellStyle name="Normal 11 32 3 5" xfId="30459"/>
    <cellStyle name="Normal 11 32 4" xfId="7546"/>
    <cellStyle name="Normal 11 32 5" xfId="20462"/>
    <cellStyle name="Normal 11 32 6" xfId="6815"/>
    <cellStyle name="Normal 11 32 7" xfId="30367"/>
    <cellStyle name="Normal 11 33" xfId="799"/>
    <cellStyle name="Normal 11 33 2" xfId="3267"/>
    <cellStyle name="Normal 11 33 2 2" xfId="10037"/>
    <cellStyle name="Normal 11 33 2 3" xfId="22727"/>
    <cellStyle name="Normal 11 33 2 4" xfId="18606"/>
    <cellStyle name="Normal 11 33 2 5" xfId="31008"/>
    <cellStyle name="Normal 11 33 3" xfId="5300"/>
    <cellStyle name="Normal 11 33 3 2" xfId="12070"/>
    <cellStyle name="Normal 11 33 3 3" xfId="24760"/>
    <cellStyle name="Normal 11 33 3 4" xfId="13826"/>
    <cellStyle name="Normal 11 33 3 5" xfId="19639"/>
    <cellStyle name="Normal 11 33 4" xfId="7569"/>
    <cellStyle name="Normal 11 33 5" xfId="20482"/>
    <cellStyle name="Normal 11 33 6" xfId="18513"/>
    <cellStyle name="Normal 11 33 7" xfId="28537"/>
    <cellStyle name="Normal 11 34" xfId="822"/>
    <cellStyle name="Normal 11 34 2" xfId="3290"/>
    <cellStyle name="Normal 11 34 2 2" xfId="10060"/>
    <cellStyle name="Normal 11 34 2 3" xfId="22750"/>
    <cellStyle name="Normal 11 34 2 4" xfId="14096"/>
    <cellStyle name="Normal 11 34 2 5" xfId="28959"/>
    <cellStyle name="Normal 11 34 3" xfId="5320"/>
    <cellStyle name="Normal 11 34 3 2" xfId="12090"/>
    <cellStyle name="Normal 11 34 3 3" xfId="24780"/>
    <cellStyle name="Normal 11 34 3 4" xfId="18223"/>
    <cellStyle name="Normal 11 34 3 5" xfId="17302"/>
    <cellStyle name="Normal 11 34 4" xfId="7592"/>
    <cellStyle name="Normal 11 34 5" xfId="20502"/>
    <cellStyle name="Normal 11 34 6" xfId="15564"/>
    <cellStyle name="Normal 11 34 7" xfId="30512"/>
    <cellStyle name="Normal 11 35" xfId="845"/>
    <cellStyle name="Normal 11 35 2" xfId="3311"/>
    <cellStyle name="Normal 11 35 2 2" xfId="10081"/>
    <cellStyle name="Normal 11 35 2 3" xfId="22771"/>
    <cellStyle name="Normal 11 35 2 4" xfId="13965"/>
    <cellStyle name="Normal 11 35 2 5" xfId="29826"/>
    <cellStyle name="Normal 11 35 3" xfId="5340"/>
    <cellStyle name="Normal 11 35 3 2" xfId="12110"/>
    <cellStyle name="Normal 11 35 3 3" xfId="24800"/>
    <cellStyle name="Normal 11 35 3 4" xfId="17628"/>
    <cellStyle name="Normal 11 35 3 5" xfId="16109"/>
    <cellStyle name="Normal 11 35 4" xfId="7615"/>
    <cellStyle name="Normal 11 35 5" xfId="20522"/>
    <cellStyle name="Normal 11 35 6" xfId="17806"/>
    <cellStyle name="Normal 11 35 7" xfId="28591"/>
    <cellStyle name="Normal 11 36" xfId="868"/>
    <cellStyle name="Normal 11 36 2" xfId="3333"/>
    <cellStyle name="Normal 11 36 2 2" xfId="10103"/>
    <cellStyle name="Normal 11 36 2 3" xfId="22793"/>
    <cellStyle name="Normal 11 36 2 4" xfId="16174"/>
    <cellStyle name="Normal 11 36 2 5" xfId="30898"/>
    <cellStyle name="Normal 11 36 3" xfId="5360"/>
    <cellStyle name="Normal 11 36 3 2" xfId="12130"/>
    <cellStyle name="Normal 11 36 3 3" xfId="24820"/>
    <cellStyle name="Normal 11 36 3 4" xfId="17936"/>
    <cellStyle name="Normal 11 36 3 5" xfId="17172"/>
    <cellStyle name="Normal 11 36 4" xfId="7638"/>
    <cellStyle name="Normal 11 36 5" xfId="20542"/>
    <cellStyle name="Normal 11 36 6" xfId="19525"/>
    <cellStyle name="Normal 11 36 7" xfId="31116"/>
    <cellStyle name="Normal 11 37" xfId="891"/>
    <cellStyle name="Normal 11 37 2" xfId="3355"/>
    <cellStyle name="Normal 11 37 2 2" xfId="10125"/>
    <cellStyle name="Normal 11 37 2 3" xfId="22815"/>
    <cellStyle name="Normal 11 37 2 4" xfId="18160"/>
    <cellStyle name="Normal 11 37 2 5" xfId="31835"/>
    <cellStyle name="Normal 11 37 3" xfId="5380"/>
    <cellStyle name="Normal 11 37 3 2" xfId="12150"/>
    <cellStyle name="Normal 11 37 3 3" xfId="24840"/>
    <cellStyle name="Normal 11 37 3 4" xfId="19683"/>
    <cellStyle name="Normal 11 37 3 5" xfId="16366"/>
    <cellStyle name="Normal 11 37 4" xfId="7661"/>
    <cellStyle name="Normal 11 37 5" xfId="20562"/>
    <cellStyle name="Normal 11 37 6" xfId="15118"/>
    <cellStyle name="Normal 11 37 7" xfId="27388"/>
    <cellStyle name="Normal 11 38" xfId="914"/>
    <cellStyle name="Normal 11 38 2" xfId="3378"/>
    <cellStyle name="Normal 11 38 2 2" xfId="10148"/>
    <cellStyle name="Normal 11 38 2 3" xfId="22838"/>
    <cellStyle name="Normal 11 38 2 4" xfId="19850"/>
    <cellStyle name="Normal 11 38 2 5" xfId="26696"/>
    <cellStyle name="Normal 11 38 3" xfId="5400"/>
    <cellStyle name="Normal 11 38 3 2" xfId="12170"/>
    <cellStyle name="Normal 11 38 3 3" xfId="24860"/>
    <cellStyle name="Normal 11 38 3 4" xfId="15299"/>
    <cellStyle name="Normal 11 38 3 5" xfId="14130"/>
    <cellStyle name="Normal 11 38 4" xfId="7684"/>
    <cellStyle name="Normal 11 38 5" xfId="20582"/>
    <cellStyle name="Normal 11 38 6" xfId="17354"/>
    <cellStyle name="Normal 11 38 7" xfId="30327"/>
    <cellStyle name="Normal 11 39" xfId="937"/>
    <cellStyle name="Normal 11 39 2" xfId="3401"/>
    <cellStyle name="Normal 11 39 2 2" xfId="10171"/>
    <cellStyle name="Normal 11 39 2 3" xfId="22861"/>
    <cellStyle name="Normal 11 39 2 4" xfId="15492"/>
    <cellStyle name="Normal 11 39 2 5" xfId="29688"/>
    <cellStyle name="Normal 11 39 3" xfId="5420"/>
    <cellStyle name="Normal 11 39 3 2" xfId="12190"/>
    <cellStyle name="Normal 11 39 3 3" xfId="24880"/>
    <cellStyle name="Normal 11 39 3 4" xfId="17551"/>
    <cellStyle name="Normal 11 39 3 5" xfId="14508"/>
    <cellStyle name="Normal 11 39 4" xfId="7707"/>
    <cellStyle name="Normal 11 39 5" xfId="20602"/>
    <cellStyle name="Normal 11 39 6" xfId="17530"/>
    <cellStyle name="Normal 11 39 7" xfId="28491"/>
    <cellStyle name="Normal 11 4" xfId="134"/>
    <cellStyle name="Normal 11 4 2" xfId="2618"/>
    <cellStyle name="Normal 11 4 2 2" xfId="9388"/>
    <cellStyle name="Normal 11 4 2 3" xfId="22078"/>
    <cellStyle name="Normal 11 4 2 4" xfId="17414"/>
    <cellStyle name="Normal 11 4 2 5" xfId="28911"/>
    <cellStyle name="Normal 11 4 3" xfId="3978"/>
    <cellStyle name="Normal 11 4 3 2" xfId="10748"/>
    <cellStyle name="Normal 11 4 3 3" xfId="23438"/>
    <cellStyle name="Normal 11 4 3 4" xfId="17566"/>
    <cellStyle name="Normal 11 4 3 5" xfId="30205"/>
    <cellStyle name="Normal 11 4 4" xfId="6904"/>
    <cellStyle name="Normal 11 4 5" xfId="15044"/>
    <cellStyle name="Normal 11 4 6" xfId="14729"/>
    <cellStyle name="Normal 11 4 7" xfId="29595"/>
    <cellStyle name="Normal 11 40" xfId="958"/>
    <cellStyle name="Normal 11 40 2" xfId="3422"/>
    <cellStyle name="Normal 11 40 2 2" xfId="10192"/>
    <cellStyle name="Normal 11 40 2 3" xfId="22882"/>
    <cellStyle name="Normal 11 40 2 4" xfId="15346"/>
    <cellStyle name="Normal 11 40 2 5" xfId="28758"/>
    <cellStyle name="Normal 11 40 3" xfId="5438"/>
    <cellStyle name="Normal 11 40 3 2" xfId="12208"/>
    <cellStyle name="Normal 11 40 3 3" xfId="24898"/>
    <cellStyle name="Normal 11 40 3 4" xfId="17424"/>
    <cellStyle name="Normal 11 40 3 5" xfId="17740"/>
    <cellStyle name="Normal 11 40 4" xfId="7728"/>
    <cellStyle name="Normal 11 40 5" xfId="20620"/>
    <cellStyle name="Normal 11 40 6" xfId="18990"/>
    <cellStyle name="Normal 11 40 7" xfId="32200"/>
    <cellStyle name="Normal 11 41" xfId="981"/>
    <cellStyle name="Normal 11 41 2" xfId="3445"/>
    <cellStyle name="Normal 11 41 2 2" xfId="10215"/>
    <cellStyle name="Normal 11 41 2 3" xfId="22905"/>
    <cellStyle name="Normal 11 41 2 4" xfId="17579"/>
    <cellStyle name="Normal 11 41 2 5" xfId="31700"/>
    <cellStyle name="Normal 11 41 3" xfId="5459"/>
    <cellStyle name="Normal 11 41 3 2" xfId="12229"/>
    <cellStyle name="Normal 11 41 3 3" xfId="24919"/>
    <cellStyle name="Normal 11 41 3 4" xfId="17293"/>
    <cellStyle name="Normal 11 41 3 5" xfId="15043"/>
    <cellStyle name="Normal 11 41 4" xfId="7751"/>
    <cellStyle name="Normal 11 41 5" xfId="20641"/>
    <cellStyle name="Normal 11 41 6" xfId="14537"/>
    <cellStyle name="Normal 11 41 7" xfId="27098"/>
    <cellStyle name="Normal 11 42" xfId="1005"/>
    <cellStyle name="Normal 11 42 2" xfId="3469"/>
    <cellStyle name="Normal 11 42 2 2" xfId="10239"/>
    <cellStyle name="Normal 11 42 2 3" xfId="22929"/>
    <cellStyle name="Normal 11 42 2 4" xfId="17430"/>
    <cellStyle name="Normal 11 42 2 5" xfId="31663"/>
    <cellStyle name="Normal 11 42 3" xfId="5479"/>
    <cellStyle name="Normal 11 42 3 2" xfId="12249"/>
    <cellStyle name="Normal 11 42 3 3" xfId="24939"/>
    <cellStyle name="Normal 11 42 3 4" xfId="19099"/>
    <cellStyle name="Normal 11 42 3 5" xfId="17167"/>
    <cellStyle name="Normal 11 42 4" xfId="7775"/>
    <cellStyle name="Normal 11 42 5" xfId="20661"/>
    <cellStyle name="Normal 11 42 6" xfId="14385"/>
    <cellStyle name="Normal 11 42 7" xfId="30060"/>
    <cellStyle name="Normal 11 43" xfId="1027"/>
    <cellStyle name="Normal 11 43 2" xfId="3491"/>
    <cellStyle name="Normal 11 43 2 2" xfId="10261"/>
    <cellStyle name="Normal 11 43 2 3" xfId="22951"/>
    <cellStyle name="Normal 11 43 2 4" xfId="14900"/>
    <cellStyle name="Normal 11 43 2 5" xfId="26561"/>
    <cellStyle name="Normal 11 43 3" xfId="5498"/>
    <cellStyle name="Normal 11 43 3 2" xfId="12268"/>
    <cellStyle name="Normal 11 43 3 3" xfId="24958"/>
    <cellStyle name="Normal 11 43 3 4" xfId="16789"/>
    <cellStyle name="Normal 11 43 3 5" xfId="17892"/>
    <cellStyle name="Normal 11 43 4" xfId="7797"/>
    <cellStyle name="Normal 11 43 5" xfId="20680"/>
    <cellStyle name="Normal 11 43 6" xfId="18585"/>
    <cellStyle name="Normal 11 43 7" xfId="31164"/>
    <cellStyle name="Normal 11 44" xfId="1049"/>
    <cellStyle name="Normal 11 44 2" xfId="3511"/>
    <cellStyle name="Normal 11 44 2 2" xfId="10281"/>
    <cellStyle name="Normal 11 44 2 3" xfId="22971"/>
    <cellStyle name="Normal 11 44 2 4" xfId="17145"/>
    <cellStyle name="Normal 11 44 2 5" xfId="31598"/>
    <cellStyle name="Normal 11 44 3" xfId="5517"/>
    <cellStyle name="Normal 11 44 3 2" xfId="12287"/>
    <cellStyle name="Normal 11 44 3 3" xfId="24977"/>
    <cellStyle name="Normal 11 44 3 4" xfId="14542"/>
    <cellStyle name="Normal 11 44 3 5" xfId="26678"/>
    <cellStyle name="Normal 11 44 4" xfId="7819"/>
    <cellStyle name="Normal 11 44 5" xfId="20699"/>
    <cellStyle name="Normal 11 44 6" xfId="18450"/>
    <cellStyle name="Normal 11 44 7" xfId="32061"/>
    <cellStyle name="Normal 11 45" xfId="1072"/>
    <cellStyle name="Normal 11 45 2" xfId="3534"/>
    <cellStyle name="Normal 11 45 2 2" xfId="10304"/>
    <cellStyle name="Normal 11 45 2 3" xfId="22994"/>
    <cellStyle name="Normal 11 45 2 4" xfId="18948"/>
    <cellStyle name="Normal 11 45 2 5" xfId="26416"/>
    <cellStyle name="Normal 11 45 3" xfId="5537"/>
    <cellStyle name="Normal 11 45 3 2" xfId="12307"/>
    <cellStyle name="Normal 11 45 3 3" xfId="24997"/>
    <cellStyle name="Normal 11 45 3 4" xfId="16765"/>
    <cellStyle name="Normal 11 45 3 5" xfId="32373"/>
    <cellStyle name="Normal 11 45 4" xfId="7842"/>
    <cellStyle name="Normal 11 45 5" xfId="20719"/>
    <cellStyle name="Normal 11 45 6" xfId="15612"/>
    <cellStyle name="Normal 11 45 7" xfId="29959"/>
    <cellStyle name="Normal 11 46" xfId="1095"/>
    <cellStyle name="Normal 11 46 2" xfId="3556"/>
    <cellStyle name="Normal 11 46 2 2" xfId="10326"/>
    <cellStyle name="Normal 11 46 2 3" xfId="23016"/>
    <cellStyle name="Normal 11 46 2 4" xfId="16838"/>
    <cellStyle name="Normal 11 46 2 5" xfId="27428"/>
    <cellStyle name="Normal 11 46 3" xfId="5557"/>
    <cellStyle name="Normal 11 46 3 2" xfId="12327"/>
    <cellStyle name="Normal 11 46 3 3" xfId="25017"/>
    <cellStyle name="Normal 11 46 3 4" xfId="18630"/>
    <cellStyle name="Normal 11 46 3 5" xfId="31439"/>
    <cellStyle name="Normal 11 46 4" xfId="7865"/>
    <cellStyle name="Normal 11 46 5" xfId="20739"/>
    <cellStyle name="Normal 11 46 6" xfId="17847"/>
    <cellStyle name="Normal 11 46 7" xfId="28083"/>
    <cellStyle name="Normal 11 47" xfId="1117"/>
    <cellStyle name="Normal 11 47 2" xfId="3578"/>
    <cellStyle name="Normal 11 47 2 2" xfId="10348"/>
    <cellStyle name="Normal 11 47 2 3" xfId="23038"/>
    <cellStyle name="Normal 11 47 2 4" xfId="14333"/>
    <cellStyle name="Normal 11 47 2 5" xfId="29455"/>
    <cellStyle name="Normal 11 47 3" xfId="5576"/>
    <cellStyle name="Normal 11 47 3 2" xfId="12346"/>
    <cellStyle name="Normal 11 47 3 3" xfId="25036"/>
    <cellStyle name="Normal 11 47 3 4" xfId="16186"/>
    <cellStyle name="Normal 11 47 3 5" xfId="28434"/>
    <cellStyle name="Normal 11 47 4" xfId="7887"/>
    <cellStyle name="Normal 11 47 5" xfId="20758"/>
    <cellStyle name="Normal 11 47 6" xfId="15333"/>
    <cellStyle name="Normal 11 47 7" xfId="28992"/>
    <cellStyle name="Normal 11 48" xfId="1140"/>
    <cellStyle name="Normal 11 48 2" xfId="3600"/>
    <cellStyle name="Normal 11 48 2 2" xfId="10370"/>
    <cellStyle name="Normal 11 48 2 3" xfId="23060"/>
    <cellStyle name="Normal 11 48 2 4" xfId="18558"/>
    <cellStyle name="Normal 11 48 2 5" xfId="27341"/>
    <cellStyle name="Normal 11 48 3" xfId="5596"/>
    <cellStyle name="Normal 11 48 3 2" xfId="12366"/>
    <cellStyle name="Normal 11 48 3 3" xfId="25056"/>
    <cellStyle name="Normal 11 48 3 4" xfId="18395"/>
    <cellStyle name="Normal 11 48 3 5" xfId="26378"/>
    <cellStyle name="Normal 11 48 4" xfId="7910"/>
    <cellStyle name="Normal 11 48 5" xfId="20778"/>
    <cellStyle name="Normal 11 48 6" xfId="17565"/>
    <cellStyle name="Normal 11 48 7" xfId="26615"/>
    <cellStyle name="Normal 11 49" xfId="1162"/>
    <cellStyle name="Normal 11 49 2" xfId="3622"/>
    <cellStyle name="Normal 11 49 2 2" xfId="10392"/>
    <cellStyle name="Normal 11 49 2 3" xfId="23082"/>
    <cellStyle name="Normal 11 49 2 4" xfId="16398"/>
    <cellStyle name="Normal 11 49 2 5" xfId="27614"/>
    <cellStyle name="Normal 11 49 3" xfId="5615"/>
    <cellStyle name="Normal 11 49 3 2" xfId="12385"/>
    <cellStyle name="Normal 11 49 3 3" xfId="25075"/>
    <cellStyle name="Normal 11 49 3 4" xfId="16256"/>
    <cellStyle name="Normal 11 49 3 5" xfId="32268"/>
    <cellStyle name="Normal 11 49 4" xfId="7932"/>
    <cellStyle name="Normal 11 49 5" xfId="20797"/>
    <cellStyle name="Normal 11 49 6" xfId="13676"/>
    <cellStyle name="Normal 11 49 7" xfId="30917"/>
    <cellStyle name="Normal 11 5" xfId="157"/>
    <cellStyle name="Normal 11 5 2" xfId="2641"/>
    <cellStyle name="Normal 11 5 2 2" xfId="9411"/>
    <cellStyle name="Normal 11 5 2 3" xfId="22101"/>
    <cellStyle name="Normal 11 5 2 4" xfId="18129"/>
    <cellStyle name="Normal 11 5 2 5" xfId="31844"/>
    <cellStyle name="Normal 11 5 3" xfId="3507"/>
    <cellStyle name="Normal 11 5 3 2" xfId="10277"/>
    <cellStyle name="Normal 11 5 3 3" xfId="22967"/>
    <cellStyle name="Normal 11 5 3 4" xfId="19105"/>
    <cellStyle name="Normal 11 5 3 5" xfId="30603"/>
    <cellStyle name="Normal 11 5 4" xfId="6927"/>
    <cellStyle name="Normal 11 5 5" xfId="14585"/>
    <cellStyle name="Normal 11 5 6" xfId="16953"/>
    <cellStyle name="Normal 11 5 7" xfId="27676"/>
    <cellStyle name="Normal 11 50" xfId="1183"/>
    <cellStyle name="Normal 11 50 2" xfId="3643"/>
    <cellStyle name="Normal 11 50 2 2" xfId="10413"/>
    <cellStyle name="Normal 11 50 2 3" xfId="23103"/>
    <cellStyle name="Normal 11 50 2 4" xfId="16262"/>
    <cellStyle name="Normal 11 50 2 5" xfId="30591"/>
    <cellStyle name="Normal 11 50 3" xfId="5634"/>
    <cellStyle name="Normal 11 50 3 2" xfId="12404"/>
    <cellStyle name="Normal 11 50 3 3" xfId="25094"/>
    <cellStyle name="Normal 11 50 3 4" xfId="16010"/>
    <cellStyle name="Normal 11 50 3 5" xfId="29278"/>
    <cellStyle name="Normal 11 50 4" xfId="7953"/>
    <cellStyle name="Normal 11 50 5" xfId="20816"/>
    <cellStyle name="Normal 11 50 6" xfId="14909"/>
    <cellStyle name="Normal 11 50 7" xfId="27880"/>
    <cellStyle name="Normal 11 51" xfId="1208"/>
    <cellStyle name="Normal 11 51 2" xfId="3668"/>
    <cellStyle name="Normal 11 51 2 2" xfId="10438"/>
    <cellStyle name="Normal 11 51 2 3" xfId="23128"/>
    <cellStyle name="Normal 11 51 2 4" xfId="15843"/>
    <cellStyle name="Normal 11 51 2 5" xfId="27431"/>
    <cellStyle name="Normal 11 51 3" xfId="5655"/>
    <cellStyle name="Normal 11 51 3 2" xfId="12425"/>
    <cellStyle name="Normal 11 51 3 3" xfId="25115"/>
    <cellStyle name="Normal 11 51 3 4" xfId="15734"/>
    <cellStyle name="Normal 11 51 3 5" xfId="30141"/>
    <cellStyle name="Normal 11 51 4" xfId="7978"/>
    <cellStyle name="Normal 11 51 5" xfId="20837"/>
    <cellStyle name="Normal 11 51 6" xfId="19055"/>
    <cellStyle name="Normal 11 51 7" xfId="29717"/>
    <cellStyle name="Normal 11 52" xfId="1231"/>
    <cellStyle name="Normal 11 52 2" xfId="3691"/>
    <cellStyle name="Normal 11 52 2 2" xfId="10461"/>
    <cellStyle name="Normal 11 52 2 3" xfId="23151"/>
    <cellStyle name="Normal 11 52 2 4" xfId="18084"/>
    <cellStyle name="Normal 11 52 2 5" xfId="32422"/>
    <cellStyle name="Normal 11 52 3" xfId="5675"/>
    <cellStyle name="Normal 11 52 3 2" xfId="12445"/>
    <cellStyle name="Normal 11 52 3 3" xfId="25135"/>
    <cellStyle name="Normal 11 52 3 4" xfId="15937"/>
    <cellStyle name="Normal 11 52 3 5" xfId="32188"/>
    <cellStyle name="Normal 11 52 4" xfId="8001"/>
    <cellStyle name="Normal 11 52 5" xfId="20857"/>
    <cellStyle name="Normal 11 52 6" xfId="14601"/>
    <cellStyle name="Normal 11 52 7" xfId="28785"/>
    <cellStyle name="Normal 11 53" xfId="1254"/>
    <cellStyle name="Normal 11 53 2" xfId="3713"/>
    <cellStyle name="Normal 11 53 2 2" xfId="10483"/>
    <cellStyle name="Normal 11 53 2 3" xfId="23173"/>
    <cellStyle name="Normal 11 53 2 4" xfId="15554"/>
    <cellStyle name="Normal 11 53 2 5" xfId="30320"/>
    <cellStyle name="Normal 11 53 3" xfId="5695"/>
    <cellStyle name="Normal 11 53 3 2" xfId="12465"/>
    <cellStyle name="Normal 11 53 3 3" xfId="25155"/>
    <cellStyle name="Normal 11 53 3 4" xfId="15515"/>
    <cellStyle name="Normal 11 53 3 5" xfId="31236"/>
    <cellStyle name="Normal 11 53 4" xfId="8024"/>
    <cellStyle name="Normal 11 53 5" xfId="20877"/>
    <cellStyle name="Normal 11 53 6" xfId="16803"/>
    <cellStyle name="Normal 11 53 7" xfId="31719"/>
    <cellStyle name="Normal 11 54" xfId="1277"/>
    <cellStyle name="Normal 11 54 2" xfId="3736"/>
    <cellStyle name="Normal 11 54 2 2" xfId="10506"/>
    <cellStyle name="Normal 11 54 2 3" xfId="23196"/>
    <cellStyle name="Normal 11 54 2 4" xfId="17795"/>
    <cellStyle name="Normal 11 54 2 5" xfId="28482"/>
    <cellStyle name="Normal 11 54 3" xfId="5715"/>
    <cellStyle name="Normal 11 54 3 2" xfId="12485"/>
    <cellStyle name="Normal 11 54 3 3" xfId="25175"/>
    <cellStyle name="Normal 11 54 3 4" xfId="17777"/>
    <cellStyle name="Normal 11 54 3 5" xfId="30058"/>
    <cellStyle name="Normal 11 54 4" xfId="8047"/>
    <cellStyle name="Normal 11 54 5" xfId="20897"/>
    <cellStyle name="Normal 11 54 6" xfId="18644"/>
    <cellStyle name="Normal 11 54 7" xfId="26400"/>
    <cellStyle name="Normal 11 55" xfId="1300"/>
    <cellStyle name="Normal 11 55 2" xfId="3758"/>
    <cellStyle name="Normal 11 55 2 2" xfId="10528"/>
    <cellStyle name="Normal 11 55 2 3" xfId="23218"/>
    <cellStyle name="Normal 11 55 2 4" xfId="15282"/>
    <cellStyle name="Normal 11 55 2 5" xfId="28605"/>
    <cellStyle name="Normal 11 55 3" xfId="5735"/>
    <cellStyle name="Normal 11 55 3 2" xfId="12505"/>
    <cellStyle name="Normal 11 55 3 3" xfId="25195"/>
    <cellStyle name="Normal 11 55 3 4" xfId="19518"/>
    <cellStyle name="Normal 11 55 3 5" xfId="32105"/>
    <cellStyle name="Normal 11 55 4" xfId="8070"/>
    <cellStyle name="Normal 11 55 5" xfId="20917"/>
    <cellStyle name="Normal 11 55 6" xfId="15682"/>
    <cellStyle name="Normal 11 55 7" xfId="30258"/>
    <cellStyle name="Normal 11 56" xfId="1323"/>
    <cellStyle name="Normal 11 56 2" xfId="3781"/>
    <cellStyle name="Normal 11 56 2 2" xfId="10551"/>
    <cellStyle name="Normal 11 56 2 3" xfId="23241"/>
    <cellStyle name="Normal 11 56 2 4" xfId="17492"/>
    <cellStyle name="Normal 11 56 2 5" xfId="30998"/>
    <cellStyle name="Normal 11 56 3" xfId="5755"/>
    <cellStyle name="Normal 11 56 3 2" xfId="12525"/>
    <cellStyle name="Normal 11 56 3 3" xfId="25215"/>
    <cellStyle name="Normal 11 56 3 4" xfId="15125"/>
    <cellStyle name="Normal 11 56 3 5" xfId="31141"/>
    <cellStyle name="Normal 11 56 4" xfId="8093"/>
    <cellStyle name="Normal 11 56 5" xfId="20937"/>
    <cellStyle name="Normal 11 56 6" xfId="17905"/>
    <cellStyle name="Normal 11 56 7" xfId="28416"/>
    <cellStyle name="Normal 11 57" xfId="1346"/>
    <cellStyle name="Normal 11 57 2" xfId="3803"/>
    <cellStyle name="Normal 11 57 2 2" xfId="10573"/>
    <cellStyle name="Normal 11 57 2 3" xfId="23263"/>
    <cellStyle name="Normal 11 57 2 4" xfId="14986"/>
    <cellStyle name="Normal 11 57 2 5" xfId="30374"/>
    <cellStyle name="Normal 11 57 3" xfId="5775"/>
    <cellStyle name="Normal 11 57 3 2" xfId="12545"/>
    <cellStyle name="Normal 11 57 3 3" xfId="25235"/>
    <cellStyle name="Normal 11 57 3 4" xfId="16003"/>
    <cellStyle name="Normal 11 57 3 5" xfId="29977"/>
    <cellStyle name="Normal 11 57 4" xfId="8116"/>
    <cellStyle name="Normal 11 57 5" xfId="20957"/>
    <cellStyle name="Normal 11 57 6" xfId="19637"/>
    <cellStyle name="Normal 11 57 7" xfId="31353"/>
    <cellStyle name="Normal 11 58" xfId="1369"/>
    <cellStyle name="Normal 11 58 2" xfId="3825"/>
    <cellStyle name="Normal 11 58 2 2" xfId="10595"/>
    <cellStyle name="Normal 11 58 2 3" xfId="23285"/>
    <cellStyle name="Normal 11 58 2 4" xfId="19144"/>
    <cellStyle name="Normal 11 58 2 5" xfId="31531"/>
    <cellStyle name="Normal 11 58 3" xfId="5795"/>
    <cellStyle name="Normal 11 58 3 2" xfId="12565"/>
    <cellStyle name="Normal 11 58 3 3" xfId="25255"/>
    <cellStyle name="Normal 11 58 3 4" xfId="19167"/>
    <cellStyle name="Normal 11 58 3 5" xfId="31543"/>
    <cellStyle name="Normal 11 58 4" xfId="8139"/>
    <cellStyle name="Normal 11 58 5" xfId="20977"/>
    <cellStyle name="Normal 11 58 6" xfId="15243"/>
    <cellStyle name="Normal 11 58 7" xfId="29277"/>
    <cellStyle name="Normal 11 59" xfId="1392"/>
    <cellStyle name="Normal 11 59 2" xfId="3848"/>
    <cellStyle name="Normal 11 59 2 2" xfId="10618"/>
    <cellStyle name="Normal 11 59 2 3" xfId="23308"/>
    <cellStyle name="Normal 11 59 2 4" xfId="14676"/>
    <cellStyle name="Normal 11 59 2 5" xfId="29424"/>
    <cellStyle name="Normal 11 59 3" xfId="5815"/>
    <cellStyle name="Normal 11 59 3 2" xfId="12585"/>
    <cellStyle name="Normal 11 59 3 3" xfId="25275"/>
    <cellStyle name="Normal 11 59 3 4" xfId="14748"/>
    <cellStyle name="Normal 11 59 3 5" xfId="31046"/>
    <cellStyle name="Normal 11 59 4" xfId="8162"/>
    <cellStyle name="Normal 11 59 5" xfId="20997"/>
    <cellStyle name="Normal 11 59 6" xfId="16090"/>
    <cellStyle name="Normal 11 59 7" xfId="32207"/>
    <cellStyle name="Normal 11 6" xfId="180"/>
    <cellStyle name="Normal 11 6 2" xfId="2662"/>
    <cellStyle name="Normal 11 6 2 2" xfId="9432"/>
    <cellStyle name="Normal 11 6 2 3" xfId="22122"/>
    <cellStyle name="Normal 11 6 2 4" xfId="16649"/>
    <cellStyle name="Normal 11 6 2 5" xfId="27879"/>
    <cellStyle name="Normal 11 6 3" xfId="3039"/>
    <cellStyle name="Normal 11 6 3 2" xfId="9809"/>
    <cellStyle name="Normal 11 6 3 3" xfId="22499"/>
    <cellStyle name="Normal 11 6 3 4" xfId="16054"/>
    <cellStyle name="Normal 11 6 3 5" xfId="31366"/>
    <cellStyle name="Normal 11 6 4" xfId="6950"/>
    <cellStyle name="Normal 11 6 5" xfId="13828"/>
    <cellStyle name="Normal 11 6 6" xfId="18760"/>
    <cellStyle name="Normal 11 6 7" xfId="31473"/>
    <cellStyle name="Normal 11 60" xfId="1415"/>
    <cellStyle name="Normal 11 60 2" xfId="3870"/>
    <cellStyle name="Normal 11 60 2 2" xfId="10640"/>
    <cellStyle name="Normal 11 60 2 3" xfId="23330"/>
    <cellStyle name="Normal 11 60 2 4" xfId="18869"/>
    <cellStyle name="Normal 11 60 2 5" xfId="27306"/>
    <cellStyle name="Normal 11 60 3" xfId="5835"/>
    <cellStyle name="Normal 11 60 3 2" xfId="12605"/>
    <cellStyle name="Normal 11 60 3 3" xfId="25295"/>
    <cellStyle name="Normal 11 60 3 4" xfId="16996"/>
    <cellStyle name="Normal 11 60 3 5" xfId="29890"/>
    <cellStyle name="Normal 11 60 4" xfId="8185"/>
    <cellStyle name="Normal 11 60 5" xfId="21017"/>
    <cellStyle name="Normal 11 60 6" xfId="19225"/>
    <cellStyle name="Normal 11 60 7" xfId="26333"/>
    <cellStyle name="Normal 11 61" xfId="1438"/>
    <cellStyle name="Normal 11 61 2" xfId="3892"/>
    <cellStyle name="Normal 11 61 2 2" xfId="10662"/>
    <cellStyle name="Normal 11 61 2 3" xfId="23352"/>
    <cellStyle name="Normal 11 61 2 4" xfId="16770"/>
    <cellStyle name="Normal 11 61 2 5" xfId="27682"/>
    <cellStyle name="Normal 11 61 3" xfId="5855"/>
    <cellStyle name="Normal 11 61 3 2" xfId="12625"/>
    <cellStyle name="Normal 11 61 3 3" xfId="25315"/>
    <cellStyle name="Normal 11 61 3 4" xfId="18815"/>
    <cellStyle name="Normal 11 61 3 5" xfId="31929"/>
    <cellStyle name="Normal 11 61 4" xfId="8208"/>
    <cellStyle name="Normal 11 61 5" xfId="21037"/>
    <cellStyle name="Normal 11 61 6" xfId="14794"/>
    <cellStyle name="Normal 11 61 7" xfId="30076"/>
    <cellStyle name="Normal 11 62" xfId="1461"/>
    <cellStyle name="Normal 11 62 2" xfId="3915"/>
    <cellStyle name="Normal 11 62 2 2" xfId="10685"/>
    <cellStyle name="Normal 11 62 2 3" xfId="23375"/>
    <cellStyle name="Normal 11 62 2 4" xfId="18594"/>
    <cellStyle name="Normal 11 62 2 5" xfId="30599"/>
    <cellStyle name="Normal 11 62 3" xfId="5875"/>
    <cellStyle name="Normal 11 62 3 2" xfId="12645"/>
    <cellStyle name="Normal 11 62 3 3" xfId="25335"/>
    <cellStyle name="Normal 11 62 3 4" xfId="14356"/>
    <cellStyle name="Normal 11 62 3 5" xfId="30948"/>
    <cellStyle name="Normal 11 62 4" xfId="8231"/>
    <cellStyle name="Normal 11 62 5" xfId="21057"/>
    <cellStyle name="Normal 11 62 6" xfId="17015"/>
    <cellStyle name="Normal 11 62 7" xfId="28216"/>
    <cellStyle name="Normal 11 63" xfId="1484"/>
    <cellStyle name="Normal 11 63 2" xfId="3938"/>
    <cellStyle name="Normal 11 63 2 2" xfId="10708"/>
    <cellStyle name="Normal 11 63 2 3" xfId="23398"/>
    <cellStyle name="Normal 11 63 2 4" xfId="14084"/>
    <cellStyle name="Normal 11 63 2 5" xfId="32336"/>
    <cellStyle name="Normal 11 63 3" xfId="5895"/>
    <cellStyle name="Normal 11 63 3 2" xfId="12665"/>
    <cellStyle name="Normal 11 63 3 3" xfId="25355"/>
    <cellStyle name="Normal 11 63 3 4" xfId="16615"/>
    <cellStyle name="Normal 11 63 3 5" xfId="29803"/>
    <cellStyle name="Normal 11 63 4" xfId="8254"/>
    <cellStyle name="Normal 11 63 5" xfId="21077"/>
    <cellStyle name="Normal 11 63 6" xfId="18817"/>
    <cellStyle name="Normal 11 63 7" xfId="30445"/>
    <cellStyle name="Normal 11 64" xfId="1507"/>
    <cellStyle name="Normal 11 64 2" xfId="3960"/>
    <cellStyle name="Normal 11 64 2 2" xfId="10730"/>
    <cellStyle name="Normal 11 64 2 3" xfId="23420"/>
    <cellStyle name="Normal 11 64 2 4" xfId="18340"/>
    <cellStyle name="Normal 11 64 2 5" xfId="30230"/>
    <cellStyle name="Normal 11 64 3" xfId="5915"/>
    <cellStyle name="Normal 11 64 3 2" xfId="12685"/>
    <cellStyle name="Normal 11 64 3 3" xfId="25375"/>
    <cellStyle name="Normal 11 64 3 4" xfId="16867"/>
    <cellStyle name="Normal 11 64 3 5" xfId="31848"/>
    <cellStyle name="Normal 11 64 4" xfId="8277"/>
    <cellStyle name="Normal 11 64 5" xfId="21097"/>
    <cellStyle name="Normal 11 64 6" xfId="14337"/>
    <cellStyle name="Normal 11 64 7" xfId="29084"/>
    <cellStyle name="Normal 11 65" xfId="1530"/>
    <cellStyle name="Normal 11 65 2" xfId="3982"/>
    <cellStyle name="Normal 11 65 2 2" xfId="10752"/>
    <cellStyle name="Normal 11 65 2 3" xfId="23442"/>
    <cellStyle name="Normal 11 65 2 4" xfId="15933"/>
    <cellStyle name="Normal 11 65 2 5" xfId="31360"/>
    <cellStyle name="Normal 11 65 3" xfId="5935"/>
    <cellStyle name="Normal 11 65 3 2" xfId="12705"/>
    <cellStyle name="Normal 11 65 3 3" xfId="25395"/>
    <cellStyle name="Normal 11 65 3 4" xfId="13934"/>
    <cellStyle name="Normal 11 65 3 5" xfId="30854"/>
    <cellStyle name="Normal 11 65 4" xfId="8300"/>
    <cellStyle name="Normal 11 65 5" xfId="21117"/>
    <cellStyle name="Normal 11 65 6" xfId="16555"/>
    <cellStyle name="Normal 11 65 7" xfId="32013"/>
    <cellStyle name="Normal 11 66" xfId="1553"/>
    <cellStyle name="Normal 11 66 2" xfId="4004"/>
    <cellStyle name="Normal 11 66 2 2" xfId="10774"/>
    <cellStyle name="Normal 11 66 2 3" xfId="23464"/>
    <cellStyle name="Normal 11 66 2 4" xfId="15761"/>
    <cellStyle name="Normal 11 66 2 5" xfId="32247"/>
    <cellStyle name="Normal 11 66 3" xfId="5955"/>
    <cellStyle name="Normal 11 66 3 2" xfId="12725"/>
    <cellStyle name="Normal 11 66 3 3" xfId="25415"/>
    <cellStyle name="Normal 11 66 3 4" xfId="16136"/>
    <cellStyle name="Normal 11 66 3 5" xfId="29715"/>
    <cellStyle name="Normal 11 66 4" xfId="8323"/>
    <cellStyle name="Normal 11 66 5" xfId="21137"/>
    <cellStyle name="Normal 11 66 6" xfId="18405"/>
    <cellStyle name="Normal 11 66 7" xfId="26894"/>
    <cellStyle name="Normal 11 67" xfId="1576"/>
    <cellStyle name="Normal 11 67 2" xfId="4026"/>
    <cellStyle name="Normal 11 67 2 2" xfId="10796"/>
    <cellStyle name="Normal 11 67 2 3" xfId="23486"/>
    <cellStyle name="Normal 11 67 2 4" xfId="19848"/>
    <cellStyle name="Normal 11 67 2 5" xfId="30146"/>
    <cellStyle name="Normal 11 67 3" xfId="5975"/>
    <cellStyle name="Normal 11 67 3 2" xfId="12745"/>
    <cellStyle name="Normal 11 67 3 3" xfId="25435"/>
    <cellStyle name="Normal 11 67 3 4" xfId="20034"/>
    <cellStyle name="Normal 11 67 3 5" xfId="31757"/>
    <cellStyle name="Normal 11 67 4" xfId="8346"/>
    <cellStyle name="Normal 11 67 5" xfId="21157"/>
    <cellStyle name="Normal 11 67 6" xfId="13869"/>
    <cellStyle name="Normal 11 67 7" xfId="29879"/>
    <cellStyle name="Normal 11 68" xfId="1599"/>
    <cellStyle name="Normal 11 68 2" xfId="4048"/>
    <cellStyle name="Normal 11 68 2 2" xfId="10818"/>
    <cellStyle name="Normal 11 68 2 3" xfId="23508"/>
    <cellStyle name="Normal 11 68 2 4" xfId="17878"/>
    <cellStyle name="Normal 11 68 2 5" xfId="31264"/>
    <cellStyle name="Normal 11 68 3" xfId="5995"/>
    <cellStyle name="Normal 11 68 3 2" xfId="12765"/>
    <cellStyle name="Normal 11 68 3 3" xfId="25455"/>
    <cellStyle name="Normal 11 68 3 4" xfId="15661"/>
    <cellStyle name="Normal 11 68 3 5" xfId="30434"/>
    <cellStyle name="Normal 11 68 4" xfId="8369"/>
    <cellStyle name="Normal 11 68 5" xfId="21177"/>
    <cellStyle name="Normal 11 68 6" xfId="18215"/>
    <cellStyle name="Normal 11 68 7" xfId="27991"/>
    <cellStyle name="Normal 11 69" xfId="1621"/>
    <cellStyle name="Normal 11 69 2" xfId="4069"/>
    <cellStyle name="Normal 11 69 2 2" xfId="10839"/>
    <cellStyle name="Normal 11 69 2 3" xfId="23529"/>
    <cellStyle name="Normal 11 69 2 4" xfId="17729"/>
    <cellStyle name="Normal 11 69 2 5" xfId="27092"/>
    <cellStyle name="Normal 11 69 3" xfId="6014"/>
    <cellStyle name="Normal 11 69 3 2" xfId="12784"/>
    <cellStyle name="Normal 11 69 3 3" xfId="25474"/>
    <cellStyle name="Normal 11 69 3 4" xfId="19841"/>
    <cellStyle name="Normal 11 69 3 5" xfId="27754"/>
    <cellStyle name="Normal 11 69 4" xfId="8391"/>
    <cellStyle name="Normal 11 69 5" xfId="21196"/>
    <cellStyle name="Normal 11 69 6" xfId="14128"/>
    <cellStyle name="Normal 11 69 7" xfId="28925"/>
    <cellStyle name="Normal 11 7" xfId="203"/>
    <cellStyle name="Normal 11 7 2" xfId="2683"/>
    <cellStyle name="Normal 11 7 2 2" xfId="9453"/>
    <cellStyle name="Normal 11 7 2 3" xfId="22143"/>
    <cellStyle name="Normal 11 7 2 4" xfId="18443"/>
    <cellStyle name="Normal 11 7 2 5" xfId="31783"/>
    <cellStyle name="Normal 11 7 3" xfId="4719"/>
    <cellStyle name="Normal 11 7 3 2" xfId="11489"/>
    <cellStyle name="Normal 11 7 3 3" xfId="24179"/>
    <cellStyle name="Normal 11 7 3 4" xfId="19741"/>
    <cellStyle name="Normal 11 7 3 5" xfId="28327"/>
    <cellStyle name="Normal 11 7 4" xfId="6973"/>
    <cellStyle name="Normal 11 7 5" xfId="15755"/>
    <cellStyle name="Normal 11 7 6" xfId="14269"/>
    <cellStyle name="Normal 11 7 7" xfId="29366"/>
    <cellStyle name="Normal 11 70" xfId="1643"/>
    <cellStyle name="Normal 11 70 2" xfId="4091"/>
    <cellStyle name="Normal 11 70 2 2" xfId="10861"/>
    <cellStyle name="Normal 11 70 2 3" xfId="23551"/>
    <cellStyle name="Normal 11 70 2 4" xfId="15218"/>
    <cellStyle name="Normal 11 70 2 5" xfId="28234"/>
    <cellStyle name="Normal 11 70 3" xfId="6032"/>
    <cellStyle name="Normal 11 70 3 2" xfId="12802"/>
    <cellStyle name="Normal 11 70 3 3" xfId="25492"/>
    <cellStyle name="Normal 11 70 3 4" xfId="15925"/>
    <cellStyle name="Normal 11 70 3 5" xfId="27717"/>
    <cellStyle name="Normal 11 70 4" xfId="8413"/>
    <cellStyle name="Normal 11 70 5" xfId="21214"/>
    <cellStyle name="Normal 11 70 6" xfId="18369"/>
    <cellStyle name="Normal 11 70 7" xfId="26752"/>
    <cellStyle name="Normal 11 71" xfId="1665"/>
    <cellStyle name="Normal 11 71 2" xfId="4113"/>
    <cellStyle name="Normal 11 71 2 2" xfId="10883"/>
    <cellStyle name="Normal 11 71 2 3" xfId="23573"/>
    <cellStyle name="Normal 11 71 2 4" xfId="19356"/>
    <cellStyle name="Normal 11 71 2 5" xfId="29130"/>
    <cellStyle name="Normal 11 71 3" xfId="6053"/>
    <cellStyle name="Normal 11 71 3 2" xfId="12823"/>
    <cellStyle name="Normal 11 71 3 3" xfId="25513"/>
    <cellStyle name="Normal 11 71 3 4" xfId="19621"/>
    <cellStyle name="Normal 11 71 3 5" xfId="31636"/>
    <cellStyle name="Normal 11 71 4" xfId="8435"/>
    <cellStyle name="Normal 11 71 5" xfId="21235"/>
    <cellStyle name="Normal 11 71 6" xfId="17973"/>
    <cellStyle name="Normal 11 71 7" xfId="27884"/>
    <cellStyle name="Normal 11 72" xfId="1688"/>
    <cellStyle name="Normal 11 72 2" xfId="4135"/>
    <cellStyle name="Normal 11 72 2 2" xfId="10905"/>
    <cellStyle name="Normal 11 72 2 3" xfId="23595"/>
    <cellStyle name="Normal 11 72 2 4" xfId="17297"/>
    <cellStyle name="Normal 11 72 2 5" xfId="26992"/>
    <cellStyle name="Normal 11 72 3" xfId="6073"/>
    <cellStyle name="Normal 11 72 3 2" xfId="12843"/>
    <cellStyle name="Normal 11 72 3 3" xfId="25533"/>
    <cellStyle name="Normal 11 72 3 4" xfId="15246"/>
    <cellStyle name="Normal 11 72 3 5" xfId="30611"/>
    <cellStyle name="Normal 11 72 4" xfId="8458"/>
    <cellStyle name="Normal 11 72 5" xfId="21255"/>
    <cellStyle name="Normal 11 72 6" xfId="19711"/>
    <cellStyle name="Normal 11 72 7" xfId="30817"/>
    <cellStyle name="Normal 11 73" xfId="1711"/>
    <cellStyle name="Normal 11 73 2" xfId="4157"/>
    <cellStyle name="Normal 11 73 2 2" xfId="10927"/>
    <cellStyle name="Normal 11 73 2 3" xfId="23617"/>
    <cellStyle name="Normal 11 73 2 4" xfId="14788"/>
    <cellStyle name="Normal 11 73 2 5" xfId="28133"/>
    <cellStyle name="Normal 11 73 3" xfId="6093"/>
    <cellStyle name="Normal 11 73 3 2" xfId="12863"/>
    <cellStyle name="Normal 11 73 3 3" xfId="25553"/>
    <cellStyle name="Normal 11 73 3 4" xfId="17477"/>
    <cellStyle name="Normal 11 73 3 5" xfId="29494"/>
    <cellStyle name="Normal 11 73 4" xfId="8481"/>
    <cellStyle name="Normal 11 73 5" xfId="21275"/>
    <cellStyle name="Normal 11 73 6" xfId="13757"/>
    <cellStyle name="Normal 11 73 7" xfId="28782"/>
    <cellStyle name="Normal 11 74" xfId="1734"/>
    <cellStyle name="Normal 11 74 2" xfId="4178"/>
    <cellStyle name="Normal 11 74 2 2" xfId="10948"/>
    <cellStyle name="Normal 11 74 2 3" xfId="23638"/>
    <cellStyle name="Normal 11 74 2 4" xfId="14654"/>
    <cellStyle name="Normal 11 74 2 5" xfId="32001"/>
    <cellStyle name="Normal 11 74 3" xfId="6113"/>
    <cellStyle name="Normal 11 74 3 2" xfId="12883"/>
    <cellStyle name="Normal 11 74 3 3" xfId="25573"/>
    <cellStyle name="Normal 11 74 3 4" xfId="19267"/>
    <cellStyle name="Normal 11 74 3 5" xfId="31098"/>
    <cellStyle name="Normal 11 74 4" xfId="8504"/>
    <cellStyle name="Normal 11 74 5" xfId="21295"/>
    <cellStyle name="Normal 11 74 6" xfId="17540"/>
    <cellStyle name="Normal 11 74 7" xfId="31713"/>
    <cellStyle name="Normal 11 75" xfId="1757"/>
    <cellStyle name="Normal 11 75 2" xfId="4201"/>
    <cellStyle name="Normal 11 75 2 2" xfId="10971"/>
    <cellStyle name="Normal 11 75 2 3" xfId="23661"/>
    <cellStyle name="Normal 11 75 2 4" xfId="16860"/>
    <cellStyle name="Normal 11 75 2 5" xfId="26881"/>
    <cellStyle name="Normal 11 75 3" xfId="6133"/>
    <cellStyle name="Normal 11 75 3 2" xfId="12903"/>
    <cellStyle name="Normal 11 75 3 3" xfId="25593"/>
    <cellStyle name="Normal 11 75 3 4" xfId="14864"/>
    <cellStyle name="Normal 11 75 3 5" xfId="31552"/>
    <cellStyle name="Normal 11 75 4" xfId="8527"/>
    <cellStyle name="Normal 11 75 5" xfId="21315"/>
    <cellStyle name="Normal 11 75 6" xfId="19304"/>
    <cellStyle name="Normal 11 75 7" xfId="29598"/>
    <cellStyle name="Normal 11 76" xfId="1780"/>
    <cellStyle name="Normal 11 76 2" xfId="4223"/>
    <cellStyle name="Normal 11 76 2 2" xfId="10993"/>
    <cellStyle name="Normal 11 76 2 3" xfId="23683"/>
    <cellStyle name="Normal 11 76 2 4" xfId="14352"/>
    <cellStyle name="Normal 11 76 2 5" xfId="28021"/>
    <cellStyle name="Normal 11 76 3" xfId="6153"/>
    <cellStyle name="Normal 11 76 3 2" xfId="12923"/>
    <cellStyle name="Normal 11 76 3 3" xfId="25613"/>
    <cellStyle name="Normal 11 76 3 4" xfId="17087"/>
    <cellStyle name="Normal 11 76 3 5" xfId="30340"/>
    <cellStyle name="Normal 11 76 4" xfId="8550"/>
    <cellStyle name="Normal 11 76 5" xfId="21335"/>
    <cellStyle name="Normal 11 76 6" xfId="14881"/>
    <cellStyle name="Normal 11 76 7" xfId="27679"/>
    <cellStyle name="Normal 11 77" xfId="1803"/>
    <cellStyle name="Normal 11 77 2" xfId="4245"/>
    <cellStyle name="Normal 11 77 2 2" xfId="11015"/>
    <cellStyle name="Normal 11 77 2 3" xfId="23705"/>
    <cellStyle name="Normal 11 77 2 4" xfId="18575"/>
    <cellStyle name="Normal 11 77 2 5" xfId="28943"/>
    <cellStyle name="Normal 11 77 3" xfId="6173"/>
    <cellStyle name="Normal 11 77 3 2" xfId="12943"/>
    <cellStyle name="Normal 11 77 3 3" xfId="25633"/>
    <cellStyle name="Normal 11 77 3 4" xfId="18915"/>
    <cellStyle name="Normal 11 77 3 5" xfId="32382"/>
    <cellStyle name="Normal 11 77 4" xfId="8573"/>
    <cellStyle name="Normal 11 77 5" xfId="21355"/>
    <cellStyle name="Normal 11 77 6" xfId="17083"/>
    <cellStyle name="Normal 11 77 7" xfId="30596"/>
    <cellStyle name="Normal 11 78" xfId="1826"/>
    <cellStyle name="Normal 11 78 2" xfId="4268"/>
    <cellStyle name="Normal 11 78 2 2" xfId="11038"/>
    <cellStyle name="Normal 11 78 2 3" xfId="23728"/>
    <cellStyle name="Normal 11 78 2 4" xfId="14039"/>
    <cellStyle name="Normal 11 78 2 5" xfId="31884"/>
    <cellStyle name="Normal 11 78 3" xfId="6193"/>
    <cellStyle name="Normal 11 78 3 2" xfId="12963"/>
    <cellStyle name="Normal 11 78 3 3" xfId="25653"/>
    <cellStyle name="Normal 11 78 3 4" xfId="14446"/>
    <cellStyle name="Normal 11 78 3 5" xfId="31452"/>
    <cellStyle name="Normal 11 78 4" xfId="8596"/>
    <cellStyle name="Normal 11 78 5" xfId="21375"/>
    <cellStyle name="Normal 11 78 6" xfId="18893"/>
    <cellStyle name="Normal 11 78 7" xfId="29350"/>
    <cellStyle name="Normal 11 79" xfId="1849"/>
    <cellStyle name="Normal 11 79 2" xfId="4290"/>
    <cellStyle name="Normal 11 79 2 2" xfId="11060"/>
    <cellStyle name="Normal 11 79 2 3" xfId="23750"/>
    <cellStyle name="Normal 11 79 2 4" xfId="18301"/>
    <cellStyle name="Normal 11 79 2 5" xfId="29772"/>
    <cellStyle name="Normal 11 79 3" xfId="6213"/>
    <cellStyle name="Normal 11 79 3 2" xfId="12983"/>
    <cellStyle name="Normal 11 79 3 3" xfId="25673"/>
    <cellStyle name="Normal 11 79 3 4" xfId="16692"/>
    <cellStyle name="Normal 11 79 3 5" xfId="30253"/>
    <cellStyle name="Normal 11 79 4" xfId="8619"/>
    <cellStyle name="Normal 11 79 5" xfId="21395"/>
    <cellStyle name="Normal 11 79 6" xfId="14421"/>
    <cellStyle name="Normal 11 79 7" xfId="32284"/>
    <cellStyle name="Normal 11 8" xfId="225"/>
    <cellStyle name="Normal 11 8 2" xfId="2704"/>
    <cellStyle name="Normal 11 8 2 2" xfId="9474"/>
    <cellStyle name="Normal 11 8 2 3" xfId="22164"/>
    <cellStyle name="Normal 11 8 2 4" xfId="18368"/>
    <cellStyle name="Normal 11 8 2 5" xfId="27803"/>
    <cellStyle name="Normal 11 8 3" xfId="2509"/>
    <cellStyle name="Normal 11 8 3 2" xfId="9279"/>
    <cellStyle name="Normal 11 8 3 3" xfId="21970"/>
    <cellStyle name="Normal 11 8 3 4" xfId="16884"/>
    <cellStyle name="Normal 11 8 3 5" xfId="32029"/>
    <cellStyle name="Normal 11 8 4" xfId="6995"/>
    <cellStyle name="Normal 11 8 5" xfId="15728"/>
    <cellStyle name="Normal 11 8 6" xfId="18495"/>
    <cellStyle name="Normal 11 8 7" xfId="27252"/>
    <cellStyle name="Normal 11 80" xfId="1872"/>
    <cellStyle name="Normal 11 80 2" xfId="4312"/>
    <cellStyle name="Normal 11 80 2 2" xfId="11082"/>
    <cellStyle name="Normal 11 80 2 3" xfId="23772"/>
    <cellStyle name="Normal 11 80 2 4" xfId="18246"/>
    <cellStyle name="Normal 11 80 2 5" xfId="30839"/>
    <cellStyle name="Normal 11 80 3" xfId="6233"/>
    <cellStyle name="Normal 11 80 3 2" xfId="13003"/>
    <cellStyle name="Normal 11 80 3 3" xfId="25693"/>
    <cellStyle name="Normal 11 80 3 4" xfId="18563"/>
    <cellStyle name="Normal 11 80 3 5" xfId="32296"/>
    <cellStyle name="Normal 11 80 4" xfId="8642"/>
    <cellStyle name="Normal 11 80 5" xfId="21415"/>
    <cellStyle name="Normal 11 80 6" xfId="16623"/>
    <cellStyle name="Normal 11 80 7" xfId="27203"/>
    <cellStyle name="Normal 11 81" xfId="1895"/>
    <cellStyle name="Normal 11 81 2" xfId="4334"/>
    <cellStyle name="Normal 11 81 2 2" xfId="11104"/>
    <cellStyle name="Normal 11 81 2 3" xfId="23794"/>
    <cellStyle name="Normal 11 81 2 4" xfId="13796"/>
    <cellStyle name="Normal 11 81 2 5" xfId="32347"/>
    <cellStyle name="Normal 11 81 3" xfId="6253"/>
    <cellStyle name="Normal 11 81 3 2" xfId="13023"/>
    <cellStyle name="Normal 11 81 3 3" xfId="25713"/>
    <cellStyle name="Normal 11 81 3 4" xfId="14047"/>
    <cellStyle name="Normal 11 81 3 5" xfId="31364"/>
    <cellStyle name="Normal 11 81 4" xfId="8665"/>
    <cellStyle name="Normal 11 81 5" xfId="21435"/>
    <cellStyle name="Normal 11 81 6" xfId="18482"/>
    <cellStyle name="Normal 11 81 7" xfId="30155"/>
    <cellStyle name="Normal 11 82" xfId="1917"/>
    <cellStyle name="Normal 11 82 2" xfId="4355"/>
    <cellStyle name="Normal 11 82 2 2" xfId="11125"/>
    <cellStyle name="Normal 11 82 2 3" xfId="23815"/>
    <cellStyle name="Normal 11 82 2 4" xfId="15587"/>
    <cellStyle name="Normal 11 82 2 5" xfId="28443"/>
    <cellStyle name="Normal 11 82 3" xfId="6272"/>
    <cellStyle name="Normal 11 82 3 2" xfId="13042"/>
    <cellStyle name="Normal 11 82 3 3" xfId="25732"/>
    <cellStyle name="Normal 11 82 3 4" xfId="6958"/>
    <cellStyle name="Normal 11 82 3 5" xfId="28364"/>
    <cellStyle name="Normal 11 82 4" xfId="8687"/>
    <cellStyle name="Normal 11 82 5" xfId="21454"/>
    <cellStyle name="Normal 11 82 6" xfId="16332"/>
    <cellStyle name="Normal 11 82 7" xfId="31276"/>
    <cellStyle name="Normal 11 83" xfId="1939"/>
    <cellStyle name="Normal 11 83 2" xfId="4376"/>
    <cellStyle name="Normal 11 83 2 2" xfId="11146"/>
    <cellStyle name="Normal 11 83 2 3" xfId="23836"/>
    <cellStyle name="Normal 11 83 2 4" xfId="15467"/>
    <cellStyle name="Normal 11 83 2 5" xfId="32289"/>
    <cellStyle name="Normal 11 83 3" xfId="6291"/>
    <cellStyle name="Normal 11 83 3 2" xfId="13061"/>
    <cellStyle name="Normal 11 83 3 3" xfId="25751"/>
    <cellStyle name="Normal 11 83 3 4" xfId="7967"/>
    <cellStyle name="Normal 11 83 3 5" xfId="30150"/>
    <cellStyle name="Normal 11 83 4" xfId="8709"/>
    <cellStyle name="Normal 11 83 5" xfId="21473"/>
    <cellStyle name="Normal 11 83 6" xfId="16974"/>
    <cellStyle name="Normal 11 83 7" xfId="32167"/>
    <cellStyle name="Normal 11 84" xfId="1962"/>
    <cellStyle name="Normal 11 84 2" xfId="4399"/>
    <cellStyle name="Normal 11 84 2 2" xfId="11169"/>
    <cellStyle name="Normal 11 84 2 3" xfId="23859"/>
    <cellStyle name="Normal 11 84 2 4" xfId="17685"/>
    <cellStyle name="Normal 11 84 2 5" xfId="27208"/>
    <cellStyle name="Normal 11 84 3" xfId="6311"/>
    <cellStyle name="Normal 11 84 3 2" xfId="13081"/>
    <cellStyle name="Normal 11 84 3 3" xfId="25771"/>
    <cellStyle name="Normal 11 84 3 4" xfId="7986"/>
    <cellStyle name="Normal 11 84 3 5" xfId="30393"/>
    <cellStyle name="Normal 11 84 4" xfId="8732"/>
    <cellStyle name="Normal 11 84 5" xfId="21493"/>
    <cellStyle name="Normal 11 84 6" xfId="18151"/>
    <cellStyle name="Normal 11 84 7" xfId="27062"/>
    <cellStyle name="Normal 11 85" xfId="1985"/>
    <cellStyle name="Normal 11 85 2" xfId="4421"/>
    <cellStyle name="Normal 11 85 2 2" xfId="11191"/>
    <cellStyle name="Normal 11 85 2 3" xfId="23881"/>
    <cellStyle name="Normal 11 85 2 4" xfId="15173"/>
    <cellStyle name="Normal 11 85 2 5" xfId="28346"/>
    <cellStyle name="Normal 11 85 3" xfId="6331"/>
    <cellStyle name="Normal 11 85 3 2" xfId="13101"/>
    <cellStyle name="Normal 11 85 3 3" xfId="25791"/>
    <cellStyle name="Normal 11 85 3 4" xfId="7577"/>
    <cellStyle name="Normal 11 85 3 5" xfId="31250"/>
    <cellStyle name="Normal 11 85 4" xfId="8755"/>
    <cellStyle name="Normal 11 85 5" xfId="21513"/>
    <cellStyle name="Normal 11 85 6" xfId="16311"/>
    <cellStyle name="Normal 11 85 7" xfId="30029"/>
    <cellStyle name="Normal 11 86" xfId="2007"/>
    <cellStyle name="Normal 11 86 2" xfId="4443"/>
    <cellStyle name="Normal 11 86 2 2" xfId="11213"/>
    <cellStyle name="Normal 11 86 2 3" xfId="23903"/>
    <cellStyle name="Normal 11 86 2 4" xfId="19318"/>
    <cellStyle name="Normal 11 86 2 5" xfId="29235"/>
    <cellStyle name="Normal 11 86 3" xfId="6350"/>
    <cellStyle name="Normal 11 86 3 2" xfId="13120"/>
    <cellStyle name="Normal 11 86 3 3" xfId="25810"/>
    <cellStyle name="Normal 11 86 3 4" xfId="7188"/>
    <cellStyle name="Normal 11 86 3 5" xfId="28250"/>
    <cellStyle name="Normal 11 86 4" xfId="8777"/>
    <cellStyle name="Normal 11 86 5" xfId="21532"/>
    <cellStyle name="Normal 11 86 6" xfId="18238"/>
    <cellStyle name="Normal 11 86 7" xfId="31139"/>
    <cellStyle name="Normal 11 87" xfId="2030"/>
    <cellStyle name="Normal 11 87 2" xfId="4465"/>
    <cellStyle name="Normal 11 87 2 2" xfId="11235"/>
    <cellStyle name="Normal 11 87 2 3" xfId="23925"/>
    <cellStyle name="Normal 11 87 2 4" xfId="17251"/>
    <cellStyle name="Normal 11 87 2 5" xfId="27111"/>
    <cellStyle name="Normal 11 87 3" xfId="6370"/>
    <cellStyle name="Normal 11 87 3 2" xfId="13140"/>
    <cellStyle name="Normal 11 87 3 3" xfId="25830"/>
    <cellStyle name="Normal 11 87 3 4" xfId="9036"/>
    <cellStyle name="Normal 11 87 3 5" xfId="27040"/>
    <cellStyle name="Normal 11 87 4" xfId="8800"/>
    <cellStyle name="Normal 11 87 5" xfId="21552"/>
    <cellStyle name="Normal 11 87 6" xfId="19921"/>
    <cellStyle name="Normal 11 87 7" xfId="29073"/>
    <cellStyle name="Normal 11 88" xfId="2053"/>
    <cellStyle name="Normal 11 88 2" xfId="4487"/>
    <cellStyle name="Normal 11 88 2 2" xfId="11257"/>
    <cellStyle name="Normal 11 88 2 3" xfId="23947"/>
    <cellStyle name="Normal 11 88 2 4" xfId="14743"/>
    <cellStyle name="Normal 11 88 2 5" xfId="28251"/>
    <cellStyle name="Normal 11 88 3" xfId="6390"/>
    <cellStyle name="Normal 11 88 3 2" xfId="13160"/>
    <cellStyle name="Normal 11 88 3 3" xfId="25850"/>
    <cellStyle name="Normal 11 88 3 4" xfId="13850"/>
    <cellStyle name="Normal 11 88 3 5" xfId="29126"/>
    <cellStyle name="Normal 11 88 4" xfId="8823"/>
    <cellStyle name="Normal 11 88 5" xfId="21572"/>
    <cellStyle name="Normal 11 88 6" xfId="13814"/>
    <cellStyle name="Normal 11 88 7" xfId="32002"/>
    <cellStyle name="Normal 11 89" xfId="2076"/>
    <cellStyle name="Normal 11 89 2" xfId="4508"/>
    <cellStyle name="Normal 11 89 2 2" xfId="11278"/>
    <cellStyle name="Normal 11 89 2 3" xfId="23968"/>
    <cellStyle name="Normal 11 89 2 4" xfId="14611"/>
    <cellStyle name="Normal 11 89 2 5" xfId="32108"/>
    <cellStyle name="Normal 11 89 3" xfId="6410"/>
    <cellStyle name="Normal 11 89 3 2" xfId="13180"/>
    <cellStyle name="Normal 11 89 3 3" xfId="25870"/>
    <cellStyle name="Normal 11 89 3 4" xfId="18190"/>
    <cellStyle name="Normal 11 89 3 5" xfId="28157"/>
    <cellStyle name="Normal 11 89 4" xfId="8846"/>
    <cellStyle name="Normal 11 89 5" xfId="21592"/>
    <cellStyle name="Normal 11 89 6" xfId="18218"/>
    <cellStyle name="Normal 11 89 7" xfId="26882"/>
    <cellStyle name="Normal 11 9" xfId="247"/>
    <cellStyle name="Normal 11 9 2" xfId="2725"/>
    <cellStyle name="Normal 11 9 2 2" xfId="9495"/>
    <cellStyle name="Normal 11 9 2 3" xfId="22185"/>
    <cellStyle name="Normal 11 9 2 4" xfId="13811"/>
    <cellStyle name="Normal 11 9 2 5" xfId="31721"/>
    <cellStyle name="Normal 11 9 3" xfId="4647"/>
    <cellStyle name="Normal 11 9 3 2" xfId="11417"/>
    <cellStyle name="Normal 11 9 3 3" xfId="24107"/>
    <cellStyle name="Normal 11 9 3 4" xfId="20000"/>
    <cellStyle name="Normal 11 9 3 5" xfId="28949"/>
    <cellStyle name="Normal 11 9 4" xfId="7017"/>
    <cellStyle name="Normal 11 9 5" xfId="15636"/>
    <cellStyle name="Normal 11 9 6" xfId="16335"/>
    <cellStyle name="Normal 11 9 7" xfId="28399"/>
    <cellStyle name="Normal 11 90" xfId="2099"/>
    <cellStyle name="Normal 11 90 2" xfId="4530"/>
    <cellStyle name="Normal 11 90 2 2" xfId="11300"/>
    <cellStyle name="Normal 11 90 2 3" xfId="23990"/>
    <cellStyle name="Normal 11 90 2 4" xfId="18790"/>
    <cellStyle name="Normal 11 90 2 5" xfId="30016"/>
    <cellStyle name="Normal 11 90 3" xfId="6430"/>
    <cellStyle name="Normal 11 90 3 2" xfId="13200"/>
    <cellStyle name="Normal 11 90 3 3" xfId="25890"/>
    <cellStyle name="Normal 11 90 3 4" xfId="15731"/>
    <cellStyle name="Normal 11 90 3 5" xfId="26942"/>
    <cellStyle name="Normal 11 90 4" xfId="8869"/>
    <cellStyle name="Normal 11 90 5" xfId="21612"/>
    <cellStyle name="Normal 11 90 6" xfId="19903"/>
    <cellStyle name="Normal 11 90 7" xfId="29868"/>
    <cellStyle name="Normal 11 91" xfId="2122"/>
    <cellStyle name="Normal 11 91 2" xfId="4551"/>
    <cellStyle name="Normal 11 91 2 2" xfId="11321"/>
    <cellStyle name="Normal 11 91 2 3" xfId="24011"/>
    <cellStyle name="Normal 11 91 2 4" xfId="18673"/>
    <cellStyle name="Normal 11 91 2 5" xfId="29089"/>
    <cellStyle name="Normal 11 91 3" xfId="6450"/>
    <cellStyle name="Normal 11 91 3 2" xfId="13220"/>
    <cellStyle name="Normal 11 91 3 3" xfId="25910"/>
    <cellStyle name="Normal 11 91 3 4" xfId="17966"/>
    <cellStyle name="Normal 11 91 3 5" xfId="29039"/>
    <cellStyle name="Normal 11 91 4" xfId="8892"/>
    <cellStyle name="Normal 11 91 5" xfId="21632"/>
    <cellStyle name="Normal 11 91 6" xfId="9265"/>
    <cellStyle name="Normal 11 91 7" xfId="27978"/>
    <cellStyle name="Normal 11 92" xfId="2143"/>
    <cellStyle name="Normal 11 92 2" xfId="4571"/>
    <cellStyle name="Normal 11 92 2 2" xfId="11341"/>
    <cellStyle name="Normal 11 92 2 3" xfId="24031"/>
    <cellStyle name="Normal 11 92 2 4" xfId="14193"/>
    <cellStyle name="Normal 11 92 2 5" xfId="28118"/>
    <cellStyle name="Normal 11 92 3" xfId="6468"/>
    <cellStyle name="Normal 11 92 3 2" xfId="13238"/>
    <cellStyle name="Normal 11 92 3 3" xfId="25928"/>
    <cellStyle name="Normal 11 92 3 4" xfId="17871"/>
    <cellStyle name="Normal 11 92 3 5" xfId="29011"/>
    <cellStyle name="Normal 11 92 4" xfId="8913"/>
    <cellStyle name="Normal 11 92 5" xfId="21650"/>
    <cellStyle name="Normal 11 92 6" xfId="17947"/>
    <cellStyle name="Normal 11 92 7" xfId="31885"/>
    <cellStyle name="Normal 11 93" xfId="2161"/>
    <cellStyle name="Normal 11 93 2" xfId="4588"/>
    <cellStyle name="Normal 11 93 2 2" xfId="11358"/>
    <cellStyle name="Normal 11 93 2 3" xfId="24048"/>
    <cellStyle name="Normal 11 93 2 4" xfId="16439"/>
    <cellStyle name="Normal 11 93 2 5" xfId="30451"/>
    <cellStyle name="Normal 11 93 3" xfId="6484"/>
    <cellStyle name="Normal 11 93 3 2" xfId="13254"/>
    <cellStyle name="Normal 11 93 3 3" xfId="25944"/>
    <cellStyle name="Normal 11 93 3 4" xfId="15379"/>
    <cellStyle name="Normal 11 93 3 5" xfId="26855"/>
    <cellStyle name="Normal 11 93 4" xfId="8931"/>
    <cellStyle name="Normal 11 93 5" xfId="21666"/>
    <cellStyle name="Normal 11 93 6" xfId="17825"/>
    <cellStyle name="Normal 11 93 7" xfId="31856"/>
    <cellStyle name="Normal 11 94" xfId="2178"/>
    <cellStyle name="Normal 11 94 2" xfId="4604"/>
    <cellStyle name="Normal 11 94 2 2" xfId="11374"/>
    <cellStyle name="Normal 11 94 2 3" xfId="24064"/>
    <cellStyle name="Normal 11 94 2 4" xfId="13972"/>
    <cellStyle name="Normal 11 94 2 5" xfId="31978"/>
    <cellStyle name="Normal 11 94 3" xfId="6500"/>
    <cellStyle name="Normal 11 94 3 2" xfId="13270"/>
    <cellStyle name="Normal 11 94 3 3" xfId="25960"/>
    <cellStyle name="Normal 11 94 3 4" xfId="19547"/>
    <cellStyle name="Normal 11 94 3 5" xfId="28006"/>
    <cellStyle name="Normal 11 94 4" xfId="8948"/>
    <cellStyle name="Normal 11 94 5" xfId="21682"/>
    <cellStyle name="Normal 11 94 6" xfId="19603"/>
    <cellStyle name="Normal 11 94 7" xfId="26722"/>
    <cellStyle name="Normal 11 95" xfId="2200"/>
    <cellStyle name="Normal 11 95 2" xfId="4625"/>
    <cellStyle name="Normal 11 95 2 2" xfId="11395"/>
    <cellStyle name="Normal 11 95 2 3" xfId="24085"/>
    <cellStyle name="Normal 11 95 2 4" xfId="13573"/>
    <cellStyle name="Normal 11 95 2 5" xfId="28029"/>
    <cellStyle name="Normal 11 95 3" xfId="6519"/>
    <cellStyle name="Normal 11 95 3 2" xfId="13289"/>
    <cellStyle name="Normal 11 95 3 3" xfId="25979"/>
    <cellStyle name="Normal 11 95 3 4" xfId="17527"/>
    <cellStyle name="Normal 11 95 3 5" xfId="29834"/>
    <cellStyle name="Normal 11 95 4" xfId="8970"/>
    <cellStyle name="Normal 11 95 5" xfId="21701"/>
    <cellStyle name="Normal 11 95 6" xfId="17586"/>
    <cellStyle name="Normal 11 95 7" xfId="27437"/>
    <cellStyle name="Normal 11 96" xfId="2236"/>
    <cellStyle name="Normal 11 96 2" xfId="4658"/>
    <cellStyle name="Normal 11 96 2 2" xfId="11428"/>
    <cellStyle name="Normal 11 96 2 3" xfId="24118"/>
    <cellStyle name="Normal 11 96 2 4" xfId="13795"/>
    <cellStyle name="Normal 11 96 2 5" xfId="31907"/>
    <cellStyle name="Normal 11 96 3" xfId="6547"/>
    <cellStyle name="Normal 11 96 3 2" xfId="13317"/>
    <cellStyle name="Normal 11 96 3 3" xfId="26007"/>
    <cellStyle name="Normal 11 96 3 4" xfId="14977"/>
    <cellStyle name="Normal 11 96 3 5" xfId="30896"/>
    <cellStyle name="Normal 11 96 4" xfId="9006"/>
    <cellStyle name="Normal 11 96 5" xfId="21729"/>
    <cellStyle name="Normal 11 96 6" xfId="17352"/>
    <cellStyle name="Normal 11 96 7" xfId="27797"/>
    <cellStyle name="Normal 11 97" xfId="2258"/>
    <cellStyle name="Normal 11 97 2" xfId="4680"/>
    <cellStyle name="Normal 11 97 2 2" xfId="11450"/>
    <cellStyle name="Normal 11 97 2 3" xfId="24140"/>
    <cellStyle name="Normal 11 97 2 4" xfId="19664"/>
    <cellStyle name="Normal 11 97 2 5" xfId="29796"/>
    <cellStyle name="Normal 11 97 3" xfId="6566"/>
    <cellStyle name="Normal 11 97 3 2" xfId="13336"/>
    <cellStyle name="Normal 11 97 3 3" xfId="26026"/>
    <cellStyle name="Normal 11 97 3 4" xfId="19156"/>
    <cellStyle name="Normal 11 97 3 5" xfId="27899"/>
    <cellStyle name="Normal 11 97 4" xfId="9028"/>
    <cellStyle name="Normal 11 97 5" xfId="21748"/>
    <cellStyle name="Normal 11 97 6" xfId="14820"/>
    <cellStyle name="Normal 11 97 7" xfId="28730"/>
    <cellStyle name="Normal 11 98" xfId="2280"/>
    <cellStyle name="Normal 11 98 2" xfId="4701"/>
    <cellStyle name="Normal 11 98 2 2" xfId="11471"/>
    <cellStyle name="Normal 11 98 2 3" xfId="24161"/>
    <cellStyle name="Normal 11 98 2 4" xfId="19828"/>
    <cellStyle name="Normal 11 98 2 5" xfId="28839"/>
    <cellStyle name="Normal 11 98 3" xfId="6585"/>
    <cellStyle name="Normal 11 98 3 2" xfId="13355"/>
    <cellStyle name="Normal 11 98 3 3" xfId="26045"/>
    <cellStyle name="Normal 11 98 3 4" xfId="17093"/>
    <cellStyle name="Normal 11 98 3 5" xfId="29738"/>
    <cellStyle name="Normal 11 98 4" xfId="9050"/>
    <cellStyle name="Normal 11 98 5" xfId="21767"/>
    <cellStyle name="Normal 11 98 6" xfId="18930"/>
    <cellStyle name="Normal 11 98 7" xfId="27294"/>
    <cellStyle name="Normal 11 99" xfId="2302"/>
    <cellStyle name="Normal 11 99 2" xfId="4723"/>
    <cellStyle name="Normal 11 99 2 2" xfId="11493"/>
    <cellStyle name="Normal 11 99 2 3" xfId="24183"/>
    <cellStyle name="Normal 11 99 2 4" xfId="17856"/>
    <cellStyle name="Normal 11 99 2 5" xfId="26705"/>
    <cellStyle name="Normal 11 99 3" xfId="6604"/>
    <cellStyle name="Normal 11 99 3 2" xfId="13374"/>
    <cellStyle name="Normal 11 99 3 3" xfId="26064"/>
    <cellStyle name="Normal 11 99 3 4" xfId="14605"/>
    <cellStyle name="Normal 11 99 3 5" xfId="26670"/>
    <cellStyle name="Normal 11 99 4" xfId="9072"/>
    <cellStyle name="Normal 11 99 5" xfId="21786"/>
    <cellStyle name="Normal 11 99 6" xfId="16911"/>
    <cellStyle name="Normal 11 99 7" xfId="28430"/>
    <cellStyle name="Normal 110" xfId="32474"/>
    <cellStyle name="Normal 110 2" xfId="34089"/>
    <cellStyle name="Normal 111" xfId="32497"/>
    <cellStyle name="Normal 111 2" xfId="34075"/>
    <cellStyle name="Normal 112" xfId="32520"/>
    <cellStyle name="Normal 112 2" xfId="34056"/>
    <cellStyle name="Normal 113" xfId="32543"/>
    <cellStyle name="Normal 113 2" xfId="34116"/>
    <cellStyle name="Normal 114" xfId="32566"/>
    <cellStyle name="Normal 114 2" xfId="34118"/>
    <cellStyle name="Normal 115" xfId="32589"/>
    <cellStyle name="Normal 115 2" xfId="34124"/>
    <cellStyle name="Normal 116" xfId="32612"/>
    <cellStyle name="Normal 116 2" xfId="34126"/>
    <cellStyle name="Normal 117" xfId="32635"/>
    <cellStyle name="Normal 117 2" xfId="34104"/>
    <cellStyle name="Normal 118" xfId="32658"/>
    <cellStyle name="Normal 118 2" xfId="34077"/>
    <cellStyle name="Normal 119" xfId="32681"/>
    <cellStyle name="Normal 119 2" xfId="34106"/>
    <cellStyle name="Normal 12" xfId="37"/>
    <cellStyle name="Normal 12 10" xfId="272"/>
    <cellStyle name="Normal 12 10 2" xfId="2748"/>
    <cellStyle name="Normal 12 10 2 2" xfId="9518"/>
    <cellStyle name="Normal 12 10 2 3" xfId="22208"/>
    <cellStyle name="Normal 12 10 2 4" xfId="16093"/>
    <cellStyle name="Normal 12 10 2 5" xfId="26563"/>
    <cellStyle name="Normal 12 10 3" xfId="4129"/>
    <cellStyle name="Normal 12 10 3 2" xfId="10899"/>
    <cellStyle name="Normal 12 10 3 3" xfId="23589"/>
    <cellStyle name="Normal 12 10 3 4" xfId="17342"/>
    <cellStyle name="Normal 12 10 3 5" xfId="26310"/>
    <cellStyle name="Normal 12 10 4" xfId="7042"/>
    <cellStyle name="Normal 12 10 5" xfId="15158"/>
    <cellStyle name="Normal 12 10 6" xfId="15567"/>
    <cellStyle name="Normal 12 10 7" xfId="30176"/>
    <cellStyle name="Normal 12 100" xfId="2325"/>
    <cellStyle name="Normal 12 100 2" xfId="4746"/>
    <cellStyle name="Normal 12 100 2 2" xfId="11516"/>
    <cellStyle name="Normal 12 100 2 3" xfId="24206"/>
    <cellStyle name="Normal 12 100 2 4" xfId="19572"/>
    <cellStyle name="Normal 12 100 2 5" xfId="29698"/>
    <cellStyle name="Normal 12 100 3" xfId="6624"/>
    <cellStyle name="Normal 12 100 3 2" xfId="13394"/>
    <cellStyle name="Normal 12 100 3 3" xfId="26084"/>
    <cellStyle name="Normal 12 100 3 4" xfId="16828"/>
    <cellStyle name="Normal 12 100 3 5" xfId="28776"/>
    <cellStyle name="Normal 12 100 4" xfId="9095"/>
    <cellStyle name="Normal 12 100 5" xfId="21806"/>
    <cellStyle name="Normal 12 100 6" xfId="18722"/>
    <cellStyle name="Normal 12 100 7" xfId="30497"/>
    <cellStyle name="Normal 12 101" xfId="2347"/>
    <cellStyle name="Normal 12 101 2" xfId="4767"/>
    <cellStyle name="Normal 12 101 2 2" xfId="11537"/>
    <cellStyle name="Normal 12 101 2 3" xfId="24227"/>
    <cellStyle name="Normal 12 101 2 4" xfId="19452"/>
    <cellStyle name="Normal 12 101 2 5" xfId="28755"/>
    <cellStyle name="Normal 12 101 3" xfId="6643"/>
    <cellStyle name="Normal 12 101 3 2" xfId="13413"/>
    <cellStyle name="Normal 12 101 3 3" xfId="26103"/>
    <cellStyle name="Normal 12 101 3 4" xfId="14344"/>
    <cellStyle name="Normal 12 101 3 5" xfId="30426"/>
    <cellStyle name="Normal 12 101 4" xfId="9117"/>
    <cellStyle name="Normal 12 101 5" xfId="21825"/>
    <cellStyle name="Normal 12 101 6" xfId="17942"/>
    <cellStyle name="Normal 12 101 7" xfId="32255"/>
    <cellStyle name="Normal 12 102" xfId="2368"/>
    <cellStyle name="Normal 12 102 2" xfId="4787"/>
    <cellStyle name="Normal 12 102 2 2" xfId="11557"/>
    <cellStyle name="Normal 12 102 2 3" xfId="24247"/>
    <cellStyle name="Normal 12 102 2 4" xfId="15068"/>
    <cellStyle name="Normal 12 102 2 5" xfId="27449"/>
    <cellStyle name="Normal 12 102 3" xfId="6661"/>
    <cellStyle name="Normal 12 102 3 2" xfId="13431"/>
    <cellStyle name="Normal 12 102 3 3" xfId="26121"/>
    <cellStyle name="Normal 12 102 3 4" xfId="14230"/>
    <cellStyle name="Normal 12 102 3 5" xfId="30711"/>
    <cellStyle name="Normal 12 102 4" xfId="9138"/>
    <cellStyle name="Normal 12 102 5" xfId="21843"/>
    <cellStyle name="Normal 12 102 6" xfId="17818"/>
    <cellStyle name="Normal 12 102 7" xfId="28341"/>
    <cellStyle name="Normal 12 103" xfId="2389"/>
    <cellStyle name="Normal 12 103 2" xfId="4807"/>
    <cellStyle name="Normal 12 103 2 2" xfId="11577"/>
    <cellStyle name="Normal 12 103 2 3" xfId="24267"/>
    <cellStyle name="Normal 12 103 2 4" xfId="17295"/>
    <cellStyle name="Normal 12 103 2 5" xfId="26555"/>
    <cellStyle name="Normal 12 103 3" xfId="6678"/>
    <cellStyle name="Normal 12 103 3 2" xfId="13448"/>
    <cellStyle name="Normal 12 103 3 3" xfId="26138"/>
    <cellStyle name="Normal 12 103 3 4" xfId="16474"/>
    <cellStyle name="Normal 12 103 3 5" xfId="28694"/>
    <cellStyle name="Normal 12 103 4" xfId="9159"/>
    <cellStyle name="Normal 12 103 5" xfId="21860"/>
    <cellStyle name="Normal 12 103 6" xfId="17667"/>
    <cellStyle name="Normal 12 103 7" xfId="30383"/>
    <cellStyle name="Normal 12 104" xfId="2410"/>
    <cellStyle name="Normal 12 104 2" xfId="4828"/>
    <cellStyle name="Normal 12 104 2 2" xfId="11598"/>
    <cellStyle name="Normal 12 104 2 3" xfId="24288"/>
    <cellStyle name="Normal 12 104 2 4" xfId="17162"/>
    <cellStyle name="Normal 12 104 2 5" xfId="30651"/>
    <cellStyle name="Normal 12 104 3" xfId="6698"/>
    <cellStyle name="Normal 12 104 3 2" xfId="13468"/>
    <cellStyle name="Normal 12 104 3 3" xfId="26158"/>
    <cellStyle name="Normal 12 104 3 4" xfId="18372"/>
    <cellStyle name="Normal 12 104 3 5" xfId="27672"/>
    <cellStyle name="Normal 12 104 4" xfId="9180"/>
    <cellStyle name="Normal 12 104 5" xfId="21880"/>
    <cellStyle name="Normal 12 104 6" xfId="17538"/>
    <cellStyle name="Normal 12 104 7" xfId="28282"/>
    <cellStyle name="Normal 12 105" xfId="2432"/>
    <cellStyle name="Normal 12 105 2" xfId="4850"/>
    <cellStyle name="Normal 12 105 2 2" xfId="11620"/>
    <cellStyle name="Normal 12 105 2 3" xfId="24310"/>
    <cellStyle name="Normal 12 105 2 4" xfId="14652"/>
    <cellStyle name="Normal 12 105 2 5" xfId="30958"/>
    <cellStyle name="Normal 12 105 3" xfId="6718"/>
    <cellStyle name="Normal 12 105 3 2" xfId="13488"/>
    <cellStyle name="Normal 12 105 3 3" xfId="26178"/>
    <cellStyle name="Normal 12 105 3 4" xfId="13585"/>
    <cellStyle name="Normal 12 105 3 5" xfId="26475"/>
    <cellStyle name="Normal 12 105 4" xfId="9202"/>
    <cellStyle name="Normal 12 105 5" xfId="21900"/>
    <cellStyle name="Normal 12 105 6" xfId="15031"/>
    <cellStyle name="Normal 12 105 7" xfId="29174"/>
    <cellStyle name="Normal 12 106" xfId="2452"/>
    <cellStyle name="Normal 12 106 2" xfId="4870"/>
    <cellStyle name="Normal 12 106 2 2" xfId="11640"/>
    <cellStyle name="Normal 12 106 2 3" xfId="24330"/>
    <cellStyle name="Normal 12 106 2 4" xfId="16879"/>
    <cellStyle name="Normal 12 106 2 5" xfId="30575"/>
    <cellStyle name="Normal 12 106 3" xfId="6735"/>
    <cellStyle name="Normal 12 106 3 2" xfId="13505"/>
    <cellStyle name="Normal 12 106 3 3" xfId="26195"/>
    <cellStyle name="Normal 12 106 3 4" xfId="18221"/>
    <cellStyle name="Normal 12 106 3 5" xfId="29497"/>
    <cellStyle name="Normal 12 106 4" xfId="9222"/>
    <cellStyle name="Normal 12 106 5" xfId="21917"/>
    <cellStyle name="Normal 12 106 6" xfId="17255"/>
    <cellStyle name="Normal 12 106 7" xfId="28212"/>
    <cellStyle name="Normal 12 107" xfId="2470"/>
    <cellStyle name="Normal 12 107 2" xfId="4887"/>
    <cellStyle name="Normal 12 107 2 2" xfId="11657"/>
    <cellStyle name="Normal 12 107 2 3" xfId="24347"/>
    <cellStyle name="Normal 12 107 2 4" xfId="18751"/>
    <cellStyle name="Normal 12 107 2 5" xfId="28510"/>
    <cellStyle name="Normal 12 107 3" xfId="6751"/>
    <cellStyle name="Normal 12 107 3 2" xfId="13521"/>
    <cellStyle name="Normal 12 107 3 3" xfId="26211"/>
    <cellStyle name="Normal 12 107 3 4" xfId="13809"/>
    <cellStyle name="Normal 12 107 3 5" xfId="30536"/>
    <cellStyle name="Normal 12 107 4" xfId="9240"/>
    <cellStyle name="Normal 12 107 5" xfId="21933"/>
    <cellStyle name="Normal 12 107 6" xfId="17146"/>
    <cellStyle name="Normal 12 107 7" xfId="28191"/>
    <cellStyle name="Normal 12 108" xfId="2487"/>
    <cellStyle name="Normal 12 108 2" xfId="4904"/>
    <cellStyle name="Normal 12 108 2 2" xfId="11674"/>
    <cellStyle name="Normal 12 108 2 3" xfId="24364"/>
    <cellStyle name="Normal 12 108 2 4" xfId="14284"/>
    <cellStyle name="Normal 12 108 2 5" xfId="31459"/>
    <cellStyle name="Normal 12 108 3" xfId="6767"/>
    <cellStyle name="Normal 12 108 3 2" xfId="13537"/>
    <cellStyle name="Normal 12 108 3 3" xfId="26227"/>
    <cellStyle name="Normal 12 108 3 4" xfId="26248"/>
    <cellStyle name="Normal 12 108 3 5" xfId="30516"/>
    <cellStyle name="Normal 12 108 4" xfId="9257"/>
    <cellStyle name="Normal 12 108 5" xfId="21949"/>
    <cellStyle name="Normal 12 108 6" xfId="18968"/>
    <cellStyle name="Normal 12 108 7" xfId="31126"/>
    <cellStyle name="Normal 12 109" xfId="2526"/>
    <cellStyle name="Normal 12 109 2" xfId="9296"/>
    <cellStyle name="Normal 12 109 3" xfId="21986"/>
    <cellStyle name="Normal 12 109 4" xfId="18756"/>
    <cellStyle name="Normal 12 109 5" xfId="26921"/>
    <cellStyle name="Normal 12 11" xfId="294"/>
    <cellStyle name="Normal 12 11 2" xfId="2770"/>
    <cellStyle name="Normal 12 11 2 2" xfId="9540"/>
    <cellStyle name="Normal 12 11 2 3" xfId="22230"/>
    <cellStyle name="Normal 12 11 2 4" xfId="15705"/>
    <cellStyle name="Normal 12 11 2 5" xfId="27687"/>
    <cellStyle name="Normal 12 11 3" xfId="3640"/>
    <cellStyle name="Normal 12 11 3 2" xfId="10410"/>
    <cellStyle name="Normal 12 11 3 3" xfId="23100"/>
    <cellStyle name="Normal 12 11 3 4" xfId="16284"/>
    <cellStyle name="Normal 12 11 3 5" xfId="27579"/>
    <cellStyle name="Normal 12 11 4" xfId="7064"/>
    <cellStyle name="Normal 12 11 5" xfId="14728"/>
    <cellStyle name="Normal 12 11 6" xfId="19682"/>
    <cellStyle name="Normal 12 11 7" xfId="31297"/>
    <cellStyle name="Normal 12 110" xfId="4213"/>
    <cellStyle name="Normal 12 110 2" xfId="10983"/>
    <cellStyle name="Normal 12 110 3" xfId="23673"/>
    <cellStyle name="Normal 12 110 4" xfId="16792"/>
    <cellStyle name="Normal 12 110 5" xfId="26859"/>
    <cellStyle name="Normal 12 111" xfId="6808"/>
    <cellStyle name="Normal 12 112" xfId="15270"/>
    <cellStyle name="Normal 12 113" xfId="19620"/>
    <cellStyle name="Normal 12 114" xfId="30850"/>
    <cellStyle name="Normal 12 115" xfId="32480"/>
    <cellStyle name="Normal 12 116" xfId="32503"/>
    <cellStyle name="Normal 12 117" xfId="32526"/>
    <cellStyle name="Normal 12 118" xfId="32549"/>
    <cellStyle name="Normal 12 119" xfId="32572"/>
    <cellStyle name="Normal 12 12" xfId="319"/>
    <cellStyle name="Normal 12 12 2" xfId="2795"/>
    <cellStyle name="Normal 12 12 2 2" xfId="9565"/>
    <cellStyle name="Normal 12 12 2 3" xfId="22255"/>
    <cellStyle name="Normal 12 12 2 4" xfId="16979"/>
    <cellStyle name="Normal 12 12 2 5" xfId="29530"/>
    <cellStyle name="Normal 12 12 3" xfId="3172"/>
    <cellStyle name="Normal 12 12 3 2" xfId="9942"/>
    <cellStyle name="Normal 12 12 3 3" xfId="22632"/>
    <cellStyle name="Normal 12 12 3 4" xfId="16077"/>
    <cellStyle name="Normal 12 12 3 5" xfId="28201"/>
    <cellStyle name="Normal 12 12 4" xfId="7089"/>
    <cellStyle name="Normal 12 12 5" xfId="14223"/>
    <cellStyle name="Normal 12 12 6" xfId="17657"/>
    <cellStyle name="Normal 12 12 7" xfId="28296"/>
    <cellStyle name="Normal 12 120" xfId="32595"/>
    <cellStyle name="Normal 12 121" xfId="32618"/>
    <cellStyle name="Normal 12 122" xfId="32641"/>
    <cellStyle name="Normal 12 123" xfId="32664"/>
    <cellStyle name="Normal 12 124" xfId="32687"/>
    <cellStyle name="Normal 12 125" xfId="32710"/>
    <cellStyle name="Normal 12 126" xfId="32733"/>
    <cellStyle name="Normal 12 127" xfId="32756"/>
    <cellStyle name="Normal 12 128" xfId="32779"/>
    <cellStyle name="Normal 12 129" xfId="32802"/>
    <cellStyle name="Normal 12 13" xfId="342"/>
    <cellStyle name="Normal 12 13 2" xfId="2818"/>
    <cellStyle name="Normal 12 13 2 2" xfId="9588"/>
    <cellStyle name="Normal 12 13 2 3" xfId="22278"/>
    <cellStyle name="Normal 12 13 2 4" xfId="8942"/>
    <cellStyle name="Normal 12 13 2 5" xfId="27599"/>
    <cellStyle name="Normal 12 13 3" xfId="4865"/>
    <cellStyle name="Normal 12 13 3 2" xfId="11635"/>
    <cellStyle name="Normal 12 13 3 3" xfId="24325"/>
    <cellStyle name="Normal 12 13 3 4" xfId="14544"/>
    <cellStyle name="Normal 12 13 3 5" xfId="27621"/>
    <cellStyle name="Normal 12 13 4" xfId="7112"/>
    <cellStyle name="Normal 12 13 5" xfId="13790"/>
    <cellStyle name="Normal 12 13 6" xfId="19387"/>
    <cellStyle name="Normal 12 13 7" xfId="31227"/>
    <cellStyle name="Normal 12 130" xfId="32825"/>
    <cellStyle name="Normal 12 131" xfId="32848"/>
    <cellStyle name="Normal 12 132" xfId="32871"/>
    <cellStyle name="Normal 12 133" xfId="32893"/>
    <cellStyle name="Normal 12 134" xfId="32916"/>
    <cellStyle name="Normal 12 135" xfId="32939"/>
    <cellStyle name="Normal 12 136" xfId="32962"/>
    <cellStyle name="Normal 12 137" xfId="32985"/>
    <cellStyle name="Normal 12 138" xfId="33008"/>
    <cellStyle name="Normal 12 139" xfId="33031"/>
    <cellStyle name="Normal 12 14" xfId="365"/>
    <cellStyle name="Normal 12 14 2" xfId="2841"/>
    <cellStyle name="Normal 12 14 2 2" xfId="9611"/>
    <cellStyle name="Normal 12 14 2 3" xfId="22301"/>
    <cellStyle name="Normal 12 14 2 4" xfId="8471"/>
    <cellStyle name="Normal 12 14 2 5" xfId="26812"/>
    <cellStyle name="Normal 12 14 3" xfId="4923"/>
    <cellStyle name="Normal 12 14 3 2" xfId="11693"/>
    <cellStyle name="Normal 12 14 3 3" xfId="24383"/>
    <cellStyle name="Normal 12 14 3 4" xfId="18534"/>
    <cellStyle name="Normal 12 14 3 5" xfId="29461"/>
    <cellStyle name="Normal 12 14 4" xfId="7135"/>
    <cellStyle name="Normal 12 14 5" xfId="20105"/>
    <cellStyle name="Normal 12 14 6" xfId="14978"/>
    <cellStyle name="Normal 12 14 7" xfId="29150"/>
    <cellStyle name="Normal 12 140" xfId="33054"/>
    <cellStyle name="Normal 12 141" xfId="33077"/>
    <cellStyle name="Normal 12 142" xfId="33100"/>
    <cellStyle name="Normal 12 143" xfId="33123"/>
    <cellStyle name="Normal 12 144" xfId="33145"/>
    <cellStyle name="Normal 12 145" xfId="33165"/>
    <cellStyle name="Normal 12 146" xfId="33187"/>
    <cellStyle name="Normal 12 147" xfId="33203"/>
    <cellStyle name="Normal 12 148" xfId="33220"/>
    <cellStyle name="Normal 12 149" xfId="33256"/>
    <cellStyle name="Normal 12 15" xfId="388"/>
    <cellStyle name="Normal 12 15 2" xfId="2864"/>
    <cellStyle name="Normal 12 15 2 2" xfId="9634"/>
    <cellStyle name="Normal 12 15 2 3" xfId="22324"/>
    <cellStyle name="Normal 12 15 2 4" xfId="7991"/>
    <cellStyle name="Normal 12 15 2 5" xfId="29463"/>
    <cellStyle name="Normal 12 15 3" xfId="4943"/>
    <cellStyle name="Normal 12 15 3 2" xfId="11713"/>
    <cellStyle name="Normal 12 15 3 3" xfId="24403"/>
    <cellStyle name="Normal 12 15 3 4" xfId="14014"/>
    <cellStyle name="Normal 12 15 3 5" xfId="28529"/>
    <cellStyle name="Normal 12 15 4" xfId="7158"/>
    <cellStyle name="Normal 12 15 5" xfId="20125"/>
    <cellStyle name="Normal 12 15 6" xfId="17201"/>
    <cellStyle name="Normal 12 15 7" xfId="32088"/>
    <cellStyle name="Normal 12 150" xfId="33279"/>
    <cellStyle name="Normal 12 151" xfId="33302"/>
    <cellStyle name="Normal 12 152" xfId="33325"/>
    <cellStyle name="Normal 12 153" xfId="33348"/>
    <cellStyle name="Normal 12 154" xfId="33371"/>
    <cellStyle name="Normal 12 155" xfId="33394"/>
    <cellStyle name="Normal 12 156" xfId="33417"/>
    <cellStyle name="Normal 12 157" xfId="33440"/>
    <cellStyle name="Normal 12 158" xfId="33463"/>
    <cellStyle name="Normal 12 159" xfId="33486"/>
    <cellStyle name="Normal 12 16" xfId="411"/>
    <cellStyle name="Normal 12 16 2" xfId="2886"/>
    <cellStyle name="Normal 12 16 2 2" xfId="9656"/>
    <cellStyle name="Normal 12 16 2 3" xfId="22346"/>
    <cellStyle name="Normal 12 16 2 4" xfId="7534"/>
    <cellStyle name="Normal 12 16 2 5" xfId="27351"/>
    <cellStyle name="Normal 12 16 3" xfId="4963"/>
    <cellStyle name="Normal 12 16 3 2" xfId="11733"/>
    <cellStyle name="Normal 12 16 3 3" xfId="24423"/>
    <cellStyle name="Normal 12 16 3 4" xfId="16258"/>
    <cellStyle name="Normal 12 16 3 5" xfId="27322"/>
    <cellStyle name="Normal 12 16 4" xfId="7181"/>
    <cellStyle name="Normal 12 16 5" xfId="20145"/>
    <cellStyle name="Normal 12 16 6" xfId="15971"/>
    <cellStyle name="Normal 12 16 7" xfId="26973"/>
    <cellStyle name="Normal 12 160" xfId="33509"/>
    <cellStyle name="Normal 12 161" xfId="33532"/>
    <cellStyle name="Normal 12 162" xfId="33555"/>
    <cellStyle name="Normal 12 163" xfId="33578"/>
    <cellStyle name="Normal 12 164" xfId="33601"/>
    <cellStyle name="Normal 12 165" xfId="33624"/>
    <cellStyle name="Normal 12 166" xfId="33646"/>
    <cellStyle name="Normal 12 167" xfId="33668"/>
    <cellStyle name="Normal 12 168" xfId="33691"/>
    <cellStyle name="Normal 12 169" xfId="33714"/>
    <cellStyle name="Normal 12 17" xfId="433"/>
    <cellStyle name="Normal 12 17 2" xfId="2908"/>
    <cellStyle name="Normal 12 17 2 2" xfId="9678"/>
    <cellStyle name="Normal 12 17 2 3" xfId="22368"/>
    <cellStyle name="Normal 12 17 2 4" xfId="8865"/>
    <cellStyle name="Normal 12 17 2 5" xfId="27541"/>
    <cellStyle name="Normal 12 17 3" xfId="4982"/>
    <cellStyle name="Normal 12 17 3 2" xfId="11752"/>
    <cellStyle name="Normal 12 17 3 3" xfId="24442"/>
    <cellStyle name="Normal 12 17 3 4" xfId="15877"/>
    <cellStyle name="Normal 12 17 3 5" xfId="31776"/>
    <cellStyle name="Normal 12 17 4" xfId="7203"/>
    <cellStyle name="Normal 12 17 5" xfId="20164"/>
    <cellStyle name="Normal 12 17 6" xfId="16895"/>
    <cellStyle name="Normal 12 17 7" xfId="28114"/>
    <cellStyle name="Normal 12 170" xfId="33737"/>
    <cellStyle name="Normal 12 171" xfId="33760"/>
    <cellStyle name="Normal 12 172" xfId="33783"/>
    <cellStyle name="Normal 12 173" xfId="33806"/>
    <cellStyle name="Normal 12 174" xfId="33829"/>
    <cellStyle name="Normal 12 175" xfId="33852"/>
    <cellStyle name="Normal 12 176" xfId="33875"/>
    <cellStyle name="Normal 12 177" xfId="33898"/>
    <cellStyle name="Normal 12 178" xfId="33921"/>
    <cellStyle name="Normal 12 179" xfId="33944"/>
    <cellStyle name="Normal 12 18" xfId="456"/>
    <cellStyle name="Normal 12 18 2" xfId="2931"/>
    <cellStyle name="Normal 12 18 2 2" xfId="9701"/>
    <cellStyle name="Normal 12 18 2 3" xfId="22391"/>
    <cellStyle name="Normal 12 18 2 4" xfId="8388"/>
    <cellStyle name="Normal 12 18 2 5" xfId="30670"/>
    <cellStyle name="Normal 12 18 3" xfId="5002"/>
    <cellStyle name="Normal 12 18 3 2" xfId="11772"/>
    <cellStyle name="Normal 12 18 3 3" xfId="24462"/>
    <cellStyle name="Normal 12 18 3 4" xfId="18124"/>
    <cellStyle name="Normal 12 18 3 5" xfId="30758"/>
    <cellStyle name="Normal 12 18 4" xfId="7226"/>
    <cellStyle name="Normal 12 18 5" xfId="20184"/>
    <cellStyle name="Normal 12 18 6" xfId="18727"/>
    <cellStyle name="Normal 12 18 7" xfId="31047"/>
    <cellStyle name="Normal 12 180" xfId="33967"/>
    <cellStyle name="Normal 12 181" xfId="33990"/>
    <cellStyle name="Normal 12 182" xfId="34011"/>
    <cellStyle name="Normal 12 183" xfId="34029"/>
    <cellStyle name="Normal 12 184" xfId="34046"/>
    <cellStyle name="Normal 12 19" xfId="479"/>
    <cellStyle name="Normal 12 19 2" xfId="2954"/>
    <cellStyle name="Normal 12 19 2 2" xfId="9724"/>
    <cellStyle name="Normal 12 19 2 3" xfId="22414"/>
    <cellStyle name="Normal 12 19 2 4" xfId="6900"/>
    <cellStyle name="Normal 12 19 2 5" xfId="28645"/>
    <cellStyle name="Normal 12 19 3" xfId="5022"/>
    <cellStyle name="Normal 12 19 3 2" xfId="11792"/>
    <cellStyle name="Normal 12 19 3 3" xfId="24482"/>
    <cellStyle name="Normal 12 19 3 4" xfId="19865"/>
    <cellStyle name="Normal 12 19 3 5" xfId="29630"/>
    <cellStyle name="Normal 12 19 4" xfId="7249"/>
    <cellStyle name="Normal 12 19 5" xfId="20204"/>
    <cellStyle name="Normal 12 19 6" xfId="14231"/>
    <cellStyle name="Normal 12 19 7" xfId="28991"/>
    <cellStyle name="Normal 12 2" xfId="88"/>
    <cellStyle name="Normal 12 2 2" xfId="2572"/>
    <cellStyle name="Normal 12 2 2 2" xfId="9342"/>
    <cellStyle name="Normal 12 2 2 3" xfId="22032"/>
    <cellStyle name="Normal 12 2 2 4" xfId="16464"/>
    <cellStyle name="Normal 12 2 2 5" xfId="28020"/>
    <cellStyle name="Normal 12 2 3" xfId="3166"/>
    <cellStyle name="Normal 12 2 3 2" xfId="9936"/>
    <cellStyle name="Normal 12 2 3 3" xfId="22626"/>
    <cellStyle name="Normal 12 2 3 4" xfId="17288"/>
    <cellStyle name="Normal 12 2 3 5" xfId="27509"/>
    <cellStyle name="Normal 12 2 4" xfId="6858"/>
    <cellStyle name="Normal 12 2 5" xfId="14227"/>
    <cellStyle name="Normal 12 2 6" xfId="17415"/>
    <cellStyle name="Normal 12 2 7" xfId="31743"/>
    <cellStyle name="Normal 12 20" xfId="502"/>
    <cellStyle name="Normal 12 20 2" xfId="2977"/>
    <cellStyle name="Normal 12 20 2 2" xfId="9747"/>
    <cellStyle name="Normal 12 20 2 3" xfId="22437"/>
    <cellStyle name="Normal 12 20 2 4" xfId="7448"/>
    <cellStyle name="Normal 12 20 2 5" xfId="32357"/>
    <cellStyle name="Normal 12 20 3" xfId="5042"/>
    <cellStyle name="Normal 12 20 3 2" xfId="11812"/>
    <cellStyle name="Normal 12 20 3 3" xfId="24502"/>
    <cellStyle name="Normal 12 20 3 4" xfId="15487"/>
    <cellStyle name="Normal 12 20 3 5" xfId="26549"/>
    <cellStyle name="Normal 12 20 4" xfId="7272"/>
    <cellStyle name="Normal 12 20 5" xfId="20224"/>
    <cellStyle name="Normal 12 20 6" xfId="16433"/>
    <cellStyle name="Normal 12 20 7" xfId="30413"/>
    <cellStyle name="Normal 12 21" xfId="525"/>
    <cellStyle name="Normal 12 21 2" xfId="3000"/>
    <cellStyle name="Normal 12 21 2 2" xfId="9770"/>
    <cellStyle name="Normal 12 21 2 3" xfId="22460"/>
    <cellStyle name="Normal 12 21 2 4" xfId="9156"/>
    <cellStyle name="Normal 12 21 2 5" xfId="27271"/>
    <cellStyle name="Normal 12 21 3" xfId="5062"/>
    <cellStyle name="Normal 12 21 3 2" xfId="11832"/>
    <cellStyle name="Normal 12 21 3 3" xfId="24522"/>
    <cellStyle name="Normal 12 21 3 4" xfId="17747"/>
    <cellStyle name="Normal 12 21 3 5" xfId="28666"/>
    <cellStyle name="Normal 12 21 4" xfId="7295"/>
    <cellStyle name="Normal 12 21 5" xfId="20244"/>
    <cellStyle name="Normal 12 21 6" xfId="18314"/>
    <cellStyle name="Normal 12 21 7" xfId="26792"/>
    <cellStyle name="Normal 12 22" xfId="548"/>
    <cellStyle name="Normal 12 22 2" xfId="3021"/>
    <cellStyle name="Normal 12 22 2 2" xfId="9791"/>
    <cellStyle name="Normal 12 22 2 3" xfId="22481"/>
    <cellStyle name="Normal 12 22 2 4" xfId="9170"/>
    <cellStyle name="Normal 12 22 2 5" xfId="31386"/>
    <cellStyle name="Normal 12 22 3" xfId="5082"/>
    <cellStyle name="Normal 12 22 3 2" xfId="11852"/>
    <cellStyle name="Normal 12 22 3 3" xfId="24542"/>
    <cellStyle name="Normal 12 22 3 4" xfId="16940"/>
    <cellStyle name="Normal 12 22 3 5" xfId="27640"/>
    <cellStyle name="Normal 12 22 4" xfId="7318"/>
    <cellStyle name="Normal 12 22 5" xfId="20264"/>
    <cellStyle name="Normal 12 22 6" xfId="15875"/>
    <cellStyle name="Normal 12 22 7" xfId="29785"/>
    <cellStyle name="Normal 12 23" xfId="571"/>
    <cellStyle name="Normal 12 23 2" xfId="3044"/>
    <cellStyle name="Normal 12 23 2 2" xfId="9814"/>
    <cellStyle name="Normal 12 23 2 3" xfId="22504"/>
    <cellStyle name="Normal 12 23 2 4" xfId="15709"/>
    <cellStyle name="Normal 12 23 2 5" xfId="29304"/>
    <cellStyle name="Normal 12 23 3" xfId="5102"/>
    <cellStyle name="Normal 12 23 3 2" xfId="11872"/>
    <cellStyle name="Normal 12 23 3 3" xfId="24562"/>
    <cellStyle name="Normal 12 23 3 4" xfId="15103"/>
    <cellStyle name="Normal 12 23 3 5" xfId="29491"/>
    <cellStyle name="Normal 12 23 4" xfId="7341"/>
    <cellStyle name="Normal 12 23 5" xfId="20284"/>
    <cellStyle name="Normal 12 23 6" xfId="16162"/>
    <cellStyle name="Normal 12 23 7" xfId="27480"/>
    <cellStyle name="Normal 12 24" xfId="593"/>
    <cellStyle name="Normal 12 24 2" xfId="3066"/>
    <cellStyle name="Normal 12 24 2 2" xfId="9836"/>
    <cellStyle name="Normal 12 24 2 3" xfId="22526"/>
    <cellStyle name="Normal 12 24 2 4" xfId="19792"/>
    <cellStyle name="Normal 12 24 2 5" xfId="27181"/>
    <cellStyle name="Normal 12 24 3" xfId="5121"/>
    <cellStyle name="Normal 12 24 3 2" xfId="11891"/>
    <cellStyle name="Normal 12 24 3 3" xfId="24581"/>
    <cellStyle name="Normal 12 24 3 4" xfId="19276"/>
    <cellStyle name="Normal 12 24 3 5" xfId="26392"/>
    <cellStyle name="Normal 12 24 4" xfId="7363"/>
    <cellStyle name="Normal 12 24 5" xfId="20303"/>
    <cellStyle name="Normal 12 24 6" xfId="13803"/>
    <cellStyle name="Normal 12 24 7" xfId="28825"/>
    <cellStyle name="Normal 12 25" xfId="615"/>
    <cellStyle name="Normal 12 25 2" xfId="3088"/>
    <cellStyle name="Normal 12 25 2 2" xfId="9858"/>
    <cellStyle name="Normal 12 25 2 3" xfId="22548"/>
    <cellStyle name="Normal 12 25 2 4" xfId="17807"/>
    <cellStyle name="Normal 12 25 2 5" xfId="28320"/>
    <cellStyle name="Normal 12 25 3" xfId="5141"/>
    <cellStyle name="Normal 12 25 3 2" xfId="11911"/>
    <cellStyle name="Normal 12 25 3 3" xfId="24601"/>
    <cellStyle name="Normal 12 25 3 4" xfId="14852"/>
    <cellStyle name="Normal 12 25 3 5" xfId="27418"/>
    <cellStyle name="Normal 12 25 4" xfId="7385"/>
    <cellStyle name="Normal 12 25 5" xfId="20323"/>
    <cellStyle name="Normal 12 25 6" xfId="20008"/>
    <cellStyle name="Normal 12 25 7" xfId="26646"/>
    <cellStyle name="Normal 12 26" xfId="640"/>
    <cellStyle name="Normal 12 26 2" xfId="3113"/>
    <cellStyle name="Normal 12 26 2 2" xfId="9883"/>
    <cellStyle name="Normal 12 26 2 3" xfId="22573"/>
    <cellStyle name="Normal 12 26 2 4" xfId="15272"/>
    <cellStyle name="Normal 12 26 2 5" xfId="30110"/>
    <cellStyle name="Normal 12 26 3" xfId="5162"/>
    <cellStyle name="Normal 12 26 3 2" xfId="11932"/>
    <cellStyle name="Normal 12 26 3 3" xfId="24622"/>
    <cellStyle name="Normal 12 26 3 4" xfId="14718"/>
    <cellStyle name="Normal 12 26 3 5" xfId="26410"/>
    <cellStyle name="Normal 12 26 4" xfId="7410"/>
    <cellStyle name="Normal 12 26 5" xfId="20344"/>
    <cellStyle name="Normal 12 26 6" xfId="17680"/>
    <cellStyle name="Normal 12 26 7" xfId="31726"/>
    <cellStyle name="Normal 12 27" xfId="661"/>
    <cellStyle name="Normal 12 27 2" xfId="3133"/>
    <cellStyle name="Normal 12 27 2 2" xfId="9903"/>
    <cellStyle name="Normal 12 27 2 3" xfId="22593"/>
    <cellStyle name="Normal 12 27 2 4" xfId="17502"/>
    <cellStyle name="Normal 12 27 2 5" xfId="32146"/>
    <cellStyle name="Normal 12 27 3" xfId="5180"/>
    <cellStyle name="Normal 12 27 3 2" xfId="11950"/>
    <cellStyle name="Normal 12 27 3 3" xfId="24640"/>
    <cellStyle name="Normal 12 27 3 4" xfId="13617"/>
    <cellStyle name="Normal 12 27 3 5" xfId="30337"/>
    <cellStyle name="Normal 12 27 4" xfId="7431"/>
    <cellStyle name="Normal 12 27 5" xfId="20362"/>
    <cellStyle name="Normal 12 27 6" xfId="19429"/>
    <cellStyle name="Normal 12 27 7" xfId="27744"/>
    <cellStyle name="Normal 12 28" xfId="684"/>
    <cellStyle name="Normal 12 28 2" xfId="3156"/>
    <cellStyle name="Normal 12 28 2 2" xfId="9926"/>
    <cellStyle name="Normal 12 28 2 3" xfId="22616"/>
    <cellStyle name="Normal 12 28 2 4" xfId="19271"/>
    <cellStyle name="Normal 12 28 2 5" xfId="27042"/>
    <cellStyle name="Normal 12 28 3" xfId="5201"/>
    <cellStyle name="Normal 12 28 3 2" xfId="11971"/>
    <cellStyle name="Normal 12 28 3 3" xfId="24661"/>
    <cellStyle name="Normal 12 28 3 4" xfId="14212"/>
    <cellStyle name="Normal 12 28 3 5" xfId="29412"/>
    <cellStyle name="Normal 12 28 4" xfId="7454"/>
    <cellStyle name="Normal 12 28 5" xfId="20383"/>
    <cellStyle name="Normal 12 28 6" xfId="15001"/>
    <cellStyle name="Normal 12 28 7" xfId="30662"/>
    <cellStyle name="Normal 12 29" xfId="706"/>
    <cellStyle name="Normal 12 29 2" xfId="3178"/>
    <cellStyle name="Normal 12 29 2 2" xfId="9948"/>
    <cellStyle name="Normal 12 29 2 3" xfId="22638"/>
    <cellStyle name="Normal 12 29 2 4" xfId="17221"/>
    <cellStyle name="Normal 12 29 2 5" xfId="28190"/>
    <cellStyle name="Normal 12 29 3" xfId="5220"/>
    <cellStyle name="Normal 12 29 3 2" xfId="11990"/>
    <cellStyle name="Normal 12 29 3 3" xfId="24680"/>
    <cellStyle name="Normal 12 29 3 4" xfId="18690"/>
    <cellStyle name="Normal 12 29 3 5" xfId="31446"/>
    <cellStyle name="Normal 12 29 4" xfId="7476"/>
    <cellStyle name="Normal 12 29 5" xfId="20402"/>
    <cellStyle name="Normal 12 29 6" xfId="14849"/>
    <cellStyle name="Normal 12 29 7" xfId="31626"/>
    <cellStyle name="Normal 12 3" xfId="112"/>
    <cellStyle name="Normal 12 3 2" xfId="2596"/>
    <cellStyle name="Normal 12 3 2 2" xfId="9366"/>
    <cellStyle name="Normal 12 3 2 3" xfId="22056"/>
    <cellStyle name="Normal 12 3 2 4" xfId="16307"/>
    <cellStyle name="Normal 12 3 2 5" xfId="27987"/>
    <cellStyle name="Normal 12 3 3" xfId="4417"/>
    <cellStyle name="Normal 12 3 3 2" xfId="11187"/>
    <cellStyle name="Normal 12 3 3 3" xfId="23877"/>
    <cellStyle name="Normal 12 3 3 4" xfId="17576"/>
    <cellStyle name="Normal 12 3 3 5" xfId="27180"/>
    <cellStyle name="Normal 12 3 4" xfId="6882"/>
    <cellStyle name="Normal 12 3 5" xfId="15463"/>
    <cellStyle name="Normal 12 3 6" xfId="17238"/>
    <cellStyle name="Normal 12 3 7" xfId="30991"/>
    <cellStyle name="Normal 12 30" xfId="729"/>
    <cellStyle name="Normal 12 30 2" xfId="3200"/>
    <cellStyle name="Normal 12 30 2 2" xfId="9970"/>
    <cellStyle name="Normal 12 30 2 3" xfId="22660"/>
    <cellStyle name="Normal 12 30 2 4" xfId="14684"/>
    <cellStyle name="Normal 12 30 2 5" xfId="29090"/>
    <cellStyle name="Normal 12 30 3" xfId="5239"/>
    <cellStyle name="Normal 12 30 3 2" xfId="12009"/>
    <cellStyle name="Normal 12 30 3 3" xfId="24699"/>
    <cellStyle name="Normal 12 30 3 4" xfId="16569"/>
    <cellStyle name="Normal 12 30 3 5" xfId="27571"/>
    <cellStyle name="Normal 12 30 4" xfId="7499"/>
    <cellStyle name="Normal 12 30 5" xfId="20421"/>
    <cellStyle name="Normal 12 30 6" xfId="19000"/>
    <cellStyle name="Normal 12 30 7" xfId="26450"/>
    <cellStyle name="Normal 12 31" xfId="753"/>
    <cellStyle name="Normal 12 31 2" xfId="3224"/>
    <cellStyle name="Normal 12 31 2 2" xfId="9994"/>
    <cellStyle name="Normal 12 31 2 3" xfId="22684"/>
    <cellStyle name="Normal 12 31 2 4" xfId="14538"/>
    <cellStyle name="Normal 12 31 2 5" xfId="29051"/>
    <cellStyle name="Normal 12 31 3" xfId="5261"/>
    <cellStyle name="Normal 12 31 3 2" xfId="12031"/>
    <cellStyle name="Normal 12 31 3 3" xfId="24721"/>
    <cellStyle name="Normal 12 31 3 4" xfId="14057"/>
    <cellStyle name="Normal 12 31 3 5" xfId="27968"/>
    <cellStyle name="Normal 12 31 4" xfId="7523"/>
    <cellStyle name="Normal 12 31 5" xfId="20443"/>
    <cellStyle name="Normal 12 31 6" xfId="16799"/>
    <cellStyle name="Normal 12 31 7" xfId="26280"/>
    <cellStyle name="Normal 12 32" xfId="777"/>
    <cellStyle name="Normal 12 32 2" xfId="3247"/>
    <cellStyle name="Normal 12 32 2 2" xfId="10017"/>
    <cellStyle name="Normal 12 32 2 3" xfId="22707"/>
    <cellStyle name="Normal 12 32 2 4" xfId="16760"/>
    <cellStyle name="Normal 12 32 2 5" xfId="31989"/>
    <cellStyle name="Normal 12 32 3" xfId="5281"/>
    <cellStyle name="Normal 12 32 3 2" xfId="12051"/>
    <cellStyle name="Normal 12 32 3 3" xfId="24741"/>
    <cellStyle name="Normal 12 32 3 4" xfId="15968"/>
    <cellStyle name="Normal 12 32 3 5" xfId="27493"/>
    <cellStyle name="Normal 12 32 4" xfId="7547"/>
    <cellStyle name="Normal 12 32 5" xfId="20463"/>
    <cellStyle name="Normal 12 32 6" xfId="14303"/>
    <cellStyle name="Normal 12 32 7" xfId="27394"/>
    <cellStyle name="Normal 12 33" xfId="800"/>
    <cellStyle name="Normal 12 33 2" xfId="3268"/>
    <cellStyle name="Normal 12 33 2 2" xfId="10038"/>
    <cellStyle name="Normal 12 33 2 3" xfId="22728"/>
    <cellStyle name="Normal 12 33 2 4" xfId="16608"/>
    <cellStyle name="Normal 12 33 2 5" xfId="28042"/>
    <cellStyle name="Normal 12 33 3" xfId="5301"/>
    <cellStyle name="Normal 12 33 3 2" xfId="12071"/>
    <cellStyle name="Normal 12 33 3 3" xfId="24761"/>
    <cellStyle name="Normal 12 33 3 4" xfId="16840"/>
    <cellStyle name="Normal 12 33 3 5" xfId="19732"/>
    <cellStyle name="Normal 12 33 4" xfId="7570"/>
    <cellStyle name="Normal 12 33 5" xfId="20483"/>
    <cellStyle name="Normal 12 33 6" xfId="16501"/>
    <cellStyle name="Normal 12 33 7" xfId="30332"/>
    <cellStyle name="Normal 12 34" xfId="823"/>
    <cellStyle name="Normal 12 34 2" xfId="3291"/>
    <cellStyle name="Normal 12 34 2 2" xfId="10061"/>
    <cellStyle name="Normal 12 34 2 3" xfId="22751"/>
    <cellStyle name="Normal 12 34 2 4" xfId="18472"/>
    <cellStyle name="Normal 12 34 2 5" xfId="30965"/>
    <cellStyle name="Normal 12 34 3" xfId="5321"/>
    <cellStyle name="Normal 12 34 3 2" xfId="12091"/>
    <cellStyle name="Normal 12 34 3 3" xfId="24781"/>
    <cellStyle name="Normal 12 34 3 4" xfId="15833"/>
    <cellStyle name="Normal 12 34 3 5" xfId="15093"/>
    <cellStyle name="Normal 12 34 4" xfId="7593"/>
    <cellStyle name="Normal 12 34 5" xfId="20503"/>
    <cellStyle name="Normal 12 34 6" xfId="19791"/>
    <cellStyle name="Normal 12 34 7" xfId="27549"/>
    <cellStyle name="Normal 12 35" xfId="846"/>
    <cellStyle name="Normal 12 35 2" xfId="3312"/>
    <cellStyle name="Normal 12 35 2 2" xfId="10082"/>
    <cellStyle name="Normal 12 35 2 3" xfId="22772"/>
    <cellStyle name="Normal 12 35 2 4" xfId="18351"/>
    <cellStyle name="Normal 12 35 2 5" xfId="26796"/>
    <cellStyle name="Normal 12 35 3" xfId="5341"/>
    <cellStyle name="Normal 12 35 3 2" xfId="12111"/>
    <cellStyle name="Normal 12 35 3 3" xfId="24801"/>
    <cellStyle name="Normal 12 35 3 4" xfId="16141"/>
    <cellStyle name="Normal 12 35 3 5" xfId="15453"/>
    <cellStyle name="Normal 12 35 4" xfId="7616"/>
    <cellStyle name="Normal 12 35 5" xfId="20523"/>
    <cellStyle name="Normal 12 35 6" xfId="15416"/>
    <cellStyle name="Normal 12 35 7" xfId="30553"/>
    <cellStyle name="Normal 12 36" xfId="869"/>
    <cellStyle name="Normal 12 36 2" xfId="3334"/>
    <cellStyle name="Normal 12 36 2 2" xfId="10104"/>
    <cellStyle name="Normal 12 36 2 3" xfId="22794"/>
    <cellStyle name="Normal 12 36 2 4" xfId="15941"/>
    <cellStyle name="Normal 12 36 2 5" xfId="27930"/>
    <cellStyle name="Normal 12 36 3" xfId="5361"/>
    <cellStyle name="Normal 12 36 3 2" xfId="12131"/>
    <cellStyle name="Normal 12 36 3 3" xfId="24821"/>
    <cellStyle name="Normal 12 36 3 4" xfId="15549"/>
    <cellStyle name="Normal 12 36 3 5" xfId="14889"/>
    <cellStyle name="Normal 12 36 4" xfId="7639"/>
    <cellStyle name="Normal 12 36 5" xfId="20543"/>
    <cellStyle name="Normal 12 36 6" xfId="17634"/>
    <cellStyle name="Normal 12 36 7" xfId="28152"/>
    <cellStyle name="Normal 12 37" xfId="892"/>
    <cellStyle name="Normal 12 37 2" xfId="3356"/>
    <cellStyle name="Normal 12 37 2 2" xfId="10126"/>
    <cellStyle name="Normal 12 37 2 3" xfId="22816"/>
    <cellStyle name="Normal 12 37 2 4" xfId="15773"/>
    <cellStyle name="Normal 12 37 2 5" xfId="28863"/>
    <cellStyle name="Normal 12 37 3" xfId="5381"/>
    <cellStyle name="Normal 12 37 3 2" xfId="12151"/>
    <cellStyle name="Normal 12 37 3 3" xfId="24841"/>
    <cellStyle name="Normal 12 37 3 4" xfId="17811"/>
    <cellStyle name="Normal 12 37 3 5" xfId="14137"/>
    <cellStyle name="Normal 12 37 4" xfId="7662"/>
    <cellStyle name="Normal 12 37 5" xfId="20563"/>
    <cellStyle name="Normal 12 37 6" xfId="19384"/>
    <cellStyle name="Normal 12 37 7" xfId="32428"/>
    <cellStyle name="Normal 12 38" xfId="915"/>
    <cellStyle name="Normal 12 38 2" xfId="3379"/>
    <cellStyle name="Normal 12 38 2 2" xfId="10149"/>
    <cellStyle name="Normal 12 38 2 3" xfId="22839"/>
    <cellStyle name="Normal 12 38 2 4" xfId="17992"/>
    <cellStyle name="Normal 12 38 2 5" xfId="31803"/>
    <cellStyle name="Normal 12 38 3" xfId="5401"/>
    <cellStyle name="Normal 12 38 3 2" xfId="12171"/>
    <cellStyle name="Normal 12 38 3 3" xfId="24861"/>
    <cellStyle name="Normal 12 38 3 4" xfId="19550"/>
    <cellStyle name="Normal 12 38 3 5" xfId="18639"/>
    <cellStyle name="Normal 12 38 4" xfId="7685"/>
    <cellStyle name="Normal 12 38 5" xfId="20583"/>
    <cellStyle name="Normal 12 38 6" xfId="14975"/>
    <cellStyle name="Normal 12 38 7" xfId="27352"/>
    <cellStyle name="Normal 12 39" xfId="938"/>
    <cellStyle name="Normal 12 39 2" xfId="3402"/>
    <cellStyle name="Normal 12 39 2 2" xfId="10172"/>
    <cellStyle name="Normal 12 39 2 3" xfId="22862"/>
    <cellStyle name="Normal 12 39 2 4" xfId="19727"/>
    <cellStyle name="Normal 12 39 2 5" xfId="26651"/>
    <cellStyle name="Normal 12 39 3" xfId="5421"/>
    <cellStyle name="Normal 12 39 3 2" xfId="12191"/>
    <cellStyle name="Normal 12 39 3 3" xfId="24881"/>
    <cellStyle name="Normal 12 39 3 4" xfId="15170"/>
    <cellStyle name="Normal 12 39 3 5" xfId="16764"/>
    <cellStyle name="Normal 12 39 4" xfId="7708"/>
    <cellStyle name="Normal 12 39 5" xfId="20603"/>
    <cellStyle name="Normal 12 39 6" xfId="16011"/>
    <cellStyle name="Normal 12 39 7" xfId="30291"/>
    <cellStyle name="Normal 12 4" xfId="135"/>
    <cellStyle name="Normal 12 4 2" xfId="2619"/>
    <cellStyle name="Normal 12 4 2 2" xfId="9389"/>
    <cellStyle name="Normal 12 4 2 3" xfId="22079"/>
    <cellStyle name="Normal 12 4 2 4" xfId="16150"/>
    <cellStyle name="Normal 12 4 2 5" xfId="30911"/>
    <cellStyle name="Normal 12 4 3" xfId="3956"/>
    <cellStyle name="Normal 12 4 3 2" xfId="10726"/>
    <cellStyle name="Normal 12 4 3 3" xfId="23416"/>
    <cellStyle name="Normal 12 4 3 4" xfId="13974"/>
    <cellStyle name="Normal 12 4 3 5" xfId="32309"/>
    <cellStyle name="Normal 12 4 4" xfId="6905"/>
    <cellStyle name="Normal 12 4 5" xfId="15023"/>
    <cellStyle name="Normal 12 4 6" xfId="19032"/>
    <cellStyle name="Normal 12 4 7" xfId="26548"/>
    <cellStyle name="Normal 12 40" xfId="959"/>
    <cellStyle name="Normal 12 40 2" xfId="3423"/>
    <cellStyle name="Normal 12 40 2 2" xfId="10193"/>
    <cellStyle name="Normal 12 40 2 3" xfId="22883"/>
    <cellStyle name="Normal 12 40 2 4" xfId="19596"/>
    <cellStyle name="Normal 12 40 2 5" xfId="30746"/>
    <cellStyle name="Normal 12 40 3" xfId="5439"/>
    <cellStyle name="Normal 12 40 3 2" xfId="12209"/>
    <cellStyle name="Normal 12 40 3 3" xfId="24899"/>
    <cellStyle name="Normal 12 40 3 4" xfId="13684"/>
    <cellStyle name="Normal 12 40 3 5" xfId="19733"/>
    <cellStyle name="Normal 12 40 4" xfId="7729"/>
    <cellStyle name="Normal 12 40 5" xfId="20621"/>
    <cellStyle name="Normal 12 40 6" xfId="17037"/>
    <cellStyle name="Normal 12 40 7" xfId="29233"/>
    <cellStyle name="Normal 12 41" xfId="982"/>
    <cellStyle name="Normal 12 41 2" xfId="3446"/>
    <cellStyle name="Normal 12 41 2 2" xfId="10216"/>
    <cellStyle name="Normal 12 41 2 3" xfId="22906"/>
    <cellStyle name="Normal 12 41 2 4" xfId="15198"/>
    <cellStyle name="Normal 12 41 2 5" xfId="28727"/>
    <cellStyle name="Normal 12 41 3" xfId="5460"/>
    <cellStyle name="Normal 12 41 3 2" xfId="12230"/>
    <cellStyle name="Normal 12 41 3 3" xfId="24920"/>
    <cellStyle name="Normal 12 41 3 4" xfId="14917"/>
    <cellStyle name="Normal 12 41 3 5" xfId="19449"/>
    <cellStyle name="Normal 12 41 4" xfId="7752"/>
    <cellStyle name="Normal 12 41 5" xfId="20642"/>
    <cellStyle name="Normal 12 41 6" xfId="18860"/>
    <cellStyle name="Normal 12 41 7" xfId="32161"/>
    <cellStyle name="Normal 12 42" xfId="1006"/>
    <cellStyle name="Normal 12 42 2" xfId="3470"/>
    <cellStyle name="Normal 12 42 2 2" xfId="10240"/>
    <cellStyle name="Normal 12 42 2 3" xfId="22930"/>
    <cellStyle name="Normal 12 42 2 4" xfId="15051"/>
    <cellStyle name="Normal 12 42 2 5" xfId="28686"/>
    <cellStyle name="Normal 12 42 3" xfId="5480"/>
    <cellStyle name="Normal 12 42 3 2" xfId="12250"/>
    <cellStyle name="Normal 12 42 3 3" xfId="24940"/>
    <cellStyle name="Normal 12 42 3 4" xfId="17160"/>
    <cellStyle name="Normal 12 42 3 5" xfId="19206"/>
    <cellStyle name="Normal 12 42 4" xfId="7776"/>
    <cellStyle name="Normal 12 42 5" xfId="20662"/>
    <cellStyle name="Normal 12 42 6" xfId="18724"/>
    <cellStyle name="Normal 12 42 7" xfId="27056"/>
    <cellStyle name="Normal 12 43" xfId="1028"/>
    <cellStyle name="Normal 12 43 2" xfId="3492"/>
    <cellStyle name="Normal 12 43 2 2" xfId="10262"/>
    <cellStyle name="Normal 12 43 2 3" xfId="22952"/>
    <cellStyle name="Normal 12 43 2 4" xfId="19185"/>
    <cellStyle name="Normal 12 43 2 5" xfId="26297"/>
    <cellStyle name="Normal 12 43 3" xfId="5499"/>
    <cellStyle name="Normal 12 43 3 2" xfId="12269"/>
    <cellStyle name="Normal 12 43 3 3" xfId="24959"/>
    <cellStyle name="Normal 12 43 3 4" xfId="14688"/>
    <cellStyle name="Normal 12 43 3 5" xfId="14702"/>
    <cellStyle name="Normal 12 43 4" xfId="7798"/>
    <cellStyle name="Normal 12 43 5" xfId="20681"/>
    <cellStyle name="Normal 12 43 6" xfId="16585"/>
    <cellStyle name="Normal 12 43 7" xfId="28197"/>
    <cellStyle name="Normal 12 44" xfId="1050"/>
    <cellStyle name="Normal 12 44 2" xfId="3512"/>
    <cellStyle name="Normal 12 44 2 2" xfId="10282"/>
    <cellStyle name="Normal 12 44 2 3" xfId="22972"/>
    <cellStyle name="Normal 12 44 2 4" xfId="14769"/>
    <cellStyle name="Normal 12 44 2 5" xfId="28620"/>
    <cellStyle name="Normal 12 44 3" xfId="5518"/>
    <cellStyle name="Normal 12 44 3 2" xfId="12288"/>
    <cellStyle name="Normal 12 44 3 3" xfId="24978"/>
    <cellStyle name="Normal 12 44 3 4" xfId="18864"/>
    <cellStyle name="Normal 12 44 3 5" xfId="26294"/>
    <cellStyle name="Normal 12 44 4" xfId="7820"/>
    <cellStyle name="Normal 12 44 5" xfId="20700"/>
    <cellStyle name="Normal 12 44 6" xfId="16430"/>
    <cellStyle name="Normal 12 44 7" xfId="29097"/>
    <cellStyle name="Normal 12 45" xfId="1073"/>
    <cellStyle name="Normal 12 45 2" xfId="3535"/>
    <cellStyle name="Normal 12 45 2 2" xfId="10305"/>
    <cellStyle name="Normal 12 45 2 3" xfId="22995"/>
    <cellStyle name="Normal 12 45 2 4" xfId="16991"/>
    <cellStyle name="Normal 12 45 2 5" xfId="31467"/>
    <cellStyle name="Normal 12 45 3" xfId="5538"/>
    <cellStyle name="Normal 12 45 3 2" xfId="12308"/>
    <cellStyle name="Normal 12 45 3 3" xfId="24998"/>
    <cellStyle name="Normal 12 45 3 4" xfId="13616"/>
    <cellStyle name="Normal 12 45 3 5" xfId="29406"/>
    <cellStyle name="Normal 12 45 4" xfId="7843"/>
    <cellStyle name="Normal 12 45 5" xfId="20720"/>
    <cellStyle name="Normal 12 45 6" xfId="19839"/>
    <cellStyle name="Normal 12 45 7" xfId="26940"/>
    <cellStyle name="Normal 12 46" xfId="1096"/>
    <cellStyle name="Normal 12 46 2" xfId="3557"/>
    <cellStyle name="Normal 12 46 2 2" xfId="10327"/>
    <cellStyle name="Normal 12 46 2 3" xfId="23017"/>
    <cellStyle name="Normal 12 46 2 4" xfId="14460"/>
    <cellStyle name="Normal 12 46 2 5" xfId="30377"/>
    <cellStyle name="Normal 12 46 3" xfId="5558"/>
    <cellStyle name="Normal 12 46 3 2" xfId="12328"/>
    <cellStyle name="Normal 12 46 3 3" xfId="25018"/>
    <cellStyle name="Normal 12 46 3 4" xfId="16637"/>
    <cellStyle name="Normal 12 46 3 5" xfId="28464"/>
    <cellStyle name="Normal 12 46 4" xfId="7866"/>
    <cellStyle name="Normal 12 46 5" xfId="20740"/>
    <cellStyle name="Normal 12 46 6" xfId="13720"/>
    <cellStyle name="Normal 12 46 7" xfId="29921"/>
    <cellStyle name="Normal 12 47" xfId="1118"/>
    <cellStyle name="Normal 12 47 2" xfId="3579"/>
    <cellStyle name="Normal 12 47 2 2" xfId="10349"/>
    <cellStyle name="Normal 12 47 2 3" xfId="23039"/>
    <cellStyle name="Normal 12 47 2 4" xfId="18676"/>
    <cellStyle name="Normal 12 47 2 5" xfId="31527"/>
    <cellStyle name="Normal 12 47 3" xfId="5577"/>
    <cellStyle name="Normal 12 47 3 2" xfId="12347"/>
    <cellStyle name="Normal 12 47 3 3" xfId="25037"/>
    <cellStyle name="Normal 12 47 3 4" xfId="14146"/>
    <cellStyle name="Normal 12 47 3 5" xfId="30242"/>
    <cellStyle name="Normal 12 47 4" xfId="7888"/>
    <cellStyle name="Normal 12 47 5" xfId="20759"/>
    <cellStyle name="Normal 12 47 6" xfId="19584"/>
    <cellStyle name="Normal 12 47 7" xfId="31004"/>
    <cellStyle name="Normal 12 48" xfId="1141"/>
    <cellStyle name="Normal 12 48 2" xfId="3601"/>
    <cellStyle name="Normal 12 48 2 2" xfId="10371"/>
    <cellStyle name="Normal 12 48 2 3" xfId="23061"/>
    <cellStyle name="Normal 12 48 2 4" xfId="16552"/>
    <cellStyle name="Normal 12 48 2 5" xfId="32385"/>
    <cellStyle name="Normal 12 48 3" xfId="5597"/>
    <cellStyle name="Normal 12 48 3 2" xfId="12367"/>
    <cellStyle name="Normal 12 48 3 3" xfId="25057"/>
    <cellStyle name="Normal 12 48 3 4" xfId="16369"/>
    <cellStyle name="Normal 12 48 3 5" xfId="30465"/>
    <cellStyle name="Normal 12 48 4" xfId="7911"/>
    <cellStyle name="Normal 12 48 5" xfId="20779"/>
    <cellStyle name="Normal 12 48 6" xfId="15185"/>
    <cellStyle name="Normal 12 48 7" xfId="31727"/>
    <cellStyle name="Normal 12 49" xfId="1163"/>
    <cellStyle name="Normal 12 49 2" xfId="3623"/>
    <cellStyle name="Normal 12 49 2 2" xfId="10393"/>
    <cellStyle name="Normal 12 49 2 3" xfId="23083"/>
    <cellStyle name="Normal 12 49 2 4" xfId="14018"/>
    <cellStyle name="Normal 12 49 2 5" xfId="29503"/>
    <cellStyle name="Normal 12 49 3" xfId="5616"/>
    <cellStyle name="Normal 12 49 3 2" xfId="12386"/>
    <cellStyle name="Normal 12 49 3 3" xfId="25076"/>
    <cellStyle name="Normal 12 49 3 4" xfId="13880"/>
    <cellStyle name="Normal 12 49 3 5" xfId="29300"/>
    <cellStyle name="Normal 12 49 4" xfId="7933"/>
    <cellStyle name="Normal 12 49 5" xfId="20798"/>
    <cellStyle name="Normal 12 49 6" xfId="17117"/>
    <cellStyle name="Normal 12 49 7" xfId="27950"/>
    <cellStyle name="Normal 12 5" xfId="158"/>
    <cellStyle name="Normal 12 5 2" xfId="2642"/>
    <cellStyle name="Normal 12 5 2 2" xfId="9412"/>
    <cellStyle name="Normal 12 5 2 3" xfId="22102"/>
    <cellStyle name="Normal 12 5 2 4" xfId="15741"/>
    <cellStyle name="Normal 12 5 2 5" xfId="28872"/>
    <cellStyle name="Normal 12 5 3" xfId="3487"/>
    <cellStyle name="Normal 12 5 3 2" xfId="10257"/>
    <cellStyle name="Normal 12 5 3 3" xfId="22947"/>
    <cellStyle name="Normal 12 5 3 4" xfId="17299"/>
    <cellStyle name="Normal 12 5 3 5" xfId="31630"/>
    <cellStyle name="Normal 12 5 4" xfId="6928"/>
    <cellStyle name="Normal 12 5 5" xfId="14564"/>
    <cellStyle name="Normal 12 5 6" xfId="14576"/>
    <cellStyle name="Normal 12 5 7" xfId="29551"/>
    <cellStyle name="Normal 12 50" xfId="1184"/>
    <cellStyle name="Normal 12 50 2" xfId="3644"/>
    <cellStyle name="Normal 12 50 2 2" xfId="10414"/>
    <cellStyle name="Normal 12 50 2 3" xfId="23104"/>
    <cellStyle name="Normal 12 50 2 4" xfId="13886"/>
    <cellStyle name="Normal 12 50 2 5" xfId="27624"/>
    <cellStyle name="Normal 12 50 3" xfId="5635"/>
    <cellStyle name="Normal 12 50 3 2" xfId="12405"/>
    <cellStyle name="Normal 12 50 3 3" xfId="25095"/>
    <cellStyle name="Normal 12 50 3 4" xfId="15965"/>
    <cellStyle name="Normal 12 50 3 5" xfId="31325"/>
    <cellStyle name="Normal 12 50 4" xfId="7954"/>
    <cellStyle name="Normal 12 50 5" xfId="20817"/>
    <cellStyle name="Normal 12 50 6" xfId="19193"/>
    <cellStyle name="Normal 12 50 7" xfId="29762"/>
    <cellStyle name="Normal 12 51" xfId="1209"/>
    <cellStyle name="Normal 12 51 2" xfId="3669"/>
    <cellStyle name="Normal 12 51 2 2" xfId="10439"/>
    <cellStyle name="Normal 12 51 2 3" xfId="23129"/>
    <cellStyle name="Normal 12 51 2 4" xfId="20041"/>
    <cellStyle name="Normal 12 51 2 5" xfId="30381"/>
    <cellStyle name="Normal 12 51 3" xfId="5656"/>
    <cellStyle name="Normal 12 51 3 2" xfId="12426"/>
    <cellStyle name="Normal 12 51 3 3" xfId="25116"/>
    <cellStyle name="Normal 12 51 3 4" xfId="19945"/>
    <cellStyle name="Normal 12 51 3 5" xfId="27146"/>
    <cellStyle name="Normal 12 51 4" xfId="7979"/>
    <cellStyle name="Normal 12 51 5" xfId="20838"/>
    <cellStyle name="Normal 12 51 6" xfId="17110"/>
    <cellStyle name="Normal 12 51 7" xfId="26682"/>
    <cellStyle name="Normal 12 52" xfId="1232"/>
    <cellStyle name="Normal 12 52 2" xfId="3692"/>
    <cellStyle name="Normal 12 52 2 2" xfId="10462"/>
    <cellStyle name="Normal 12 52 2 3" xfId="23152"/>
    <cellStyle name="Normal 12 52 2 4" xfId="15696"/>
    <cellStyle name="Normal 12 52 2 5" xfId="29457"/>
    <cellStyle name="Normal 12 52 3" xfId="5676"/>
    <cellStyle name="Normal 12 52 3 2" xfId="12446"/>
    <cellStyle name="Normal 12 52 3 3" xfId="25136"/>
    <cellStyle name="Normal 12 52 3 4" xfId="15908"/>
    <cellStyle name="Normal 12 52 3 5" xfId="29221"/>
    <cellStyle name="Normal 12 52 4" xfId="8002"/>
    <cellStyle name="Normal 12 52 5" xfId="20858"/>
    <cellStyle name="Normal 12 52 6" xfId="18917"/>
    <cellStyle name="Normal 12 52 7" xfId="30774"/>
    <cellStyle name="Normal 12 53" xfId="1255"/>
    <cellStyle name="Normal 12 53 2" xfId="3714"/>
    <cellStyle name="Normal 12 53 2 2" xfId="10484"/>
    <cellStyle name="Normal 12 53 2 3" xfId="23174"/>
    <cellStyle name="Normal 12 53 2 4" xfId="19782"/>
    <cellStyle name="Normal 12 53 2 5" xfId="27346"/>
    <cellStyle name="Normal 12 53 3" xfId="5696"/>
    <cellStyle name="Normal 12 53 3 2" xfId="12466"/>
    <cellStyle name="Normal 12 53 3 3" xfId="25156"/>
    <cellStyle name="Normal 12 53 3 4" xfId="19747"/>
    <cellStyle name="Normal 12 53 3 5" xfId="28267"/>
    <cellStyle name="Normal 12 53 4" xfId="8025"/>
    <cellStyle name="Normal 12 53 5" xfId="20878"/>
    <cellStyle name="Normal 12 53 6" xfId="14427"/>
    <cellStyle name="Normal 12 53 7" xfId="28745"/>
    <cellStyle name="Normal 12 54" xfId="1278"/>
    <cellStyle name="Normal 12 54 2" xfId="3737"/>
    <cellStyle name="Normal 12 54 2 2" xfId="10507"/>
    <cellStyle name="Normal 12 54 2 3" xfId="23197"/>
    <cellStyle name="Normal 12 54 2 4" xfId="15407"/>
    <cellStyle name="Normal 12 54 2 5" xfId="30284"/>
    <cellStyle name="Normal 12 54 3" xfId="5716"/>
    <cellStyle name="Normal 12 54 3 2" xfId="12486"/>
    <cellStyle name="Normal 12 54 3 3" xfId="25176"/>
    <cellStyle name="Normal 12 54 3 4" xfId="15389"/>
    <cellStyle name="Normal 12 54 3 5" xfId="27054"/>
    <cellStyle name="Normal 12 54 4" xfId="8048"/>
    <cellStyle name="Normal 12 54 5" xfId="20898"/>
    <cellStyle name="Normal 12 54 6" xfId="16650"/>
    <cellStyle name="Normal 12 54 7" xfId="30837"/>
    <cellStyle name="Normal 12 55" xfId="1301"/>
    <cellStyle name="Normal 12 55 2" xfId="3759"/>
    <cellStyle name="Normal 12 55 2 2" xfId="10529"/>
    <cellStyle name="Normal 12 55 2 3" xfId="23219"/>
    <cellStyle name="Normal 12 55 2 4" xfId="19535"/>
    <cellStyle name="Normal 12 55 2 5" xfId="30570"/>
    <cellStyle name="Normal 12 55 3" xfId="5736"/>
    <cellStyle name="Normal 12 55 3 2" xfId="12506"/>
    <cellStyle name="Normal 12 55 3 3" xfId="25196"/>
    <cellStyle name="Normal 12 55 3 4" xfId="17625"/>
    <cellStyle name="Normal 12 55 3 5" xfId="29141"/>
    <cellStyle name="Normal 12 55 4" xfId="8071"/>
    <cellStyle name="Normal 12 55 5" xfId="20918"/>
    <cellStyle name="Normal 12 55 6" xfId="19899"/>
    <cellStyle name="Normal 12 55 7" xfId="27275"/>
    <cellStyle name="Normal 12 56" xfId="1324"/>
    <cellStyle name="Normal 12 56 2" xfId="3782"/>
    <cellStyle name="Normal 12 56 2 2" xfId="10552"/>
    <cellStyle name="Normal 12 56 2 3" xfId="23242"/>
    <cellStyle name="Normal 12 56 2 4" xfId="15108"/>
    <cellStyle name="Normal 12 56 2 5" xfId="28032"/>
    <cellStyle name="Normal 12 56 3" xfId="5756"/>
    <cellStyle name="Normal 12 56 3 2" xfId="12526"/>
    <cellStyle name="Normal 12 56 3 3" xfId="25216"/>
    <cellStyle name="Normal 12 56 3 4" xfId="19391"/>
    <cellStyle name="Normal 12 56 3 5" xfId="28175"/>
    <cellStyle name="Normal 12 56 4" xfId="8094"/>
    <cellStyle name="Normal 12 56 5" xfId="20938"/>
    <cellStyle name="Normal 12 56 6" xfId="13777"/>
    <cellStyle name="Normal 12 56 7" xfId="30223"/>
    <cellStyle name="Normal 12 57" xfId="1347"/>
    <cellStyle name="Normal 12 57 2" xfId="3804"/>
    <cellStyle name="Normal 12 57 2 2" xfId="10574"/>
    <cellStyle name="Normal 12 57 2 3" xfId="23264"/>
    <cellStyle name="Normal 12 57 2 4" xfId="19260"/>
    <cellStyle name="Normal 12 57 2 5" xfId="27403"/>
    <cellStyle name="Normal 12 57 3" xfId="5776"/>
    <cellStyle name="Normal 12 57 3 2" xfId="12546"/>
    <cellStyle name="Normal 12 57 3 3" xfId="25236"/>
    <cellStyle name="Normal 12 57 3 4" xfId="15011"/>
    <cellStyle name="Normal 12 57 3 5" xfId="26960"/>
    <cellStyle name="Normal 12 57 4" xfId="8117"/>
    <cellStyle name="Normal 12 57 5" xfId="20958"/>
    <cellStyle name="Normal 12 57 6" xfId="17756"/>
    <cellStyle name="Normal 12 57 7" xfId="28378"/>
    <cellStyle name="Normal 12 58" xfId="1370"/>
    <cellStyle name="Normal 12 58 2" xfId="3826"/>
    <cellStyle name="Normal 12 58 2 2" xfId="10596"/>
    <cellStyle name="Normal 12 58 2 3" xfId="23286"/>
    <cellStyle name="Normal 12 58 2 4" xfId="17208"/>
    <cellStyle name="Normal 12 58 2 5" xfId="28554"/>
    <cellStyle name="Normal 12 58 3" xfId="5796"/>
    <cellStyle name="Normal 12 58 3 2" xfId="12566"/>
    <cellStyle name="Normal 12 58 3 3" xfId="25256"/>
    <cellStyle name="Normal 12 58 3 4" xfId="17234"/>
    <cellStyle name="Normal 12 58 3 5" xfId="28566"/>
    <cellStyle name="Normal 12 58 4" xfId="8140"/>
    <cellStyle name="Normal 12 58 5" xfId="20978"/>
    <cellStyle name="Normal 12 58 6" xfId="19500"/>
    <cellStyle name="Normal 12 58 7" xfId="31324"/>
    <cellStyle name="Normal 12 59" xfId="1393"/>
    <cellStyle name="Normal 12 59 2" xfId="3849"/>
    <cellStyle name="Normal 12 59 2 2" xfId="10619"/>
    <cellStyle name="Normal 12 59 2 3" xfId="23309"/>
    <cellStyle name="Normal 12 59 2 4" xfId="18985"/>
    <cellStyle name="Normal 12 59 2 5" xfId="31491"/>
    <cellStyle name="Normal 12 59 3" xfId="5816"/>
    <cellStyle name="Normal 12 59 3 2" xfId="12586"/>
    <cellStyle name="Normal 12 59 3 3" xfId="25276"/>
    <cellStyle name="Normal 12 59 3 4" xfId="19049"/>
    <cellStyle name="Normal 12 59 3 5" xfId="28081"/>
    <cellStyle name="Normal 12 59 4" xfId="8163"/>
    <cellStyle name="Normal 12 59 5" xfId="20998"/>
    <cellStyle name="Normal 12 59 6" xfId="15094"/>
    <cellStyle name="Normal 12 59 7" xfId="29240"/>
    <cellStyle name="Normal 12 6" xfId="181"/>
    <cellStyle name="Normal 12 6 2" xfId="2663"/>
    <cellStyle name="Normal 12 6 2 2" xfId="9433"/>
    <cellStyle name="Normal 12 6 2 3" xfId="22123"/>
    <cellStyle name="Normal 12 6 2 4" xfId="14271"/>
    <cellStyle name="Normal 12 6 2 5" xfId="29742"/>
    <cellStyle name="Normal 12 6 3" xfId="3016"/>
    <cellStyle name="Normal 12 6 3 2" xfId="9786"/>
    <cellStyle name="Normal 12 6 3 3" xfId="22476"/>
    <cellStyle name="Normal 12 6 3 4" xfId="7053"/>
    <cellStyle name="Normal 12 6 3 5" xfId="28421"/>
    <cellStyle name="Normal 12 6 4" xfId="6951"/>
    <cellStyle name="Normal 12 6 5" xfId="14099"/>
    <cellStyle name="Normal 12 6 6" xfId="16777"/>
    <cellStyle name="Normal 12 6 7" xfId="28496"/>
    <cellStyle name="Normal 12 60" xfId="1416"/>
    <cellStyle name="Normal 12 60 2" xfId="3871"/>
    <cellStyle name="Normal 12 60 2 2" xfId="10641"/>
    <cellStyle name="Normal 12 60 2 3" xfId="23331"/>
    <cellStyle name="Normal 12 60 2 4" xfId="16902"/>
    <cellStyle name="Normal 12 60 2 5" xfId="32352"/>
    <cellStyle name="Normal 12 60 3" xfId="5836"/>
    <cellStyle name="Normal 12 60 3 2" xfId="12606"/>
    <cellStyle name="Normal 12 60 3 3" xfId="25296"/>
    <cellStyle name="Normal 12 60 3 4" xfId="14594"/>
    <cellStyle name="Normal 12 60 3 5" xfId="26862"/>
    <cellStyle name="Normal 12 60 4" xfId="8186"/>
    <cellStyle name="Normal 12 60 5" xfId="21018"/>
    <cellStyle name="Normal 12 60 6" xfId="17303"/>
    <cellStyle name="Normal 12 60 7" xfId="30753"/>
    <cellStyle name="Normal 12 61" xfId="1439"/>
    <cellStyle name="Normal 12 61 2" xfId="3893"/>
    <cellStyle name="Normal 12 61 2 2" xfId="10663"/>
    <cellStyle name="Normal 12 61 2 3" xfId="23353"/>
    <cellStyle name="Normal 12 61 2 4" xfId="14396"/>
    <cellStyle name="Normal 12 61 2 5" xfId="29557"/>
    <cellStyle name="Normal 12 61 3" xfId="5856"/>
    <cellStyle name="Normal 12 61 3 2" xfId="12626"/>
    <cellStyle name="Normal 12 61 3 3" xfId="25316"/>
    <cellStyle name="Normal 12 61 3 4" xfId="16839"/>
    <cellStyle name="Normal 12 61 3 5" xfId="28963"/>
    <cellStyle name="Normal 12 61 4" xfId="8209"/>
    <cellStyle name="Normal 12 61 5" xfId="21038"/>
    <cellStyle name="Normal 12 61 6" xfId="19091"/>
    <cellStyle name="Normal 12 61 7" xfId="27074"/>
    <cellStyle name="Normal 12 62" xfId="1462"/>
    <cellStyle name="Normal 12 62 2" xfId="3916"/>
    <cellStyle name="Normal 12 62 2 2" xfId="10686"/>
    <cellStyle name="Normal 12 62 2 3" xfId="23376"/>
    <cellStyle name="Normal 12 62 2 4" xfId="16595"/>
    <cellStyle name="Normal 12 62 2 5" xfId="27632"/>
    <cellStyle name="Normal 12 62 3" xfId="5876"/>
    <cellStyle name="Normal 12 62 3 2" xfId="12646"/>
    <cellStyle name="Normal 12 62 3 3" xfId="25336"/>
    <cellStyle name="Normal 12 62 3 4" xfId="18697"/>
    <cellStyle name="Normal 12 62 3 5" xfId="27980"/>
    <cellStyle name="Normal 12 62 4" xfId="8232"/>
    <cellStyle name="Normal 12 62 5" xfId="21058"/>
    <cellStyle name="Normal 12 62 6" xfId="14639"/>
    <cellStyle name="Normal 12 62 7" xfId="30039"/>
    <cellStyle name="Normal 12 63" xfId="1485"/>
    <cellStyle name="Normal 12 63 2" xfId="3939"/>
    <cellStyle name="Normal 12 63 2 2" xfId="10709"/>
    <cellStyle name="Normal 12 63 2 3" xfId="23399"/>
    <cellStyle name="Normal 12 63 2 4" xfId="18460"/>
    <cellStyle name="Normal 12 63 2 5" xfId="29369"/>
    <cellStyle name="Normal 12 63 3" xfId="5896"/>
    <cellStyle name="Normal 12 63 3 2" xfId="12666"/>
    <cellStyle name="Normal 12 63 3 3" xfId="25356"/>
    <cellStyle name="Normal 12 63 3 4" xfId="14251"/>
    <cellStyle name="Normal 12 63 3 5" xfId="26771"/>
    <cellStyle name="Normal 12 63 4" xfId="8255"/>
    <cellStyle name="Normal 12 63 5" xfId="21078"/>
    <cellStyle name="Normal 12 63 6" xfId="16842"/>
    <cellStyle name="Normal 12 63 7" xfId="27478"/>
    <cellStyle name="Normal 12 64" xfId="1508"/>
    <cellStyle name="Normal 12 64 2" xfId="3961"/>
    <cellStyle name="Normal 12 64 2 2" xfId="10731"/>
    <cellStyle name="Normal 12 64 2 3" xfId="23421"/>
    <cellStyle name="Normal 12 64 2 4" xfId="16305"/>
    <cellStyle name="Normal 12 64 2 5" xfId="27249"/>
    <cellStyle name="Normal 12 64 3" xfId="5916"/>
    <cellStyle name="Normal 12 64 3 2" xfId="12686"/>
    <cellStyle name="Normal 12 64 3 3" xfId="25376"/>
    <cellStyle name="Normal 12 64 3 4" xfId="16178"/>
    <cellStyle name="Normal 12 64 3 5" xfId="28876"/>
    <cellStyle name="Normal 12 64 4" xfId="8278"/>
    <cellStyle name="Normal 12 64 5" xfId="21098"/>
    <cellStyle name="Normal 12 64 6" xfId="18680"/>
    <cellStyle name="Normal 12 64 7" xfId="31109"/>
    <cellStyle name="Normal 12 65" xfId="1531"/>
    <cellStyle name="Normal 12 65 2" xfId="3983"/>
    <cellStyle name="Normal 12 65 2 2" xfId="10753"/>
    <cellStyle name="Normal 12 65 2 3" xfId="23443"/>
    <cellStyle name="Normal 12 65 2 4" xfId="15897"/>
    <cellStyle name="Normal 12 65 2 5" xfId="28386"/>
    <cellStyle name="Normal 12 65 3" xfId="5936"/>
    <cellStyle name="Normal 12 65 3 2" xfId="12706"/>
    <cellStyle name="Normal 12 65 3 3" xfId="25396"/>
    <cellStyle name="Normal 12 65 3 4" xfId="18324"/>
    <cellStyle name="Normal 12 65 3 5" xfId="27885"/>
    <cellStyle name="Normal 12 65 4" xfId="8301"/>
    <cellStyle name="Normal 12 65 5" xfId="21118"/>
    <cellStyle name="Normal 12 65 6" xfId="14177"/>
    <cellStyle name="Normal 12 65 7" xfId="29045"/>
    <cellStyle name="Normal 12 66" xfId="1554"/>
    <cellStyle name="Normal 12 66 2" xfId="4005"/>
    <cellStyle name="Normal 12 66 2 2" xfId="10775"/>
    <cellStyle name="Normal 12 66 2 3" xfId="23465"/>
    <cellStyle name="Normal 12 66 2 4" xfId="19969"/>
    <cellStyle name="Normal 12 66 2 5" xfId="29283"/>
    <cellStyle name="Normal 12 66 3" xfId="5956"/>
    <cellStyle name="Normal 12 66 3 2" xfId="12726"/>
    <cellStyle name="Normal 12 66 3 3" xfId="25416"/>
    <cellStyle name="Normal 12 66 3 4" xfId="13750"/>
    <cellStyle name="Normal 12 66 3 5" xfId="26680"/>
    <cellStyle name="Normal 12 66 4" xfId="8324"/>
    <cellStyle name="Normal 12 66 5" xfId="21138"/>
    <cellStyle name="Normal 12 66 6" xfId="16379"/>
    <cellStyle name="Normal 12 66 7" xfId="31983"/>
    <cellStyle name="Normal 12 67" xfId="1577"/>
    <cellStyle name="Normal 12 67 2" xfId="4027"/>
    <cellStyle name="Normal 12 67 2 2" xfId="10797"/>
    <cellStyle name="Normal 12 67 2 3" xfId="23487"/>
    <cellStyle name="Normal 12 67 2 4" xfId="17990"/>
    <cellStyle name="Normal 12 67 2 5" xfId="27154"/>
    <cellStyle name="Normal 12 67 3" xfId="5976"/>
    <cellStyle name="Normal 12 67 3 2" xfId="12746"/>
    <cellStyle name="Normal 12 67 3 3" xfId="25436"/>
    <cellStyle name="Normal 12 67 3 4" xfId="18204"/>
    <cellStyle name="Normal 12 67 3 5" xfId="28783"/>
    <cellStyle name="Normal 12 67 4" xfId="8347"/>
    <cellStyle name="Normal 12 67 5" xfId="21158"/>
    <cellStyle name="Normal 12 67 6" xfId="18068"/>
    <cellStyle name="Normal 12 67 7" xfId="26850"/>
    <cellStyle name="Normal 12 68" xfId="1600"/>
    <cellStyle name="Normal 12 68 2" xfId="4049"/>
    <cellStyle name="Normal 12 68 2 2" xfId="10819"/>
    <cellStyle name="Normal 12 68 2 3" xfId="23509"/>
    <cellStyle name="Normal 12 68 2 4" xfId="15490"/>
    <cellStyle name="Normal 12 68 2 5" xfId="28292"/>
    <cellStyle name="Normal 12 68 3" xfId="5996"/>
    <cellStyle name="Normal 12 68 3 2" xfId="12766"/>
    <cellStyle name="Normal 12 68 3 3" xfId="25456"/>
    <cellStyle name="Normal 12 68 3 4" xfId="19879"/>
    <cellStyle name="Normal 12 68 3 5" xfId="27467"/>
    <cellStyle name="Normal 12 68 4" xfId="8370"/>
    <cellStyle name="Normal 12 68 5" xfId="21178"/>
    <cellStyle name="Normal 12 68 6" xfId="15825"/>
    <cellStyle name="Normal 12 68 7" xfId="29840"/>
    <cellStyle name="Normal 12 69" xfId="1622"/>
    <cellStyle name="Normal 12 69 2" xfId="4070"/>
    <cellStyle name="Normal 12 69 2 2" xfId="10840"/>
    <cellStyle name="Normal 12 69 2 3" xfId="23530"/>
    <cellStyle name="Normal 12 69 2 4" xfId="15344"/>
    <cellStyle name="Normal 12 69 2 5" xfId="32157"/>
    <cellStyle name="Normal 12 69 3" xfId="6015"/>
    <cellStyle name="Normal 12 69 3 2" xfId="12785"/>
    <cellStyle name="Normal 12 69 3 3" xfId="25475"/>
    <cellStyle name="Normal 12 69 3 4" xfId="17981"/>
    <cellStyle name="Normal 12 69 3 5" xfId="29622"/>
    <cellStyle name="Normal 12 69 4" xfId="8392"/>
    <cellStyle name="Normal 12 69 5" xfId="21197"/>
    <cellStyle name="Normal 12 69 6" xfId="18501"/>
    <cellStyle name="Normal 12 69 7" xfId="30925"/>
    <cellStyle name="Normal 12 7" xfId="204"/>
    <cellStyle name="Normal 12 7 2" xfId="2684"/>
    <cellStyle name="Normal 12 7 2 2" xfId="9454"/>
    <cellStyle name="Normal 12 7 2 3" xfId="22144"/>
    <cellStyle name="Normal 12 7 2 4" xfId="16421"/>
    <cellStyle name="Normal 12 7 2 5" xfId="28808"/>
    <cellStyle name="Normal 12 7 3" xfId="2681"/>
    <cellStyle name="Normal 12 7 3 2" xfId="9451"/>
    <cellStyle name="Normal 12 7 3 3" xfId="22141"/>
    <cellStyle name="Normal 12 7 3 4" xfId="6812"/>
    <cellStyle name="Normal 12 7 3 5" xfId="29710"/>
    <cellStyle name="Normal 12 7 4" xfId="6974"/>
    <cellStyle name="Normal 12 7 5" xfId="15733"/>
    <cellStyle name="Normal 12 7 6" xfId="18620"/>
    <cellStyle name="Normal 12 7 7" xfId="31423"/>
    <cellStyle name="Normal 12 70" xfId="1644"/>
    <cellStyle name="Normal 12 70 2" xfId="4092"/>
    <cellStyle name="Normal 12 70 2 2" xfId="10862"/>
    <cellStyle name="Normal 12 70 2 3" xfId="23552"/>
    <cellStyle name="Normal 12 70 2 4" xfId="19474"/>
    <cellStyle name="Normal 12 70 2 5" xfId="30052"/>
    <cellStyle name="Normal 12 70 3" xfId="6033"/>
    <cellStyle name="Normal 12 70 3 2" xfId="12803"/>
    <cellStyle name="Normal 12 70 3 3" xfId="25493"/>
    <cellStyle name="Normal 12 70 3 4" xfId="16112"/>
    <cellStyle name="Normal 12 70 3 5" xfId="29589"/>
    <cellStyle name="Normal 12 70 4" xfId="8414"/>
    <cellStyle name="Normal 12 70 5" xfId="21215"/>
    <cellStyle name="Normal 12 70 6" xfId="16338"/>
    <cellStyle name="Normal 12 70 7" xfId="31857"/>
    <cellStyle name="Normal 12 71" xfId="1666"/>
    <cellStyle name="Normal 12 71 2" xfId="4114"/>
    <cellStyle name="Normal 12 71 2 2" xfId="10884"/>
    <cellStyle name="Normal 12 71 2 3" xfId="23574"/>
    <cellStyle name="Normal 12 71 2 4" xfId="17448"/>
    <cellStyle name="Normal 12 71 2 5" xfId="31159"/>
    <cellStyle name="Normal 12 71 3" xfId="6054"/>
    <cellStyle name="Normal 12 71 3 2" xfId="12824"/>
    <cellStyle name="Normal 12 71 3 3" xfId="25514"/>
    <cellStyle name="Normal 12 71 3 4" xfId="17738"/>
    <cellStyle name="Normal 12 71 3 5" xfId="28658"/>
    <cellStyle name="Normal 12 71 4" xfId="8436"/>
    <cellStyle name="Normal 12 71 5" xfId="21236"/>
    <cellStyle name="Normal 12 71 6" xfId="15592"/>
    <cellStyle name="Normal 12 71 7" xfId="29746"/>
    <cellStyle name="Normal 12 72" xfId="1689"/>
    <cellStyle name="Normal 12 72 2" xfId="4136"/>
    <cellStyle name="Normal 12 72 2 2" xfId="10906"/>
    <cellStyle name="Normal 12 72 2 3" xfId="23596"/>
    <cellStyle name="Normal 12 72 2 4" xfId="14921"/>
    <cellStyle name="Normal 12 72 2 5" xfId="32066"/>
    <cellStyle name="Normal 12 72 3" xfId="6074"/>
    <cellStyle name="Normal 12 72 3 2" xfId="12844"/>
    <cellStyle name="Normal 12 72 3 3" xfId="25534"/>
    <cellStyle name="Normal 12 72 3 4" xfId="19502"/>
    <cellStyle name="Normal 12 72 3 5" xfId="27644"/>
    <cellStyle name="Normal 12 72 4" xfId="8459"/>
    <cellStyle name="Normal 12 72 5" xfId="21256"/>
    <cellStyle name="Normal 12 72 6" xfId="17842"/>
    <cellStyle name="Normal 12 72 7" xfId="27851"/>
    <cellStyle name="Normal 12 73" xfId="1712"/>
    <cellStyle name="Normal 12 73 2" xfId="4158"/>
    <cellStyle name="Normal 12 73 2 2" xfId="10928"/>
    <cellStyle name="Normal 12 73 2 3" xfId="23618"/>
    <cellStyle name="Normal 12 73 2 4" xfId="19085"/>
    <cellStyle name="Normal 12 73 2 5" xfId="29964"/>
    <cellStyle name="Normal 12 73 3" xfId="6094"/>
    <cellStyle name="Normal 12 73 3 2" xfId="12864"/>
    <cellStyle name="Normal 12 73 3 3" xfId="25554"/>
    <cellStyle name="Normal 12 73 3 4" xfId="15097"/>
    <cellStyle name="Normal 12 73 3 5" xfId="26435"/>
    <cellStyle name="Normal 12 73 4" xfId="8482"/>
    <cellStyle name="Normal 12 73 5" xfId="21276"/>
    <cellStyle name="Normal 12 73 6" xfId="15926"/>
    <cellStyle name="Normal 12 73 7" xfId="30771"/>
    <cellStyle name="Normal 12 74" xfId="1735"/>
    <cellStyle name="Normal 12 74 2" xfId="4179"/>
    <cellStyle name="Normal 12 74 2 2" xfId="10949"/>
    <cellStyle name="Normal 12 74 2 3" xfId="23639"/>
    <cellStyle name="Normal 12 74 2 4" xfId="18965"/>
    <cellStyle name="Normal 12 74 2 5" xfId="29033"/>
    <cellStyle name="Normal 12 74 3" xfId="6114"/>
    <cellStyle name="Normal 12 74 3 2" xfId="12884"/>
    <cellStyle name="Normal 12 74 3 3" xfId="25574"/>
    <cellStyle name="Normal 12 74 3 4" xfId="17351"/>
    <cellStyle name="Normal 12 74 3 5" xfId="28135"/>
    <cellStyle name="Normal 12 74 4" xfId="8505"/>
    <cellStyle name="Normal 12 74 5" xfId="21296"/>
    <cellStyle name="Normal 12 74 6" xfId="15156"/>
    <cellStyle name="Normal 12 74 7" xfId="28739"/>
    <cellStyle name="Normal 12 75" xfId="1758"/>
    <cellStyle name="Normal 12 75 2" xfId="4202"/>
    <cellStyle name="Normal 12 75 2 2" xfId="10972"/>
    <cellStyle name="Normal 12 75 2 3" xfId="23662"/>
    <cellStyle name="Normal 12 75 2 4" xfId="14480"/>
    <cellStyle name="Normal 12 75 2 5" xfId="31971"/>
    <cellStyle name="Normal 12 75 3" xfId="6134"/>
    <cellStyle name="Normal 12 75 3 2" xfId="12904"/>
    <cellStyle name="Normal 12 75 3 3" xfId="25594"/>
    <cellStyle name="Normal 12 75 3 4" xfId="19151"/>
    <cellStyle name="Normal 12 75 3 5" xfId="28575"/>
    <cellStyle name="Normal 12 75 4" xfId="8528"/>
    <cellStyle name="Normal 12 75 5" xfId="21316"/>
    <cellStyle name="Normal 12 75 6" xfId="17391"/>
    <cellStyle name="Normal 12 75 7" xfId="26552"/>
    <cellStyle name="Normal 12 76" xfId="1781"/>
    <cellStyle name="Normal 12 76 2" xfId="4224"/>
    <cellStyle name="Normal 12 76 2 2" xfId="10994"/>
    <cellStyle name="Normal 12 76 2 3" xfId="23684"/>
    <cellStyle name="Normal 12 76 2 4" xfId="18693"/>
    <cellStyle name="Normal 12 76 2 5" xfId="29867"/>
    <cellStyle name="Normal 12 76 3" xfId="6154"/>
    <cellStyle name="Normal 12 76 3 2" xfId="12924"/>
    <cellStyle name="Normal 12 76 3 3" xfId="25614"/>
    <cellStyle name="Normal 12 76 3 4" xfId="14708"/>
    <cellStyle name="Normal 12 76 3 5" xfId="27365"/>
    <cellStyle name="Normal 12 76 4" xfId="8551"/>
    <cellStyle name="Normal 12 76 5" xfId="21336"/>
    <cellStyle name="Normal 12 76 6" xfId="19168"/>
    <cellStyle name="Normal 12 76 7" xfId="29554"/>
    <cellStyle name="Normal 12 77" xfId="1804"/>
    <cellStyle name="Normal 12 77 2" xfId="4246"/>
    <cellStyle name="Normal 12 77 2 2" xfId="11016"/>
    <cellStyle name="Normal 12 77 2 3" xfId="23706"/>
    <cellStyle name="Normal 12 77 2 4" xfId="16572"/>
    <cellStyle name="Normal 12 77 2 5" xfId="30945"/>
    <cellStyle name="Normal 12 77 3" xfId="6174"/>
    <cellStyle name="Normal 12 77 3 2" xfId="12944"/>
    <cellStyle name="Normal 12 77 3 3" xfId="25634"/>
    <cellStyle name="Normal 12 77 3 4" xfId="16954"/>
    <cellStyle name="Normal 12 77 3 5" xfId="29415"/>
    <cellStyle name="Normal 12 77 4" xfId="8574"/>
    <cellStyle name="Normal 12 77 5" xfId="21356"/>
    <cellStyle name="Normal 12 77 6" xfId="14704"/>
    <cellStyle name="Normal 12 77 7" xfId="27629"/>
    <cellStyle name="Normal 12 78" xfId="1827"/>
    <cellStyle name="Normal 12 78 2" xfId="4269"/>
    <cellStyle name="Normal 12 78 2 2" xfId="11039"/>
    <cellStyle name="Normal 12 78 2 3" xfId="23729"/>
    <cellStyle name="Normal 12 78 2 4" xfId="18419"/>
    <cellStyle name="Normal 12 78 2 5" xfId="28913"/>
    <cellStyle name="Normal 12 78 3" xfId="6194"/>
    <cellStyle name="Normal 12 78 3 2" xfId="12964"/>
    <cellStyle name="Normal 12 78 3 3" xfId="25654"/>
    <cellStyle name="Normal 12 78 3 4" xfId="18782"/>
    <cellStyle name="Normal 12 78 3 5" xfId="28475"/>
    <cellStyle name="Normal 12 78 4" xfId="8597"/>
    <cellStyle name="Normal 12 78 5" xfId="21376"/>
    <cellStyle name="Normal 12 78 6" xfId="16928"/>
    <cellStyle name="Normal 12 78 7" xfId="31406"/>
    <cellStyle name="Normal 12 79" xfId="1850"/>
    <cellStyle name="Normal 12 79 2" xfId="4291"/>
    <cellStyle name="Normal 12 79 2 2" xfId="11061"/>
    <cellStyle name="Normal 12 79 2 3" xfId="23751"/>
    <cellStyle name="Normal 12 79 2 4" xfId="16260"/>
    <cellStyle name="Normal 12 79 2 5" xfId="26740"/>
    <cellStyle name="Normal 12 79 3" xfId="6214"/>
    <cellStyle name="Normal 12 79 3 2" xfId="12984"/>
    <cellStyle name="Normal 12 79 3 3" xfId="25674"/>
    <cellStyle name="Normal 12 79 3 4" xfId="14318"/>
    <cellStyle name="Normal 12 79 3 5" xfId="27270"/>
    <cellStyle name="Normal 12 79 4" xfId="8620"/>
    <cellStyle name="Normal 12 79 5" xfId="21396"/>
    <cellStyle name="Normal 12 79 6" xfId="18758"/>
    <cellStyle name="Normal 12 79 7" xfId="29316"/>
    <cellStyle name="Normal 12 8" xfId="226"/>
    <cellStyle name="Normal 12 8 2" xfId="2705"/>
    <cellStyle name="Normal 12 8 2 2" xfId="9475"/>
    <cellStyle name="Normal 12 8 2 3" xfId="22165"/>
    <cellStyle name="Normal 12 8 2 4" xfId="16337"/>
    <cellStyle name="Normal 12 8 2 5" xfId="29670"/>
    <cellStyle name="Normal 12 8 3" xfId="2497"/>
    <cellStyle name="Normal 12 8 3 2" xfId="9267"/>
    <cellStyle name="Normal 12 8 3 3" xfId="21958"/>
    <cellStyle name="Normal 12 8 3 4" xfId="16970"/>
    <cellStyle name="Normal 12 8 3 5" xfId="32046"/>
    <cellStyle name="Normal 12 8 4" xfId="6996"/>
    <cellStyle name="Normal 12 8 5" xfId="13769"/>
    <cellStyle name="Normal 12 8 6" xfId="16479"/>
    <cellStyle name="Normal 12 8 7" xfId="32304"/>
    <cellStyle name="Normal 12 80" xfId="1873"/>
    <cellStyle name="Normal 12 80 2" xfId="4313"/>
    <cellStyle name="Normal 12 80 2 2" xfId="11083"/>
    <cellStyle name="Normal 12 80 2 3" xfId="23773"/>
    <cellStyle name="Normal 12 80 2 4" xfId="15861"/>
    <cellStyle name="Normal 12 80 2 5" xfId="27872"/>
    <cellStyle name="Normal 12 80 3" xfId="6234"/>
    <cellStyle name="Normal 12 80 3 2" xfId="13004"/>
    <cellStyle name="Normal 12 80 3 3" xfId="25694"/>
    <cellStyle name="Normal 12 80 3 4" xfId="16557"/>
    <cellStyle name="Normal 12 80 3 5" xfId="29328"/>
    <cellStyle name="Normal 12 80 4" xfId="8643"/>
    <cellStyle name="Normal 12 80 5" xfId="21416"/>
    <cellStyle name="Normal 12 80 6" xfId="14243"/>
    <cellStyle name="Normal 12 80 7" xfId="32257"/>
    <cellStyle name="Normal 12 81" xfId="1896"/>
    <cellStyle name="Normal 12 81 2" xfId="4335"/>
    <cellStyle name="Normal 12 81 2 2" xfId="11105"/>
    <cellStyle name="Normal 12 81 2 3" xfId="23795"/>
    <cellStyle name="Normal 12 81 2 4" xfId="17506"/>
    <cellStyle name="Normal 12 81 2 5" xfId="29381"/>
    <cellStyle name="Normal 12 81 3" xfId="6254"/>
    <cellStyle name="Normal 12 81 3 2" xfId="13024"/>
    <cellStyle name="Normal 12 81 3 3" xfId="25714"/>
    <cellStyle name="Normal 12 81 3 4" xfId="18427"/>
    <cellStyle name="Normal 12 81 3 5" xfId="28391"/>
    <cellStyle name="Normal 12 81 4" xfId="8666"/>
    <cellStyle name="Normal 12 81 5" xfId="21436"/>
    <cellStyle name="Normal 12 81 6" xfId="16465"/>
    <cellStyle name="Normal 12 81 7" xfId="27165"/>
    <cellStyle name="Normal 12 82" xfId="1918"/>
    <cellStyle name="Normal 12 82 2" xfId="4356"/>
    <cellStyle name="Normal 12 82 2 2" xfId="11126"/>
    <cellStyle name="Normal 12 82 2 3" xfId="23816"/>
    <cellStyle name="Normal 12 82 2 4" xfId="19814"/>
    <cellStyle name="Normal 12 82 2 5" xfId="30245"/>
    <cellStyle name="Normal 12 82 3" xfId="6273"/>
    <cellStyle name="Normal 12 82 3 2" xfId="13043"/>
    <cellStyle name="Normal 12 82 3 3" xfId="25733"/>
    <cellStyle name="Normal 12 82 3 4" xfId="8785"/>
    <cellStyle name="Normal 12 82 3 5" xfId="30177"/>
    <cellStyle name="Normal 12 82 4" xfId="8688"/>
    <cellStyle name="Normal 12 82 5" xfId="21455"/>
    <cellStyle name="Normal 12 82 6" xfId="13956"/>
    <cellStyle name="Normal 12 82 7" xfId="28304"/>
    <cellStyle name="Normal 12 83" xfId="1940"/>
    <cellStyle name="Normal 12 83 2" xfId="4377"/>
    <cellStyle name="Normal 12 83 2 2" xfId="11147"/>
    <cellStyle name="Normal 12 83 2 3" xfId="23837"/>
    <cellStyle name="Normal 12 83 2 4" xfId="19705"/>
    <cellStyle name="Normal 12 83 2 5" xfId="29320"/>
    <cellStyle name="Normal 12 83 3" xfId="6292"/>
    <cellStyle name="Normal 12 83 3 2" xfId="13062"/>
    <cellStyle name="Normal 12 83 3 3" xfId="25752"/>
    <cellStyle name="Normal 12 83 3 4" xfId="8377"/>
    <cellStyle name="Normal 12 83 3 5" xfId="27160"/>
    <cellStyle name="Normal 12 83 4" xfId="8710"/>
    <cellStyle name="Normal 12 83 5" xfId="21474"/>
    <cellStyle name="Normal 12 83 6" xfId="16172"/>
    <cellStyle name="Normal 12 83 7" xfId="29203"/>
    <cellStyle name="Normal 12 84" xfId="1963"/>
    <cellStyle name="Normal 12 84 2" xfId="4400"/>
    <cellStyle name="Normal 12 84 2 2" xfId="11170"/>
    <cellStyle name="Normal 12 84 2 3" xfId="23860"/>
    <cellStyle name="Normal 12 84 2 4" xfId="13752"/>
    <cellStyle name="Normal 12 84 2 5" xfId="32262"/>
    <cellStyle name="Normal 12 84 3" xfId="6312"/>
    <cellStyle name="Normal 12 84 3 2" xfId="13082"/>
    <cellStyle name="Normal 12 84 3 3" xfId="25772"/>
    <cellStyle name="Normal 12 84 3 4" xfId="7950"/>
    <cellStyle name="Normal 12 84 3 5" xfId="27426"/>
    <cellStyle name="Normal 12 84 4" xfId="8733"/>
    <cellStyle name="Normal 12 84 5" xfId="21494"/>
    <cellStyle name="Normal 12 84 6" xfId="15764"/>
    <cellStyle name="Normal 12 84 7" xfId="32131"/>
    <cellStyle name="Normal 12 85" xfId="1986"/>
    <cellStyle name="Normal 12 85 2" xfId="4422"/>
    <cellStyle name="Normal 12 85 2 2" xfId="11192"/>
    <cellStyle name="Normal 12 85 2 3" xfId="23882"/>
    <cellStyle name="Normal 12 85 2 4" xfId="19433"/>
    <cellStyle name="Normal 12 85 2 5" xfId="30160"/>
    <cellStyle name="Normal 12 85 3" xfId="6332"/>
    <cellStyle name="Normal 12 85 3 2" xfId="13102"/>
    <cellStyle name="Normal 12 85 3 3" xfId="25792"/>
    <cellStyle name="Normal 12 85 3 4" xfId="7554"/>
    <cellStyle name="Normal 12 85 3 5" xfId="28279"/>
    <cellStyle name="Normal 12 85 4" xfId="8756"/>
    <cellStyle name="Normal 12 85 5" xfId="21514"/>
    <cellStyle name="Normal 12 85 6" xfId="16204"/>
    <cellStyle name="Normal 12 85 7" xfId="27026"/>
    <cellStyle name="Normal 12 86" xfId="2008"/>
    <cellStyle name="Normal 12 86 2" xfId="4444"/>
    <cellStyle name="Normal 12 86 2 2" xfId="11214"/>
    <cellStyle name="Normal 12 86 2 3" xfId="23904"/>
    <cellStyle name="Normal 12 86 2 4" xfId="17406"/>
    <cellStyle name="Normal 12 86 2 5" xfId="31281"/>
    <cellStyle name="Normal 12 86 3" xfId="6351"/>
    <cellStyle name="Normal 12 86 3 2" xfId="13121"/>
    <cellStyle name="Normal 12 86 3 3" xfId="25811"/>
    <cellStyle name="Normal 12 86 3 4" xfId="7165"/>
    <cellStyle name="Normal 12 86 3 5" xfId="30070"/>
    <cellStyle name="Normal 12 86 4" xfId="8778"/>
    <cellStyle name="Normal 12 86 5" xfId="21533"/>
    <cellStyle name="Normal 12 86 6" xfId="15848"/>
    <cellStyle name="Normal 12 86 7" xfId="28173"/>
    <cellStyle name="Normal 12 87" xfId="2031"/>
    <cellStyle name="Normal 12 87 2" xfId="4466"/>
    <cellStyle name="Normal 12 87 2 2" xfId="11236"/>
    <cellStyle name="Normal 12 87 2 3" xfId="23926"/>
    <cellStyle name="Normal 12 87 2 4" xfId="13709"/>
    <cellStyle name="Normal 12 87 2 5" xfId="32172"/>
    <cellStyle name="Normal 12 87 3" xfId="6371"/>
    <cellStyle name="Normal 12 87 3 2" xfId="13141"/>
    <cellStyle name="Normal 12 87 3 3" xfId="25831"/>
    <cellStyle name="Normal 12 87 3 4" xfId="7002"/>
    <cellStyle name="Normal 12 87 3 5" xfId="32107"/>
    <cellStyle name="Normal 12 87 4" xfId="8801"/>
    <cellStyle name="Normal 12 87 5" xfId="21553"/>
    <cellStyle name="Normal 12 87 6" xfId="18072"/>
    <cellStyle name="Normal 12 87 7" xfId="31097"/>
    <cellStyle name="Normal 12 88" xfId="2054"/>
    <cellStyle name="Normal 12 88 2" xfId="4488"/>
    <cellStyle name="Normal 12 88 2 2" xfId="11258"/>
    <cellStyle name="Normal 12 88 2 3" xfId="23948"/>
    <cellStyle name="Normal 12 88 2 4" xfId="19044"/>
    <cellStyle name="Normal 12 88 2 5" xfId="30071"/>
    <cellStyle name="Normal 12 88 3" xfId="6391"/>
    <cellStyle name="Normal 12 88 3 2" xfId="13161"/>
    <cellStyle name="Normal 12 88 3 3" xfId="25851"/>
    <cellStyle name="Normal 12 88 3 4" xfId="16357"/>
    <cellStyle name="Normal 12 88 3 5" xfId="31155"/>
    <cellStyle name="Normal 12 88 4" xfId="8824"/>
    <cellStyle name="Normal 12 88 5" xfId="21573"/>
    <cellStyle name="Normal 12 88 6" xfId="17106"/>
    <cellStyle name="Normal 12 88 7" xfId="29034"/>
    <cellStyle name="Normal 12 89" xfId="2077"/>
    <cellStyle name="Normal 12 89 2" xfId="4509"/>
    <cellStyle name="Normal 12 89 2 2" xfId="11279"/>
    <cellStyle name="Normal 12 89 2 3" xfId="23969"/>
    <cellStyle name="Normal 12 89 2 4" xfId="18925"/>
    <cellStyle name="Normal 12 89 2 5" xfId="29143"/>
    <cellStyle name="Normal 12 89 3" xfId="6411"/>
    <cellStyle name="Normal 12 89 3 2" xfId="13181"/>
    <cellStyle name="Normal 12 89 3 3" xfId="25871"/>
    <cellStyle name="Normal 12 89 3 4" xfId="15807"/>
    <cellStyle name="Normal 12 89 3 5" xfId="29989"/>
    <cellStyle name="Normal 12 89 4" xfId="8847"/>
    <cellStyle name="Normal 12 89 5" xfId="21593"/>
    <cellStyle name="Normal 12 89 6" xfId="15828"/>
    <cellStyle name="Normal 12 89 7" xfId="31972"/>
    <cellStyle name="Normal 12 9" xfId="248"/>
    <cellStyle name="Normal 12 9 2" xfId="2726"/>
    <cellStyle name="Normal 12 9 2 2" xfId="9496"/>
    <cellStyle name="Normal 12 9 2 3" xfId="22186"/>
    <cellStyle name="Normal 12 9 2 4" xfId="17171"/>
    <cellStyle name="Normal 12 9 2 5" xfId="28747"/>
    <cellStyle name="Normal 12 9 3" xfId="4621"/>
    <cellStyle name="Normal 12 9 3 2" xfId="11391"/>
    <cellStyle name="Normal 12 9 3 3" xfId="24081"/>
    <cellStyle name="Normal 12 9 3 4" xfId="16214"/>
    <cellStyle name="Normal 12 9 3 5" xfId="26856"/>
    <cellStyle name="Normal 12 9 4" xfId="7018"/>
    <cellStyle name="Normal 12 9 5" xfId="15651"/>
    <cellStyle name="Normal 12 9 6" xfId="15732"/>
    <cellStyle name="Normal 12 9 7" xfId="30208"/>
    <cellStyle name="Normal 12 90" xfId="2100"/>
    <cellStyle name="Normal 12 90 2" xfId="4531"/>
    <cellStyle name="Normal 12 90 2 2" xfId="11301"/>
    <cellStyle name="Normal 12 90 2 3" xfId="23991"/>
    <cellStyle name="Normal 12 90 2 4" xfId="16812"/>
    <cellStyle name="Normal 12 90 2 5" xfId="27010"/>
    <cellStyle name="Normal 12 90 3" xfId="6431"/>
    <cellStyle name="Normal 12 90 3 2" xfId="13201"/>
    <cellStyle name="Normal 12 90 3 3" xfId="25891"/>
    <cellStyle name="Normal 12 90 3 4" xfId="19943"/>
    <cellStyle name="Normal 12 90 3 5" xfId="32026"/>
    <cellStyle name="Normal 12 90 4" xfId="8870"/>
    <cellStyle name="Normal 12 90 5" xfId="21613"/>
    <cellStyle name="Normal 12 90 6" xfId="18052"/>
    <cellStyle name="Normal 12 90 7" xfId="26838"/>
    <cellStyle name="Normal 12 91" xfId="2123"/>
    <cellStyle name="Normal 12 91 2" xfId="4552"/>
    <cellStyle name="Normal 12 91 2 2" xfId="11322"/>
    <cellStyle name="Normal 12 91 2 3" xfId="24012"/>
    <cellStyle name="Normal 12 91 2 4" xfId="16683"/>
    <cellStyle name="Normal 12 91 2 5" xfId="31113"/>
    <cellStyle name="Normal 12 91 3" xfId="6451"/>
    <cellStyle name="Normal 12 91 3 2" xfId="13221"/>
    <cellStyle name="Normal 12 91 3 3" xfId="25911"/>
    <cellStyle name="Normal 12 91 3 4" xfId="15585"/>
    <cellStyle name="Normal 12 91 3 5" xfId="31060"/>
    <cellStyle name="Normal 12 91 4" xfId="8893"/>
    <cellStyle name="Normal 12 91 5" xfId="21633"/>
    <cellStyle name="Normal 12 91 6" xfId="13924"/>
    <cellStyle name="Normal 12 91 7" xfId="29829"/>
    <cellStyle name="Normal 12 92" xfId="2144"/>
    <cellStyle name="Normal 12 92 2" xfId="4572"/>
    <cellStyle name="Normal 12 92 2 2" xfId="11342"/>
    <cellStyle name="Normal 12 92 2 3" xfId="24032"/>
    <cellStyle name="Normal 12 92 2 4" xfId="18555"/>
    <cellStyle name="Normal 12 92 2 5" xfId="29952"/>
    <cellStyle name="Normal 12 92 3" xfId="6469"/>
    <cellStyle name="Normal 12 92 3 2" xfId="13239"/>
    <cellStyle name="Normal 12 92 3 3" xfId="25929"/>
    <cellStyle name="Normal 12 92 3 4" xfId="15482"/>
    <cellStyle name="Normal 12 92 3 5" xfId="31028"/>
    <cellStyle name="Normal 12 92 4" xfId="8914"/>
    <cellStyle name="Normal 12 92 5" xfId="21651"/>
    <cellStyle name="Normal 12 92 6" xfId="15562"/>
    <cellStyle name="Normal 12 92 7" xfId="28914"/>
    <cellStyle name="Normal 12 93" xfId="2162"/>
    <cellStyle name="Normal 12 93 2" xfId="4589"/>
    <cellStyle name="Normal 12 93 2 2" xfId="11359"/>
    <cellStyle name="Normal 12 93 2 3" xfId="24049"/>
    <cellStyle name="Normal 12 93 2 4" xfId="14059"/>
    <cellStyle name="Normal 12 93 2 5" xfId="27484"/>
    <cellStyle name="Normal 12 93 3" xfId="6485"/>
    <cellStyle name="Normal 12 93 3 2" xfId="13255"/>
    <cellStyle name="Normal 12 93 3 3" xfId="25945"/>
    <cellStyle name="Normal 12 93 3 4" xfId="19625"/>
    <cellStyle name="Normal 12 93 3 5" xfId="31950"/>
    <cellStyle name="Normal 12 93 4" xfId="8932"/>
    <cellStyle name="Normal 12 93 5" xfId="21667"/>
    <cellStyle name="Normal 12 93 6" xfId="13697"/>
    <cellStyle name="Normal 12 93 7" xfId="28884"/>
    <cellStyle name="Normal 12 94" xfId="2179"/>
    <cellStyle name="Normal 12 94 2" xfId="4605"/>
    <cellStyle name="Normal 12 94 2 2" xfId="11375"/>
    <cellStyle name="Normal 12 94 2 3" xfId="24065"/>
    <cellStyle name="Normal 12 94 2 4" xfId="18358"/>
    <cellStyle name="Normal 12 94 2 5" xfId="29012"/>
    <cellStyle name="Normal 12 94 3" xfId="6501"/>
    <cellStyle name="Normal 12 94 3 2" xfId="13271"/>
    <cellStyle name="Normal 12 94 3 3" xfId="25961"/>
    <cellStyle name="Normal 12 94 3 4" xfId="17656"/>
    <cellStyle name="Normal 12 94 3 5" xfId="29853"/>
    <cellStyle name="Normal 12 94 4" xfId="8949"/>
    <cellStyle name="Normal 12 94 5" xfId="21683"/>
    <cellStyle name="Normal 12 94 6" xfId="17718"/>
    <cellStyle name="Normal 12 94 7" xfId="31828"/>
    <cellStyle name="Normal 12 95" xfId="2201"/>
    <cellStyle name="Normal 12 95 2" xfId="4626"/>
    <cellStyle name="Normal 12 95 2 2" xfId="11396"/>
    <cellStyle name="Normal 12 95 2 3" xfId="24086"/>
    <cellStyle name="Normal 12 95 2 4" xfId="17610"/>
    <cellStyle name="Normal 12 95 2 5" xfId="29874"/>
    <cellStyle name="Normal 12 95 3" xfId="6520"/>
    <cellStyle name="Normal 12 95 3 2" xfId="13290"/>
    <cellStyle name="Normal 12 95 3 3" xfId="25980"/>
    <cellStyle name="Normal 12 95 3 4" xfId="15141"/>
    <cellStyle name="Normal 12 95 3 5" xfId="26804"/>
    <cellStyle name="Normal 12 95 4" xfId="8971"/>
    <cellStyle name="Normal 12 95 5" xfId="21702"/>
    <cellStyle name="Normal 12 95 6" xfId="15206"/>
    <cellStyle name="Normal 12 95 7" xfId="29724"/>
    <cellStyle name="Normal 12 96" xfId="2237"/>
    <cellStyle name="Normal 12 96 2" xfId="4659"/>
    <cellStyle name="Normal 12 96 2 2" xfId="11429"/>
    <cellStyle name="Normal 12 96 2 3" xfId="24119"/>
    <cellStyle name="Normal 12 96 2 4" xfId="17452"/>
    <cellStyle name="Normal 12 96 2 5" xfId="28940"/>
    <cellStyle name="Normal 12 96 3" xfId="6548"/>
    <cellStyle name="Normal 12 96 3 2" xfId="13318"/>
    <cellStyle name="Normal 12 96 3 3" xfId="26008"/>
    <cellStyle name="Normal 12 96 3 4" xfId="19252"/>
    <cellStyle name="Normal 12 96 3 5" xfId="27928"/>
    <cellStyle name="Normal 12 96 4" xfId="9007"/>
    <cellStyle name="Normal 12 96 5" xfId="21730"/>
    <cellStyle name="Normal 12 96 6" xfId="14972"/>
    <cellStyle name="Normal 12 96 7" xfId="29663"/>
    <cellStyle name="Normal 12 97" xfId="2259"/>
    <cellStyle name="Normal 12 97 2" xfId="4681"/>
    <cellStyle name="Normal 12 97 2 2" xfId="11451"/>
    <cellStyle name="Normal 12 97 2 3" xfId="24141"/>
    <cellStyle name="Normal 12 97 2 4" xfId="17788"/>
    <cellStyle name="Normal 12 97 2 5" xfId="26765"/>
    <cellStyle name="Normal 12 97 3" xfId="6567"/>
    <cellStyle name="Normal 12 97 3 2" xfId="13337"/>
    <cellStyle name="Normal 12 97 3 3" xfId="26027"/>
    <cellStyle name="Normal 12 97 3 4" xfId="17222"/>
    <cellStyle name="Normal 12 97 3 5" xfId="29760"/>
    <cellStyle name="Normal 12 97 4" xfId="9029"/>
    <cellStyle name="Normal 12 97 5" xfId="21749"/>
    <cellStyle name="Normal 12 97 6" xfId="19112"/>
    <cellStyle name="Normal 12 97 7" xfId="30718"/>
    <cellStyle name="Normal 12 98" xfId="2281"/>
    <cellStyle name="Normal 12 98 2" xfId="4702"/>
    <cellStyle name="Normal 12 98 2 2" xfId="11472"/>
    <cellStyle name="Normal 12 98 2 3" xfId="24162"/>
    <cellStyle name="Normal 12 98 2 4" xfId="17968"/>
    <cellStyle name="Normal 12 98 2 5" xfId="30834"/>
    <cellStyle name="Normal 12 98 3" xfId="6586"/>
    <cellStyle name="Normal 12 98 3 2" xfId="13356"/>
    <cellStyle name="Normal 12 98 3 3" xfId="26046"/>
    <cellStyle name="Normal 12 98 3 4" xfId="14714"/>
    <cellStyle name="Normal 12 98 3 5" xfId="26704"/>
    <cellStyle name="Normal 12 98 4" xfId="9051"/>
    <cellStyle name="Normal 12 98 5" xfId="21768"/>
    <cellStyle name="Normal 12 98 6" xfId="16971"/>
    <cellStyle name="Normal 12 98 7" xfId="32341"/>
    <cellStyle name="Normal 12 99" xfId="2303"/>
    <cellStyle name="Normal 12 99 2" xfId="4724"/>
    <cellStyle name="Normal 12 99 2 2" xfId="11494"/>
    <cellStyle name="Normal 12 99 2 3" xfId="24184"/>
    <cellStyle name="Normal 12 99 2 4" xfId="15466"/>
    <cellStyle name="Normal 12 99 2 5" xfId="31812"/>
    <cellStyle name="Normal 12 99 3" xfId="6605"/>
    <cellStyle name="Normal 12 99 3 2" xfId="13375"/>
    <cellStyle name="Normal 12 99 3 3" xfId="26065"/>
    <cellStyle name="Normal 12 99 3 4" xfId="18920"/>
    <cellStyle name="Normal 12 99 3 5" xfId="31780"/>
    <cellStyle name="Normal 12 99 4" xfId="9073"/>
    <cellStyle name="Normal 12 99 5" xfId="21787"/>
    <cellStyle name="Normal 12 99 6" xfId="14534"/>
    <cellStyle name="Normal 12 99 7" xfId="30238"/>
    <cellStyle name="Normal 120" xfId="32704"/>
    <cellStyle name="Normal 120 2" xfId="34114"/>
    <cellStyle name="Normal 121" xfId="32727"/>
    <cellStyle name="Normal 121 2" xfId="34102"/>
    <cellStyle name="Normal 122" xfId="32750"/>
    <cellStyle name="Normal 122 2" xfId="34058"/>
    <cellStyle name="Normal 123" xfId="32773"/>
    <cellStyle name="Normal 123 2" xfId="34073"/>
    <cellStyle name="Normal 124" xfId="32796"/>
    <cellStyle name="Normal 124 2" xfId="34071"/>
    <cellStyle name="Normal 125" xfId="32819"/>
    <cellStyle name="Normal 125 2" xfId="34092"/>
    <cellStyle name="Normal 126" xfId="32842"/>
    <cellStyle name="Normal 126 2" xfId="34095"/>
    <cellStyle name="Normal 127" xfId="32865"/>
    <cellStyle name="Normal 127 2" xfId="34098"/>
    <cellStyle name="Normal 128" xfId="34054"/>
    <cellStyle name="Normal 129" xfId="32910"/>
    <cellStyle name="Normal 129 2" xfId="34120"/>
    <cellStyle name="Normal 13" xfId="38"/>
    <cellStyle name="Normal 13 10" xfId="273"/>
    <cellStyle name="Normal 13 10 2" xfId="2749"/>
    <cellStyle name="Normal 13 10 2 2" xfId="9519"/>
    <cellStyle name="Normal 13 10 2 3" xfId="22209"/>
    <cellStyle name="Normal 13 10 2 4" xfId="15845"/>
    <cellStyle name="Normal 13 10 2 5" xfId="31684"/>
    <cellStyle name="Normal 13 10 3" xfId="3657"/>
    <cellStyle name="Normal 13 10 3 2" xfId="10427"/>
    <cellStyle name="Normal 13 10 3 3" xfId="23117"/>
    <cellStyle name="Normal 13 10 3 4" xfId="16171"/>
    <cellStyle name="Normal 13 10 3 5" xfId="30508"/>
    <cellStyle name="Normal 13 10 4" xfId="7043"/>
    <cellStyle name="Normal 13 10 5" xfId="15092"/>
    <cellStyle name="Normal 13 10 6" xfId="19794"/>
    <cellStyle name="Normal 13 10 7" xfId="27187"/>
    <cellStyle name="Normal 13 100" xfId="2326"/>
    <cellStyle name="Normal 13 100 2" xfId="4747"/>
    <cellStyle name="Normal 13 100 2 2" xfId="11517"/>
    <cellStyle name="Normal 13 100 2 3" xfId="24207"/>
    <cellStyle name="Normal 13 100 2 4" xfId="17684"/>
    <cellStyle name="Normal 13 100 2 5" xfId="26660"/>
    <cellStyle name="Normal 13 100 3" xfId="6625"/>
    <cellStyle name="Normal 13 100 3 2" xfId="13395"/>
    <cellStyle name="Normal 13 100 3 3" xfId="26085"/>
    <cellStyle name="Normal 13 100 3 4" xfId="13680"/>
    <cellStyle name="Normal 13 100 3 5" xfId="30764"/>
    <cellStyle name="Normal 13 100 4" xfId="9096"/>
    <cellStyle name="Normal 13 100 5" xfId="21807"/>
    <cellStyle name="Normal 13 100 6" xfId="16734"/>
    <cellStyle name="Normal 13 100 7" xfId="27533"/>
    <cellStyle name="Normal 13 101" xfId="2348"/>
    <cellStyle name="Normal 13 101 2" xfId="4768"/>
    <cellStyle name="Normal 13 101 2 2" xfId="11538"/>
    <cellStyle name="Normal 13 101 2 3" xfId="24228"/>
    <cellStyle name="Normal 13 101 2 4" xfId="17553"/>
    <cellStyle name="Normal 13 101 2 5" xfId="30744"/>
    <cellStyle name="Normal 13 101 3" xfId="6644"/>
    <cellStyle name="Normal 13 101 3 2" xfId="13414"/>
    <cellStyle name="Normal 13 101 3 3" xfId="26104"/>
    <cellStyle name="Normal 13 101 3 4" xfId="18687"/>
    <cellStyle name="Normal 13 101 3 5" xfId="27459"/>
    <cellStyle name="Normal 13 101 4" xfId="9118"/>
    <cellStyle name="Normal 13 101 5" xfId="21826"/>
    <cellStyle name="Normal 13 101 6" xfId="15556"/>
    <cellStyle name="Normal 13 101 7" xfId="29289"/>
    <cellStyle name="Normal 13 102" xfId="2369"/>
    <cellStyle name="Normal 13 102 2" xfId="4788"/>
    <cellStyle name="Normal 13 102 2 2" xfId="11558"/>
    <cellStyle name="Normal 13 102 2 3" xfId="24248"/>
    <cellStyle name="Normal 13 102 2 4" xfId="19336"/>
    <cellStyle name="Normal 13 102 2 5" xfId="29602"/>
    <cellStyle name="Normal 13 102 3" xfId="6662"/>
    <cellStyle name="Normal 13 102 3 2" xfId="13432"/>
    <cellStyle name="Normal 13 102 3 3" xfId="26122"/>
    <cellStyle name="Normal 13 102 3 4" xfId="18587"/>
    <cellStyle name="Normal 13 102 3 5" xfId="27745"/>
    <cellStyle name="Normal 13 102 4" xfId="9139"/>
    <cellStyle name="Normal 13 102 5" xfId="21844"/>
    <cellStyle name="Normal 13 102 6" xfId="15429"/>
    <cellStyle name="Normal 13 102 7" xfId="30153"/>
    <cellStyle name="Normal 13 103" xfId="2390"/>
    <cellStyle name="Normal 13 103 2" xfId="4808"/>
    <cellStyle name="Normal 13 103 2 2" xfId="11578"/>
    <cellStyle name="Normal 13 103 2 3" xfId="24268"/>
    <cellStyle name="Normal 13 103 2 4" xfId="14919"/>
    <cellStyle name="Normal 13 103 2 5" xfId="31679"/>
    <cellStyle name="Normal 13 103 3" xfId="6679"/>
    <cellStyle name="Normal 13 103 3 2" xfId="13449"/>
    <cellStyle name="Normal 13 103 3 3" xfId="26139"/>
    <cellStyle name="Normal 13 103 3 4" xfId="14097"/>
    <cellStyle name="Normal 13 103 3 5" xfId="30675"/>
    <cellStyle name="Normal 13 103 4" xfId="9160"/>
    <cellStyle name="Normal 13 103 5" xfId="21861"/>
    <cellStyle name="Normal 13 103 6" xfId="13734"/>
    <cellStyle name="Normal 13 103 7" xfId="27414"/>
    <cellStyle name="Normal 13 104" xfId="2411"/>
    <cellStyle name="Normal 13 104 2" xfId="4829"/>
    <cellStyle name="Normal 13 104 2 2" xfId="11599"/>
    <cellStyle name="Normal 13 104 2 3" xfId="24289"/>
    <cellStyle name="Normal 13 104 2 4" xfId="14786"/>
    <cellStyle name="Normal 13 104 2 5" xfId="27684"/>
    <cellStyle name="Normal 13 104 3" xfId="6699"/>
    <cellStyle name="Normal 13 104 3 2" xfId="13469"/>
    <cellStyle name="Normal 13 104 3 3" xfId="26159"/>
    <cellStyle name="Normal 13 104 3 4" xfId="16342"/>
    <cellStyle name="Normal 13 104 3 5" xfId="29547"/>
    <cellStyle name="Normal 13 104 4" xfId="9181"/>
    <cellStyle name="Normal 13 104 5" xfId="21881"/>
    <cellStyle name="Normal 13 104 6" xfId="15154"/>
    <cellStyle name="Normal 13 104 7" xfId="30102"/>
    <cellStyle name="Normal 13 105" xfId="2433"/>
    <cellStyle name="Normal 13 105 2" xfId="4851"/>
    <cellStyle name="Normal 13 105 2 2" xfId="11621"/>
    <cellStyle name="Normal 13 105 2 3" xfId="24311"/>
    <cellStyle name="Normal 13 105 2 4" xfId="18963"/>
    <cellStyle name="Normal 13 105 2 5" xfId="27990"/>
    <cellStyle name="Normal 13 105 3" xfId="6719"/>
    <cellStyle name="Normal 13 105 3 2" xfId="13489"/>
    <cellStyle name="Normal 13 105 3 3" xfId="26179"/>
    <cellStyle name="Normal 13 105 3 4" xfId="17286"/>
    <cellStyle name="Normal 13 105 3 5" xfId="31606"/>
    <cellStyle name="Normal 13 105 4" xfId="9203"/>
    <cellStyle name="Normal 13 105 5" xfId="21901"/>
    <cellStyle name="Normal 13 105 6" xfId="19302"/>
    <cellStyle name="Normal 13 105 7" xfId="31211"/>
    <cellStyle name="Normal 13 106" xfId="2453"/>
    <cellStyle name="Normal 13 106 2" xfId="4871"/>
    <cellStyle name="Normal 13 106 2 2" xfId="11641"/>
    <cellStyle name="Normal 13 106 2 3" xfId="24331"/>
    <cellStyle name="Normal 13 106 2 4" xfId="14501"/>
    <cellStyle name="Normal 13 106 2 5" xfId="27609"/>
    <cellStyle name="Normal 13 106 3" xfId="6736"/>
    <cellStyle name="Normal 13 106 3 2" xfId="13506"/>
    <cellStyle name="Normal 13 106 3 3" xfId="26196"/>
    <cellStyle name="Normal 13 106 3 4" xfId="15831"/>
    <cellStyle name="Normal 13 106 3 5" xfId="26439"/>
    <cellStyle name="Normal 13 106 4" xfId="9223"/>
    <cellStyle name="Normal 13 106 5" xfId="21918"/>
    <cellStyle name="Normal 13 106 6" xfId="14879"/>
    <cellStyle name="Normal 13 106 7" xfId="26459"/>
    <cellStyle name="Normal 13 107" xfId="2471"/>
    <cellStyle name="Normal 13 107 2" xfId="4888"/>
    <cellStyle name="Normal 13 107 2 2" xfId="11658"/>
    <cellStyle name="Normal 13 107 2 3" xfId="24348"/>
    <cellStyle name="Normal 13 107 2 4" xfId="16767"/>
    <cellStyle name="Normal 13 107 2 5" xfId="30537"/>
    <cellStyle name="Normal 13 107 3" xfId="6752"/>
    <cellStyle name="Normal 13 107 3 2" xfId="13522"/>
    <cellStyle name="Normal 13 107 3 3" xfId="26212"/>
    <cellStyle name="Normal 13 107 3 4" xfId="17192"/>
    <cellStyle name="Normal 13 107 3 5" xfId="27573"/>
    <cellStyle name="Normal 13 107 4" xfId="9241"/>
    <cellStyle name="Normal 13 107 5" xfId="21934"/>
    <cellStyle name="Normal 13 107 6" xfId="14770"/>
    <cellStyle name="Normal 13 107 7" xfId="30018"/>
    <cellStyle name="Normal 13 108" xfId="2488"/>
    <cellStyle name="Normal 13 108 2" xfId="4905"/>
    <cellStyle name="Normal 13 108 2 2" xfId="11675"/>
    <cellStyle name="Normal 13 108 2 3" xfId="24365"/>
    <cellStyle name="Normal 13 108 2 4" xfId="18632"/>
    <cellStyle name="Normal 13 108 2 5" xfId="28483"/>
    <cellStyle name="Normal 13 108 3" xfId="6768"/>
    <cellStyle name="Normal 13 108 3 2" xfId="13538"/>
    <cellStyle name="Normal 13 108 3 3" xfId="26228"/>
    <cellStyle name="Normal 13 108 3 4" xfId="26249"/>
    <cellStyle name="Normal 13 108 3 5" xfId="27553"/>
    <cellStyle name="Normal 13 108 4" xfId="9258"/>
    <cellStyle name="Normal 13 108 5" xfId="21950"/>
    <cellStyle name="Normal 13 108 6" xfId="17013"/>
    <cellStyle name="Normal 13 108 7" xfId="28160"/>
    <cellStyle name="Normal 13 109" xfId="2527"/>
    <cellStyle name="Normal 13 109 2" xfId="9297"/>
    <cellStyle name="Normal 13 109 3" xfId="21987"/>
    <cellStyle name="Normal 13 109 4" xfId="16772"/>
    <cellStyle name="Normal 13 109 5" xfId="32010"/>
    <cellStyle name="Normal 13 11" xfId="295"/>
    <cellStyle name="Normal 13 11 2" xfId="2771"/>
    <cellStyle name="Normal 13 11 2 2" xfId="9541"/>
    <cellStyle name="Normal 13 11 2 3" xfId="22231"/>
    <cellStyle name="Normal 13 11 2 4" xfId="19920"/>
    <cellStyle name="Normal 13 11 2 5" xfId="29561"/>
    <cellStyle name="Normal 13 11 3" xfId="3662"/>
    <cellStyle name="Normal 13 11 3 2" xfId="10432"/>
    <cellStyle name="Normal 13 11 3 3" xfId="23122"/>
    <cellStyle name="Normal 13 11 3 4" xfId="15881"/>
    <cellStyle name="Normal 13 11 3 5" xfId="28459"/>
    <cellStyle name="Normal 13 11 4" xfId="7065"/>
    <cellStyle name="Normal 13 11 5" xfId="14706"/>
    <cellStyle name="Normal 13 11 6" xfId="17809"/>
    <cellStyle name="Normal 13 11 7" xfId="28326"/>
    <cellStyle name="Normal 13 110" xfId="4191"/>
    <cellStyle name="Normal 13 110 2" xfId="10961"/>
    <cellStyle name="Normal 13 110 3" xfId="23651"/>
    <cellStyle name="Normal 13 110 4" xfId="18888"/>
    <cellStyle name="Normal 13 110 5" xfId="29015"/>
    <cellStyle name="Normal 13 111" xfId="6809"/>
    <cellStyle name="Normal 13 112" xfId="15249"/>
    <cellStyle name="Normal 13 113" xfId="17737"/>
    <cellStyle name="Normal 13 114" xfId="27881"/>
    <cellStyle name="Normal 13 115" xfId="32481"/>
    <cellStyle name="Normal 13 116" xfId="32504"/>
    <cellStyle name="Normal 13 117" xfId="32527"/>
    <cellStyle name="Normal 13 118" xfId="32550"/>
    <cellStyle name="Normal 13 119" xfId="32573"/>
    <cellStyle name="Normal 13 12" xfId="320"/>
    <cellStyle name="Normal 13 12 2" xfId="2796"/>
    <cellStyle name="Normal 13 12 2 2" xfId="9566"/>
    <cellStyle name="Normal 13 12 2 3" xfId="22256"/>
    <cellStyle name="Normal 13 12 2 4" xfId="15957"/>
    <cellStyle name="Normal 13 12 2 5" xfId="26478"/>
    <cellStyle name="Normal 13 12 3" xfId="2565"/>
    <cellStyle name="Normal 13 12 3 2" xfId="9335"/>
    <cellStyle name="Normal 13 12 3 3" xfId="22025"/>
    <cellStyle name="Normal 13 12 3 4" xfId="18521"/>
    <cellStyle name="Normal 13 12 3 5" xfId="30997"/>
    <cellStyle name="Normal 13 12 4" xfId="7090"/>
    <cellStyle name="Normal 13 12 5" xfId="14168"/>
    <cellStyle name="Normal 13 12 6" xfId="15274"/>
    <cellStyle name="Normal 13 12 7" xfId="30115"/>
    <cellStyle name="Normal 13 120" xfId="32596"/>
    <cellStyle name="Normal 13 121" xfId="32619"/>
    <cellStyle name="Normal 13 122" xfId="32642"/>
    <cellStyle name="Normal 13 123" xfId="32665"/>
    <cellStyle name="Normal 13 124" xfId="32688"/>
    <cellStyle name="Normal 13 125" xfId="32711"/>
    <cellStyle name="Normal 13 126" xfId="32734"/>
    <cellStyle name="Normal 13 127" xfId="32757"/>
    <cellStyle name="Normal 13 128" xfId="32780"/>
    <cellStyle name="Normal 13 129" xfId="32803"/>
    <cellStyle name="Normal 13 13" xfId="343"/>
    <cellStyle name="Normal 13 13 2" xfId="2819"/>
    <cellStyle name="Normal 13 13 2 2" xfId="9589"/>
    <cellStyle name="Normal 13 13 2 3" xfId="22279"/>
    <cellStyle name="Normal 13 13 2 4" xfId="8924"/>
    <cellStyle name="Normal 13 13 2 5" xfId="29489"/>
    <cellStyle name="Normal 13 13 3" xfId="4648"/>
    <cellStyle name="Normal 13 13 3 2" xfId="11418"/>
    <cellStyle name="Normal 13 13 3 3" xfId="24108"/>
    <cellStyle name="Normal 13 13 3 4" xfId="18165"/>
    <cellStyle name="Normal 13 13 3 5" xfId="30953"/>
    <cellStyle name="Normal 13 13 4" xfId="7113"/>
    <cellStyle name="Normal 13 13 5" xfId="15829"/>
    <cellStyle name="Normal 13 13 6" xfId="17484"/>
    <cellStyle name="Normal 13 13 7" xfId="28258"/>
    <cellStyle name="Normal 13 130" xfId="32826"/>
    <cellStyle name="Normal 13 131" xfId="32849"/>
    <cellStyle name="Normal 13 132" xfId="32872"/>
    <cellStyle name="Normal 13 133" xfId="32894"/>
    <cellStyle name="Normal 13 134" xfId="32917"/>
    <cellStyle name="Normal 13 135" xfId="32940"/>
    <cellStyle name="Normal 13 136" xfId="32963"/>
    <cellStyle name="Normal 13 137" xfId="32986"/>
    <cellStyle name="Normal 13 138" xfId="33009"/>
    <cellStyle name="Normal 13 139" xfId="33032"/>
    <cellStyle name="Normal 13 14" xfId="366"/>
    <cellStyle name="Normal 13 14 2" xfId="2842"/>
    <cellStyle name="Normal 13 14 2 2" xfId="9612"/>
    <cellStyle name="Normal 13 14 2 3" xfId="22302"/>
    <cellStyle name="Normal 13 14 2 4" xfId="8444"/>
    <cellStyle name="Normal 13 14 2 5" xfId="26398"/>
    <cellStyle name="Normal 13 14 3" xfId="4924"/>
    <cellStyle name="Normal 13 14 3 2" xfId="11694"/>
    <cellStyle name="Normal 13 14 3 3" xfId="24384"/>
    <cellStyle name="Normal 13 14 3 4" xfId="16525"/>
    <cellStyle name="Normal 13 14 3 5" xfId="31534"/>
    <cellStyle name="Normal 13 14 4" xfId="7136"/>
    <cellStyle name="Normal 13 14 5" xfId="20106"/>
    <cellStyle name="Normal 13 14 6" xfId="19253"/>
    <cellStyle name="Normal 13 14 7" xfId="31186"/>
    <cellStyle name="Normal 13 140" xfId="33055"/>
    <cellStyle name="Normal 13 141" xfId="33078"/>
    <cellStyle name="Normal 13 142" xfId="33101"/>
    <cellStyle name="Normal 13 143" xfId="33124"/>
    <cellStyle name="Normal 13 144" xfId="33146"/>
    <cellStyle name="Normal 13 145" xfId="33166"/>
    <cellStyle name="Normal 13 146" xfId="33188"/>
    <cellStyle name="Normal 13 147" xfId="33204"/>
    <cellStyle name="Normal 13 148" xfId="33221"/>
    <cellStyle name="Normal 13 149" xfId="33257"/>
    <cellStyle name="Normal 13 15" xfId="389"/>
    <cellStyle name="Normal 13 15 2" xfId="2865"/>
    <cellStyle name="Normal 13 15 2 2" xfId="9635"/>
    <cellStyle name="Normal 13 15 2 3" xfId="22325"/>
    <cellStyle name="Normal 13 15 2 4" xfId="7958"/>
    <cellStyle name="Normal 13 15 2 5" xfId="31536"/>
    <cellStyle name="Normal 13 15 3" xfId="4944"/>
    <cellStyle name="Normal 13 15 3 2" xfId="11714"/>
    <cellStyle name="Normal 13 15 3 3" xfId="24404"/>
    <cellStyle name="Normal 13 15 3 4" xfId="18397"/>
    <cellStyle name="Normal 13 15 3 5" xfId="30324"/>
    <cellStyle name="Normal 13 15 4" xfId="7159"/>
    <cellStyle name="Normal 13 15 5" xfId="20126"/>
    <cellStyle name="Normal 13 15 6" xfId="14826"/>
    <cellStyle name="Normal 13 15 7" xfId="29124"/>
    <cellStyle name="Normal 13 150" xfId="33280"/>
    <cellStyle name="Normal 13 151" xfId="33303"/>
    <cellStyle name="Normal 13 152" xfId="33326"/>
    <cellStyle name="Normal 13 153" xfId="33349"/>
    <cellStyle name="Normal 13 154" xfId="33372"/>
    <cellStyle name="Normal 13 155" xfId="33395"/>
    <cellStyle name="Normal 13 156" xfId="33418"/>
    <cellStyle name="Normal 13 157" xfId="33441"/>
    <cellStyle name="Normal 13 158" xfId="33464"/>
    <cellStyle name="Normal 13 159" xfId="33487"/>
    <cellStyle name="Normal 13 16" xfId="412"/>
    <cellStyle name="Normal 13 16 2" xfId="2887"/>
    <cellStyle name="Normal 13 16 2 2" xfId="9657"/>
    <cellStyle name="Normal 13 16 2 3" xfId="22347"/>
    <cellStyle name="Normal 13 16 2 4" xfId="7510"/>
    <cellStyle name="Normal 13 16 2 5" xfId="32394"/>
    <cellStyle name="Normal 13 16 3" xfId="4964"/>
    <cellStyle name="Normal 13 16 3 2" xfId="11734"/>
    <cellStyle name="Normal 13 16 3 3" xfId="24424"/>
    <cellStyle name="Normal 13 16 3 4" xfId="13882"/>
    <cellStyle name="Normal 13 16 3 5" xfId="32366"/>
    <cellStyle name="Normal 13 16 4" xfId="7182"/>
    <cellStyle name="Normal 13 16 5" xfId="20146"/>
    <cellStyle name="Normal 13 16 6" xfId="16058"/>
    <cellStyle name="Normal 13 16 7" xfId="32051"/>
    <cellStyle name="Normal 13 160" xfId="33510"/>
    <cellStyle name="Normal 13 161" xfId="33533"/>
    <cellStyle name="Normal 13 162" xfId="33556"/>
    <cellStyle name="Normal 13 163" xfId="33579"/>
    <cellStyle name="Normal 13 164" xfId="33602"/>
    <cellStyle name="Normal 13 165" xfId="33625"/>
    <cellStyle name="Normal 13 166" xfId="33647"/>
    <cellStyle name="Normal 13 167" xfId="33669"/>
    <cellStyle name="Normal 13 168" xfId="33692"/>
    <cellStyle name="Normal 13 169" xfId="33715"/>
    <cellStyle name="Normal 13 17" xfId="434"/>
    <cellStyle name="Normal 13 17 2" xfId="2909"/>
    <cellStyle name="Normal 13 17 2 2" xfId="9679"/>
    <cellStyle name="Normal 13 17 2 3" xfId="22369"/>
    <cellStyle name="Normal 13 17 2 4" xfId="8842"/>
    <cellStyle name="Normal 13 17 2 5" xfId="29620"/>
    <cellStyle name="Normal 13 17 3" xfId="4983"/>
    <cellStyle name="Normal 13 17 3 2" xfId="11753"/>
    <cellStyle name="Normal 13 17 3 3" xfId="24443"/>
    <cellStyle name="Normal 13 17 3 4" xfId="20070"/>
    <cellStyle name="Normal 13 17 3 5" xfId="28800"/>
    <cellStyle name="Normal 13 17 4" xfId="7204"/>
    <cellStyle name="Normal 13 17 5" xfId="20165"/>
    <cellStyle name="Normal 13 17 6" xfId="14518"/>
    <cellStyle name="Normal 13 17 7" xfId="27395"/>
    <cellStyle name="Normal 13 170" xfId="33738"/>
    <cellStyle name="Normal 13 171" xfId="33761"/>
    <cellStyle name="Normal 13 172" xfId="33784"/>
    <cellStyle name="Normal 13 173" xfId="33807"/>
    <cellStyle name="Normal 13 174" xfId="33830"/>
    <cellStyle name="Normal 13 175" xfId="33853"/>
    <cellStyle name="Normal 13 176" xfId="33876"/>
    <cellStyle name="Normal 13 177" xfId="33899"/>
    <cellStyle name="Normal 13 178" xfId="33922"/>
    <cellStyle name="Normal 13 179" xfId="33945"/>
    <cellStyle name="Normal 13 18" xfId="457"/>
    <cellStyle name="Normal 13 18 2" xfId="2932"/>
    <cellStyle name="Normal 13 18 2 2" xfId="9702"/>
    <cellStyle name="Normal 13 18 2 3" xfId="22392"/>
    <cellStyle name="Normal 13 18 2 4" xfId="6946"/>
    <cellStyle name="Normal 13 18 2 5" xfId="27703"/>
    <cellStyle name="Normal 13 18 3" xfId="5003"/>
    <cellStyle name="Normal 13 18 3 2" xfId="11773"/>
    <cellStyle name="Normal 13 18 3 3" xfId="24463"/>
    <cellStyle name="Normal 13 18 3 4" xfId="15736"/>
    <cellStyle name="Normal 13 18 3 5" xfId="27796"/>
    <cellStyle name="Normal 13 18 4" xfId="7227"/>
    <cellStyle name="Normal 13 18 5" xfId="20185"/>
    <cellStyle name="Normal 13 18 6" xfId="16740"/>
    <cellStyle name="Normal 13 18 7" xfId="28082"/>
    <cellStyle name="Normal 13 180" xfId="33968"/>
    <cellStyle name="Normal 13 181" xfId="33991"/>
    <cellStyle name="Normal 13 182" xfId="34012"/>
    <cellStyle name="Normal 13 183" xfId="34030"/>
    <cellStyle name="Normal 13 184" xfId="34047"/>
    <cellStyle name="Normal 13 19" xfId="480"/>
    <cellStyle name="Normal 13 19 2" xfId="2955"/>
    <cellStyle name="Normal 13 19 2 2" xfId="9725"/>
    <cellStyle name="Normal 13 19 2 3" xfId="22415"/>
    <cellStyle name="Normal 13 19 2 4" xfId="7906"/>
    <cellStyle name="Normal 13 19 2 5" xfId="30621"/>
    <cellStyle name="Normal 13 19 3" xfId="5023"/>
    <cellStyle name="Normal 13 19 3 2" xfId="11793"/>
    <cellStyle name="Normal 13 19 3 3" xfId="24483"/>
    <cellStyle name="Normal 13 19 3 4" xfId="18006"/>
    <cellStyle name="Normal 13 19 3 5" xfId="26586"/>
    <cellStyle name="Normal 13 19 4" xfId="7250"/>
    <cellStyle name="Normal 13 19 5" xfId="20205"/>
    <cellStyle name="Normal 13 19 6" xfId="18588"/>
    <cellStyle name="Normal 13 19 7" xfId="31003"/>
    <cellStyle name="Normal 13 2" xfId="89"/>
    <cellStyle name="Normal 13 2 2" xfId="2573"/>
    <cellStyle name="Normal 13 2 2 2" xfId="9343"/>
    <cellStyle name="Normal 13 2 2 3" xfId="22033"/>
    <cellStyle name="Normal 13 2 2 4" xfId="14086"/>
    <cellStyle name="Normal 13 2 2 5" xfId="29866"/>
    <cellStyle name="Normal 13 2 3" xfId="3145"/>
    <cellStyle name="Normal 13 2 3 2" xfId="9915"/>
    <cellStyle name="Normal 13 2 3 3" xfId="22605"/>
    <cellStyle name="Normal 13 2 3 4" xfId="17440"/>
    <cellStyle name="Normal 13 2 3 5" xfId="32128"/>
    <cellStyle name="Normal 13 2 4" xfId="6859"/>
    <cellStyle name="Normal 13 2 5" xfId="13632"/>
    <cellStyle name="Normal 13 2 6" xfId="15036"/>
    <cellStyle name="Normal 13 2 7" xfId="28769"/>
    <cellStyle name="Normal 13 20" xfId="503"/>
    <cellStyle name="Normal 13 20 2" xfId="2978"/>
    <cellStyle name="Normal 13 20 2 2" xfId="9748"/>
    <cellStyle name="Normal 13 20 2 3" xfId="22438"/>
    <cellStyle name="Normal 13 20 2 4" xfId="7427"/>
    <cellStyle name="Normal 13 20 2 5" xfId="29390"/>
    <cellStyle name="Normal 13 20 3" xfId="5043"/>
    <cellStyle name="Normal 13 20 3 2" xfId="11813"/>
    <cellStyle name="Normal 13 20 3 3" xfId="24503"/>
    <cellStyle name="Normal 13 20 3 4" xfId="19722"/>
    <cellStyle name="Normal 13 20 3 5" xfId="31674"/>
    <cellStyle name="Normal 13 20 4" xfId="7273"/>
    <cellStyle name="Normal 13 20 5" xfId="20225"/>
    <cellStyle name="Normal 13 20 6" xfId="14054"/>
    <cellStyle name="Normal 13 20 7" xfId="27447"/>
    <cellStyle name="Normal 13 21" xfId="526"/>
    <cellStyle name="Normal 13 21 2" xfId="3001"/>
    <cellStyle name="Normal 13 21 2 2" xfId="9771"/>
    <cellStyle name="Normal 13 21 2 3" xfId="22461"/>
    <cellStyle name="Normal 13 21 2 4" xfId="9155"/>
    <cellStyle name="Normal 13 21 2 5" xfId="32323"/>
    <cellStyle name="Normal 13 21 3" xfId="5063"/>
    <cellStyle name="Normal 13 21 3 2" xfId="11833"/>
    <cellStyle name="Normal 13 21 3 3" xfId="24523"/>
    <cellStyle name="Normal 13 21 3 4" xfId="15362"/>
    <cellStyle name="Normal 13 21 3 5" xfId="30644"/>
    <cellStyle name="Normal 13 21 4" xfId="7296"/>
    <cellStyle name="Normal 13 21 5" xfId="20245"/>
    <cellStyle name="Normal 13 21 6" xfId="16276"/>
    <cellStyle name="Normal 13 21 7" xfId="31896"/>
    <cellStyle name="Normal 13 22" xfId="549"/>
    <cellStyle name="Normal 13 22 2" xfId="3022"/>
    <cellStyle name="Normal 13 22 2 2" xfId="9792"/>
    <cellStyle name="Normal 13 22 2 3" xfId="22482"/>
    <cellStyle name="Normal 13 22 2 4" xfId="9150"/>
    <cellStyle name="Normal 13 22 2 5" xfId="28412"/>
    <cellStyle name="Normal 13 22 3" xfId="5083"/>
    <cellStyle name="Normal 13 22 3 2" xfId="11853"/>
    <cellStyle name="Normal 13 22 3 3" xfId="24543"/>
    <cellStyle name="Normal 13 22 3 4" xfId="16040"/>
    <cellStyle name="Normal 13 22 3 5" xfId="29522"/>
    <cellStyle name="Normal 13 22 4" xfId="7319"/>
    <cellStyle name="Normal 13 22 5" xfId="20265"/>
    <cellStyle name="Normal 13 22 6" xfId="20069"/>
    <cellStyle name="Normal 13 22 7" xfId="26754"/>
    <cellStyle name="Normal 13 23" xfId="572"/>
    <cellStyle name="Normal 13 23 2" xfId="3045"/>
    <cellStyle name="Normal 13 23 2 2" xfId="9815"/>
    <cellStyle name="Normal 13 23 2 3" xfId="22505"/>
    <cellStyle name="Normal 13 23 2 4" xfId="19923"/>
    <cellStyle name="Normal 13 23 2 5" xfId="31358"/>
    <cellStyle name="Normal 13 23 3" xfId="5103"/>
    <cellStyle name="Normal 13 23 3 2" xfId="11873"/>
    <cellStyle name="Normal 13 23 3 3" xfId="24563"/>
    <cellStyle name="Normal 13 23 3 4" xfId="19371"/>
    <cellStyle name="Normal 13 23 3 5" xfId="26432"/>
    <cellStyle name="Normal 13 23 4" xfId="7342"/>
    <cellStyle name="Normal 13 23 5" xfId="20285"/>
    <cellStyle name="Normal 13 23 6" xfId="13959"/>
    <cellStyle name="Normal 13 23 7" xfId="29759"/>
    <cellStyle name="Normal 13 24" xfId="594"/>
    <cellStyle name="Normal 13 24 2" xfId="3067"/>
    <cellStyle name="Normal 13 24 2 2" xfId="9837"/>
    <cellStyle name="Normal 13 24 2 3" xfId="22527"/>
    <cellStyle name="Normal 13 24 2 4" xfId="17931"/>
    <cellStyle name="Normal 13 24 2 5" xfId="32238"/>
    <cellStyle name="Normal 13 24 3" xfId="5122"/>
    <cellStyle name="Normal 13 24 3 2" xfId="11892"/>
    <cellStyle name="Normal 13 24 3 3" xfId="24582"/>
    <cellStyle name="Normal 13 24 3 4" xfId="17361"/>
    <cellStyle name="Normal 13 24 3 5" xfId="31032"/>
    <cellStyle name="Normal 13 24 4" xfId="7364"/>
    <cellStyle name="Normal 13 24 5" xfId="20304"/>
    <cellStyle name="Normal 13 24 6" xfId="17349"/>
    <cellStyle name="Normal 13 24 7" xfId="30819"/>
    <cellStyle name="Normal 13 25" xfId="616"/>
    <cellStyle name="Normal 13 25 2" xfId="3089"/>
    <cellStyle name="Normal 13 25 2 2" xfId="9859"/>
    <cellStyle name="Normal 13 25 2 3" xfId="22549"/>
    <cellStyle name="Normal 13 25 2 4" xfId="15417"/>
    <cellStyle name="Normal 13 25 2 5" xfId="30136"/>
    <cellStyle name="Normal 13 25 3" xfId="5142"/>
    <cellStyle name="Normal 13 25 3 2" xfId="11912"/>
    <cellStyle name="Normal 13 25 3 3" xfId="24602"/>
    <cellStyle name="Normal 13 25 3 4" xfId="19140"/>
    <cellStyle name="Normal 13 25 3 5" xfId="30488"/>
    <cellStyle name="Normal 13 25 4" xfId="7386"/>
    <cellStyle name="Normal 13 25 5" xfId="20324"/>
    <cellStyle name="Normal 13 25 6" xfId="18173"/>
    <cellStyle name="Normal 13 25 7" xfId="31758"/>
    <cellStyle name="Normal 13 26" xfId="641"/>
    <cellStyle name="Normal 13 26 2" xfId="3114"/>
    <cellStyle name="Normal 13 26 2 2" xfId="9884"/>
    <cellStyle name="Normal 13 26 2 3" xfId="22574"/>
    <cellStyle name="Normal 13 26 2 4" xfId="19526"/>
    <cellStyle name="Normal 13 26 2 5" xfId="27112"/>
    <cellStyle name="Normal 13 26 3" xfId="5163"/>
    <cellStyle name="Normal 13 26 3 2" xfId="11933"/>
    <cellStyle name="Normal 13 26 3 3" xfId="24623"/>
    <cellStyle name="Normal 13 26 3 4" xfId="19022"/>
    <cellStyle name="Normal 13 26 3 5" xfId="26356"/>
    <cellStyle name="Normal 13 26 4" xfId="7411"/>
    <cellStyle name="Normal 13 26 5" xfId="20345"/>
    <cellStyle name="Normal 13 26 6" xfId="15297"/>
    <cellStyle name="Normal 13 26 7" xfId="28753"/>
    <cellStyle name="Normal 13 27" xfId="662"/>
    <cellStyle name="Normal 13 27 2" xfId="3134"/>
    <cellStyle name="Normal 13 27 2 2" xfId="9904"/>
    <cellStyle name="Normal 13 27 2 3" xfId="22594"/>
    <cellStyle name="Normal 13 27 2 4" xfId="15119"/>
    <cellStyle name="Normal 13 27 2 5" xfId="29182"/>
    <cellStyle name="Normal 13 27 3" xfId="5181"/>
    <cellStyle name="Normal 13 27 3 2" xfId="11951"/>
    <cellStyle name="Normal 13 27 3 3" xfId="24641"/>
    <cellStyle name="Normal 13 27 3 4" xfId="16605"/>
    <cellStyle name="Normal 13 27 3 5" xfId="27362"/>
    <cellStyle name="Normal 13 27 4" xfId="7432"/>
    <cellStyle name="Normal 13 27 5" xfId="20363"/>
    <cellStyle name="Normal 13 27 6" xfId="17529"/>
    <cellStyle name="Normal 13 27 7" xfId="29611"/>
    <cellStyle name="Normal 13 28" xfId="685"/>
    <cellStyle name="Normal 13 28 2" xfId="3157"/>
    <cellStyle name="Normal 13 28 2 2" xfId="9927"/>
    <cellStyle name="Normal 13 28 2 3" xfId="22617"/>
    <cellStyle name="Normal 13 28 2 4" xfId="17355"/>
    <cellStyle name="Normal 13 28 2 5" xfId="32109"/>
    <cellStyle name="Normal 13 28 3" xfId="5202"/>
    <cellStyle name="Normal 13 28 3 2" xfId="11972"/>
    <cellStyle name="Normal 13 28 3 3" xfId="24662"/>
    <cellStyle name="Normal 13 28 3 4" xfId="18571"/>
    <cellStyle name="Normal 13 28 3 5" xfId="31478"/>
    <cellStyle name="Normal 13 28 4" xfId="7455"/>
    <cellStyle name="Normal 13 28 5" xfId="20384"/>
    <cellStyle name="Normal 13 28 6" xfId="19274"/>
    <cellStyle name="Normal 13 28 7" xfId="27695"/>
    <cellStyle name="Normal 13 29" xfId="707"/>
    <cellStyle name="Normal 13 29 2" xfId="3179"/>
    <cellStyle name="Normal 13 29 2 2" xfId="9949"/>
    <cellStyle name="Normal 13 29 2 3" xfId="22639"/>
    <cellStyle name="Normal 13 29 2 4" xfId="14846"/>
    <cellStyle name="Normal 13 29 2 5" xfId="30017"/>
    <cellStyle name="Normal 13 29 3" xfId="5221"/>
    <cellStyle name="Normal 13 29 3 2" xfId="11991"/>
    <cellStyle name="Normal 13 29 3 3" xfId="24681"/>
    <cellStyle name="Normal 13 29 3 4" xfId="16700"/>
    <cellStyle name="Normal 13 29 3 5" xfId="28470"/>
    <cellStyle name="Normal 13 29 4" xfId="7477"/>
    <cellStyle name="Normal 13 29 5" xfId="20403"/>
    <cellStyle name="Normal 13 29 6" xfId="19138"/>
    <cellStyle name="Normal 13 29 7" xfId="28648"/>
    <cellStyle name="Normal 13 3" xfId="113"/>
    <cellStyle name="Normal 13 3 2" xfId="2597"/>
    <cellStyle name="Normal 13 3 2 2" xfId="9367"/>
    <cellStyle name="Normal 13 3 2 3" xfId="22057"/>
    <cellStyle name="Normal 13 3 2 4" xfId="13933"/>
    <cellStyle name="Normal 13 3 2 5" xfId="29837"/>
    <cellStyle name="Normal 13 3 3" xfId="4395"/>
    <cellStyle name="Normal 13 3 3 2" xfId="11165"/>
    <cellStyle name="Normal 13 3 3 3" xfId="23855"/>
    <cellStyle name="Normal 13 3 3 4" xfId="19593"/>
    <cellStyle name="Normal 13 3 3 5" xfId="29303"/>
    <cellStyle name="Normal 13 3 4" xfId="6883"/>
    <cellStyle name="Normal 13 3 5" xfId="15442"/>
    <cellStyle name="Normal 13 3 6" xfId="14863"/>
    <cellStyle name="Normal 13 3 7" xfId="28023"/>
    <cellStyle name="Normal 13 30" xfId="730"/>
    <cellStyle name="Normal 13 30 2" xfId="3201"/>
    <cellStyle name="Normal 13 30 2 2" xfId="9971"/>
    <cellStyle name="Normal 13 30 2 3" xfId="22661"/>
    <cellStyle name="Normal 13 30 2 4" xfId="18993"/>
    <cellStyle name="Normal 13 30 2 5" xfId="31114"/>
    <cellStyle name="Normal 13 30 3" xfId="5240"/>
    <cellStyle name="Normal 13 30 3 2" xfId="12010"/>
    <cellStyle name="Normal 13 30 3 3" xfId="24700"/>
    <cellStyle name="Normal 13 30 3 4" xfId="14178"/>
    <cellStyle name="Normal 13 30 3 5" xfId="26674"/>
    <cellStyle name="Normal 13 30 4" xfId="7500"/>
    <cellStyle name="Normal 13 30 5" xfId="20422"/>
    <cellStyle name="Normal 13 30 6" xfId="17049"/>
    <cellStyle name="Normal 13 30 7" xfId="31584"/>
    <cellStyle name="Normal 13 31" xfId="754"/>
    <cellStyle name="Normal 13 31 2" xfId="3225"/>
    <cellStyle name="Normal 13 31 2 2" xfId="9995"/>
    <cellStyle name="Normal 13 31 2 3" xfId="22685"/>
    <cellStyle name="Normal 13 31 2 4" xfId="18861"/>
    <cellStyle name="Normal 13 31 2 5" xfId="31072"/>
    <cellStyle name="Normal 13 31 3" xfId="5262"/>
    <cellStyle name="Normal 13 31 3 2" xfId="12032"/>
    <cellStyle name="Normal 13 31 3 3" xfId="24722"/>
    <cellStyle name="Normal 13 31 3 4" xfId="18436"/>
    <cellStyle name="Normal 13 31 3 5" xfId="30407"/>
    <cellStyle name="Normal 13 31 4" xfId="7524"/>
    <cellStyle name="Normal 13 31 5" xfId="20444"/>
    <cellStyle name="Normal 13 31 6" xfId="14462"/>
    <cellStyle name="Normal 13 31 7" xfId="31075"/>
    <cellStyle name="Normal 13 32" xfId="778"/>
    <cellStyle name="Normal 13 32 2" xfId="3248"/>
    <cellStyle name="Normal 13 32 2 2" xfId="10018"/>
    <cellStyle name="Normal 13 32 2 3" xfId="22708"/>
    <cellStyle name="Normal 13 32 2 4" xfId="14386"/>
    <cellStyle name="Normal 13 32 2 5" xfId="29022"/>
    <cellStyle name="Normal 13 32 3" xfId="5282"/>
    <cellStyle name="Normal 13 32 3 2" xfId="12052"/>
    <cellStyle name="Normal 13 32 3 3" xfId="24742"/>
    <cellStyle name="Normal 13 32 3 4" xfId="13927"/>
    <cellStyle name="Normal 13 32 3 5" xfId="26727"/>
    <cellStyle name="Normal 13 32 4" xfId="7548"/>
    <cellStyle name="Normal 13 32 5" xfId="20464"/>
    <cellStyle name="Normal 13 32 6" xfId="18649"/>
    <cellStyle name="Normal 13 32 7" xfId="32433"/>
    <cellStyle name="Normal 13 33" xfId="801"/>
    <cellStyle name="Normal 13 33 2" xfId="3269"/>
    <cellStyle name="Normal 13 33 2 2" xfId="10039"/>
    <cellStyle name="Normal 13 33 2 3" xfId="22729"/>
    <cellStyle name="Normal 13 33 2 4" xfId="13656"/>
    <cellStyle name="Normal 13 33 2 5" xfId="29885"/>
    <cellStyle name="Normal 13 33 3" xfId="5302"/>
    <cellStyle name="Normal 13 33 3 2" xfId="12072"/>
    <cellStyle name="Normal 13 33 3 3" xfId="24762"/>
    <cellStyle name="Normal 13 33 3 4" xfId="16179"/>
    <cellStyle name="Normal 13 33 3 5" xfId="18000"/>
    <cellStyle name="Normal 13 33 4" xfId="7571"/>
    <cellStyle name="Normal 13 33 5" xfId="20484"/>
    <cellStyle name="Normal 13 33 6" xfId="13829"/>
    <cellStyle name="Normal 13 33 7" xfId="27357"/>
    <cellStyle name="Normal 13 34" xfId="824"/>
    <cellStyle name="Normal 13 34 2" xfId="3292"/>
    <cellStyle name="Normal 13 34 2 2" xfId="10062"/>
    <cellStyle name="Normal 13 34 2 3" xfId="22752"/>
    <cellStyle name="Normal 13 34 2 4" xfId="16453"/>
    <cellStyle name="Normal 13 34 2 5" xfId="27997"/>
    <cellStyle name="Normal 13 34 3" xfId="5322"/>
    <cellStyle name="Normal 13 34 3 2" xfId="12092"/>
    <cellStyle name="Normal 13 34 3 3" xfId="24782"/>
    <cellStyle name="Normal 13 34 3 4" xfId="20031"/>
    <cellStyle name="Normal 13 34 3 5" xfId="19499"/>
    <cellStyle name="Normal 13 34 4" xfId="7594"/>
    <cellStyle name="Normal 13 34 5" xfId="20504"/>
    <cellStyle name="Normal 13 34 6" xfId="17930"/>
    <cellStyle name="Normal 13 34 7" xfId="29521"/>
    <cellStyle name="Normal 13 35" xfId="847"/>
    <cellStyle name="Normal 13 35 2" xfId="3313"/>
    <cellStyle name="Normal 13 35 2 2" xfId="10083"/>
    <cellStyle name="Normal 13 35 2 3" xfId="22773"/>
    <cellStyle name="Normal 13 35 2 4" xfId="16318"/>
    <cellStyle name="Normal 13 35 2 5" xfId="31900"/>
    <cellStyle name="Normal 13 35 3" xfId="5342"/>
    <cellStyle name="Normal 13 35 3 2" xfId="12112"/>
    <cellStyle name="Normal 13 35 3 3" xfId="24802"/>
    <cellStyle name="Normal 13 35 3 4" xfId="6798"/>
    <cellStyle name="Normal 13 35 3 5" xfId="19820"/>
    <cellStyle name="Normal 13 35 4" xfId="7617"/>
    <cellStyle name="Normal 13 35 5" xfId="20524"/>
    <cellStyle name="Normal 13 35 6" xfId="19660"/>
    <cellStyle name="Normal 13 35 7" xfId="27588"/>
    <cellStyle name="Normal 13 36" xfId="870"/>
    <cellStyle name="Normal 13 36 2" xfId="3335"/>
    <cellStyle name="Normal 13 36 2 2" xfId="10105"/>
    <cellStyle name="Normal 13 36 2 3" xfId="22795"/>
    <cellStyle name="Normal 13 36 2 4" xfId="15901"/>
    <cellStyle name="Normal 13 36 2 5" xfId="29788"/>
    <cellStyle name="Normal 13 36 3" xfId="5362"/>
    <cellStyle name="Normal 13 36 3 2" xfId="12132"/>
    <cellStyle name="Normal 13 36 3 3" xfId="24822"/>
    <cellStyle name="Normal 13 36 3 4" xfId="19777"/>
    <cellStyle name="Normal 13 36 3 5" xfId="17073"/>
    <cellStyle name="Normal 13 36 4" xfId="7640"/>
    <cellStyle name="Normal 13 36 5" xfId="20544"/>
    <cellStyle name="Normal 13 36 6" xfId="13700"/>
    <cellStyle name="Normal 13 36 7" xfId="30506"/>
    <cellStyle name="Normal 13 37" xfId="893"/>
    <cellStyle name="Normal 13 37 2" xfId="3357"/>
    <cellStyle name="Normal 13 37 2 2" xfId="10127"/>
    <cellStyle name="Normal 13 37 2 3" xfId="22817"/>
    <cellStyle name="Normal 13 37 2 4" xfId="19980"/>
    <cellStyle name="Normal 13 37 2 5" xfId="30859"/>
    <cellStyle name="Normal 13 37 3" xfId="5382"/>
    <cellStyle name="Normal 13 37 3 2" xfId="12152"/>
    <cellStyle name="Normal 13 37 3 3" xfId="24842"/>
    <cellStyle name="Normal 13 37 3 4" xfId="15422"/>
    <cellStyle name="Normal 13 37 3 5" xfId="14709"/>
    <cellStyle name="Normal 13 37 4" xfId="7663"/>
    <cellStyle name="Normal 13 37 5" xfId="20564"/>
    <cellStyle name="Normal 13 37 6" xfId="17481"/>
    <cellStyle name="Normal 13 37 7" xfId="29464"/>
    <cellStyle name="Normal 13 38" xfId="916"/>
    <cellStyle name="Normal 13 38 2" xfId="3380"/>
    <cellStyle name="Normal 13 38 2 2" xfId="10150"/>
    <cellStyle name="Normal 13 38 2 3" xfId="22840"/>
    <cellStyle name="Normal 13 38 2 4" xfId="15605"/>
    <cellStyle name="Normal 13 38 2 5" xfId="28829"/>
    <cellStyle name="Normal 13 38 3" xfId="5402"/>
    <cellStyle name="Normal 13 38 3 2" xfId="12172"/>
    <cellStyle name="Normal 13 38 3 3" xfId="24862"/>
    <cellStyle name="Normal 13 38 3 4" xfId="17660"/>
    <cellStyle name="Normal 13 38 3 5" xfId="16026"/>
    <cellStyle name="Normal 13 38 4" xfId="7686"/>
    <cellStyle name="Normal 13 38 5" xfId="20584"/>
    <cellStyle name="Normal 13 38 6" xfId="19250"/>
    <cellStyle name="Normal 13 38 7" xfId="32395"/>
    <cellStyle name="Normal 13 39" xfId="939"/>
    <cellStyle name="Normal 13 39 2" xfId="3403"/>
    <cellStyle name="Normal 13 39 2 2" xfId="10173"/>
    <cellStyle name="Normal 13 39 2 3" xfId="22863"/>
    <cellStyle name="Normal 13 39 2 4" xfId="17860"/>
    <cellStyle name="Normal 13 39 2 5" xfId="31762"/>
    <cellStyle name="Normal 13 39 3" xfId="5422"/>
    <cellStyle name="Normal 13 39 3 2" xfId="12192"/>
    <cellStyle name="Normal 13 39 3 3" xfId="24882"/>
    <cellStyle name="Normal 13 39 3 4" xfId="19430"/>
    <cellStyle name="Normal 13 39 3 5" xfId="17191"/>
    <cellStyle name="Normal 13 39 4" xfId="7709"/>
    <cellStyle name="Normal 13 39 5" xfId="20604"/>
    <cellStyle name="Normal 13 39 6" xfId="14823"/>
    <cellStyle name="Normal 13 39 7" xfId="27314"/>
    <cellStyle name="Normal 13 4" xfId="136"/>
    <cellStyle name="Normal 13 4 2" xfId="2620"/>
    <cellStyle name="Normal 13 4 2 2" xfId="9390"/>
    <cellStyle name="Normal 13 4 2 3" xfId="22080"/>
    <cellStyle name="Normal 13 4 2 4" xfId="15911"/>
    <cellStyle name="Normal 13 4 2 5" xfId="27944"/>
    <cellStyle name="Normal 13 4 3" xfId="3934"/>
    <cellStyle name="Normal 13 4 3 2" xfId="10704"/>
    <cellStyle name="Normal 13 4 3 3" xfId="23394"/>
    <cellStyle name="Normal 13 4 3 4" xfId="16483"/>
    <cellStyle name="Normal 13 4 3 5" xfId="30548"/>
    <cellStyle name="Normal 13 4 4" xfId="6906"/>
    <cellStyle name="Normal 13 4 5" xfId="15002"/>
    <cellStyle name="Normal 13 4 6" xfId="17086"/>
    <cellStyle name="Normal 13 4 7" xfId="31673"/>
    <cellStyle name="Normal 13 40" xfId="960"/>
    <cellStyle name="Normal 13 40 2" xfId="3424"/>
    <cellStyle name="Normal 13 40 2 2" xfId="10194"/>
    <cellStyle name="Normal 13 40 2 3" xfId="22884"/>
    <cellStyle name="Normal 13 40 2 4" xfId="17710"/>
    <cellStyle name="Normal 13 40 2 5" xfId="27782"/>
    <cellStyle name="Normal 13 40 3" xfId="5440"/>
    <cellStyle name="Normal 13 40 3 2" xfId="12210"/>
    <cellStyle name="Normal 13 40 3 3" xfId="24900"/>
    <cellStyle name="Normal 13 40 3 4" xfId="16962"/>
    <cellStyle name="Normal 13 40 3 5" xfId="18031"/>
    <cellStyle name="Normal 13 40 4" xfId="7730"/>
    <cellStyle name="Normal 13 40 5" xfId="20622"/>
    <cellStyle name="Normal 13 40 6" xfId="14665"/>
    <cellStyle name="Normal 13 40 7" xfId="31278"/>
    <cellStyle name="Normal 13 41" xfId="983"/>
    <cellStyle name="Normal 13 41 2" xfId="3447"/>
    <cellStyle name="Normal 13 41 2 2" xfId="10217"/>
    <cellStyle name="Normal 13 41 2 3" xfId="22907"/>
    <cellStyle name="Normal 13 41 2 4" xfId="19456"/>
    <cellStyle name="Normal 13 41 2 5" xfId="30714"/>
    <cellStyle name="Normal 13 41 3" xfId="5461"/>
    <cellStyle name="Normal 13 41 3 2" xfId="12231"/>
    <cellStyle name="Normal 13 41 3 3" xfId="24921"/>
    <cellStyle name="Normal 13 41 3 4" xfId="19199"/>
    <cellStyle name="Normal 13 41 3 5" xfId="15338"/>
    <cellStyle name="Normal 13 41 4" xfId="7753"/>
    <cellStyle name="Normal 13 41 5" xfId="20643"/>
    <cellStyle name="Normal 13 41 6" xfId="16892"/>
    <cellStyle name="Normal 13 41 7" xfId="29197"/>
    <cellStyle name="Normal 13 42" xfId="1007"/>
    <cellStyle name="Normal 13 42 2" xfId="3471"/>
    <cellStyle name="Normal 13 42 2 2" xfId="10241"/>
    <cellStyle name="Normal 13 42 2 3" xfId="22931"/>
    <cellStyle name="Normal 13 42 2 4" xfId="19321"/>
    <cellStyle name="Normal 13 42 2 5" xfId="30666"/>
    <cellStyle name="Normal 13 42 3" xfId="5481"/>
    <cellStyle name="Normal 13 42 3 2" xfId="12251"/>
    <cellStyle name="Normal 13 42 3 3" xfId="24941"/>
    <cellStyle name="Normal 13 42 3 4" xfId="14784"/>
    <cellStyle name="Normal 13 42 3 5" xfId="15388"/>
    <cellStyle name="Normal 13 42 4" xfId="7777"/>
    <cellStyle name="Normal 13 42 5" xfId="20663"/>
    <cellStyle name="Normal 13 42 6" xfId="16737"/>
    <cellStyle name="Normal 13 42 7" xfId="32125"/>
    <cellStyle name="Normal 13 43" xfId="1029"/>
    <cellStyle name="Normal 13 43 2" xfId="3493"/>
    <cellStyle name="Normal 13 43 2 2" xfId="10263"/>
    <cellStyle name="Normal 13 43 2 3" xfId="22953"/>
    <cellStyle name="Normal 13 43 2 4" xfId="17254"/>
    <cellStyle name="Normal 13 43 2 5" xfId="30671"/>
    <cellStyle name="Normal 13 43 3" xfId="5500"/>
    <cellStyle name="Normal 13 43 3 2" xfId="12270"/>
    <cellStyle name="Normal 13 43 3 3" xfId="24960"/>
    <cellStyle name="Normal 13 43 3 4" xfId="18996"/>
    <cellStyle name="Normal 13 43 3 5" xfId="14836"/>
    <cellStyle name="Normal 13 43 4" xfId="7799"/>
    <cellStyle name="Normal 13 43 5" xfId="20682"/>
    <cellStyle name="Normal 13 43 6" xfId="14205"/>
    <cellStyle name="Normal 13 43 7" xfId="30023"/>
    <cellStyle name="Normal 13 44" xfId="1051"/>
    <cellStyle name="Normal 13 44 2" xfId="3513"/>
    <cellStyle name="Normal 13 44 2 2" xfId="10283"/>
    <cellStyle name="Normal 13 44 2 3" xfId="22973"/>
    <cellStyle name="Normal 13 44 2 4" xfId="19067"/>
    <cellStyle name="Normal 13 44 2 5" xfId="30589"/>
    <cellStyle name="Normal 13 44 3" xfId="5519"/>
    <cellStyle name="Normal 13 44 3 2" xfId="12289"/>
    <cellStyle name="Normal 13 44 3 3" xfId="24979"/>
    <cellStyle name="Normal 13 44 3 4" xfId="16897"/>
    <cellStyle name="Normal 13 44 3 5" xfId="30783"/>
    <cellStyle name="Normal 13 44 4" xfId="7821"/>
    <cellStyle name="Normal 13 44 5" xfId="20701"/>
    <cellStyle name="Normal 13 44 6" xfId="14051"/>
    <cellStyle name="Normal 13 44 7" xfId="31122"/>
    <cellStyle name="Normal 13 45" xfId="1074"/>
    <cellStyle name="Normal 13 45 2" xfId="3536"/>
    <cellStyle name="Normal 13 45 2 2" xfId="10306"/>
    <cellStyle name="Normal 13 45 2 3" xfId="22996"/>
    <cellStyle name="Normal 13 45 2 4" xfId="14614"/>
    <cellStyle name="Normal 13 45 2 5" xfId="28490"/>
    <cellStyle name="Normal 13 45 3" xfId="5539"/>
    <cellStyle name="Normal 13 45 3 2" xfId="12309"/>
    <cellStyle name="Normal 13 45 3 3" xfId="24999"/>
    <cellStyle name="Normal 13 45 3 4" xfId="16629"/>
    <cellStyle name="Normal 13 45 3 5" xfId="31472"/>
    <cellStyle name="Normal 13 45 4" xfId="7844"/>
    <cellStyle name="Normal 13 45 5" xfId="20721"/>
    <cellStyle name="Normal 13 45 6" xfId="17979"/>
    <cellStyle name="Normal 13 45 7" xfId="32025"/>
    <cellStyle name="Normal 13 46" xfId="1097"/>
    <cellStyle name="Normal 13 46 2" xfId="3558"/>
    <cellStyle name="Normal 13 46 2 2" xfId="10328"/>
    <cellStyle name="Normal 13 46 2 3" xfId="23018"/>
    <cellStyle name="Normal 13 46 2 4" xfId="18793"/>
    <cellStyle name="Normal 13 46 2 5" xfId="27407"/>
    <cellStyle name="Normal 13 46 3" xfId="5559"/>
    <cellStyle name="Normal 13 46 3 2" xfId="12329"/>
    <cellStyle name="Normal 13 46 3 3" xfId="25019"/>
    <cellStyle name="Normal 13 46 3 4" xfId="14257"/>
    <cellStyle name="Normal 13 46 3 5" xfId="30265"/>
    <cellStyle name="Normal 13 46 4" xfId="7867"/>
    <cellStyle name="Normal 13 46 5" xfId="20741"/>
    <cellStyle name="Normal 13 46 6" xfId="16189"/>
    <cellStyle name="Normal 13 46 7" xfId="26897"/>
    <cellStyle name="Normal 13 47" xfId="1119"/>
    <cellStyle name="Normal 13 47 2" xfId="3580"/>
    <cellStyle name="Normal 13 47 2 2" xfId="10350"/>
    <cellStyle name="Normal 13 47 2 3" xfId="23040"/>
    <cellStyle name="Normal 13 47 2 4" xfId="16686"/>
    <cellStyle name="Normal 13 47 2 5" xfId="28550"/>
    <cellStyle name="Normal 13 47 3" xfId="5578"/>
    <cellStyle name="Normal 13 47 3 2" xfId="12348"/>
    <cellStyle name="Normal 13 47 3 3" xfId="25038"/>
    <cellStyle name="Normal 13 47 3 4" xfId="18514"/>
    <cellStyle name="Normal 13 47 3 5" xfId="27260"/>
    <cellStyle name="Normal 13 47 4" xfId="7889"/>
    <cellStyle name="Normal 13 47 5" xfId="20760"/>
    <cellStyle name="Normal 13 47 6" xfId="17697"/>
    <cellStyle name="Normal 13 47 7" xfId="28038"/>
    <cellStyle name="Normal 13 48" xfId="1142"/>
    <cellStyle name="Normal 13 48 2" xfId="3602"/>
    <cellStyle name="Normal 13 48 2 2" xfId="10372"/>
    <cellStyle name="Normal 13 48 2 3" xfId="23062"/>
    <cellStyle name="Normal 13 48 2 4" xfId="14173"/>
    <cellStyle name="Normal 13 48 2 5" xfId="29419"/>
    <cellStyle name="Normal 13 48 3" xfId="5598"/>
    <cellStyle name="Normal 13 48 3 2" xfId="12368"/>
    <cellStyle name="Normal 13 48 3 3" xfId="25058"/>
    <cellStyle name="Normal 13 48 3 4" xfId="13990"/>
    <cellStyle name="Normal 13 48 3 5" xfId="27499"/>
    <cellStyle name="Normal 13 48 4" xfId="7912"/>
    <cellStyle name="Normal 13 48 5" xfId="20780"/>
    <cellStyle name="Normal 13 48 6" xfId="19444"/>
    <cellStyle name="Normal 13 48 7" xfId="28754"/>
    <cellStyle name="Normal 13 49" xfId="1164"/>
    <cellStyle name="Normal 13 49 2" xfId="3624"/>
    <cellStyle name="Normal 13 49 2 2" xfId="10394"/>
    <cellStyle name="Normal 13 49 2 3" xfId="23084"/>
    <cellStyle name="Normal 13 49 2 4" xfId="18401"/>
    <cellStyle name="Normal 13 49 2 5" xfId="26446"/>
    <cellStyle name="Normal 13 49 3" xfId="5617"/>
    <cellStyle name="Normal 13 49 3 2" xfId="12387"/>
    <cellStyle name="Normal 13 49 3 3" xfId="25077"/>
    <cellStyle name="Normal 13 49 3 4" xfId="18277"/>
    <cellStyle name="Normal 13 49 3 5" xfId="31354"/>
    <cellStyle name="Normal 13 49 4" xfId="7934"/>
    <cellStyle name="Normal 13 49 5" xfId="20799"/>
    <cellStyle name="Normal 13 49 6" xfId="16031"/>
    <cellStyle name="Normal 13 49 7" xfId="29805"/>
    <cellStyle name="Normal 13 5" xfId="159"/>
    <cellStyle name="Normal 13 5 2" xfId="2643"/>
    <cellStyle name="Normal 13 5 2 2" xfId="9413"/>
    <cellStyle name="Normal 13 5 2 3" xfId="22103"/>
    <cellStyle name="Normal 13 5 2 4" xfId="19952"/>
    <cellStyle name="Normal 13 5 2 5" xfId="30869"/>
    <cellStyle name="Normal 13 5 3" xfId="3465"/>
    <cellStyle name="Normal 13 5 3 2" xfId="10235"/>
    <cellStyle name="Normal 13 5 3 3" xfId="22925"/>
    <cellStyle name="Normal 13 5 3 4" xfId="19358"/>
    <cellStyle name="Normal 13 5 3 5" xfId="30677"/>
    <cellStyle name="Normal 13 5 4" xfId="6929"/>
    <cellStyle name="Normal 13 5 5" xfId="14541"/>
    <cellStyle name="Normal 13 5 6" xfId="18895"/>
    <cellStyle name="Normal 13 5 7" xfId="26504"/>
    <cellStyle name="Normal 13 50" xfId="1185"/>
    <cellStyle name="Normal 13 50 2" xfId="3645"/>
    <cellStyle name="Normal 13 50 2 2" xfId="10415"/>
    <cellStyle name="Normal 13 50 2 3" xfId="23105"/>
    <cellStyle name="Normal 13 50 2 4" xfId="18283"/>
    <cellStyle name="Normal 13 50 2 5" xfId="30530"/>
    <cellStyle name="Normal 13 50 3" xfId="5636"/>
    <cellStyle name="Normal 13 50 3 2" xfId="12406"/>
    <cellStyle name="Normal 13 50 3 3" xfId="25096"/>
    <cellStyle name="Normal 13 50 3 4" xfId="15922"/>
    <cellStyle name="Normal 13 50 3 5" xfId="28353"/>
    <cellStyle name="Normal 13 50 4" xfId="7955"/>
    <cellStyle name="Normal 13 50 5" xfId="20818"/>
    <cellStyle name="Normal 13 50 6" xfId="17262"/>
    <cellStyle name="Normal 13 50 7" xfId="26730"/>
    <cellStyle name="Normal 13 51" xfId="1210"/>
    <cellStyle name="Normal 13 51 2" xfId="3670"/>
    <cellStyle name="Normal 13 51 2 2" xfId="10440"/>
    <cellStyle name="Normal 13 51 2 3" xfId="23130"/>
    <cellStyle name="Normal 13 51 2 4" xfId="18211"/>
    <cellStyle name="Normal 13 51 2 5" xfId="27412"/>
    <cellStyle name="Normal 13 51 3" xfId="5657"/>
    <cellStyle name="Normal 13 51 3 2" xfId="12427"/>
    <cellStyle name="Normal 13 51 3 3" xfId="25117"/>
    <cellStyle name="Normal 13 51 3 4" xfId="18101"/>
    <cellStyle name="Normal 13 51 3 5" xfId="32208"/>
    <cellStyle name="Normal 13 51 4" xfId="7980"/>
    <cellStyle name="Normal 13 51 5" xfId="20839"/>
    <cellStyle name="Normal 13 51 6" xfId="14732"/>
    <cellStyle name="Normal 13 51 7" xfId="31790"/>
    <cellStyle name="Normal 13 52" xfId="1233"/>
    <cellStyle name="Normal 13 52 2" xfId="3693"/>
    <cellStyle name="Normal 13 52 2 2" xfId="10463"/>
    <cellStyle name="Normal 13 52 2 3" xfId="23153"/>
    <cellStyle name="Normal 13 52 2 4" xfId="19912"/>
    <cellStyle name="Normal 13 52 2 5" xfId="31529"/>
    <cellStyle name="Normal 13 52 3" xfId="5677"/>
    <cellStyle name="Normal 13 52 3 2" xfId="12447"/>
    <cellStyle name="Normal 13 52 3 3" xfId="25137"/>
    <cellStyle name="Normal 13 52 3 4" xfId="15637"/>
    <cellStyle name="Normal 13 52 3 5" xfId="31267"/>
    <cellStyle name="Normal 13 52 4" xfId="8003"/>
    <cellStyle name="Normal 13 52 5" xfId="20859"/>
    <cellStyle name="Normal 13 52 6" xfId="16956"/>
    <cellStyle name="Normal 13 52 7" xfId="27809"/>
    <cellStyle name="Normal 13 53" xfId="1256"/>
    <cellStyle name="Normal 13 53 2" xfId="3715"/>
    <cellStyle name="Normal 13 53 2 2" xfId="10485"/>
    <cellStyle name="Normal 13 53 2 3" xfId="23175"/>
    <cellStyle name="Normal 13 53 2 4" xfId="17920"/>
    <cellStyle name="Normal 13 53 2 5" xfId="32388"/>
    <cellStyle name="Normal 13 53 3" xfId="5697"/>
    <cellStyle name="Normal 13 53 3 2" xfId="12467"/>
    <cellStyle name="Normal 13 53 3 3" xfId="25157"/>
    <cellStyle name="Normal 13 53 3 4" xfId="17882"/>
    <cellStyle name="Normal 13 53 3 5" xfId="30087"/>
    <cellStyle name="Normal 13 53 4" xfId="8026"/>
    <cellStyle name="Normal 13 53 5" xfId="20879"/>
    <cellStyle name="Normal 13 53 6" xfId="18763"/>
    <cellStyle name="Normal 13 53 7" xfId="30734"/>
    <cellStyle name="Normal 13 54" xfId="1279"/>
    <cellStyle name="Normal 13 54 2" xfId="3738"/>
    <cellStyle name="Normal 13 54 2 2" xfId="10508"/>
    <cellStyle name="Normal 13 54 2 3" xfId="23198"/>
    <cellStyle name="Normal 13 54 2 4" xfId="19651"/>
    <cellStyle name="Normal 13 54 2 5" xfId="27305"/>
    <cellStyle name="Normal 13 54 3" xfId="5717"/>
    <cellStyle name="Normal 13 54 3 2" xfId="12487"/>
    <cellStyle name="Normal 13 54 3 3" xfId="25177"/>
    <cellStyle name="Normal 13 54 3 4" xfId="19635"/>
    <cellStyle name="Normal 13 54 3 5" xfId="32123"/>
    <cellStyle name="Normal 13 54 4" xfId="8049"/>
    <cellStyle name="Normal 13 54 5" xfId="20899"/>
    <cellStyle name="Normal 13 54 6" xfId="14272"/>
    <cellStyle name="Normal 13 54 7" xfId="27871"/>
    <cellStyle name="Normal 13 55" xfId="1302"/>
    <cellStyle name="Normal 13 55 2" xfId="3760"/>
    <cellStyle name="Normal 13 55 2 2" xfId="10530"/>
    <cellStyle name="Normal 13 55 2 3" xfId="23220"/>
    <cellStyle name="Normal 13 55 2 4" xfId="17645"/>
    <cellStyle name="Normal 13 55 2 5" xfId="27604"/>
    <cellStyle name="Normal 13 55 3" xfId="5737"/>
    <cellStyle name="Normal 13 55 3 2" xfId="12507"/>
    <cellStyle name="Normal 13 55 3 3" xfId="25197"/>
    <cellStyle name="Normal 13 55 3 4" xfId="15241"/>
    <cellStyle name="Normal 13 55 3 5" xfId="31174"/>
    <cellStyle name="Normal 13 55 4" xfId="8072"/>
    <cellStyle name="Normal 13 55 5" xfId="20919"/>
    <cellStyle name="Normal 13 55 6" xfId="18047"/>
    <cellStyle name="Normal 13 55 7" xfId="32326"/>
    <cellStyle name="Normal 13 56" xfId="1325"/>
    <cellStyle name="Normal 13 56 2" xfId="3783"/>
    <cellStyle name="Normal 13 56 2 2" xfId="10553"/>
    <cellStyle name="Normal 13 56 2 3" xfId="23243"/>
    <cellStyle name="Normal 13 56 2 4" xfId="19375"/>
    <cellStyle name="Normal 13 56 2 5" xfId="30515"/>
    <cellStyle name="Normal 13 56 3" xfId="5757"/>
    <cellStyle name="Normal 13 56 3 2" xfId="12527"/>
    <cellStyle name="Normal 13 56 3 3" xfId="25217"/>
    <cellStyle name="Normal 13 56 3 4" xfId="17488"/>
    <cellStyle name="Normal 13 56 3 5" xfId="30004"/>
    <cellStyle name="Normal 13 56 4" xfId="8095"/>
    <cellStyle name="Normal 13 56 5" xfId="20939"/>
    <cellStyle name="Normal 13 56 6" xfId="17844"/>
    <cellStyle name="Normal 13 56 7" xfId="27242"/>
    <cellStyle name="Normal 13 57" xfId="1348"/>
    <cellStyle name="Normal 13 57 2" xfId="3805"/>
    <cellStyle name="Normal 13 57 2 2" xfId="10575"/>
    <cellStyle name="Normal 13 57 2 3" xfId="23265"/>
    <cellStyle name="Normal 13 57 2 4" xfId="17343"/>
    <cellStyle name="Normal 13 57 2 5" xfId="32440"/>
    <cellStyle name="Normal 13 57 3" xfId="5777"/>
    <cellStyle name="Normal 13 57 3 2" xfId="12547"/>
    <cellStyle name="Normal 13 57 3 3" xfId="25237"/>
    <cellStyle name="Normal 13 57 3 4" xfId="19283"/>
    <cellStyle name="Normal 13 57 3 5" xfId="32042"/>
    <cellStyle name="Normal 13 57 4" xfId="8118"/>
    <cellStyle name="Normal 13 57 5" xfId="20959"/>
    <cellStyle name="Normal 13 57 6" xfId="15371"/>
    <cellStyle name="Normal 13 57 7" xfId="26402"/>
    <cellStyle name="Normal 13 58" xfId="1371"/>
    <cellStyle name="Normal 13 58 2" xfId="3827"/>
    <cellStyle name="Normal 13 58 2 2" xfId="10597"/>
    <cellStyle name="Normal 13 58 2 3" xfId="23287"/>
    <cellStyle name="Normal 13 58 2 4" xfId="14834"/>
    <cellStyle name="Normal 13 58 2 5" xfId="30348"/>
    <cellStyle name="Normal 13 58 3" xfId="5797"/>
    <cellStyle name="Normal 13 58 3 2" xfId="12567"/>
    <cellStyle name="Normal 13 58 3 3" xfId="25257"/>
    <cellStyle name="Normal 13 58 3 4" xfId="14859"/>
    <cellStyle name="Normal 13 58 3 5" xfId="30469"/>
    <cellStyle name="Normal 13 58 4" xfId="8141"/>
    <cellStyle name="Normal 13 58 5" xfId="20979"/>
    <cellStyle name="Normal 13 58 6" xfId="17605"/>
    <cellStyle name="Normal 13 58 7" xfId="28352"/>
    <cellStyle name="Normal 13 59" xfId="1394"/>
    <cellStyle name="Normal 13 59 2" xfId="3850"/>
    <cellStyle name="Normal 13 59 2 2" xfId="10620"/>
    <cellStyle name="Normal 13 59 2 3" xfId="23310"/>
    <cellStyle name="Normal 13 59 2 4" xfId="17031"/>
    <cellStyle name="Normal 13 59 2 5" xfId="28514"/>
    <cellStyle name="Normal 13 59 3" xfId="5817"/>
    <cellStyle name="Normal 13 59 3 2" xfId="12587"/>
    <cellStyle name="Normal 13 59 3 3" xfId="25277"/>
    <cellStyle name="Normal 13 59 3 4" xfId="17104"/>
    <cellStyle name="Normal 13 59 3 5" xfId="29919"/>
    <cellStyle name="Normal 13 59 4" xfId="8164"/>
    <cellStyle name="Normal 13 59 5" xfId="20999"/>
    <cellStyle name="Normal 13 59 6" xfId="19361"/>
    <cellStyle name="Normal 13 59 7" xfId="31285"/>
    <cellStyle name="Normal 13 6" xfId="182"/>
    <cellStyle name="Normal 13 6 2" xfId="2664"/>
    <cellStyle name="Normal 13 6 2 2" xfId="9434"/>
    <cellStyle name="Normal 13 6 2 3" xfId="22124"/>
    <cellStyle name="Normal 13 6 2 4" xfId="18622"/>
    <cellStyle name="Normal 13 6 2 5" xfId="26708"/>
    <cellStyle name="Normal 13 6 3" xfId="2995"/>
    <cellStyle name="Normal 13 6 3 2" xfId="9765"/>
    <cellStyle name="Normal 13 6 3 3" xfId="22455"/>
    <cellStyle name="Normal 13 6 3 4" xfId="7035"/>
    <cellStyle name="Normal 13 6 3 5" xfId="32331"/>
    <cellStyle name="Normal 13 6 4" xfId="6952"/>
    <cellStyle name="Normal 13 6 5" xfId="14078"/>
    <cellStyle name="Normal 13 6 6" xfId="13628"/>
    <cellStyle name="Normal 13 6 7" xfId="30296"/>
    <cellStyle name="Normal 13 60" xfId="1417"/>
    <cellStyle name="Normal 13 60 2" xfId="3872"/>
    <cellStyle name="Normal 13 60 2 2" xfId="10642"/>
    <cellStyle name="Normal 13 60 2 3" xfId="23332"/>
    <cellStyle name="Normal 13 60 2 4" xfId="14525"/>
    <cellStyle name="Normal 13 60 2 5" xfId="29385"/>
    <cellStyle name="Normal 13 60 3" xfId="5837"/>
    <cellStyle name="Normal 13 60 3 2" xfId="12607"/>
    <cellStyle name="Normal 13 60 3 3" xfId="25297"/>
    <cellStyle name="Normal 13 60 3 4" xfId="18912"/>
    <cellStyle name="Normal 13 60 3 5" xfId="31955"/>
    <cellStyle name="Normal 13 60 4" xfId="8187"/>
    <cellStyle name="Normal 13 60 5" xfId="21019"/>
    <cellStyle name="Normal 13 60 6" xfId="14926"/>
    <cellStyle name="Normal 13 60 7" xfId="27791"/>
    <cellStyle name="Normal 13 61" xfId="1440"/>
    <cellStyle name="Normal 13 61 2" xfId="3894"/>
    <cellStyle name="Normal 13 61 2 2" xfId="10664"/>
    <cellStyle name="Normal 13 61 2 3" xfId="23354"/>
    <cellStyle name="Normal 13 61 2 4" xfId="18734"/>
    <cellStyle name="Normal 13 61 2 5" xfId="26511"/>
    <cellStyle name="Normal 13 61 3" xfId="5857"/>
    <cellStyle name="Normal 13 61 3 2" xfId="12627"/>
    <cellStyle name="Normal 13 61 3 3" xfId="25317"/>
    <cellStyle name="Normal 13 61 3 4" xfId="14492"/>
    <cellStyle name="Normal 13 61 3 5" xfId="30969"/>
    <cellStyle name="Normal 13 61 4" xfId="8210"/>
    <cellStyle name="Normal 13 61 5" xfId="21039"/>
    <cellStyle name="Normal 13 61 6" xfId="17149"/>
    <cellStyle name="Normal 13 61 7" xfId="32140"/>
    <cellStyle name="Normal 13 62" xfId="1463"/>
    <cellStyle name="Normal 13 62 2" xfId="3917"/>
    <cellStyle name="Normal 13 62 2 2" xfId="10687"/>
    <cellStyle name="Normal 13 62 2 3" xfId="23377"/>
    <cellStyle name="Normal 13 62 2 4" xfId="13643"/>
    <cellStyle name="Normal 13 62 2 5" xfId="14615"/>
    <cellStyle name="Normal 13 62 3" xfId="5877"/>
    <cellStyle name="Normal 13 62 3 2" xfId="12647"/>
    <cellStyle name="Normal 13 62 3 3" xfId="25337"/>
    <cellStyle name="Normal 13 62 3 4" xfId="16707"/>
    <cellStyle name="Normal 13 62 3 5" xfId="29831"/>
    <cellStyle name="Normal 13 62 4" xfId="8233"/>
    <cellStyle name="Normal 13 62 5" xfId="21059"/>
    <cellStyle name="Normal 13 62 6" xfId="18952"/>
    <cellStyle name="Normal 13 62 7" xfId="27036"/>
    <cellStyle name="Normal 13 63" xfId="1486"/>
    <cellStyle name="Normal 13 63 2" xfId="3940"/>
    <cellStyle name="Normal 13 63 2 2" xfId="10710"/>
    <cellStyle name="Normal 13 63 2 3" xfId="23400"/>
    <cellStyle name="Normal 13 63 2 4" xfId="16441"/>
    <cellStyle name="Normal 13 63 2 5" xfId="31426"/>
    <cellStyle name="Normal 13 63 3" xfId="5897"/>
    <cellStyle name="Normal 13 63 3 2" xfId="12667"/>
    <cellStyle name="Normal 13 63 3 3" xfId="25357"/>
    <cellStyle name="Normal 13 63 3 4" xfId="18605"/>
    <cellStyle name="Normal 13 63 3 5" xfId="31877"/>
    <cellStyle name="Normal 13 63 4" xfId="8256"/>
    <cellStyle name="Normal 13 63 5" xfId="21079"/>
    <cellStyle name="Normal 13 63 6" xfId="14464"/>
    <cellStyle name="Normal 13 63 7" xfId="30012"/>
    <cellStyle name="Normal 13 64" xfId="1509"/>
    <cellStyle name="Normal 13 64 2" xfId="3962"/>
    <cellStyle name="Normal 13 64 2 2" xfId="10732"/>
    <cellStyle name="Normal 13 64 2 3" xfId="23422"/>
    <cellStyle name="Normal 13 64 2 4" xfId="13931"/>
    <cellStyle name="Normal 13 64 2 5" xfId="32300"/>
    <cellStyle name="Normal 13 64 3" xfId="5917"/>
    <cellStyle name="Normal 13 64 3 2" xfId="12687"/>
    <cellStyle name="Normal 13 64 3 3" xfId="25377"/>
    <cellStyle name="Normal 13 64 3 4" xfId="14090"/>
    <cellStyle name="Normal 13 64 3 5" xfId="30874"/>
    <cellStyle name="Normal 13 64 4" xfId="8279"/>
    <cellStyle name="Normal 13 64 5" xfId="21099"/>
    <cellStyle name="Normal 13 64 6" xfId="16690"/>
    <cellStyle name="Normal 13 64 7" xfId="28144"/>
    <cellStyle name="Normal 13 65" xfId="1532"/>
    <cellStyle name="Normal 13 65 2" xfId="3984"/>
    <cellStyle name="Normal 13 65 2 2" xfId="10754"/>
    <cellStyle name="Normal 13 65 2 3" xfId="23444"/>
    <cellStyle name="Normal 13 65 2 4" xfId="20089"/>
    <cellStyle name="Normal 13 65 2 5" xfId="30197"/>
    <cellStyle name="Normal 13 65 3" xfId="5937"/>
    <cellStyle name="Normal 13 65 3 2" xfId="12707"/>
    <cellStyle name="Normal 13 65 3 3" xfId="25397"/>
    <cellStyle name="Normal 13 65 3 4" xfId="16286"/>
    <cellStyle name="Normal 13 65 3 5" xfId="29747"/>
    <cellStyle name="Normal 13 65 4" xfId="8302"/>
    <cellStyle name="Normal 13 65 5" xfId="21119"/>
    <cellStyle name="Normal 13 65 6" xfId="18542"/>
    <cellStyle name="Normal 13 65 7" xfId="31066"/>
    <cellStyle name="Normal 13 66" xfId="1555"/>
    <cellStyle name="Normal 13 66 2" xfId="4006"/>
    <cellStyle name="Normal 13 66 2 2" xfId="10776"/>
    <cellStyle name="Normal 13 66 2 3" xfId="23466"/>
    <cellStyle name="Normal 13 66 2 4" xfId="18127"/>
    <cellStyle name="Normal 13 66 2 5" xfId="31332"/>
    <cellStyle name="Normal 13 66 3" xfId="5957"/>
    <cellStyle name="Normal 13 66 3 2" xfId="12727"/>
    <cellStyle name="Normal 13 66 3 3" xfId="25417"/>
    <cellStyle name="Normal 13 66 3 4" xfId="18095"/>
    <cellStyle name="Normal 13 66 3 5" xfId="31788"/>
    <cellStyle name="Normal 13 66 4" xfId="8325"/>
    <cellStyle name="Normal 13 66 5" xfId="21139"/>
    <cellStyle name="Normal 13 66 6" xfId="13626"/>
    <cellStyle name="Normal 13 66 7" xfId="29016"/>
    <cellStyle name="Normal 13 67" xfId="1578"/>
    <cellStyle name="Normal 13 67 2" xfId="4028"/>
    <cellStyle name="Normal 13 67 2 2" xfId="10798"/>
    <cellStyle name="Normal 13 67 2 3" xfId="23488"/>
    <cellStyle name="Normal 13 67 2 4" xfId="15603"/>
    <cellStyle name="Normal 13 67 2 5" xfId="32215"/>
    <cellStyle name="Normal 13 67 3" xfId="5977"/>
    <cellStyle name="Normal 13 67 3 2" xfId="12747"/>
    <cellStyle name="Normal 13 67 3 3" xfId="25437"/>
    <cellStyle name="Normal 13 67 3 4" xfId="15837"/>
    <cellStyle name="Normal 13 67 3 5" xfId="30772"/>
    <cellStyle name="Normal 13 67 4" xfId="8348"/>
    <cellStyle name="Normal 13 67 5" xfId="21159"/>
    <cellStyle name="Normal 13 67 6" xfId="16221"/>
    <cellStyle name="Normal 13 67 7" xfId="31946"/>
    <cellStyle name="Normal 13 68" xfId="1601"/>
    <cellStyle name="Normal 13 68 2" xfId="4050"/>
    <cellStyle name="Normal 13 68 2 2" xfId="10820"/>
    <cellStyle name="Normal 13 68 2 3" xfId="23510"/>
    <cellStyle name="Normal 13 68 2 4" xfId="19725"/>
    <cellStyle name="Normal 13 68 2 5" xfId="30112"/>
    <cellStyle name="Normal 13 68 3" xfId="5997"/>
    <cellStyle name="Normal 13 68 3 2" xfId="12767"/>
    <cellStyle name="Normal 13 68 3 3" xfId="25457"/>
    <cellStyle name="Normal 13 68 3 4" xfId="18025"/>
    <cellStyle name="Normal 13 68 3 5" xfId="29653"/>
    <cellStyle name="Normal 13 68 4" xfId="8371"/>
    <cellStyle name="Normal 13 68 5" xfId="21179"/>
    <cellStyle name="Normal 13 68 6" xfId="20026"/>
    <cellStyle name="Normal 13 68 7" xfId="26809"/>
    <cellStyle name="Normal 13 69" xfId="1623"/>
    <cellStyle name="Normal 13 69 2" xfId="4071"/>
    <cellStyle name="Normal 13 69 2 2" xfId="10841"/>
    <cellStyle name="Normal 13 69 2 3" xfId="23531"/>
    <cellStyle name="Normal 13 69 2 4" xfId="19594"/>
    <cellStyle name="Normal 13 69 2 5" xfId="29192"/>
    <cellStyle name="Normal 13 69 3" xfId="6016"/>
    <cellStyle name="Normal 13 69 3 2" xfId="12786"/>
    <cellStyle name="Normal 13 69 3 3" xfId="25476"/>
    <cellStyle name="Normal 13 69 3 4" xfId="15595"/>
    <cellStyle name="Normal 13 69 3 5" xfId="26579"/>
    <cellStyle name="Normal 13 69 4" xfId="8393"/>
    <cellStyle name="Normal 13 69 5" xfId="21198"/>
    <cellStyle name="Normal 13 69 6" xfId="16485"/>
    <cellStyle name="Normal 13 69 7" xfId="27957"/>
    <cellStyle name="Normal 13 7" xfId="205"/>
    <cellStyle name="Normal 13 7 2" xfId="2685"/>
    <cellStyle name="Normal 13 7 2 2" xfId="9455"/>
    <cellStyle name="Normal 13 7 2 3" xfId="22145"/>
    <cellStyle name="Normal 13 7 2 4" xfId="14112"/>
    <cellStyle name="Normal 13 7 2 5" xfId="30803"/>
    <cellStyle name="Normal 13 7 3" xfId="2542"/>
    <cellStyle name="Normal 13 7 3 2" xfId="9312"/>
    <cellStyle name="Normal 13 7 3 3" xfId="22002"/>
    <cellStyle name="Normal 13 7 3 4" xfId="16664"/>
    <cellStyle name="Normal 13 7 3 5" xfId="28076"/>
    <cellStyle name="Normal 13 7 4" xfId="6975"/>
    <cellStyle name="Normal 13 7 5" xfId="15712"/>
    <cellStyle name="Normal 13 7 6" xfId="16625"/>
    <cellStyle name="Normal 13 7 7" xfId="28449"/>
    <cellStyle name="Normal 13 70" xfId="1645"/>
    <cellStyle name="Normal 13 70 2" xfId="4093"/>
    <cellStyle name="Normal 13 70 2 2" xfId="10863"/>
    <cellStyle name="Normal 13 70 2 3" xfId="23553"/>
    <cellStyle name="Normal 13 70 2 4" xfId="17577"/>
    <cellStyle name="Normal 13 70 2 5" xfId="27049"/>
    <cellStyle name="Normal 13 70 3" xfId="6034"/>
    <cellStyle name="Normal 13 70 3 2" xfId="12804"/>
    <cellStyle name="Normal 13 70 3 3" xfId="25494"/>
    <cellStyle name="Normal 13 70 3 4" xfId="15499"/>
    <cellStyle name="Normal 13 70 3 5" xfId="26542"/>
    <cellStyle name="Normal 13 70 4" xfId="8415"/>
    <cellStyle name="Normal 13 70 5" xfId="21216"/>
    <cellStyle name="Normal 13 70 6" xfId="13962"/>
    <cellStyle name="Normal 13 70 7" xfId="28885"/>
    <cellStyle name="Normal 13 71" xfId="1667"/>
    <cellStyle name="Normal 13 71 2" xfId="4115"/>
    <cellStyle name="Normal 13 71 2 2" xfId="10885"/>
    <cellStyle name="Normal 13 71 2 3" xfId="23575"/>
    <cellStyle name="Normal 13 71 2 4" xfId="15070"/>
    <cellStyle name="Normal 13 71 2 5" xfId="28192"/>
    <cellStyle name="Normal 13 71 3" xfId="6055"/>
    <cellStyle name="Normal 13 71 3 2" xfId="12825"/>
    <cellStyle name="Normal 13 71 3 3" xfId="25515"/>
    <cellStyle name="Normal 13 71 3 4" xfId="15353"/>
    <cellStyle name="Normal 13 71 3 5" xfId="30636"/>
    <cellStyle name="Normal 13 71 4" xfId="8437"/>
    <cellStyle name="Normal 13 71 5" xfId="21237"/>
    <cellStyle name="Normal 13 71 6" xfId="19819"/>
    <cellStyle name="Normal 13 71 7" xfId="26711"/>
    <cellStyle name="Normal 13 72" xfId="1690"/>
    <cellStyle name="Normal 13 72 2" xfId="4137"/>
    <cellStyle name="Normal 13 72 2 2" xfId="10907"/>
    <cellStyle name="Normal 13 72 2 3" xfId="23597"/>
    <cellStyle name="Normal 13 72 2 4" xfId="19203"/>
    <cellStyle name="Normal 13 72 2 5" xfId="29102"/>
    <cellStyle name="Normal 13 72 3" xfId="6075"/>
    <cellStyle name="Normal 13 72 3 2" xfId="12845"/>
    <cellStyle name="Normal 13 72 3 3" xfId="25535"/>
    <cellStyle name="Normal 13 72 3 4" xfId="17607"/>
    <cellStyle name="Normal 13 72 3 5" xfId="29524"/>
    <cellStyle name="Normal 13 72 4" xfId="8460"/>
    <cellStyle name="Normal 13 72 5" xfId="21257"/>
    <cellStyle name="Normal 13 72 6" xfId="15452"/>
    <cellStyle name="Normal 13 72 7" xfId="29714"/>
    <cellStyle name="Normal 13 73" xfId="1713"/>
    <cellStyle name="Normal 13 73 2" xfId="4159"/>
    <cellStyle name="Normal 13 73 2 2" xfId="10929"/>
    <cellStyle name="Normal 13 73 2 3" xfId="23619"/>
    <cellStyle name="Normal 13 73 2 4" xfId="17143"/>
    <cellStyle name="Normal 13 73 2 5" xfId="26947"/>
    <cellStyle name="Normal 13 73 3" xfId="6095"/>
    <cellStyle name="Normal 13 73 3 2" xfId="12865"/>
    <cellStyle name="Normal 13 73 3 3" xfId="25555"/>
    <cellStyle name="Normal 13 73 3 4" xfId="19364"/>
    <cellStyle name="Normal 13 73 3 5" xfId="31572"/>
    <cellStyle name="Normal 13 73 4" xfId="8483"/>
    <cellStyle name="Normal 13 73 5" xfId="21277"/>
    <cellStyle name="Normal 13 73 6" xfId="16108"/>
    <cellStyle name="Normal 13 73 7" xfId="27807"/>
    <cellStyle name="Normal 13 74" xfId="1736"/>
    <cellStyle name="Normal 13 74 2" xfId="4180"/>
    <cellStyle name="Normal 13 74 2 2" xfId="10950"/>
    <cellStyle name="Normal 13 74 2 3" xfId="23640"/>
    <cellStyle name="Normal 13 74 2 4" xfId="17010"/>
    <cellStyle name="Normal 13 74 2 5" xfId="31054"/>
    <cellStyle name="Normal 13 74 3" xfId="6115"/>
    <cellStyle name="Normal 13 74 3 2" xfId="12885"/>
    <cellStyle name="Normal 13 74 3 3" xfId="25575"/>
    <cellStyle name="Normal 13 74 3 4" xfId="14971"/>
    <cellStyle name="Normal 13 74 3 5" xfId="26798"/>
    <cellStyle name="Normal 13 74 4" xfId="8506"/>
    <cellStyle name="Normal 13 74 5" xfId="21297"/>
    <cellStyle name="Normal 13 74 6" xfId="19419"/>
    <cellStyle name="Normal 13 74 7" xfId="30728"/>
    <cellStyle name="Normal 13 75" xfId="1759"/>
    <cellStyle name="Normal 13 75 2" xfId="4203"/>
    <cellStyle name="Normal 13 75 2 2" xfId="10973"/>
    <cellStyle name="Normal 13 75 2 3" xfId="23663"/>
    <cellStyle name="Normal 13 75 2 4" xfId="18812"/>
    <cellStyle name="Normal 13 75 2 5" xfId="29006"/>
    <cellStyle name="Normal 13 75 3" xfId="6135"/>
    <cellStyle name="Normal 13 75 3 2" xfId="12905"/>
    <cellStyle name="Normal 13 75 3 3" xfId="25595"/>
    <cellStyle name="Normal 13 75 3 4" xfId="17216"/>
    <cellStyle name="Normal 13 75 3 5" xfId="30366"/>
    <cellStyle name="Normal 13 75 4" xfId="8529"/>
    <cellStyle name="Normal 13 75 5" xfId="21317"/>
    <cellStyle name="Normal 13 75 6" xfId="15012"/>
    <cellStyle name="Normal 13 75 7" xfId="31676"/>
    <cellStyle name="Normal 13 76" xfId="1782"/>
    <cellStyle name="Normal 13 76 2" xfId="4225"/>
    <cellStyle name="Normal 13 76 2 2" xfId="10995"/>
    <cellStyle name="Normal 13 76 2 3" xfId="23685"/>
    <cellStyle name="Normal 13 76 2 4" xfId="16703"/>
    <cellStyle name="Normal 13 76 2 5" xfId="26837"/>
    <cellStyle name="Normal 13 76 3" xfId="6155"/>
    <cellStyle name="Normal 13 76 3 2" xfId="12925"/>
    <cellStyle name="Normal 13 76 3 3" xfId="25615"/>
    <cellStyle name="Normal 13 76 3 4" xfId="19013"/>
    <cellStyle name="Normal 13 76 3 5" xfId="32407"/>
    <cellStyle name="Normal 13 76 4" xfId="8552"/>
    <cellStyle name="Normal 13 76 5" xfId="21337"/>
    <cellStyle name="Normal 13 76 6" xfId="17235"/>
    <cellStyle name="Normal 13 76 7" xfId="26508"/>
    <cellStyle name="Normal 13 77" xfId="1805"/>
    <cellStyle name="Normal 13 77 2" xfId="4247"/>
    <cellStyle name="Normal 13 77 2 2" xfId="11017"/>
    <cellStyle name="Normal 13 77 2 3" xfId="23707"/>
    <cellStyle name="Normal 13 77 2 4" xfId="14194"/>
    <cellStyle name="Normal 13 77 2 5" xfId="27977"/>
    <cellStyle name="Normal 13 77 3" xfId="6175"/>
    <cellStyle name="Normal 13 77 3 2" xfId="12945"/>
    <cellStyle name="Normal 13 77 3 3" xfId="25635"/>
    <cellStyle name="Normal 13 77 3 4" xfId="14577"/>
    <cellStyle name="Normal 13 77 3 5" xfId="31481"/>
    <cellStyle name="Normal 13 77 4" xfId="8575"/>
    <cellStyle name="Normal 13 77 5" xfId="21357"/>
    <cellStyle name="Normal 13 77 6" xfId="19010"/>
    <cellStyle name="Normal 13 77 7" xfId="30275"/>
    <cellStyle name="Normal 13 78" xfId="1828"/>
    <cellStyle name="Normal 13 78 2" xfId="4270"/>
    <cellStyle name="Normal 13 78 2 2" xfId="11040"/>
    <cellStyle name="Normal 13 78 2 3" xfId="23730"/>
    <cellStyle name="Normal 13 78 2 4" xfId="16396"/>
    <cellStyle name="Normal 13 78 2 5" xfId="30912"/>
    <cellStyle name="Normal 13 78 3" xfId="6195"/>
    <cellStyle name="Normal 13 78 3 2" xfId="12965"/>
    <cellStyle name="Normal 13 78 3 3" xfId="25655"/>
    <cellStyle name="Normal 13 78 3 4" xfId="16801"/>
    <cellStyle name="Normal 13 78 3 5" xfId="30279"/>
    <cellStyle name="Normal 13 78 4" xfId="8598"/>
    <cellStyle name="Normal 13 78 5" xfId="21377"/>
    <cellStyle name="Normal 13 78 6" xfId="14551"/>
    <cellStyle name="Normal 13 78 7" xfId="28432"/>
    <cellStyle name="Normal 13 79" xfId="1851"/>
    <cellStyle name="Normal 13 79 2" xfId="4292"/>
    <cellStyle name="Normal 13 79 2 2" xfId="11062"/>
    <cellStyle name="Normal 13 79 2 3" xfId="23752"/>
    <cellStyle name="Normal 13 79 2 4" xfId="13884"/>
    <cellStyle name="Normal 13 79 2 5" xfId="31845"/>
    <cellStyle name="Normal 13 79 3" xfId="6215"/>
    <cellStyle name="Normal 13 79 3 2" xfId="12985"/>
    <cellStyle name="Normal 13 79 3 3" xfId="25675"/>
    <cellStyle name="Normal 13 79 3 4" xfId="18662"/>
    <cellStyle name="Normal 13 79 3 5" xfId="32322"/>
    <cellStyle name="Normal 13 79 4" xfId="8621"/>
    <cellStyle name="Normal 13 79 5" xfId="21397"/>
    <cellStyle name="Normal 13 79 6" xfId="16774"/>
    <cellStyle name="Normal 13 79 7" xfId="31370"/>
    <cellStyle name="Normal 13 8" xfId="227"/>
    <cellStyle name="Normal 13 8 2" xfId="2706"/>
    <cellStyle name="Normal 13 8 2 2" xfId="9476"/>
    <cellStyle name="Normal 13 8 2 3" xfId="22166"/>
    <cellStyle name="Normal 13 8 2 4" xfId="13961"/>
    <cellStyle name="Normal 13 8 2 5" xfId="26630"/>
    <cellStyle name="Normal 13 8 3" xfId="2523"/>
    <cellStyle name="Normal 13 8 3 2" xfId="9293"/>
    <cellStyle name="Normal 13 8 3 3" xfId="21983"/>
    <cellStyle name="Normal 13 8 3 4" xfId="17724"/>
    <cellStyle name="Normal 13 8 3 5" xfId="30464"/>
    <cellStyle name="Normal 13 8 4" xfId="6997"/>
    <cellStyle name="Normal 13 8 5" xfId="13556"/>
    <cellStyle name="Normal 13 8 6" xfId="14110"/>
    <cellStyle name="Normal 13 8 7" xfId="29336"/>
    <cellStyle name="Normal 13 80" xfId="1874"/>
    <cellStyle name="Normal 13 80 2" xfId="4314"/>
    <cellStyle name="Normal 13 80 2 2" xfId="11084"/>
    <cellStyle name="Normal 13 80 2 3" xfId="23774"/>
    <cellStyle name="Normal 13 80 2 4" xfId="20056"/>
    <cellStyle name="Normal 13 80 2 5" xfId="29732"/>
    <cellStyle name="Normal 13 80 3" xfId="6235"/>
    <cellStyle name="Normal 13 80 3 2" xfId="13005"/>
    <cellStyle name="Normal 13 80 3 3" xfId="25695"/>
    <cellStyle name="Normal 13 80 3 4" xfId="14180"/>
    <cellStyle name="Normal 13 80 3 5" xfId="31384"/>
    <cellStyle name="Normal 13 80 4" xfId="8644"/>
    <cellStyle name="Normal 13 80 5" xfId="21417"/>
    <cellStyle name="Normal 13 80 6" xfId="18598"/>
    <cellStyle name="Normal 13 80 7" xfId="29291"/>
    <cellStyle name="Normal 13 81" xfId="1897"/>
    <cellStyle name="Normal 13 81 2" xfId="4336"/>
    <cellStyle name="Normal 13 81 2 2" xfId="11106"/>
    <cellStyle name="Normal 13 81 2 3" xfId="23796"/>
    <cellStyle name="Normal 13 81 2 4" xfId="16147"/>
    <cellStyle name="Normal 13 81 2 5" xfId="31443"/>
    <cellStyle name="Normal 13 81 3" xfId="6255"/>
    <cellStyle name="Normal 13 81 3 2" xfId="13025"/>
    <cellStyle name="Normal 13 81 3 3" xfId="25715"/>
    <cellStyle name="Normal 13 81 3 4" xfId="16404"/>
    <cellStyle name="Normal 13 81 3 5" xfId="30201"/>
    <cellStyle name="Normal 13 81 4" xfId="8667"/>
    <cellStyle name="Normal 13 81 5" xfId="21437"/>
    <cellStyle name="Normal 13 81 6" xfId="14088"/>
    <cellStyle name="Normal 13 81 7" xfId="32224"/>
    <cellStyle name="Normal 13 82" xfId="1919"/>
    <cellStyle name="Normal 13 82 2" xfId="4357"/>
    <cellStyle name="Normal 13 82 2 2" xfId="11127"/>
    <cellStyle name="Normal 13 82 2 3" xfId="23817"/>
    <cellStyle name="Normal 13 82 2 4" xfId="17954"/>
    <cellStyle name="Normal 13 82 2 5" xfId="27263"/>
    <cellStyle name="Normal 13 82 3" xfId="6274"/>
    <cellStyle name="Normal 13 82 3 2" xfId="13044"/>
    <cellStyle name="Normal 13 82 3 3" xfId="25734"/>
    <cellStyle name="Normal 13 82 3 4" xfId="8763"/>
    <cellStyle name="Normal 13 82 3 5" xfId="27189"/>
    <cellStyle name="Normal 13 82 4" xfId="8689"/>
    <cellStyle name="Normal 13 82 5" xfId="21456"/>
    <cellStyle name="Normal 13 82 6" xfId="18344"/>
    <cellStyle name="Normal 13 82 7" xfId="30122"/>
    <cellStyle name="Normal 13 83" xfId="1941"/>
    <cellStyle name="Normal 13 83 2" xfId="4378"/>
    <cellStyle name="Normal 13 83 2 2" xfId="11148"/>
    <cellStyle name="Normal 13 83 2 3" xfId="23838"/>
    <cellStyle name="Normal 13 83 2 4" xfId="17836"/>
    <cellStyle name="Normal 13 83 2 5" xfId="31376"/>
    <cellStyle name="Normal 13 83 3" xfId="6293"/>
    <cellStyle name="Normal 13 83 3 2" xfId="13063"/>
    <cellStyle name="Normal 13 83 3 3" xfId="25753"/>
    <cellStyle name="Normal 13 83 3 4" xfId="8354"/>
    <cellStyle name="Normal 13 83 3 5" xfId="32219"/>
    <cellStyle name="Normal 13 83 4" xfId="8711"/>
    <cellStyle name="Normal 13 83 5" xfId="21475"/>
    <cellStyle name="Normal 13 83 6" xfId="15935"/>
    <cellStyle name="Normal 13 83 7" xfId="31245"/>
    <cellStyle name="Normal 13 84" xfId="1964"/>
    <cellStyle name="Normal 13 84 2" xfId="4401"/>
    <cellStyle name="Normal 13 84 2 2" xfId="11171"/>
    <cellStyle name="Normal 13 84 2 3" xfId="23861"/>
    <cellStyle name="Normal 13 84 2 4" xfId="15916"/>
    <cellStyle name="Normal 13 84 2 5" xfId="29296"/>
    <cellStyle name="Normal 13 84 3" xfId="6313"/>
    <cellStyle name="Normal 13 84 3 2" xfId="13083"/>
    <cellStyle name="Normal 13 84 3 3" xfId="25773"/>
    <cellStyle name="Normal 13 84 3 4" xfId="7972"/>
    <cellStyle name="Normal 13 84 3 5" xfId="30482"/>
    <cellStyle name="Normal 13 84 4" xfId="8734"/>
    <cellStyle name="Normal 13 84 5" xfId="21495"/>
    <cellStyle name="Normal 13 84 6" xfId="19973"/>
    <cellStyle name="Normal 13 84 7" xfId="29166"/>
    <cellStyle name="Normal 13 85" xfId="1987"/>
    <cellStyle name="Normal 13 85 2" xfId="4423"/>
    <cellStyle name="Normal 13 85 2 2" xfId="11193"/>
    <cellStyle name="Normal 13 85 2 3" xfId="23883"/>
    <cellStyle name="Normal 13 85 2 4" xfId="17534"/>
    <cellStyle name="Normal 13 85 2 5" xfId="27170"/>
    <cellStyle name="Normal 13 85 3" xfId="6333"/>
    <cellStyle name="Normal 13 85 3 2" xfId="13103"/>
    <cellStyle name="Normal 13 85 3 3" xfId="25793"/>
    <cellStyle name="Normal 13 85 3 4" xfId="7527"/>
    <cellStyle name="Normal 13 85 3 5" xfId="30099"/>
    <cellStyle name="Normal 13 85 4" xfId="8757"/>
    <cellStyle name="Normal 13 85 5" xfId="21515"/>
    <cellStyle name="Normal 13 85 6" xfId="13812"/>
    <cellStyle name="Normal 13 85 7" xfId="32094"/>
    <cellStyle name="Normal 13 86" xfId="2009"/>
    <cellStyle name="Normal 13 86 2" xfId="4445"/>
    <cellStyle name="Normal 13 86 2 2" xfId="11215"/>
    <cellStyle name="Normal 13 86 2 3" xfId="23905"/>
    <cellStyle name="Normal 13 86 2 4" xfId="15027"/>
    <cellStyle name="Normal 13 86 2 5" xfId="28311"/>
    <cellStyle name="Normal 13 86 3" xfId="6352"/>
    <cellStyle name="Normal 13 86 3 2" xfId="13122"/>
    <cellStyle name="Normal 13 86 3 3" xfId="25812"/>
    <cellStyle name="Normal 13 86 3 4" xfId="7142"/>
    <cellStyle name="Normal 13 86 3 5" xfId="27068"/>
    <cellStyle name="Normal 13 86 4" xfId="8779"/>
    <cellStyle name="Normal 13 86 5" xfId="21534"/>
    <cellStyle name="Normal 13 86 6" xfId="20046"/>
    <cellStyle name="Normal 13 86 7" xfId="30003"/>
    <cellStyle name="Normal 13 87" xfId="2032"/>
    <cellStyle name="Normal 13 87 2" xfId="4467"/>
    <cellStyle name="Normal 13 87 2 2" xfId="11237"/>
    <cellStyle name="Normal 13 87 2 3" xfId="23927"/>
    <cellStyle name="Normal 13 87 2 4" xfId="16435"/>
    <cellStyle name="Normal 13 87 2 5" xfId="29208"/>
    <cellStyle name="Normal 13 87 3" xfId="6372"/>
    <cellStyle name="Normal 13 87 3 2" xfId="13142"/>
    <cellStyle name="Normal 13 87 3 3" xfId="25832"/>
    <cellStyle name="Normal 13 87 3 4" xfId="13980"/>
    <cellStyle name="Normal 13 87 3 5" xfId="29142"/>
    <cellStyle name="Normal 13 87 4" xfId="8802"/>
    <cellStyle name="Normal 13 87 5" xfId="21554"/>
    <cellStyle name="Normal 13 87 6" xfId="15686"/>
    <cellStyle name="Normal 13 87 7" xfId="28134"/>
    <cellStyle name="Normal 13 88" xfId="2055"/>
    <cellStyle name="Normal 13 88 2" xfId="4489"/>
    <cellStyle name="Normal 13 88 2 2" xfId="11259"/>
    <cellStyle name="Normal 13 88 2 3" xfId="23949"/>
    <cellStyle name="Normal 13 88 2 4" xfId="17099"/>
    <cellStyle name="Normal 13 88 2 5" xfId="27069"/>
    <cellStyle name="Normal 13 88 3" xfId="6392"/>
    <cellStyle name="Normal 13 88 3 2" xfId="13162"/>
    <cellStyle name="Normal 13 88 3 3" xfId="25852"/>
    <cellStyle name="Normal 13 88 3 4" xfId="16202"/>
    <cellStyle name="Normal 13 88 3 5" xfId="28188"/>
    <cellStyle name="Normal 13 88 4" xfId="8825"/>
    <cellStyle name="Normal 13 88 5" xfId="21574"/>
    <cellStyle name="Normal 13 88 6" xfId="16166"/>
    <cellStyle name="Normal 13 88 7" xfId="31055"/>
    <cellStyle name="Normal 13 89" xfId="2078"/>
    <cellStyle name="Normal 13 89 2" xfId="4510"/>
    <cellStyle name="Normal 13 89 2 2" xfId="11280"/>
    <cellStyle name="Normal 13 89 2 3" xfId="23970"/>
    <cellStyle name="Normal 13 89 2 4" xfId="16966"/>
    <cellStyle name="Normal 13 89 2 5" xfId="31178"/>
    <cellStyle name="Normal 13 89 3" xfId="6412"/>
    <cellStyle name="Normal 13 89 3 2" xfId="13182"/>
    <cellStyle name="Normal 13 89 3 3" xfId="25872"/>
    <cellStyle name="Normal 13 89 3 4" xfId="20009"/>
    <cellStyle name="Normal 13 89 3 5" xfId="26976"/>
    <cellStyle name="Normal 13 89 4" xfId="8848"/>
    <cellStyle name="Normal 13 89 5" xfId="21594"/>
    <cellStyle name="Normal 13 89 6" xfId="20028"/>
    <cellStyle name="Normal 13 89 7" xfId="29007"/>
    <cellStyle name="Normal 13 9" xfId="249"/>
    <cellStyle name="Normal 13 9 2" xfId="2727"/>
    <cellStyle name="Normal 13 9 2 2" xfId="9497"/>
    <cellStyle name="Normal 13 9 2 3" xfId="22187"/>
    <cellStyle name="Normal 13 9 2 4" xfId="16163"/>
    <cellStyle name="Normal 13 9 2 5" xfId="30736"/>
    <cellStyle name="Normal 13 9 3" xfId="4558"/>
    <cellStyle name="Normal 13 9 3 2" xfId="11328"/>
    <cellStyle name="Normal 13 9 3 3" xfId="24018"/>
    <cellStyle name="Normal 13 9 3 4" xfId="16640"/>
    <cellStyle name="Normal 13 9 3 5" xfId="31104"/>
    <cellStyle name="Normal 13 9 4" xfId="7019"/>
    <cellStyle name="Normal 13 9 5" xfId="15644"/>
    <cellStyle name="Normal 13 9 6" xfId="19944"/>
    <cellStyle name="Normal 13 9 7" xfId="27225"/>
    <cellStyle name="Normal 13 90" xfId="2101"/>
    <cellStyle name="Normal 13 90 2" xfId="4532"/>
    <cellStyle name="Normal 13 90 2 2" xfId="11302"/>
    <cellStyle name="Normal 13 90 2 3" xfId="23992"/>
    <cellStyle name="Normal 13 90 2 4" xfId="13664"/>
    <cellStyle name="Normal 13 90 2 5" xfId="32082"/>
    <cellStyle name="Normal 13 90 3" xfId="6432"/>
    <cellStyle name="Normal 13 90 3 2" xfId="13202"/>
    <cellStyle name="Normal 13 90 3 3" xfId="25892"/>
    <cellStyle name="Normal 13 90 3 4" xfId="18098"/>
    <cellStyle name="Normal 13 90 3 5" xfId="29059"/>
    <cellStyle name="Normal 13 90 4" xfId="8871"/>
    <cellStyle name="Normal 13 90 5" xfId="21614"/>
    <cellStyle name="Normal 13 90 6" xfId="13744"/>
    <cellStyle name="Normal 13 90 7" xfId="31937"/>
    <cellStyle name="Normal 13 91" xfId="2124"/>
    <cellStyle name="Normal 13 91 2" xfId="4553"/>
    <cellStyle name="Normal 13 91 2 2" xfId="11323"/>
    <cellStyle name="Normal 13 91 2 3" xfId="24013"/>
    <cellStyle name="Normal 13 91 2 4" xfId="14308"/>
    <cellStyle name="Normal 13 91 2 5" xfId="28149"/>
    <cellStyle name="Normal 13 91 3" xfId="6452"/>
    <cellStyle name="Normal 13 91 3 2" xfId="13222"/>
    <cellStyle name="Normal 13 91 3 3" xfId="25912"/>
    <cellStyle name="Normal 13 91 3 4" xfId="19811"/>
    <cellStyle name="Normal 13 91 3 5" xfId="28095"/>
    <cellStyle name="Normal 13 91 4" xfId="8894"/>
    <cellStyle name="Normal 13 91 5" xfId="21634"/>
    <cellStyle name="Normal 13 91 6" xfId="18315"/>
    <cellStyle name="Normal 13 91 7" xfId="26800"/>
    <cellStyle name="Normal 13 92" xfId="2145"/>
    <cellStyle name="Normal 13 92 2" xfId="4573"/>
    <cellStyle name="Normal 13 92 2 2" xfId="11343"/>
    <cellStyle name="Normal 13 92 2 3" xfId="24033"/>
    <cellStyle name="Normal 13 92 2 4" xfId="16549"/>
    <cellStyle name="Normal 13 92 2 5" xfId="26930"/>
    <cellStyle name="Normal 13 92 3" xfId="6470"/>
    <cellStyle name="Normal 13 92 3 2" xfId="13240"/>
    <cellStyle name="Normal 13 92 3 3" xfId="25930"/>
    <cellStyle name="Normal 13 92 3 4" xfId="19718"/>
    <cellStyle name="Normal 13 92 3 5" xfId="28063"/>
    <cellStyle name="Normal 13 92 4" xfId="8915"/>
    <cellStyle name="Normal 13 92 5" xfId="21652"/>
    <cellStyle name="Normal 13 92 6" xfId="19789"/>
    <cellStyle name="Normal 13 92 7" xfId="30913"/>
    <cellStyle name="Normal 13 93" xfId="2163"/>
    <cellStyle name="Normal 13 93 2" xfId="4590"/>
    <cellStyle name="Normal 13 93 2 2" xfId="11360"/>
    <cellStyle name="Normal 13 93 2 3" xfId="24050"/>
    <cellStyle name="Normal 13 93 2 4" xfId="18438"/>
    <cellStyle name="Normal 13 93 2 5" xfId="29933"/>
    <cellStyle name="Normal 13 93 3" xfId="6486"/>
    <cellStyle name="Normal 13 93 3 2" xfId="13256"/>
    <cellStyle name="Normal 13 93 3 3" xfId="25946"/>
    <cellStyle name="Normal 13 93 3 4" xfId="17743"/>
    <cellStyle name="Normal 13 93 3 5" xfId="28983"/>
    <cellStyle name="Normal 13 93 4" xfId="8933"/>
    <cellStyle name="Normal 13 93 5" xfId="21668"/>
    <cellStyle name="Normal 13 93 6" xfId="16679"/>
    <cellStyle name="Normal 13 93 7" xfId="30882"/>
    <cellStyle name="Normal 13 94" xfId="2180"/>
    <cellStyle name="Normal 13 94 2" xfId="4606"/>
    <cellStyle name="Normal 13 94 2 2" xfId="11376"/>
    <cellStyle name="Normal 13 94 2 3" xfId="24066"/>
    <cellStyle name="Normal 13 94 2 4" xfId="16326"/>
    <cellStyle name="Normal 13 94 2 5" xfId="31029"/>
    <cellStyle name="Normal 13 94 3" xfId="6502"/>
    <cellStyle name="Normal 13 94 3 2" xfId="13272"/>
    <cellStyle name="Normal 13 94 3 3" xfId="25962"/>
    <cellStyle name="Normal 13 94 3 4" xfId="15273"/>
    <cellStyle name="Normal 13 94 3 5" xfId="26822"/>
    <cellStyle name="Normal 13 94 4" xfId="8950"/>
    <cellStyle name="Normal 13 94 5" xfId="21684"/>
    <cellStyle name="Normal 13 94 6" xfId="15332"/>
    <cellStyle name="Normal 13 94 7" xfId="28856"/>
    <cellStyle name="Normal 13 95" xfId="2202"/>
    <cellStyle name="Normal 13 95 2" xfId="4627"/>
    <cellStyle name="Normal 13 95 2 2" xfId="11397"/>
    <cellStyle name="Normal 13 95 2 3" xfId="24087"/>
    <cellStyle name="Normal 13 95 2 4" xfId="13816"/>
    <cellStyle name="Normal 13 95 2 5" xfId="26845"/>
    <cellStyle name="Normal 13 95 3" xfId="6521"/>
    <cellStyle name="Normal 13 95 3 2" xfId="13291"/>
    <cellStyle name="Normal 13 95 3 3" xfId="25981"/>
    <cellStyle name="Normal 13 95 3 4" xfId="19406"/>
    <cellStyle name="Normal 13 95 3 5" xfId="31906"/>
    <cellStyle name="Normal 13 95 4" xfId="8972"/>
    <cellStyle name="Normal 13 95 5" xfId="21703"/>
    <cellStyle name="Normal 13 95 6" xfId="19463"/>
    <cellStyle name="Normal 13 95 7" xfId="26689"/>
    <cellStyle name="Normal 13 96" xfId="2238"/>
    <cellStyle name="Normal 13 96 2" xfId="4660"/>
    <cellStyle name="Normal 13 96 2 2" xfId="11430"/>
    <cellStyle name="Normal 13 96 2 3" xfId="24120"/>
    <cellStyle name="Normal 13 96 2 4" xfId="16146"/>
    <cellStyle name="Normal 13 96 2 5" xfId="30942"/>
    <cellStyle name="Normal 13 96 3" xfId="6549"/>
    <cellStyle name="Normal 13 96 3 2" xfId="13319"/>
    <cellStyle name="Normal 13 96 3 3" xfId="26009"/>
    <cellStyle name="Normal 13 96 3 4" xfId="17334"/>
    <cellStyle name="Normal 13 96 3 5" xfId="29786"/>
    <cellStyle name="Normal 13 96 4" xfId="9008"/>
    <cellStyle name="Normal 13 96 5" xfId="21731"/>
    <cellStyle name="Normal 13 96 6" xfId="19248"/>
    <cellStyle name="Normal 13 96 7" xfId="26623"/>
    <cellStyle name="Normal 13 97" xfId="2260"/>
    <cellStyle name="Normal 13 97 2" xfId="4682"/>
    <cellStyle name="Normal 13 97 2 2" xfId="11452"/>
    <cellStyle name="Normal 13 97 2 3" xfId="24142"/>
    <cellStyle name="Normal 13 97 2 4" xfId="15400"/>
    <cellStyle name="Normal 13 97 2 5" xfId="31870"/>
    <cellStyle name="Normal 13 97 3" xfId="6568"/>
    <cellStyle name="Normal 13 97 3 2" xfId="13338"/>
    <cellStyle name="Normal 13 97 3 3" xfId="26028"/>
    <cellStyle name="Normal 13 97 3 4" xfId="14847"/>
    <cellStyle name="Normal 13 97 3 5" xfId="26728"/>
    <cellStyle name="Normal 13 97 4" xfId="9030"/>
    <cellStyle name="Normal 13 97 5" xfId="21750"/>
    <cellStyle name="Normal 13 97 6" xfId="17174"/>
    <cellStyle name="Normal 13 97 7" xfId="27752"/>
    <cellStyle name="Normal 13 98" xfId="2282"/>
    <cellStyle name="Normal 13 98 2" xfId="4703"/>
    <cellStyle name="Normal 13 98 2 2" xfId="11473"/>
    <cellStyle name="Normal 13 98 2 3" xfId="24163"/>
    <cellStyle name="Normal 13 98 2 4" xfId="15586"/>
    <cellStyle name="Normal 13 98 2 5" xfId="27868"/>
    <cellStyle name="Normal 13 98 3" xfId="6587"/>
    <cellStyle name="Normal 13 98 3 2" xfId="13357"/>
    <cellStyle name="Normal 13 98 3 3" xfId="26047"/>
    <cellStyle name="Normal 13 98 3 4" xfId="19018"/>
    <cellStyle name="Normal 13 98 3 5" xfId="31811"/>
    <cellStyle name="Normal 13 98 4" xfId="9052"/>
    <cellStyle name="Normal 13 98 5" xfId="21769"/>
    <cellStyle name="Normal 13 98 6" xfId="14662"/>
    <cellStyle name="Normal 13 98 7" xfId="29374"/>
    <cellStyle name="Normal 13 99" xfId="2304"/>
    <cellStyle name="Normal 13 99 2" xfId="4725"/>
    <cellStyle name="Normal 13 99 2 2" xfId="11495"/>
    <cellStyle name="Normal 13 99 2 3" xfId="24185"/>
    <cellStyle name="Normal 13 99 2 4" xfId="19704"/>
    <cellStyle name="Normal 13 99 2 5" xfId="28838"/>
    <cellStyle name="Normal 13 99 3" xfId="6606"/>
    <cellStyle name="Normal 13 99 3 2" xfId="13376"/>
    <cellStyle name="Normal 13 99 3 3" xfId="26066"/>
    <cellStyle name="Normal 13 99 3 4" xfId="16960"/>
    <cellStyle name="Normal 13 99 3 5" xfId="28805"/>
    <cellStyle name="Normal 13 99 4" xfId="9074"/>
    <cellStyle name="Normal 13 99 5" xfId="21788"/>
    <cellStyle name="Normal 13 99 6" xfId="18858"/>
    <cellStyle name="Normal 13 99 7" xfId="27257"/>
    <cellStyle name="Normal 130" xfId="32933"/>
    <cellStyle name="Normal 130 2" xfId="34069"/>
    <cellStyle name="Normal 131" xfId="32956"/>
    <cellStyle name="Normal 131 2" xfId="34112"/>
    <cellStyle name="Normal 132" xfId="32979"/>
    <cellStyle name="Normal 132 2" xfId="34110"/>
    <cellStyle name="Normal 133" xfId="33002"/>
    <cellStyle name="Normal 133 2" xfId="34080"/>
    <cellStyle name="Normal 134" xfId="33025"/>
    <cellStyle name="Normal 134 2" xfId="34085"/>
    <cellStyle name="Normal 135" xfId="33048"/>
    <cellStyle name="Normal 135 2" xfId="34083"/>
    <cellStyle name="Normal 136" xfId="33071"/>
    <cellStyle name="Normal 136 2" xfId="34063"/>
    <cellStyle name="Normal 137" xfId="33094"/>
    <cellStyle name="Normal 137 2" xfId="34065"/>
    <cellStyle name="Normal 138" xfId="33117"/>
    <cellStyle name="Normal 138 2" xfId="34100"/>
    <cellStyle name="Normal 139" xfId="33139"/>
    <cellStyle name="Normal 139 2" xfId="34122"/>
    <cellStyle name="Normal 14" xfId="39"/>
    <cellStyle name="Normal 14 10" xfId="274"/>
    <cellStyle name="Normal 14 10 2" xfId="2750"/>
    <cellStyle name="Normal 14 10 2 2" xfId="9520"/>
    <cellStyle name="Normal 14 10 2 3" xfId="22210"/>
    <cellStyle name="Normal 14 10 2 4" xfId="20043"/>
    <cellStyle name="Normal 14 10 2 5" xfId="28710"/>
    <cellStyle name="Normal 14 10 3" xfId="4056"/>
    <cellStyle name="Normal 14 10 3 2" xfId="10826"/>
    <cellStyle name="Normal 14 10 3 3" xfId="23516"/>
    <cellStyle name="Normal 14 10 3 4" xfId="19687"/>
    <cellStyle name="Normal 14 10 3 5" xfId="30103"/>
    <cellStyle name="Normal 14 10 4" xfId="7044"/>
    <cellStyle name="Normal 14 10 5" xfId="15144"/>
    <cellStyle name="Normal 14 10 6" xfId="17933"/>
    <cellStyle name="Normal 14 10 7" xfId="32242"/>
    <cellStyle name="Normal 14 100" xfId="2327"/>
    <cellStyle name="Normal 14 100 2" xfId="4748"/>
    <cellStyle name="Normal 14 100 2 2" xfId="11518"/>
    <cellStyle name="Normal 14 100 2 3" xfId="24208"/>
    <cellStyle name="Normal 14 100 2 4" xfId="13751"/>
    <cellStyle name="Normal 14 100 2 5" xfId="31772"/>
    <cellStyle name="Normal 14 100 3" xfId="6626"/>
    <cellStyle name="Normal 14 100 3 2" xfId="13396"/>
    <cellStyle name="Normal 14 100 3 3" xfId="26086"/>
    <cellStyle name="Normal 14 100 3 4" xfId="16810"/>
    <cellStyle name="Normal 14 100 3 5" xfId="27800"/>
    <cellStyle name="Normal 14 100 4" xfId="9097"/>
    <cellStyle name="Normal 14 100 5" xfId="21808"/>
    <cellStyle name="Normal 14 100 6" xfId="15698"/>
    <cellStyle name="Normal 14 100 7" xfId="30212"/>
    <cellStyle name="Normal 14 101" xfId="2349"/>
    <cellStyle name="Normal 14 101 2" xfId="4769"/>
    <cellStyle name="Normal 14 101 2 2" xfId="11539"/>
    <cellStyle name="Normal 14 101 2 3" xfId="24229"/>
    <cellStyle name="Normal 14 101 2 4" xfId="15172"/>
    <cellStyle name="Normal 14 101 2 5" xfId="27779"/>
    <cellStyle name="Normal 14 101 3" xfId="6645"/>
    <cellStyle name="Normal 14 101 3 2" xfId="13415"/>
    <cellStyle name="Normal 14 101 3 3" xfId="26105"/>
    <cellStyle name="Normal 14 101 3 4" xfId="16696"/>
    <cellStyle name="Normal 14 101 3 5" xfId="29644"/>
    <cellStyle name="Normal 14 101 4" xfId="9119"/>
    <cellStyle name="Normal 14 101 5" xfId="21827"/>
    <cellStyle name="Normal 14 101 6" xfId="19784"/>
    <cellStyle name="Normal 14 101 7" xfId="31340"/>
    <cellStyle name="Normal 14 102" xfId="2370"/>
    <cellStyle name="Normal 14 102 2" xfId="4789"/>
    <cellStyle name="Normal 14 102 2 2" xfId="11559"/>
    <cellStyle name="Normal 14 102 2 3" xfId="24249"/>
    <cellStyle name="Normal 14 102 2 4" xfId="17426"/>
    <cellStyle name="Normal 14 102 2 5" xfId="26556"/>
    <cellStyle name="Normal 14 102 3" xfId="6663"/>
    <cellStyle name="Normal 14 102 3 2" xfId="13433"/>
    <cellStyle name="Normal 14 102 3 3" xfId="26123"/>
    <cellStyle name="Normal 14 102 3 4" xfId="16587"/>
    <cellStyle name="Normal 14 102 3 5" xfId="29613"/>
    <cellStyle name="Normal 14 102 4" xfId="9140"/>
    <cellStyle name="Normal 14 102 5" xfId="21845"/>
    <cellStyle name="Normal 14 102 6" xfId="19672"/>
    <cellStyle name="Normal 14 102 7" xfId="27163"/>
    <cellStyle name="Normal 14 103" xfId="2391"/>
    <cellStyle name="Normal 14 103 2" xfId="4809"/>
    <cellStyle name="Normal 14 103 2 2" xfId="11579"/>
    <cellStyle name="Normal 14 103 2 3" xfId="24269"/>
    <cellStyle name="Normal 14 103 2 4" xfId="19201"/>
    <cellStyle name="Normal 14 103 2 5" xfId="28704"/>
    <cellStyle name="Normal 14 103 3" xfId="6680"/>
    <cellStyle name="Normal 14 103 3 2" xfId="13450"/>
    <cellStyle name="Normal 14 103 3 3" xfId="26140"/>
    <cellStyle name="Normal 14 103 3 4" xfId="18473"/>
    <cellStyle name="Normal 14 103 3 5" xfId="27709"/>
    <cellStyle name="Normal 14 103 4" xfId="9161"/>
    <cellStyle name="Normal 14 103 5" xfId="21862"/>
    <cellStyle name="Normal 14 103 6" xfId="16316"/>
    <cellStyle name="Normal 14 103 7" xfId="30485"/>
    <cellStyle name="Normal 14 104" xfId="2412"/>
    <cellStyle name="Normal 14 104 2" xfId="4830"/>
    <cellStyle name="Normal 14 104 2 2" xfId="11600"/>
    <cellStyle name="Normal 14 104 2 3" xfId="24290"/>
    <cellStyle name="Normal 14 104 2 4" xfId="19083"/>
    <cellStyle name="Normal 14 104 2 5" xfId="29559"/>
    <cellStyle name="Normal 14 104 3" xfId="6700"/>
    <cellStyle name="Normal 14 104 3 2" xfId="13470"/>
    <cellStyle name="Normal 14 104 3 3" xfId="26160"/>
    <cellStyle name="Normal 14 104 3 4" xfId="13966"/>
    <cellStyle name="Normal 14 104 3 5" xfId="26499"/>
    <cellStyle name="Normal 14 104 4" xfId="9182"/>
    <cellStyle name="Normal 14 104 5" xfId="21882"/>
    <cellStyle name="Normal 14 104 6" xfId="19417"/>
    <cellStyle name="Normal 14 104 7" xfId="27102"/>
    <cellStyle name="Normal 14 105" xfId="2434"/>
    <cellStyle name="Normal 14 105 2" xfId="4852"/>
    <cellStyle name="Normal 14 105 2 2" xfId="11622"/>
    <cellStyle name="Normal 14 105 2 3" xfId="24312"/>
    <cellStyle name="Normal 14 105 2 4" xfId="17008"/>
    <cellStyle name="Normal 14 105 2 5" xfId="30406"/>
    <cellStyle name="Normal 14 105 3" xfId="6720"/>
    <cellStyle name="Normal 14 105 3 2" xfId="13490"/>
    <cellStyle name="Normal 14 105 3 3" xfId="26180"/>
    <cellStyle name="Normal 14 105 3 4" xfId="13822"/>
    <cellStyle name="Normal 14 105 3 5" xfId="28629"/>
    <cellStyle name="Normal 14 105 4" xfId="9204"/>
    <cellStyle name="Normal 14 105 5" xfId="21902"/>
    <cellStyle name="Normal 14 105 6" xfId="17389"/>
    <cellStyle name="Normal 14 105 7" xfId="28243"/>
    <cellStyle name="Normal 14 106" xfId="2454"/>
    <cellStyle name="Normal 14 106 2" xfId="4872"/>
    <cellStyle name="Normal 14 106 2 2" xfId="11642"/>
    <cellStyle name="Normal 14 106 2 3" xfId="24332"/>
    <cellStyle name="Normal 14 106 2 4" xfId="18829"/>
    <cellStyle name="Normal 14 106 2 5" xfId="29498"/>
    <cellStyle name="Normal 14 106 3" xfId="6737"/>
    <cellStyle name="Normal 14 106 3 2" xfId="13507"/>
    <cellStyle name="Normal 14 106 3 3" xfId="26197"/>
    <cellStyle name="Normal 14 106 3 4" xfId="20030"/>
    <cellStyle name="Normal 14 106 3 5" xfId="31575"/>
    <cellStyle name="Normal 14 106 4" xfId="9224"/>
    <cellStyle name="Normal 14 106 5" xfId="21919"/>
    <cellStyle name="Normal 14 106 6" xfId="19166"/>
    <cellStyle name="Normal 14 106 7" xfId="26354"/>
    <cellStyle name="Normal 14 107" xfId="2472"/>
    <cellStyle name="Normal 14 107 2" xfId="4889"/>
    <cellStyle name="Normal 14 107 2 2" xfId="11659"/>
    <cellStyle name="Normal 14 107 2 3" xfId="24349"/>
    <cellStyle name="Normal 14 107 2 4" xfId="14393"/>
    <cellStyle name="Normal 14 107 2 5" xfId="27574"/>
    <cellStyle name="Normal 14 107 3" xfId="6753"/>
    <cellStyle name="Normal 14 107 3 2" xfId="13523"/>
    <cellStyle name="Normal 14 107 3 3" xfId="26213"/>
    <cellStyle name="Normal 14 107 3 4" xfId="16161"/>
    <cellStyle name="Normal 14 107 3 5" xfId="26602"/>
    <cellStyle name="Normal 14 107 4" xfId="9242"/>
    <cellStyle name="Normal 14 107 5" xfId="21935"/>
    <cellStyle name="Normal 14 107 6" xfId="19068"/>
    <cellStyle name="Normal 14 107 7" xfId="27012"/>
    <cellStyle name="Normal 14 108" xfId="2489"/>
    <cellStyle name="Normal 14 108 2" xfId="4906"/>
    <cellStyle name="Normal 14 108 2 2" xfId="11676"/>
    <cellStyle name="Normal 14 108 2 3" xfId="24366"/>
    <cellStyle name="Normal 14 108 2 4" xfId="16639"/>
    <cellStyle name="Normal 14 108 2 5" xfId="26829"/>
    <cellStyle name="Normal 14 108 3" xfId="6769"/>
    <cellStyle name="Normal 14 108 3 2" xfId="13539"/>
    <cellStyle name="Normal 14 108 3 3" xfId="26229"/>
    <cellStyle name="Normal 14 108 3 4" xfId="26250"/>
    <cellStyle name="Normal 14 108 3 5" xfId="30394"/>
    <cellStyle name="Normal 14 108 4" xfId="9259"/>
    <cellStyle name="Normal 14 108 5" xfId="21951"/>
    <cellStyle name="Normal 14 108 6" xfId="13668"/>
    <cellStyle name="Normal 14 108 7" xfId="29992"/>
    <cellStyle name="Normal 14 109" xfId="2528"/>
    <cellStyle name="Normal 14 109 2" xfId="9298"/>
    <cellStyle name="Normal 14 109 3" xfId="21988"/>
    <cellStyle name="Normal 14 109 4" xfId="14398"/>
    <cellStyle name="Normal 14 109 5" xfId="29042"/>
    <cellStyle name="Normal 14 11" xfId="296"/>
    <cellStyle name="Normal 14 11 2" xfId="2772"/>
    <cellStyle name="Normal 14 11 2 2" xfId="9542"/>
    <cellStyle name="Normal 14 11 2 3" xfId="22232"/>
    <cellStyle name="Normal 14 11 2 4" xfId="18071"/>
    <cellStyle name="Normal 14 11 2 5" xfId="26516"/>
    <cellStyle name="Normal 14 11 3" xfId="3619"/>
    <cellStyle name="Normal 14 11 3 2" xfId="10389"/>
    <cellStyle name="Normal 14 11 3 3" xfId="23079"/>
    <cellStyle name="Normal 14 11 3 4" xfId="16419"/>
    <cellStyle name="Normal 14 11 3 5" xfId="31592"/>
    <cellStyle name="Normal 14 11 4" xfId="7066"/>
    <cellStyle name="Normal 14 11 5" xfId="14671"/>
    <cellStyle name="Normal 14 11 6" xfId="15419"/>
    <cellStyle name="Normal 14 11 7" xfId="30142"/>
    <cellStyle name="Normal 14 110" xfId="4169"/>
    <cellStyle name="Normal 14 110 2" xfId="10939"/>
    <cellStyle name="Normal 14 110 3" xfId="23629"/>
    <cellStyle name="Normal 14 110 4" xfId="14699"/>
    <cellStyle name="Normal 14 110 5" xfId="28109"/>
    <cellStyle name="Normal 14 111" xfId="6810"/>
    <cellStyle name="Normal 14 112" xfId="15229"/>
    <cellStyle name="Normal 14 113" xfId="15352"/>
    <cellStyle name="Normal 14 114" xfId="29743"/>
    <cellStyle name="Normal 14 115" xfId="32482"/>
    <cellStyle name="Normal 14 116" xfId="32505"/>
    <cellStyle name="Normal 14 117" xfId="32528"/>
    <cellStyle name="Normal 14 118" xfId="32551"/>
    <cellStyle name="Normal 14 119" xfId="32574"/>
    <cellStyle name="Normal 14 12" xfId="321"/>
    <cellStyle name="Normal 14 12 2" xfId="2797"/>
    <cellStyle name="Normal 14 12 2 2" xfId="9567"/>
    <cellStyle name="Normal 14 12 2 3" xfId="22257"/>
    <cellStyle name="Normal 14 12 2 4" xfId="13775"/>
    <cellStyle name="Normal 14 12 2 5" xfId="31609"/>
    <cellStyle name="Normal 14 12 3" xfId="3105"/>
    <cellStyle name="Normal 14 12 3 2" xfId="9875"/>
    <cellStyle name="Normal 14 12 3 3" xfId="22565"/>
    <cellStyle name="Normal 14 12 3 4" xfId="15915"/>
    <cellStyle name="Normal 14 12 3 5" xfId="31273"/>
    <cellStyle name="Normal 14 12 4" xfId="7091"/>
    <cellStyle name="Normal 14 12 5" xfId="14210"/>
    <cellStyle name="Normal 14 12 6" xfId="19528"/>
    <cellStyle name="Normal 14 12 7" xfId="27118"/>
    <cellStyle name="Normal 14 120" xfId="32597"/>
    <cellStyle name="Normal 14 121" xfId="32620"/>
    <cellStyle name="Normal 14 122" xfId="32643"/>
    <cellStyle name="Normal 14 123" xfId="32666"/>
    <cellStyle name="Normal 14 124" xfId="32689"/>
    <cellStyle name="Normal 14 125" xfId="32712"/>
    <cellStyle name="Normal 14 126" xfId="32735"/>
    <cellStyle name="Normal 14 127" xfId="32758"/>
    <cellStyle name="Normal 14 128" xfId="32781"/>
    <cellStyle name="Normal 14 129" xfId="32804"/>
    <cellStyle name="Normal 14 13" xfId="344"/>
    <cellStyle name="Normal 14 13 2" xfId="2820"/>
    <cellStyle name="Normal 14 13 2 2" xfId="9590"/>
    <cellStyle name="Normal 14 13 2 3" xfId="22280"/>
    <cellStyle name="Normal 14 13 2 4" xfId="8904"/>
    <cellStyle name="Normal 14 13 2 5" xfId="26429"/>
    <cellStyle name="Normal 14 13 3" xfId="4650"/>
    <cellStyle name="Normal 14 13 3 2" xfId="11420"/>
    <cellStyle name="Normal 14 13 3 3" xfId="24110"/>
    <cellStyle name="Normal 14 13 3 4" xfId="19985"/>
    <cellStyle name="Normal 14 13 3 5" xfId="26963"/>
    <cellStyle name="Normal 14 13 4" xfId="7114"/>
    <cellStyle name="Normal 14 13 5" xfId="15856"/>
    <cellStyle name="Normal 14 13 6" xfId="13747"/>
    <cellStyle name="Normal 14 13 7" xfId="30078"/>
    <cellStyle name="Normal 14 130" xfId="32827"/>
    <cellStyle name="Normal 14 131" xfId="32850"/>
    <cellStyle name="Normal 14 132" xfId="32873"/>
    <cellStyle name="Normal 14 133" xfId="32895"/>
    <cellStyle name="Normal 14 134" xfId="32918"/>
    <cellStyle name="Normal 14 135" xfId="32941"/>
    <cellStyle name="Normal 14 136" xfId="32964"/>
    <cellStyle name="Normal 14 137" xfId="32987"/>
    <cellStyle name="Normal 14 138" xfId="33010"/>
    <cellStyle name="Normal 14 139" xfId="33033"/>
    <cellStyle name="Normal 14 14" xfId="367"/>
    <cellStyle name="Normal 14 14 2" xfId="2843"/>
    <cellStyle name="Normal 14 14 2 2" xfId="9613"/>
    <cellStyle name="Normal 14 14 2 3" xfId="22303"/>
    <cellStyle name="Normal 14 14 2 4" xfId="8425"/>
    <cellStyle name="Normal 14 14 2 5" xfId="30418"/>
    <cellStyle name="Normal 14 14 3" xfId="4925"/>
    <cellStyle name="Normal 14 14 3 2" xfId="11695"/>
    <cellStyle name="Normal 14 14 3 3" xfId="24385"/>
    <cellStyle name="Normal 14 14 3 4" xfId="14148"/>
    <cellStyle name="Normal 14 14 3 5" xfId="28557"/>
    <cellStyle name="Normal 14 14 4" xfId="7137"/>
    <cellStyle name="Normal 14 14 5" xfId="20107"/>
    <cellStyle name="Normal 14 14 6" xfId="17335"/>
    <cellStyle name="Normal 14 14 7" xfId="28218"/>
    <cellStyle name="Normal 14 140" xfId="33056"/>
    <cellStyle name="Normal 14 141" xfId="33079"/>
    <cellStyle name="Normal 14 142" xfId="33102"/>
    <cellStyle name="Normal 14 143" xfId="33125"/>
    <cellStyle name="Normal 14 144" xfId="33147"/>
    <cellStyle name="Normal 14 145" xfId="33167"/>
    <cellStyle name="Normal 14 146" xfId="33189"/>
    <cellStyle name="Normal 14 147" xfId="33205"/>
    <cellStyle name="Normal 14 148" xfId="33222"/>
    <cellStyle name="Normal 14 149" xfId="33258"/>
    <cellStyle name="Normal 14 15" xfId="390"/>
    <cellStyle name="Normal 14 15 2" xfId="2866"/>
    <cellStyle name="Normal 14 15 2 2" xfId="9636"/>
    <cellStyle name="Normal 14 15 2 3" xfId="22326"/>
    <cellStyle name="Normal 14 15 2 4" xfId="7943"/>
    <cellStyle name="Normal 14 15 2 5" xfId="28559"/>
    <cellStyle name="Normal 14 15 3" xfId="4945"/>
    <cellStyle name="Normal 14 15 3 2" xfId="11715"/>
    <cellStyle name="Normal 14 15 3 3" xfId="24405"/>
    <cellStyle name="Normal 14 15 3 4" xfId="16371"/>
    <cellStyle name="Normal 14 15 3 5" xfId="27349"/>
    <cellStyle name="Normal 14 15 4" xfId="7160"/>
    <cellStyle name="Normal 14 15 5" xfId="20127"/>
    <cellStyle name="Normal 14 15 6" xfId="19117"/>
    <cellStyle name="Normal 14 15 7" xfId="31153"/>
    <cellStyle name="Normal 14 150" xfId="33281"/>
    <cellStyle name="Normal 14 151" xfId="33304"/>
    <cellStyle name="Normal 14 152" xfId="33327"/>
    <cellStyle name="Normal 14 153" xfId="33350"/>
    <cellStyle name="Normal 14 154" xfId="33373"/>
    <cellStyle name="Normal 14 155" xfId="33396"/>
    <cellStyle name="Normal 14 156" xfId="33419"/>
    <cellStyle name="Normal 14 157" xfId="33442"/>
    <cellStyle name="Normal 14 158" xfId="33465"/>
    <cellStyle name="Normal 14 159" xfId="33488"/>
    <cellStyle name="Normal 14 16" xfId="413"/>
    <cellStyle name="Normal 14 16 2" xfId="2888"/>
    <cellStyle name="Normal 14 16 2 2" xfId="9658"/>
    <cellStyle name="Normal 14 16 2 3" xfId="22348"/>
    <cellStyle name="Normal 14 16 2 4" xfId="7488"/>
    <cellStyle name="Normal 14 16 2 5" xfId="29429"/>
    <cellStyle name="Normal 14 16 3" xfId="4965"/>
    <cellStyle name="Normal 14 16 3 2" xfId="11735"/>
    <cellStyle name="Normal 14 16 3 3" xfId="24425"/>
    <cellStyle name="Normal 14 16 3 4" xfId="18279"/>
    <cellStyle name="Normal 14 16 3 5" xfId="29399"/>
    <cellStyle name="Normal 14 16 4" xfId="7183"/>
    <cellStyle name="Normal 14 16 5" xfId="20147"/>
    <cellStyle name="Normal 14 16 6" xfId="14668"/>
    <cellStyle name="Normal 14 16 7" xfId="29086"/>
    <cellStyle name="Normal 14 160" xfId="33511"/>
    <cellStyle name="Normal 14 161" xfId="33534"/>
    <cellStyle name="Normal 14 162" xfId="33557"/>
    <cellStyle name="Normal 14 163" xfId="33580"/>
    <cellStyle name="Normal 14 164" xfId="33603"/>
    <cellStyle name="Normal 14 165" xfId="33626"/>
    <cellStyle name="Normal 14 166" xfId="33648"/>
    <cellStyle name="Normal 14 167" xfId="33670"/>
    <cellStyle name="Normal 14 168" xfId="33693"/>
    <cellStyle name="Normal 14 169" xfId="33716"/>
    <cellStyle name="Normal 14 17" xfId="435"/>
    <cellStyle name="Normal 14 17 2" xfId="2910"/>
    <cellStyle name="Normal 14 17 2 2" xfId="9680"/>
    <cellStyle name="Normal 14 17 2 3" xfId="22370"/>
    <cellStyle name="Normal 14 17 2 4" xfId="6991"/>
    <cellStyle name="Normal 14 17 2 5" xfId="26577"/>
    <cellStyle name="Normal 14 17 3" xfId="4984"/>
    <cellStyle name="Normal 14 17 3 2" xfId="11754"/>
    <cellStyle name="Normal 14 17 3 3" xfId="24444"/>
    <cellStyle name="Normal 14 17 3 4" xfId="18244"/>
    <cellStyle name="Normal 14 17 3 5" xfId="30794"/>
    <cellStyle name="Normal 14 17 4" xfId="7205"/>
    <cellStyle name="Normal 14 17 5" xfId="20166"/>
    <cellStyle name="Normal 14 17 6" xfId="18845"/>
    <cellStyle name="Normal 14 17 7" xfId="26347"/>
    <cellStyle name="Normal 14 170" xfId="33739"/>
    <cellStyle name="Normal 14 171" xfId="33762"/>
    <cellStyle name="Normal 14 172" xfId="33785"/>
    <cellStyle name="Normal 14 173" xfId="33808"/>
    <cellStyle name="Normal 14 174" xfId="33831"/>
    <cellStyle name="Normal 14 175" xfId="33854"/>
    <cellStyle name="Normal 14 176" xfId="33877"/>
    <cellStyle name="Normal 14 177" xfId="33900"/>
    <cellStyle name="Normal 14 178" xfId="33923"/>
    <cellStyle name="Normal 14 179" xfId="33946"/>
    <cellStyle name="Normal 14 18" xfId="458"/>
    <cellStyle name="Normal 14 18 2" xfId="2933"/>
    <cellStyle name="Normal 14 18 2 2" xfId="9703"/>
    <cellStyle name="Normal 14 18 2 3" xfId="22393"/>
    <cellStyle name="Normal 14 18 2 4" xfId="8365"/>
    <cellStyle name="Normal 14 18 2 5" xfId="29576"/>
    <cellStyle name="Normal 14 18 3" xfId="5004"/>
    <cellStyle name="Normal 14 18 3 2" xfId="11774"/>
    <cellStyle name="Normal 14 18 3 3" xfId="24464"/>
    <cellStyle name="Normal 14 18 3 4" xfId="19947"/>
    <cellStyle name="Normal 14 18 3 5" xfId="29662"/>
    <cellStyle name="Normal 14 18 4" xfId="7228"/>
    <cellStyle name="Normal 14 18 5" xfId="20186"/>
    <cellStyle name="Normal 14 18 6" xfId="14368"/>
    <cellStyle name="Normal 14 18 7" xfId="29920"/>
    <cellStyle name="Normal 14 180" xfId="33969"/>
    <cellStyle name="Normal 14 181" xfId="33992"/>
    <cellStyle name="Normal 14 182" xfId="34013"/>
    <cellStyle name="Normal 14 183" xfId="34031"/>
    <cellStyle name="Normal 14 184" xfId="34048"/>
    <cellStyle name="Normal 14 19" xfId="481"/>
    <cellStyle name="Normal 14 19 2" xfId="2956"/>
    <cellStyle name="Normal 14 19 2 2" xfId="9726"/>
    <cellStyle name="Normal 14 19 2 3" xfId="22416"/>
    <cellStyle name="Normal 14 19 2 4" xfId="7883"/>
    <cellStyle name="Normal 14 19 2 5" xfId="27654"/>
    <cellStyle name="Normal 14 19 3" xfId="5024"/>
    <cellStyle name="Normal 14 19 3 2" xfId="11794"/>
    <cellStyle name="Normal 14 19 3 3" xfId="24484"/>
    <cellStyle name="Normal 14 19 3 4" xfId="15646"/>
    <cellStyle name="Normal 14 19 3 5" xfId="31703"/>
    <cellStyle name="Normal 14 19 4" xfId="7251"/>
    <cellStyle name="Normal 14 19 5" xfId="20206"/>
    <cellStyle name="Normal 14 19 6" xfId="16588"/>
    <cellStyle name="Normal 14 19 7" xfId="28037"/>
    <cellStyle name="Normal 14 2" xfId="90"/>
    <cellStyle name="Normal 14 2 2" xfId="2574"/>
    <cellStyle name="Normal 14 2 2 2" xfId="9344"/>
    <cellStyle name="Normal 14 2 2 3" xfId="22034"/>
    <cellStyle name="Normal 14 2 2 4" xfId="18462"/>
    <cellStyle name="Normal 14 2 2 5" xfId="26836"/>
    <cellStyle name="Normal 14 2 3" xfId="3125"/>
    <cellStyle name="Normal 14 2 3 2" xfId="9895"/>
    <cellStyle name="Normal 14 2 3 3" xfId="22585"/>
    <cellStyle name="Normal 14 2 3 4" xfId="15187"/>
    <cellStyle name="Normal 14 2 3 5" xfId="30091"/>
    <cellStyle name="Normal 14 2 4" xfId="6860"/>
    <cellStyle name="Normal 14 2 5" xfId="14204"/>
    <cellStyle name="Normal 14 2 6" xfId="19306"/>
    <cellStyle name="Normal 14 2 7" xfId="30757"/>
    <cellStyle name="Normal 14 20" xfId="504"/>
    <cellStyle name="Normal 14 20 2" xfId="2979"/>
    <cellStyle name="Normal 14 20 2 2" xfId="9749"/>
    <cellStyle name="Normal 14 20 2 3" xfId="22439"/>
    <cellStyle name="Normal 14 20 2 4" xfId="7405"/>
    <cellStyle name="Normal 14 20 2 5" xfId="31454"/>
    <cellStyle name="Normal 14 20 3" xfId="5044"/>
    <cellStyle name="Normal 14 20 3 2" xfId="11814"/>
    <cellStyle name="Normal 14 20 3 3" xfId="24504"/>
    <cellStyle name="Normal 14 20 3 4" xfId="17855"/>
    <cellStyle name="Normal 14 20 3 5" xfId="28699"/>
    <cellStyle name="Normal 14 20 4" xfId="7274"/>
    <cellStyle name="Normal 14 20 5" xfId="20226"/>
    <cellStyle name="Normal 14 20 6" xfId="18433"/>
    <cellStyle name="Normal 14 20 7" xfId="30458"/>
    <cellStyle name="Normal 14 21" xfId="527"/>
    <cellStyle name="Normal 14 21 2" xfId="3002"/>
    <cellStyle name="Normal 14 21 2 2" xfId="9772"/>
    <cellStyle name="Normal 14 21 2 3" xfId="22462"/>
    <cellStyle name="Normal 14 21 2 4" xfId="9134"/>
    <cellStyle name="Normal 14 21 2 5" xfId="29355"/>
    <cellStyle name="Normal 14 21 3" xfId="5064"/>
    <cellStyle name="Normal 14 21 3 2" xfId="11834"/>
    <cellStyle name="Normal 14 21 3 3" xfId="24524"/>
    <cellStyle name="Normal 14 21 3 4" xfId="19610"/>
    <cellStyle name="Normal 14 21 3 5" xfId="27677"/>
    <cellStyle name="Normal 14 21 4" xfId="7297"/>
    <cellStyle name="Normal 14 21 5" xfId="20246"/>
    <cellStyle name="Normal 14 21 6" xfId="13900"/>
    <cellStyle name="Normal 14 21 7" xfId="28927"/>
    <cellStyle name="Normal 14 22" xfId="550"/>
    <cellStyle name="Normal 14 22 2" xfId="3023"/>
    <cellStyle name="Normal 14 22 2 2" xfId="9793"/>
    <cellStyle name="Normal 14 22 2 3" xfId="22483"/>
    <cellStyle name="Normal 14 22 2 4" xfId="9129"/>
    <cellStyle name="Normal 14 22 2 5" xfId="30220"/>
    <cellStyle name="Normal 14 22 3" xfId="5084"/>
    <cellStyle name="Normal 14 22 3 2" xfId="11854"/>
    <cellStyle name="Normal 14 22 3 3" xfId="24544"/>
    <cellStyle name="Normal 14 22 3 4" xfId="15234"/>
    <cellStyle name="Normal 14 22 3 5" xfId="26468"/>
    <cellStyle name="Normal 14 22 4" xfId="7320"/>
    <cellStyle name="Normal 14 22 5" xfId="20266"/>
    <cellStyle name="Normal 14 22 6" xfId="18242"/>
    <cellStyle name="Normal 14 22 7" xfId="31859"/>
    <cellStyle name="Normal 14 23" xfId="573"/>
    <cellStyle name="Normal 14 23 2" xfId="3046"/>
    <cellStyle name="Normal 14 23 2 2" xfId="9816"/>
    <cellStyle name="Normal 14 23 2 3" xfId="22506"/>
    <cellStyle name="Normal 14 23 2 4" xfId="18075"/>
    <cellStyle name="Normal 14 23 2 5" xfId="28383"/>
    <cellStyle name="Normal 14 23 3" xfId="5104"/>
    <cellStyle name="Normal 14 23 3 2" xfId="11874"/>
    <cellStyle name="Normal 14 23 3 3" xfId="24564"/>
    <cellStyle name="Normal 14 23 3 4" xfId="17465"/>
    <cellStyle name="Normal 14 23 3 5" xfId="31569"/>
    <cellStyle name="Normal 14 23 4" xfId="7343"/>
    <cellStyle name="Normal 14 23 5" xfId="20286"/>
    <cellStyle name="Normal 14 23 6" xfId="18346"/>
    <cellStyle name="Normal 14 23 7" xfId="26725"/>
    <cellStyle name="Normal 14 24" xfId="595"/>
    <cellStyle name="Normal 14 24 2" xfId="3068"/>
    <cellStyle name="Normal 14 24 2 2" xfId="9838"/>
    <cellStyle name="Normal 14 24 2 3" xfId="22528"/>
    <cellStyle name="Normal 14 24 2 4" xfId="15545"/>
    <cellStyle name="Normal 14 24 2 5" xfId="29273"/>
    <cellStyle name="Normal 14 24 3" xfId="5123"/>
    <cellStyle name="Normal 14 24 3 2" xfId="11893"/>
    <cellStyle name="Normal 14 24 3 3" xfId="24583"/>
    <cellStyle name="Normal 14 24 3 4" xfId="14982"/>
    <cellStyle name="Normal 14 24 3 5" xfId="28067"/>
    <cellStyle name="Normal 14 24 4" xfId="7365"/>
    <cellStyle name="Normal 14 24 5" xfId="20305"/>
    <cellStyle name="Normal 14 24 6" xfId="16154"/>
    <cellStyle name="Normal 14 24 7" xfId="27853"/>
    <cellStyle name="Normal 14 25" xfId="617"/>
    <cellStyle name="Normal 14 25 2" xfId="3090"/>
    <cellStyle name="Normal 14 25 2 2" xfId="9860"/>
    <cellStyle name="Normal 14 25 2 3" xfId="22550"/>
    <cellStyle name="Normal 14 25 2 4" xfId="19661"/>
    <cellStyle name="Normal 14 25 2 5" xfId="27142"/>
    <cellStyle name="Normal 14 25 3" xfId="5143"/>
    <cellStyle name="Normal 14 25 3 2" xfId="11913"/>
    <cellStyle name="Normal 14 25 3 3" xfId="24603"/>
    <cellStyle name="Normal 14 25 3 4" xfId="17204"/>
    <cellStyle name="Normal 14 25 3 5" xfId="27523"/>
    <cellStyle name="Normal 14 25 4" xfId="7387"/>
    <cellStyle name="Normal 14 25 5" xfId="20325"/>
    <cellStyle name="Normal 14 25 6" xfId="15787"/>
    <cellStyle name="Normal 14 25 7" xfId="28784"/>
    <cellStyle name="Normal 14 26" xfId="642"/>
    <cellStyle name="Normal 14 26 2" xfId="3115"/>
    <cellStyle name="Normal 14 26 2 2" xfId="9885"/>
    <cellStyle name="Normal 14 26 2 3" xfId="22575"/>
    <cellStyle name="Normal 14 26 2 4" xfId="17635"/>
    <cellStyle name="Normal 14 26 2 5" xfId="32173"/>
    <cellStyle name="Normal 14 26 3" xfId="5164"/>
    <cellStyle name="Normal 14 26 3 2" xfId="11934"/>
    <cellStyle name="Normal 14 26 3 3" xfId="24624"/>
    <cellStyle name="Normal 14 26 3 4" xfId="17075"/>
    <cellStyle name="Normal 14 26 3 5" xfId="30509"/>
    <cellStyle name="Normal 14 26 4" xfId="7412"/>
    <cellStyle name="Normal 14 26 5" xfId="20346"/>
    <cellStyle name="Normal 14 26 6" xfId="19549"/>
    <cellStyle name="Normal 14 26 7" xfId="30741"/>
    <cellStyle name="Normal 14 27" xfId="663"/>
    <cellStyle name="Normal 14 27 2" xfId="3135"/>
    <cellStyle name="Normal 14 27 2 2" xfId="9905"/>
    <cellStyle name="Normal 14 27 2 3" xfId="22595"/>
    <cellStyle name="Normal 14 27 2 4" xfId="19385"/>
    <cellStyle name="Normal 14 27 2 5" xfId="31221"/>
    <cellStyle name="Normal 14 27 3" xfId="5182"/>
    <cellStyle name="Normal 14 27 3 2" xfId="11952"/>
    <cellStyle name="Normal 14 27 3 3" xfId="24642"/>
    <cellStyle name="Normal 14 27 3 4" xfId="15973"/>
    <cellStyle name="Normal 14 27 3 5" xfId="32404"/>
    <cellStyle name="Normal 14 27 4" xfId="7433"/>
    <cellStyle name="Normal 14 27 5" xfId="20364"/>
    <cellStyle name="Normal 14 27 6" xfId="15145"/>
    <cellStyle name="Normal 14 27 7" xfId="26567"/>
    <cellStyle name="Normal 14 28" xfId="686"/>
    <cellStyle name="Normal 14 28 2" xfId="3158"/>
    <cellStyle name="Normal 14 28 2 2" xfId="9928"/>
    <cellStyle name="Normal 14 28 2 3" xfId="22618"/>
    <cellStyle name="Normal 14 28 2 4" xfId="14976"/>
    <cellStyle name="Normal 14 28 2 5" xfId="29144"/>
    <cellStyle name="Normal 14 28 3" xfId="5203"/>
    <cellStyle name="Normal 14 28 3 2" xfId="11973"/>
    <cellStyle name="Normal 14 28 3 3" xfId="24663"/>
    <cellStyle name="Normal 14 28 3 4" xfId="16568"/>
    <cellStyle name="Normal 14 28 3 5" xfId="28501"/>
    <cellStyle name="Normal 14 28 4" xfId="7456"/>
    <cellStyle name="Normal 14 28 5" xfId="20385"/>
    <cellStyle name="Normal 14 28 6" xfId="17358"/>
    <cellStyle name="Normal 14 28 7" xfId="29567"/>
    <cellStyle name="Normal 14 29" xfId="708"/>
    <cellStyle name="Normal 14 29 2" xfId="3180"/>
    <cellStyle name="Normal 14 29 2 2" xfId="9950"/>
    <cellStyle name="Normal 14 29 2 3" xfId="22640"/>
    <cellStyle name="Normal 14 29 2 4" xfId="19135"/>
    <cellStyle name="Normal 14 29 2 5" xfId="27011"/>
    <cellStyle name="Normal 14 29 3" xfId="5222"/>
    <cellStyle name="Normal 14 29 3 2" xfId="11992"/>
    <cellStyle name="Normal 14 29 3 3" xfId="24682"/>
    <cellStyle name="Normal 14 29 3 4" xfId="14328"/>
    <cellStyle name="Normal 14 29 3 5" xfId="30274"/>
    <cellStyle name="Normal 14 29 4" xfId="7478"/>
    <cellStyle name="Normal 14 29 5" xfId="20404"/>
    <cellStyle name="Normal 14 29 6" xfId="17202"/>
    <cellStyle name="Normal 14 29 7" xfId="30624"/>
    <cellStyle name="Normal 14 3" xfId="114"/>
    <cellStyle name="Normal 14 3 2" xfId="2598"/>
    <cellStyle name="Normal 14 3 2 2" xfId="9368"/>
    <cellStyle name="Normal 14 3 2 3" xfId="22058"/>
    <cellStyle name="Normal 14 3 2 4" xfId="18323"/>
    <cellStyle name="Normal 14 3 2 5" xfId="26807"/>
    <cellStyle name="Normal 14 3 3" xfId="4372"/>
    <cellStyle name="Normal 14 3 3 2" xfId="11142"/>
    <cellStyle name="Normal 14 3 3 3" xfId="23832"/>
    <cellStyle name="Normal 14 3 3 4" xfId="17877"/>
    <cellStyle name="Normal 14 3 3 5" xfId="31385"/>
    <cellStyle name="Normal 14 3 4" xfId="6884"/>
    <cellStyle name="Normal 14 3 5" xfId="15421"/>
    <cellStyle name="Normal 14 3 6" xfId="19150"/>
    <cellStyle name="Normal 14 3 7" xfId="30405"/>
    <cellStyle name="Normal 14 30" xfId="731"/>
    <cellStyle name="Normal 14 30 2" xfId="3202"/>
    <cellStyle name="Normal 14 30 2 2" xfId="9972"/>
    <cellStyle name="Normal 14 30 2 3" xfId="22662"/>
    <cellStyle name="Normal 14 30 2 4" xfId="17040"/>
    <cellStyle name="Normal 14 30 2 5" xfId="28150"/>
    <cellStyle name="Normal 14 30 3" xfId="5241"/>
    <cellStyle name="Normal 14 30 3 2" xfId="12011"/>
    <cellStyle name="Normal 14 30 3 3" xfId="24701"/>
    <cellStyle name="Normal 14 30 3 4" xfId="18543"/>
    <cellStyle name="Normal 14 30 3 5" xfId="26401"/>
    <cellStyle name="Normal 14 30 4" xfId="7501"/>
    <cellStyle name="Normal 14 30 5" xfId="20423"/>
    <cellStyle name="Normal 14 30 6" xfId="14233"/>
    <cellStyle name="Normal 14 30 7" xfId="28607"/>
    <cellStyle name="Normal 14 31" xfId="755"/>
    <cellStyle name="Normal 14 31 2" xfId="3226"/>
    <cellStyle name="Normal 14 31 2 2" xfId="9996"/>
    <cellStyle name="Normal 14 31 2 3" xfId="22686"/>
    <cellStyle name="Normal 14 31 2 4" xfId="16893"/>
    <cellStyle name="Normal 14 31 2 5" xfId="28107"/>
    <cellStyle name="Normal 14 31 3" xfId="5263"/>
    <cellStyle name="Normal 14 31 3 2" xfId="12033"/>
    <cellStyle name="Normal 14 31 3 3" xfId="24723"/>
    <cellStyle name="Normal 14 31 3 4" xfId="16414"/>
    <cellStyle name="Normal 14 31 3 5" xfId="27441"/>
    <cellStyle name="Normal 14 31 4" xfId="7525"/>
    <cellStyle name="Normal 14 31 5" xfId="20445"/>
    <cellStyle name="Normal 14 31 6" xfId="18795"/>
    <cellStyle name="Normal 14 31 7" xfId="28111"/>
    <cellStyle name="Normal 14 32" xfId="779"/>
    <cellStyle name="Normal 14 32 2" xfId="3249"/>
    <cellStyle name="Normal 14 32 2 2" xfId="10019"/>
    <cellStyle name="Normal 14 32 2 3" xfId="22709"/>
    <cellStyle name="Normal 14 32 2 4" xfId="18725"/>
    <cellStyle name="Normal 14 32 2 5" xfId="31041"/>
    <cellStyle name="Normal 14 32 3" xfId="5283"/>
    <cellStyle name="Normal 14 32 3 2" xfId="12053"/>
    <cellStyle name="Normal 14 32 3 3" xfId="24743"/>
    <cellStyle name="Normal 14 32 3 4" xfId="18317"/>
    <cellStyle name="Normal 14 32 3 5" xfId="26325"/>
    <cellStyle name="Normal 14 32 4" xfId="7549"/>
    <cellStyle name="Normal 14 32 5" xfId="20465"/>
    <cellStyle name="Normal 14 32 6" xfId="16655"/>
    <cellStyle name="Normal 14 32 7" xfId="29469"/>
    <cellStyle name="Normal 14 33" xfId="802"/>
    <cellStyle name="Normal 14 33 2" xfId="3270"/>
    <cellStyle name="Normal 14 33 2 2" xfId="10040"/>
    <cellStyle name="Normal 14 33 2 3" xfId="22730"/>
    <cellStyle name="Normal 14 33 2 4" xfId="17508"/>
    <cellStyle name="Normal 14 33 2 5" xfId="26857"/>
    <cellStyle name="Normal 14 33 3" xfId="5303"/>
    <cellStyle name="Normal 14 33 3 2" xfId="12073"/>
    <cellStyle name="Normal 14 33 3 3" xfId="24763"/>
    <cellStyle name="Normal 14 33 3 4" xfId="13832"/>
    <cellStyle name="Normal 14 33 3 5" xfId="16390"/>
    <cellStyle name="Normal 14 33 4" xfId="7572"/>
    <cellStyle name="Normal 14 33 5" xfId="20485"/>
    <cellStyle name="Normal 14 33 6" xfId="16776"/>
    <cellStyle name="Normal 14 33 7" xfId="32400"/>
    <cellStyle name="Normal 14 34" xfId="825"/>
    <cellStyle name="Normal 14 34 2" xfId="3293"/>
    <cellStyle name="Normal 14 34 2 2" xfId="10063"/>
    <cellStyle name="Normal 14 34 2 3" xfId="22753"/>
    <cellStyle name="Normal 14 34 2 4" xfId="14074"/>
    <cellStyle name="Normal 14 34 2 5" xfId="26726"/>
    <cellStyle name="Normal 14 34 3" xfId="5323"/>
    <cellStyle name="Normal 14 34 3 2" xfId="12093"/>
    <cellStyle name="Normal 14 34 3 3" xfId="24783"/>
    <cellStyle name="Normal 14 34 3 4" xfId="18201"/>
    <cellStyle name="Normal 14 34 3 5" xfId="17755"/>
    <cellStyle name="Normal 14 34 4" xfId="7595"/>
    <cellStyle name="Normal 14 34 5" xfId="20505"/>
    <cellStyle name="Normal 14 34 6" xfId="15544"/>
    <cellStyle name="Normal 14 34 7" xfId="26467"/>
    <cellStyle name="Normal 14 35" xfId="848"/>
    <cellStyle name="Normal 14 35 2" xfId="3314"/>
    <cellStyle name="Normal 14 35 2 2" xfId="10084"/>
    <cellStyle name="Normal 14 35 2 3" xfId="22774"/>
    <cellStyle name="Normal 14 35 2 4" xfId="13943"/>
    <cellStyle name="Normal 14 35 2 5" xfId="28931"/>
    <cellStyle name="Normal 14 35 3" xfId="5343"/>
    <cellStyle name="Normal 14 35 3 2" xfId="12113"/>
    <cellStyle name="Normal 14 35 3 3" xfId="24803"/>
    <cellStyle name="Normal 14 35 3 4" xfId="15672"/>
    <cellStyle name="Normal 14 35 3 5" xfId="16559"/>
    <cellStyle name="Normal 14 35 4" xfId="7618"/>
    <cellStyle name="Normal 14 35 5" xfId="20525"/>
    <cellStyle name="Normal 14 35 6" xfId="17784"/>
    <cellStyle name="Normal 14 35 7" xfId="27313"/>
    <cellStyle name="Normal 14 36" xfId="871"/>
    <cellStyle name="Normal 14 36 2" xfId="3336"/>
    <cellStyle name="Normal 14 36 2 2" xfId="10106"/>
    <cellStyle name="Normal 14 36 2 3" xfId="22796"/>
    <cellStyle name="Normal 14 36 2 4" xfId="20093"/>
    <cellStyle name="Normal 14 36 2 5" xfId="26758"/>
    <cellStyle name="Normal 14 36 3" xfId="5363"/>
    <cellStyle name="Normal 14 36 3 2" xfId="12133"/>
    <cellStyle name="Normal 14 36 3 3" xfId="24823"/>
    <cellStyle name="Normal 14 36 3 4" xfId="17915"/>
    <cellStyle name="Normal 14 36 3 5" xfId="17567"/>
    <cellStyle name="Normal 14 36 4" xfId="7641"/>
    <cellStyle name="Normal 14 36 5" xfId="20545"/>
    <cellStyle name="Normal 14 36 6" xfId="16612"/>
    <cellStyle name="Normal 14 36 7" xfId="27543"/>
    <cellStyle name="Normal 14 37" xfId="894"/>
    <cellStyle name="Normal 14 37 2" xfId="3358"/>
    <cellStyle name="Normal 14 37 2 2" xfId="10128"/>
    <cellStyle name="Normal 14 37 2 3" xfId="22818"/>
    <cellStyle name="Normal 14 37 2 4" xfId="18139"/>
    <cellStyle name="Normal 14 37 2 5" xfId="27891"/>
    <cellStyle name="Normal 14 37 3" xfId="5383"/>
    <cellStyle name="Normal 14 37 3 2" xfId="12153"/>
    <cellStyle name="Normal 14 37 3 3" xfId="24843"/>
    <cellStyle name="Normal 14 37 3 4" xfId="19665"/>
    <cellStyle name="Normal 14 37 3 5" xfId="17217"/>
    <cellStyle name="Normal 14 37 4" xfId="7664"/>
    <cellStyle name="Normal 14 37 5" xfId="20565"/>
    <cellStyle name="Normal 14 37 6" xfId="15099"/>
    <cellStyle name="Normal 14 37 7" xfId="31537"/>
    <cellStyle name="Normal 14 38" xfId="917"/>
    <cellStyle name="Normal 14 38 2" xfId="3381"/>
    <cellStyle name="Normal 14 38 2 2" xfId="10151"/>
    <cellStyle name="Normal 14 38 2 3" xfId="22841"/>
    <cellStyle name="Normal 14 38 2 4" xfId="19832"/>
    <cellStyle name="Normal 14 38 2 5" xfId="30823"/>
    <cellStyle name="Normal 14 38 3" xfId="5403"/>
    <cellStyle name="Normal 14 38 3 2" xfId="12173"/>
    <cellStyle name="Normal 14 38 3 3" xfId="24863"/>
    <cellStyle name="Normal 14 38 3 4" xfId="15277"/>
    <cellStyle name="Normal 14 38 3 5" xfId="16669"/>
    <cellStyle name="Normal 14 38 4" xfId="7687"/>
    <cellStyle name="Normal 14 38 5" xfId="20585"/>
    <cellStyle name="Normal 14 38 6" xfId="17332"/>
    <cellStyle name="Normal 14 38 7" xfId="29430"/>
    <cellStyle name="Normal 14 39" xfId="940"/>
    <cellStyle name="Normal 14 39 2" xfId="3404"/>
    <cellStyle name="Normal 14 39 2 2" xfId="10174"/>
    <cellStyle name="Normal 14 39 2 3" xfId="22864"/>
    <cellStyle name="Normal 14 39 2 4" xfId="15470"/>
    <cellStyle name="Normal 14 39 2 5" xfId="28788"/>
    <cellStyle name="Normal 14 39 3" xfId="5423"/>
    <cellStyle name="Normal 14 39 3 2" xfId="12193"/>
    <cellStyle name="Normal 14 39 3 3" xfId="24883"/>
    <cellStyle name="Normal 14 39 3 4" xfId="17531"/>
    <cellStyle name="Normal 14 39 3 5" xfId="14968"/>
    <cellStyle name="Normal 14 39 4" xfId="7710"/>
    <cellStyle name="Normal 14 39 5" xfId="20605"/>
    <cellStyle name="Normal 14 39 6" xfId="19114"/>
    <cellStyle name="Normal 14 39 7" xfId="32359"/>
    <cellStyle name="Normal 14 4" xfId="137"/>
    <cellStyle name="Normal 14 4 2" xfId="2621"/>
    <cellStyle name="Normal 14 4 2 2" xfId="9391"/>
    <cellStyle name="Normal 14 4 2 3" xfId="22081"/>
    <cellStyle name="Normal 14 4 2 4" xfId="15882"/>
    <cellStyle name="Normal 14 4 2 5" xfId="29798"/>
    <cellStyle name="Normal 14 4 3" xfId="3911"/>
    <cellStyle name="Normal 14 4 3 2" xfId="10681"/>
    <cellStyle name="Normal 14 4 3 3" xfId="23371"/>
    <cellStyle name="Normal 14 4 3 4" xfId="14263"/>
    <cellStyle name="Normal 14 4 3 5" xfId="29526"/>
    <cellStyle name="Normal 14 4 4" xfId="6907"/>
    <cellStyle name="Normal 14 4 5" xfId="14980"/>
    <cellStyle name="Normal 14 4 6" xfId="14707"/>
    <cellStyle name="Normal 14 4 7" xfId="28698"/>
    <cellStyle name="Normal 14 40" xfId="961"/>
    <cellStyle name="Normal 14 40 2" xfId="3425"/>
    <cellStyle name="Normal 14 40 2 2" xfId="10195"/>
    <cellStyle name="Normal 14 40 2 3" xfId="22885"/>
    <cellStyle name="Normal 14 40 2 4" xfId="15325"/>
    <cellStyle name="Normal 14 40 2 5" xfId="27159"/>
    <cellStyle name="Normal 14 40 3" xfId="5441"/>
    <cellStyle name="Normal 14 40 3 2" xfId="12211"/>
    <cellStyle name="Normal 14 40 3 3" xfId="24901"/>
    <cellStyle name="Normal 14 40 3 4" xfId="16039"/>
    <cellStyle name="Normal 14 40 3 5" xfId="14095"/>
    <cellStyle name="Normal 14 40 4" xfId="7731"/>
    <cellStyle name="Normal 14 40 5" xfId="20623"/>
    <cellStyle name="Normal 14 40 6" xfId="18975"/>
    <cellStyle name="Normal 14 40 7" xfId="28308"/>
    <cellStyle name="Normal 14 41" xfId="984"/>
    <cellStyle name="Normal 14 41 2" xfId="3448"/>
    <cellStyle name="Normal 14 41 2 2" xfId="10218"/>
    <cellStyle name="Normal 14 41 2 3" xfId="22908"/>
    <cellStyle name="Normal 14 41 2 4" xfId="17557"/>
    <cellStyle name="Normal 14 41 2 5" xfId="27748"/>
    <cellStyle name="Normal 14 41 3" xfId="5462"/>
    <cellStyle name="Normal 14 41 3 2" xfId="12232"/>
    <cellStyle name="Normal 14 41 3 3" xfId="24922"/>
    <cellStyle name="Normal 14 41 3 4" xfId="17270"/>
    <cellStyle name="Normal 14 41 3 5" xfId="19608"/>
    <cellStyle name="Normal 14 41 4" xfId="7754"/>
    <cellStyle name="Normal 14 41 5" xfId="20644"/>
    <cellStyle name="Normal 14 41 6" xfId="14515"/>
    <cellStyle name="Normal 14 41 7" xfId="31238"/>
    <cellStyle name="Normal 14 42" xfId="1008"/>
    <cellStyle name="Normal 14 42 2" xfId="3472"/>
    <cellStyle name="Normal 14 42 2 2" xfId="10242"/>
    <cellStyle name="Normal 14 42 2 3" xfId="22932"/>
    <cellStyle name="Normal 14 42 2 4" xfId="17409"/>
    <cellStyle name="Normal 14 42 2 5" xfId="27699"/>
    <cellStyle name="Normal 14 42 3" xfId="5482"/>
    <cellStyle name="Normal 14 42 3 2" xfId="12252"/>
    <cellStyle name="Normal 14 42 3 3" xfId="24942"/>
    <cellStyle name="Normal 14 42 3 4" xfId="19081"/>
    <cellStyle name="Normal 14 42 3 5" xfId="17689"/>
    <cellStyle name="Normal 14 42 4" xfId="7778"/>
    <cellStyle name="Normal 14 42 5" xfId="20664"/>
    <cellStyle name="Normal 14 42 6" xfId="14365"/>
    <cellStyle name="Normal 14 42 7" xfId="29160"/>
    <cellStyle name="Normal 14 43" xfId="1030"/>
    <cellStyle name="Normal 14 43 2" xfId="3494"/>
    <cellStyle name="Normal 14 43 2 2" xfId="10264"/>
    <cellStyle name="Normal 14 43 2 3" xfId="22954"/>
    <cellStyle name="Normal 14 43 2 4" xfId="13712"/>
    <cellStyle name="Normal 14 43 2 5" xfId="27704"/>
    <cellStyle name="Normal 14 43 3" xfId="5501"/>
    <cellStyle name="Normal 14 43 3 2" xfId="12271"/>
    <cellStyle name="Normal 14 43 3 3" xfId="24961"/>
    <cellStyle name="Normal 14 43 3 4" xfId="17044"/>
    <cellStyle name="Normal 14 43 3 5" xfId="17345"/>
    <cellStyle name="Normal 14 43 4" xfId="7800"/>
    <cellStyle name="Normal 14 43 5" xfId="20683"/>
    <cellStyle name="Normal 14 43 6" xfId="18566"/>
    <cellStyle name="Normal 14 43 7" xfId="27019"/>
    <cellStyle name="Normal 14 44" xfId="1052"/>
    <cellStyle name="Normal 14 44 2" xfId="3514"/>
    <cellStyle name="Normal 14 44 2 2" xfId="10284"/>
    <cellStyle name="Normal 14 44 2 3" xfId="22974"/>
    <cellStyle name="Normal 14 44 2 4" xfId="17124"/>
    <cellStyle name="Normal 14 44 2 5" xfId="27622"/>
    <cellStyle name="Normal 14 44 3" xfId="5520"/>
    <cellStyle name="Normal 14 44 3 2" xfId="12290"/>
    <cellStyle name="Normal 14 44 3 3" xfId="24980"/>
    <cellStyle name="Normal 14 44 3 4" xfId="14520"/>
    <cellStyle name="Normal 14 44 3 5" xfId="27818"/>
    <cellStyle name="Normal 14 44 4" xfId="7822"/>
    <cellStyle name="Normal 14 44 5" xfId="20702"/>
    <cellStyle name="Normal 14 44 6" xfId="18430"/>
    <cellStyle name="Normal 14 44 7" xfId="28156"/>
    <cellStyle name="Normal 14 45" xfId="1075"/>
    <cellStyle name="Normal 14 45 2" xfId="3537"/>
    <cellStyle name="Normal 14 45 2 2" xfId="10307"/>
    <cellStyle name="Normal 14 45 2 3" xfId="22997"/>
    <cellStyle name="Normal 14 45 2 4" xfId="18928"/>
    <cellStyle name="Normal 14 45 2 5" xfId="30538"/>
    <cellStyle name="Normal 14 45 3" xfId="5540"/>
    <cellStyle name="Normal 14 45 3 2" xfId="12310"/>
    <cellStyle name="Normal 14 45 3 3" xfId="25000"/>
    <cellStyle name="Normal 14 45 3 4" xfId="15972"/>
    <cellStyle name="Normal 14 45 3 5" xfId="28495"/>
    <cellStyle name="Normal 14 45 4" xfId="7845"/>
    <cellStyle name="Normal 14 45 5" xfId="20722"/>
    <cellStyle name="Normal 14 45 6" xfId="15597"/>
    <cellStyle name="Normal 14 45 7" xfId="29058"/>
    <cellStyle name="Normal 14 46" xfId="1098"/>
    <cellStyle name="Normal 14 46 2" xfId="3559"/>
    <cellStyle name="Normal 14 46 2 2" xfId="10329"/>
    <cellStyle name="Normal 14 46 2 3" xfId="23019"/>
    <cellStyle name="Normal 14 46 2 4" xfId="16815"/>
    <cellStyle name="Normal 14 46 2 5" xfId="32443"/>
    <cellStyle name="Normal 14 46 3" xfId="5560"/>
    <cellStyle name="Normal 14 46 3 2" xfId="12330"/>
    <cellStyle name="Normal 14 46 3 3" xfId="25020"/>
    <cellStyle name="Normal 14 46 3 4" xfId="18609"/>
    <cellStyle name="Normal 14 46 3 5" xfId="27284"/>
    <cellStyle name="Normal 14 46 4" xfId="7868"/>
    <cellStyle name="Normal 14 46 5" xfId="20742"/>
    <cellStyle name="Normal 14 46 6" xfId="16075"/>
    <cellStyle name="Normal 14 46 7" xfId="31986"/>
    <cellStyle name="Normal 14 47" xfId="1120"/>
    <cellStyle name="Normal 14 47 2" xfId="3581"/>
    <cellStyle name="Normal 14 47 2 2" xfId="10351"/>
    <cellStyle name="Normal 14 47 2 3" xfId="23041"/>
    <cellStyle name="Normal 14 47 2 4" xfId="14311"/>
    <cellStyle name="Normal 14 47 2 5" xfId="30345"/>
    <cellStyle name="Normal 14 47 3" xfId="5579"/>
    <cellStyle name="Normal 14 47 3 2" xfId="12349"/>
    <cellStyle name="Normal 14 47 3 3" xfId="25039"/>
    <cellStyle name="Normal 14 47 3 4" xfId="16503"/>
    <cellStyle name="Normal 14 47 3 5" xfId="32312"/>
    <cellStyle name="Normal 14 47 4" xfId="7890"/>
    <cellStyle name="Normal 14 47 5" xfId="20761"/>
    <cellStyle name="Normal 14 47 6" xfId="15313"/>
    <cellStyle name="Normal 14 47 7" xfId="15288"/>
    <cellStyle name="Normal 14 48" xfId="1143"/>
    <cellStyle name="Normal 14 48 2" xfId="3603"/>
    <cellStyle name="Normal 14 48 2 2" xfId="10373"/>
    <cellStyle name="Normal 14 48 2 3" xfId="23063"/>
    <cellStyle name="Normal 14 48 2 4" xfId="18538"/>
    <cellStyle name="Normal 14 48 2 5" xfId="31485"/>
    <cellStyle name="Normal 14 48 3" xfId="5599"/>
    <cellStyle name="Normal 14 48 3 2" xfId="12369"/>
    <cellStyle name="Normal 14 48 3 3" xfId="25059"/>
    <cellStyle name="Normal 14 48 3 4" xfId="18375"/>
    <cellStyle name="Normal 14 48 3 5" xfId="30498"/>
    <cellStyle name="Normal 14 48 4" xfId="7913"/>
    <cellStyle name="Normal 14 48 5" xfId="20781"/>
    <cellStyle name="Normal 14 48 6" xfId="17545"/>
    <cellStyle name="Normal 14 48 7" xfId="30743"/>
    <cellStyle name="Normal 14 49" xfId="1165"/>
    <cellStyle name="Normal 14 49 2" xfId="3625"/>
    <cellStyle name="Normal 14 49 2 2" xfId="10395"/>
    <cellStyle name="Normal 14 49 2 3" xfId="23085"/>
    <cellStyle name="Normal 14 49 2 4" xfId="16375"/>
    <cellStyle name="Normal 14 49 2 5" xfId="31581"/>
    <cellStyle name="Normal 14 49 3" xfId="5618"/>
    <cellStyle name="Normal 14 49 3 2" xfId="12388"/>
    <cellStyle name="Normal 14 49 3 3" xfId="25078"/>
    <cellStyle name="Normal 14 49 3 4" xfId="16233"/>
    <cellStyle name="Normal 14 49 3 5" xfId="28379"/>
    <cellStyle name="Normal 14 49 4" xfId="7935"/>
    <cellStyle name="Normal 14 49 5" xfId="20800"/>
    <cellStyle name="Normal 14 49 6" xfId="15038"/>
    <cellStyle name="Normal 14 49 7" xfId="26772"/>
    <cellStyle name="Normal 14 5" xfId="160"/>
    <cellStyle name="Normal 14 5 2" xfId="2644"/>
    <cellStyle name="Normal 14 5 2 2" xfId="9414"/>
    <cellStyle name="Normal 14 5 2 3" xfId="22104"/>
    <cellStyle name="Normal 14 5 2 4" xfId="18108"/>
    <cellStyle name="Normal 14 5 2 5" xfId="27901"/>
    <cellStyle name="Normal 14 5 3" xfId="3440"/>
    <cellStyle name="Normal 14 5 3 2" xfId="10210"/>
    <cellStyle name="Normal 14 5 3 3" xfId="22900"/>
    <cellStyle name="Normal 14 5 3 4" xfId="15239"/>
    <cellStyle name="Normal 14 5 3 5" xfId="28735"/>
    <cellStyle name="Normal 14 5 4" xfId="6930"/>
    <cellStyle name="Normal 14 5 5" xfId="14519"/>
    <cellStyle name="Normal 14 5 6" xfId="16931"/>
    <cellStyle name="Normal 14 5 7" xfId="31632"/>
    <cellStyle name="Normal 14 50" xfId="1186"/>
    <cellStyle name="Normal 14 50 2" xfId="3646"/>
    <cellStyle name="Normal 14 50 2 2" xfId="10416"/>
    <cellStyle name="Normal 14 50 2 3" xfId="23106"/>
    <cellStyle name="Normal 14 50 2 4" xfId="16239"/>
    <cellStyle name="Normal 14 50 2 5" xfId="27567"/>
    <cellStyle name="Normal 14 50 3" xfId="5637"/>
    <cellStyle name="Normal 14 50 3 2" xfId="12407"/>
    <cellStyle name="Normal 14 50 3 3" xfId="25097"/>
    <cellStyle name="Normal 14 50 3 4" xfId="15858"/>
    <cellStyle name="Normal 14 50 3 5" xfId="30166"/>
    <cellStyle name="Normal 14 50 4" xfId="7956"/>
    <cellStyle name="Normal 14 50 5" xfId="20819"/>
    <cellStyle name="Normal 14 50 6" xfId="14887"/>
    <cellStyle name="Normal 14 50 7" xfId="31834"/>
    <cellStyle name="Normal 14 51" xfId="1211"/>
    <cellStyle name="Normal 14 51 2" xfId="3671"/>
    <cellStyle name="Normal 14 51 2 2" xfId="10441"/>
    <cellStyle name="Normal 14 51 2 3" xfId="23131"/>
    <cellStyle name="Normal 14 51 2 4" xfId="15821"/>
    <cellStyle name="Normal 14 51 2 5" xfId="30373"/>
    <cellStyle name="Normal 14 51 3" xfId="5658"/>
    <cellStyle name="Normal 14 51 3 2" xfId="12428"/>
    <cellStyle name="Normal 14 51 3 3" xfId="25118"/>
    <cellStyle name="Normal 14 51 3 4" xfId="15713"/>
    <cellStyle name="Normal 14 51 3 5" xfId="29241"/>
    <cellStyle name="Normal 14 51 4" xfId="7981"/>
    <cellStyle name="Normal 14 51 5" xfId="20840"/>
    <cellStyle name="Normal 14 51 6" xfId="19035"/>
    <cellStyle name="Normal 14 51 7" xfId="28815"/>
    <cellStyle name="Normal 14 52" xfId="1234"/>
    <cellStyle name="Normal 14 52 2" xfId="3694"/>
    <cellStyle name="Normal 14 52 2 2" xfId="10464"/>
    <cellStyle name="Normal 14 52 2 3" xfId="23154"/>
    <cellStyle name="Normal 14 52 2 4" xfId="18062"/>
    <cellStyle name="Normal 14 52 2 5" xfId="28552"/>
    <cellStyle name="Normal 14 52 3" xfId="5678"/>
    <cellStyle name="Normal 14 52 3 2" xfId="12448"/>
    <cellStyle name="Normal 14 52 3 3" xfId="25138"/>
    <cellStyle name="Normal 14 52 3 4" xfId="19861"/>
    <cellStyle name="Normal 14 52 3 5" xfId="28295"/>
    <cellStyle name="Normal 14 52 4" xfId="8004"/>
    <cellStyle name="Normal 14 52 5" xfId="20860"/>
    <cellStyle name="Normal 14 52 6" xfId="14579"/>
    <cellStyle name="Normal 14 52 7" xfId="29676"/>
    <cellStyle name="Normal 14 53" xfId="1257"/>
    <cellStyle name="Normal 14 53 2" xfId="3716"/>
    <cellStyle name="Normal 14 53 2 2" xfId="10486"/>
    <cellStyle name="Normal 14 53 2 3" xfId="23176"/>
    <cellStyle name="Normal 14 53 2 4" xfId="15534"/>
    <cellStyle name="Normal 14 53 2 5" xfId="29423"/>
    <cellStyle name="Normal 14 53 3" xfId="5698"/>
    <cellStyle name="Normal 14 53 3 2" xfId="12468"/>
    <cellStyle name="Normal 14 53 3 3" xfId="25158"/>
    <cellStyle name="Normal 14 53 3 4" xfId="15494"/>
    <cellStyle name="Normal 14 53 3 5" xfId="27085"/>
    <cellStyle name="Normal 14 53 4" xfId="8027"/>
    <cellStyle name="Normal 14 53 5" xfId="20880"/>
    <cellStyle name="Normal 14 53 6" xfId="16780"/>
    <cellStyle name="Normal 14 53 7" xfId="27768"/>
    <cellStyle name="Normal 14 54" xfId="1280"/>
    <cellStyle name="Normal 14 54 2" xfId="3739"/>
    <cellStyle name="Normal 14 54 2 2" xfId="10509"/>
    <cellStyle name="Normal 14 54 2 3" xfId="23199"/>
    <cellStyle name="Normal 14 54 2 4" xfId="17774"/>
    <cellStyle name="Normal 14 54 2 5" xfId="32351"/>
    <cellStyle name="Normal 14 54 3" xfId="5718"/>
    <cellStyle name="Normal 14 54 3 2" xfId="12488"/>
    <cellStyle name="Normal 14 54 3 3" xfId="25178"/>
    <cellStyle name="Normal 14 54 3 4" xfId="17754"/>
    <cellStyle name="Normal 14 54 3 5" xfId="29158"/>
    <cellStyle name="Normal 14 54 4" xfId="8050"/>
    <cellStyle name="Normal 14 54 5" xfId="20900"/>
    <cellStyle name="Normal 14 54 6" xfId="18623"/>
    <cellStyle name="Normal 14 54 7" xfId="30521"/>
    <cellStyle name="Normal 14 55" xfId="1303"/>
    <cellStyle name="Normal 14 55 2" xfId="3761"/>
    <cellStyle name="Normal 14 55 2 2" xfId="10531"/>
    <cellStyle name="Normal 14 55 2 3" xfId="23221"/>
    <cellStyle name="Normal 14 55 2 4" xfId="15261"/>
    <cellStyle name="Normal 14 55 2 5" xfId="29493"/>
    <cellStyle name="Normal 14 55 3" xfId="5738"/>
    <cellStyle name="Normal 14 55 3 2" xfId="12508"/>
    <cellStyle name="Normal 14 55 3 3" xfId="25198"/>
    <cellStyle name="Normal 14 55 3 4" xfId="19498"/>
    <cellStyle name="Normal 14 55 3 5" xfId="28207"/>
    <cellStyle name="Normal 14 55 4" xfId="8073"/>
    <cellStyle name="Normal 14 55 5" xfId="20920"/>
    <cellStyle name="Normal 14 55 6" xfId="15663"/>
    <cellStyle name="Normal 14 55 7" xfId="29359"/>
    <cellStyle name="Normal 14 56" xfId="1326"/>
    <cellStyle name="Normal 14 56 2" xfId="3784"/>
    <cellStyle name="Normal 14 56 2 2" xfId="10554"/>
    <cellStyle name="Normal 14 56 2 3" xfId="23244"/>
    <cellStyle name="Normal 14 56 2 4" xfId="17470"/>
    <cellStyle name="Normal 14 56 2 5" xfId="27552"/>
    <cellStyle name="Normal 14 56 3" xfId="5758"/>
    <cellStyle name="Normal 14 56 3 2" xfId="12528"/>
    <cellStyle name="Normal 14 56 3 3" xfId="25218"/>
    <cellStyle name="Normal 14 56 3 4" xfId="15138"/>
    <cellStyle name="Normal 14 56 3 5" xfId="26995"/>
    <cellStyle name="Normal 14 56 4" xfId="8096"/>
    <cellStyle name="Normal 14 56 5" xfId="20940"/>
    <cellStyle name="Normal 14 56 6" xfId="16130"/>
    <cellStyle name="Normal 14 56 7" xfId="32294"/>
    <cellStyle name="Normal 14 57" xfId="1349"/>
    <cellStyle name="Normal 14 57 2" xfId="3806"/>
    <cellStyle name="Normal 14 57 2 2" xfId="10576"/>
    <cellStyle name="Normal 14 57 2 3" xfId="23266"/>
    <cellStyle name="Normal 14 57 2 4" xfId="14964"/>
    <cellStyle name="Normal 14 57 2 5" xfId="29475"/>
    <cellStyle name="Normal 14 57 3" xfId="5778"/>
    <cellStyle name="Normal 14 57 3 2" xfId="12548"/>
    <cellStyle name="Normal 14 57 3 3" xfId="25238"/>
    <cellStyle name="Normal 14 57 3 4" xfId="17368"/>
    <cellStyle name="Normal 14 57 3 5" xfId="29075"/>
    <cellStyle name="Normal 14 57 4" xfId="8119"/>
    <cellStyle name="Normal 14 57 5" xfId="20960"/>
    <cellStyle name="Normal 14 57 6" xfId="19619"/>
    <cellStyle name="Normal 14 57 7" xfId="26345"/>
    <cellStyle name="Normal 14 58" xfId="1372"/>
    <cellStyle name="Normal 14 58 2" xfId="3828"/>
    <cellStyle name="Normal 14 58 2 2" xfId="10598"/>
    <cellStyle name="Normal 14 58 2 3" xfId="23288"/>
    <cellStyle name="Normal 14 58 2 4" xfId="19124"/>
    <cellStyle name="Normal 14 58 2 5" xfId="27373"/>
    <cellStyle name="Normal 14 58 3" xfId="5798"/>
    <cellStyle name="Normal 14 58 3 2" xfId="12568"/>
    <cellStyle name="Normal 14 58 3 3" xfId="25258"/>
    <cellStyle name="Normal 14 58 3 4" xfId="19147"/>
    <cellStyle name="Normal 14 58 3 5" xfId="27503"/>
    <cellStyle name="Normal 14 58 4" xfId="8142"/>
    <cellStyle name="Normal 14 58 5" xfId="20980"/>
    <cellStyle name="Normal 14 58 6" xfId="15224"/>
    <cellStyle name="Normal 14 58 7" xfId="30165"/>
    <cellStyle name="Normal 14 59" xfId="1395"/>
    <cellStyle name="Normal 14 59 2" xfId="3851"/>
    <cellStyle name="Normal 14 59 2 2" xfId="10621"/>
    <cellStyle name="Normal 14 59 2 3" xfId="23311"/>
    <cellStyle name="Normal 14 59 2 4" xfId="13689"/>
    <cellStyle name="Normal 14 59 2 5" xfId="30312"/>
    <cellStyle name="Normal 14 59 3" xfId="5818"/>
    <cellStyle name="Normal 14 59 3 2" xfId="12588"/>
    <cellStyle name="Normal 14 59 3 3" xfId="25278"/>
    <cellStyle name="Normal 14 59 3 4" xfId="14725"/>
    <cellStyle name="Normal 14 59 3 5" xfId="26895"/>
    <cellStyle name="Normal 14 59 4" xfId="8165"/>
    <cellStyle name="Normal 14 59 5" xfId="21000"/>
    <cellStyle name="Normal 14 59 6" xfId="17454"/>
    <cellStyle name="Normal 14 59 7" xfId="28315"/>
    <cellStyle name="Normal 14 6" xfId="183"/>
    <cellStyle name="Normal 14 6 2" xfId="2665"/>
    <cellStyle name="Normal 14 6 2 2" xfId="9435"/>
    <cellStyle name="Normal 14 6 2 3" xfId="22125"/>
    <cellStyle name="Normal 14 6 2 4" xfId="16627"/>
    <cellStyle name="Normal 14 6 2 5" xfId="31815"/>
    <cellStyle name="Normal 14 6 3" xfId="2972"/>
    <cellStyle name="Normal 14 6 3 2" xfId="9742"/>
    <cellStyle name="Normal 14 6 3 3" xfId="22432"/>
    <cellStyle name="Normal 14 6 3 4" xfId="7542"/>
    <cellStyle name="Normal 14 6 3 5" xfId="29400"/>
    <cellStyle name="Normal 14 6 4" xfId="6953"/>
    <cellStyle name="Normal 14 6 5" xfId="14055"/>
    <cellStyle name="Normal 14 6 6" xfId="16385"/>
    <cellStyle name="Normal 14 6 7" xfId="27320"/>
    <cellStyle name="Normal 14 60" xfId="1418"/>
    <cellStyle name="Normal 14 60 2" xfId="3873"/>
    <cellStyle name="Normal 14 60 2 2" xfId="10643"/>
    <cellStyle name="Normal 14 60 2 3" xfId="23333"/>
    <cellStyle name="Normal 14 60 2 4" xfId="18851"/>
    <cellStyle name="Normal 14 60 2 5" xfId="31448"/>
    <cellStyle name="Normal 14 60 3" xfId="5838"/>
    <cellStyle name="Normal 14 60 3 2" xfId="12608"/>
    <cellStyle name="Normal 14 60 3 3" xfId="25298"/>
    <cellStyle name="Normal 14 60 3 4" xfId="16949"/>
    <cellStyle name="Normal 14 60 3 5" xfId="28990"/>
    <cellStyle name="Normal 14 60 4" xfId="8188"/>
    <cellStyle name="Normal 14 60 5" xfId="21020"/>
    <cellStyle name="Normal 14 60 6" xfId="19209"/>
    <cellStyle name="Normal 14 60 7" xfId="30456"/>
    <cellStyle name="Normal 14 61" xfId="1441"/>
    <cellStyle name="Normal 14 61 2" xfId="3895"/>
    <cellStyle name="Normal 14 61 2 2" xfId="10665"/>
    <cellStyle name="Normal 14 61 2 3" xfId="23355"/>
    <cellStyle name="Normal 14 61 2 4" xfId="16747"/>
    <cellStyle name="Normal 14 61 2 5" xfId="31637"/>
    <cellStyle name="Normal 14 61 3" xfId="5858"/>
    <cellStyle name="Normal 14 61 3 2" xfId="12628"/>
    <cellStyle name="Normal 14 61 3 3" xfId="25318"/>
    <cellStyle name="Normal 14 61 3 4" xfId="18822"/>
    <cellStyle name="Normal 14 61 3 5" xfId="28001"/>
    <cellStyle name="Normal 14 61 4" xfId="8211"/>
    <cellStyle name="Normal 14 61 5" xfId="21040"/>
    <cellStyle name="Normal 14 61 6" xfId="14773"/>
    <cellStyle name="Normal 14 61 7" xfId="29176"/>
    <cellStyle name="Normal 14 62" xfId="1464"/>
    <cellStyle name="Normal 14 62 2" xfId="3918"/>
    <cellStyle name="Normal 14 62 2 2" xfId="10688"/>
    <cellStyle name="Normal 14 62 2 3" xfId="23378"/>
    <cellStyle name="Normal 14 62 2 4" xfId="17768"/>
    <cellStyle name="Normal 14 62 2 5" xfId="29507"/>
    <cellStyle name="Normal 14 62 3" xfId="5878"/>
    <cellStyle name="Normal 14 62 3 2" xfId="12648"/>
    <cellStyle name="Normal 14 62 3 3" xfId="25338"/>
    <cellStyle name="Normal 14 62 3 4" xfId="14335"/>
    <cellStyle name="Normal 14 62 3 5" xfId="26801"/>
    <cellStyle name="Normal 14 62 4" xfId="8234"/>
    <cellStyle name="Normal 14 62 5" xfId="21060"/>
    <cellStyle name="Normal 14 62 6" xfId="16995"/>
    <cellStyle name="Normal 14 62 7" xfId="32104"/>
    <cellStyle name="Normal 14 63" xfId="1487"/>
    <cellStyle name="Normal 14 63 2" xfId="3941"/>
    <cellStyle name="Normal 14 63 2 2" xfId="10711"/>
    <cellStyle name="Normal 14 63 2 3" xfId="23401"/>
    <cellStyle name="Normal 14 63 2 4" xfId="14061"/>
    <cellStyle name="Normal 14 63 2 5" xfId="28451"/>
    <cellStyle name="Normal 14 63 3" xfId="5898"/>
    <cellStyle name="Normal 14 63 3 2" xfId="12668"/>
    <cellStyle name="Normal 14 63 3 3" xfId="25358"/>
    <cellStyle name="Normal 14 63 3 4" xfId="16607"/>
    <cellStyle name="Normal 14 63 3 5" xfId="28905"/>
    <cellStyle name="Normal 14 63 4" xfId="8257"/>
    <cellStyle name="Normal 14 63 5" xfId="21080"/>
    <cellStyle name="Normal 14 63 6" xfId="18797"/>
    <cellStyle name="Normal 14 63 7" xfId="27005"/>
    <cellStyle name="Normal 14 64" xfId="1510"/>
    <cellStyle name="Normal 14 64 2" xfId="3963"/>
    <cellStyle name="Normal 14 64 2 2" xfId="10733"/>
    <cellStyle name="Normal 14 64 2 3" xfId="23423"/>
    <cellStyle name="Normal 14 64 2 4" xfId="18321"/>
    <cellStyle name="Normal 14 64 2 5" xfId="29332"/>
    <cellStyle name="Normal 14 64 3" xfId="5918"/>
    <cellStyle name="Normal 14 64 3 2" xfId="12688"/>
    <cellStyle name="Normal 14 64 3 3" xfId="25378"/>
    <cellStyle name="Normal 14 64 3 4" xfId="18466"/>
    <cellStyle name="Normal 14 64 3 5" xfId="27907"/>
    <cellStyle name="Normal 14 64 4" xfId="8280"/>
    <cellStyle name="Normal 14 64 5" xfId="21100"/>
    <cellStyle name="Normal 14 64 6" xfId="14315"/>
    <cellStyle name="Normal 14 64 7" xfId="29976"/>
    <cellStyle name="Normal 14 65" xfId="1533"/>
    <cellStyle name="Normal 14 65 2" xfId="3985"/>
    <cellStyle name="Normal 14 65 2 2" xfId="10755"/>
    <cellStyle name="Normal 14 65 2 3" xfId="23445"/>
    <cellStyle name="Normal 14 65 2 4" xfId="18263"/>
    <cellStyle name="Normal 14 65 2 5" xfId="27211"/>
    <cellStyle name="Normal 14 65 3" xfId="5938"/>
    <cellStyle name="Normal 14 65 3 2" xfId="12708"/>
    <cellStyle name="Normal 14 65 3 3" xfId="25398"/>
    <cellStyle name="Normal 14 65 3 4" xfId="13598"/>
    <cellStyle name="Normal 14 65 3 5" xfId="26712"/>
    <cellStyle name="Normal 14 65 4" xfId="8303"/>
    <cellStyle name="Normal 14 65 5" xfId="21120"/>
    <cellStyle name="Normal 14 65 6" xfId="16533"/>
    <cellStyle name="Normal 14 65 7" xfId="28102"/>
    <cellStyle name="Normal 14 66" xfId="1556"/>
    <cellStyle name="Normal 14 66 2" xfId="4007"/>
    <cellStyle name="Normal 14 66 2 2" xfId="10777"/>
    <cellStyle name="Normal 14 66 2 3" xfId="23467"/>
    <cellStyle name="Normal 14 66 2 4" xfId="15739"/>
    <cellStyle name="Normal 14 66 2 5" xfId="28360"/>
    <cellStyle name="Normal 14 66 3" xfId="5958"/>
    <cellStyle name="Normal 14 66 3 2" xfId="12728"/>
    <cellStyle name="Normal 14 66 3 3" xfId="25418"/>
    <cellStyle name="Normal 14 66 3 4" xfId="16101"/>
    <cellStyle name="Normal 14 66 3 5" xfId="28813"/>
    <cellStyle name="Normal 14 66 4" xfId="8326"/>
    <cellStyle name="Normal 14 66 5" xfId="21140"/>
    <cellStyle name="Normal 14 66 6" xfId="16429"/>
    <cellStyle name="Normal 14 66 7" xfId="31035"/>
    <cellStyle name="Normal 14 67" xfId="1579"/>
    <cellStyle name="Normal 14 67 2" xfId="4029"/>
    <cellStyle name="Normal 14 67 2 2" xfId="10799"/>
    <cellStyle name="Normal 14 67 2 3" xfId="23489"/>
    <cellStyle name="Normal 14 67 2 4" xfId="19830"/>
    <cellStyle name="Normal 14 67 2 5" xfId="29248"/>
    <cellStyle name="Normal 14 67 3" xfId="5978"/>
    <cellStyle name="Normal 14 67 3 2" xfId="12748"/>
    <cellStyle name="Normal 14 67 3 3" xfId="25438"/>
    <cellStyle name="Normal 14 67 3 4" xfId="20035"/>
    <cellStyle name="Normal 14 67 3 5" xfId="27808"/>
    <cellStyle name="Normal 14 67 4" xfId="8349"/>
    <cellStyle name="Normal 14 67 5" xfId="21160"/>
    <cellStyle name="Normal 14 67 6" xfId="13847"/>
    <cellStyle name="Normal 14 67 7" xfId="28979"/>
    <cellStyle name="Normal 14 68" xfId="1602"/>
    <cellStyle name="Normal 14 68 2" xfId="4051"/>
    <cellStyle name="Normal 14 68 2 2" xfId="10821"/>
    <cellStyle name="Normal 14 68 2 3" xfId="23511"/>
    <cellStyle name="Normal 14 68 2 4" xfId="17858"/>
    <cellStyle name="Normal 14 68 2 5" xfId="27114"/>
    <cellStyle name="Normal 14 68 3" xfId="5998"/>
    <cellStyle name="Normal 14 68 3 2" xfId="12768"/>
    <cellStyle name="Normal 14 68 3 3" xfId="25458"/>
    <cellStyle name="Normal 14 68 3 4" xfId="13601"/>
    <cellStyle name="Normal 14 68 3 5" xfId="26612"/>
    <cellStyle name="Normal 14 68 4" xfId="8372"/>
    <cellStyle name="Normal 14 68 5" xfId="21180"/>
    <cellStyle name="Normal 14 68 6" xfId="18193"/>
    <cellStyle name="Normal 14 68 7" xfId="31912"/>
    <cellStyle name="Normal 14 69" xfId="1624"/>
    <cellStyle name="Normal 14 69 2" xfId="4072"/>
    <cellStyle name="Normal 14 69 2 2" xfId="10842"/>
    <cellStyle name="Normal 14 69 2 3" xfId="23532"/>
    <cellStyle name="Normal 14 69 2 4" xfId="17708"/>
    <cellStyle name="Normal 14 69 2 5" xfId="31234"/>
    <cellStyle name="Normal 14 69 3" xfId="6017"/>
    <cellStyle name="Normal 14 69 3 2" xfId="12787"/>
    <cellStyle name="Normal 14 69 3 3" xfId="25477"/>
    <cellStyle name="Normal 14 69 3 4" xfId="19821"/>
    <cellStyle name="Normal 14 69 3 5" xfId="31696"/>
    <cellStyle name="Normal 14 69 4" xfId="8394"/>
    <cellStyle name="Normal 14 69 5" xfId="21199"/>
    <cellStyle name="Normal 14 69 6" xfId="14113"/>
    <cellStyle name="Normal 14 69 7" xfId="29812"/>
    <cellStyle name="Normal 14 7" xfId="206"/>
    <cellStyle name="Normal 14 7 2" xfId="2686"/>
    <cellStyle name="Normal 14 7 2 2" xfId="9456"/>
    <cellStyle name="Normal 14 7 2 3" xfId="22146"/>
    <cellStyle name="Normal 14 7 2 4" xfId="18487"/>
    <cellStyle name="Normal 14 7 2 5" xfId="27836"/>
    <cellStyle name="Normal 14 7 3" xfId="2943"/>
    <cellStyle name="Normal 14 7 3 2" xfId="9713"/>
    <cellStyle name="Normal 14 7 3 3" xfId="22403"/>
    <cellStyle name="Normal 14 7 3 4" xfId="6923"/>
    <cellStyle name="Normal 14 7 3 5" xfId="30645"/>
    <cellStyle name="Normal 14 7 4" xfId="6976"/>
    <cellStyle name="Normal 14 7 5" xfId="13728"/>
    <cellStyle name="Normal 14 7 6" xfId="14245"/>
    <cellStyle name="Normal 14 7 7" xfId="30257"/>
    <cellStyle name="Normal 14 70" xfId="1646"/>
    <cellStyle name="Normal 14 70 2" xfId="4094"/>
    <cellStyle name="Normal 14 70 2 2" xfId="10864"/>
    <cellStyle name="Normal 14 70 2 3" xfId="23554"/>
    <cellStyle name="Normal 14 70 2 4" xfId="15196"/>
    <cellStyle name="Normal 14 70 2 5" xfId="32117"/>
    <cellStyle name="Normal 14 70 3" xfId="6035"/>
    <cellStyle name="Normal 14 70 3 2" xfId="12805"/>
    <cellStyle name="Normal 14 70 3 3" xfId="25495"/>
    <cellStyle name="Normal 14 70 3 4" xfId="19731"/>
    <cellStyle name="Normal 14 70 3 5" xfId="31667"/>
    <cellStyle name="Normal 14 70 4" xfId="8416"/>
    <cellStyle name="Normal 14 70 5" xfId="21217"/>
    <cellStyle name="Normal 14 70 6" xfId="18349"/>
    <cellStyle name="Normal 14 70 7" xfId="30883"/>
    <cellStyle name="Normal 14 71" xfId="1668"/>
    <cellStyle name="Normal 14 71 2" xfId="4116"/>
    <cellStyle name="Normal 14 71 2 2" xfId="10886"/>
    <cellStyle name="Normal 14 71 2 3" xfId="23576"/>
    <cellStyle name="Normal 14 71 2 4" xfId="19338"/>
    <cellStyle name="Normal 14 71 2 5" xfId="30019"/>
    <cellStyle name="Normal 14 71 3" xfId="6056"/>
    <cellStyle name="Normal 14 71 3 2" xfId="12826"/>
    <cellStyle name="Normal 14 71 3 3" xfId="25516"/>
    <cellStyle name="Normal 14 71 3 4" xfId="19602"/>
    <cellStyle name="Normal 14 71 3 5" xfId="27669"/>
    <cellStyle name="Normal 14 71 4" xfId="8438"/>
    <cellStyle name="Normal 14 71 5" xfId="21238"/>
    <cellStyle name="Normal 14 71 6" xfId="17959"/>
    <cellStyle name="Normal 14 71 7" xfId="31818"/>
    <cellStyle name="Normal 14 72" xfId="1691"/>
    <cellStyle name="Normal 14 72 2" xfId="4138"/>
    <cellStyle name="Normal 14 72 2 2" xfId="10908"/>
    <cellStyle name="Normal 14 72 2 3" xfId="23598"/>
    <cellStyle name="Normal 14 72 2 4" xfId="17274"/>
    <cellStyle name="Normal 14 72 2 5" xfId="31128"/>
    <cellStyle name="Normal 14 72 3" xfId="6076"/>
    <cellStyle name="Normal 14 72 3 2" xfId="12846"/>
    <cellStyle name="Normal 14 72 3 3" xfId="25536"/>
    <cellStyle name="Normal 14 72 3 4" xfId="15226"/>
    <cellStyle name="Normal 14 72 3 5" xfId="26472"/>
    <cellStyle name="Normal 14 72 4" xfId="8461"/>
    <cellStyle name="Normal 14 72 5" xfId="21258"/>
    <cellStyle name="Normal 14 72 6" xfId="19692"/>
    <cellStyle name="Normal 14 72 7" xfId="26679"/>
    <cellStyle name="Normal 14 73" xfId="1714"/>
    <cellStyle name="Normal 14 73 2" xfId="4160"/>
    <cellStyle name="Normal 14 73 2 2" xfId="10930"/>
    <cellStyle name="Normal 14 73 2 3" xfId="23620"/>
    <cellStyle name="Normal 14 73 2 4" xfId="14767"/>
    <cellStyle name="Normal 14 73 2 5" xfId="32030"/>
    <cellStyle name="Normal 14 73 3" xfId="6096"/>
    <cellStyle name="Normal 14 73 3 2" xfId="12866"/>
    <cellStyle name="Normal 14 73 3 3" xfId="25556"/>
    <cellStyle name="Normal 14 73 3 4" xfId="17457"/>
    <cellStyle name="Normal 14 73 3 5" xfId="28595"/>
    <cellStyle name="Normal 14 73 4" xfId="8484"/>
    <cellStyle name="Normal 14 73 5" xfId="21278"/>
    <cellStyle name="Normal 14 73 6" xfId="15308"/>
    <cellStyle name="Normal 14 73 7" xfId="29673"/>
    <cellStyle name="Normal 14 74" xfId="1737"/>
    <cellStyle name="Normal 14 74 2" xfId="4181"/>
    <cellStyle name="Normal 14 74 2 2" xfId="10951"/>
    <cellStyle name="Normal 14 74 2 3" xfId="23641"/>
    <cellStyle name="Normal 14 74 2 4" xfId="14633"/>
    <cellStyle name="Normal 14 74 2 5" xfId="28089"/>
    <cellStyle name="Normal 14 74 3" xfId="6116"/>
    <cellStyle name="Normal 14 74 3 2" xfId="12886"/>
    <cellStyle name="Normal 14 74 3 3" xfId="25576"/>
    <cellStyle name="Normal 14 74 3 4" xfId="19247"/>
    <cellStyle name="Normal 14 74 3 5" xfId="26399"/>
    <cellStyle name="Normal 14 74 4" xfId="8507"/>
    <cellStyle name="Normal 14 74 5" xfId="21298"/>
    <cellStyle name="Normal 14 74 6" xfId="17518"/>
    <cellStyle name="Normal 14 74 7" xfId="27762"/>
    <cellStyle name="Normal 14 75" xfId="1760"/>
    <cellStyle name="Normal 14 75 2" xfId="4204"/>
    <cellStyle name="Normal 14 75 2 2" xfId="10974"/>
    <cellStyle name="Normal 14 75 2 3" xfId="23664"/>
    <cellStyle name="Normal 14 75 2 4" xfId="16836"/>
    <cellStyle name="Normal 14 75 2 5" xfId="31022"/>
    <cellStyle name="Normal 14 75 3" xfId="6136"/>
    <cellStyle name="Normal 14 75 3 2" xfId="12906"/>
    <cellStyle name="Normal 14 75 3 3" xfId="25596"/>
    <cellStyle name="Normal 14 75 3 4" xfId="14841"/>
    <cellStyle name="Normal 14 75 3 5" xfId="27393"/>
    <cellStyle name="Normal 14 75 4" xfId="8530"/>
    <cellStyle name="Normal 14 75 5" xfId="21318"/>
    <cellStyle name="Normal 14 75 6" xfId="19284"/>
    <cellStyle name="Normal 14 75 7" xfId="28701"/>
    <cellStyle name="Normal 14 76" xfId="1783"/>
    <cellStyle name="Normal 14 76 2" xfId="4226"/>
    <cellStyle name="Normal 14 76 2 2" xfId="10996"/>
    <cellStyle name="Normal 14 76 2 3" xfId="23686"/>
    <cellStyle name="Normal 14 76 2 4" xfId="14331"/>
    <cellStyle name="Normal 14 76 2 5" xfId="31936"/>
    <cellStyle name="Normal 14 76 3" xfId="6156"/>
    <cellStyle name="Normal 14 76 3 2" xfId="12926"/>
    <cellStyle name="Normal 14 76 3 3" xfId="25616"/>
    <cellStyle name="Normal 14 76 3 4" xfId="17064"/>
    <cellStyle name="Normal 14 76 3 5" xfId="29443"/>
    <cellStyle name="Normal 14 76 4" xfId="8553"/>
    <cellStyle name="Normal 14 76 5" xfId="21338"/>
    <cellStyle name="Normal 14 76 6" xfId="14860"/>
    <cellStyle name="Normal 14 76 7" xfId="31635"/>
    <cellStyle name="Normal 14 77" xfId="1806"/>
    <cellStyle name="Normal 14 77 2" xfId="4248"/>
    <cellStyle name="Normal 14 77 2 2" xfId="11018"/>
    <cellStyle name="Normal 14 77 2 3" xfId="23708"/>
    <cellStyle name="Normal 14 77 2 4" xfId="18556"/>
    <cellStyle name="Normal 14 77 2 5" xfId="29828"/>
    <cellStyle name="Normal 14 77 3" xfId="6176"/>
    <cellStyle name="Normal 14 77 3 2" xfId="12946"/>
    <cellStyle name="Normal 14 77 3 3" xfId="25636"/>
    <cellStyle name="Normal 14 77 3 4" xfId="18896"/>
    <cellStyle name="Normal 14 77 3 5" xfId="28504"/>
    <cellStyle name="Normal 14 77 4" xfId="8576"/>
    <cellStyle name="Normal 14 77 5" xfId="21358"/>
    <cellStyle name="Normal 14 77 6" xfId="17060"/>
    <cellStyle name="Normal 14 77 7" xfId="27296"/>
    <cellStyle name="Normal 14 78" xfId="1829"/>
    <cellStyle name="Normal 14 78 2" xfId="4271"/>
    <cellStyle name="Normal 14 78 2 2" xfId="11041"/>
    <cellStyle name="Normal 14 78 2 3" xfId="23731"/>
    <cellStyle name="Normal 14 78 2 4" xfId="14016"/>
    <cellStyle name="Normal 14 78 2 5" xfId="27945"/>
    <cellStyle name="Normal 14 78 3" xfId="6196"/>
    <cellStyle name="Normal 14 78 3 2" xfId="12966"/>
    <cellStyle name="Normal 14 78 3 3" xfId="25656"/>
    <cellStyle name="Normal 14 78 3 4" xfId="13651"/>
    <cellStyle name="Normal 14 78 3 5" xfId="27300"/>
    <cellStyle name="Normal 14 78 4" xfId="8599"/>
    <cellStyle name="Normal 14 78 5" xfId="21378"/>
    <cellStyle name="Normal 14 78 6" xfId="18873"/>
    <cellStyle name="Normal 14 78 7" xfId="30240"/>
    <cellStyle name="Normal 14 79" xfId="1852"/>
    <cellStyle name="Normal 14 79 2" xfId="4293"/>
    <cellStyle name="Normal 14 79 2 2" xfId="11063"/>
    <cellStyle name="Normal 14 79 2 3" xfId="23753"/>
    <cellStyle name="Normal 14 79 2 4" xfId="18281"/>
    <cellStyle name="Normal 14 79 2 5" xfId="28873"/>
    <cellStyle name="Normal 14 79 3" xfId="6216"/>
    <cellStyle name="Normal 14 79 3 2" xfId="12986"/>
    <cellStyle name="Normal 14 79 3 3" xfId="25676"/>
    <cellStyle name="Normal 14 79 3 4" xfId="16670"/>
    <cellStyle name="Normal 14 79 3 5" xfId="29354"/>
    <cellStyle name="Normal 14 79 4" xfId="8622"/>
    <cellStyle name="Normal 14 79 5" xfId="21398"/>
    <cellStyle name="Normal 14 79 6" xfId="14400"/>
    <cellStyle name="Normal 14 79 7" xfId="28396"/>
    <cellStyle name="Normal 14 8" xfId="228"/>
    <cellStyle name="Normal 14 8 2" xfId="2707"/>
    <cellStyle name="Normal 14 8 2 2" xfId="9477"/>
    <cellStyle name="Normal 14 8 2 3" xfId="22167"/>
    <cellStyle name="Normal 14 8 2 4" xfId="18348"/>
    <cellStyle name="Normal 14 8 2 5" xfId="31742"/>
    <cellStyle name="Normal 14 8 3" xfId="2522"/>
    <cellStyle name="Normal 14 8 3 2" xfId="9292"/>
    <cellStyle name="Normal 14 8 3 3" xfId="21982"/>
    <cellStyle name="Normal 14 8 3 4" xfId="13645"/>
    <cellStyle name="Normal 14 8 3 5" xfId="27619"/>
    <cellStyle name="Normal 14 8 4" xfId="6998"/>
    <cellStyle name="Normal 14 8 5" xfId="13546"/>
    <cellStyle name="Normal 14 8 6" xfId="18485"/>
    <cellStyle name="Normal 14 8 7" xfId="31391"/>
    <cellStyle name="Normal 14 80" xfId="1875"/>
    <cellStyle name="Normal 14 80 2" xfId="4315"/>
    <cellStyle name="Normal 14 80 2 2" xfId="11085"/>
    <cellStyle name="Normal 14 80 2 3" xfId="23775"/>
    <cellStyle name="Normal 14 80 2 4" xfId="18229"/>
    <cellStyle name="Normal 14 80 2 5" xfId="26699"/>
    <cellStyle name="Normal 14 80 3" xfId="6236"/>
    <cellStyle name="Normal 14 80 3 2" xfId="13006"/>
    <cellStyle name="Normal 14 80 3 3" xfId="25696"/>
    <cellStyle name="Normal 14 80 3 4" xfId="18545"/>
    <cellStyle name="Normal 14 80 3 5" xfId="28410"/>
    <cellStyle name="Normal 14 80 4" xfId="8645"/>
    <cellStyle name="Normal 14 80 5" xfId="21418"/>
    <cellStyle name="Normal 14 80 6" xfId="16599"/>
    <cellStyle name="Normal 14 80 7" xfId="31342"/>
    <cellStyle name="Normal 14 81" xfId="1898"/>
    <cellStyle name="Normal 14 81 2" xfId="4337"/>
    <cellStyle name="Normal 14 81 2 2" xfId="11107"/>
    <cellStyle name="Normal 14 81 2 3" xfId="23797"/>
    <cellStyle name="Normal 14 81 2 4" xfId="15716"/>
    <cellStyle name="Normal 14 81 2 5" xfId="28467"/>
    <cellStyle name="Normal 14 81 3" xfId="6256"/>
    <cellStyle name="Normal 14 81 3 2" xfId="13026"/>
    <cellStyle name="Normal 14 81 3 3" xfId="25716"/>
    <cellStyle name="Normal 14 81 3 4" xfId="14025"/>
    <cellStyle name="Normal 14 81 3 5" xfId="27216"/>
    <cellStyle name="Normal 14 81 4" xfId="8668"/>
    <cellStyle name="Normal 14 81 5" xfId="21438"/>
    <cellStyle name="Normal 14 81 6" xfId="18464"/>
    <cellStyle name="Normal 14 81 7" xfId="29258"/>
    <cellStyle name="Normal 14 82" xfId="1920"/>
    <cellStyle name="Normal 14 82 2" xfId="4358"/>
    <cellStyle name="Normal 14 82 2 2" xfId="11128"/>
    <cellStyle name="Normal 14 82 2 3" xfId="23818"/>
    <cellStyle name="Normal 14 82 2 4" xfId="15572"/>
    <cellStyle name="Normal 14 82 2 5" xfId="32315"/>
    <cellStyle name="Normal 14 82 3" xfId="6275"/>
    <cellStyle name="Normal 14 82 3 2" xfId="13045"/>
    <cellStyle name="Normal 14 82 3 3" xfId="25735"/>
    <cellStyle name="Normal 14 82 3 4" xfId="8740"/>
    <cellStyle name="Normal 14 82 3 5" xfId="32243"/>
    <cellStyle name="Normal 14 82 4" xfId="8690"/>
    <cellStyle name="Normal 14 82 5" xfId="21457"/>
    <cellStyle name="Normal 14 82 6" xfId="16309"/>
    <cellStyle name="Normal 14 82 7" xfId="27125"/>
    <cellStyle name="Normal 14 83" xfId="1942"/>
    <cellStyle name="Normal 14 83 2" xfId="4379"/>
    <cellStyle name="Normal 14 83 2 2" xfId="11149"/>
    <cellStyle name="Normal 14 83 2 3" xfId="23839"/>
    <cellStyle name="Normal 14 83 2 4" xfId="15446"/>
    <cellStyle name="Normal 14 83 2 5" xfId="28402"/>
    <cellStyle name="Normal 14 83 3" xfId="6294"/>
    <cellStyle name="Normal 14 83 3 2" xfId="13064"/>
    <cellStyle name="Normal 14 83 3 3" xfId="25754"/>
    <cellStyle name="Normal 14 83 3 4" xfId="6912"/>
    <cellStyle name="Normal 14 83 3 5" xfId="29253"/>
    <cellStyle name="Normal 14 83 4" xfId="8712"/>
    <cellStyle name="Normal 14 83 5" xfId="21476"/>
    <cellStyle name="Normal 14 83 6" xfId="15899"/>
    <cellStyle name="Normal 14 83 7" xfId="28275"/>
    <cellStyle name="Normal 14 84" xfId="1965"/>
    <cellStyle name="Normal 14 84 2" xfId="4402"/>
    <cellStyle name="Normal 14 84 2 2" xfId="11172"/>
    <cellStyle name="Normal 14 84 2 3" xfId="23862"/>
    <cellStyle name="Normal 14 84 2 4" xfId="16103"/>
    <cellStyle name="Normal 14 84 2 5" xfId="31347"/>
    <cellStyle name="Normal 14 84 3" xfId="6314"/>
    <cellStyle name="Normal 14 84 3 2" xfId="13084"/>
    <cellStyle name="Normal 14 84 3 3" xfId="25774"/>
    <cellStyle name="Normal 14 84 3 4" xfId="7929"/>
    <cellStyle name="Normal 14 84 3 5" xfId="27517"/>
    <cellStyle name="Normal 14 84 4" xfId="8735"/>
    <cellStyle name="Normal 14 84 5" xfId="21496"/>
    <cellStyle name="Normal 14 84 6" xfId="18131"/>
    <cellStyle name="Normal 14 84 7" xfId="31203"/>
    <cellStyle name="Normal 14 85" xfId="1988"/>
    <cellStyle name="Normal 14 85 2" xfId="4424"/>
    <cellStyle name="Normal 14 85 2 2" xfId="11194"/>
    <cellStyle name="Normal 14 85 2 3" xfId="23884"/>
    <cellStyle name="Normal 14 85 2 4" xfId="15150"/>
    <cellStyle name="Normal 14 85 2 5" xfId="32229"/>
    <cellStyle name="Normal 14 85 3" xfId="6334"/>
    <cellStyle name="Normal 14 85 3 2" xfId="13104"/>
    <cellStyle name="Normal 14 85 3 3" xfId="25794"/>
    <cellStyle name="Normal 14 85 3 4" xfId="7540"/>
    <cellStyle name="Normal 14 85 3 5" xfId="27099"/>
    <cellStyle name="Normal 14 85 4" xfId="8758"/>
    <cellStyle name="Normal 14 85 5" xfId="21516"/>
    <cellStyle name="Normal 14 85 6" xfId="17150"/>
    <cellStyle name="Normal 14 85 7" xfId="29131"/>
    <cellStyle name="Normal 14 86" xfId="2010"/>
    <cellStyle name="Normal 14 86 2" xfId="4446"/>
    <cellStyle name="Normal 14 86 2 2" xfId="11216"/>
    <cellStyle name="Normal 14 86 2 3" xfId="23906"/>
    <cellStyle name="Normal 14 86 2 4" xfId="19298"/>
    <cellStyle name="Normal 14 86 2 5" xfId="30127"/>
    <cellStyle name="Normal 14 86 3" xfId="6353"/>
    <cellStyle name="Normal 14 86 3 2" xfId="13123"/>
    <cellStyle name="Normal 14 86 3 3" xfId="25813"/>
    <cellStyle name="Normal 14 86 3 4" xfId="7119"/>
    <cellStyle name="Normal 14 86 3 5" xfId="32134"/>
    <cellStyle name="Normal 14 86 4" xfId="8780"/>
    <cellStyle name="Normal 14 86 5" xfId="21535"/>
    <cellStyle name="Normal 14 86 6" xfId="18216"/>
    <cellStyle name="Normal 14 86 7" xfId="26993"/>
    <cellStyle name="Normal 14 87" xfId="2033"/>
    <cellStyle name="Normal 14 87 2" xfId="4468"/>
    <cellStyle name="Normal 14 87 2 2" xfId="11238"/>
    <cellStyle name="Normal 14 87 2 3" xfId="23928"/>
    <cellStyle name="Normal 14 87 2 4" xfId="16063"/>
    <cellStyle name="Normal 14 87 2 5" xfId="31251"/>
    <cellStyle name="Normal 14 87 3" xfId="6373"/>
    <cellStyle name="Normal 14 87 3 2" xfId="13143"/>
    <cellStyle name="Normal 14 87 3 3" xfId="25833"/>
    <cellStyle name="Normal 14 87 3 4" xfId="18367"/>
    <cellStyle name="Normal 14 87 3 5" xfId="31177"/>
    <cellStyle name="Normal 14 87 4" xfId="8803"/>
    <cellStyle name="Normal 14 87 5" xfId="21555"/>
    <cellStyle name="Normal 14 87 6" xfId="19902"/>
    <cellStyle name="Normal 14 87 7" xfId="29965"/>
    <cellStyle name="Normal 14 88" xfId="2056"/>
    <cellStyle name="Normal 14 88 2" xfId="4490"/>
    <cellStyle name="Normal 14 88 2 2" xfId="11260"/>
    <cellStyle name="Normal 14 88 2 3" xfId="23950"/>
    <cellStyle name="Normal 14 88 2 4" xfId="14720"/>
    <cellStyle name="Normal 14 88 2 5" xfId="32135"/>
    <cellStyle name="Normal 14 88 3" xfId="6393"/>
    <cellStyle name="Normal 14 88 3 2" xfId="13163"/>
    <cellStyle name="Normal 14 88 3 3" xfId="25853"/>
    <cellStyle name="Normal 14 88 3 4" xfId="13595"/>
    <cellStyle name="Normal 14 88 3 5" xfId="30015"/>
    <cellStyle name="Normal 14 88 4" xfId="8826"/>
    <cellStyle name="Normal 14 88 5" xfId="21575"/>
    <cellStyle name="Normal 14 88 6" xfId="13807"/>
    <cellStyle name="Normal 14 88 7" xfId="28090"/>
    <cellStyle name="Normal 14 89" xfId="2079"/>
    <cellStyle name="Normal 14 89 2" xfId="4511"/>
    <cellStyle name="Normal 14 89 2 2" xfId="11281"/>
    <cellStyle name="Normal 14 89 2 3" xfId="23971"/>
    <cellStyle name="Normal 14 89 2 4" xfId="14589"/>
    <cellStyle name="Normal 14 89 2 5" xfId="28210"/>
    <cellStyle name="Normal 14 89 3" xfId="6413"/>
    <cellStyle name="Normal 14 89 3 2" xfId="13183"/>
    <cellStyle name="Normal 14 89 3 3" xfId="25873"/>
    <cellStyle name="Normal 14 89 3 4" xfId="18174"/>
    <cellStyle name="Normal 14 89 3 5" xfId="32053"/>
    <cellStyle name="Normal 14 89 4" xfId="8849"/>
    <cellStyle name="Normal 14 89 5" xfId="21595"/>
    <cellStyle name="Normal 14 89 6" xfId="18196"/>
    <cellStyle name="Normal 14 89 7" xfId="31023"/>
    <cellStyle name="Normal 14 9" xfId="250"/>
    <cellStyle name="Normal 14 9 2" xfId="2728"/>
    <cellStyle name="Normal 14 9 2 2" xfId="9498"/>
    <cellStyle name="Normal 14 9 2 3" xfId="22188"/>
    <cellStyle name="Normal 14 9 2 4" xfId="13805"/>
    <cellStyle name="Normal 14 9 2 5" xfId="27770"/>
    <cellStyle name="Normal 14 9 3" xfId="4538"/>
    <cellStyle name="Normal 14 9 3 2" xfId="11308"/>
    <cellStyle name="Normal 14 9 3 3" xfId="23998"/>
    <cellStyle name="Normal 14 9 3 4" xfId="14415"/>
    <cellStyle name="Normal 14 9 3 5" xfId="32072"/>
    <cellStyle name="Normal 14 9 4" xfId="7020"/>
    <cellStyle name="Normal 14 9 5" xfId="15618"/>
    <cellStyle name="Normal 14 9 6" xfId="18099"/>
    <cellStyle name="Normal 14 9 7" xfId="32278"/>
    <cellStyle name="Normal 14 90" xfId="2102"/>
    <cellStyle name="Normal 14 90 2" xfId="4533"/>
    <cellStyle name="Normal 14 90 2 2" xfId="11303"/>
    <cellStyle name="Normal 14 90 2 3" xfId="23993"/>
    <cellStyle name="Normal 14 90 2 4" xfId="17359"/>
    <cellStyle name="Normal 14 90 2 5" xfId="29117"/>
    <cellStyle name="Normal 14 90 3" xfId="6433"/>
    <cellStyle name="Normal 14 90 3 2" xfId="13203"/>
    <cellStyle name="Normal 14 90 3 3" xfId="25893"/>
    <cellStyle name="Normal 14 90 3 4" xfId="15710"/>
    <cellStyle name="Normal 14 90 3 5" xfId="31080"/>
    <cellStyle name="Normal 14 90 4" xfId="8872"/>
    <cellStyle name="Normal 14 90 5" xfId="21615"/>
    <cellStyle name="Normal 14 90 6" xfId="18217"/>
    <cellStyle name="Normal 14 90 7" xfId="28970"/>
    <cellStyle name="Normal 14 91" xfId="2125"/>
    <cellStyle name="Normal 14 91 2" xfId="4554"/>
    <cellStyle name="Normal 14 91 2 2" xfId="11324"/>
    <cellStyle name="Normal 14 91 2 3" xfId="24014"/>
    <cellStyle name="Normal 14 91 2 4" xfId="18653"/>
    <cellStyle name="Normal 14 91 2 5" xfId="29981"/>
    <cellStyle name="Normal 14 91 3" xfId="6453"/>
    <cellStyle name="Normal 14 91 3 2" xfId="13223"/>
    <cellStyle name="Normal 14 91 3 3" xfId="25913"/>
    <cellStyle name="Normal 14 91 3 4" xfId="17950"/>
    <cellStyle name="Normal 14 91 3 5" xfId="29932"/>
    <cellStyle name="Normal 14 91 4" xfId="8895"/>
    <cellStyle name="Normal 14 91 5" xfId="21635"/>
    <cellStyle name="Normal 14 91 6" xfId="16277"/>
    <cellStyle name="Normal 14 91 7" xfId="31903"/>
    <cellStyle name="Normal 14 92" xfId="2146"/>
    <cellStyle name="Normal 14 92 2" xfId="4574"/>
    <cellStyle name="Normal 14 92 2 2" xfId="11344"/>
    <cellStyle name="Normal 14 92 2 3" xfId="24034"/>
    <cellStyle name="Normal 14 92 2 4" xfId="14170"/>
    <cellStyle name="Normal 14 92 2 5" xfId="32017"/>
    <cellStyle name="Normal 14 92 3" xfId="6471"/>
    <cellStyle name="Normal 14 92 3 2" xfId="13241"/>
    <cellStyle name="Normal 14 92 3 3" xfId="25931"/>
    <cellStyle name="Normal 14 92 3 4" xfId="17850"/>
    <cellStyle name="Normal 14 92 3 5" xfId="29902"/>
    <cellStyle name="Normal 14 92 4" xfId="8916"/>
    <cellStyle name="Normal 14 92 5" xfId="21653"/>
    <cellStyle name="Normal 14 92 6" xfId="17928"/>
    <cellStyle name="Normal 14 92 7" xfId="27946"/>
    <cellStyle name="Normal 14 93" xfId="2164"/>
    <cellStyle name="Normal 14 93 2" xfId="4591"/>
    <cellStyle name="Normal 14 93 2 2" xfId="11361"/>
    <cellStyle name="Normal 14 93 2 3" xfId="24051"/>
    <cellStyle name="Normal 14 93 2 4" xfId="16416"/>
    <cellStyle name="Normal 14 93 2 5" xfId="26910"/>
    <cellStyle name="Normal 14 93 3" xfId="6487"/>
    <cellStyle name="Normal 14 93 3 2" xfId="13257"/>
    <cellStyle name="Normal 14 93 3 3" xfId="25947"/>
    <cellStyle name="Normal 14 93 3 4" xfId="15358"/>
    <cellStyle name="Normal 14 93 3 5" xfId="30994"/>
    <cellStyle name="Normal 14 93 4" xfId="8934"/>
    <cellStyle name="Normal 14 93 5" xfId="21669"/>
    <cellStyle name="Normal 14 93 6" xfId="16052"/>
    <cellStyle name="Normal 14 93 7" xfId="27915"/>
    <cellStyle name="Normal 14 94" xfId="2181"/>
    <cellStyle name="Normal 14 94 2" xfId="4607"/>
    <cellStyle name="Normal 14 94 2 2" xfId="11377"/>
    <cellStyle name="Normal 14 94 2 3" xfId="24067"/>
    <cellStyle name="Normal 14 94 2 4" xfId="13950"/>
    <cellStyle name="Normal 14 94 2 5" xfId="28064"/>
    <cellStyle name="Normal 14 94 3" xfId="6503"/>
    <cellStyle name="Normal 14 94 3 2" xfId="13273"/>
    <cellStyle name="Normal 14 94 3 3" xfId="25963"/>
    <cellStyle name="Normal 14 94 3 4" xfId="19527"/>
    <cellStyle name="Normal 14 94 3 5" xfId="31924"/>
    <cellStyle name="Normal 14 94 4" xfId="8951"/>
    <cellStyle name="Normal 14 94 5" xfId="21685"/>
    <cellStyle name="Normal 14 94 6" xfId="19583"/>
    <cellStyle name="Normal 14 94 7" xfId="30852"/>
    <cellStyle name="Normal 14 95" xfId="2203"/>
    <cellStyle name="Normal 14 95 2" xfId="4628"/>
    <cellStyle name="Normal 14 95 2 2" xfId="11398"/>
    <cellStyle name="Normal 14 95 2 3" xfId="24088"/>
    <cellStyle name="Normal 14 95 2 4" xfId="17062"/>
    <cellStyle name="Normal 14 95 2 5" xfId="31942"/>
    <cellStyle name="Normal 14 95 3" xfId="6522"/>
    <cellStyle name="Normal 14 95 3 2" xfId="13292"/>
    <cellStyle name="Normal 14 95 3 3" xfId="25982"/>
    <cellStyle name="Normal 14 95 3 4" xfId="17503"/>
    <cellStyle name="Normal 14 95 3 5" xfId="28939"/>
    <cellStyle name="Normal 14 95 4" xfId="8973"/>
    <cellStyle name="Normal 14 95 5" xfId="21704"/>
    <cellStyle name="Normal 14 95 6" xfId="17564"/>
    <cellStyle name="Normal 14 95 7" xfId="31797"/>
    <cellStyle name="Normal 14 96" xfId="2239"/>
    <cellStyle name="Normal 14 96 2" xfId="4661"/>
    <cellStyle name="Normal 14 96 2 2" xfId="11431"/>
    <cellStyle name="Normal 14 96 2 3" xfId="24121"/>
    <cellStyle name="Normal 14 96 2 4" xfId="15568"/>
    <cellStyle name="Normal 14 96 2 5" xfId="27974"/>
    <cellStyle name="Normal 14 96 3" xfId="6550"/>
    <cellStyle name="Normal 14 96 3 2" xfId="13320"/>
    <cellStyle name="Normal 14 96 3 3" xfId="26010"/>
    <cellStyle name="Normal 14 96 3 4" xfId="14955"/>
    <cellStyle name="Normal 14 96 3 5" xfId="26756"/>
    <cellStyle name="Normal 14 96 4" xfId="9009"/>
    <cellStyle name="Normal 14 96 5" xfId="21732"/>
    <cellStyle name="Normal 14 96 6" xfId="17330"/>
    <cellStyle name="Normal 14 96 7" xfId="31735"/>
    <cellStyle name="Normal 14 97" xfId="2261"/>
    <cellStyle name="Normal 14 97 2" xfId="4683"/>
    <cellStyle name="Normal 14 97 2 2" xfId="11453"/>
    <cellStyle name="Normal 14 97 2 3" xfId="24143"/>
    <cellStyle name="Normal 14 97 2 4" xfId="19645"/>
    <cellStyle name="Normal 14 97 2 5" xfId="28898"/>
    <cellStyle name="Normal 14 97 3" xfId="6569"/>
    <cellStyle name="Normal 14 97 3 2" xfId="13339"/>
    <cellStyle name="Normal 14 97 3 3" xfId="26029"/>
    <cellStyle name="Normal 14 97 3 4" xfId="19136"/>
    <cellStyle name="Normal 14 97 3 5" xfId="31832"/>
    <cellStyle name="Normal 14 97 4" xfId="9031"/>
    <cellStyle name="Normal 14 97 5" xfId="21751"/>
    <cellStyle name="Normal 14 97 6" xfId="13630"/>
    <cellStyle name="Normal 14 97 7" xfId="30300"/>
    <cellStyle name="Normal 14 98" xfId="2283"/>
    <cellStyle name="Normal 14 98 2" xfId="4704"/>
    <cellStyle name="Normal 14 98 2 2" xfId="11474"/>
    <cellStyle name="Normal 14 98 2 3" xfId="24164"/>
    <cellStyle name="Normal 14 98 2 4" xfId="19813"/>
    <cellStyle name="Normal 14 98 2 5" xfId="29761"/>
    <cellStyle name="Normal 14 98 3" xfId="6588"/>
    <cellStyle name="Normal 14 98 3 2" xfId="13358"/>
    <cellStyle name="Normal 14 98 3 3" xfId="26048"/>
    <cellStyle name="Normal 14 98 3 4" xfId="17070"/>
    <cellStyle name="Normal 14 98 3 5" xfId="28837"/>
    <cellStyle name="Normal 14 98 4" xfId="9053"/>
    <cellStyle name="Normal 14 98 5" xfId="21770"/>
    <cellStyle name="Normal 14 98 6" xfId="18973"/>
    <cellStyle name="Normal 14 98 7" xfId="31433"/>
    <cellStyle name="Normal 14 99" xfId="2305"/>
    <cellStyle name="Normal 14 99 2" xfId="4726"/>
    <cellStyle name="Normal 14 99 2 2" xfId="11496"/>
    <cellStyle name="Normal 14 99 2 3" xfId="24186"/>
    <cellStyle name="Normal 14 99 2 4" xfId="17835"/>
    <cellStyle name="Normal 14 99 2 5" xfId="30833"/>
    <cellStyle name="Normal 14 99 3" xfId="6607"/>
    <cellStyle name="Normal 14 99 3 2" xfId="13377"/>
    <cellStyle name="Normal 14 99 3 3" xfId="26067"/>
    <cellStyle name="Normal 14 99 3 4" xfId="14582"/>
    <cellStyle name="Normal 14 99 3 5" xfId="30800"/>
    <cellStyle name="Normal 14 99 4" xfId="9075"/>
    <cellStyle name="Normal 14 99 5" xfId="21789"/>
    <cellStyle name="Normal 14 99 6" xfId="16890"/>
    <cellStyle name="Normal 14 99 7" xfId="32308"/>
    <cellStyle name="Normal 140" xfId="33190"/>
    <cellStyle name="Normal 140 2" xfId="34129"/>
    <cellStyle name="Normal 141" xfId="32472"/>
    <cellStyle name="Normal 141 2" xfId="34067"/>
    <cellStyle name="Normal 142" xfId="33228"/>
    <cellStyle name="Normal 142 2" xfId="34088"/>
    <cellStyle name="Normal 143" xfId="33244"/>
    <cellStyle name="Normal 143 2" xfId="34109"/>
    <cellStyle name="Normal 144" xfId="33250"/>
    <cellStyle name="Normal 144 2" xfId="34090"/>
    <cellStyle name="Normal 145" xfId="33273"/>
    <cellStyle name="Normal 145 2" xfId="34076"/>
    <cellStyle name="Normal 146" xfId="33296"/>
    <cellStyle name="Normal 146 2" xfId="34057"/>
    <cellStyle name="Normal 147" xfId="33319"/>
    <cellStyle name="Normal 147 2" xfId="34117"/>
    <cellStyle name="Normal 148" xfId="33342"/>
    <cellStyle name="Normal 148 2" xfId="34119"/>
    <cellStyle name="Normal 149" xfId="33365"/>
    <cellStyle name="Normal 149 2" xfId="34125"/>
    <cellStyle name="Normal 15" xfId="51"/>
    <cellStyle name="Normal 15 10" xfId="285"/>
    <cellStyle name="Normal 15 10 2" xfId="2761"/>
    <cellStyle name="Normal 15 10 2 2" xfId="9531"/>
    <cellStyle name="Normal 15 10 2 3" xfId="22221"/>
    <cellStyle name="Normal 15 10 2 4" xfId="15769"/>
    <cellStyle name="Normal 15 10 2 5" xfId="31664"/>
    <cellStyle name="Normal 15 10 3" xfId="3833"/>
    <cellStyle name="Normal 15 10 3 2" xfId="10603"/>
    <cellStyle name="Normal 15 10 3 3" xfId="23293"/>
    <cellStyle name="Normal 15 10 3 4" xfId="14789"/>
    <cellStyle name="Normal 15 10 3 5" xfId="30339"/>
    <cellStyle name="Normal 15 10 4" xfId="7055"/>
    <cellStyle name="Normal 15 10 5" xfId="14905"/>
    <cellStyle name="Normal 15 10 6" xfId="19737"/>
    <cellStyle name="Normal 15 10 7" xfId="27168"/>
    <cellStyle name="Normal 15 100" xfId="2339"/>
    <cellStyle name="Normal 15 100 2" xfId="4760"/>
    <cellStyle name="Normal 15 100 2 2" xfId="11530"/>
    <cellStyle name="Normal 15 100 2 3" xfId="24220"/>
    <cellStyle name="Normal 15 100 2 4" xfId="15235"/>
    <cellStyle name="Normal 15 100 2 5" xfId="31751"/>
    <cellStyle name="Normal 15 100 3" xfId="6636"/>
    <cellStyle name="Normal 15 100 3 2" xfId="13406"/>
    <cellStyle name="Normal 15 100 3 3" xfId="26096"/>
    <cellStyle name="Normal 15 100 3 4" xfId="16761"/>
    <cellStyle name="Normal 15 100 3 5" xfId="28756"/>
    <cellStyle name="Normal 15 100 4" xfId="9109"/>
    <cellStyle name="Normal 15 100 5" xfId="21818"/>
    <cellStyle name="Normal 15 100 6" xfId="15615"/>
    <cellStyle name="Normal 15 100 7" xfId="30196"/>
    <cellStyle name="Normal 15 101" xfId="2361"/>
    <cellStyle name="Normal 15 101 2" xfId="4780"/>
    <cellStyle name="Normal 15 101 2 2" xfId="11550"/>
    <cellStyle name="Normal 15 101 2 3" xfId="24240"/>
    <cellStyle name="Normal 15 101 2 4" xfId="17467"/>
    <cellStyle name="Normal 15 101 2 5" xfId="30733"/>
    <cellStyle name="Normal 15 101 3" xfId="6655"/>
    <cellStyle name="Normal 15 101 3 2" xfId="13425"/>
    <cellStyle name="Normal 15 101 3 3" xfId="26115"/>
    <cellStyle name="Normal 15 101 3 4" xfId="14253"/>
    <cellStyle name="Normal 15 101 3 5" xfId="30722"/>
    <cellStyle name="Normal 15 101 4" xfId="9131"/>
    <cellStyle name="Normal 15 101 5" xfId="21837"/>
    <cellStyle name="Normal 15 101 6" xfId="19728"/>
    <cellStyle name="Normal 15 101 7" xfId="31320"/>
    <cellStyle name="Normal 15 102" xfId="2382"/>
    <cellStyle name="Normal 15 102 2" xfId="4801"/>
    <cellStyle name="Normal 15 102 2 2" xfId="11571"/>
    <cellStyle name="Normal 15 102 2 3" xfId="24261"/>
    <cellStyle name="Normal 15 102 2 4" xfId="17340"/>
    <cellStyle name="Normal 15 102 2 5" xfId="26571"/>
    <cellStyle name="Normal 15 102 3" xfId="6673"/>
    <cellStyle name="Normal 15 102 3 2" xfId="13443"/>
    <cellStyle name="Normal 15 102 3 3" xfId="26133"/>
    <cellStyle name="Normal 15 102 3 4" xfId="14136"/>
    <cellStyle name="Normal 15 102 3 5" xfId="30689"/>
    <cellStyle name="Normal 15 102 4" xfId="9152"/>
    <cellStyle name="Normal 15 102 5" xfId="21855"/>
    <cellStyle name="Normal 15 102 6" xfId="19597"/>
    <cellStyle name="Normal 15 102 7" xfId="27143"/>
    <cellStyle name="Normal 15 103" xfId="2402"/>
    <cellStyle name="Normal 15 103 2" xfId="4820"/>
    <cellStyle name="Normal 15 103 2 2" xfId="11590"/>
    <cellStyle name="Normal 15 103 2 3" xfId="24280"/>
    <cellStyle name="Normal 15 103 2 4" xfId="14853"/>
    <cellStyle name="Normal 15 103 2 5" xfId="31662"/>
    <cellStyle name="Normal 15 103 3" xfId="6690"/>
    <cellStyle name="Normal 15 103 3 2" xfId="13460"/>
    <cellStyle name="Normal 15 103 3 3" xfId="26150"/>
    <cellStyle name="Normal 15 103 3 4" xfId="16388"/>
    <cellStyle name="Normal 15 103 3 5" xfId="28672"/>
    <cellStyle name="Normal 15 103 4" xfId="9172"/>
    <cellStyle name="Normal 15 103 5" xfId="21872"/>
    <cellStyle name="Normal 15 103 6" xfId="15221"/>
    <cellStyle name="Normal 15 103 7" xfId="29218"/>
    <cellStyle name="Normal 15 104" xfId="2421"/>
    <cellStyle name="Normal 15 104 2" xfId="4839"/>
    <cellStyle name="Normal 15 104 2 2" xfId="11609"/>
    <cellStyle name="Normal 15 104 2 3" xfId="24299"/>
    <cellStyle name="Normal 15 104 2 4" xfId="19023"/>
    <cellStyle name="Normal 15 104 2 5" xfId="28651"/>
    <cellStyle name="Normal 15 104 3" xfId="6707"/>
    <cellStyle name="Normal 15 104 3 2" xfId="13477"/>
    <cellStyle name="Normal 15 104 3 3" xfId="26167"/>
    <cellStyle name="Normal 15 104 3 4" xfId="18313"/>
    <cellStyle name="Normal 15 104 3 5" xfId="30707"/>
    <cellStyle name="Normal 15 104 4" xfId="9191"/>
    <cellStyle name="Normal 15 104 5" xfId="21889"/>
    <cellStyle name="Normal 15 104 6" xfId="19359"/>
    <cellStyle name="Normal 15 104 7" xfId="31233"/>
    <cellStyle name="Normal 15 105" xfId="2443"/>
    <cellStyle name="Normal 15 105 2" xfId="4861"/>
    <cellStyle name="Normal 15 105 2 2" xfId="11631"/>
    <cellStyle name="Normal 15 105 2 3" xfId="24321"/>
    <cellStyle name="Normal 15 105 2 4" xfId="16943"/>
    <cellStyle name="Normal 15 105 2 5" xfId="26463"/>
    <cellStyle name="Normal 15 105 3" xfId="6728"/>
    <cellStyle name="Normal 15 105 3 2" xfId="13498"/>
    <cellStyle name="Normal 15 105 3 3" xfId="26188"/>
    <cellStyle name="Normal 15 105 3 4" xfId="20084"/>
    <cellStyle name="Normal 15 105 3 5" xfId="27620"/>
    <cellStyle name="Normal 15 105 4" xfId="9213"/>
    <cellStyle name="Normal 15 105 5" xfId="21910"/>
    <cellStyle name="Normal 15 105 6" xfId="17323"/>
    <cellStyle name="Normal 15 105 7" xfId="32119"/>
    <cellStyle name="Normal 15 106" xfId="2464"/>
    <cellStyle name="Normal 15 106 2" xfId="4881"/>
    <cellStyle name="Normal 15 106 2 2" xfId="11651"/>
    <cellStyle name="Normal 15 106 2 3" xfId="24341"/>
    <cellStyle name="Normal 15 106 2 4" xfId="17381"/>
    <cellStyle name="Normal 15 106 2 5" xfId="28588"/>
    <cellStyle name="Normal 15 106 3" xfId="6746"/>
    <cellStyle name="Normal 15 106 3 2" xfId="13516"/>
    <cellStyle name="Normal 15 106 3 3" xfId="26206"/>
    <cellStyle name="Normal 15 106 3 4" xfId="19981"/>
    <cellStyle name="Normal 15 106 3 5" xfId="27584"/>
    <cellStyle name="Normal 15 106 4" xfId="9234"/>
    <cellStyle name="Normal 15 106 5" xfId="21928"/>
    <cellStyle name="Normal 15 106 6" xfId="17189"/>
    <cellStyle name="Normal 15 106 7" xfId="28202"/>
    <cellStyle name="Normal 15 107" xfId="2482"/>
    <cellStyle name="Normal 15 107 2" xfId="4899"/>
    <cellStyle name="Normal 15 107 2 2" xfId="11669"/>
    <cellStyle name="Normal 15 107 2 3" xfId="24359"/>
    <cellStyle name="Normal 15 107 2 4" xfId="18672"/>
    <cellStyle name="Normal 15 107 2 5" xfId="28321"/>
    <cellStyle name="Normal 15 107 3" xfId="6762"/>
    <cellStyle name="Normal 15 107 3 2" xfId="13532"/>
    <cellStyle name="Normal 15 107 3 3" xfId="26222"/>
    <cellStyle name="Normal 15 107 3 4" xfId="26243"/>
    <cellStyle name="Normal 15 107 3 5" xfId="28246"/>
    <cellStyle name="Normal 15 107 4" xfId="9252"/>
    <cellStyle name="Normal 15 107 5" xfId="21944"/>
    <cellStyle name="Normal 15 107 6" xfId="17058"/>
    <cellStyle name="Normal 15 107 7" xfId="28170"/>
    <cellStyle name="Normal 15 108" xfId="2492"/>
    <cellStyle name="Normal 15 108 2" xfId="4909"/>
    <cellStyle name="Normal 15 108 2 2" xfId="11679"/>
    <cellStyle name="Normal 15 108 2 3" xfId="24369"/>
    <cellStyle name="Normal 15 108 2 4" xfId="16616"/>
    <cellStyle name="Normal 15 108 2 5" xfId="28181"/>
    <cellStyle name="Normal 15 108 3" xfId="6772"/>
    <cellStyle name="Normal 15 108 3 2" xfId="13542"/>
    <cellStyle name="Normal 15 108 3 3" xfId="26232"/>
    <cellStyle name="Normal 15 108 3 4" xfId="26253"/>
    <cellStyle name="Normal 15 108 3 5" xfId="27406"/>
    <cellStyle name="Normal 15 108 4" xfId="9262"/>
    <cellStyle name="Normal 15 108 5" xfId="21954"/>
    <cellStyle name="Normal 15 108 6" xfId="14636"/>
    <cellStyle name="Normal 15 108 7" xfId="29091"/>
    <cellStyle name="Normal 15 109" xfId="2536"/>
    <cellStyle name="Normal 15 109 2" xfId="9306"/>
    <cellStyle name="Normal 15 109 3" xfId="21996"/>
    <cellStyle name="Normal 15 109 4" xfId="16706"/>
    <cellStyle name="Normal 15 109 5" xfId="28087"/>
    <cellStyle name="Normal 15 11" xfId="299"/>
    <cellStyle name="Normal 15 11 2" xfId="2775"/>
    <cellStyle name="Normal 15 11 2 2" xfId="9545"/>
    <cellStyle name="Normal 15 11 2 3" xfId="22235"/>
    <cellStyle name="Normal 15 11 2 4" xfId="18049"/>
    <cellStyle name="Normal 15 11 2 5" xfId="30642"/>
    <cellStyle name="Normal 15 11 3" xfId="3564"/>
    <cellStyle name="Normal 15 11 3 2" xfId="10334"/>
    <cellStyle name="Normal 15 11 3 3" xfId="23024"/>
    <cellStyle name="Normal 15 11 3 4" xfId="18775"/>
    <cellStyle name="Normal 15 11 3 5" xfId="27397"/>
    <cellStyle name="Normal 15 11 4" xfId="7069"/>
    <cellStyle name="Normal 15 11 5" xfId="14619"/>
    <cellStyle name="Normal 15 11 6" xfId="15399"/>
    <cellStyle name="Normal 15 11 7" xfId="29242"/>
    <cellStyle name="Normal 15 110" xfId="3928"/>
    <cellStyle name="Normal 15 110 2" xfId="10698"/>
    <cellStyle name="Normal 15 110 3" xfId="23388"/>
    <cellStyle name="Normal 15 110 4" xfId="16528"/>
    <cellStyle name="Normal 15 110 5" xfId="30560"/>
    <cellStyle name="Normal 15 111" xfId="6821"/>
    <cellStyle name="Normal 15 112" xfId="14996"/>
    <cellStyle name="Normal 15 113" xfId="13717"/>
    <cellStyle name="Normal 15 114" xfId="29731"/>
    <cellStyle name="Normal 15 115" xfId="32494"/>
    <cellStyle name="Normal 15 116" xfId="32517"/>
    <cellStyle name="Normal 15 117" xfId="32540"/>
    <cellStyle name="Normal 15 118" xfId="32563"/>
    <cellStyle name="Normal 15 119" xfId="32586"/>
    <cellStyle name="Normal 15 12" xfId="333"/>
    <cellStyle name="Normal 15 12 2" xfId="2809"/>
    <cellStyle name="Normal 15 12 2 2" xfId="9579"/>
    <cellStyle name="Normal 15 12 2 3" xfId="22269"/>
    <cellStyle name="Normal 15 12 2 4" xfId="13659"/>
    <cellStyle name="Normal 15 12 2 5" xfId="31589"/>
    <cellStyle name="Normal 15 12 3" xfId="2871"/>
    <cellStyle name="Normal 15 12 3 2" xfId="9641"/>
    <cellStyle name="Normal 15 12 3 3" xfId="22331"/>
    <cellStyle name="Normal 15 12 3 4" xfId="7855"/>
    <cellStyle name="Normal 15 12 3 5" xfId="31528"/>
    <cellStyle name="Normal 15 12 4" xfId="7103"/>
    <cellStyle name="Normal 15 12 5" xfId="13604"/>
    <cellStyle name="Normal 15 12 6" xfId="19448"/>
    <cellStyle name="Normal 15 12 7" xfId="27097"/>
    <cellStyle name="Normal 15 120" xfId="32609"/>
    <cellStyle name="Normal 15 121" xfId="32632"/>
    <cellStyle name="Normal 15 122" xfId="32655"/>
    <cellStyle name="Normal 15 123" xfId="32678"/>
    <cellStyle name="Normal 15 124" xfId="32701"/>
    <cellStyle name="Normal 15 125" xfId="32724"/>
    <cellStyle name="Normal 15 126" xfId="32747"/>
    <cellStyle name="Normal 15 127" xfId="32770"/>
    <cellStyle name="Normal 15 128" xfId="32793"/>
    <cellStyle name="Normal 15 129" xfId="32816"/>
    <cellStyle name="Normal 15 13" xfId="356"/>
    <cellStyle name="Normal 15 13 2" xfId="2832"/>
    <cellStyle name="Normal 15 13 2 2" xfId="9602"/>
    <cellStyle name="Normal 15 13 2 3" xfId="22292"/>
    <cellStyle name="Normal 15 13 2 4" xfId="8655"/>
    <cellStyle name="Normal 15 13 2 5" xfId="26406"/>
    <cellStyle name="Normal 15 13 3" xfId="4915"/>
    <cellStyle name="Normal 15 13 3 2" xfId="11685"/>
    <cellStyle name="Normal 15 13 3 3" xfId="24375"/>
    <cellStyle name="Normal 15 13 3 4" xfId="15997"/>
    <cellStyle name="Normal 15 13 3 5" xfId="27396"/>
    <cellStyle name="Normal 15 13 4" xfId="7126"/>
    <cellStyle name="Normal 15 13 5" xfId="20097"/>
    <cellStyle name="Normal 15 13 6" xfId="15042"/>
    <cellStyle name="Normal 15 13 7" xfId="30059"/>
    <cellStyle name="Normal 15 130" xfId="32839"/>
    <cellStyle name="Normal 15 131" xfId="32862"/>
    <cellStyle name="Normal 15 132" xfId="32885"/>
    <cellStyle name="Normal 15 133" xfId="32907"/>
    <cellStyle name="Normal 15 134" xfId="32930"/>
    <cellStyle name="Normal 15 135" xfId="32953"/>
    <cellStyle name="Normal 15 136" xfId="32976"/>
    <cellStyle name="Normal 15 137" xfId="32999"/>
    <cellStyle name="Normal 15 138" xfId="33022"/>
    <cellStyle name="Normal 15 139" xfId="33045"/>
    <cellStyle name="Normal 15 14" xfId="379"/>
    <cellStyle name="Normal 15 14 2" xfId="2855"/>
    <cellStyle name="Normal 15 14 2 2" xfId="9625"/>
    <cellStyle name="Normal 15 14 2 3" xfId="22315"/>
    <cellStyle name="Normal 15 14 2 4" xfId="8175"/>
    <cellStyle name="Normal 15 14 2 5" xfId="30370"/>
    <cellStyle name="Normal 15 14 3" xfId="4935"/>
    <cellStyle name="Normal 15 14 3 2" xfId="11705"/>
    <cellStyle name="Normal 15 14 3 3" xfId="24395"/>
    <cellStyle name="Normal 15 14 3 4" xfId="18457"/>
    <cellStyle name="Normal 15 14 3 5" xfId="29445"/>
    <cellStyle name="Normal 15 14 4" xfId="7149"/>
    <cellStyle name="Normal 15 14 5" xfId="20117"/>
    <cellStyle name="Normal 15 14 6" xfId="16079"/>
    <cellStyle name="Normal 15 14 7" xfId="28208"/>
    <cellStyle name="Normal 15 140" xfId="33068"/>
    <cellStyle name="Normal 15 141" xfId="33091"/>
    <cellStyle name="Normal 15 142" xfId="33114"/>
    <cellStyle name="Normal 15 143" xfId="33136"/>
    <cellStyle name="Normal 15 144" xfId="33159"/>
    <cellStyle name="Normal 15 145" xfId="33178"/>
    <cellStyle name="Normal 15 146" xfId="33193"/>
    <cellStyle name="Normal 15 147" xfId="33215"/>
    <cellStyle name="Normal 15 148" xfId="33225"/>
    <cellStyle name="Normal 15 149" xfId="33270"/>
    <cellStyle name="Normal 15 15" xfId="402"/>
    <cellStyle name="Normal 15 15 2" xfId="2878"/>
    <cellStyle name="Normal 15 15 2 2" xfId="9648"/>
    <cellStyle name="Normal 15 15 2 3" xfId="22338"/>
    <cellStyle name="Normal 15 15 2 4" xfId="6894"/>
    <cellStyle name="Normal 15 15 2 5" xfId="28542"/>
    <cellStyle name="Normal 15 15 3" xfId="4955"/>
    <cellStyle name="Normal 15 15 3 2" xfId="11725"/>
    <cellStyle name="Normal 15 15 3 3" xfId="24415"/>
    <cellStyle name="Normal 15 15 3 4" xfId="13949"/>
    <cellStyle name="Normal 15 15 3 5" xfId="28506"/>
    <cellStyle name="Normal 15 15 4" xfId="7172"/>
    <cellStyle name="Normal 15 15 5" xfId="20137"/>
    <cellStyle name="Normal 15 15 6" xfId="19039"/>
    <cellStyle name="Normal 15 15 7" xfId="31132"/>
    <cellStyle name="Normal 15 150" xfId="33293"/>
    <cellStyle name="Normal 15 151" xfId="33316"/>
    <cellStyle name="Normal 15 152" xfId="33339"/>
    <cellStyle name="Normal 15 153" xfId="33362"/>
    <cellStyle name="Normal 15 154" xfId="33385"/>
    <cellStyle name="Normal 15 155" xfId="33408"/>
    <cellStyle name="Normal 15 156" xfId="33431"/>
    <cellStyle name="Normal 15 157" xfId="33454"/>
    <cellStyle name="Normal 15 158" xfId="33477"/>
    <cellStyle name="Normal 15 159" xfId="33500"/>
    <cellStyle name="Normal 15 16" xfId="425"/>
    <cellStyle name="Normal 15 16 2" xfId="2900"/>
    <cellStyle name="Normal 15 16 2 2" xfId="9670"/>
    <cellStyle name="Normal 15 16 2 3" xfId="22360"/>
    <cellStyle name="Normal 15 16 2 4" xfId="9046"/>
    <cellStyle name="Normal 15 16 2 5" xfId="29410"/>
    <cellStyle name="Normal 15 16 3" xfId="4975"/>
    <cellStyle name="Normal 15 16 3 2" xfId="11745"/>
    <cellStyle name="Normal 15 16 3 3" xfId="24435"/>
    <cellStyle name="Normal 15 16 3 4" xfId="13815"/>
    <cellStyle name="Normal 15 16 3 5" xfId="26676"/>
    <cellStyle name="Normal 15 16 4" xfId="7195"/>
    <cellStyle name="Normal 15 16 5" xfId="20157"/>
    <cellStyle name="Normal 15 16 6" xfId="14583"/>
    <cellStyle name="Normal 15 16 7" xfId="29066"/>
    <cellStyle name="Normal 15 160" xfId="33523"/>
    <cellStyle name="Normal 15 161" xfId="33546"/>
    <cellStyle name="Normal 15 162" xfId="33569"/>
    <cellStyle name="Normal 15 163" xfId="33592"/>
    <cellStyle name="Normal 15 164" xfId="33615"/>
    <cellStyle name="Normal 15 165" xfId="33638"/>
    <cellStyle name="Normal 15 166" xfId="33660"/>
    <cellStyle name="Normal 15 167" xfId="33682"/>
    <cellStyle name="Normal 15 168" xfId="33705"/>
    <cellStyle name="Normal 15 169" xfId="33728"/>
    <cellStyle name="Normal 15 17" xfId="447"/>
    <cellStyle name="Normal 15 17 2" xfId="2922"/>
    <cellStyle name="Normal 15 17 2 2" xfId="9692"/>
    <cellStyle name="Normal 15 17 2 3" xfId="22382"/>
    <cellStyle name="Normal 15 17 2 4" xfId="8592"/>
    <cellStyle name="Normal 15 17 2 5" xfId="26550"/>
    <cellStyle name="Normal 15 17 3" xfId="4994"/>
    <cellStyle name="Normal 15 17 3 2" xfId="11764"/>
    <cellStyle name="Normal 15 17 3 3" xfId="24454"/>
    <cellStyle name="Normal 15 17 3 4" xfId="15797"/>
    <cellStyle name="Normal 15 17 3 5" xfId="31755"/>
    <cellStyle name="Normal 15 17 4" xfId="7217"/>
    <cellStyle name="Normal 15 17 5" xfId="20176"/>
    <cellStyle name="Normal 15 17 6" xfId="18788"/>
    <cellStyle name="Normal 15 17 7" xfId="26917"/>
    <cellStyle name="Normal 15 170" xfId="33751"/>
    <cellStyle name="Normal 15 171" xfId="33774"/>
    <cellStyle name="Normal 15 172" xfId="33797"/>
    <cellStyle name="Normal 15 173" xfId="33820"/>
    <cellStyle name="Normal 15 174" xfId="33843"/>
    <cellStyle name="Normal 15 175" xfId="33866"/>
    <cellStyle name="Normal 15 176" xfId="33889"/>
    <cellStyle name="Normal 15 177" xfId="33912"/>
    <cellStyle name="Normal 15 178" xfId="33935"/>
    <cellStyle name="Normal 15 179" xfId="33958"/>
    <cellStyle name="Normal 15 18" xfId="470"/>
    <cellStyle name="Normal 15 18 2" xfId="2945"/>
    <cellStyle name="Normal 15 18 2 2" xfId="9715"/>
    <cellStyle name="Normal 15 18 2 3" xfId="22405"/>
    <cellStyle name="Normal 15 18 2 4" xfId="8112"/>
    <cellStyle name="Normal 15 18 2 5" xfId="29553"/>
    <cellStyle name="Normal 15 18 3" xfId="5014"/>
    <cellStyle name="Normal 15 18 3 2" xfId="11784"/>
    <cellStyle name="Normal 15 18 3 3" xfId="24474"/>
    <cellStyle name="Normal 15 18 3 4" xfId="6801"/>
    <cellStyle name="Normal 15 18 3 5" xfId="30738"/>
    <cellStyle name="Normal 15 18 4" xfId="7240"/>
    <cellStyle name="Normal 15 18 5" xfId="20196"/>
    <cellStyle name="Normal 15 18 6" xfId="14278"/>
    <cellStyle name="Normal 15 18 7" xfId="29901"/>
    <cellStyle name="Normal 15 180" xfId="33981"/>
    <cellStyle name="Normal 15 181" xfId="34003"/>
    <cellStyle name="Normal 15 182" xfId="34023"/>
    <cellStyle name="Normal 15 183" xfId="34041"/>
    <cellStyle name="Normal 15 184" xfId="34051"/>
    <cellStyle name="Normal 15 19" xfId="493"/>
    <cellStyle name="Normal 15 19 2" xfId="2968"/>
    <cellStyle name="Normal 15 19 2 2" xfId="9738"/>
    <cellStyle name="Normal 15 19 2 3" xfId="22428"/>
    <cellStyle name="Normal 15 19 2 4" xfId="7634"/>
    <cellStyle name="Normal 15 19 2 5" xfId="27627"/>
    <cellStyle name="Normal 15 19 3" xfId="5034"/>
    <cellStyle name="Normal 15 19 3 2" xfId="11804"/>
    <cellStyle name="Normal 15 19 3 3" xfId="24494"/>
    <cellStyle name="Normal 15 19 3 4" xfId="19778"/>
    <cellStyle name="Normal 15 19 3 5" xfId="17716"/>
    <cellStyle name="Normal 15 19 4" xfId="7263"/>
    <cellStyle name="Normal 15 19 5" xfId="20216"/>
    <cellStyle name="Normal 15 19 6" xfId="16494"/>
    <cellStyle name="Normal 15 19 7" xfId="28014"/>
    <cellStyle name="Normal 15 2" xfId="102"/>
    <cellStyle name="Normal 15 2 2" xfId="2586"/>
    <cellStyle name="Normal 15 2 2 2" xfId="9356"/>
    <cellStyle name="Normal 15 2 2 3" xfId="22046"/>
    <cellStyle name="Normal 15 2 2 4" xfId="18382"/>
    <cellStyle name="Normal 15 2 2 5" xfId="26329"/>
    <cellStyle name="Normal 15 2 3" xfId="4620"/>
    <cellStyle name="Normal 15 2 3 2" xfId="11390"/>
    <cellStyle name="Normal 15 2 3 3" xfId="24080"/>
    <cellStyle name="Normal 15 2 3 4" xfId="18197"/>
    <cellStyle name="Normal 15 2 3 5" xfId="29884"/>
    <cellStyle name="Normal 15 2 4" xfId="6872"/>
    <cellStyle name="Normal 15 2 5" xfId="15652"/>
    <cellStyle name="Normal 15 2 6" xfId="19226"/>
    <cellStyle name="Normal 15 2 7" xfId="30737"/>
    <cellStyle name="Normal 15 20" xfId="516"/>
    <cellStyle name="Normal 15 20 2" xfId="2991"/>
    <cellStyle name="Normal 15 20 2 2" xfId="9761"/>
    <cellStyle name="Normal 15 20 2 3" xfId="22451"/>
    <cellStyle name="Normal 15 20 2 4" xfId="7153"/>
    <cellStyle name="Normal 15 20 2 5" xfId="31432"/>
    <cellStyle name="Normal 15 20 3" xfId="5054"/>
    <cellStyle name="Normal 15 20 3 2" xfId="11824"/>
    <cellStyle name="Normal 15 20 3 3" xfId="24514"/>
    <cellStyle name="Normal 15 20 3 4" xfId="15423"/>
    <cellStyle name="Normal 15 20 3 5" xfId="26529"/>
    <cellStyle name="Normal 15 20 4" xfId="7286"/>
    <cellStyle name="Normal 15 20 5" xfId="20236"/>
    <cellStyle name="Normal 15 20 6" xfId="18373"/>
    <cellStyle name="Normal 15 20 7" xfId="30949"/>
    <cellStyle name="Normal 15 21" xfId="539"/>
    <cellStyle name="Normal 15 21 2" xfId="3012"/>
    <cellStyle name="Normal 15 21 2 2" xfId="9782"/>
    <cellStyle name="Normal 15 21 2 3" xfId="22472"/>
    <cellStyle name="Normal 15 21 2 4" xfId="7147"/>
    <cellStyle name="Normal 15 21 2 5" xfId="27256"/>
    <cellStyle name="Normal 15 21 3" xfId="5074"/>
    <cellStyle name="Normal 15 21 3 2" xfId="11844"/>
    <cellStyle name="Normal 15 21 3 3" xfId="24534"/>
    <cellStyle name="Normal 15 21 3 4" xfId="17661"/>
    <cellStyle name="Normal 15 21 3 5" xfId="28644"/>
    <cellStyle name="Normal 15 21 4" xfId="7309"/>
    <cellStyle name="Normal 15 21 5" xfId="20256"/>
    <cellStyle name="Normal 15 21 6" xfId="16908"/>
    <cellStyle name="Normal 15 21 7" xfId="28906"/>
    <cellStyle name="Normal 15 22" xfId="562"/>
    <cellStyle name="Normal 15 22 2" xfId="3035"/>
    <cellStyle name="Normal 15 22 2 2" xfId="9805"/>
    <cellStyle name="Normal 15 22 2 3" xfId="22495"/>
    <cellStyle name="Normal 15 22 2 4" xfId="13603"/>
    <cellStyle name="Normal 15 22 2 5" xfId="30211"/>
    <cellStyle name="Normal 15 22 3" xfId="5094"/>
    <cellStyle name="Normal 15 22 3 2" xfId="11864"/>
    <cellStyle name="Normal 15 22 3 3" xfId="24554"/>
    <cellStyle name="Normal 15 22 3 4" xfId="19431"/>
    <cellStyle name="Normal 15 22 3 5" xfId="27613"/>
    <cellStyle name="Normal 15 22 4" xfId="7332"/>
    <cellStyle name="Normal 15 22 5" xfId="20276"/>
    <cellStyle name="Normal 15 22 6" xfId="18162"/>
    <cellStyle name="Normal 15 22 7" xfId="31841"/>
    <cellStyle name="Normal 15 23" xfId="585"/>
    <cellStyle name="Normal 15 23 2" xfId="3058"/>
    <cellStyle name="Normal 15 23 2 2" xfId="9828"/>
    <cellStyle name="Normal 15 23 2 3" xfId="22518"/>
    <cellStyle name="Normal 15 23 2 4" xfId="17975"/>
    <cellStyle name="Normal 15 23 2 5" xfId="28366"/>
    <cellStyle name="Normal 15 23 3" xfId="5115"/>
    <cellStyle name="Normal 15 23 3 2" xfId="11885"/>
    <cellStyle name="Normal 15 23 3 3" xfId="24575"/>
    <cellStyle name="Normal 15 23 3 4" xfId="17402"/>
    <cellStyle name="Normal 15 23 3 5" xfId="26408"/>
    <cellStyle name="Normal 15 23 4" xfId="7355"/>
    <cellStyle name="Normal 15 23 5" xfId="20297"/>
    <cellStyle name="Normal 15 23 6" xfId="16110"/>
    <cellStyle name="Normal 15 23 7" xfId="26703"/>
    <cellStyle name="Normal 15 24" xfId="606"/>
    <cellStyle name="Normal 15 24 2" xfId="3079"/>
    <cellStyle name="Normal 15 24 2 2" xfId="9849"/>
    <cellStyle name="Normal 15 24 2 3" xfId="22539"/>
    <cellStyle name="Normal 15 24 2 4" xfId="17870"/>
    <cellStyle name="Normal 15 24 2 5" xfId="32221"/>
    <cellStyle name="Normal 15 24 3" xfId="5133"/>
    <cellStyle name="Normal 15 24 3 2" xfId="11903"/>
    <cellStyle name="Normal 15 24 3 3" xfId="24593"/>
    <cellStyle name="Normal 15 24 3 4" xfId="19200"/>
    <cellStyle name="Normal 15 24 3 5" xfId="26372"/>
    <cellStyle name="Normal 15 24 4" xfId="7376"/>
    <cellStyle name="Normal 15 24 5" xfId="20315"/>
    <cellStyle name="Normal 15 24 6" xfId="20062"/>
    <cellStyle name="Normal 15 24 7" xfId="30798"/>
    <cellStyle name="Normal 15 25" xfId="625"/>
    <cellStyle name="Normal 15 25 2" xfId="3098"/>
    <cellStyle name="Normal 15 25 2 2" xfId="9868"/>
    <cellStyle name="Normal 15 25 2 3" xfId="22558"/>
    <cellStyle name="Normal 15 25 2 4" xfId="15357"/>
    <cellStyle name="Normal 15 25 2 5" xfId="27424"/>
    <cellStyle name="Normal 15 25 3" xfId="5150"/>
    <cellStyle name="Normal 15 25 3 2" xfId="11920"/>
    <cellStyle name="Normal 15 25 3 3" xfId="24610"/>
    <cellStyle name="Normal 15 25 3 4" xfId="14808"/>
    <cellStyle name="Normal 15 25 3 5" xfId="30372"/>
    <cellStyle name="Normal 15 25 4" xfId="7395"/>
    <cellStyle name="Normal 15 25 5" xfId="20332"/>
    <cellStyle name="Normal 15 25 6" xfId="18113"/>
    <cellStyle name="Normal 15 25 7" xfId="27799"/>
    <cellStyle name="Normal 15 26" xfId="654"/>
    <cellStyle name="Normal 15 26 2" xfId="3127"/>
    <cellStyle name="Normal 15 26 2 2" xfId="9897"/>
    <cellStyle name="Normal 15 26 2 3" xfId="22587"/>
    <cellStyle name="Normal 15 26 2 4" xfId="17548"/>
    <cellStyle name="Normal 15 26 2 5" xfId="32155"/>
    <cellStyle name="Normal 15 26 3" xfId="5175"/>
    <cellStyle name="Normal 15 26 3 2" xfId="11945"/>
    <cellStyle name="Normal 15 26 3 3" xfId="24635"/>
    <cellStyle name="Normal 15 26 3 4" xfId="18998"/>
    <cellStyle name="Normal 15 26 3 5" xfId="27368"/>
    <cellStyle name="Normal 15 26 4" xfId="7424"/>
    <cellStyle name="Normal 15 26 5" xfId="20357"/>
    <cellStyle name="Normal 15 26 6" xfId="19469"/>
    <cellStyle name="Normal 15 26 7" xfId="30720"/>
    <cellStyle name="Normal 15 27" xfId="675"/>
    <cellStyle name="Normal 15 27 2" xfId="3147"/>
    <cellStyle name="Normal 15 27 2 2" xfId="9917"/>
    <cellStyle name="Normal 15 27 2 3" xfId="22607"/>
    <cellStyle name="Normal 15 27 2 4" xfId="19330"/>
    <cellStyle name="Normal 15 27 2 5" xfId="31200"/>
    <cellStyle name="Normal 15 27 3" xfId="5193"/>
    <cellStyle name="Normal 15 27 3 2" xfId="11963"/>
    <cellStyle name="Normal 15 27 3 3" xfId="24653"/>
    <cellStyle name="Normal 15 27 3 4" xfId="18847"/>
    <cellStyle name="Normal 15 27 3 5" xfId="27345"/>
    <cellStyle name="Normal 15 27 4" xfId="7445"/>
    <cellStyle name="Normal 15 27 5" xfId="20375"/>
    <cellStyle name="Normal 15 27 6" xfId="15064"/>
    <cellStyle name="Normal 15 27 7" xfId="26543"/>
    <cellStyle name="Normal 15 28" xfId="697"/>
    <cellStyle name="Normal 15 28 2" xfId="3169"/>
    <cellStyle name="Normal 15 28 2 2" xfId="9939"/>
    <cellStyle name="Normal 15 28 2 3" xfId="22629"/>
    <cellStyle name="Normal 15 28 2 4" xfId="17265"/>
    <cellStyle name="Normal 15 28 2 5" xfId="32101"/>
    <cellStyle name="Normal 15 28 3" xfId="5213"/>
    <cellStyle name="Normal 15 28 3 2" xfId="11983"/>
    <cellStyle name="Normal 15 28 3 3" xfId="24673"/>
    <cellStyle name="Normal 15 28 3 4" xfId="13611"/>
    <cellStyle name="Normal 15 28 3 5" xfId="29393"/>
    <cellStyle name="Normal 15 28 4" xfId="7467"/>
    <cellStyle name="Normal 15 28 5" xfId="20395"/>
    <cellStyle name="Normal 15 28 6" xfId="14915"/>
    <cellStyle name="Normal 15 28 7" xfId="27670"/>
    <cellStyle name="Normal 15 29" xfId="720"/>
    <cellStyle name="Normal 15 29 2" xfId="3192"/>
    <cellStyle name="Normal 15 29 2 2" xfId="9962"/>
    <cellStyle name="Normal 15 29 2 3" xfId="22652"/>
    <cellStyle name="Normal 15 29 2 4" xfId="19057"/>
    <cellStyle name="Normal 15 29 2 5" xfId="26990"/>
    <cellStyle name="Normal 15 29 3" xfId="5232"/>
    <cellStyle name="Normal 15 29 3 2" xfId="12002"/>
    <cellStyle name="Normal 15 29 3 3" xfId="24692"/>
    <cellStyle name="Normal 15 29 3 4" xfId="18610"/>
    <cellStyle name="Normal 15 29 3 5" xfId="30466"/>
    <cellStyle name="Normal 15 29 4" xfId="7490"/>
    <cellStyle name="Normal 15 29 5" xfId="20414"/>
    <cellStyle name="Normal 15 29 6" xfId="17116"/>
    <cellStyle name="Normal 15 29 7" xfId="30598"/>
    <cellStyle name="Normal 15 3" xfId="126"/>
    <cellStyle name="Normal 15 3 2" xfId="2610"/>
    <cellStyle name="Normal 15 3 2 2" xfId="9380"/>
    <cellStyle name="Normal 15 3 2 3" xfId="22070"/>
    <cellStyle name="Normal 15 3 2 4" xfId="16478"/>
    <cellStyle name="Normal 15 3 2 5" xfId="26785"/>
    <cellStyle name="Normal 15 3 3" xfId="4131"/>
    <cellStyle name="Normal 15 3 3 2" xfId="10901"/>
    <cellStyle name="Normal 15 3 3 3" xfId="23591"/>
    <cellStyle name="Normal 15 3 3 4" xfId="19239"/>
    <cellStyle name="Normal 15 3 3 5" xfId="28269"/>
    <cellStyle name="Normal 15 3 4" xfId="6896"/>
    <cellStyle name="Normal 15 3 5" xfId="15191"/>
    <cellStyle name="Normal 15 3 6" xfId="19092"/>
    <cellStyle name="Normal 15 3 7" xfId="30704"/>
    <cellStyle name="Normal 15 30" xfId="743"/>
    <cellStyle name="Normal 15 30 2" xfId="3214"/>
    <cellStyle name="Normal 15 30 2 2" xfId="9984"/>
    <cellStyle name="Normal 15 30 2 3" xfId="22674"/>
    <cellStyle name="Normal 15 30 2 4" xfId="16981"/>
    <cellStyle name="Normal 15 30 2 5" xfId="28130"/>
    <cellStyle name="Normal 15 30 3" xfId="5252"/>
    <cellStyle name="Normal 15 30 3 2" xfId="12022"/>
    <cellStyle name="Normal 15 30 3 3" xfId="24712"/>
    <cellStyle name="Normal 15 30 3 4" xfId="14100"/>
    <cellStyle name="Normal 15 30 3 5" xfId="26498"/>
    <cellStyle name="Normal 15 30 4" xfId="7513"/>
    <cellStyle name="Normal 15 30 5" xfId="20434"/>
    <cellStyle name="Normal 15 30 6" xfId="14563"/>
    <cellStyle name="Normal 15 30 7" xfId="28585"/>
    <cellStyle name="Normal 15 31" xfId="767"/>
    <cellStyle name="Normal 15 31 2" xfId="3238"/>
    <cellStyle name="Normal 15 31 2 2" xfId="10008"/>
    <cellStyle name="Normal 15 31 2 3" xfId="22698"/>
    <cellStyle name="Normal 15 31 2 4" xfId="16034"/>
    <cellStyle name="Normal 15 31 2 5" xfId="28097"/>
    <cellStyle name="Normal 15 31 3" xfId="5273"/>
    <cellStyle name="Normal 15 31 3 2" xfId="12043"/>
    <cellStyle name="Normal 15 31 3 3" xfId="24733"/>
    <cellStyle name="Normal 15 31 3 4" xfId="13970"/>
    <cellStyle name="Normal 15 31 3 5" xfId="28528"/>
    <cellStyle name="Normal 15 31 4" xfId="7537"/>
    <cellStyle name="Normal 15 31 5" xfId="20455"/>
    <cellStyle name="Normal 15 31 6" xfId="18708"/>
    <cellStyle name="Normal 15 31 7" xfId="29482"/>
    <cellStyle name="Normal 15 32" xfId="791"/>
    <cellStyle name="Normal 15 32 2" xfId="3259"/>
    <cellStyle name="Normal 15 32 2 2" xfId="10029"/>
    <cellStyle name="Normal 15 32 2 3" xfId="22719"/>
    <cellStyle name="Normal 15 32 2 4" xfId="16675"/>
    <cellStyle name="Normal 15 32 2 5" xfId="31969"/>
    <cellStyle name="Normal 15 32 3" xfId="5293"/>
    <cellStyle name="Normal 15 32 3 2" xfId="12063"/>
    <cellStyle name="Normal 15 32 3 3" xfId="24753"/>
    <cellStyle name="Normal 15 32 3 4" xfId="16212"/>
    <cellStyle name="Normal 15 32 3 5" xfId="27469"/>
    <cellStyle name="Normal 15 32 4" xfId="7561"/>
    <cellStyle name="Normal 15 32 5" xfId="20475"/>
    <cellStyle name="Normal 15 32 6" xfId="16576"/>
    <cellStyle name="Normal 15 32 7" xfId="29452"/>
    <cellStyle name="Normal 15 33" xfId="814"/>
    <cellStyle name="Normal 15 33 2" xfId="3282"/>
    <cellStyle name="Normal 15 33 2 2" xfId="10052"/>
    <cellStyle name="Normal 15 33 2 3" xfId="22742"/>
    <cellStyle name="Normal 15 33 2 4" xfId="18531"/>
    <cellStyle name="Normal 15 33 2 5" xfId="26835"/>
    <cellStyle name="Normal 15 33 3" xfId="5313"/>
    <cellStyle name="Normal 15 33 3 2" xfId="12083"/>
    <cellStyle name="Normal 15 33 3 3" xfId="24773"/>
    <cellStyle name="Normal 15 33 3 4" xfId="20033"/>
    <cellStyle name="Normal 15 33 3 5" xfId="16378"/>
    <cellStyle name="Normal 15 33 4" xfId="7584"/>
    <cellStyle name="Normal 15 33 5" xfId="20495"/>
    <cellStyle name="Normal 15 33 6" xfId="19838"/>
    <cellStyle name="Normal 15 33 7" xfId="32383"/>
    <cellStyle name="Normal 15 34" xfId="837"/>
    <cellStyle name="Normal 15 34 2" xfId="3303"/>
    <cellStyle name="Normal 15 34 2 2" xfId="10073"/>
    <cellStyle name="Normal 15 34 2 3" xfId="22763"/>
    <cellStyle name="Normal 15 34 2 4" xfId="17984"/>
    <cellStyle name="Normal 15 34 2 5" xfId="30954"/>
    <cellStyle name="Normal 15 34 3" xfId="5333"/>
    <cellStyle name="Normal 15 34 3 2" xfId="12103"/>
    <cellStyle name="Normal 15 34 3 3" xfId="24793"/>
    <cellStyle name="Normal 15 34 3 4" xfId="15692"/>
    <cellStyle name="Normal 15 34 3 5" xfId="16775"/>
    <cellStyle name="Normal 15 34 4" xfId="7607"/>
    <cellStyle name="Normal 15 34 5" xfId="20515"/>
    <cellStyle name="Normal 15 34 6" xfId="13721"/>
    <cellStyle name="Normal 15 34 7" xfId="26444"/>
    <cellStyle name="Normal 15 35" xfId="860"/>
    <cellStyle name="Normal 15 35 2" xfId="3325"/>
    <cellStyle name="Normal 15 35 2 2" xfId="10095"/>
    <cellStyle name="Normal 15 35 2 3" xfId="22785"/>
    <cellStyle name="Normal 15 35 2 4" xfId="16229"/>
    <cellStyle name="Normal 15 35 2 5" xfId="31882"/>
    <cellStyle name="Normal 15 35 3" xfId="5353"/>
    <cellStyle name="Normal 15 35 3 2" xfId="12123"/>
    <cellStyle name="Normal 15 35 3 3" xfId="24813"/>
    <cellStyle name="Normal 15 35 3 4" xfId="19868"/>
    <cellStyle name="Normal 15 35 3 5" xfId="19771"/>
    <cellStyle name="Normal 15 35 4" xfId="7630"/>
    <cellStyle name="Normal 15 35 5" xfId="20535"/>
    <cellStyle name="Normal 15 35 6" xfId="17698"/>
    <cellStyle name="Normal 15 35 7" xfId="27201"/>
    <cellStyle name="Normal 15 36" xfId="883"/>
    <cellStyle name="Normal 15 36 2" xfId="3348"/>
    <cellStyle name="Normal 15 36 2 2" xfId="10118"/>
    <cellStyle name="Normal 15 36 2 3" xfId="22808"/>
    <cellStyle name="Normal 15 36 2 4" xfId="20029"/>
    <cellStyle name="Normal 15 36 2 5" xfId="26738"/>
    <cellStyle name="Normal 15 36 3" xfId="5373"/>
    <cellStyle name="Normal 15 36 3 2" xfId="12143"/>
    <cellStyle name="Normal 15 36 3 3" xfId="24833"/>
    <cellStyle name="Normal 15 36 3 4" xfId="13727"/>
    <cellStyle name="Normal 15 36 3 5" xfId="19352"/>
    <cellStyle name="Normal 15 36 4" xfId="7653"/>
    <cellStyle name="Normal 15 36 5" xfId="20555"/>
    <cellStyle name="Normal 15 36 6" xfId="19445"/>
    <cellStyle name="Normal 15 36 7" xfId="27511"/>
    <cellStyle name="Normal 15 37" xfId="906"/>
    <cellStyle name="Normal 15 37 2" xfId="3370"/>
    <cellStyle name="Normal 15 37 2 2" xfId="10140"/>
    <cellStyle name="Normal 15 37 2 3" xfId="22830"/>
    <cellStyle name="Normal 15 37 2 4" xfId="18063"/>
    <cellStyle name="Normal 15 37 2 5" xfId="27878"/>
    <cellStyle name="Normal 15 37 3" xfId="5393"/>
    <cellStyle name="Normal 15 37 3 2" xfId="12163"/>
    <cellStyle name="Normal 15 37 3 3" xfId="24853"/>
    <cellStyle name="Normal 15 37 3 4" xfId="17725"/>
    <cellStyle name="Normal 15 37 3 5" xfId="16228"/>
    <cellStyle name="Normal 15 37 4" xfId="7676"/>
    <cellStyle name="Normal 15 37 5" xfId="20575"/>
    <cellStyle name="Normal 15 37 6" xfId="15039"/>
    <cellStyle name="Normal 15 37 7" xfId="31484"/>
    <cellStyle name="Normal 15 38" xfId="929"/>
    <cellStyle name="Normal 15 38 2" xfId="3393"/>
    <cellStyle name="Normal 15 38 2 2" xfId="10163"/>
    <cellStyle name="Normal 15 38 2 3" xfId="22853"/>
    <cellStyle name="Normal 15 38 2 4" xfId="19764"/>
    <cellStyle name="Normal 15 38 2 5" xfId="30802"/>
    <cellStyle name="Normal 15 38 3" xfId="5413"/>
    <cellStyle name="Normal 15 38 3 2" xfId="12183"/>
    <cellStyle name="Normal 15 38 3 3" xfId="24873"/>
    <cellStyle name="Normal 15 38 3 4" xfId="19490"/>
    <cellStyle name="Normal 15 38 3 5" xfId="14161"/>
    <cellStyle name="Normal 15 38 4" xfId="7699"/>
    <cellStyle name="Normal 15 38 5" xfId="20595"/>
    <cellStyle name="Normal 15 38 6" xfId="17242"/>
    <cellStyle name="Normal 15 38 7" xfId="29411"/>
    <cellStyle name="Normal 15 39" xfId="952"/>
    <cellStyle name="Normal 15 39 2" xfId="3416"/>
    <cellStyle name="Normal 15 39 2 2" xfId="10186"/>
    <cellStyle name="Normal 15 39 2 3" xfId="22876"/>
    <cellStyle name="Normal 15 39 2 4" xfId="15387"/>
    <cellStyle name="Normal 15 39 2 5" xfId="28767"/>
    <cellStyle name="Normal 15 39 3" xfId="5434"/>
    <cellStyle name="Normal 15 39 3 2" xfId="12204"/>
    <cellStyle name="Normal 15 39 3 3" xfId="24894"/>
    <cellStyle name="Normal 15 39 3 4" xfId="19353"/>
    <cellStyle name="Normal 15 39 3 5" xfId="17068"/>
    <cellStyle name="Normal 15 39 4" xfId="7722"/>
    <cellStyle name="Normal 15 39 5" xfId="20616"/>
    <cellStyle name="Normal 15 39 6" xfId="19036"/>
    <cellStyle name="Normal 15 39 7" xfId="32210"/>
    <cellStyle name="Normal 15 4" xfId="149"/>
    <cellStyle name="Normal 15 4 2" xfId="2633"/>
    <cellStyle name="Normal 15 4 2 2" xfId="9403"/>
    <cellStyle name="Normal 15 4 2 3" xfId="22093"/>
    <cellStyle name="Normal 15 4 2 4" xfId="15802"/>
    <cellStyle name="Normal 15 4 2 5" xfId="29781"/>
    <cellStyle name="Normal 15 4 3" xfId="3664"/>
    <cellStyle name="Normal 15 4 3 2" xfId="10434"/>
    <cellStyle name="Normal 15 4 3 3" xfId="23124"/>
    <cellStyle name="Normal 15 4 3 4" xfId="18248"/>
    <cellStyle name="Normal 15 4 3 5" xfId="27529"/>
    <cellStyle name="Normal 15 4 4" xfId="6919"/>
    <cellStyle name="Normal 15 4 5" xfId="14739"/>
    <cellStyle name="Normal 15 4 6" xfId="13650"/>
    <cellStyle name="Normal 15 4 7" xfId="28677"/>
    <cellStyle name="Normal 15 40" xfId="973"/>
    <cellStyle name="Normal 15 40 2" xfId="3437"/>
    <cellStyle name="Normal 15 40 2 2" xfId="10207"/>
    <cellStyle name="Normal 15 40 2 3" xfId="22897"/>
    <cellStyle name="Normal 15 40 2 4" xfId="15262"/>
    <cellStyle name="Normal 15 40 2 5" xfId="29636"/>
    <cellStyle name="Normal 15 40 3" xfId="5452"/>
    <cellStyle name="Normal 15 40 3 2" xfId="12222"/>
    <cellStyle name="Normal 15 40 3 3" xfId="24912"/>
    <cellStyle name="Normal 15 40 3 4" xfId="19255"/>
    <cellStyle name="Normal 15 40 3 5" xfId="17964"/>
    <cellStyle name="Normal 15 40 4" xfId="7743"/>
    <cellStyle name="Normal 15 40 5" xfId="20634"/>
    <cellStyle name="Normal 15 40 6" xfId="18918"/>
    <cellStyle name="Normal 15 40 7" xfId="28287"/>
    <cellStyle name="Normal 15 41" xfId="996"/>
    <cellStyle name="Normal 15 41 2" xfId="3460"/>
    <cellStyle name="Normal 15 41 2 2" xfId="10230"/>
    <cellStyle name="Normal 15 41 2 3" xfId="22920"/>
    <cellStyle name="Normal 15 41 2 4" xfId="17471"/>
    <cellStyle name="Normal 15 41 2 5" xfId="27725"/>
    <cellStyle name="Normal 15 41 3" xfId="5472"/>
    <cellStyle name="Normal 15 41 3 2" xfId="12242"/>
    <cellStyle name="Normal 15 41 3 3" xfId="24932"/>
    <cellStyle name="Normal 15 41 3 4" xfId="13661"/>
    <cellStyle name="Normal 15 41 3 5" xfId="17071"/>
    <cellStyle name="Normal 15 41 4" xfId="7766"/>
    <cellStyle name="Normal 15 41 5" xfId="20654"/>
    <cellStyle name="Normal 15 41 6" xfId="14429"/>
    <cellStyle name="Normal 15 41 7" xfId="31218"/>
    <cellStyle name="Normal 15 42" xfId="1020"/>
    <cellStyle name="Normal 15 42 2" xfId="3484"/>
    <cellStyle name="Normal 15 42 2 2" xfId="10254"/>
    <cellStyle name="Normal 15 42 2 3" xfId="22944"/>
    <cellStyle name="Normal 15 42 2 4" xfId="17322"/>
    <cellStyle name="Normal 15 42 2 5" xfId="27674"/>
    <cellStyle name="Normal 15 42 3" xfId="5492"/>
    <cellStyle name="Normal 15 42 3 2" xfId="12262"/>
    <cellStyle name="Normal 15 42 3 3" xfId="24952"/>
    <cellStyle name="Normal 15 42 3 4" xfId="17074"/>
    <cellStyle name="Normal 15 42 3 5" xfId="18921"/>
    <cellStyle name="Normal 15 42 4" xfId="7790"/>
    <cellStyle name="Normal 15 42 5" xfId="20674"/>
    <cellStyle name="Normal 15 42 6" xfId="14274"/>
    <cellStyle name="Normal 15 42 7" xfId="29157"/>
    <cellStyle name="Normal 15 43" xfId="1042"/>
    <cellStyle name="Normal 15 43 2" xfId="3504"/>
    <cellStyle name="Normal 15 43 2 2" xfId="10274"/>
    <cellStyle name="Normal 15 43 2 3" xfId="22964"/>
    <cellStyle name="Normal 15 43 2 4" xfId="19125"/>
    <cellStyle name="Normal 15 43 2 5" xfId="26477"/>
    <cellStyle name="Normal 15 43 3" xfId="5511"/>
    <cellStyle name="Normal 15 43 3 2" xfId="12281"/>
    <cellStyle name="Normal 15 43 3 3" xfId="24971"/>
    <cellStyle name="Normal 15 43 3 4" xfId="14586"/>
    <cellStyle name="Normal 15 43 3 5" xfId="27253"/>
    <cellStyle name="Normal 15 43 4" xfId="7812"/>
    <cellStyle name="Normal 15 43 5" xfId="20693"/>
    <cellStyle name="Normal 15 43 6" xfId="14115"/>
    <cellStyle name="Normal 15 43 7" xfId="26997"/>
    <cellStyle name="Normal 15 44" xfId="1064"/>
    <cellStyle name="Normal 15 44 2" xfId="3526"/>
    <cellStyle name="Normal 15 44 2 2" xfId="10296"/>
    <cellStyle name="Normal 15 44 2 3" xfId="22986"/>
    <cellStyle name="Normal 15 44 2 4" xfId="17032"/>
    <cellStyle name="Normal 15 44 2 5" xfId="27598"/>
    <cellStyle name="Normal 15 44 3" xfId="5530"/>
    <cellStyle name="Normal 15 44 3 2" xfId="12300"/>
    <cellStyle name="Normal 15 44 3 3" xfId="24990"/>
    <cellStyle name="Normal 15 44 3 4" xfId="18509"/>
    <cellStyle name="Normal 15 44 3 5" xfId="26281"/>
    <cellStyle name="Normal 15 44 4" xfId="7834"/>
    <cellStyle name="Normal 15 44 5" xfId="20712"/>
    <cellStyle name="Normal 15 44 6" xfId="18350"/>
    <cellStyle name="Normal 15 44 7" xfId="31102"/>
    <cellStyle name="Normal 15 45" xfId="1087"/>
    <cellStyle name="Normal 15 45 2" xfId="3548"/>
    <cellStyle name="Normal 15 45 2 2" xfId="10318"/>
    <cellStyle name="Normal 15 45 2 3" xfId="23008"/>
    <cellStyle name="Normal 15 45 2 4" xfId="14526"/>
    <cellStyle name="Normal 15 45 2 5" xfId="28215"/>
    <cellStyle name="Normal 15 45 3" xfId="5550"/>
    <cellStyle name="Normal 15 45 3 2" xfId="12320"/>
    <cellStyle name="Normal 15 45 3 3" xfId="25010"/>
    <cellStyle name="Normal 15 45 3 4" xfId="14327"/>
    <cellStyle name="Normal 15 45 3 5" xfId="29386"/>
    <cellStyle name="Normal 15 45 4" xfId="7857"/>
    <cellStyle name="Normal 15 45 5" xfId="20732"/>
    <cellStyle name="Normal 15 45 6" xfId="15522"/>
    <cellStyle name="Normal 15 45 7" xfId="29038"/>
    <cellStyle name="Normal 15 46" xfId="1110"/>
    <cellStyle name="Normal 15 46 2" xfId="3571"/>
    <cellStyle name="Normal 15 46 2 2" xfId="10341"/>
    <cellStyle name="Normal 15 46 2 3" xfId="23031"/>
    <cellStyle name="Normal 15 46 2 4" xfId="16748"/>
    <cellStyle name="Normal 15 46 2 5" xfId="32426"/>
    <cellStyle name="Normal 15 46 3" xfId="5570"/>
    <cellStyle name="Normal 15 46 3 2" xfId="12340"/>
    <cellStyle name="Normal 15 46 3 3" xfId="25030"/>
    <cellStyle name="Normal 15 46 3 4" xfId="16545"/>
    <cellStyle name="Normal 15 46 3 5" xfId="28439"/>
    <cellStyle name="Normal 15 46 4" xfId="7880"/>
    <cellStyle name="Normal 15 46 5" xfId="20752"/>
    <cellStyle name="Normal 15 46 6" xfId="17761"/>
    <cellStyle name="Normal 15 46 7" xfId="31966"/>
    <cellStyle name="Normal 15 47" xfId="1132"/>
    <cellStyle name="Normal 15 47 2" xfId="3593"/>
    <cellStyle name="Normal 15 47 2 2" xfId="10363"/>
    <cellStyle name="Normal 15 47 2 3" xfId="23053"/>
    <cellStyle name="Normal 15 47 2 4" xfId="13644"/>
    <cellStyle name="Normal 15 47 2 5" xfId="30325"/>
    <cellStyle name="Normal 15 47 3" xfId="5589"/>
    <cellStyle name="Normal 15 47 3 2" xfId="12359"/>
    <cellStyle name="Normal 15 47 3 3" xfId="25049"/>
    <cellStyle name="Normal 15 47 3 4" xfId="14056"/>
    <cellStyle name="Normal 15 47 3 5" xfId="30224"/>
    <cellStyle name="Normal 15 47 4" xfId="7902"/>
    <cellStyle name="Normal 15 47 5" xfId="20771"/>
    <cellStyle name="Normal 15 47 6" xfId="15248"/>
    <cellStyle name="Normal 15 47 7" xfId="28015"/>
    <cellStyle name="Normal 15 48" xfId="1155"/>
    <cellStyle name="Normal 15 48 2" xfId="3615"/>
    <cellStyle name="Normal 15 48 2 2" xfId="10385"/>
    <cellStyle name="Normal 15 48 2 3" xfId="23075"/>
    <cellStyle name="Normal 15 48 2 4" xfId="18461"/>
    <cellStyle name="Normal 15 48 2 5" xfId="30503"/>
    <cellStyle name="Normal 15 48 3" xfId="5610"/>
    <cellStyle name="Normal 15 48 3 2" xfId="12380"/>
    <cellStyle name="Normal 15 48 3 3" xfId="25070"/>
    <cellStyle name="Normal 15 48 3 4" xfId="13926"/>
    <cellStyle name="Normal 15 48 3 5" xfId="29309"/>
    <cellStyle name="Normal 15 48 4" xfId="7925"/>
    <cellStyle name="Normal 15 48 5" xfId="20792"/>
    <cellStyle name="Normal 15 48 6" xfId="17459"/>
    <cellStyle name="Normal 15 48 7" xfId="30940"/>
    <cellStyle name="Normal 15 49" xfId="1175"/>
    <cellStyle name="Normal 15 49 2" xfId="3635"/>
    <cellStyle name="Normal 15 49 2 2" xfId="10405"/>
    <cellStyle name="Normal 15 49 2 3" xfId="23095"/>
    <cellStyle name="Normal 15 49 2 4" xfId="13953"/>
    <cellStyle name="Normal 15 49 2 5" xfId="26264"/>
    <cellStyle name="Normal 15 49 3" xfId="5627"/>
    <cellStyle name="Normal 15 49 3 2" xfId="12397"/>
    <cellStyle name="Normal 15 49 3 3" xfId="25087"/>
    <cellStyle name="Normal 15 49 3 4" xfId="16100"/>
    <cellStyle name="Normal 15 49 3 5" xfId="32250"/>
    <cellStyle name="Normal 15 49 4" xfId="7945"/>
    <cellStyle name="Normal 15 49 5" xfId="20809"/>
    <cellStyle name="Normal 15 49 6" xfId="19249"/>
    <cellStyle name="Normal 15 49 7" xfId="28878"/>
    <cellStyle name="Normal 15 5" xfId="172"/>
    <cellStyle name="Normal 15 5 2" xfId="2655"/>
    <cellStyle name="Normal 15 5 2 2" xfId="9425"/>
    <cellStyle name="Normal 15 5 2 3" xfId="22115"/>
    <cellStyle name="Normal 15 5 2 4" xfId="18683"/>
    <cellStyle name="Normal 15 5 2 5" xfId="30441"/>
    <cellStyle name="Normal 15 5 3" xfId="3195"/>
    <cellStyle name="Normal 15 5 3 2" xfId="9965"/>
    <cellStyle name="Normal 15 5 3 3" xfId="22655"/>
    <cellStyle name="Normal 15 5 3 4" xfId="19037"/>
    <cellStyle name="Normal 15 5 3 5" xfId="31125"/>
    <cellStyle name="Normal 15 5 4" xfId="6942"/>
    <cellStyle name="Normal 15 5 5" xfId="14281"/>
    <cellStyle name="Normal 15 5 6" xfId="16843"/>
    <cellStyle name="Normal 15 5 7" xfId="31610"/>
    <cellStyle name="Normal 15 50" xfId="1194"/>
    <cellStyle name="Normal 15 50 2" xfId="3654"/>
    <cellStyle name="Normal 15 50 2 2" xfId="10424"/>
    <cellStyle name="Normal 15 50 2 3" xfId="23114"/>
    <cellStyle name="Normal 15 50 2 4" xfId="17546"/>
    <cellStyle name="Normal 15 50 2 5" xfId="26388"/>
    <cellStyle name="Normal 15 50 3" xfId="5644"/>
    <cellStyle name="Normal 15 50 3 2" xfId="12414"/>
    <cellStyle name="Normal 15 50 3 3" xfId="25104"/>
    <cellStyle name="Normal 15 50 3 4" xfId="19990"/>
    <cellStyle name="Normal 15 50 3 5" xfId="27167"/>
    <cellStyle name="Normal 15 50 4" xfId="7964"/>
    <cellStyle name="Normal 15 50 5" xfId="20826"/>
    <cellStyle name="Normal 15 50 6" xfId="17196"/>
    <cellStyle name="Normal 15 50 7" xfId="30844"/>
    <cellStyle name="Normal 15 51" xfId="1223"/>
    <cellStyle name="Normal 15 51 2" xfId="3683"/>
    <cellStyle name="Normal 15 51 2 2" xfId="10453"/>
    <cellStyle name="Normal 15 51 2 3" xfId="23143"/>
    <cellStyle name="Normal 15 51 2 4" xfId="15740"/>
    <cellStyle name="Normal 15 51 2 5" xfId="30364"/>
    <cellStyle name="Normal 15 51 3" xfId="5668"/>
    <cellStyle name="Normal 15 51 3 2" xfId="12438"/>
    <cellStyle name="Normal 15 51 3 3" xfId="25128"/>
    <cellStyle name="Normal 15 51 3 4" xfId="6795"/>
    <cellStyle name="Normal 15 51 3 5" xfId="27137"/>
    <cellStyle name="Normal 15 51 4" xfId="7993"/>
    <cellStyle name="Normal 15 51 5" xfId="20850"/>
    <cellStyle name="Normal 15 51 6" xfId="18957"/>
    <cellStyle name="Normal 15 51 7" xfId="28795"/>
    <cellStyle name="Normal 15 52" xfId="1246"/>
    <cellStyle name="Normal 15 52 2" xfId="3706"/>
    <cellStyle name="Normal 15 52 2 2" xfId="10476"/>
    <cellStyle name="Normal 15 52 2 3" xfId="23166"/>
    <cellStyle name="Normal 15 52 2 4" xfId="17971"/>
    <cellStyle name="Normal 15 52 2 5" xfId="28534"/>
    <cellStyle name="Normal 15 52 3" xfId="5688"/>
    <cellStyle name="Normal 15 52 3 2" xfId="12458"/>
    <cellStyle name="Normal 15 52 3 3" xfId="25148"/>
    <cellStyle name="Normal 15 52 3 4" xfId="18004"/>
    <cellStyle name="Normal 15 52 3 5" xfId="29204"/>
    <cellStyle name="Normal 15 52 4" xfId="8016"/>
    <cellStyle name="Normal 15 52 5" xfId="20870"/>
    <cellStyle name="Normal 15 52 6" xfId="14489"/>
    <cellStyle name="Normal 15 52 7" xfId="29658"/>
    <cellStyle name="Normal 15 53" xfId="1269"/>
    <cellStyle name="Normal 15 53 2" xfId="3728"/>
    <cellStyle name="Normal 15 53 2 2" xfId="10498"/>
    <cellStyle name="Normal 15 53 2 3" xfId="23188"/>
    <cellStyle name="Normal 15 53 2 4" xfId="15469"/>
    <cellStyle name="Normal 15 53 2 5" xfId="29404"/>
    <cellStyle name="Normal 15 53 3" xfId="5708"/>
    <cellStyle name="Normal 15 53 3 2" xfId="12478"/>
    <cellStyle name="Normal 15 53 3 3" xfId="25168"/>
    <cellStyle name="Normal 15 53 3 4" xfId="16787"/>
    <cellStyle name="Normal 15 53 3 5" xfId="28248"/>
    <cellStyle name="Normal 15 53 4" xfId="8039"/>
    <cellStyle name="Normal 15 53 5" xfId="20890"/>
    <cellStyle name="Normal 15 53 6" xfId="16714"/>
    <cellStyle name="Normal 15 53 7" xfId="27747"/>
    <cellStyle name="Normal 15 54" xfId="1292"/>
    <cellStyle name="Normal 15 54 2" xfId="3750"/>
    <cellStyle name="Normal 15 54 2 2" xfId="10520"/>
    <cellStyle name="Normal 15 54 2 3" xfId="23210"/>
    <cellStyle name="Normal 15 54 2 4" xfId="19575"/>
    <cellStyle name="Normal 15 54 2 5" xfId="26460"/>
    <cellStyle name="Normal 15 54 3" xfId="5728"/>
    <cellStyle name="Normal 15 54 3 2" xfId="12498"/>
    <cellStyle name="Normal 15 54 3 3" xfId="25188"/>
    <cellStyle name="Normal 15 54 3 4" xfId="15307"/>
    <cellStyle name="Normal 15 54 3 5" xfId="26359"/>
    <cellStyle name="Normal 15 54 4" xfId="8062"/>
    <cellStyle name="Normal 15 54 5" xfId="20910"/>
    <cellStyle name="Normal 15 54 6" xfId="18547"/>
    <cellStyle name="Normal 15 54 7" xfId="31438"/>
    <cellStyle name="Normal 15 55" xfId="1315"/>
    <cellStyle name="Normal 15 55 2" xfId="3773"/>
    <cellStyle name="Normal 15 55 2 2" xfId="10543"/>
    <cellStyle name="Normal 15 55 2 3" xfId="23233"/>
    <cellStyle name="Normal 15 55 2 4" xfId="15175"/>
    <cellStyle name="Normal 15 55 2 5" xfId="26466"/>
    <cellStyle name="Normal 15 55 3" xfId="5748"/>
    <cellStyle name="Normal 15 55 3 2" xfId="12518"/>
    <cellStyle name="Normal 15 55 3 3" xfId="25208"/>
    <cellStyle name="Normal 15 55 3 4" xfId="17559"/>
    <cellStyle name="Normal 15 55 3 5" xfId="29123"/>
    <cellStyle name="Normal 15 55 4" xfId="8085"/>
    <cellStyle name="Normal 15 55 5" xfId="20930"/>
    <cellStyle name="Normal 15 55 6" xfId="15578"/>
    <cellStyle name="Normal 15 55 7" xfId="29343"/>
    <cellStyle name="Normal 15 56" xfId="1338"/>
    <cellStyle name="Normal 15 56 2" xfId="3795"/>
    <cellStyle name="Normal 15 56 2 2" xfId="10565"/>
    <cellStyle name="Normal 15 56 2 3" xfId="23255"/>
    <cellStyle name="Normal 15 56 2 4" xfId="19320"/>
    <cellStyle name="Normal 15 56 2 5" xfId="30474"/>
    <cellStyle name="Normal 15 56 3" xfId="5768"/>
    <cellStyle name="Normal 15 56 3 2" xfId="12538"/>
    <cellStyle name="Normal 15 56 3 3" xfId="25228"/>
    <cellStyle name="Normal 15 56 3 4" xfId="19323"/>
    <cellStyle name="Normal 15 56 3 5" xfId="28154"/>
    <cellStyle name="Normal 15 56 4" xfId="8108"/>
    <cellStyle name="Normal 15 56 5" xfId="20950"/>
    <cellStyle name="Normal 15 56 6" xfId="17821"/>
    <cellStyle name="Normal 15 56 7" xfId="32276"/>
    <cellStyle name="Normal 15 57" xfId="1361"/>
    <cellStyle name="Normal 15 57 2" xfId="3818"/>
    <cellStyle name="Normal 15 57 2 2" xfId="10588"/>
    <cellStyle name="Normal 15 57 2 3" xfId="23278"/>
    <cellStyle name="Normal 15 57 2 4" xfId="13711"/>
    <cellStyle name="Normal 15 57 2 5" xfId="29467"/>
    <cellStyle name="Normal 15 57 3" xfId="5788"/>
    <cellStyle name="Normal 15 57 3 2" xfId="12558"/>
    <cellStyle name="Normal 15 57 3 3" xfId="25248"/>
    <cellStyle name="Normal 15 57 3 4" xfId="14924"/>
    <cellStyle name="Normal 15 57 3 5" xfId="26938"/>
    <cellStyle name="Normal 15 57 4" xfId="8131"/>
    <cellStyle name="Normal 15 57 5" xfId="20970"/>
    <cellStyle name="Normal 15 57 6" xfId="19560"/>
    <cellStyle name="Normal 15 57 7" xfId="27195"/>
    <cellStyle name="Normal 15 58" xfId="1384"/>
    <cellStyle name="Normal 15 58 2" xfId="3840"/>
    <cellStyle name="Normal 15 58 2 2" xfId="10610"/>
    <cellStyle name="Normal 15 58 2 3" xfId="23300"/>
    <cellStyle name="Normal 15 58 2 4" xfId="19046"/>
    <cellStyle name="Normal 15 58 2 5" xfId="27355"/>
    <cellStyle name="Normal 15 58 3" xfId="5808"/>
    <cellStyle name="Normal 15 58 3 2" xfId="12578"/>
    <cellStyle name="Normal 15 58 3 3" xfId="25268"/>
    <cellStyle name="Normal 15 58 3 4" xfId="15980"/>
    <cellStyle name="Normal 15 58 3 5" xfId="29036"/>
    <cellStyle name="Normal 15 58 4" xfId="8154"/>
    <cellStyle name="Normal 15 58 5" xfId="20990"/>
    <cellStyle name="Normal 15 58 6" xfId="15134"/>
    <cellStyle name="Normal 15 58 7" xfId="30148"/>
    <cellStyle name="Normal 15 59" xfId="1407"/>
    <cellStyle name="Normal 15 59 2" xfId="3862"/>
    <cellStyle name="Normal 15 59 2 2" xfId="10632"/>
    <cellStyle name="Normal 15 59 2 3" xfId="23322"/>
    <cellStyle name="Normal 15 59 2 4" xfId="16968"/>
    <cellStyle name="Normal 15 59 2 5" xfId="28494"/>
    <cellStyle name="Normal 15 59 3" xfId="5828"/>
    <cellStyle name="Normal 15 59 3 2" xfId="12598"/>
    <cellStyle name="Normal 15 59 3 3" xfId="25288"/>
    <cellStyle name="Normal 15 59 3 4" xfId="18991"/>
    <cellStyle name="Normal 15 59 3 5" xfId="28060"/>
    <cellStyle name="Normal 15 59 4" xfId="8177"/>
    <cellStyle name="Normal 15 59 5" xfId="21010"/>
    <cellStyle name="Normal 15 59 6" xfId="17370"/>
    <cellStyle name="Normal 15 59 7" xfId="28294"/>
    <cellStyle name="Normal 15 6" xfId="195"/>
    <cellStyle name="Normal 15 6 2" xfId="2676"/>
    <cellStyle name="Normal 15 6 2 2" xfId="9446"/>
    <cellStyle name="Normal 15 6 2 3" xfId="22136"/>
    <cellStyle name="Normal 15 6 2 4" xfId="18546"/>
    <cellStyle name="Normal 15 6 2 5" xfId="26687"/>
    <cellStyle name="Normal 15 6 3" xfId="4884"/>
    <cellStyle name="Normal 15 6 3 2" xfId="11654"/>
    <cellStyle name="Normal 15 6 3 3" xfId="24344"/>
    <cellStyle name="Normal 15 6 3 4" xfId="18771"/>
    <cellStyle name="Normal 15 6 3 5" xfId="27289"/>
    <cellStyle name="Normal 15 6 4" xfId="6965"/>
    <cellStyle name="Normal 15 6 5" xfId="13789"/>
    <cellStyle name="Normal 15 6 6" xfId="18681"/>
    <cellStyle name="Normal 15 6 7" xfId="27299"/>
    <cellStyle name="Normal 15 60" xfId="1430"/>
    <cellStyle name="Normal 15 60 2" xfId="3884"/>
    <cellStyle name="Normal 15 60 2 2" xfId="10654"/>
    <cellStyle name="Normal 15 60 2 3" xfId="23344"/>
    <cellStyle name="Normal 15 60 2 4" xfId="13666"/>
    <cellStyle name="Normal 15 60 2 5" xfId="28683"/>
    <cellStyle name="Normal 15 60 3" xfId="5848"/>
    <cellStyle name="Normal 15 60 3 2" xfId="12618"/>
    <cellStyle name="Normal 15 60 3 3" xfId="25308"/>
    <cellStyle name="Normal 15 60 3 4" xfId="14528"/>
    <cellStyle name="Normal 15 60 3 5" xfId="26841"/>
    <cellStyle name="Normal 15 60 4" xfId="8200"/>
    <cellStyle name="Normal 15 60 5" xfId="21030"/>
    <cellStyle name="Normal 15 60 6" xfId="19149"/>
    <cellStyle name="Normal 15 60 7" xfId="31235"/>
    <cellStyle name="Normal 15 61" xfId="1453"/>
    <cellStyle name="Normal 15 61 2" xfId="3907"/>
    <cellStyle name="Normal 15 61 2 2" xfId="10677"/>
    <cellStyle name="Normal 15 61 2 3" xfId="23367"/>
    <cellStyle name="Normal 15 61 2 4" xfId="16662"/>
    <cellStyle name="Normal 15 61 2 5" xfId="31616"/>
    <cellStyle name="Normal 15 61 3" xfId="5868"/>
    <cellStyle name="Normal 15 61 3 2" xfId="12638"/>
    <cellStyle name="Normal 15 61 3 3" xfId="25328"/>
    <cellStyle name="Normal 15 61 3 4" xfId="16750"/>
    <cellStyle name="Normal 15 61 3 5" xfId="28955"/>
    <cellStyle name="Normal 15 61 4" xfId="8223"/>
    <cellStyle name="Normal 15 61 5" xfId="21050"/>
    <cellStyle name="Normal 15 61 6" xfId="14680"/>
    <cellStyle name="Normal 15 61 7" xfId="29156"/>
    <cellStyle name="Normal 15 62" xfId="1476"/>
    <cellStyle name="Normal 15 62 2" xfId="3930"/>
    <cellStyle name="Normal 15 62 2 2" xfId="10700"/>
    <cellStyle name="Normal 15 62 2 3" xfId="23390"/>
    <cellStyle name="Normal 15 62 2 4" xfId="18519"/>
    <cellStyle name="Normal 15 62 2 5" xfId="29485"/>
    <cellStyle name="Normal 15 62 3" xfId="5888"/>
    <cellStyle name="Normal 15 62 3 2" xfId="12658"/>
    <cellStyle name="Normal 15 62 3 3" xfId="25348"/>
    <cellStyle name="Normal 15 62 3 4" xfId="18617"/>
    <cellStyle name="Normal 15 62 3 5" xfId="27958"/>
    <cellStyle name="Normal 15 62 4" xfId="8246"/>
    <cellStyle name="Normal 15 62 5" xfId="21070"/>
    <cellStyle name="Normal 15 62 6" xfId="16907"/>
    <cellStyle name="Normal 15 62 7" xfId="32086"/>
    <cellStyle name="Normal 15 63" xfId="1499"/>
    <cellStyle name="Normal 15 63 2" xfId="3952"/>
    <cellStyle name="Normal 15 63 2 2" xfId="10722"/>
    <cellStyle name="Normal 15 63 2 3" xfId="23412"/>
    <cellStyle name="Normal 15 63 2 4" xfId="15977"/>
    <cellStyle name="Normal 15 63 2 5" xfId="31405"/>
    <cellStyle name="Normal 15 63 3" xfId="5908"/>
    <cellStyle name="Normal 15 63 3 2" xfId="12678"/>
    <cellStyle name="Normal 15 63 3 3" xfId="25368"/>
    <cellStyle name="Normal 15 63 3 4" xfId="14154"/>
    <cellStyle name="Normal 15 63 3 5" xfId="26753"/>
    <cellStyle name="Normal 15 63 4" xfId="8269"/>
    <cellStyle name="Normal 15 63 5" xfId="21090"/>
    <cellStyle name="Normal 15 63 6" xfId="18739"/>
    <cellStyle name="Normal 15 63 7" xfId="26984"/>
    <cellStyle name="Normal 15 64" xfId="1522"/>
    <cellStyle name="Normal 15 64 2" xfId="3974"/>
    <cellStyle name="Normal 15 64 2 2" xfId="10744"/>
    <cellStyle name="Normal 15 64 2 3" xfId="23434"/>
    <cellStyle name="Normal 15 64 2 4" xfId="13842"/>
    <cellStyle name="Normal 15 64 2 5" xfId="32283"/>
    <cellStyle name="Normal 15 64 3" xfId="5928"/>
    <cellStyle name="Normal 15 64 3 2" xfId="12698"/>
    <cellStyle name="Normal 15 64 3 3" xfId="25388"/>
    <cellStyle name="Normal 15 64 3 4" xfId="16354"/>
    <cellStyle name="Normal 15 64 3 5" xfId="28005"/>
    <cellStyle name="Normal 15 64 4" xfId="8292"/>
    <cellStyle name="Normal 15 64 5" xfId="21110"/>
    <cellStyle name="Normal 15 64 6" xfId="13648"/>
    <cellStyle name="Normal 15 64 7" xfId="29957"/>
    <cellStyle name="Normal 15 65" xfId="1545"/>
    <cellStyle name="Normal 15 65 2" xfId="3996"/>
    <cellStyle name="Normal 15 65 2 2" xfId="10766"/>
    <cellStyle name="Normal 15 65 2 3" xfId="23456"/>
    <cellStyle name="Normal 15 65 2 4" xfId="20021"/>
    <cellStyle name="Normal 15 65 2 5" xfId="26683"/>
    <cellStyle name="Normal 15 65 3" xfId="5948"/>
    <cellStyle name="Normal 15 65 3 2" xfId="12718"/>
    <cellStyle name="Normal 15 65 3 3" xfId="25408"/>
    <cellStyle name="Normal 15 65 3 4" xfId="18112"/>
    <cellStyle name="Normal 15 65 3 5" xfId="27863"/>
    <cellStyle name="Normal 15 65 4" xfId="8315"/>
    <cellStyle name="Normal 15 65 5" xfId="21130"/>
    <cellStyle name="Normal 15 65 6" xfId="16446"/>
    <cellStyle name="Normal 15 65 7" xfId="28080"/>
    <cellStyle name="Normal 15 66" xfId="1568"/>
    <cellStyle name="Normal 15 66 2" xfId="4018"/>
    <cellStyle name="Normal 15 66 2 2" xfId="10788"/>
    <cellStyle name="Normal 15 66 2 3" xfId="23478"/>
    <cellStyle name="Normal 15 66 2 4" xfId="18061"/>
    <cellStyle name="Normal 15 66 2 5" xfId="31312"/>
    <cellStyle name="Normal 15 66 3" xfId="5968"/>
    <cellStyle name="Normal 15 66 3 2" xfId="12738"/>
    <cellStyle name="Normal 15 66 3 3" xfId="25428"/>
    <cellStyle name="Normal 15 66 3 4" xfId="16804"/>
    <cellStyle name="Normal 15 66 3 5" xfId="26657"/>
    <cellStyle name="Normal 15 66 4" xfId="8338"/>
    <cellStyle name="Normal 15 66 5" xfId="21150"/>
    <cellStyle name="Normal 15 66 6" xfId="18326"/>
    <cellStyle name="Normal 15 66 7" xfId="31013"/>
    <cellStyle name="Normal 15 67" xfId="1591"/>
    <cellStyle name="Normal 15 67 2" xfId="4040"/>
    <cellStyle name="Normal 15 67 2 2" xfId="10810"/>
    <cellStyle name="Normal 15 67 2 3" xfId="23500"/>
    <cellStyle name="Normal 15 67 2 4" xfId="15533"/>
    <cellStyle name="Normal 15 67 2 5" xfId="32195"/>
    <cellStyle name="Normal 15 67 3" xfId="5988"/>
    <cellStyle name="Normal 15 67 3 2" xfId="12758"/>
    <cellStyle name="Normal 15 67 3 3" xfId="25448"/>
    <cellStyle name="Normal 15 67 3 4" xfId="18087"/>
    <cellStyle name="Normal 15 67 3 5" xfId="28763"/>
    <cellStyle name="Normal 15 67 4" xfId="8361"/>
    <cellStyle name="Normal 15 67 5" xfId="21170"/>
    <cellStyle name="Normal 15 67 6" xfId="15884"/>
    <cellStyle name="Normal 15 67 7" xfId="28961"/>
    <cellStyle name="Normal 15 68" xfId="1614"/>
    <cellStyle name="Normal 15 68 2" xfId="4062"/>
    <cellStyle name="Normal 15 68 2 2" xfId="10832"/>
    <cellStyle name="Normal 15 68 2 3" xfId="23522"/>
    <cellStyle name="Normal 15 68 2 4" xfId="19650"/>
    <cellStyle name="Normal 15 68 2 5" xfId="26898"/>
    <cellStyle name="Normal 15 68 3" xfId="6008"/>
    <cellStyle name="Normal 15 68 3 2" xfId="12778"/>
    <cellStyle name="Normal 15 68 3 3" xfId="25468"/>
    <cellStyle name="Normal 15 68 3 4" xfId="19882"/>
    <cellStyle name="Normal 15 68 3 5" xfId="27764"/>
    <cellStyle name="Normal 15 68 4" xfId="8384"/>
    <cellStyle name="Normal 15 68 5" xfId="21190"/>
    <cellStyle name="Normal 15 68 6" xfId="18111"/>
    <cellStyle name="Normal 15 68 7" xfId="31428"/>
    <cellStyle name="Normal 15 69" xfId="1636"/>
    <cellStyle name="Normal 15 69 2" xfId="4084"/>
    <cellStyle name="Normal 15 69 2 2" xfId="10854"/>
    <cellStyle name="Normal 15 69 2 3" xfId="23544"/>
    <cellStyle name="Normal 15 69 2 4" xfId="17644"/>
    <cellStyle name="Normal 15 69 2 5" xfId="31212"/>
    <cellStyle name="Normal 15 69 3" xfId="6027"/>
    <cellStyle name="Normal 15 69 3 2" xfId="12797"/>
    <cellStyle name="Normal 15 69 3 3" xfId="25487"/>
    <cellStyle name="Normal 15 69 3 4" xfId="17907"/>
    <cellStyle name="Normal 15 69 3 5" xfId="29599"/>
    <cellStyle name="Normal 15 69 4" xfId="8406"/>
    <cellStyle name="Normal 15 69 5" xfId="21209"/>
    <cellStyle name="Normal 15 69 6" xfId="14027"/>
    <cellStyle name="Normal 15 69 7" xfId="29792"/>
    <cellStyle name="Normal 15 7" xfId="218"/>
    <cellStyle name="Normal 15 7 2" xfId="2697"/>
    <cellStyle name="Normal 15 7 2 2" xfId="9467"/>
    <cellStyle name="Normal 15 7 2 3" xfId="22157"/>
    <cellStyle name="Normal 15 7 2 4" xfId="14026"/>
    <cellStyle name="Normal 15 7 2 5" xfId="30779"/>
    <cellStyle name="Normal 15 7 3" xfId="4836"/>
    <cellStyle name="Normal 15 7 3 2" xfId="11606"/>
    <cellStyle name="Normal 15 7 3 3" xfId="24296"/>
    <cellStyle name="Normal 15 7 3 4" xfId="19043"/>
    <cellStyle name="Normal 15 7 3 5" xfId="29548"/>
    <cellStyle name="Normal 15 7 4" xfId="6988"/>
    <cellStyle name="Normal 15 7 5" xfId="15871"/>
    <cellStyle name="Normal 15 7 6" xfId="14179"/>
    <cellStyle name="Normal 15 7 7" xfId="30243"/>
    <cellStyle name="Normal 15 70" xfId="1657"/>
    <cellStyle name="Normal 15 70 2" xfId="4105"/>
    <cellStyle name="Normal 15 70 2 2" xfId="10875"/>
    <cellStyle name="Normal 15 70 2 3" xfId="23565"/>
    <cellStyle name="Normal 15 70 2 4" xfId="17491"/>
    <cellStyle name="Normal 15 70 2 5" xfId="27034"/>
    <cellStyle name="Normal 15 70 3" xfId="6045"/>
    <cellStyle name="Normal 15 70 3 2" xfId="12815"/>
    <cellStyle name="Normal 15 70 3 3" xfId="25505"/>
    <cellStyle name="Normal 15 70 3 4" xfId="17802"/>
    <cellStyle name="Normal 15 70 3 5" xfId="29566"/>
    <cellStyle name="Normal 15 70 4" xfId="8427"/>
    <cellStyle name="Normal 15 70 5" xfId="21227"/>
    <cellStyle name="Normal 15 70 6" xfId="15662"/>
    <cellStyle name="Normal 15 70 7" xfId="28867"/>
    <cellStyle name="Normal 15 71" xfId="1678"/>
    <cellStyle name="Normal 15 71 2" xfId="4125"/>
    <cellStyle name="Normal 15 71 2 2" xfId="10895"/>
    <cellStyle name="Normal 15 71 2 3" xfId="23585"/>
    <cellStyle name="Normal 15 71 2 4" xfId="19279"/>
    <cellStyle name="Normal 15 71 2 5" xfId="29111"/>
    <cellStyle name="Normal 15 71 3" xfId="6065"/>
    <cellStyle name="Normal 15 71 3 2" xfId="12835"/>
    <cellStyle name="Normal 15 71 3 3" xfId="25525"/>
    <cellStyle name="Normal 15 71 3 4" xfId="16165"/>
    <cellStyle name="Normal 15 71 3 5" xfId="31625"/>
    <cellStyle name="Normal 15 71 4" xfId="8448"/>
    <cellStyle name="Normal 15 71 5" xfId="21247"/>
    <cellStyle name="Normal 15 71 6" xfId="13776"/>
    <cellStyle name="Normal 15 71 7" xfId="26332"/>
    <cellStyle name="Normal 15 72" xfId="1703"/>
    <cellStyle name="Normal 15 72 2" xfId="4149"/>
    <cellStyle name="Normal 15 72 2 2" xfId="10919"/>
    <cellStyle name="Normal 15 72 2 3" xfId="23609"/>
    <cellStyle name="Normal 15 72 2 4" xfId="19143"/>
    <cellStyle name="Normal 15 72 2 5" xfId="29082"/>
    <cellStyle name="Normal 15 72 3" xfId="6086"/>
    <cellStyle name="Normal 15 72 3 2" xfId="12856"/>
    <cellStyle name="Normal 15 72 3 3" xfId="25546"/>
    <cellStyle name="Normal 15 72 3 4" xfId="19422"/>
    <cellStyle name="Normal 15 72 3 5" xfId="27617"/>
    <cellStyle name="Normal 15 72 4" xfId="8473"/>
    <cellStyle name="Normal 15 72 5" xfId="21268"/>
    <cellStyle name="Normal 15 72 6" xfId="19618"/>
    <cellStyle name="Normal 15 72 7" xfId="26656"/>
    <cellStyle name="Normal 15 73" xfId="1726"/>
    <cellStyle name="Normal 15 73 2" xfId="4171"/>
    <cellStyle name="Normal 15 73 2 2" xfId="10941"/>
    <cellStyle name="Normal 15 73 2 3" xfId="23631"/>
    <cellStyle name="Normal 15 73 2 4" xfId="17055"/>
    <cellStyle name="Normal 15 73 2 5" xfId="26922"/>
    <cellStyle name="Normal 15 73 3" xfId="6106"/>
    <cellStyle name="Normal 15 73 3 2" xfId="12876"/>
    <cellStyle name="Normal 15 73 3 3" xfId="25566"/>
    <cellStyle name="Normal 15 73 3 4" xfId="15037"/>
    <cellStyle name="Normal 15 73 3 5" xfId="26412"/>
    <cellStyle name="Normal 15 73 4" xfId="8496"/>
    <cellStyle name="Normal 15 73 5" xfId="21288"/>
    <cellStyle name="Normal 15 73 6" xfId="15223"/>
    <cellStyle name="Normal 15 73 7" xfId="29652"/>
    <cellStyle name="Normal 15 74" xfId="1749"/>
    <cellStyle name="Normal 15 74 2" xfId="4193"/>
    <cellStyle name="Normal 15 74 2 2" xfId="10963"/>
    <cellStyle name="Normal 15 74 2 3" xfId="23653"/>
    <cellStyle name="Normal 15 74 2 4" xfId="14546"/>
    <cellStyle name="Normal 15 74 2 5" xfId="28068"/>
    <cellStyle name="Normal 15 74 3" xfId="6126"/>
    <cellStyle name="Normal 15 74 3 2" xfId="12896"/>
    <cellStyle name="Normal 15 74 3 3" xfId="25586"/>
    <cellStyle name="Normal 15 74 3 4" xfId="17260"/>
    <cellStyle name="Normal 15 74 3 5" xfId="29481"/>
    <cellStyle name="Normal 15 74 4" xfId="8519"/>
    <cellStyle name="Normal 15 74 5" xfId="21308"/>
    <cellStyle name="Normal 15 74 6" xfId="17453"/>
    <cellStyle name="Normal 15 74 7" xfId="30708"/>
    <cellStyle name="Normal 15 75" xfId="1772"/>
    <cellStyle name="Normal 15 75 2" xfId="4215"/>
    <cellStyle name="Normal 15 75 2 2" xfId="10985"/>
    <cellStyle name="Normal 15 75 2 3" xfId="23675"/>
    <cellStyle name="Normal 15 75 2 4" xfId="18753"/>
    <cellStyle name="Normal 15 75 2 5" xfId="28987"/>
    <cellStyle name="Normal 15 75 3" xfId="6146"/>
    <cellStyle name="Normal 15 75 3 2" xfId="12916"/>
    <cellStyle name="Normal 15 75 3 3" xfId="25606"/>
    <cellStyle name="Normal 15 75 3 4" xfId="19073"/>
    <cellStyle name="Normal 15 75 3 5" xfId="28555"/>
    <cellStyle name="Normal 15 75 4" xfId="8542"/>
    <cellStyle name="Normal 15 75 5" xfId="21328"/>
    <cellStyle name="Normal 15 75 6" xfId="19208"/>
    <cellStyle name="Normal 15 75 7" xfId="28680"/>
    <cellStyle name="Normal 15 76" xfId="1795"/>
    <cellStyle name="Normal 15 76 2" xfId="4237"/>
    <cellStyle name="Normal 15 76 2 2" xfId="11007"/>
    <cellStyle name="Normal 15 76 2 3" xfId="23697"/>
    <cellStyle name="Normal 15 76 2 4" xfId="16618"/>
    <cellStyle name="Normal 15 76 2 5" xfId="26817"/>
    <cellStyle name="Normal 15 76 3" xfId="6166"/>
    <cellStyle name="Normal 15 76 3 2" xfId="12936"/>
    <cellStyle name="Normal 15 76 3 3" xfId="25626"/>
    <cellStyle name="Normal 15 76 3 4" xfId="14642"/>
    <cellStyle name="Normal 15 76 3 5" xfId="27348"/>
    <cellStyle name="Normal 15 76 4" xfId="8565"/>
    <cellStyle name="Normal 15 76 5" xfId="21348"/>
    <cellStyle name="Normal 15 76 6" xfId="14772"/>
    <cellStyle name="Normal 15 76 7" xfId="31613"/>
    <cellStyle name="Normal 15 77" xfId="1818"/>
    <cellStyle name="Normal 15 77 2" xfId="4260"/>
    <cellStyle name="Normal 15 77 2 2" xfId="11030"/>
    <cellStyle name="Normal 15 77 2 3" xfId="23720"/>
    <cellStyle name="Normal 15 77 2 4" xfId="18478"/>
    <cellStyle name="Normal 15 77 2 5" xfId="26893"/>
    <cellStyle name="Normal 15 77 3" xfId="6186"/>
    <cellStyle name="Normal 15 77 3 2" xfId="12956"/>
    <cellStyle name="Normal 15 77 3 3" xfId="25646"/>
    <cellStyle name="Normal 15 77 3 4" xfId="16869"/>
    <cellStyle name="Normal 15 77 3 5" xfId="29398"/>
    <cellStyle name="Normal 15 77 4" xfId="8588"/>
    <cellStyle name="Normal 15 77 5" xfId="21368"/>
    <cellStyle name="Normal 15 77 6" xfId="16994"/>
    <cellStyle name="Normal 15 77 7" xfId="27276"/>
    <cellStyle name="Normal 15 78" xfId="1841"/>
    <cellStyle name="Normal 15 78 2" xfId="4282"/>
    <cellStyle name="Normal 15 78 2 2" xfId="11052"/>
    <cellStyle name="Normal 15 78 2 3" xfId="23742"/>
    <cellStyle name="Normal 15 78 2 4" xfId="16327"/>
    <cellStyle name="Normal 15 78 2 5" xfId="30891"/>
    <cellStyle name="Normal 15 78 3" xfId="6206"/>
    <cellStyle name="Normal 15 78 3 2" xfId="12976"/>
    <cellStyle name="Normal 15 78 3 3" xfId="25666"/>
    <cellStyle name="Normal 15 78 3 4" xfId="18721"/>
    <cellStyle name="Normal 15 78 3 5" xfId="28455"/>
    <cellStyle name="Normal 15 78 4" xfId="8611"/>
    <cellStyle name="Normal 15 78 5" xfId="21388"/>
    <cellStyle name="Normal 15 78 6" xfId="18796"/>
    <cellStyle name="Normal 15 78 7" xfId="30222"/>
    <cellStyle name="Normal 15 79" xfId="1864"/>
    <cellStyle name="Normal 15 79 2" xfId="4304"/>
    <cellStyle name="Normal 15 79 2 2" xfId="11074"/>
    <cellStyle name="Normal 15 79 2 3" xfId="23764"/>
    <cellStyle name="Normal 15 79 2 4" xfId="17027"/>
    <cellStyle name="Normal 15 79 2 5" xfId="31827"/>
    <cellStyle name="Normal 15 79 3" xfId="6226"/>
    <cellStyle name="Normal 15 79 3 2" xfId="12996"/>
    <cellStyle name="Normal 15 79 3 3" xfId="25686"/>
    <cellStyle name="Normal 15 79 3 4" xfId="14225"/>
    <cellStyle name="Normal 15 79 3 5" xfId="27254"/>
    <cellStyle name="Normal 15 79 4" xfId="8634"/>
    <cellStyle name="Normal 15 79 5" xfId="21408"/>
    <cellStyle name="Normal 15 79 6" xfId="14314"/>
    <cellStyle name="Normal 15 79 7" xfId="28377"/>
    <cellStyle name="Normal 15 8" xfId="239"/>
    <cellStyle name="Normal 15 8 2" xfId="2717"/>
    <cellStyle name="Normal 15 8 2 2" xfId="9487"/>
    <cellStyle name="Normal 15 8 2 3" xfId="22177"/>
    <cellStyle name="Normal 15 8 2 4" xfId="18290"/>
    <cellStyle name="Normal 15 8 2 5" xfId="27149"/>
    <cellStyle name="Normal 15 8 3" xfId="2508"/>
    <cellStyle name="Normal 15 8 3 2" xfId="9278"/>
    <cellStyle name="Normal 15 8 3 3" xfId="21969"/>
    <cellStyle name="Normal 15 8 3 4" xfId="18853"/>
    <cellStyle name="Normal 15 8 3 5" xfId="26945"/>
    <cellStyle name="Normal 15 8 4" xfId="7009"/>
    <cellStyle name="Normal 15 8 5" xfId="13563"/>
    <cellStyle name="Normal 15 8 6" xfId="14024"/>
    <cellStyle name="Normal 15 8 7" xfId="28359"/>
    <cellStyle name="Normal 15 80" xfId="1887"/>
    <cellStyle name="Normal 15 80 2" xfId="4326"/>
    <cellStyle name="Normal 15 80 2 2" xfId="11096"/>
    <cellStyle name="Normal 15 80 2 3" xfId="23786"/>
    <cellStyle name="Normal 15 80 2 4" xfId="19986"/>
    <cellStyle name="Normal 15 80 2 5" xfId="30288"/>
    <cellStyle name="Normal 15 80 3" xfId="6246"/>
    <cellStyle name="Normal 15 80 3 2" xfId="13016"/>
    <cellStyle name="Normal 15 80 3 3" xfId="25706"/>
    <cellStyle name="Normal 15 80 3 4" xfId="16469"/>
    <cellStyle name="Normal 15 80 3 5" xfId="28404"/>
    <cellStyle name="Normal 15 80 4" xfId="8657"/>
    <cellStyle name="Normal 15 80 5" xfId="21428"/>
    <cellStyle name="Normal 15 80 6" xfId="16532"/>
    <cellStyle name="Normal 15 80 7" xfId="31323"/>
    <cellStyle name="Normal 15 81" xfId="1910"/>
    <cellStyle name="Normal 15 81 2" xfId="4348"/>
    <cellStyle name="Normal 15 81 2 2" xfId="11118"/>
    <cellStyle name="Normal 15 81 2 3" xfId="23808"/>
    <cellStyle name="Normal 15 81 2 4" xfId="18020"/>
    <cellStyle name="Normal 15 81 2 5" xfId="31427"/>
    <cellStyle name="Normal 15 81 3" xfId="6266"/>
    <cellStyle name="Normal 15 81 3 2" xfId="13036"/>
    <cellStyle name="Normal 15 81 3 3" xfId="25726"/>
    <cellStyle name="Normal 15 81 3 4" xfId="8966"/>
    <cellStyle name="Normal 15 81 3 5" xfId="28371"/>
    <cellStyle name="Normal 15 81 4" xfId="8680"/>
    <cellStyle name="Normal 15 81 5" xfId="21448"/>
    <cellStyle name="Normal 15 81 6" xfId="16451"/>
    <cellStyle name="Normal 15 81 7" xfId="29239"/>
    <cellStyle name="Normal 15 82" xfId="1932"/>
    <cellStyle name="Normal 15 82 2" xfId="4369"/>
    <cellStyle name="Normal 15 82 2 2" xfId="11139"/>
    <cellStyle name="Normal 15 82 2 3" xfId="23829"/>
    <cellStyle name="Normal 15 82 2 4" xfId="16124"/>
    <cellStyle name="Normal 15 82 2 5" xfId="27246"/>
    <cellStyle name="Normal 15 82 3" xfId="6285"/>
    <cellStyle name="Normal 15 82 3 2" xfId="13055"/>
    <cellStyle name="Normal 15 82 3 3" xfId="25745"/>
    <cellStyle name="Normal 15 82 3 4" xfId="8535"/>
    <cellStyle name="Normal 15 82 3 5" xfId="30159"/>
    <cellStyle name="Normal 15 82 4" xfId="8702"/>
    <cellStyle name="Normal 15 82 5" xfId="21467"/>
    <cellStyle name="Normal 15 82 6" xfId="16220"/>
    <cellStyle name="Normal 15 82 7" xfId="26331"/>
    <cellStyle name="Normal 15 83" xfId="1954"/>
    <cellStyle name="Normal 15 83 2" xfId="4391"/>
    <cellStyle name="Normal 15 83 2 2" xfId="11161"/>
    <cellStyle name="Normal 15 83 2 3" xfId="23851"/>
    <cellStyle name="Normal 15 83 2 4" xfId="15364"/>
    <cellStyle name="Normal 15 83 2 5" xfId="27518"/>
    <cellStyle name="Normal 15 83 3" xfId="6304"/>
    <cellStyle name="Normal 15 83 3 2" xfId="13074"/>
    <cellStyle name="Normal 15 83 3 3" xfId="25764"/>
    <cellStyle name="Normal 15 83 3 4" xfId="8124"/>
    <cellStyle name="Normal 15 83 3 5" xfId="27140"/>
    <cellStyle name="Normal 15 83 4" xfId="8724"/>
    <cellStyle name="Normal 15 83 5" xfId="21486"/>
    <cellStyle name="Normal 15 83 6" xfId="15824"/>
    <cellStyle name="Normal 15 83 7" xfId="28255"/>
    <cellStyle name="Normal 15 84" xfId="1977"/>
    <cellStyle name="Normal 15 84 2" xfId="4413"/>
    <cellStyle name="Normal 15 84 2 2" xfId="11183"/>
    <cellStyle name="Normal 15 84 2 3" xfId="23873"/>
    <cellStyle name="Normal 15 84 2 4" xfId="19493"/>
    <cellStyle name="Normal 15 84 2 5" xfId="29281"/>
    <cellStyle name="Normal 15 84 3" xfId="6324"/>
    <cellStyle name="Normal 15 84 3 2" xfId="13094"/>
    <cellStyle name="Normal 15 84 3 3" xfId="25784"/>
    <cellStyle name="Normal 15 84 3 4" xfId="7495"/>
    <cellStyle name="Normal 15 84 3 5" xfId="29215"/>
    <cellStyle name="Normal 15 84 4" xfId="8747"/>
    <cellStyle name="Normal 15 84 5" xfId="21506"/>
    <cellStyle name="Normal 15 84 6" xfId="16271"/>
    <cellStyle name="Normal 15 84 7" xfId="31182"/>
    <cellStyle name="Normal 15 85" xfId="2000"/>
    <cellStyle name="Normal 15 85 2" xfId="4436"/>
    <cellStyle name="Normal 15 85 2 2" xfId="11206"/>
    <cellStyle name="Normal 15 85 2 3" xfId="23896"/>
    <cellStyle name="Normal 15 85 2 4" xfId="15088"/>
    <cellStyle name="Normal 15 85 2 5" xfId="32212"/>
    <cellStyle name="Normal 15 85 3" xfId="6344"/>
    <cellStyle name="Normal 15 85 3 2" xfId="13114"/>
    <cellStyle name="Normal 15 85 3 3" xfId="25804"/>
    <cellStyle name="Normal 15 85 3 4" xfId="7302"/>
    <cellStyle name="Normal 15 85 3 5" xfId="28260"/>
    <cellStyle name="Normal 15 85 4" xfId="8770"/>
    <cellStyle name="Normal 15 85 5" xfId="21526"/>
    <cellStyle name="Normal 15 85 6" xfId="20081"/>
    <cellStyle name="Normal 15 85 7" xfId="28039"/>
    <cellStyle name="Normal 15 86" xfId="2022"/>
    <cellStyle name="Normal 15 86 2" xfId="4457"/>
    <cellStyle name="Normal 15 86 2 2" xfId="11227"/>
    <cellStyle name="Normal 15 86 2 3" xfId="23917"/>
    <cellStyle name="Normal 15 86 2 4" xfId="14940"/>
    <cellStyle name="Normal 15 86 2 5" xfId="27507"/>
    <cellStyle name="Normal 15 86 3" xfId="6363"/>
    <cellStyle name="Normal 15 86 3 2" xfId="13133"/>
    <cellStyle name="Normal 15 86 3 3" xfId="25823"/>
    <cellStyle name="Normal 15 86 3 4" xfId="9217"/>
    <cellStyle name="Normal 15 86 3 5" xfId="30051"/>
    <cellStyle name="Normal 15 86 4" xfId="8792"/>
    <cellStyle name="Normal 15 86 5" xfId="21545"/>
    <cellStyle name="Normal 15 86 6" xfId="18137"/>
    <cellStyle name="Normal 15 86 7" xfId="26970"/>
    <cellStyle name="Normal 15 87" xfId="2045"/>
    <cellStyle name="Normal 15 87 2" xfId="4479"/>
    <cellStyle name="Normal 15 87 2 2" xfId="11249"/>
    <cellStyle name="Normal 15 87 2 3" xfId="23939"/>
    <cellStyle name="Normal 15 87 2 4" xfId="19102"/>
    <cellStyle name="Normal 15 87 2 5" xfId="29190"/>
    <cellStyle name="Normal 15 87 3" xfId="6383"/>
    <cellStyle name="Normal 15 87 3 2" xfId="13153"/>
    <cellStyle name="Normal 15 87 3 3" xfId="25843"/>
    <cellStyle name="Normal 15 87 3 4" xfId="16269"/>
    <cellStyle name="Normal 15 87 3 5" xfId="32099"/>
    <cellStyle name="Normal 15 87 4" xfId="8815"/>
    <cellStyle name="Normal 15 87 5" xfId="21565"/>
    <cellStyle name="Normal 15 87 6" xfId="18292"/>
    <cellStyle name="Normal 15 87 7" xfId="29947"/>
    <cellStyle name="Normal 15 88" xfId="2068"/>
    <cellStyle name="Normal 15 88 2" xfId="4501"/>
    <cellStyle name="Normal 15 88 2 2" xfId="11271"/>
    <cellStyle name="Normal 15 88 2 3" xfId="23961"/>
    <cellStyle name="Normal 15 88 2 4" xfId="16042"/>
    <cellStyle name="Normal 15 88 2 5" xfId="27047"/>
    <cellStyle name="Normal 15 88 3" xfId="6403"/>
    <cellStyle name="Normal 15 88 3 2" xfId="13173"/>
    <cellStyle name="Normal 15 88 3 3" xfId="25863"/>
    <cellStyle name="Normal 15 88 3 4" xfId="20063"/>
    <cellStyle name="Normal 15 88 3 5" xfId="31133"/>
    <cellStyle name="Normal 15 88 4" xfId="8838"/>
    <cellStyle name="Normal 15 88 5" xfId="21585"/>
    <cellStyle name="Normal 15 88 6" xfId="13763"/>
    <cellStyle name="Normal 15 88 7" xfId="27465"/>
    <cellStyle name="Normal 15 89" xfId="2091"/>
    <cellStyle name="Normal 15 89 2" xfId="4522"/>
    <cellStyle name="Normal 15 89 2 2" xfId="11292"/>
    <cellStyle name="Normal 15 89 2 3" xfId="23982"/>
    <cellStyle name="Normal 15 89 2 4" xfId="16880"/>
    <cellStyle name="Normal 15 89 2 5" xfId="30461"/>
    <cellStyle name="Normal 15 89 3" xfId="6423"/>
    <cellStyle name="Normal 15 89 3 2" xfId="13193"/>
    <cellStyle name="Normal 15 89 3 3" xfId="25883"/>
    <cellStyle name="Normal 15 89 3 4" xfId="15725"/>
    <cellStyle name="Normal 15 89 3 5" xfId="29970"/>
    <cellStyle name="Normal 15 89 4" xfId="8861"/>
    <cellStyle name="Normal 15 89 5" xfId="21605"/>
    <cellStyle name="Normal 15 89 6" xfId="18118"/>
    <cellStyle name="Normal 15 89 7" xfId="31000"/>
    <cellStyle name="Normal 15 9" xfId="254"/>
    <cellStyle name="Normal 15 9 2" xfId="2732"/>
    <cellStyle name="Normal 15 9 2 2" xfId="9502"/>
    <cellStyle name="Normal 15 9 2 3" xfId="22192"/>
    <cellStyle name="Normal 15 9 2 4" xfId="15910"/>
    <cellStyle name="Normal 15 9 2 5" xfId="28736"/>
    <cellStyle name="Normal 15 9 3" xfId="2670"/>
    <cellStyle name="Normal 15 9 3 2" xfId="9440"/>
    <cellStyle name="Normal 15 9 3 3" xfId="22130"/>
    <cellStyle name="Normal 15 9 3 4" xfId="18583"/>
    <cellStyle name="Normal 15 9 3 5" xfId="26697"/>
    <cellStyle name="Normal 15 9 4" xfId="7024"/>
    <cellStyle name="Normal 15 9 5" xfId="15497"/>
    <cellStyle name="Normal 15 9 6" xfId="15690"/>
    <cellStyle name="Normal 15 9 7" xfId="30200"/>
    <cellStyle name="Normal 15 90" xfId="2114"/>
    <cellStyle name="Normal 15 90 2" xfId="4544"/>
    <cellStyle name="Normal 15 90 2 2" xfId="11314"/>
    <cellStyle name="Normal 15 90 2 3" xfId="24004"/>
    <cellStyle name="Normal 15 90 2 4" xfId="14374"/>
    <cellStyle name="Normal 15 90 2 5" xfId="32063"/>
    <cellStyle name="Normal 15 90 3" xfId="6443"/>
    <cellStyle name="Normal 15 90 3 2" xfId="13213"/>
    <cellStyle name="Normal 15 90 3 3" xfId="25903"/>
    <cellStyle name="Normal 15 90 3 4" xfId="19854"/>
    <cellStyle name="Normal 15 90 3 5" xfId="30626"/>
    <cellStyle name="Normal 15 90 4" xfId="8884"/>
    <cellStyle name="Normal 15 90 5" xfId="21625"/>
    <cellStyle name="Normal 15 90 6" xfId="18394"/>
    <cellStyle name="Normal 15 90 7" xfId="28953"/>
    <cellStyle name="Normal 15 91" xfId="2136"/>
    <cellStyle name="Normal 15 91 2" xfId="4564"/>
    <cellStyle name="Normal 15 91 2 2" xfId="11334"/>
    <cellStyle name="Normal 15 91 2 3" xfId="24024"/>
    <cellStyle name="Normal 15 91 2 4" xfId="16593"/>
    <cellStyle name="Normal 15 91 2 5" xfId="31092"/>
    <cellStyle name="Normal 15 91 3" xfId="6462"/>
    <cellStyle name="Normal 15 91 3 2" xfId="13232"/>
    <cellStyle name="Normal 15 91 3 3" xfId="25922"/>
    <cellStyle name="Normal 15 91 3 4" xfId="16132"/>
    <cellStyle name="Normal 15 91 3 5" xfId="29020"/>
    <cellStyle name="Normal 15 91 4" xfId="8906"/>
    <cellStyle name="Normal 15 91 5" xfId="21644"/>
    <cellStyle name="Normal 15 91 6" xfId="19840"/>
    <cellStyle name="Normal 15 91 7" xfId="26788"/>
    <cellStyle name="Normal 15 92" xfId="2156"/>
    <cellStyle name="Normal 15 92 2" xfId="4583"/>
    <cellStyle name="Normal 15 92 2 2" xfId="11353"/>
    <cellStyle name="Normal 15 92 2 3" xfId="24043"/>
    <cellStyle name="Normal 15 92 2 4" xfId="14102"/>
    <cellStyle name="Normal 15 92 2 5" xfId="28096"/>
    <cellStyle name="Normal 15 92 3" xfId="6480"/>
    <cellStyle name="Normal 15 92 3 2" xfId="13250"/>
    <cellStyle name="Normal 15 92 3 3" xfId="25940"/>
    <cellStyle name="Normal 15 92 3 4" xfId="17786"/>
    <cellStyle name="Normal 15 92 3 5" xfId="28993"/>
    <cellStyle name="Normal 15 92 4" xfId="8926"/>
    <cellStyle name="Normal 15 92 5" xfId="21662"/>
    <cellStyle name="Normal 15 92 6" xfId="15477"/>
    <cellStyle name="Normal 15 92 7" xfId="28894"/>
    <cellStyle name="Normal 15 93" xfId="2174"/>
    <cellStyle name="Normal 15 93 2" xfId="4600"/>
    <cellStyle name="Normal 15 93 2 2" xfId="11370"/>
    <cellStyle name="Normal 15 93 2 3" xfId="24060"/>
    <cellStyle name="Normal 15 93 2 4" xfId="15975"/>
    <cellStyle name="Normal 15 93 2 5" xfId="31040"/>
    <cellStyle name="Normal 15 93 3" xfId="6496"/>
    <cellStyle name="Normal 15 93 3 2" xfId="13266"/>
    <cellStyle name="Normal 15 93 3 3" xfId="25956"/>
    <cellStyle name="Normal 15 93 3 4" xfId="15316"/>
    <cellStyle name="Normal 15 93 3 5" xfId="26833"/>
    <cellStyle name="Normal 15 93 4" xfId="8944"/>
    <cellStyle name="Normal 15 93 5" xfId="21678"/>
    <cellStyle name="Normal 15 93 6" xfId="15375"/>
    <cellStyle name="Normal 15 93 7" xfId="28866"/>
    <cellStyle name="Normal 15 94" xfId="2184"/>
    <cellStyle name="Normal 15 94 2" xfId="4610"/>
    <cellStyle name="Normal 15 94 2 2" xfId="11380"/>
    <cellStyle name="Normal 15 94 2 3" xfId="24070"/>
    <cellStyle name="Normal 15 94 2 4" xfId="13929"/>
    <cellStyle name="Normal 15 94 2 5" xfId="31968"/>
    <cellStyle name="Normal 15 94 3" xfId="6506"/>
    <cellStyle name="Normal 15 94 3 2" xfId="13276"/>
    <cellStyle name="Normal 15 94 3 3" xfId="25966"/>
    <cellStyle name="Normal 15 94 3 4" xfId="19507"/>
    <cellStyle name="Normal 15 94 3 5" xfId="27995"/>
    <cellStyle name="Normal 15 94 4" xfId="8954"/>
    <cellStyle name="Normal 15 94 5" xfId="21688"/>
    <cellStyle name="Normal 15 94 6" xfId="19563"/>
    <cellStyle name="Normal 15 94 7" xfId="26710"/>
    <cellStyle name="Normal 15 95" xfId="2206"/>
    <cellStyle name="Normal 15 95 2" xfId="4631"/>
    <cellStyle name="Normal 15 95 2 2" xfId="11401"/>
    <cellStyle name="Normal 15 95 2 3" xfId="24091"/>
    <cellStyle name="Normal 15 95 2 4" xfId="15895"/>
    <cellStyle name="Normal 15 95 2 5" xfId="28018"/>
    <cellStyle name="Normal 15 95 3" xfId="6525"/>
    <cellStyle name="Normal 15 95 3 2" xfId="13295"/>
    <cellStyle name="Normal 15 95 3 3" xfId="25985"/>
    <cellStyle name="Normal 15 95 3 4" xfId="17483"/>
    <cellStyle name="Normal 15 95 3 5" xfId="29823"/>
    <cellStyle name="Normal 15 95 4" xfId="8976"/>
    <cellStyle name="Normal 15 95 5" xfId="21707"/>
    <cellStyle name="Normal 15 95 6" xfId="17544"/>
    <cellStyle name="Normal 15 95 7" xfId="27850"/>
    <cellStyle name="Normal 15 96" xfId="2251"/>
    <cellStyle name="Normal 15 96 2" xfId="4673"/>
    <cellStyle name="Normal 15 96 2 2" xfId="11443"/>
    <cellStyle name="Normal 15 96 2 3" xfId="24133"/>
    <cellStyle name="Normal 15 96 2 4" xfId="15484"/>
    <cellStyle name="Normal 15 96 2 5" xfId="27952"/>
    <cellStyle name="Normal 15 96 3" xfId="6560"/>
    <cellStyle name="Normal 15 96 3 2" xfId="13330"/>
    <cellStyle name="Normal 15 96 3 3" xfId="26020"/>
    <cellStyle name="Normal 15 96 3 4" xfId="18225"/>
    <cellStyle name="Normal 15 96 3 5" xfId="27910"/>
    <cellStyle name="Normal 15 96 4" xfId="9021"/>
    <cellStyle name="Normal 15 96 5" xfId="21742"/>
    <cellStyle name="Normal 15 96 6" xfId="17240"/>
    <cellStyle name="Normal 15 96 7" xfId="31712"/>
    <cellStyle name="Normal 15 97" xfId="2273"/>
    <cellStyle name="Normal 15 97 2" xfId="4694"/>
    <cellStyle name="Normal 15 97 2 2" xfId="11464"/>
    <cellStyle name="Normal 15 97 2 3" xfId="24154"/>
    <cellStyle name="Normal 15 97 2 4" xfId="15655"/>
    <cellStyle name="Normal 15 97 2 5" xfId="31852"/>
    <cellStyle name="Normal 15 97 3" xfId="6579"/>
    <cellStyle name="Normal 15 97 3 2" xfId="13349"/>
    <cellStyle name="Normal 15 97 3 3" xfId="26039"/>
    <cellStyle name="Normal 15 97 3 4" xfId="17136"/>
    <cellStyle name="Normal 15 97 3 5" xfId="29750"/>
    <cellStyle name="Normal 15 97 4" xfId="9043"/>
    <cellStyle name="Normal 15 97 5" xfId="21761"/>
    <cellStyle name="Normal 15 97 6" xfId="14731"/>
    <cellStyle name="Normal 15 97 7" xfId="30282"/>
    <cellStyle name="Normal 15 98" xfId="2295"/>
    <cellStyle name="Normal 15 98 2" xfId="4716"/>
    <cellStyle name="Normal 15 98 2 2" xfId="11486"/>
    <cellStyle name="Normal 15 98 2 3" xfId="24176"/>
    <cellStyle name="Normal 15 98 2 4" xfId="18016"/>
    <cellStyle name="Normal 15 98 2 5" xfId="27178"/>
    <cellStyle name="Normal 15 98 3" xfId="6598"/>
    <cellStyle name="Normal 15 98 3 2" xfId="13368"/>
    <cellStyle name="Normal 15 98 3 3" xfId="26058"/>
    <cellStyle name="Normal 15 98 3 4" xfId="14648"/>
    <cellStyle name="Normal 15 98 3 5" xfId="26684"/>
    <cellStyle name="Normal 15 98 4" xfId="9065"/>
    <cellStyle name="Normal 15 98 5" xfId="21780"/>
    <cellStyle name="Normal 15 98 6" xfId="17133"/>
    <cellStyle name="Normal 15 98 7" xfId="31411"/>
    <cellStyle name="Normal 15 99" xfId="2317"/>
    <cellStyle name="Normal 15 99 2" xfId="4738"/>
    <cellStyle name="Normal 15 99 2 2" xfId="11508"/>
    <cellStyle name="Normal 15 99 2 3" xfId="24198"/>
    <cellStyle name="Normal 15 99 2 4" xfId="17748"/>
    <cellStyle name="Normal 15 99 2 5" xfId="30811"/>
    <cellStyle name="Normal 15 99 3" xfId="6617"/>
    <cellStyle name="Normal 15 99 3 2" xfId="13387"/>
    <cellStyle name="Normal 15 99 3 3" xfId="26077"/>
    <cellStyle name="Normal 15 99 3 4" xfId="18844"/>
    <cellStyle name="Normal 15 99 3 5" xfId="31760"/>
    <cellStyle name="Normal 15 99 4" xfId="9087"/>
    <cellStyle name="Normal 15 99 5" xfId="21799"/>
    <cellStyle name="Normal 15 99 6" xfId="16802"/>
    <cellStyle name="Normal 15 99 7" xfId="32291"/>
    <cellStyle name="Normal 150" xfId="33388"/>
    <cellStyle name="Normal 150 2" xfId="34127"/>
    <cellStyle name="Normal 151" xfId="33411"/>
    <cellStyle name="Normal 151 2" xfId="34105"/>
    <cellStyle name="Normal 152" xfId="33434"/>
    <cellStyle name="Normal 152 2" xfId="34078"/>
    <cellStyle name="Normal 153" xfId="33457"/>
    <cellStyle name="Normal 153 2" xfId="34108"/>
    <cellStyle name="Normal 154" xfId="33480"/>
    <cellStyle name="Normal 154 2" xfId="34115"/>
    <cellStyle name="Normal 155" xfId="33503"/>
    <cellStyle name="Normal 155 2" xfId="34103"/>
    <cellStyle name="Normal 156" xfId="33526"/>
    <cellStyle name="Normal 156 2" xfId="34059"/>
    <cellStyle name="Normal 157" xfId="33549"/>
    <cellStyle name="Normal 157 2" xfId="34074"/>
    <cellStyle name="Normal 158" xfId="33572"/>
    <cellStyle name="Normal 158 2" xfId="34072"/>
    <cellStyle name="Normal 159" xfId="33595"/>
    <cellStyle name="Normal 159 2" xfId="34093"/>
    <cellStyle name="Normal 16" xfId="54"/>
    <cellStyle name="Normal 16 2" xfId="2539"/>
    <cellStyle name="Normal 16 2 2" xfId="9309"/>
    <cellStyle name="Normal 16 2 3" xfId="21999"/>
    <cellStyle name="Normal 16 2 4" xfId="16687"/>
    <cellStyle name="Normal 16 2 5" xfId="31990"/>
    <cellStyle name="Normal 16 3" xfId="2653"/>
    <cellStyle name="Normal 16 3 2" xfId="9423"/>
    <cellStyle name="Normal 16 3 3" xfId="22113"/>
    <cellStyle name="Normal 16 3 4" xfId="16713"/>
    <cellStyle name="Normal 16 3 5" xfId="30449"/>
    <cellStyle name="Normal 16 4" xfId="6824"/>
    <cellStyle name="Normal 16 5" xfId="14910"/>
    <cellStyle name="Normal 16 6" xfId="19521"/>
    <cellStyle name="Normal 16 7" xfId="30825"/>
    <cellStyle name="Normal 160" xfId="33618"/>
    <cellStyle name="Normal 160 2" xfId="34096"/>
    <cellStyle name="Normal 161" xfId="34135"/>
    <cellStyle name="Normal 162" xfId="34139"/>
    <cellStyle name="Normal 163" xfId="33685"/>
    <cellStyle name="Normal 163 2" xfId="34099"/>
    <cellStyle name="Normal 164" xfId="33708"/>
    <cellStyle name="Normal 164 2" xfId="34121"/>
    <cellStyle name="Normal 165" xfId="33731"/>
    <cellStyle name="Normal 165 2" xfId="34070"/>
    <cellStyle name="Normal 166" xfId="33754"/>
    <cellStyle name="Normal 166 2" xfId="34113"/>
    <cellStyle name="Normal 167" xfId="33777"/>
    <cellStyle name="Normal 167 2" xfId="34111"/>
    <cellStyle name="Normal 168" xfId="33800"/>
    <cellStyle name="Normal 168 2" xfId="34081"/>
    <cellStyle name="Normal 169" xfId="33823"/>
    <cellStyle name="Normal 169 2" xfId="34086"/>
    <cellStyle name="Normal 17" xfId="70"/>
    <cellStyle name="Normal 17 2" xfId="2555"/>
    <cellStyle name="Normal 17 2 2" xfId="9325"/>
    <cellStyle name="Normal 17 2 3" xfId="22015"/>
    <cellStyle name="Normal 17 2 4" xfId="13623"/>
    <cellStyle name="Normal 17 2 5" xfId="29896"/>
    <cellStyle name="Normal 17 3" xfId="3524"/>
    <cellStyle name="Normal 17 3 2" xfId="10294"/>
    <cellStyle name="Normal 17 3 3" xfId="22984"/>
    <cellStyle name="Normal 17 3 4" xfId="14677"/>
    <cellStyle name="Normal 17 3 5" xfId="28600"/>
    <cellStyle name="Normal 17 4" xfId="6840"/>
    <cellStyle name="Normal 17 5" xfId="14602"/>
    <cellStyle name="Normal 17 6" xfId="17521"/>
    <cellStyle name="Normal 17 7" xfId="31775"/>
    <cellStyle name="Normal 170" xfId="33846"/>
    <cellStyle name="Normal 170 2" xfId="34084"/>
    <cellStyle name="Normal 171" xfId="33869"/>
    <cellStyle name="Normal 171 2" xfId="34064"/>
    <cellStyle name="Normal 172" xfId="33892"/>
    <cellStyle name="Normal 172 2" xfId="34066"/>
    <cellStyle name="Normal 173" xfId="33915"/>
    <cellStyle name="Normal 173 2" xfId="34101"/>
    <cellStyle name="Normal 174" xfId="33938"/>
    <cellStyle name="Normal 174 2" xfId="34068"/>
    <cellStyle name="Normal 175" xfId="33961"/>
    <cellStyle name="Normal 175 2" xfId="34130"/>
    <cellStyle name="Normal 176" xfId="33984"/>
    <cellStyle name="Normal 176 2" xfId="34062"/>
    <cellStyle name="Normal 177" xfId="34006"/>
    <cellStyle name="Normal 177 2" xfId="34123"/>
    <cellStyle name="Normal 18" xfId="82"/>
    <cellStyle name="Normal 18 2" xfId="2566"/>
    <cellStyle name="Normal 18 2 2" xfId="9336"/>
    <cellStyle name="Normal 18 2 3" xfId="22026"/>
    <cellStyle name="Normal 18 2 4" xfId="16510"/>
    <cellStyle name="Normal 18 2 5" xfId="28031"/>
    <cellStyle name="Normal 18 3" xfId="3280"/>
    <cellStyle name="Normal 18 3 2" xfId="10050"/>
    <cellStyle name="Normal 18 3 3" xfId="22740"/>
    <cellStyle name="Normal 18 3 4" xfId="16541"/>
    <cellStyle name="Normal 18 3 5" xfId="28019"/>
    <cellStyle name="Normal 18 4" xfId="6852"/>
    <cellStyle name="Normal 18 5" xfId="14364"/>
    <cellStyle name="Normal 18 6" xfId="17436"/>
    <cellStyle name="Normal 18 7" xfId="31754"/>
    <cellStyle name="Normal 19" xfId="106"/>
    <cellStyle name="Normal 19 2" xfId="2590"/>
    <cellStyle name="Normal 19 2 2" xfId="9360"/>
    <cellStyle name="Normal 19 2 3" xfId="22050"/>
    <cellStyle name="Normal 19 2 4" xfId="15954"/>
    <cellStyle name="Normal 19 2 5" xfId="27486"/>
    <cellStyle name="Normal 19 3" xfId="4526"/>
    <cellStyle name="Normal 19 3 2" xfId="11296"/>
    <cellStyle name="Normal 19 3 3" xfId="23986"/>
    <cellStyle name="Normal 19 3 4" xfId="14479"/>
    <cellStyle name="Normal 19 3 5" xfId="32091"/>
    <cellStyle name="Normal 19 4" xfId="6876"/>
    <cellStyle name="Normal 19 5" xfId="15569"/>
    <cellStyle name="Normal 19 6" xfId="17282"/>
    <cellStyle name="Normal 19 7" xfId="31710"/>
    <cellStyle name="Normal 2" xfId="4"/>
    <cellStyle name="Normal 2 2" xfId="18"/>
    <cellStyle name="Normal 2 2 10" xfId="245"/>
    <cellStyle name="Normal 2 2 100" xfId="2315"/>
    <cellStyle name="Normal 2 2 101" xfId="2337"/>
    <cellStyle name="Normal 2 2 102" xfId="2359"/>
    <cellStyle name="Normal 2 2 103" xfId="2380"/>
    <cellStyle name="Normal 2 2 104" xfId="2400"/>
    <cellStyle name="Normal 2 2 105" xfId="2418"/>
    <cellStyle name="Normal 2 2 106" xfId="2440"/>
    <cellStyle name="Normal 2 2 107" xfId="2462"/>
    <cellStyle name="Normal 2 2 108" xfId="2480"/>
    <cellStyle name="Normal 2 2 109" xfId="32450"/>
    <cellStyle name="Normal 2 2 11" xfId="283"/>
    <cellStyle name="Normal 2 2 110" xfId="32492"/>
    <cellStyle name="Normal 2 2 111" xfId="32515"/>
    <cellStyle name="Normal 2 2 112" xfId="32538"/>
    <cellStyle name="Normal 2 2 113" xfId="32561"/>
    <cellStyle name="Normal 2 2 114" xfId="32584"/>
    <cellStyle name="Normal 2 2 115" xfId="32607"/>
    <cellStyle name="Normal 2 2 116" xfId="32630"/>
    <cellStyle name="Normal 2 2 117" xfId="32653"/>
    <cellStyle name="Normal 2 2 118" xfId="32676"/>
    <cellStyle name="Normal 2 2 119" xfId="32699"/>
    <cellStyle name="Normal 2 2 12" xfId="290"/>
    <cellStyle name="Normal 2 2 120" xfId="32722"/>
    <cellStyle name="Normal 2 2 121" xfId="32745"/>
    <cellStyle name="Normal 2 2 122" xfId="32768"/>
    <cellStyle name="Normal 2 2 123" xfId="32791"/>
    <cellStyle name="Normal 2 2 124" xfId="32814"/>
    <cellStyle name="Normal 2 2 125" xfId="32837"/>
    <cellStyle name="Normal 2 2 126" xfId="32860"/>
    <cellStyle name="Normal 2 2 127" xfId="32883"/>
    <cellStyle name="Normal 2 2 128" xfId="32905"/>
    <cellStyle name="Normal 2 2 129" xfId="32928"/>
    <cellStyle name="Normal 2 2 13" xfId="331"/>
    <cellStyle name="Normal 2 2 130" xfId="32951"/>
    <cellStyle name="Normal 2 2 131" xfId="32974"/>
    <cellStyle name="Normal 2 2 132" xfId="32997"/>
    <cellStyle name="Normal 2 2 133" xfId="33020"/>
    <cellStyle name="Normal 2 2 134" xfId="33043"/>
    <cellStyle name="Normal 2 2 135" xfId="33066"/>
    <cellStyle name="Normal 2 2 136" xfId="33089"/>
    <cellStyle name="Normal 2 2 137" xfId="33112"/>
    <cellStyle name="Normal 2 2 138" xfId="33134"/>
    <cellStyle name="Normal 2 2 139" xfId="33157"/>
    <cellStyle name="Normal 2 2 14" xfId="354"/>
    <cellStyle name="Normal 2 2 140" xfId="33176"/>
    <cellStyle name="Normal 2 2 141" xfId="33184"/>
    <cellStyle name="Normal 2 2 142" xfId="33213"/>
    <cellStyle name="Normal 2 2 143" xfId="33231"/>
    <cellStyle name="Normal 2 2 144" xfId="33268"/>
    <cellStyle name="Normal 2 2 145" xfId="33291"/>
    <cellStyle name="Normal 2 2 146" xfId="33314"/>
    <cellStyle name="Normal 2 2 147" xfId="33337"/>
    <cellStyle name="Normal 2 2 148" xfId="33360"/>
    <cellStyle name="Normal 2 2 149" xfId="33383"/>
    <cellStyle name="Normal 2 2 15" xfId="377"/>
    <cellStyle name="Normal 2 2 150" xfId="33406"/>
    <cellStyle name="Normal 2 2 151" xfId="33429"/>
    <cellStyle name="Normal 2 2 152" xfId="33452"/>
    <cellStyle name="Normal 2 2 153" xfId="33475"/>
    <cellStyle name="Normal 2 2 154" xfId="33498"/>
    <cellStyle name="Normal 2 2 155" xfId="33521"/>
    <cellStyle name="Normal 2 2 156" xfId="33544"/>
    <cellStyle name="Normal 2 2 157" xfId="33567"/>
    <cellStyle name="Normal 2 2 158" xfId="33590"/>
    <cellStyle name="Normal 2 2 159" xfId="33613"/>
    <cellStyle name="Normal 2 2 16" xfId="400"/>
    <cellStyle name="Normal 2 2 160" xfId="33636"/>
    <cellStyle name="Normal 2 2 161" xfId="33658"/>
    <cellStyle name="Normal 2 2 162" xfId="33680"/>
    <cellStyle name="Normal 2 2 163" xfId="33703"/>
    <cellStyle name="Normal 2 2 164" xfId="33726"/>
    <cellStyle name="Normal 2 2 165" xfId="33749"/>
    <cellStyle name="Normal 2 2 166" xfId="33772"/>
    <cellStyle name="Normal 2 2 167" xfId="33795"/>
    <cellStyle name="Normal 2 2 168" xfId="33818"/>
    <cellStyle name="Normal 2 2 169" xfId="33841"/>
    <cellStyle name="Normal 2 2 17" xfId="423"/>
    <cellStyle name="Normal 2 2 170" xfId="33864"/>
    <cellStyle name="Normal 2 2 171" xfId="33887"/>
    <cellStyle name="Normal 2 2 172" xfId="33910"/>
    <cellStyle name="Normal 2 2 173" xfId="33933"/>
    <cellStyle name="Normal 2 2 174" xfId="33956"/>
    <cellStyle name="Normal 2 2 175" xfId="33979"/>
    <cellStyle name="Normal 2 2 176" xfId="34001"/>
    <cellStyle name="Normal 2 2 177" xfId="34021"/>
    <cellStyle name="Normal 2 2 178" xfId="34039"/>
    <cellStyle name="Normal 2 2 18" xfId="445"/>
    <cellStyle name="Normal 2 2 19" xfId="468"/>
    <cellStyle name="Normal 2 2 2" xfId="57"/>
    <cellStyle name="Normal 2 2 2 10" xfId="201"/>
    <cellStyle name="Normal 2 2 2 100" xfId="2298"/>
    <cellStyle name="Normal 2 2 2 101" xfId="2320"/>
    <cellStyle name="Normal 2 2 2 102" xfId="2342"/>
    <cellStyle name="Normal 2 2 2 103" xfId="2364"/>
    <cellStyle name="Normal 2 2 2 104" xfId="2385"/>
    <cellStyle name="Normal 2 2 2 105" xfId="2386"/>
    <cellStyle name="Normal 2 2 2 106" xfId="2375"/>
    <cellStyle name="Normal 2 2 2 107" xfId="2448"/>
    <cellStyle name="Normal 2 2 2 108" xfId="2467"/>
    <cellStyle name="Normal 2 2 2 109" xfId="32462"/>
    <cellStyle name="Normal 2 2 2 11" xfId="267"/>
    <cellStyle name="Normal 2 2 2 110" xfId="32475"/>
    <cellStyle name="Normal 2 2 2 111" xfId="32498"/>
    <cellStyle name="Normal 2 2 2 112" xfId="32521"/>
    <cellStyle name="Normal 2 2 2 113" xfId="32544"/>
    <cellStyle name="Normal 2 2 2 114" xfId="32567"/>
    <cellStyle name="Normal 2 2 2 115" xfId="32590"/>
    <cellStyle name="Normal 2 2 2 116" xfId="32613"/>
    <cellStyle name="Normal 2 2 2 117" xfId="32636"/>
    <cellStyle name="Normal 2 2 2 118" xfId="32659"/>
    <cellStyle name="Normal 2 2 2 119" xfId="32682"/>
    <cellStyle name="Normal 2 2 2 12" xfId="265"/>
    <cellStyle name="Normal 2 2 2 120" xfId="32705"/>
    <cellStyle name="Normal 2 2 2 121" xfId="32728"/>
    <cellStyle name="Normal 2 2 2 122" xfId="32751"/>
    <cellStyle name="Normal 2 2 2 123" xfId="32774"/>
    <cellStyle name="Normal 2 2 2 124" xfId="32797"/>
    <cellStyle name="Normal 2 2 2 125" xfId="32820"/>
    <cellStyle name="Normal 2 2 2 126" xfId="32843"/>
    <cellStyle name="Normal 2 2 2 127" xfId="32866"/>
    <cellStyle name="Normal 2 2 2 128" xfId="32888"/>
    <cellStyle name="Normal 2 2 2 129" xfId="32911"/>
    <cellStyle name="Normal 2 2 2 13" xfId="314"/>
    <cellStyle name="Normal 2 2 2 130" xfId="32934"/>
    <cellStyle name="Normal 2 2 2 131" xfId="32957"/>
    <cellStyle name="Normal 2 2 2 132" xfId="32980"/>
    <cellStyle name="Normal 2 2 2 133" xfId="33003"/>
    <cellStyle name="Normal 2 2 2 134" xfId="33026"/>
    <cellStyle name="Normal 2 2 2 135" xfId="33049"/>
    <cellStyle name="Normal 2 2 2 136" xfId="33072"/>
    <cellStyle name="Normal 2 2 2 137" xfId="33095"/>
    <cellStyle name="Normal 2 2 2 138" xfId="33118"/>
    <cellStyle name="Normal 2 2 2 139" xfId="33140"/>
    <cellStyle name="Normal 2 2 2 14" xfId="337"/>
    <cellStyle name="Normal 2 2 2 140" xfId="33162"/>
    <cellStyle name="Normal 2 2 2 141" xfId="33142"/>
    <cellStyle name="Normal 2 2 2 142" xfId="33200"/>
    <cellStyle name="Normal 2 2 2 143" xfId="33243"/>
    <cellStyle name="Normal 2 2 2 144" xfId="33251"/>
    <cellStyle name="Normal 2 2 2 145" xfId="33274"/>
    <cellStyle name="Normal 2 2 2 146" xfId="33297"/>
    <cellStyle name="Normal 2 2 2 147" xfId="33320"/>
    <cellStyle name="Normal 2 2 2 148" xfId="33343"/>
    <cellStyle name="Normal 2 2 2 149" xfId="33366"/>
    <cellStyle name="Normal 2 2 2 15" xfId="360"/>
    <cellStyle name="Normal 2 2 2 150" xfId="33389"/>
    <cellStyle name="Normal 2 2 2 151" xfId="33412"/>
    <cellStyle name="Normal 2 2 2 152" xfId="33435"/>
    <cellStyle name="Normal 2 2 2 153" xfId="33458"/>
    <cellStyle name="Normal 2 2 2 154" xfId="33481"/>
    <cellStyle name="Normal 2 2 2 155" xfId="33504"/>
    <cellStyle name="Normal 2 2 2 156" xfId="33527"/>
    <cellStyle name="Normal 2 2 2 157" xfId="33550"/>
    <cellStyle name="Normal 2 2 2 158" xfId="33573"/>
    <cellStyle name="Normal 2 2 2 159" xfId="33596"/>
    <cellStyle name="Normal 2 2 2 16" xfId="383"/>
    <cellStyle name="Normal 2 2 2 160" xfId="33619"/>
    <cellStyle name="Normal 2 2 2 161" xfId="33641"/>
    <cellStyle name="Normal 2 2 2 162" xfId="33663"/>
    <cellStyle name="Normal 2 2 2 163" xfId="33686"/>
    <cellStyle name="Normal 2 2 2 164" xfId="33709"/>
    <cellStyle name="Normal 2 2 2 165" xfId="33732"/>
    <cellStyle name="Normal 2 2 2 166" xfId="33755"/>
    <cellStyle name="Normal 2 2 2 167" xfId="33778"/>
    <cellStyle name="Normal 2 2 2 168" xfId="33801"/>
    <cellStyle name="Normal 2 2 2 169" xfId="33824"/>
    <cellStyle name="Normal 2 2 2 17" xfId="406"/>
    <cellStyle name="Normal 2 2 2 170" xfId="33847"/>
    <cellStyle name="Normal 2 2 2 171" xfId="33870"/>
    <cellStyle name="Normal 2 2 2 172" xfId="33893"/>
    <cellStyle name="Normal 2 2 2 173" xfId="33916"/>
    <cellStyle name="Normal 2 2 2 174" xfId="33939"/>
    <cellStyle name="Normal 2 2 2 175" xfId="33962"/>
    <cellStyle name="Normal 2 2 2 176" xfId="33985"/>
    <cellStyle name="Normal 2 2 2 177" xfId="34007"/>
    <cellStyle name="Normal 2 2 2 178" xfId="34026"/>
    <cellStyle name="Normal 2 2 2 18" xfId="428"/>
    <cellStyle name="Normal 2 2 2 19" xfId="451"/>
    <cellStyle name="Normal 2 2 2 2" xfId="69"/>
    <cellStyle name="Normal 2 2 2 20" xfId="474"/>
    <cellStyle name="Normal 2 2 2 21" xfId="497"/>
    <cellStyle name="Normal 2 2 2 22" xfId="520"/>
    <cellStyle name="Normal 2 2 2 23" xfId="543"/>
    <cellStyle name="Normal 2 2 2 24" xfId="566"/>
    <cellStyle name="Normal 2 2 2 25" xfId="588"/>
    <cellStyle name="Normal 2 2 2 26" xfId="306"/>
    <cellStyle name="Normal 2 2 2 27" xfId="635"/>
    <cellStyle name="Normal 2 2 2 28" xfId="657"/>
    <cellStyle name="Normal 2 2 2 29" xfId="678"/>
    <cellStyle name="Normal 2 2 2 3" xfId="83"/>
    <cellStyle name="Normal 2 2 2 30" xfId="701"/>
    <cellStyle name="Normal 2 2 2 31" xfId="723"/>
    <cellStyle name="Normal 2 2 2 32" xfId="747"/>
    <cellStyle name="Normal 2 2 2 33" xfId="772"/>
    <cellStyle name="Normal 2 2 2 34" xfId="795"/>
    <cellStyle name="Normal 2 2 2 35" xfId="818"/>
    <cellStyle name="Normal 2 2 2 36" xfId="841"/>
    <cellStyle name="Normal 2 2 2 37" xfId="864"/>
    <cellStyle name="Normal 2 2 2 38" xfId="887"/>
    <cellStyle name="Normal 2 2 2 39" xfId="910"/>
    <cellStyle name="Normal 2 2 2 4" xfId="107"/>
    <cellStyle name="Normal 2 2 2 40" xfId="933"/>
    <cellStyle name="Normal 2 2 2 41" xfId="955"/>
    <cellStyle name="Normal 2 2 2 42" xfId="976"/>
    <cellStyle name="Normal 2 2 2 43" xfId="1001"/>
    <cellStyle name="Normal 2 2 2 44" xfId="1023"/>
    <cellStyle name="Normal 2 2 2 45" xfId="1045"/>
    <cellStyle name="Normal 2 2 2 46" xfId="1068"/>
    <cellStyle name="Normal 2 2 2 47" xfId="1091"/>
    <cellStyle name="Normal 2 2 2 48" xfId="1113"/>
    <cellStyle name="Normal 2 2 2 49" xfId="1136"/>
    <cellStyle name="Normal 2 2 2 5" xfId="130"/>
    <cellStyle name="Normal 2 2 2 50" xfId="1158"/>
    <cellStyle name="Normal 2 2 2 51" xfId="956"/>
    <cellStyle name="Normal 2 2 2 52" xfId="1204"/>
    <cellStyle name="Normal 2 2 2 53" xfId="1227"/>
    <cellStyle name="Normal 2 2 2 54" xfId="1250"/>
    <cellStyle name="Normal 2 2 2 55" xfId="1273"/>
    <cellStyle name="Normal 2 2 2 56" xfId="1296"/>
    <cellStyle name="Normal 2 2 2 57" xfId="1319"/>
    <cellStyle name="Normal 2 2 2 58" xfId="1342"/>
    <cellStyle name="Normal 2 2 2 59" xfId="1365"/>
    <cellStyle name="Normal 2 2 2 6" xfId="153"/>
    <cellStyle name="Normal 2 2 2 60" xfId="1388"/>
    <cellStyle name="Normal 2 2 2 61" xfId="1411"/>
    <cellStyle name="Normal 2 2 2 62" xfId="1434"/>
    <cellStyle name="Normal 2 2 2 63" xfId="1457"/>
    <cellStyle name="Normal 2 2 2 64" xfId="1480"/>
    <cellStyle name="Normal 2 2 2 65" xfId="1503"/>
    <cellStyle name="Normal 2 2 2 66" xfId="1526"/>
    <cellStyle name="Normal 2 2 2 67" xfId="1549"/>
    <cellStyle name="Normal 2 2 2 68" xfId="1572"/>
    <cellStyle name="Normal 2 2 2 69" xfId="1595"/>
    <cellStyle name="Normal 2 2 2 7" xfId="176"/>
    <cellStyle name="Normal 2 2 2 70" xfId="1618"/>
    <cellStyle name="Normal 2 2 2 71" xfId="1639"/>
    <cellStyle name="Normal 2 2 2 72" xfId="1641"/>
    <cellStyle name="Normal 2 2 2 73" xfId="1684"/>
    <cellStyle name="Normal 2 2 2 74" xfId="1707"/>
    <cellStyle name="Normal 2 2 2 75" xfId="1730"/>
    <cellStyle name="Normal 2 2 2 76" xfId="1753"/>
    <cellStyle name="Normal 2 2 2 77" xfId="1776"/>
    <cellStyle name="Normal 2 2 2 78" xfId="1799"/>
    <cellStyle name="Normal 2 2 2 79" xfId="1822"/>
    <cellStyle name="Normal 2 2 2 8" xfId="199"/>
    <cellStyle name="Normal 2 2 2 80" xfId="1845"/>
    <cellStyle name="Normal 2 2 2 81" xfId="1868"/>
    <cellStyle name="Normal 2 2 2 82" xfId="1891"/>
    <cellStyle name="Normal 2 2 2 83" xfId="1913"/>
    <cellStyle name="Normal 2 2 2 84" xfId="1935"/>
    <cellStyle name="Normal 2 2 2 85" xfId="1958"/>
    <cellStyle name="Normal 2 2 2 86" xfId="1981"/>
    <cellStyle name="Normal 2 2 2 87" xfId="2003"/>
    <cellStyle name="Normal 2 2 2 88" xfId="2026"/>
    <cellStyle name="Normal 2 2 2 89" xfId="2049"/>
    <cellStyle name="Normal 2 2 2 9" xfId="221"/>
    <cellStyle name="Normal 2 2 2 90" xfId="2072"/>
    <cellStyle name="Normal 2 2 2 91" xfId="2095"/>
    <cellStyle name="Normal 2 2 2 92" xfId="2118"/>
    <cellStyle name="Normal 2 2 2 93" xfId="2140"/>
    <cellStyle name="Normal 2 2 2 94" xfId="2159"/>
    <cellStyle name="Normal 2 2 2 95" xfId="2195"/>
    <cellStyle name="Normal 2 2 2 96" xfId="2223"/>
    <cellStyle name="Normal 2 2 2 97" xfId="2232"/>
    <cellStyle name="Normal 2 2 2 98" xfId="2254"/>
    <cellStyle name="Normal 2 2 2 99" xfId="2276"/>
    <cellStyle name="Normal 2 2 20" xfId="491"/>
    <cellStyle name="Normal 2 2 21" xfId="514"/>
    <cellStyle name="Normal 2 2 22" xfId="537"/>
    <cellStyle name="Normal 2 2 23" xfId="560"/>
    <cellStyle name="Normal 2 2 24" xfId="583"/>
    <cellStyle name="Normal 2 2 25" xfId="604"/>
    <cellStyle name="Normal 2 2 26" xfId="619"/>
    <cellStyle name="Normal 2 2 27" xfId="652"/>
    <cellStyle name="Normal 2 2 28" xfId="673"/>
    <cellStyle name="Normal 2 2 29" xfId="694"/>
    <cellStyle name="Normal 2 2 3" xfId="100"/>
    <cellStyle name="Normal 2 2 30" xfId="718"/>
    <cellStyle name="Normal 2 2 31" xfId="740"/>
    <cellStyle name="Normal 2 2 32" xfId="764"/>
    <cellStyle name="Normal 2 2 33" xfId="789"/>
    <cellStyle name="Normal 2 2 34" xfId="812"/>
    <cellStyle name="Normal 2 2 35" xfId="835"/>
    <cellStyle name="Normal 2 2 36" xfId="858"/>
    <cellStyle name="Normal 2 2 37" xfId="881"/>
    <cellStyle name="Normal 2 2 38" xfId="904"/>
    <cellStyle name="Normal 2 2 39" xfId="927"/>
    <cellStyle name="Normal 2 2 4" xfId="124"/>
    <cellStyle name="Normal 2 2 40" xfId="950"/>
    <cellStyle name="Normal 2 2 41" xfId="971"/>
    <cellStyle name="Normal 2 2 42" xfId="993"/>
    <cellStyle name="Normal 2 2 43" xfId="1018"/>
    <cellStyle name="Normal 2 2 44" xfId="1040"/>
    <cellStyle name="Normal 2 2 45" xfId="1062"/>
    <cellStyle name="Normal 2 2 46" xfId="1085"/>
    <cellStyle name="Normal 2 2 47" xfId="1108"/>
    <cellStyle name="Normal 2 2 48" xfId="1130"/>
    <cellStyle name="Normal 2 2 49" xfId="1153"/>
    <cellStyle name="Normal 2 2 5" xfId="147"/>
    <cellStyle name="Normal 2 2 50" xfId="1173"/>
    <cellStyle name="Normal 2 2 51" xfId="1188"/>
    <cellStyle name="Normal 2 2 52" xfId="1221"/>
    <cellStyle name="Normal 2 2 53" xfId="1244"/>
    <cellStyle name="Normal 2 2 54" xfId="1267"/>
    <cellStyle name="Normal 2 2 55" xfId="1290"/>
    <cellStyle name="Normal 2 2 56" xfId="1313"/>
    <cellStyle name="Normal 2 2 57" xfId="1336"/>
    <cellStyle name="Normal 2 2 58" xfId="1359"/>
    <cellStyle name="Normal 2 2 59" xfId="1382"/>
    <cellStyle name="Normal 2 2 6" xfId="170"/>
    <cellStyle name="Normal 2 2 60" xfId="1405"/>
    <cellStyle name="Normal 2 2 61" xfId="1428"/>
    <cellStyle name="Normal 2 2 62" xfId="1451"/>
    <cellStyle name="Normal 2 2 63" xfId="1474"/>
    <cellStyle name="Normal 2 2 64" xfId="1497"/>
    <cellStyle name="Normal 2 2 65" xfId="1520"/>
    <cellStyle name="Normal 2 2 66" xfId="1543"/>
    <cellStyle name="Normal 2 2 67" xfId="1566"/>
    <cellStyle name="Normal 2 2 68" xfId="1589"/>
    <cellStyle name="Normal 2 2 69" xfId="1612"/>
    <cellStyle name="Normal 2 2 7" xfId="193"/>
    <cellStyle name="Normal 2 2 70" xfId="1634"/>
    <cellStyle name="Normal 2 2 71" xfId="1655"/>
    <cellStyle name="Normal 2 2 72" xfId="1674"/>
    <cellStyle name="Normal 2 2 73" xfId="1701"/>
    <cellStyle name="Normal 2 2 74" xfId="1724"/>
    <cellStyle name="Normal 2 2 75" xfId="1747"/>
    <cellStyle name="Normal 2 2 76" xfId="1770"/>
    <cellStyle name="Normal 2 2 77" xfId="1793"/>
    <cellStyle name="Normal 2 2 78" xfId="1816"/>
    <cellStyle name="Normal 2 2 79" xfId="1839"/>
    <cellStyle name="Normal 2 2 8" xfId="216"/>
    <cellStyle name="Normal 2 2 80" xfId="1862"/>
    <cellStyle name="Normal 2 2 81" xfId="1885"/>
    <cellStyle name="Normal 2 2 82" xfId="1908"/>
    <cellStyle name="Normal 2 2 83" xfId="1930"/>
    <cellStyle name="Normal 2 2 84" xfId="1952"/>
    <cellStyle name="Normal 2 2 85" xfId="1975"/>
    <cellStyle name="Normal 2 2 86" xfId="1998"/>
    <cellStyle name="Normal 2 2 87" xfId="2020"/>
    <cellStyle name="Normal 2 2 88" xfId="2043"/>
    <cellStyle name="Normal 2 2 89" xfId="2066"/>
    <cellStyle name="Normal 2 2 9" xfId="237"/>
    <cellStyle name="Normal 2 2 90" xfId="2089"/>
    <cellStyle name="Normal 2 2 91" xfId="2112"/>
    <cellStyle name="Normal 2 2 92" xfId="2134"/>
    <cellStyle name="Normal 2 2 93" xfId="2154"/>
    <cellStyle name="Normal 2 2 94" xfId="2172"/>
    <cellStyle name="Normal 2 2 95" xfId="2188"/>
    <cellStyle name="Normal 2 2 96" xfId="2211"/>
    <cellStyle name="Normal 2 2 97" xfId="2249"/>
    <cellStyle name="Normal 2 2 98" xfId="2271"/>
    <cellStyle name="Normal 2 2 99" xfId="2293"/>
    <cellStyle name="Normal 2 3" xfId="15"/>
    <cellStyle name="Normal 20" xfId="129"/>
    <cellStyle name="Normal 20 2" xfId="2613"/>
    <cellStyle name="Normal 20 2 2" xfId="9383"/>
    <cellStyle name="Normal 20 2 3" xfId="22073"/>
    <cellStyle name="Normal 20 2 4" xfId="17715"/>
    <cellStyle name="Normal 20 2 5" xfId="30921"/>
    <cellStyle name="Normal 20 3" xfId="4066"/>
    <cellStyle name="Normal 20 3 2" xfId="10836"/>
    <cellStyle name="Normal 20 3 3" xfId="23526"/>
    <cellStyle name="Normal 20 3 4" xfId="17750"/>
    <cellStyle name="Normal 20 3 5" xfId="30443"/>
    <cellStyle name="Normal 20 4" xfId="6899"/>
    <cellStyle name="Normal 20 5" xfId="15104"/>
    <cellStyle name="Normal 20 6" xfId="19072"/>
    <cellStyle name="Normal 20 7" xfId="26558"/>
    <cellStyle name="Normal 21" xfId="152"/>
    <cellStyle name="Normal 21 2" xfId="2636"/>
    <cellStyle name="Normal 21 2 2" xfId="9406"/>
    <cellStyle name="Normal 21 2 3" xfId="22096"/>
    <cellStyle name="Normal 21 2 4" xfId="15783"/>
    <cellStyle name="Normal 21 2 5" xfId="28882"/>
    <cellStyle name="Normal 21 3" xfId="2614"/>
    <cellStyle name="Normal 21 3 2" xfId="9384"/>
    <cellStyle name="Normal 21 3 3" xfId="22074"/>
    <cellStyle name="Normal 21 3 4" xfId="16137"/>
    <cellStyle name="Normal 21 3 5" xfId="27954"/>
    <cellStyle name="Normal 21 4" xfId="6922"/>
    <cellStyle name="Normal 21 5" xfId="14455"/>
    <cellStyle name="Normal 21 6" xfId="14620"/>
    <cellStyle name="Normal 21 7" xfId="29562"/>
    <cellStyle name="Normal 22" xfId="175"/>
    <cellStyle name="Normal 22 2" xfId="2658"/>
    <cellStyle name="Normal 22 2 2" xfId="9428"/>
    <cellStyle name="Normal 22 2 3" xfId="22118"/>
    <cellStyle name="Normal 22 2 4" xfId="18663"/>
    <cellStyle name="Normal 22 2 5" xfId="26719"/>
    <cellStyle name="Normal 22 3" xfId="3150"/>
    <cellStyle name="Normal 22 3 2" xfId="9920"/>
    <cellStyle name="Normal 22 3 3" xfId="22610"/>
    <cellStyle name="Normal 22 3 4" xfId="19311"/>
    <cellStyle name="Normal 22 3 5" xfId="27050"/>
    <cellStyle name="Normal 22 4" xfId="6945"/>
    <cellStyle name="Normal 22 5" xfId="14211"/>
    <cellStyle name="Normal 22 6" xfId="16821"/>
    <cellStyle name="Normal 22 7" xfId="27639"/>
    <cellStyle name="Normal 23" xfId="198"/>
    <cellStyle name="Normal 23 2" xfId="2679"/>
    <cellStyle name="Normal 23 2 2" xfId="9449"/>
    <cellStyle name="Normal 23 2 3" xfId="22139"/>
    <cellStyle name="Normal 23 2 4" xfId="18528"/>
    <cellStyle name="Normal 23 2 5" xfId="30813"/>
    <cellStyle name="Normal 23 3" xfId="4804"/>
    <cellStyle name="Normal 23 3 2" xfId="11574"/>
    <cellStyle name="Normal 23 3 3" xfId="24264"/>
    <cellStyle name="Normal 23 3 4" xfId="17318"/>
    <cellStyle name="Normal 23 3 5" xfId="30701"/>
    <cellStyle name="Normal 23 4" xfId="6968"/>
    <cellStyle name="Normal 23 5" xfId="15857"/>
    <cellStyle name="Normal 23 6" xfId="18661"/>
    <cellStyle name="Normal 23 7" xfId="31440"/>
    <cellStyle name="Normal 24" xfId="251"/>
    <cellStyle name="Normal 24 2" xfId="2729"/>
    <cellStyle name="Normal 24 2 2" xfId="9499"/>
    <cellStyle name="Normal 24 2 3" xfId="22189"/>
    <cellStyle name="Normal 24 2 4" xfId="17304"/>
    <cellStyle name="Normal 24 2 5" xfId="29637"/>
    <cellStyle name="Normal 24 3" xfId="4516"/>
    <cellStyle name="Normal 24 3 2" xfId="11286"/>
    <cellStyle name="Normal 24 3 3" xfId="23976"/>
    <cellStyle name="Normal 24 3 4" xfId="16922"/>
    <cellStyle name="Normal 24 3 5" xfId="31167"/>
    <cellStyle name="Normal 24 4" xfId="7021"/>
    <cellStyle name="Normal 24 5" xfId="15559"/>
    <cellStyle name="Normal 24 6" xfId="15711"/>
    <cellStyle name="Normal 24 7" xfId="29310"/>
    <cellStyle name="Normal 24 8" xfId="34131"/>
    <cellStyle name="Normal 25" xfId="67"/>
    <cellStyle name="Normal 25 2" xfId="2552"/>
    <cellStyle name="Normal 25 2 2" xfId="9322"/>
    <cellStyle name="Normal 25 2 3" xfId="22012"/>
    <cellStyle name="Normal 25 2 4" xfId="14219"/>
    <cellStyle name="Normal 25 2 5" xfId="29005"/>
    <cellStyle name="Normal 25 3" xfId="3591"/>
    <cellStyle name="Normal 25 3 2" xfId="10361"/>
    <cellStyle name="Normal 25 3 3" xfId="23051"/>
    <cellStyle name="Normal 25 3 4" xfId="18595"/>
    <cellStyle name="Normal 25 3 5" xfId="31507"/>
    <cellStyle name="Normal 25 4" xfId="6837"/>
    <cellStyle name="Normal 25 5" xfId="13677"/>
    <cellStyle name="Normal 25 6" xfId="17542"/>
    <cellStyle name="Normal 25 7" xfId="27837"/>
    <cellStyle name="Normal 26" xfId="185"/>
    <cellStyle name="Normal 26 2" xfId="2667"/>
    <cellStyle name="Normal 26 2 2" xfId="9437"/>
    <cellStyle name="Normal 26 2 3" xfId="22127"/>
    <cellStyle name="Normal 26 2 4" xfId="18602"/>
    <cellStyle name="Normal 26 2 5" xfId="30836"/>
    <cellStyle name="Normal 26 3" xfId="2554"/>
    <cellStyle name="Normal 26 3 2" xfId="9324"/>
    <cellStyle name="Normal 26 3 3" xfId="22014"/>
    <cellStyle name="Normal 26 3 4" xfId="16575"/>
    <cellStyle name="Normal 26 3 5" xfId="28054"/>
    <cellStyle name="Normal 26 4" xfId="6955"/>
    <cellStyle name="Normal 26 5" xfId="14011"/>
    <cellStyle name="Normal 26 6" xfId="14403"/>
    <cellStyle name="Normal 26 7" xfId="29397"/>
    <cellStyle name="Normal 27" xfId="278"/>
    <cellStyle name="Normal 27 2" xfId="2754"/>
    <cellStyle name="Normal 27 2 2" xfId="9524"/>
    <cellStyle name="Normal 27 2 3" xfId="22214"/>
    <cellStyle name="Normal 27 2 4" xfId="18191"/>
    <cellStyle name="Normal 27 2 5" xfId="26547"/>
    <cellStyle name="Normal 27 3" xfId="3990"/>
    <cellStyle name="Normal 27 3 2" xfId="10760"/>
    <cellStyle name="Normal 27 3 3" xfId="23450"/>
    <cellStyle name="Normal 27 3 4" xfId="20057"/>
    <cellStyle name="Normal 27 3 5" xfId="30189"/>
    <cellStyle name="Normal 27 4" xfId="7048"/>
    <cellStyle name="Normal 27 5" xfId="13672"/>
    <cellStyle name="Normal 27 6" xfId="13780"/>
    <cellStyle name="Normal 27 7" xfId="30167"/>
    <cellStyle name="Normal 28" xfId="313"/>
    <cellStyle name="Normal 28 2" xfId="2789"/>
    <cellStyle name="Normal 28 2 2" xfId="9559"/>
    <cellStyle name="Normal 28 2 3" xfId="22249"/>
    <cellStyle name="Normal 28 2 4" xfId="17371"/>
    <cellStyle name="Normal 28 2 5" xfId="29539"/>
    <cellStyle name="Normal 28 3" xfId="3275"/>
    <cellStyle name="Normal 28 3 2" xfId="10045"/>
    <cellStyle name="Normal 28 3 3" xfId="22735"/>
    <cellStyle name="Normal 28 3 4" xfId="14207"/>
    <cellStyle name="Normal 28 3 5" xfId="29875"/>
    <cellStyle name="Normal 28 4" xfId="7083"/>
    <cellStyle name="Normal 28 5" xfId="14359"/>
    <cellStyle name="Normal 28 6" xfId="16118"/>
    <cellStyle name="Normal 28 7" xfId="28307"/>
    <cellStyle name="Normal 29" xfId="336"/>
    <cellStyle name="Normal 29 2" xfId="2812"/>
    <cellStyle name="Normal 29 2 2" xfId="9582"/>
    <cellStyle name="Normal 29 2 3" xfId="22272"/>
    <cellStyle name="Normal 29 2 4" xfId="6787"/>
    <cellStyle name="Normal 29 2 5" xfId="27611"/>
    <cellStyle name="Normal 29 3" xfId="2802"/>
    <cellStyle name="Normal 29 3 2" xfId="9572"/>
    <cellStyle name="Normal 29 3 3" xfId="22262"/>
    <cellStyle name="Normal 29 3 4" xfId="16080"/>
    <cellStyle name="Normal 29 3 5" xfId="26465"/>
    <cellStyle name="Normal 29 4" xfId="7106"/>
    <cellStyle name="Normal 29 5" xfId="13891"/>
    <cellStyle name="Normal 29 6" xfId="19428"/>
    <cellStyle name="Normal 29 7" xfId="31237"/>
    <cellStyle name="Normal 3" xfId="6"/>
    <cellStyle name="Normal 3 10" xfId="191"/>
    <cellStyle name="Normal 3 10 2" xfId="2673"/>
    <cellStyle name="Normal 3 10 2 2" xfId="9443"/>
    <cellStyle name="Normal 3 10 2 3" xfId="22133"/>
    <cellStyle name="Normal 3 10 2 4" xfId="18564"/>
    <cellStyle name="Normal 3 10 2 5" xfId="30824"/>
    <cellStyle name="Normal 3 10 3" xfId="2813"/>
    <cellStyle name="Normal 3 10 3 2" xfId="9583"/>
    <cellStyle name="Normal 3 10 3 3" xfId="22273"/>
    <cellStyle name="Normal 3 10 3 4" xfId="9063"/>
    <cellStyle name="Normal 3 10 3 5" xfId="29500"/>
    <cellStyle name="Normal 3 10 4" xfId="6961"/>
    <cellStyle name="Normal 3 10 5" xfId="13902"/>
    <cellStyle name="Normal 3 10 6" xfId="14360"/>
    <cellStyle name="Normal 3 10 7" xfId="29387"/>
    <cellStyle name="Normal 3 100" xfId="2247"/>
    <cellStyle name="Normal 3 100 2" xfId="4669"/>
    <cellStyle name="Normal 3 100 2 2" xfId="11439"/>
    <cellStyle name="Normal 3 100 2 3" xfId="24129"/>
    <cellStyle name="Normal 3 100 2 4" xfId="17893"/>
    <cellStyle name="Normal 3 100 2 5" xfId="26783"/>
    <cellStyle name="Normal 3 100 3" xfId="6557"/>
    <cellStyle name="Normal 3 100 3 2" xfId="13327"/>
    <cellStyle name="Normal 3 100 3 3" xfId="26017"/>
    <cellStyle name="Normal 3 100 3 4" xfId="19196"/>
    <cellStyle name="Normal 3 100 3 5" xfId="31851"/>
    <cellStyle name="Normal 3 100 4" xfId="9017"/>
    <cellStyle name="Normal 3 100 5" xfId="21739"/>
    <cellStyle name="Normal 3 100 6" xfId="19192"/>
    <cellStyle name="Normal 3 100 7" xfId="30739"/>
    <cellStyle name="Normal 3 101" xfId="2269"/>
    <cellStyle name="Normal 3 101 2" xfId="4690"/>
    <cellStyle name="Normal 3 101 2 2" xfId="11460"/>
    <cellStyle name="Normal 3 101 2 3" xfId="24150"/>
    <cellStyle name="Normal 3 101 2 4" xfId="18059"/>
    <cellStyle name="Normal 3 101 2 5" xfId="30887"/>
    <cellStyle name="Normal 3 101 3" xfId="6576"/>
    <cellStyle name="Normal 3 101 3 2" xfId="13346"/>
    <cellStyle name="Normal 3 101 3 3" xfId="26036"/>
    <cellStyle name="Normal 3 101 3 4" xfId="17156"/>
    <cellStyle name="Normal 3 101 3 5" xfId="28127"/>
    <cellStyle name="Normal 3 101 4" xfId="9039"/>
    <cellStyle name="Normal 3 101 5" xfId="21758"/>
    <cellStyle name="Normal 3 101 6" xfId="17131"/>
    <cellStyle name="Normal 3 101 7" xfId="32358"/>
    <cellStyle name="Normal 3 102" xfId="2291"/>
    <cellStyle name="Normal 3 102 2" xfId="4712"/>
    <cellStyle name="Normal 3 102 2 2" xfId="11482"/>
    <cellStyle name="Normal 3 102 2 3" xfId="24172"/>
    <cellStyle name="Normal 3 102 2 4" xfId="15531"/>
    <cellStyle name="Normal 3 102 2 5" xfId="31823"/>
    <cellStyle name="Normal 3 102 3" xfId="6595"/>
    <cellStyle name="Normal 3 102 3 2" xfId="13365"/>
    <cellStyle name="Normal 3 102 3 3" xfId="26055"/>
    <cellStyle name="Normal 3 102 3 4" xfId="14667"/>
    <cellStyle name="Normal 3 102 3 5" xfId="30821"/>
    <cellStyle name="Normal 3 102 4" xfId="9061"/>
    <cellStyle name="Normal 3 102 5" xfId="21777"/>
    <cellStyle name="Normal 3 102 6" xfId="14600"/>
    <cellStyle name="Normal 3 102 7" xfId="30255"/>
    <cellStyle name="Normal 3 103" xfId="2313"/>
    <cellStyle name="Normal 3 103 2" xfId="4734"/>
    <cellStyle name="Normal 3 103 2 2" xfId="11504"/>
    <cellStyle name="Normal 3 103 2 3" xfId="24194"/>
    <cellStyle name="Normal 3 103 2 4" xfId="19648"/>
    <cellStyle name="Normal 3 103 2 5" xfId="29719"/>
    <cellStyle name="Normal 3 103 3" xfId="6614"/>
    <cellStyle name="Normal 3 103 3 2" xfId="13384"/>
    <cellStyle name="Normal 3 103 3 3" xfId="26074"/>
    <cellStyle name="Normal 3 103 3 4" xfId="18862"/>
    <cellStyle name="Normal 3 103 3 5" xfId="27823"/>
    <cellStyle name="Normal 3 103 4" xfId="9083"/>
    <cellStyle name="Normal 3 103 5" xfId="21796"/>
    <cellStyle name="Normal 3 103 6" xfId="18801"/>
    <cellStyle name="Normal 3 103 7" xfId="31387"/>
    <cellStyle name="Normal 3 104" xfId="2335"/>
    <cellStyle name="Normal 3 104 2" xfId="4756"/>
    <cellStyle name="Normal 3 104 2 2" xfId="11526"/>
    <cellStyle name="Normal 3 104 2 3" xfId="24216"/>
    <cellStyle name="Normal 3 104 2 4" xfId="17642"/>
    <cellStyle name="Normal 3 104 2 5" xfId="30777"/>
    <cellStyle name="Normal 3 104 3" xfId="6633"/>
    <cellStyle name="Normal 3 104 3 2" xfId="13403"/>
    <cellStyle name="Normal 3 104 3 3" xfId="26093"/>
    <cellStyle name="Normal 3 104 3 4" xfId="16784"/>
    <cellStyle name="Normal 3 104 3 5" xfId="29657"/>
    <cellStyle name="Normal 3 104 4" xfId="9105"/>
    <cellStyle name="Normal 3 104 5" xfId="21815"/>
    <cellStyle name="Normal 3 104 6" xfId="18024"/>
    <cellStyle name="Normal 3 104 7" xfId="32273"/>
    <cellStyle name="Normal 3 105" xfId="2357"/>
    <cellStyle name="Normal 3 105 2" xfId="4777"/>
    <cellStyle name="Normal 3 105 2 2" xfId="11547"/>
    <cellStyle name="Normal 3 105 2 3" xfId="24237"/>
    <cellStyle name="Normal 3 105 2 4" xfId="17489"/>
    <cellStyle name="Normal 3 105 2 5" xfId="26605"/>
    <cellStyle name="Normal 3 105 3" xfId="6652"/>
    <cellStyle name="Normal 3 105 3 2" xfId="13422"/>
    <cellStyle name="Normal 3 105 3 3" xfId="26112"/>
    <cellStyle name="Normal 3 105 3 4" xfId="14277"/>
    <cellStyle name="Normal 3 105 3 5" xfId="26592"/>
    <cellStyle name="Normal 3 105 4" xfId="9127"/>
    <cellStyle name="Normal 3 105 5" xfId="21834"/>
    <cellStyle name="Normal 3 105 6" xfId="13756"/>
    <cellStyle name="Normal 3 105 7" xfId="30171"/>
    <cellStyle name="Normal 3 106" xfId="2378"/>
    <cellStyle name="Normal 3 106 2" xfId="4797"/>
    <cellStyle name="Normal 3 106 2 2" xfId="11567"/>
    <cellStyle name="Normal 3 106 2 3" xfId="24257"/>
    <cellStyle name="Normal 3 106 2 4" xfId="19277"/>
    <cellStyle name="Normal 3 106 2 5" xfId="28726"/>
    <cellStyle name="Normal 3 106 3" xfId="6670"/>
    <cellStyle name="Normal 3 106 3 2" xfId="13440"/>
    <cellStyle name="Normal 3 106 3 3" xfId="26130"/>
    <cellStyle name="Normal 3 106 3 4" xfId="14165"/>
    <cellStyle name="Normal 3 106 3 5" xfId="26559"/>
    <cellStyle name="Normal 3 106 4" xfId="9148"/>
    <cellStyle name="Normal 3 106 5" xfId="21852"/>
    <cellStyle name="Normal 3 106 6" xfId="15368"/>
    <cellStyle name="Normal 3 106 7" xfId="29247"/>
    <cellStyle name="Normal 3 107" xfId="2398"/>
    <cellStyle name="Normal 3 107 2" xfId="4816"/>
    <cellStyle name="Normal 3 107 2 2" xfId="11586"/>
    <cellStyle name="Normal 3 107 2 3" xfId="24276"/>
    <cellStyle name="Normal 3 107 2 4" xfId="16062"/>
    <cellStyle name="Normal 3 107 2 5" xfId="30676"/>
    <cellStyle name="Normal 3 107 3" xfId="6687"/>
    <cellStyle name="Normal 3 107 3 2" xfId="13457"/>
    <cellStyle name="Normal 3 107 3 3" xfId="26147"/>
    <cellStyle name="Normal 3 107 3 4" xfId="16409"/>
    <cellStyle name="Normal 3 107 3 5" xfId="29569"/>
    <cellStyle name="Normal 3 107 4" xfId="9168"/>
    <cellStyle name="Normal 3 107 5" xfId="21869"/>
    <cellStyle name="Normal 3 107 6" xfId="17624"/>
    <cellStyle name="Normal 3 107 7" xfId="28302"/>
    <cellStyle name="Normal 3 108" xfId="2414"/>
    <cellStyle name="Normal 3 108 2" xfId="4832"/>
    <cellStyle name="Normal 3 108 2 2" xfId="11602"/>
    <cellStyle name="Normal 3 108 2 3" xfId="24292"/>
    <cellStyle name="Normal 3 108 2 4" xfId="14765"/>
    <cellStyle name="Normal 3 108 2 5" xfId="31639"/>
    <cellStyle name="Normal 3 108 3" xfId="6702"/>
    <cellStyle name="Normal 3 108 3 2" xfId="13472"/>
    <cellStyle name="Normal 3 108 3 3" xfId="26162"/>
    <cellStyle name="Normal 3 108 3 4" xfId="16319"/>
    <cellStyle name="Normal 3 108 3 5" xfId="28650"/>
    <cellStyle name="Normal 3 108 4" xfId="9184"/>
    <cellStyle name="Normal 3 108 5" xfId="21884"/>
    <cellStyle name="Normal 3 108 6" xfId="15124"/>
    <cellStyle name="Normal 3 108 7" xfId="29201"/>
    <cellStyle name="Normal 3 109" xfId="2436"/>
    <cellStyle name="Normal 3 109 2" xfId="4854"/>
    <cellStyle name="Normal 3 109 2 2" xfId="11624"/>
    <cellStyle name="Normal 3 109 2 3" xfId="24314"/>
    <cellStyle name="Normal 3 109 2 4" xfId="18944"/>
    <cellStyle name="Normal 3 109 2 5" xfId="29528"/>
    <cellStyle name="Normal 3 109 3" xfId="6722"/>
    <cellStyle name="Normal 3 109 3 2" xfId="13492"/>
    <cellStyle name="Normal 3 109 3 3" xfId="26182"/>
    <cellStyle name="Normal 3 109 3 4" xfId="16175"/>
    <cellStyle name="Normal 3 109 3 5" xfId="27634"/>
    <cellStyle name="Normal 3 109 4" xfId="9206"/>
    <cellStyle name="Normal 3 109 5" xfId="21904"/>
    <cellStyle name="Normal 3 109 6" xfId="19282"/>
    <cellStyle name="Normal 3 109 7" xfId="27060"/>
    <cellStyle name="Normal 3 11" xfId="214"/>
    <cellStyle name="Normal 3 11 2" xfId="2694"/>
    <cellStyle name="Normal 3 11 2 2" xfId="9464"/>
    <cellStyle name="Normal 3 11 2 3" xfId="22154"/>
    <cellStyle name="Normal 3 11 2 4" xfId="14048"/>
    <cellStyle name="Normal 3 11 2 5" xfId="26652"/>
    <cellStyle name="Normal 3 11 3" xfId="2759"/>
    <cellStyle name="Normal 3 11 3 2" xfId="9529"/>
    <cellStyle name="Normal 3 11 3 3" xfId="22219"/>
    <cellStyle name="Normal 3 11 3 4" xfId="19994"/>
    <cellStyle name="Normal 3 11 3 5" xfId="29584"/>
    <cellStyle name="Normal 3 11 4" xfId="6984"/>
    <cellStyle name="Normal 3 11 5" xfId="13853"/>
    <cellStyle name="Normal 3 11 6" xfId="16556"/>
    <cellStyle name="Normal 3 11 7" xfId="32321"/>
    <cellStyle name="Normal 3 110" xfId="2460"/>
    <cellStyle name="Normal 3 110 2" xfId="4878"/>
    <cellStyle name="Normal 3 110 2 2" xfId="11648"/>
    <cellStyle name="Normal 3 110 2 3" xfId="24338"/>
    <cellStyle name="Normal 3 110 2 4" xfId="18789"/>
    <cellStyle name="Normal 3 110 2 5" xfId="29487"/>
    <cellStyle name="Normal 3 110 3" xfId="6743"/>
    <cellStyle name="Normal 3 110 3 2" xfId="13513"/>
    <cellStyle name="Normal 3 110 3 3" xfId="26203"/>
    <cellStyle name="Normal 3 110 3 4" xfId="19997"/>
    <cellStyle name="Normal 3 110 3 5" xfId="31564"/>
    <cellStyle name="Normal 3 110 4" xfId="9230"/>
    <cellStyle name="Normal 3 110 5" xfId="21925"/>
    <cellStyle name="Normal 3 110 6" xfId="19146"/>
    <cellStyle name="Normal 3 110 7" xfId="27033"/>
    <cellStyle name="Normal 3 111" xfId="2478"/>
    <cellStyle name="Normal 3 111 2" xfId="4895"/>
    <cellStyle name="Normal 3 111 2 2" xfId="11665"/>
    <cellStyle name="Normal 3 111 2 3" xfId="24355"/>
    <cellStyle name="Normal 3 111 2 4" xfId="14350"/>
    <cellStyle name="Normal 3 111 2 5" xfId="27561"/>
    <cellStyle name="Normal 3 111 3" xfId="6759"/>
    <cellStyle name="Normal 3 111 3 2" xfId="13529"/>
    <cellStyle name="Normal 3 111 3 3" xfId="26219"/>
    <cellStyle name="Normal 3 111 3 4" xfId="26240"/>
    <cellStyle name="Normal 3 111 3 5" xfId="27094"/>
    <cellStyle name="Normal 3 111 4" xfId="9248"/>
    <cellStyle name="Normal 3 111 5" xfId="21941"/>
    <cellStyle name="Normal 3 111 6" xfId="19028"/>
    <cellStyle name="Normal 3 111 7" xfId="27001"/>
    <cellStyle name="Normal 3 112" xfId="2499"/>
    <cellStyle name="Normal 3 112 2" xfId="9269"/>
    <cellStyle name="Normal 3 112 3" xfId="21960"/>
    <cellStyle name="Normal 3 112 4" xfId="18911"/>
    <cellStyle name="Normal 3 112 5" xfId="31106"/>
    <cellStyle name="Normal 3 113" xfId="2533"/>
    <cellStyle name="Normal 3 113 2" xfId="9303"/>
    <cellStyle name="Normal 3 113 3" xfId="21993"/>
    <cellStyle name="Normal 3 113 4" xfId="16728"/>
    <cellStyle name="Normal 3 113 5" xfId="32000"/>
    <cellStyle name="Normal 3 114" xfId="6779"/>
    <cellStyle name="Normal 3 115" xfId="15917"/>
    <cellStyle name="Normal 3 116" xfId="15560"/>
    <cellStyle name="Normal 3 117" xfId="28901"/>
    <cellStyle name="Normal 3 118" xfId="32452"/>
    <cellStyle name="Normal 3 119" xfId="32490"/>
    <cellStyle name="Normal 3 12" xfId="235"/>
    <cellStyle name="Normal 3 12 2" xfId="2714"/>
    <cellStyle name="Normal 3 12 2 2" xfId="9484"/>
    <cellStyle name="Normal 3 12 2 3" xfId="22174"/>
    <cellStyle name="Normal 3 12 2 4" xfId="18309"/>
    <cellStyle name="Normal 3 12 2 5" xfId="28759"/>
    <cellStyle name="Normal 3 12 3" xfId="2507"/>
    <cellStyle name="Normal 3 12 3 2" xfId="9277"/>
    <cellStyle name="Normal 3 12 3 3" xfId="21968"/>
    <cellStyle name="Normal 3 12 3 4" xfId="14527"/>
    <cellStyle name="Normal 3 12 3 5" xfId="29963"/>
    <cellStyle name="Normal 3 12 4" xfId="7005"/>
    <cellStyle name="Normal 3 12 5" xfId="13613"/>
    <cellStyle name="Normal 3 12 6" xfId="16425"/>
    <cellStyle name="Normal 3 12 7" xfId="28409"/>
    <cellStyle name="Normal 3 120" xfId="32513"/>
    <cellStyle name="Normal 3 121" xfId="32536"/>
    <cellStyle name="Normal 3 122" xfId="32559"/>
    <cellStyle name="Normal 3 123" xfId="32582"/>
    <cellStyle name="Normal 3 124" xfId="32605"/>
    <cellStyle name="Normal 3 125" xfId="32628"/>
    <cellStyle name="Normal 3 126" xfId="32651"/>
    <cellStyle name="Normal 3 127" xfId="32674"/>
    <cellStyle name="Normal 3 128" xfId="32697"/>
    <cellStyle name="Normal 3 129" xfId="32720"/>
    <cellStyle name="Normal 3 13" xfId="243"/>
    <cellStyle name="Normal 3 13 2" xfId="2721"/>
    <cellStyle name="Normal 3 13 2 2" xfId="9491"/>
    <cellStyle name="Normal 3 13 2 3" xfId="22181"/>
    <cellStyle name="Normal 3 13 2 4" xfId="16225"/>
    <cellStyle name="Normal 3 13 2 5" xfId="30429"/>
    <cellStyle name="Normal 3 13 3" xfId="2503"/>
    <cellStyle name="Normal 3 13 3 2" xfId="9273"/>
    <cellStyle name="Normal 3 13 3 3" xfId="21964"/>
    <cellStyle name="Normal 3 13 3 4" xfId="16926"/>
    <cellStyle name="Normal 3 13 3 5" xfId="32038"/>
    <cellStyle name="Normal 3 13 4" xfId="7013"/>
    <cellStyle name="Normal 3 13 5" xfId="13560"/>
    <cellStyle name="Normal 3 13 6" xfId="18386"/>
    <cellStyle name="Normal 3 13 7" xfId="27234"/>
    <cellStyle name="Normal 3 130" xfId="32743"/>
    <cellStyle name="Normal 3 131" xfId="32766"/>
    <cellStyle name="Normal 3 132" xfId="32789"/>
    <cellStyle name="Normal 3 133" xfId="32812"/>
    <cellStyle name="Normal 3 134" xfId="32835"/>
    <cellStyle name="Normal 3 135" xfId="32858"/>
    <cellStyle name="Normal 3 136" xfId="32881"/>
    <cellStyle name="Normal 3 137" xfId="32903"/>
    <cellStyle name="Normal 3 138" xfId="32926"/>
    <cellStyle name="Normal 3 139" xfId="32949"/>
    <cellStyle name="Normal 3 14" xfId="281"/>
    <cellStyle name="Normal 3 14 2" xfId="2757"/>
    <cellStyle name="Normal 3 14 2 2" xfId="9527"/>
    <cellStyle name="Normal 3 14 2 3" xfId="22217"/>
    <cellStyle name="Normal 3 14 2 4" xfId="18175"/>
    <cellStyle name="Normal 3 14 2 5" xfId="30678"/>
    <cellStyle name="Normal 3 14 3" xfId="3923"/>
    <cellStyle name="Normal 3 14 3 2" xfId="10693"/>
    <cellStyle name="Normal 3 14 3 3" xfId="23383"/>
    <cellStyle name="Normal 3 14 3 4" xfId="14195"/>
    <cellStyle name="Normal 3 14 3 5" xfId="27607"/>
    <cellStyle name="Normal 3 14 4" xfId="7051"/>
    <cellStyle name="Normal 3 14 5" xfId="14992"/>
    <cellStyle name="Normal 3 14 6" xfId="15526"/>
    <cellStyle name="Normal 3 14 7" xfId="29270"/>
    <cellStyle name="Normal 3 140" xfId="32972"/>
    <cellStyle name="Normal 3 141" xfId="32995"/>
    <cellStyle name="Normal 3 142" xfId="33018"/>
    <cellStyle name="Normal 3 143" xfId="33041"/>
    <cellStyle name="Normal 3 144" xfId="33064"/>
    <cellStyle name="Normal 3 145" xfId="33087"/>
    <cellStyle name="Normal 3 146" xfId="33110"/>
    <cellStyle name="Normal 3 147" xfId="33132"/>
    <cellStyle name="Normal 3 148" xfId="33155"/>
    <cellStyle name="Normal 3 149" xfId="33174"/>
    <cellStyle name="Normal 3 15" xfId="288"/>
    <cellStyle name="Normal 3 15 2" xfId="2764"/>
    <cellStyle name="Normal 3 15 2 2" xfId="9534"/>
    <cellStyle name="Normal 3 15 2 3" xfId="22224"/>
    <cellStyle name="Normal 3 15 2 4" xfId="15748"/>
    <cellStyle name="Normal 3 15 2 5" xfId="27700"/>
    <cellStyle name="Normal 3 15 3" xfId="3789"/>
    <cellStyle name="Normal 3 15 3 2" xfId="10559"/>
    <cellStyle name="Normal 3 15 3 3" xfId="23249"/>
    <cellStyle name="Normal 3 15 3 4" xfId="19357"/>
    <cellStyle name="Normal 3 15 3 5" xfId="30510"/>
    <cellStyle name="Normal 3 15 4" xfId="7058"/>
    <cellStyle name="Normal 3 15 5" xfId="14840"/>
    <cellStyle name="Normal 3 15 6" xfId="19719"/>
    <cellStyle name="Normal 3 15 7" xfId="31306"/>
    <cellStyle name="Normal 3 150" xfId="33182"/>
    <cellStyle name="Normal 3 151" xfId="33211"/>
    <cellStyle name="Normal 3 152" xfId="33233"/>
    <cellStyle name="Normal 3 153" xfId="33266"/>
    <cellStyle name="Normal 3 154" xfId="33289"/>
    <cellStyle name="Normal 3 155" xfId="33312"/>
    <cellStyle name="Normal 3 156" xfId="33335"/>
    <cellStyle name="Normal 3 157" xfId="33358"/>
    <cellStyle name="Normal 3 158" xfId="33381"/>
    <cellStyle name="Normal 3 159" xfId="33404"/>
    <cellStyle name="Normal 3 16" xfId="329"/>
    <cellStyle name="Normal 3 16 2" xfId="2805"/>
    <cellStyle name="Normal 3 16 2 2" xfId="9575"/>
    <cellStyle name="Normal 3 16 2 3" xfId="22265"/>
    <cellStyle name="Normal 3 16 2 4" xfId="16059"/>
    <cellStyle name="Normal 3 16 2 5" xfId="30590"/>
    <cellStyle name="Normal 3 16 3" xfId="2938"/>
    <cellStyle name="Normal 3 16 3 2" xfId="9708"/>
    <cellStyle name="Normal 3 16 3 3" xfId="22398"/>
    <cellStyle name="Normal 3 16 3 4" xfId="8250"/>
    <cellStyle name="Normal 3 16 3 5" xfId="27691"/>
    <cellStyle name="Normal 3 16 4" xfId="7099"/>
    <cellStyle name="Normal 3 16 5" xfId="14023"/>
    <cellStyle name="Normal 3 16 6" xfId="15211"/>
    <cellStyle name="Normal 3 16 7" xfId="29205"/>
    <cellStyle name="Normal 3 160" xfId="33427"/>
    <cellStyle name="Normal 3 161" xfId="33450"/>
    <cellStyle name="Normal 3 162" xfId="33473"/>
    <cellStyle name="Normal 3 163" xfId="33496"/>
    <cellStyle name="Normal 3 164" xfId="33519"/>
    <cellStyle name="Normal 3 165" xfId="33542"/>
    <cellStyle name="Normal 3 166" xfId="33565"/>
    <cellStyle name="Normal 3 167" xfId="33588"/>
    <cellStyle name="Normal 3 168" xfId="33611"/>
    <cellStyle name="Normal 3 169" xfId="33634"/>
    <cellStyle name="Normal 3 17" xfId="352"/>
    <cellStyle name="Normal 3 17 2" xfId="2828"/>
    <cellStyle name="Normal 3 17 2 2" xfId="9598"/>
    <cellStyle name="Normal 3 17 2 3" xfId="22288"/>
    <cellStyle name="Normal 3 17 2 4" xfId="8745"/>
    <cellStyle name="Normal 3 17 2 5" xfId="28479"/>
    <cellStyle name="Normal 3 17 3" xfId="4912"/>
    <cellStyle name="Normal 3 17 3 2" xfId="11682"/>
    <cellStyle name="Normal 3 17 3 3" xfId="24372"/>
    <cellStyle name="Normal 3 17 3 4" xfId="16592"/>
    <cellStyle name="Normal 3 17 3 5" xfId="30385"/>
    <cellStyle name="Normal 3 17 4" xfId="7122"/>
    <cellStyle name="Normal 3 17 5" xfId="13759"/>
    <cellStyle name="Normal 3 17 6" xfId="17442"/>
    <cellStyle name="Normal 3 17 7" xfId="32133"/>
    <cellStyle name="Normal 3 170" xfId="33656"/>
    <cellStyle name="Normal 3 171" xfId="33678"/>
    <cellStyle name="Normal 3 172" xfId="33701"/>
    <cellStyle name="Normal 3 173" xfId="33724"/>
    <cellStyle name="Normal 3 174" xfId="33747"/>
    <cellStyle name="Normal 3 175" xfId="33770"/>
    <cellStyle name="Normal 3 176" xfId="33793"/>
    <cellStyle name="Normal 3 177" xfId="33816"/>
    <cellStyle name="Normal 3 178" xfId="33839"/>
    <cellStyle name="Normal 3 179" xfId="33862"/>
    <cellStyle name="Normal 3 18" xfId="375"/>
    <cellStyle name="Normal 3 18 2" xfId="2851"/>
    <cellStyle name="Normal 3 18 2 2" xfId="9621"/>
    <cellStyle name="Normal 3 18 2 3" xfId="22311"/>
    <cellStyle name="Normal 3 18 2 4" xfId="8267"/>
    <cellStyle name="Normal 3 18 2 5" xfId="32444"/>
    <cellStyle name="Normal 3 18 3" xfId="4932"/>
    <cellStyle name="Normal 3 18 3 2" xfId="11702"/>
    <cellStyle name="Normal 3 18 3 3" xfId="24392"/>
    <cellStyle name="Normal 3 18 3 4" xfId="18476"/>
    <cellStyle name="Normal 3 18 3 5" xfId="30343"/>
    <cellStyle name="Normal 3 18 4" xfId="7145"/>
    <cellStyle name="Normal 3 18 5" xfId="20114"/>
    <cellStyle name="Normal 3 18 6" xfId="19197"/>
    <cellStyle name="Normal 3 18 7" xfId="27038"/>
    <cellStyle name="Normal 3 180" xfId="33885"/>
    <cellStyle name="Normal 3 181" xfId="33908"/>
    <cellStyle name="Normal 3 182" xfId="33931"/>
    <cellStyle name="Normal 3 183" xfId="33954"/>
    <cellStyle name="Normal 3 184" xfId="33977"/>
    <cellStyle name="Normal 3 185" xfId="33999"/>
    <cellStyle name="Normal 3 186" xfId="34019"/>
    <cellStyle name="Normal 3 187" xfId="34037"/>
    <cellStyle name="Normal 3 188" xfId="34132"/>
    <cellStyle name="Normal 3 19" xfId="398"/>
    <cellStyle name="Normal 3 19 2" xfId="2874"/>
    <cellStyle name="Normal 3 19 2 2" xfId="9644"/>
    <cellStyle name="Normal 3 19 2 3" xfId="22334"/>
    <cellStyle name="Normal 3 19 2 4" xfId="7788"/>
    <cellStyle name="Normal 3 19 2 5" xfId="27370"/>
    <cellStyle name="Normal 3 19 3" xfId="4952"/>
    <cellStyle name="Normal 3 19 3 2" xfId="11722"/>
    <cellStyle name="Normal 3 19 3 3" xfId="24412"/>
    <cellStyle name="Normal 3 19 3 4" xfId="13971"/>
    <cellStyle name="Normal 3 19 3 5" xfId="32384"/>
    <cellStyle name="Normal 3 19 4" xfId="7168"/>
    <cellStyle name="Normal 3 19 5" xfId="20134"/>
    <cellStyle name="Normal 3 19 6" xfId="14760"/>
    <cellStyle name="Normal 3 19 7" xfId="30005"/>
    <cellStyle name="Normal 3 2" xfId="40"/>
    <cellStyle name="Normal 3 20" xfId="421"/>
    <cellStyle name="Normal 3 20 2" xfId="2896"/>
    <cellStyle name="Normal 3 20 2 2" xfId="9666"/>
    <cellStyle name="Normal 3 20 2 3" xfId="22356"/>
    <cellStyle name="Normal 3 20 2 4" xfId="7330"/>
    <cellStyle name="Normal 3 20 2 5" xfId="28509"/>
    <cellStyle name="Normal 3 20 3" xfId="4972"/>
    <cellStyle name="Normal 3 20 3 2" xfId="11742"/>
    <cellStyle name="Normal 3 20 3 3" xfId="24432"/>
    <cellStyle name="Normal 3 20 3 4" xfId="16192"/>
    <cellStyle name="Normal 3 20 3 5" xfId="30410"/>
    <cellStyle name="Normal 3 20 4" xfId="7191"/>
    <cellStyle name="Normal 3 20 5" xfId="20154"/>
    <cellStyle name="Normal 3 20 6" xfId="16983"/>
    <cellStyle name="Normal 3 20 7" xfId="28137"/>
    <cellStyle name="Normal 3 21" xfId="443"/>
    <cellStyle name="Normal 3 21 2" xfId="2918"/>
    <cellStyle name="Normal 3 21 2 2" xfId="9688"/>
    <cellStyle name="Normal 3 21 2 3" xfId="22378"/>
    <cellStyle name="Normal 3 21 2 4" xfId="8661"/>
    <cellStyle name="Normal 3 21 2 5" xfId="28708"/>
    <cellStyle name="Normal 3 21 3" xfId="4991"/>
    <cellStyle name="Normal 3 21 3 2" xfId="11761"/>
    <cellStyle name="Normal 3 21 3 3" xfId="24451"/>
    <cellStyle name="Normal 3 21 3 4" xfId="15817"/>
    <cellStyle name="Normal 3 21 3 5" xfId="27817"/>
    <cellStyle name="Normal 3 21 4" xfId="7213"/>
    <cellStyle name="Normal 3 21 5" xfId="20173"/>
    <cellStyle name="Normal 3 21 6" xfId="13681"/>
    <cellStyle name="Normal 3 21 7" xfId="29047"/>
    <cellStyle name="Normal 3 22" xfId="466"/>
    <cellStyle name="Normal 3 22 2" xfId="2941"/>
    <cellStyle name="Normal 3 22 2 2" xfId="9711"/>
    <cellStyle name="Normal 3 22 2 3" xfId="22401"/>
    <cellStyle name="Normal 3 22 2 4" xfId="8181"/>
    <cellStyle name="Normal 3 22 2 5" xfId="31644"/>
    <cellStyle name="Normal 3 22 3" xfId="5011"/>
    <cellStyle name="Normal 3 22 3 2" xfId="11781"/>
    <cellStyle name="Normal 3 22 3 3" xfId="24471"/>
    <cellStyle name="Normal 3 22 3 4" xfId="6803"/>
    <cellStyle name="Normal 3 22 3 5" xfId="26610"/>
    <cellStyle name="Normal 3 22 4" xfId="7236"/>
    <cellStyle name="Normal 3 22 5" xfId="20193"/>
    <cellStyle name="Normal 3 22 6" xfId="16677"/>
    <cellStyle name="Normal 3 22 7" xfId="31975"/>
    <cellStyle name="Normal 3 23" xfId="489"/>
    <cellStyle name="Normal 3 23 2" xfId="2964"/>
    <cellStyle name="Normal 3 23 2 2" xfId="9734"/>
    <cellStyle name="Normal 3 23 2 3" xfId="22424"/>
    <cellStyle name="Normal 3 23 2 4" xfId="7703"/>
    <cellStyle name="Normal 3 23 2 5" xfId="26469"/>
    <cellStyle name="Normal 3 23 3" xfId="5031"/>
    <cellStyle name="Normal 3 23 3 2" xfId="11801"/>
    <cellStyle name="Normal 3 23 3 3" xfId="24491"/>
    <cellStyle name="Normal 3 23 3 4" xfId="19845"/>
    <cellStyle name="Normal 3 23 3 5" xfId="28720"/>
    <cellStyle name="Normal 3 23 4" xfId="7259"/>
    <cellStyle name="Normal 3 23 5" xfId="20213"/>
    <cellStyle name="Normal 3 23 6" xfId="18533"/>
    <cellStyle name="Normal 3 23 7" xfId="26842"/>
    <cellStyle name="Normal 3 24" xfId="512"/>
    <cellStyle name="Normal 3 24 2" xfId="2987"/>
    <cellStyle name="Normal 3 24 2 2" xfId="9757"/>
    <cellStyle name="Normal 3 24 2 3" xfId="22447"/>
    <cellStyle name="Normal 3 24 2 4" xfId="6839"/>
    <cellStyle name="Normal 3 24 2 5" xfId="30272"/>
    <cellStyle name="Normal 3 24 3" xfId="5051"/>
    <cellStyle name="Normal 3 24 3 2" xfId="11821"/>
    <cellStyle name="Normal 3 24 3 3" xfId="24511"/>
    <cellStyle name="Normal 3 24 3 4" xfId="15444"/>
    <cellStyle name="Normal 3 24 3 5" xfId="30669"/>
    <cellStyle name="Normal 3 24 4" xfId="7282"/>
    <cellStyle name="Normal 3 24 5" xfId="20233"/>
    <cellStyle name="Normal 3 24 6" xfId="14009"/>
    <cellStyle name="Normal 3 24 7" xfId="29842"/>
    <cellStyle name="Normal 3 25" xfId="535"/>
    <cellStyle name="Normal 3 25 2" xfId="3009"/>
    <cellStyle name="Normal 3 25 2 2" xfId="9779"/>
    <cellStyle name="Normal 3 25 2 3" xfId="22469"/>
    <cellStyle name="Normal 3 25 2 4" xfId="7215"/>
    <cellStyle name="Normal 3 25 2 5" xfId="31403"/>
    <cellStyle name="Normal 3 25 3" xfId="5071"/>
    <cellStyle name="Normal 3 25 3 2" xfId="11841"/>
    <cellStyle name="Normal 3 25 3 3" xfId="24531"/>
    <cellStyle name="Normal 3 25 3 4" xfId="17683"/>
    <cellStyle name="Normal 3 25 3 5" xfId="29541"/>
    <cellStyle name="Normal 3 25 4" xfId="7305"/>
    <cellStyle name="Normal 3 25 5" xfId="20253"/>
    <cellStyle name="Normal 3 25 6" xfId="16208"/>
    <cellStyle name="Normal 3 25 7" xfId="27949"/>
    <cellStyle name="Normal 3 26" xfId="558"/>
    <cellStyle name="Normal 3 26 2" xfId="3031"/>
    <cellStyle name="Normal 3 26 2 2" xfId="9801"/>
    <cellStyle name="Normal 3 26 2 3" xfId="22491"/>
    <cellStyle name="Normal 3 26 2 4" xfId="15994"/>
    <cellStyle name="Normal 3 26 2 5" xfId="31359"/>
    <cellStyle name="Normal 3 26 3" xfId="5091"/>
    <cellStyle name="Normal 3 26 3 2" xfId="11861"/>
    <cellStyle name="Normal 3 26 3 3" xfId="24551"/>
    <cellStyle name="Normal 3 26 3 4" xfId="19451"/>
    <cellStyle name="Normal 3 26 3 5" xfId="31591"/>
    <cellStyle name="Normal 3 26 4" xfId="7328"/>
    <cellStyle name="Normal 3 26 5" xfId="20273"/>
    <cellStyle name="Normal 3 26 6" xfId="20014"/>
    <cellStyle name="Normal 3 26 7" xfId="30875"/>
    <cellStyle name="Normal 3 27" xfId="581"/>
    <cellStyle name="Normal 3 27 2" xfId="3054"/>
    <cellStyle name="Normal 3 27 2 2" xfId="9824"/>
    <cellStyle name="Normal 3 27 2 3" xfId="22514"/>
    <cellStyle name="Normal 3 27 2 4" xfId="19853"/>
    <cellStyle name="Normal 3 27 2 5" xfId="27199"/>
    <cellStyle name="Normal 3 27 3" xfId="5112"/>
    <cellStyle name="Normal 3 27 3 2" xfId="11882"/>
    <cellStyle name="Normal 3 27 3 3" xfId="24572"/>
    <cellStyle name="Normal 3 27 3 4" xfId="19316"/>
    <cellStyle name="Normal 3 27 3 5" xfId="30542"/>
    <cellStyle name="Normal 3 27 4" xfId="7351"/>
    <cellStyle name="Normal 3 27 5" xfId="20294"/>
    <cellStyle name="Normal 3 27 6" xfId="13892"/>
    <cellStyle name="Normal 3 27 7" xfId="28847"/>
    <cellStyle name="Normal 3 28" xfId="602"/>
    <cellStyle name="Normal 3 28 2" xfId="3075"/>
    <cellStyle name="Normal 3 28 2 2" xfId="9845"/>
    <cellStyle name="Normal 3 28 2 3" xfId="22535"/>
    <cellStyle name="Normal 3 28 2 4" xfId="19754"/>
    <cellStyle name="Normal 3 28 2 5" xfId="31310"/>
    <cellStyle name="Normal 3 28 3" xfId="5130"/>
    <cellStyle name="Normal 3 28 3 2" xfId="11900"/>
    <cellStyle name="Normal 3 28 3 3" xfId="24590"/>
    <cellStyle name="Normal 3 28 3 4" xfId="19216"/>
    <cellStyle name="Normal 3 28 3 5" xfId="30507"/>
    <cellStyle name="Normal 3 28 4" xfId="7372"/>
    <cellStyle name="Normal 3 28 5" xfId="20312"/>
    <cellStyle name="Normal 3 28 6" xfId="15885"/>
    <cellStyle name="Normal 3 28 7" xfId="29705"/>
    <cellStyle name="Normal 3 29" xfId="552"/>
    <cellStyle name="Normal 3 29 2" xfId="3025"/>
    <cellStyle name="Normal 3 29 2 2" xfId="9795"/>
    <cellStyle name="Normal 3 29 2 3" xfId="22485"/>
    <cellStyle name="Normal 3 29 2 4" xfId="9085"/>
    <cellStyle name="Normal 3 29 2 5" xfId="32290"/>
    <cellStyle name="Normal 3 29 3" xfId="5086"/>
    <cellStyle name="Normal 3 29 3 2" xfId="11856"/>
    <cellStyle name="Normal 3 29 3 3" xfId="24546"/>
    <cellStyle name="Normal 3 29 3 4" xfId="17596"/>
    <cellStyle name="Normal 3 29 3 5" xfId="28623"/>
    <cellStyle name="Normal 3 29 4" xfId="7322"/>
    <cellStyle name="Normal 3 29 5" xfId="20268"/>
    <cellStyle name="Normal 3 29 6" xfId="20051"/>
    <cellStyle name="Normal 3 29 7" xfId="30885"/>
    <cellStyle name="Normal 3 3" xfId="41"/>
    <cellStyle name="Normal 3 30" xfId="650"/>
    <cellStyle name="Normal 3 30 2" xfId="3123"/>
    <cellStyle name="Normal 3 30 2 2" xfId="9893"/>
    <cellStyle name="Normal 3 30 2 3" xfId="22583"/>
    <cellStyle name="Normal 3 30 2 4" xfId="19466"/>
    <cellStyle name="Normal 3 30 2 5" xfId="31242"/>
    <cellStyle name="Normal 3 30 3" xfId="5172"/>
    <cellStyle name="Normal 3 30 3 2" xfId="11942"/>
    <cellStyle name="Normal 3 30 3 3" xfId="24632"/>
    <cellStyle name="Normal 3 30 3 4" xfId="18943"/>
    <cellStyle name="Normal 3 30 3 5" xfId="31526"/>
    <cellStyle name="Normal 3 30 4" xfId="7420"/>
    <cellStyle name="Normal 3 30 5" xfId="20354"/>
    <cellStyle name="Normal 3 30 6" xfId="15232"/>
    <cellStyle name="Normal 3 30 7" xfId="29634"/>
    <cellStyle name="Normal 3 31" xfId="671"/>
    <cellStyle name="Normal 3 31 2" xfId="3143"/>
    <cellStyle name="Normal 3 31 2 2" xfId="9913"/>
    <cellStyle name="Normal 3 31 2 3" xfId="22603"/>
    <cellStyle name="Normal 3 31 2 4" xfId="15081"/>
    <cellStyle name="Normal 3 31 2 5" xfId="30063"/>
    <cellStyle name="Normal 3 31 3" xfId="5190"/>
    <cellStyle name="Normal 3 31 3 2" xfId="11960"/>
    <cellStyle name="Normal 3 31 3 3" xfId="24650"/>
    <cellStyle name="Normal 3 31 3 4" xfId="18865"/>
    <cellStyle name="Normal 3 31 3 5" xfId="31499"/>
    <cellStyle name="Normal 3 31 4" xfId="7441"/>
    <cellStyle name="Normal 3 31 5" xfId="20372"/>
    <cellStyle name="Normal 3 31 6" xfId="17501"/>
    <cellStyle name="Normal 3 31 7" xfId="28703"/>
    <cellStyle name="Normal 3 32" xfId="692"/>
    <cellStyle name="Normal 3 32 2" xfId="3164"/>
    <cellStyle name="Normal 3 32 2 2" xfId="9934"/>
    <cellStyle name="Normal 3 32 2 3" xfId="22624"/>
    <cellStyle name="Normal 3 32 2 4" xfId="14932"/>
    <cellStyle name="Normal 3 32 2 5" xfId="27603"/>
    <cellStyle name="Normal 3 32 3" xfId="5209"/>
    <cellStyle name="Normal 3 32 3 2" xfId="11979"/>
    <cellStyle name="Normal 3 32 3 3" xfId="24669"/>
    <cellStyle name="Normal 3 32 3 4" xfId="16766"/>
    <cellStyle name="Normal 3 32 3 5" xfId="28492"/>
    <cellStyle name="Normal 3 32 4" xfId="7462"/>
    <cellStyle name="Normal 3 32 5" xfId="20391"/>
    <cellStyle name="Normal 3 32 6" xfId="19234"/>
    <cellStyle name="Normal 3 32 7" xfId="29556"/>
    <cellStyle name="Normal 3 33" xfId="716"/>
    <cellStyle name="Normal 3 33 2" xfId="3188"/>
    <cellStyle name="Normal 3 33 2 2" xfId="9958"/>
    <cellStyle name="Normal 3 33 2 3" xfId="22648"/>
    <cellStyle name="Normal 3 33 2 4" xfId="14781"/>
    <cellStyle name="Normal 3 33 2 5" xfId="29110"/>
    <cellStyle name="Normal 3 33 3" xfId="5229"/>
    <cellStyle name="Normal 3 33 3 2" xfId="11999"/>
    <cellStyle name="Normal 3 33 3 3" xfId="24689"/>
    <cellStyle name="Normal 3 33 3 4" xfId="18631"/>
    <cellStyle name="Normal 3 33 3 5" xfId="26343"/>
    <cellStyle name="Normal 3 33 4" xfId="7486"/>
    <cellStyle name="Normal 3 33 5" xfId="20411"/>
    <cellStyle name="Normal 3 33 6" xfId="19080"/>
    <cellStyle name="Normal 3 33 7" xfId="29525"/>
    <cellStyle name="Normal 3 34" xfId="738"/>
    <cellStyle name="Normal 3 34 2" xfId="3209"/>
    <cellStyle name="Normal 3 34 2 2" xfId="9979"/>
    <cellStyle name="Normal 3 34 2 3" xfId="22669"/>
    <cellStyle name="Normal 3 34 2 4" xfId="14647"/>
    <cellStyle name="Normal 3 34 2 5" xfId="29972"/>
    <cellStyle name="Normal 3 34 3" xfId="5248"/>
    <cellStyle name="Normal 3 34 3 2" xfId="12018"/>
    <cellStyle name="Normal 3 34 3 3" xfId="24708"/>
    <cellStyle name="Normal 3 34 3 4" xfId="15961"/>
    <cellStyle name="Normal 3 34 3 5" xfId="31127"/>
    <cellStyle name="Normal 3 34 4" xfId="7508"/>
    <cellStyle name="Normal 3 34 5" xfId="20430"/>
    <cellStyle name="Normal 3 34 6" xfId="18941"/>
    <cellStyle name="Normal 3 34 7" xfId="30559"/>
    <cellStyle name="Normal 3 35" xfId="762"/>
    <cellStyle name="Normal 3 35 2" xfId="3233"/>
    <cellStyle name="Normal 3 35 2 2" xfId="10003"/>
    <cellStyle name="Normal 3 35 2 3" xfId="22693"/>
    <cellStyle name="Normal 3 35 2 4" xfId="14472"/>
    <cellStyle name="Normal 3 35 2 5" xfId="29944"/>
    <cellStyle name="Normal 3 35 3" xfId="5269"/>
    <cellStyle name="Normal 3 35 3 2" xfId="12039"/>
    <cellStyle name="Normal 3 35 3 3" xfId="24729"/>
    <cellStyle name="Normal 3 35 3 4" xfId="16370"/>
    <cellStyle name="Normal 3 35 3 5" xfId="27531"/>
    <cellStyle name="Normal 3 35 4" xfId="7532"/>
    <cellStyle name="Normal 3 35 5" xfId="20451"/>
    <cellStyle name="Normal 3 35 6" xfId="16763"/>
    <cellStyle name="Normal 3 35 7" xfId="30401"/>
    <cellStyle name="Normal 3 36" xfId="787"/>
    <cellStyle name="Normal 3 36 2" xfId="3256"/>
    <cellStyle name="Normal 3 36 2 2" xfId="10026"/>
    <cellStyle name="Normal 3 36 2 3" xfId="22716"/>
    <cellStyle name="Normal 3 36 2 4" xfId="16695"/>
    <cellStyle name="Normal 3 36 2 5" xfId="28065"/>
    <cellStyle name="Normal 3 36 3" xfId="5290"/>
    <cellStyle name="Normal 3 36 3 2" xfId="12060"/>
    <cellStyle name="Normal 3 36 3 3" xfId="24750"/>
    <cellStyle name="Normal 3 36 3 4" xfId="16234"/>
    <cellStyle name="Normal 3 36 3 5" xfId="31165"/>
    <cellStyle name="Normal 3 36 4" xfId="7557"/>
    <cellStyle name="Normal 3 36 5" xfId="20472"/>
    <cellStyle name="Normal 3 36 6" xfId="18596"/>
    <cellStyle name="Normal 3 36 7" xfId="28556"/>
    <cellStyle name="Normal 3 37" xfId="810"/>
    <cellStyle name="Normal 3 37 2" xfId="3278"/>
    <cellStyle name="Normal 3 37 2 2" xfId="10048"/>
    <cellStyle name="Normal 3 37 2 3" xfId="22738"/>
    <cellStyle name="Normal 3 37 2 4" xfId="14185"/>
    <cellStyle name="Normal 3 37 2 5" xfId="28975"/>
    <cellStyle name="Normal 3 37 3" xfId="5310"/>
    <cellStyle name="Normal 3 37 3 2" xfId="12080"/>
    <cellStyle name="Normal 3 37 3 3" xfId="24770"/>
    <cellStyle name="Normal 3 37 3 4" xfId="16135"/>
    <cellStyle name="Normal 3 37 3 5" xfId="13918"/>
    <cellStyle name="Normal 3 37 4" xfId="7580"/>
    <cellStyle name="Normal 3 37 5" xfId="20492"/>
    <cellStyle name="Normal 3 37 6" xfId="15632"/>
    <cellStyle name="Normal 3 37 7" xfId="31493"/>
    <cellStyle name="Normal 3 38" xfId="833"/>
    <cellStyle name="Normal 3 38 2" xfId="3300"/>
    <cellStyle name="Normal 3 38 2 2" xfId="10070"/>
    <cellStyle name="Normal 3 38 2 3" xfId="22760"/>
    <cellStyle name="Normal 3 38 2 4" xfId="18411"/>
    <cellStyle name="Normal 3 38 2 5" xfId="26815"/>
    <cellStyle name="Normal 3 38 3" xfId="5330"/>
    <cellStyle name="Normal 3 38 3 2" xfId="12100"/>
    <cellStyle name="Normal 3 38 3 3" xfId="24790"/>
    <cellStyle name="Normal 3 38 3 4" xfId="15714"/>
    <cellStyle name="Normal 3 38 3 5" xfId="16310"/>
    <cellStyle name="Normal 3 38 4" xfId="7603"/>
    <cellStyle name="Normal 3 38 5" xfId="20512"/>
    <cellStyle name="Normal 3 38 6" xfId="17869"/>
    <cellStyle name="Normal 3 38 7" xfId="28613"/>
    <cellStyle name="Normal 3 39" xfId="856"/>
    <cellStyle name="Normal 3 39 2" xfId="3322"/>
    <cellStyle name="Normal 3 39 2 2" xfId="10092"/>
    <cellStyle name="Normal 3 39 2 3" xfId="22782"/>
    <cellStyle name="Normal 3 39 2 4" xfId="16251"/>
    <cellStyle name="Normal 3 39 2 5" xfId="27953"/>
    <cellStyle name="Normal 3 39 3" xfId="5350"/>
    <cellStyle name="Normal 3 39 3 2" xfId="12120"/>
    <cellStyle name="Normal 3 39 3 3" xfId="24810"/>
    <cellStyle name="Normal 3 39 3 4" xfId="19866"/>
    <cellStyle name="Normal 3 39 3 5" xfId="15098"/>
    <cellStyle name="Normal 3 39 4" xfId="7626"/>
    <cellStyle name="Normal 3 39 5" xfId="20532"/>
    <cellStyle name="Normal 3 39 6" xfId="19605"/>
    <cellStyle name="Normal 3 39 7" xfId="30631"/>
    <cellStyle name="Normal 3 4" xfId="12"/>
    <cellStyle name="Normal 3 4 10" xfId="73"/>
    <cellStyle name="Normal 3 4 10 2" xfId="2557"/>
    <cellStyle name="Normal 3 4 10 2 2" xfId="9327"/>
    <cellStyle name="Normal 3 4 10 2 3" xfId="22017"/>
    <cellStyle name="Normal 3 4 10 2 4" xfId="15979"/>
    <cellStyle name="Normal 3 4 10 2 5" xfId="31961"/>
    <cellStyle name="Normal 3 4 10 3" xfId="3457"/>
    <cellStyle name="Normal 3 4 10 3 2" xfId="10227"/>
    <cellStyle name="Normal 3 4 10 3 3" xfId="22917"/>
    <cellStyle name="Normal 3 4 10 3 4" xfId="17493"/>
    <cellStyle name="Normal 3 4 10 3 5" xfId="31683"/>
    <cellStyle name="Normal 3 4 10 4" xfId="6843"/>
    <cellStyle name="Normal 3 4 10 5" xfId="14536"/>
    <cellStyle name="Normal 3 4 10 6" xfId="17432"/>
    <cellStyle name="Normal 3 4 10 7" xfId="27827"/>
    <cellStyle name="Normal 3 4 100" xfId="2306"/>
    <cellStyle name="Normal 3 4 100 2" xfId="4727"/>
    <cellStyle name="Normal 3 4 100 2 2" xfId="11497"/>
    <cellStyle name="Normal 3 4 100 2 3" xfId="24187"/>
    <cellStyle name="Normal 3 4 100 2 4" xfId="15445"/>
    <cellStyle name="Normal 3 4 100 2 5" xfId="27867"/>
    <cellStyle name="Normal 3 4 100 3" xfId="6608"/>
    <cellStyle name="Normal 3 4 100 3 2" xfId="13378"/>
    <cellStyle name="Normal 3 4 100 3 3" xfId="26068"/>
    <cellStyle name="Normal 3 4 100 3 4" xfId="18901"/>
    <cellStyle name="Normal 3 4 100 3 5" xfId="27833"/>
    <cellStyle name="Normal 3 4 100 4" xfId="9076"/>
    <cellStyle name="Normal 3 4 100 5" xfId="21790"/>
    <cellStyle name="Normal 3 4 100 6" xfId="14512"/>
    <cellStyle name="Normal 3 4 100 7" xfId="29340"/>
    <cellStyle name="Normal 3 4 101" xfId="2328"/>
    <cellStyle name="Normal 3 4 101 2" xfId="4749"/>
    <cellStyle name="Normal 3 4 101 2 2" xfId="11519"/>
    <cellStyle name="Normal 3 4 101 2 3" xfId="24209"/>
    <cellStyle name="Normal 3 4 101 2 4" xfId="16122"/>
    <cellStyle name="Normal 3 4 101 2 5" xfId="28797"/>
    <cellStyle name="Normal 3 4 101 3" xfId="6627"/>
    <cellStyle name="Normal 3 4 101 3 2" xfId="13397"/>
    <cellStyle name="Normal 3 4 101 3 3" xfId="26087"/>
    <cellStyle name="Normal 3 4 101 3 4" xfId="16035"/>
    <cellStyle name="Normal 3 4 101 3 5" xfId="29668"/>
    <cellStyle name="Normal 3 4 101 4" xfId="9098"/>
    <cellStyle name="Normal 3 4 101 5" xfId="21809"/>
    <cellStyle name="Normal 3 4 101 6" xfId="19914"/>
    <cellStyle name="Normal 3 4 101 7" xfId="27229"/>
    <cellStyle name="Normal 3 4 102" xfId="2350"/>
    <cellStyle name="Normal 3 4 102 2" xfId="4770"/>
    <cellStyle name="Normal 3 4 102 2 2" xfId="11540"/>
    <cellStyle name="Normal 3 4 102 2 3" xfId="24230"/>
    <cellStyle name="Normal 3 4 102 2 4" xfId="19432"/>
    <cellStyle name="Normal 3 4 102 2 5" xfId="29641"/>
    <cellStyle name="Normal 3 4 102 3" xfId="6646"/>
    <cellStyle name="Normal 3 4 102 3 2" xfId="13416"/>
    <cellStyle name="Normal 3 4 102 3 3" xfId="26106"/>
    <cellStyle name="Normal 3 4 102 3 4" xfId="14324"/>
    <cellStyle name="Normal 3 4 102 3 5" xfId="26604"/>
    <cellStyle name="Normal 3 4 102 4" xfId="9120"/>
    <cellStyle name="Normal 3 4 102 5" xfId="21828"/>
    <cellStyle name="Normal 3 4 102 6" xfId="17922"/>
    <cellStyle name="Normal 3 4 102 7" xfId="28367"/>
    <cellStyle name="Normal 3 4 103" xfId="2371"/>
    <cellStyle name="Normal 3 4 103 2" xfId="4790"/>
    <cellStyle name="Normal 3 4 103 2 2" xfId="11560"/>
    <cellStyle name="Normal 3 4 103 2 3" xfId="24250"/>
    <cellStyle name="Normal 3 4 103 2 4" xfId="15047"/>
    <cellStyle name="Normal 3 4 103 2 5" xfId="31680"/>
    <cellStyle name="Normal 3 4 103 3" xfId="6664"/>
    <cellStyle name="Normal 3 4 103 3 2" xfId="13434"/>
    <cellStyle name="Normal 3 4 103 3 3" xfId="26124"/>
    <cellStyle name="Normal 3 4 103 3 4" xfId="14208"/>
    <cellStyle name="Normal 3 4 103 3 5" xfId="26570"/>
    <cellStyle name="Normal 3 4 103 4" xfId="9141"/>
    <cellStyle name="Normal 3 4 103 5" xfId="21846"/>
    <cellStyle name="Normal 3 4 103 6" xfId="17797"/>
    <cellStyle name="Normal 3 4 103 7" xfId="32222"/>
    <cellStyle name="Normal 3 4 104" xfId="2392"/>
    <cellStyle name="Normal 3 4 104 2" xfId="4810"/>
    <cellStyle name="Normal 3 4 104 2 2" xfId="11580"/>
    <cellStyle name="Normal 3 4 104 2 3" xfId="24270"/>
    <cellStyle name="Normal 3 4 104 2 4" xfId="17272"/>
    <cellStyle name="Normal 3 4 104 2 5" xfId="30685"/>
    <cellStyle name="Normal 3 4 104 3" xfId="6681"/>
    <cellStyle name="Normal 3 4 104 3 2" xfId="13451"/>
    <cellStyle name="Normal 3 4 104 3 3" xfId="26141"/>
    <cellStyle name="Normal 3 4 104 3 4" xfId="16454"/>
    <cellStyle name="Normal 3 4 104 3 5" xfId="29581"/>
    <cellStyle name="Normal 3 4 104 4" xfId="9162"/>
    <cellStyle name="Normal 3 4 104 5" xfId="21863"/>
    <cellStyle name="Normal 3 4 104 6" xfId="16088"/>
    <cellStyle name="Normal 3 4 104 7" xfId="27520"/>
    <cellStyle name="Normal 3 4 105" xfId="2407"/>
    <cellStyle name="Normal 3 4 105 2" xfId="4825"/>
    <cellStyle name="Normal 3 4 105 2 2" xfId="11595"/>
    <cellStyle name="Normal 3 4 105 2 3" xfId="24285"/>
    <cellStyle name="Normal 3 4 105 2 4" xfId="17184"/>
    <cellStyle name="Normal 3 4 105 2 5" xfId="26524"/>
    <cellStyle name="Normal 3 4 105 3" xfId="6695"/>
    <cellStyle name="Normal 3 4 105 3 2" xfId="13465"/>
    <cellStyle name="Normal 3 4 105 3 3" xfId="26155"/>
    <cellStyle name="Normal 3 4 105 3 4" xfId="18392"/>
    <cellStyle name="Normal 3 4 105 3 5" xfId="31638"/>
    <cellStyle name="Normal 3 4 105 4" xfId="9177"/>
    <cellStyle name="Normal 3 4 105 5" xfId="21877"/>
    <cellStyle name="Normal 3 4 105 6" xfId="17558"/>
    <cellStyle name="Normal 3 4 105 7" xfId="32174"/>
    <cellStyle name="Normal 3 4 106" xfId="2429"/>
    <cellStyle name="Normal 3 4 106 2" xfId="4847"/>
    <cellStyle name="Normal 3 4 106 2 2" xfId="11617"/>
    <cellStyle name="Normal 3 4 106 2 3" xfId="24307"/>
    <cellStyle name="Normal 3 4 106 2 4" xfId="13686"/>
    <cellStyle name="Normal 3 4 106 2 5" xfId="27649"/>
    <cellStyle name="Normal 3 4 106 3" xfId="6715"/>
    <cellStyle name="Normal 3 4 106 3 2" xfId="13485"/>
    <cellStyle name="Normal 3 4 106 3 3" xfId="26175"/>
    <cellStyle name="Normal 3 4 106 3 4" xfId="13856"/>
    <cellStyle name="Normal 3 4 106 3 5" xfId="30615"/>
    <cellStyle name="Normal 3 4 106 4" xfId="9199"/>
    <cellStyle name="Normal 3 4 106 5" xfId="21897"/>
    <cellStyle name="Normal 3 4 106 6" xfId="15052"/>
    <cellStyle name="Normal 3 4 106 7" xfId="30073"/>
    <cellStyle name="Normal 3 4 107" xfId="2455"/>
    <cellStyle name="Normal 3 4 107 2" xfId="4873"/>
    <cellStyle name="Normal 3 4 107 2 2" xfId="11643"/>
    <cellStyle name="Normal 3 4 107 2 3" xfId="24333"/>
    <cellStyle name="Normal 3 4 107 2 4" xfId="16858"/>
    <cellStyle name="Normal 3 4 107 2 5" xfId="26440"/>
    <cellStyle name="Normal 3 4 107 3" xfId="6738"/>
    <cellStyle name="Normal 3 4 107 3 2" xfId="13508"/>
    <cellStyle name="Normal 3 4 107 3 3" xfId="26198"/>
    <cellStyle name="Normal 3 4 107 3 4" xfId="18199"/>
    <cellStyle name="Normal 3 4 107 3 5" xfId="28598"/>
    <cellStyle name="Normal 3 4 107 4" xfId="9225"/>
    <cellStyle name="Normal 3 4 107 5" xfId="21920"/>
    <cellStyle name="Normal 3 4 107 6" xfId="17233"/>
    <cellStyle name="Normal 3 4 107 7" xfId="30556"/>
    <cellStyle name="Normal 3 4 108" xfId="2473"/>
    <cellStyle name="Normal 3 4 108 2" xfId="4890"/>
    <cellStyle name="Normal 3 4 108 2 2" xfId="11660"/>
    <cellStyle name="Normal 3 4 108 2 3" xfId="24350"/>
    <cellStyle name="Normal 3 4 108 2 4" xfId="18731"/>
    <cellStyle name="Normal 3 4 108 2 5" xfId="26293"/>
    <cellStyle name="Normal 3 4 108 3" xfId="6754"/>
    <cellStyle name="Normal 3 4 108 3 2" xfId="13524"/>
    <cellStyle name="Normal 3 4 108 3 3" xfId="26214"/>
    <cellStyle name="Normal 3 4 108 3 4" xfId="26235"/>
    <cellStyle name="Normal 3 4 108 3 5" xfId="26403"/>
    <cellStyle name="Normal 3 4 108 4" xfId="9243"/>
    <cellStyle name="Normal 3 4 108 5" xfId="21936"/>
    <cellStyle name="Normal 3 4 108 6" xfId="17125"/>
    <cellStyle name="Normal 3 4 108 7" xfId="32084"/>
    <cellStyle name="Normal 3 4 109" xfId="2504"/>
    <cellStyle name="Normal 3 4 109 2" xfId="9274"/>
    <cellStyle name="Normal 3 4 109 3" xfId="21965"/>
    <cellStyle name="Normal 3 4 109 4" xfId="14549"/>
    <cellStyle name="Normal 3 4 109 5" xfId="29071"/>
    <cellStyle name="Normal 3 4 11" xfId="275"/>
    <cellStyle name="Normal 3 4 11 2" xfId="2751"/>
    <cellStyle name="Normal 3 4 11 2 2" xfId="9521"/>
    <cellStyle name="Normal 3 4 11 2 3" xfId="22211"/>
    <cellStyle name="Normal 3 4 11 2 4" xfId="18213"/>
    <cellStyle name="Normal 3 4 11 2 5" xfId="30693"/>
    <cellStyle name="Normal 3 4 11 3" xfId="4034"/>
    <cellStyle name="Normal 3 4 11 3 2" xfId="10804"/>
    <cellStyle name="Normal 3 4 11 3 3" xfId="23494"/>
    <cellStyle name="Normal 3 4 11 3 4" xfId="15573"/>
    <cellStyle name="Normal 3 4 11 3 5" xfId="32205"/>
    <cellStyle name="Normal 3 4 11 4" xfId="7045"/>
    <cellStyle name="Normal 3 4 11 5" xfId="14687"/>
    <cellStyle name="Normal 3 4 11 6" xfId="15547"/>
    <cellStyle name="Normal 3 4 11 7" xfId="29279"/>
    <cellStyle name="Normal 3 4 110" xfId="4714"/>
    <cellStyle name="Normal 3 4 110 2" xfId="11484"/>
    <cellStyle name="Normal 3 4 110 3" xfId="24174"/>
    <cellStyle name="Normal 3 4 110 4" xfId="17897"/>
    <cellStyle name="Normal 3 4 110 5" xfId="30846"/>
    <cellStyle name="Normal 3 4 111" xfId="6784"/>
    <cellStyle name="Normal 3 4 112" xfId="13577"/>
    <cellStyle name="Normal 3 4 113" xfId="15519"/>
    <cellStyle name="Normal 3 4 114" xfId="28892"/>
    <cellStyle name="Normal 3 4 115" xfId="32457"/>
    <cellStyle name="Normal 3 4 116" xfId="32483"/>
    <cellStyle name="Normal 3 4 117" xfId="32506"/>
    <cellStyle name="Normal 3 4 118" xfId="32529"/>
    <cellStyle name="Normal 3 4 119" xfId="32552"/>
    <cellStyle name="Normal 3 4 12" xfId="260"/>
    <cellStyle name="Normal 3 4 12 2" xfId="2738"/>
    <cellStyle name="Normal 3 4 12 2 2" xfId="9508"/>
    <cellStyle name="Normal 3 4 12 2 3" xfId="22198"/>
    <cellStyle name="Normal 3 4 12 2 4" xfId="15938"/>
    <cellStyle name="Normal 3 4 12 2 5" xfId="28728"/>
    <cellStyle name="Normal 3 4 12 3" xfId="4342"/>
    <cellStyle name="Normal 3 4 12 3 2" xfId="11112"/>
    <cellStyle name="Normal 3 4 12 3 3" xfId="23802"/>
    <cellStyle name="Normal 3 4 12 3 4" xfId="18060"/>
    <cellStyle name="Normal 3 4 12 3 5" xfId="31431"/>
    <cellStyle name="Normal 3 4 12 4" xfId="7030"/>
    <cellStyle name="Normal 3 4 12 5" xfId="15392"/>
    <cellStyle name="Normal 3 4 12 6" xfId="15630"/>
    <cellStyle name="Normal 3 4 12 7" xfId="30192"/>
    <cellStyle name="Normal 3 4 120" xfId="32575"/>
    <cellStyle name="Normal 3 4 121" xfId="32598"/>
    <cellStyle name="Normal 3 4 122" xfId="32621"/>
    <cellStyle name="Normal 3 4 123" xfId="32644"/>
    <cellStyle name="Normal 3 4 124" xfId="32667"/>
    <cellStyle name="Normal 3 4 125" xfId="32690"/>
    <cellStyle name="Normal 3 4 126" xfId="32713"/>
    <cellStyle name="Normal 3 4 127" xfId="32736"/>
    <cellStyle name="Normal 3 4 128" xfId="32759"/>
    <cellStyle name="Normal 3 4 129" xfId="32782"/>
    <cellStyle name="Normal 3 4 13" xfId="322"/>
    <cellStyle name="Normal 3 4 13 2" xfId="2798"/>
    <cellStyle name="Normal 3 4 13 2 2" xfId="9568"/>
    <cellStyle name="Normal 3 4 13 2 3" xfId="22258"/>
    <cellStyle name="Normal 3 4 13 2 4" xfId="17885"/>
    <cellStyle name="Normal 3 4 13 2 5" xfId="28632"/>
    <cellStyle name="Normal 3 4 13 3" xfId="3084"/>
    <cellStyle name="Normal 3 4 13 3 2" xfId="9854"/>
    <cellStyle name="Normal 3 4 13 3 3" xfId="22544"/>
    <cellStyle name="Normal 3 4 13 3 4" xfId="19698"/>
    <cellStyle name="Normal 3 4 13 3 5" xfId="27152"/>
    <cellStyle name="Normal 3 4 13 4" xfId="7092"/>
    <cellStyle name="Normal 3 4 13 5" xfId="13614"/>
    <cellStyle name="Normal 3 4 13 6" xfId="17637"/>
    <cellStyle name="Normal 3 4 13 7" xfId="32179"/>
    <cellStyle name="Normal 3 4 130" xfId="32805"/>
    <cellStyle name="Normal 3 4 131" xfId="32828"/>
    <cellStyle name="Normal 3 4 132" xfId="32851"/>
    <cellStyle name="Normal 3 4 133" xfId="32874"/>
    <cellStyle name="Normal 3 4 134" xfId="32896"/>
    <cellStyle name="Normal 3 4 135" xfId="32919"/>
    <cellStyle name="Normal 3 4 136" xfId="32942"/>
    <cellStyle name="Normal 3 4 137" xfId="32965"/>
    <cellStyle name="Normal 3 4 138" xfId="32988"/>
    <cellStyle name="Normal 3 4 139" xfId="33011"/>
    <cellStyle name="Normal 3 4 14" xfId="345"/>
    <cellStyle name="Normal 3 4 14 2" xfId="2821"/>
    <cellStyle name="Normal 3 4 14 2 2" xfId="9591"/>
    <cellStyle name="Normal 3 4 14 2 3" xfId="22281"/>
    <cellStyle name="Normal 3 4 14 2 4" xfId="8882"/>
    <cellStyle name="Normal 3 4 14 2 5" xfId="31567"/>
    <cellStyle name="Normal 3 4 14 3" xfId="4774"/>
    <cellStyle name="Normal 3 4 14 3 2" xfId="11544"/>
    <cellStyle name="Normal 3 4 14 3 3" xfId="24234"/>
    <cellStyle name="Normal 3 4 14 3 4" xfId="17511"/>
    <cellStyle name="Normal 3 4 14 3 5" xfId="30729"/>
    <cellStyle name="Normal 3 4 14 4" xfId="7115"/>
    <cellStyle name="Normal 3 4 14 5" xfId="15645"/>
    <cellStyle name="Normal 3 4 14 6" xfId="18158"/>
    <cellStyle name="Normal 3 4 14 7" xfId="27076"/>
    <cellStyle name="Normal 3 4 140" xfId="33034"/>
    <cellStyle name="Normal 3 4 141" xfId="33057"/>
    <cellStyle name="Normal 3 4 142" xfId="33080"/>
    <cellStyle name="Normal 3 4 143" xfId="33103"/>
    <cellStyle name="Normal 3 4 144" xfId="33126"/>
    <cellStyle name="Normal 3 4 145" xfId="33148"/>
    <cellStyle name="Normal 3 4 146" xfId="33168"/>
    <cellStyle name="Normal 3 4 147" xfId="32466"/>
    <cellStyle name="Normal 3 4 148" xfId="33206"/>
    <cellStyle name="Normal 3 4 149" xfId="33238"/>
    <cellStyle name="Normal 3 4 15" xfId="368"/>
    <cellStyle name="Normal 3 4 15 2" xfId="2844"/>
    <cellStyle name="Normal 3 4 15 2 2" xfId="9614"/>
    <cellStyle name="Normal 3 4 15 2 3" xfId="22304"/>
    <cellStyle name="Normal 3 4 15 2 4" xfId="8404"/>
    <cellStyle name="Normal 3 4 15 2 5" xfId="27452"/>
    <cellStyle name="Normal 3 4 15 3" xfId="4926"/>
    <cellStyle name="Normal 3 4 15 3 2" xfId="11696"/>
    <cellStyle name="Normal 3 4 15 3 3" xfId="24386"/>
    <cellStyle name="Normal 3 4 15 3 4" xfId="18516"/>
    <cellStyle name="Normal 3 4 15 3 5" xfId="30351"/>
    <cellStyle name="Normal 3 4 15 4" xfId="7138"/>
    <cellStyle name="Normal 3 4 15 5" xfId="20108"/>
    <cellStyle name="Normal 3 4 15 6" xfId="14956"/>
    <cellStyle name="Normal 3 4 15 7" xfId="27372"/>
    <cellStyle name="Normal 3 4 150" xfId="33259"/>
    <cellStyle name="Normal 3 4 151" xfId="33282"/>
    <cellStyle name="Normal 3 4 152" xfId="33305"/>
    <cellStyle name="Normal 3 4 153" xfId="33328"/>
    <cellStyle name="Normal 3 4 154" xfId="33351"/>
    <cellStyle name="Normal 3 4 155" xfId="33374"/>
    <cellStyle name="Normal 3 4 156" xfId="33397"/>
    <cellStyle name="Normal 3 4 157" xfId="33420"/>
    <cellStyle name="Normal 3 4 158" xfId="33443"/>
    <cellStyle name="Normal 3 4 159" xfId="33466"/>
    <cellStyle name="Normal 3 4 16" xfId="391"/>
    <cellStyle name="Normal 3 4 16 2" xfId="2867"/>
    <cellStyle name="Normal 3 4 16 2 2" xfId="9637"/>
    <cellStyle name="Normal 3 4 16 2 3" xfId="22327"/>
    <cellStyle name="Normal 3 4 16 2 4" xfId="6917"/>
    <cellStyle name="Normal 3 4 16 2 5" xfId="30354"/>
    <cellStyle name="Normal 3 4 16 3" xfId="4946"/>
    <cellStyle name="Normal 3 4 16 3 2" xfId="11716"/>
    <cellStyle name="Normal 3 4 16 3 3" xfId="24406"/>
    <cellStyle name="Normal 3 4 16 3 4" xfId="13618"/>
    <cellStyle name="Normal 3 4 16 3 5" xfId="32392"/>
    <cellStyle name="Normal 3 4 16 4" xfId="7161"/>
    <cellStyle name="Normal 3 4 16 5" xfId="20128"/>
    <cellStyle name="Normal 3 4 16 6" xfId="17179"/>
    <cellStyle name="Normal 3 4 16 7" xfId="28186"/>
    <cellStyle name="Normal 3 4 160" xfId="33489"/>
    <cellStyle name="Normal 3 4 161" xfId="33512"/>
    <cellStyle name="Normal 3 4 162" xfId="33535"/>
    <cellStyle name="Normal 3 4 163" xfId="33558"/>
    <cellStyle name="Normal 3 4 164" xfId="33581"/>
    <cellStyle name="Normal 3 4 165" xfId="33604"/>
    <cellStyle name="Normal 3 4 166" xfId="33627"/>
    <cellStyle name="Normal 3 4 167" xfId="33649"/>
    <cellStyle name="Normal 3 4 168" xfId="33671"/>
    <cellStyle name="Normal 3 4 169" xfId="33694"/>
    <cellStyle name="Normal 3 4 17" xfId="414"/>
    <cellStyle name="Normal 3 4 17 2" xfId="2889"/>
    <cellStyle name="Normal 3 4 17 2 2" xfId="9659"/>
    <cellStyle name="Normal 3 4 17 2 3" xfId="22349"/>
    <cellStyle name="Normal 3 4 17 2 4" xfId="6870"/>
    <cellStyle name="Normal 3 4 17 2 5" xfId="31496"/>
    <cellStyle name="Normal 3 4 17 3" xfId="4966"/>
    <cellStyle name="Normal 3 4 17 3 2" xfId="11736"/>
    <cellStyle name="Normal 3 4 17 3 3" xfId="24426"/>
    <cellStyle name="Normal 3 4 17 3 4" xfId="16235"/>
    <cellStyle name="Normal 3 4 17 3 5" xfId="31464"/>
    <cellStyle name="Normal 3 4 17 4" xfId="7184"/>
    <cellStyle name="Normal 3 4 17 5" xfId="20148"/>
    <cellStyle name="Normal 3 4 17 6" xfId="18978"/>
    <cellStyle name="Normal 3 4 17 7" xfId="31111"/>
    <cellStyle name="Normal 3 4 170" xfId="33717"/>
    <cellStyle name="Normal 3 4 171" xfId="33740"/>
    <cellStyle name="Normal 3 4 172" xfId="33763"/>
    <cellStyle name="Normal 3 4 173" xfId="33786"/>
    <cellStyle name="Normal 3 4 174" xfId="33809"/>
    <cellStyle name="Normal 3 4 175" xfId="33832"/>
    <cellStyle name="Normal 3 4 176" xfId="33855"/>
    <cellStyle name="Normal 3 4 177" xfId="33878"/>
    <cellStyle name="Normal 3 4 178" xfId="33901"/>
    <cellStyle name="Normal 3 4 179" xfId="33924"/>
    <cellStyle name="Normal 3 4 18" xfId="436"/>
    <cellStyle name="Normal 3 4 18 2" xfId="2911"/>
    <cellStyle name="Normal 3 4 18 2 2" xfId="9681"/>
    <cellStyle name="Normal 3 4 18 2 3" xfId="22371"/>
    <cellStyle name="Normal 3 4 18 2 4" xfId="8819"/>
    <cellStyle name="Normal 3 4 18 2 5" xfId="31695"/>
    <cellStyle name="Normal 3 4 18 3" xfId="4985"/>
    <cellStyle name="Normal 3 4 18 3 2" xfId="11755"/>
    <cellStyle name="Normal 3 4 18 3 3" xfId="24445"/>
    <cellStyle name="Normal 3 4 18 3 4" xfId="15859"/>
    <cellStyle name="Normal 3 4 18 3 5" xfId="27828"/>
    <cellStyle name="Normal 3 4 18 4" xfId="7206"/>
    <cellStyle name="Normal 3 4 18 5" xfId="20167"/>
    <cellStyle name="Normal 3 4 18 6" xfId="16875"/>
    <cellStyle name="Normal 3 4 18 7" xfId="31497"/>
    <cellStyle name="Normal 3 4 180" xfId="33947"/>
    <cellStyle name="Normal 3 4 181" xfId="33970"/>
    <cellStyle name="Normal 3 4 182" xfId="33993"/>
    <cellStyle name="Normal 3 4 183" xfId="34014"/>
    <cellStyle name="Normal 3 4 184" xfId="34032"/>
    <cellStyle name="Normal 3 4 19" xfId="459"/>
    <cellStyle name="Normal 3 4 19 2" xfId="2934"/>
    <cellStyle name="Normal 3 4 19 2 2" xfId="9704"/>
    <cellStyle name="Normal 3 4 19 2 3" xfId="22394"/>
    <cellStyle name="Normal 3 4 19 2 4" xfId="8342"/>
    <cellStyle name="Normal 3 4 19 2 5" xfId="26530"/>
    <cellStyle name="Normal 3 4 19 3" xfId="5005"/>
    <cellStyle name="Normal 3 4 19 3 2" xfId="11775"/>
    <cellStyle name="Normal 3 4 19 3 3" xfId="24465"/>
    <cellStyle name="Normal 3 4 19 3 4" xfId="18103"/>
    <cellStyle name="Normal 3 4 19 3 5" xfId="26622"/>
    <cellStyle name="Normal 3 4 19 4" xfId="7229"/>
    <cellStyle name="Normal 3 4 19 5" xfId="20187"/>
    <cellStyle name="Normal 3 4 19 6" xfId="18707"/>
    <cellStyle name="Normal 3 4 19 7" xfId="26896"/>
    <cellStyle name="Normal 3 4 2" xfId="64"/>
    <cellStyle name="Normal 3 4 2 2" xfId="2549"/>
    <cellStyle name="Normal 3 4 2 2 2" xfId="9319"/>
    <cellStyle name="Normal 3 4 2 2 3" xfId="22009"/>
    <cellStyle name="Normal 3 4 2 2 4" xfId="14206"/>
    <cellStyle name="Normal 3 4 2 2 5" xfId="29905"/>
    <cellStyle name="Normal 3 4 2 3" xfId="3633"/>
    <cellStyle name="Normal 3 4 2 3 2" xfId="10403"/>
    <cellStyle name="Normal 3 4 2 3 3" xfId="23093"/>
    <cellStyle name="Normal 3 4 2 3 4" xfId="18361"/>
    <cellStyle name="Normal 3 4 2 3 5" xfId="30555"/>
    <cellStyle name="Normal 3 4 2 4" xfId="6834"/>
    <cellStyle name="Normal 3 4 2 5" xfId="14711"/>
    <cellStyle name="Normal 3 4 2 6" xfId="17562"/>
    <cellStyle name="Normal 3 4 2 7" xfId="31784"/>
    <cellStyle name="Normal 3 4 20" xfId="482"/>
    <cellStyle name="Normal 3 4 20 2" xfId="2957"/>
    <cellStyle name="Normal 3 4 20 2 2" xfId="9727"/>
    <cellStyle name="Normal 3 4 20 2 3" xfId="22417"/>
    <cellStyle name="Normal 3 4 20 2 4" xfId="7861"/>
    <cellStyle name="Normal 3 4 20 2 5" xfId="29532"/>
    <cellStyle name="Normal 3 4 20 3" xfId="5025"/>
    <cellStyle name="Normal 3 4 20 3 2" xfId="11795"/>
    <cellStyle name="Normal 3 4 20 3 3" xfId="24485"/>
    <cellStyle name="Normal 3 4 20 3 4" xfId="19867"/>
    <cellStyle name="Normal 3 4 20 3 5" xfId="28729"/>
    <cellStyle name="Normal 3 4 20 4" xfId="7252"/>
    <cellStyle name="Normal 3 4 20 5" xfId="20207"/>
    <cellStyle name="Normal 3 4 20 6" xfId="14209"/>
    <cellStyle name="Normal 3 4 20 7" xfId="29881"/>
    <cellStyle name="Normal 3 4 21" xfId="505"/>
    <cellStyle name="Normal 3 4 21 2" xfId="2980"/>
    <cellStyle name="Normal 3 4 21 2 2" xfId="9750"/>
    <cellStyle name="Normal 3 4 21 2 3" xfId="22440"/>
    <cellStyle name="Normal 3 4 21 2 4" xfId="7076"/>
    <cellStyle name="Normal 3 4 21 2 5" xfId="28477"/>
    <cellStyle name="Normal 3 4 21 3" xfId="5045"/>
    <cellStyle name="Normal 3 4 21 3 2" xfId="11815"/>
    <cellStyle name="Normal 3 4 21 3 3" xfId="24505"/>
    <cellStyle name="Normal 3 4 21 3 4" xfId="15465"/>
    <cellStyle name="Normal 3 4 21 3 5" xfId="30680"/>
    <cellStyle name="Normal 3 4 21 4" xfId="7275"/>
    <cellStyle name="Normal 3 4 21 5" xfId="20227"/>
    <cellStyle name="Normal 3 4 21 6" xfId="16410"/>
    <cellStyle name="Normal 3 4 21 7" xfId="27492"/>
    <cellStyle name="Normal 3 4 22" xfId="528"/>
    <cellStyle name="Normal 3 4 22 2" xfId="3003"/>
    <cellStyle name="Normal 3 4 22 2 2" xfId="9773"/>
    <cellStyle name="Normal 3 4 22 2 3" xfId="22463"/>
    <cellStyle name="Normal 3 4 22 2 4" xfId="9112"/>
    <cellStyle name="Normal 3 4 22 2 5" xfId="31410"/>
    <cellStyle name="Normal 3 4 22 3" xfId="5065"/>
    <cellStyle name="Normal 3 4 22 3 2" xfId="11835"/>
    <cellStyle name="Normal 3 4 22 3 3" xfId="24525"/>
    <cellStyle name="Normal 3 4 22 3 4" xfId="17726"/>
    <cellStyle name="Normal 3 4 22 3 5" xfId="29552"/>
    <cellStyle name="Normal 3 4 22 4" xfId="7298"/>
    <cellStyle name="Normal 3 4 22 5" xfId="20247"/>
    <cellStyle name="Normal 3 4 22 6" xfId="18295"/>
    <cellStyle name="Normal 3 4 22 7" xfId="30927"/>
    <cellStyle name="Normal 3 4 23" xfId="551"/>
    <cellStyle name="Normal 3 4 23 2" xfId="3024"/>
    <cellStyle name="Normal 3 4 23 2 2" xfId="9794"/>
    <cellStyle name="Normal 3 4 23 2 3" xfId="22484"/>
    <cellStyle name="Normal 3 4 23 2 4" xfId="9107"/>
    <cellStyle name="Normal 3 4 23 2 5" xfId="27237"/>
    <cellStyle name="Normal 3 4 23 3" xfId="5085"/>
    <cellStyle name="Normal 3 4 23 3 2" xfId="11855"/>
    <cellStyle name="Normal 3 4 23 3 3" xfId="24545"/>
    <cellStyle name="Normal 3 4 23 3 4" xfId="19491"/>
    <cellStyle name="Normal 3 4 23 3 5" xfId="31601"/>
    <cellStyle name="Normal 3 4 23 4" xfId="7321"/>
    <cellStyle name="Normal 3 4 23 5" xfId="20267"/>
    <cellStyle name="Normal 3 4 23 6" xfId="15854"/>
    <cellStyle name="Normal 3 4 23 7" xfId="28887"/>
    <cellStyle name="Normal 3 4 24" xfId="574"/>
    <cellStyle name="Normal 3 4 24 2" xfId="3047"/>
    <cellStyle name="Normal 3 4 24 2 2" xfId="9817"/>
    <cellStyle name="Normal 3 4 24 2 3" xfId="22507"/>
    <cellStyle name="Normal 3 4 24 2 4" xfId="15688"/>
    <cellStyle name="Normal 3 4 24 2 5" xfId="30195"/>
    <cellStyle name="Normal 3 4 24 3" xfId="5105"/>
    <cellStyle name="Normal 3 4 24 3 2" xfId="11875"/>
    <cellStyle name="Normal 3 4 24 3 3" xfId="24565"/>
    <cellStyle name="Normal 3 4 24 3 4" xfId="15143"/>
    <cellStyle name="Normal 3 4 24 3 5" xfId="28592"/>
    <cellStyle name="Normal 3 4 24 4" xfId="7344"/>
    <cellStyle name="Normal 3 4 24 5" xfId="20287"/>
    <cellStyle name="Normal 3 4 24 6" xfId="16312"/>
    <cellStyle name="Normal 3 4 24 7" xfId="31831"/>
    <cellStyle name="Normal 3 4 25" xfId="596"/>
    <cellStyle name="Normal 3 4 25 2" xfId="3069"/>
    <cellStyle name="Normal 3 4 25 2 2" xfId="9839"/>
    <cellStyle name="Normal 3 4 25 2 3" xfId="22529"/>
    <cellStyle name="Normal 3 4 25 2 4" xfId="19773"/>
    <cellStyle name="Normal 3 4 25 2 5" xfId="31319"/>
    <cellStyle name="Normal 3 4 25 3" xfId="5124"/>
    <cellStyle name="Normal 3 4 25 3 2" xfId="11894"/>
    <cellStyle name="Normal 3 4 25 3 3" xfId="24584"/>
    <cellStyle name="Normal 3 4 25 3 4" xfId="19256"/>
    <cellStyle name="Normal 3 4 25 3 5" xfId="30513"/>
    <cellStyle name="Normal 3 4 25 4" xfId="7366"/>
    <cellStyle name="Normal 3 4 25 5" xfId="20306"/>
    <cellStyle name="Normal 3 4 25 6" xfId="13553"/>
    <cellStyle name="Normal 3 4 25 7" xfId="29716"/>
    <cellStyle name="Normal 3 4 26" xfId="609"/>
    <cellStyle name="Normal 3 4 26 2" xfId="3082"/>
    <cellStyle name="Normal 3 4 26 2 2" xfId="9852"/>
    <cellStyle name="Normal 3 4 26 2 3" xfId="22542"/>
    <cellStyle name="Normal 3 4 26 2 4" xfId="17849"/>
    <cellStyle name="Normal 3 4 26 2 5" xfId="28330"/>
    <cellStyle name="Normal 3 4 26 3" xfId="5136"/>
    <cellStyle name="Normal 3 4 26 3 2" xfId="11906"/>
    <cellStyle name="Normal 3 4 26 3 3" xfId="24596"/>
    <cellStyle name="Normal 3 4 26 3 4" xfId="19180"/>
    <cellStyle name="Normal 3 4 26 3 5" xfId="30492"/>
    <cellStyle name="Normal 3 4 26 4" xfId="7379"/>
    <cellStyle name="Normal 3 4 26 5" xfId="20318"/>
    <cellStyle name="Normal 3 4 26 6" xfId="20015"/>
    <cellStyle name="Normal 3 4 26 7" xfId="26658"/>
    <cellStyle name="Normal 3 4 27" xfId="643"/>
    <cellStyle name="Normal 3 4 27 2" xfId="3116"/>
    <cellStyle name="Normal 3 4 27 2 2" xfId="9886"/>
    <cellStyle name="Normal 3 4 27 2 3" xfId="22576"/>
    <cellStyle name="Normal 3 4 27 2 4" xfId="15251"/>
    <cellStyle name="Normal 3 4 27 2 5" xfId="29209"/>
    <cellStyle name="Normal 3 4 27 3" xfId="5165"/>
    <cellStyle name="Normal 3 4 27 3 2" xfId="11935"/>
    <cellStyle name="Normal 3 4 27 3 3" xfId="24625"/>
    <cellStyle name="Normal 3 4 27 3 4" xfId="14696"/>
    <cellStyle name="Normal 3 4 27 3 5" xfId="27546"/>
    <cellStyle name="Normal 3 4 27 4" xfId="7413"/>
    <cellStyle name="Normal 3 4 27 5" xfId="20347"/>
    <cellStyle name="Normal 3 4 27 6" xfId="17658"/>
    <cellStyle name="Normal 3 4 27 7" xfId="27776"/>
    <cellStyle name="Normal 3 4 28" xfId="664"/>
    <cellStyle name="Normal 3 4 28 2" xfId="3136"/>
    <cellStyle name="Normal 3 4 28 2 2" xfId="9906"/>
    <cellStyle name="Normal 3 4 28 2 3" xfId="22596"/>
    <cellStyle name="Normal 3 4 28 2 4" xfId="17482"/>
    <cellStyle name="Normal 3 4 28 2 5" xfId="28252"/>
    <cellStyle name="Normal 3 4 28 3" xfId="5183"/>
    <cellStyle name="Normal 3 4 28 3 2" xfId="11953"/>
    <cellStyle name="Normal 3 4 28 3 3" xfId="24643"/>
    <cellStyle name="Normal 3 4 28 3 4" xfId="14587"/>
    <cellStyle name="Normal 3 4 28 3 5" xfId="29440"/>
    <cellStyle name="Normal 3 4 28 4" xfId="7434"/>
    <cellStyle name="Normal 3 4 28 5" xfId="20365"/>
    <cellStyle name="Normal 3 4 28 6" xfId="19409"/>
    <cellStyle name="Normal 3 4 28 7" xfId="31687"/>
    <cellStyle name="Normal 3 4 29" xfId="610"/>
    <cellStyle name="Normal 3 4 29 2" xfId="3083"/>
    <cellStyle name="Normal 3 4 29 2 2" xfId="9853"/>
    <cellStyle name="Normal 3 4 29 2 3" xfId="22543"/>
    <cellStyle name="Normal 3 4 29 2 4" xfId="15459"/>
    <cellStyle name="Normal 3 4 29 2 5" xfId="30145"/>
    <cellStyle name="Normal 3 4 29 3" xfId="5137"/>
    <cellStyle name="Normal 3 4 29 3 2" xfId="11907"/>
    <cellStyle name="Normal 3 4 29 3 3" xfId="24597"/>
    <cellStyle name="Normal 3 4 29 3 4" xfId="17249"/>
    <cellStyle name="Normal 3 4 29 3 5" xfId="27528"/>
    <cellStyle name="Normal 3 4 29 4" xfId="7380"/>
    <cellStyle name="Normal 3 4 29 5" xfId="20319"/>
    <cellStyle name="Normal 3 4 29 6" xfId="18182"/>
    <cellStyle name="Normal 3 4 29 7" xfId="31769"/>
    <cellStyle name="Normal 3 4 3" xfId="91"/>
    <cellStyle name="Normal 3 4 3 2" xfId="2575"/>
    <cellStyle name="Normal 3 4 3 2 2" xfId="9345"/>
    <cellStyle name="Normal 3 4 3 2 3" xfId="22035"/>
    <cellStyle name="Normal 3 4 3 2 4" xfId="16443"/>
    <cellStyle name="Normal 3 4 3 2 5" xfId="31935"/>
    <cellStyle name="Normal 3 4 3 3" xfId="3092"/>
    <cellStyle name="Normal 3 4 3 3 2" xfId="9862"/>
    <cellStyle name="Normal 3 4 3 3 3" xfId="22552"/>
    <cellStyle name="Normal 3 4 3 3 4" xfId="15397"/>
    <cellStyle name="Normal 3 4 3 3 5" xfId="29236"/>
    <cellStyle name="Normal 3 4 3 4" xfId="6861"/>
    <cellStyle name="Normal 3 4 3 5" xfId="14183"/>
    <cellStyle name="Normal 3 4 3 6" xfId="17394"/>
    <cellStyle name="Normal 3 4 3 7" xfId="27795"/>
    <cellStyle name="Normal 3 4 30" xfId="709"/>
    <cellStyle name="Normal 3 4 30 2" xfId="3181"/>
    <cellStyle name="Normal 3 4 30 2 2" xfId="9951"/>
    <cellStyle name="Normal 3 4 30 2 3" xfId="22641"/>
    <cellStyle name="Normal 3 4 30 2 4" xfId="17199"/>
    <cellStyle name="Normal 3 4 30 2 5" xfId="32083"/>
    <cellStyle name="Normal 3 4 30 3" xfId="5223"/>
    <cellStyle name="Normal 3 4 30 3 2" xfId="11993"/>
    <cellStyle name="Normal 3 4 30 3 3" xfId="24683"/>
    <cellStyle name="Normal 3 4 30 3 4" xfId="18671"/>
    <cellStyle name="Normal 3 4 30 3 5" xfId="27295"/>
    <cellStyle name="Normal 3 4 30 4" xfId="7479"/>
    <cellStyle name="Normal 3 4 30 5" xfId="20405"/>
    <cellStyle name="Normal 3 4 30 6" xfId="14827"/>
    <cellStyle name="Normal 3 4 30 7" xfId="27657"/>
    <cellStyle name="Normal 3 4 31" xfId="696"/>
    <cellStyle name="Normal 3 4 31 2" xfId="3168"/>
    <cellStyle name="Normal 3 4 31 2 2" xfId="9938"/>
    <cellStyle name="Normal 3 4 31 2 3" xfId="22628"/>
    <cellStyle name="Normal 3 4 31 2 4" xfId="19195"/>
    <cellStyle name="Normal 3 4 31 2 5" xfId="27032"/>
    <cellStyle name="Normal 3 4 31 3" xfId="5212"/>
    <cellStyle name="Normal 3 4 31 3 2" xfId="11982"/>
    <cellStyle name="Normal 3 4 31 3 3" xfId="24672"/>
    <cellStyle name="Normal 3 4 31 3 4" xfId="16743"/>
    <cellStyle name="Normal 3 4 31 3 5" xfId="32360"/>
    <cellStyle name="Normal 3 4 31 4" xfId="7466"/>
    <cellStyle name="Normal 3 4 31 5" xfId="20394"/>
    <cellStyle name="Normal 3 4 31 6" xfId="17291"/>
    <cellStyle name="Normal 3 4 31 7" xfId="30637"/>
    <cellStyle name="Normal 3 4 32" xfId="726"/>
    <cellStyle name="Normal 3 4 32 2" xfId="3197"/>
    <cellStyle name="Normal 3 4 32 2 2" xfId="9967"/>
    <cellStyle name="Normal 3 4 32 2 3" xfId="22657"/>
    <cellStyle name="Normal 3 4 32 2 4" xfId="14713"/>
    <cellStyle name="Normal 3 4 32 2 5" xfId="29991"/>
    <cellStyle name="Normal 3 4 32 3" xfId="5236"/>
    <cellStyle name="Normal 3 4 32 3 2" xfId="12006"/>
    <cellStyle name="Normal 3 4 32 3 3" xfId="24696"/>
    <cellStyle name="Normal 3 4 32 3 4" xfId="16546"/>
    <cellStyle name="Normal 3 4 32 3 5" xfId="30528"/>
    <cellStyle name="Normal 3 4 32 4" xfId="7496"/>
    <cellStyle name="Normal 3 4 32 5" xfId="20418"/>
    <cellStyle name="Normal 3 4 32 6" xfId="19020"/>
    <cellStyle name="Normal 3 4 32 7" xfId="30585"/>
    <cellStyle name="Normal 3 4 33" xfId="780"/>
    <cellStyle name="Normal 3 4 33 2" xfId="3250"/>
    <cellStyle name="Normal 3 4 33 2 2" xfId="10020"/>
    <cellStyle name="Normal 3 4 33 2 3" xfId="22710"/>
    <cellStyle name="Normal 3 4 33 2 4" xfId="16738"/>
    <cellStyle name="Normal 3 4 33 2 5" xfId="28075"/>
    <cellStyle name="Normal 3 4 33 3" xfId="5284"/>
    <cellStyle name="Normal 3 4 33 3 2" xfId="12054"/>
    <cellStyle name="Normal 3 4 33 3 3" xfId="24744"/>
    <cellStyle name="Normal 3 4 33 3 4" xfId="16279"/>
    <cellStyle name="Normal 3 4 33 3 5" xfId="30437"/>
    <cellStyle name="Normal 3 4 33 4" xfId="7550"/>
    <cellStyle name="Normal 3 4 33 5" xfId="20466"/>
    <cellStyle name="Normal 3 4 33 6" xfId="14280"/>
    <cellStyle name="Normal 3 4 33 7" xfId="31542"/>
    <cellStyle name="Normal 3 4 34" xfId="803"/>
    <cellStyle name="Normal 3 4 34 2" xfId="3271"/>
    <cellStyle name="Normal 3 4 34 2 2" xfId="10041"/>
    <cellStyle name="Normal 3 4 34 2 3" xfId="22731"/>
    <cellStyle name="Normal 3 4 34 2 4" xfId="16012"/>
    <cellStyle name="Normal 3 4 34 2 5" xfId="31952"/>
    <cellStyle name="Normal 3 4 34 3" xfId="5304"/>
    <cellStyle name="Normal 3 4 34 3 2" xfId="12074"/>
    <cellStyle name="Normal 3 4 34 3 3" xfId="24764"/>
    <cellStyle name="Normal 3 4 34 3 4" xfId="16731"/>
    <cellStyle name="Normal 3 4 34 3 5" xfId="15751"/>
    <cellStyle name="Normal 3 4 34 4" xfId="7573"/>
    <cellStyle name="Normal 3 4 34 5" xfId="20486"/>
    <cellStyle name="Normal 3 4 34 6" xfId="16182"/>
    <cellStyle name="Normal 3 4 34 7" xfId="29435"/>
    <cellStyle name="Normal 3 4 35" xfId="826"/>
    <cellStyle name="Normal 3 4 35 2" xfId="3294"/>
    <cellStyle name="Normal 3 4 35 2 2" xfId="10064"/>
    <cellStyle name="Normal 3 4 35 2 3" xfId="22754"/>
    <cellStyle name="Normal 3 4 35 2 4" xfId="18451"/>
    <cellStyle name="Normal 3 4 35 2 5" xfId="26328"/>
    <cellStyle name="Normal 3 4 35 3" xfId="5324"/>
    <cellStyle name="Normal 3 4 35 3 2" xfId="12094"/>
    <cellStyle name="Normal 3 4 35 3 3" xfId="24784"/>
    <cellStyle name="Normal 3 4 35 3 4" xfId="15757"/>
    <cellStyle name="Normal 3 4 35 3 5" xfId="17923"/>
    <cellStyle name="Normal 3 4 35 4" xfId="7596"/>
    <cellStyle name="Normal 3 4 35 5" xfId="20506"/>
    <cellStyle name="Normal 3 4 35 6" xfId="19772"/>
    <cellStyle name="Normal 3 4 35 7" xfId="31600"/>
    <cellStyle name="Normal 3 4 36" xfId="849"/>
    <cellStyle name="Normal 3 4 36 2" xfId="3315"/>
    <cellStyle name="Normal 3 4 36 2 2" xfId="10085"/>
    <cellStyle name="Normal 3 4 36 2 3" xfId="22775"/>
    <cellStyle name="Normal 3 4 36 2 4" xfId="18332"/>
    <cellStyle name="Normal 3 4 36 2 5" xfId="30931"/>
    <cellStyle name="Normal 3 4 36 3" xfId="5344"/>
    <cellStyle name="Normal 3 4 36 3 2" xfId="12114"/>
    <cellStyle name="Normal 3 4 36 3 3" xfId="24804"/>
    <cellStyle name="Normal 3 4 36 3 4" xfId="19889"/>
    <cellStyle name="Normal 3 4 36 3 5" xfId="14363"/>
    <cellStyle name="Normal 3 4 36 4" xfId="7619"/>
    <cellStyle name="Normal 3 4 36 5" xfId="20526"/>
    <cellStyle name="Normal 3 4 36 6" xfId="15396"/>
    <cellStyle name="Normal 3 4 36 7" xfId="26418"/>
    <cellStyle name="Normal 3 4 37" xfId="872"/>
    <cellStyle name="Normal 3 4 37 2" xfId="3337"/>
    <cellStyle name="Normal 3 4 37 2 2" xfId="10107"/>
    <cellStyle name="Normal 3 4 37 2 3" xfId="22797"/>
    <cellStyle name="Normal 3 4 37 2 4" xfId="18267"/>
    <cellStyle name="Normal 3 4 37 2 5" xfId="31862"/>
    <cellStyle name="Normal 3 4 37 3" xfId="5364"/>
    <cellStyle name="Normal 3 4 37 3 2" xfId="12134"/>
    <cellStyle name="Normal 3 4 37 3 3" xfId="24824"/>
    <cellStyle name="Normal 3 4 37 3 4" xfId="15529"/>
    <cellStyle name="Normal 3 4 37 3 5" xfId="15334"/>
    <cellStyle name="Normal 3 4 37 4" xfId="7642"/>
    <cellStyle name="Normal 3 4 37 5" xfId="20546"/>
    <cellStyle name="Normal 3 4 37 6" xfId="16055"/>
    <cellStyle name="Normal 3 4 37 7" xfId="27317"/>
    <cellStyle name="Normal 3 4 38" xfId="895"/>
    <cellStyle name="Normal 3 4 38 2" xfId="3359"/>
    <cellStyle name="Normal 3 4 38 2 2" xfId="10129"/>
    <cellStyle name="Normal 3 4 38 2 3" xfId="22819"/>
    <cellStyle name="Normal 3 4 38 2 4" xfId="15752"/>
    <cellStyle name="Normal 3 4 38 2 5" xfId="26941"/>
    <cellStyle name="Normal 3 4 38 3" xfId="5384"/>
    <cellStyle name="Normal 3 4 38 3 2" xfId="12154"/>
    <cellStyle name="Normal 3 4 38 3 3" xfId="24844"/>
    <cellStyle name="Normal 3 4 38 3 4" xfId="17790"/>
    <cellStyle name="Normal 3 4 38 3 5" xfId="19288"/>
    <cellStyle name="Normal 3 4 38 4" xfId="7665"/>
    <cellStyle name="Normal 3 4 38 5" xfId="20566"/>
    <cellStyle name="Normal 3 4 38 6" xfId="19367"/>
    <cellStyle name="Normal 3 4 38 7" xfId="28560"/>
    <cellStyle name="Normal 3 4 39" xfId="918"/>
    <cellStyle name="Normal 3 4 39 2" xfId="3382"/>
    <cellStyle name="Normal 3 4 39 2 2" xfId="10152"/>
    <cellStyle name="Normal 3 4 39 2 3" xfId="22842"/>
    <cellStyle name="Normal 3 4 39 2 4" xfId="17972"/>
    <cellStyle name="Normal 3 4 39 2 5" xfId="27857"/>
    <cellStyle name="Normal 3 4 39 3" xfId="5404"/>
    <cellStyle name="Normal 3 4 39 3 2" xfId="12174"/>
    <cellStyle name="Normal 3 4 39 3 3" xfId="24864"/>
    <cellStyle name="Normal 3 4 39 3 4" xfId="19530"/>
    <cellStyle name="Normal 3 4 39 3 5" xfId="14595"/>
    <cellStyle name="Normal 3 4 39 4" xfId="7688"/>
    <cellStyle name="Normal 3 4 39 5" xfId="20586"/>
    <cellStyle name="Normal 3 4 39 6" xfId="14953"/>
    <cellStyle name="Normal 3 4 39 7" xfId="31498"/>
    <cellStyle name="Normal 3 4 4" xfId="115"/>
    <cellStyle name="Normal 3 4 4 2" xfId="2599"/>
    <cellStyle name="Normal 3 4 4 2 2" xfId="9369"/>
    <cellStyle name="Normal 3 4 4 2 3" xfId="22059"/>
    <cellStyle name="Normal 3 4 4 2 4" xfId="16285"/>
    <cellStyle name="Normal 3 4 4 2 5" xfId="31909"/>
    <cellStyle name="Normal 3 4 4 3" xfId="4351"/>
    <cellStyle name="Normal 3 4 4 3 2" xfId="11121"/>
    <cellStyle name="Normal 3 4 4 3 3" xfId="23811"/>
    <cellStyle name="Normal 3 4 4 3 4" xfId="17989"/>
    <cellStyle name="Normal 3 4 4 3 5" xfId="27278"/>
    <cellStyle name="Normal 3 4 4 4" xfId="6885"/>
    <cellStyle name="Normal 3 4 4 5" xfId="15401"/>
    <cellStyle name="Normal 3 4 4 6" xfId="17215"/>
    <cellStyle name="Normal 3 4 4 7" xfId="27439"/>
    <cellStyle name="Normal 3 4 40" xfId="941"/>
    <cellStyle name="Normal 3 4 40 2" xfId="3405"/>
    <cellStyle name="Normal 3 4 40 2 2" xfId="10175"/>
    <cellStyle name="Normal 3 4 40 2 3" xfId="22865"/>
    <cellStyle name="Normal 3 4 40 2 4" xfId="19708"/>
    <cellStyle name="Normal 3 4 40 2 5" xfId="30778"/>
    <cellStyle name="Normal 3 4 40 3" xfId="5424"/>
    <cellStyle name="Normal 3 4 40 3 2" xfId="12194"/>
    <cellStyle name="Normal 3 4 40 3 3" xfId="24884"/>
    <cellStyle name="Normal 3 4 40 3 4" xfId="15147"/>
    <cellStyle name="Normal 3 4 40 3 5" xfId="19378"/>
    <cellStyle name="Normal 3 4 40 4" xfId="7711"/>
    <cellStyle name="Normal 3 4 40 5" xfId="20606"/>
    <cellStyle name="Normal 3 4 40 6" xfId="17176"/>
    <cellStyle name="Normal 3 4 40 7" xfId="29392"/>
    <cellStyle name="Normal 3 4 41" xfId="962"/>
    <cellStyle name="Normal 3 4 41 2" xfId="3426"/>
    <cellStyle name="Normal 3 4 41 2 2" xfId="10196"/>
    <cellStyle name="Normal 3 4 41 2 3" xfId="22886"/>
    <cellStyle name="Normal 3 4 41 2 4" xfId="19576"/>
    <cellStyle name="Normal 3 4 41 2 5" xfId="26307"/>
    <cellStyle name="Normal 3 4 41 3" xfId="5442"/>
    <cellStyle name="Normal 3 4 41 3 2" xfId="12212"/>
    <cellStyle name="Normal 3 4 41 3 3" xfId="24902"/>
    <cellStyle name="Normal 3 4 41 3 4" xfId="15045"/>
    <cellStyle name="Normal 3 4 41 3 5" xfId="14250"/>
    <cellStyle name="Normal 3 4 41 4" xfId="7732"/>
    <cellStyle name="Normal 3 4 41 5" xfId="20624"/>
    <cellStyle name="Normal 3 4 41 6" xfId="17021"/>
    <cellStyle name="Normal 3 4 41 7" xfId="30125"/>
    <cellStyle name="Normal 3 4 42" xfId="919"/>
    <cellStyle name="Normal 3 4 42 2" xfId="3383"/>
    <cellStyle name="Normal 3 4 42 2 2" xfId="10153"/>
    <cellStyle name="Normal 3 4 42 2 3" xfId="22843"/>
    <cellStyle name="Normal 3 4 42 2 4" xfId="15590"/>
    <cellStyle name="Normal 3 4 42 2 5" xfId="29720"/>
    <cellStyle name="Normal 3 4 42 3" xfId="5405"/>
    <cellStyle name="Normal 3 4 42 3 2" xfId="12175"/>
    <cellStyle name="Normal 3 4 42 3 3" xfId="24865"/>
    <cellStyle name="Normal 3 4 42 3 4" xfId="17640"/>
    <cellStyle name="Normal 3 4 42 3 5" xfId="19050"/>
    <cellStyle name="Normal 3 4 42 4" xfId="7689"/>
    <cellStyle name="Normal 3 4 42 5" xfId="20587"/>
    <cellStyle name="Normal 3 4 42 6" xfId="19230"/>
    <cellStyle name="Normal 3 4 42 7" xfId="28521"/>
    <cellStyle name="Normal 3 4 43" xfId="1009"/>
    <cellStyle name="Normal 3 4 43 2" xfId="3473"/>
    <cellStyle name="Normal 3 4 43 2 2" xfId="10243"/>
    <cellStyle name="Normal 3 4 43 2 3" xfId="22933"/>
    <cellStyle name="Normal 3 4 43 2 4" xfId="15030"/>
    <cellStyle name="Normal 3 4 43 2 5" xfId="29572"/>
    <cellStyle name="Normal 3 4 43 3" xfId="5483"/>
    <cellStyle name="Normal 3 4 43 3 2" xfId="12253"/>
    <cellStyle name="Normal 3 4 43 3 3" xfId="24943"/>
    <cellStyle name="Normal 3 4 43 3 4" xfId="17139"/>
    <cellStyle name="Normal 3 4 43 3 5" xfId="19577"/>
    <cellStyle name="Normal 3 4 43 4" xfId="7779"/>
    <cellStyle name="Normal 3 4 43 5" xfId="20665"/>
    <cellStyle name="Normal 3 4 43 6" xfId="18704"/>
    <cellStyle name="Normal 3 4 43 7" xfId="31196"/>
    <cellStyle name="Normal 3 4 44" xfId="1031"/>
    <cellStyle name="Normal 3 4 44 2" xfId="3495"/>
    <cellStyle name="Normal 3 4 44 2 2" xfId="10265"/>
    <cellStyle name="Normal 3 4 44 2 3" xfId="22955"/>
    <cellStyle name="Normal 3 4 44 2 4" xfId="16368"/>
    <cellStyle name="Normal 3 4 44 2 5" xfId="30416"/>
    <cellStyle name="Normal 3 4 44 3" xfId="5502"/>
    <cellStyle name="Normal 3 4 44 3 2" xfId="12272"/>
    <cellStyle name="Normal 3 4 44 3 3" xfId="24962"/>
    <cellStyle name="Normal 3 4 44 3 4" xfId="14629"/>
    <cellStyle name="Normal 3 4 44 3 5" xfId="19377"/>
    <cellStyle name="Normal 3 4 44 4" xfId="7801"/>
    <cellStyle name="Normal 3 4 44 5" xfId="20684"/>
    <cellStyle name="Normal 3 4 44 6" xfId="16561"/>
    <cellStyle name="Normal 3 4 44 7" xfId="32089"/>
    <cellStyle name="Normal 3 4 45" xfId="1053"/>
    <cellStyle name="Normal 3 4 45 2" xfId="3515"/>
    <cellStyle name="Normal 3 4 45 2 2" xfId="10285"/>
    <cellStyle name="Normal 3 4 45 2 3" xfId="22975"/>
    <cellStyle name="Normal 3 4 45 2 4" xfId="14746"/>
    <cellStyle name="Normal 3 4 45 2 5" xfId="29510"/>
    <cellStyle name="Normal 3 4 45 3" xfId="5521"/>
    <cellStyle name="Normal 3 4 45 3 2" xfId="12291"/>
    <cellStyle name="Normal 3 4 45 3 3" xfId="24981"/>
    <cellStyle name="Normal 3 4 45 3 4" xfId="18846"/>
    <cellStyle name="Normal 3 4 45 3 5" xfId="30412"/>
    <cellStyle name="Normal 3 4 45 4" xfId="7823"/>
    <cellStyle name="Normal 3 4 45 5" xfId="20703"/>
    <cellStyle name="Normal 3 4 45 6" xfId="16407"/>
    <cellStyle name="Normal 3 4 45 7" xfId="29988"/>
    <cellStyle name="Normal 3 4 46" xfId="1076"/>
    <cellStyle name="Normal 3 4 46 2" xfId="3538"/>
    <cellStyle name="Normal 3 4 46 2 2" xfId="10308"/>
    <cellStyle name="Normal 3 4 46 2 3" xfId="22998"/>
    <cellStyle name="Normal 3 4 46 2 4" xfId="16969"/>
    <cellStyle name="Normal 3 4 46 2 5" xfId="27575"/>
    <cellStyle name="Normal 3 4 46 3" xfId="5541"/>
    <cellStyle name="Normal 3 4 46 3 2" xfId="12311"/>
    <cellStyle name="Normal 3 4 46 3 3" xfId="25001"/>
    <cellStyle name="Normal 3 4 46 3 4" xfId="14391"/>
    <cellStyle name="Normal 3 4 46 3 5" xfId="30295"/>
    <cellStyle name="Normal 3 4 46 4" xfId="7846"/>
    <cellStyle name="Normal 3 4 46 5" xfId="20723"/>
    <cellStyle name="Normal 3 4 46 6" xfId="19823"/>
    <cellStyle name="Normal 3 4 46 7" xfId="31078"/>
    <cellStyle name="Normal 3 4 47" xfId="1099"/>
    <cellStyle name="Normal 3 4 47 2" xfId="3560"/>
    <cellStyle name="Normal 3 4 47 2 2" xfId="10330"/>
    <cellStyle name="Normal 3 4 47 2 3" xfId="23020"/>
    <cellStyle name="Normal 3 4 47 2 4" xfId="13667"/>
    <cellStyle name="Normal 3 4 47 2 5" xfId="29479"/>
    <cellStyle name="Normal 3 4 47 3" xfId="5561"/>
    <cellStyle name="Normal 3 4 47 3 2" xfId="12331"/>
    <cellStyle name="Normal 3 4 47 3 3" xfId="25021"/>
    <cellStyle name="Normal 3 4 47 3 4" xfId="16613"/>
    <cellStyle name="Normal 3 4 47 3 5" xfId="32333"/>
    <cellStyle name="Normal 3 4 47 4" xfId="7869"/>
    <cellStyle name="Normal 3 4 47 5" xfId="20743"/>
    <cellStyle name="Normal 3 4 47 6" xfId="15457"/>
    <cellStyle name="Normal 3 4 47 7" xfId="29019"/>
    <cellStyle name="Normal 3 4 48" xfId="1121"/>
    <cellStyle name="Normal 3 4 48 2" xfId="3582"/>
    <cellStyle name="Normal 3 4 48 2 2" xfId="10352"/>
    <cellStyle name="Normal 3 4 48 2 3" xfId="23042"/>
    <cellStyle name="Normal 3 4 48 2 4" xfId="18656"/>
    <cellStyle name="Normal 3 4 48 2 5" xfId="27369"/>
    <cellStyle name="Normal 3 4 48 3" xfId="5580"/>
    <cellStyle name="Normal 3 4 48 3 2" xfId="12350"/>
    <cellStyle name="Normal 3 4 48 3 3" xfId="25040"/>
    <cellStyle name="Normal 3 4 48 3 4" xfId="13827"/>
    <cellStyle name="Normal 3 4 48 3 5" xfId="29344"/>
    <cellStyle name="Normal 3 4 48 4" xfId="7891"/>
    <cellStyle name="Normal 3 4 48 5" xfId="20762"/>
    <cellStyle name="Normal 3 4 48 6" xfId="19564"/>
    <cellStyle name="Normal 3 4 48 7" xfId="29882"/>
    <cellStyle name="Normal 3 4 49" xfId="1144"/>
    <cellStyle name="Normal 3 4 49 2" xfId="3604"/>
    <cellStyle name="Normal 3 4 49 2 2" xfId="10374"/>
    <cellStyle name="Normal 3 4 49 2 3" xfId="23064"/>
    <cellStyle name="Normal 3 4 49 2 4" xfId="16529"/>
    <cellStyle name="Normal 3 4 49 2 5" xfId="28508"/>
    <cellStyle name="Normal 3 4 49 3" xfId="5600"/>
    <cellStyle name="Normal 3 4 49 3 2" xfId="12370"/>
    <cellStyle name="Normal 3 4 49 3 3" xfId="25060"/>
    <cellStyle name="Normal 3 4 49 3 4" xfId="16346"/>
    <cellStyle name="Normal 3 4 49 3 5" xfId="27534"/>
    <cellStyle name="Normal 3 4 49 4" xfId="7914"/>
    <cellStyle name="Normal 3 4 49 5" xfId="20782"/>
    <cellStyle name="Normal 3 4 49 6" xfId="15162"/>
    <cellStyle name="Normal 3 4 49 7" xfId="27778"/>
    <cellStyle name="Normal 3 4 5" xfId="138"/>
    <cellStyle name="Normal 3 4 5 2" xfId="2622"/>
    <cellStyle name="Normal 3 4 5 2 2" xfId="9392"/>
    <cellStyle name="Normal 3 4 5 2 3" xfId="22082"/>
    <cellStyle name="Normal 3 4 5 2 4" xfId="20075"/>
    <cellStyle name="Normal 3 4 5 2 5" xfId="26767"/>
    <cellStyle name="Normal 3 4 5 3" xfId="3888"/>
    <cellStyle name="Normal 3 4 5 3 2" xfId="10658"/>
    <cellStyle name="Normal 3 4 5 3 3" xfId="23348"/>
    <cellStyle name="Normal 3 4 5 3 4" xfId="18774"/>
    <cellStyle name="Normal 3 4 5 3 5" xfId="26521"/>
    <cellStyle name="Normal 3 4 5 4" xfId="6908"/>
    <cellStyle name="Normal 3 4 5 5" xfId="14958"/>
    <cellStyle name="Normal 3 4 5 6" xfId="19012"/>
    <cellStyle name="Normal 3 4 5 7" xfId="30679"/>
    <cellStyle name="Normal 3 4 50" xfId="1166"/>
    <cellStyle name="Normal 3 4 50 2" xfId="3626"/>
    <cellStyle name="Normal 3 4 50 2 2" xfId="10396"/>
    <cellStyle name="Normal 3 4 50 2 3" xfId="23086"/>
    <cellStyle name="Normal 3 4 50 2 4" xfId="13622"/>
    <cellStyle name="Normal 3 4 50 2 5" xfId="28604"/>
    <cellStyle name="Normal 3 4 50 3" xfId="5619"/>
    <cellStyle name="Normal 3 4 50 3 2" xfId="12389"/>
    <cellStyle name="Normal 3 4 50 3 3" xfId="25079"/>
    <cellStyle name="Normal 3 4 50 3 4" xfId="13859"/>
    <cellStyle name="Normal 3 4 50 3 5" xfId="30191"/>
    <cellStyle name="Normal 3 4 50 4" xfId="7936"/>
    <cellStyle name="Normal 3 4 50 5" xfId="20801"/>
    <cellStyle name="Normal 3 4 50 6" xfId="19309"/>
    <cellStyle name="Normal 3 4 50 7" xfId="31879"/>
    <cellStyle name="Normal 3 4 51" xfId="1178"/>
    <cellStyle name="Normal 3 4 51 2" xfId="3638"/>
    <cellStyle name="Normal 3 4 51 2 2" xfId="10408"/>
    <cellStyle name="Normal 3 4 51 2 3" xfId="23098"/>
    <cellStyle name="Normal 3 4 51 2 4" xfId="13932"/>
    <cellStyle name="Normal 3 4 51 2 5" xfId="28582"/>
    <cellStyle name="Normal 3 4 51 3" xfId="5630"/>
    <cellStyle name="Normal 3 4 51 3 2" xfId="12400"/>
    <cellStyle name="Normal 3 4 51 3 3" xfId="25090"/>
    <cellStyle name="Normal 3 4 51 3 4" xfId="16183"/>
    <cellStyle name="Normal 3 4 51 3 5" xfId="28362"/>
    <cellStyle name="Normal 3 4 51 4" xfId="7948"/>
    <cellStyle name="Normal 3 4 51 5" xfId="20812"/>
    <cellStyle name="Normal 3 4 51 6" xfId="19229"/>
    <cellStyle name="Normal 3 4 51 7" xfId="29754"/>
    <cellStyle name="Normal 3 4 52" xfId="1212"/>
    <cellStyle name="Normal 3 4 52 2" xfId="3672"/>
    <cellStyle name="Normal 3 4 52 2 2" xfId="10442"/>
    <cellStyle name="Normal 3 4 52 2 3" xfId="23132"/>
    <cellStyle name="Normal 3 4 52 2 4" xfId="20022"/>
    <cellStyle name="Normal 3 4 52 2 5" xfId="27401"/>
    <cellStyle name="Normal 3 4 52 3" xfId="5659"/>
    <cellStyle name="Normal 3 4 52 3 2" xfId="12429"/>
    <cellStyle name="Normal 3 4 52 3 3" xfId="25119"/>
    <cellStyle name="Normal 3 4 52 3 4" xfId="19926"/>
    <cellStyle name="Normal 3 4 52 3 5" xfId="31286"/>
    <cellStyle name="Normal 3 4 52 4" xfId="7982"/>
    <cellStyle name="Normal 3 4 52 5" xfId="20841"/>
    <cellStyle name="Normal 3 4 52 6" xfId="17089"/>
    <cellStyle name="Normal 3 4 52 7" xfId="30809"/>
    <cellStyle name="Normal 3 4 53" xfId="1235"/>
    <cellStyle name="Normal 3 4 53 2" xfId="3695"/>
    <cellStyle name="Normal 3 4 53 2 2" xfId="10465"/>
    <cellStyle name="Normal 3 4 53 2 3" xfId="23155"/>
    <cellStyle name="Normal 3 4 53 2 4" xfId="15677"/>
    <cellStyle name="Normal 3 4 53 2 5" xfId="30347"/>
    <cellStyle name="Normal 3 4 53 3" xfId="5679"/>
    <cellStyle name="Normal 3 4 53 3 2" xfId="12449"/>
    <cellStyle name="Normal 3 4 53 3 3" xfId="25139"/>
    <cellStyle name="Normal 3 4 53 3 4" xfId="18002"/>
    <cellStyle name="Normal 3 4 53 3 5" xfId="30114"/>
    <cellStyle name="Normal 3 4 53 4" xfId="8005"/>
    <cellStyle name="Normal 3 4 53 5" xfId="20861"/>
    <cellStyle name="Normal 3 4 53 6" xfId="18898"/>
    <cellStyle name="Normal 3 4 53 7" xfId="26636"/>
    <cellStyle name="Normal 3 4 54" xfId="1258"/>
    <cellStyle name="Normal 3 4 54 2" xfId="3717"/>
    <cellStyle name="Normal 3 4 54 2 2" xfId="10487"/>
    <cellStyle name="Normal 3 4 54 2 3" xfId="23177"/>
    <cellStyle name="Normal 3 4 54 2 4" xfId="19763"/>
    <cellStyle name="Normal 3 4 54 2 5" xfId="31490"/>
    <cellStyle name="Normal 3 4 54 3" xfId="5699"/>
    <cellStyle name="Normal 3 4 54 3 2" xfId="12469"/>
    <cellStyle name="Normal 3 4 54 3 3" xfId="25159"/>
    <cellStyle name="Normal 3 4 54 3 4" xfId="19729"/>
    <cellStyle name="Normal 3 4 54 3 5" xfId="32150"/>
    <cellStyle name="Normal 3 4 54 4" xfId="8028"/>
    <cellStyle name="Normal 3 4 54 5" xfId="20881"/>
    <cellStyle name="Normal 3 4 54 6" xfId="14406"/>
    <cellStyle name="Normal 3 4 54 7" xfId="29617"/>
    <cellStyle name="Normal 3 4 55" xfId="1281"/>
    <cellStyle name="Normal 3 4 55 2" xfId="3740"/>
    <cellStyle name="Normal 3 4 55 2 2" xfId="10510"/>
    <cellStyle name="Normal 3 4 55 2 3" xfId="23200"/>
    <cellStyle name="Normal 3 4 55 2 4" xfId="15386"/>
    <cellStyle name="Normal 3 4 55 2 5" xfId="29384"/>
    <cellStyle name="Normal 3 4 55 3" xfId="5719"/>
    <cellStyle name="Normal 3 4 55 3 2" xfId="12489"/>
    <cellStyle name="Normal 3 4 55 3 3" xfId="25179"/>
    <cellStyle name="Normal 3 4 55 3 4" xfId="15369"/>
    <cellStyle name="Normal 3 4 55 3 5" xfId="31195"/>
    <cellStyle name="Normal 3 4 55 4" xfId="8051"/>
    <cellStyle name="Normal 3 4 55 5" xfId="20901"/>
    <cellStyle name="Normal 3 4 55 6" xfId="16628"/>
    <cellStyle name="Normal 3 4 55 7" xfId="27558"/>
    <cellStyle name="Normal 3 4 56" xfId="1304"/>
    <cellStyle name="Normal 3 4 56 2" xfId="3762"/>
    <cellStyle name="Normal 3 4 56 2 2" xfId="10532"/>
    <cellStyle name="Normal 3 4 56 2 3" xfId="23222"/>
    <cellStyle name="Normal 3 4 56 2 4" xfId="19515"/>
    <cellStyle name="Normal 3 4 56 2 5" xfId="26434"/>
    <cellStyle name="Normal 3 4 56 3" xfId="5739"/>
    <cellStyle name="Normal 3 4 56 3 2" xfId="12509"/>
    <cellStyle name="Normal 3 4 56 3 3" xfId="25199"/>
    <cellStyle name="Normal 3 4 56 3 4" xfId="17603"/>
    <cellStyle name="Normal 3 4 56 3 5" xfId="30031"/>
    <cellStyle name="Normal 3 4 56 4" xfId="8074"/>
    <cellStyle name="Normal 3 4 56 5" xfId="20921"/>
    <cellStyle name="Normal 3 4 56 6" xfId="19881"/>
    <cellStyle name="Normal 3 4 56 7" xfId="31414"/>
    <cellStyle name="Normal 3 4 57" xfId="1327"/>
    <cellStyle name="Normal 3 4 57 2" xfId="3785"/>
    <cellStyle name="Normal 3 4 57 2 2" xfId="10555"/>
    <cellStyle name="Normal 3 4 57 2 3" xfId="23245"/>
    <cellStyle name="Normal 3 4 57 2 4" xfId="13732"/>
    <cellStyle name="Normal 3 4 57 2 5" xfId="26946"/>
    <cellStyle name="Normal 3 4 57 3" xfId="5759"/>
    <cellStyle name="Normal 3 4 57 3 2" xfId="12529"/>
    <cellStyle name="Normal 3 4 57 3 3" xfId="25219"/>
    <cellStyle name="Normal 3 4 57 3 4" xfId="19403"/>
    <cellStyle name="Normal 3 4 57 3 5" xfId="32069"/>
    <cellStyle name="Normal 3 4 57 4" xfId="8097"/>
    <cellStyle name="Normal 3 4 57 5" xfId="20941"/>
    <cellStyle name="Normal 3 4 57 6" xfId="15517"/>
    <cellStyle name="Normal 3 4 57 7" xfId="29325"/>
    <cellStyle name="Normal 3 4 58" xfId="1350"/>
    <cellStyle name="Normal 3 4 58 2" xfId="3807"/>
    <cellStyle name="Normal 3 4 58 2 2" xfId="10577"/>
    <cellStyle name="Normal 3 4 58 2 3" xfId="23267"/>
    <cellStyle name="Normal 3 4 58 2 4" xfId="19240"/>
    <cellStyle name="Normal 3 4 58 2 5" xfId="31551"/>
    <cellStyle name="Normal 3 4 58 3" xfId="5779"/>
    <cellStyle name="Normal 3 4 58 3 2" xfId="12549"/>
    <cellStyle name="Normal 3 4 58 3 3" xfId="25239"/>
    <cellStyle name="Normal 3 4 58 3 4" xfId="14989"/>
    <cellStyle name="Normal 3 4 58 3 5" xfId="31100"/>
    <cellStyle name="Normal 3 4 58 4" xfId="8120"/>
    <cellStyle name="Normal 3 4 58 5" xfId="20961"/>
    <cellStyle name="Normal 3 4 58 6" xfId="17735"/>
    <cellStyle name="Normal 3 4 58 7" xfId="30501"/>
    <cellStyle name="Normal 3 4 59" xfId="1373"/>
    <cellStyle name="Normal 3 4 59 2" xfId="3829"/>
    <cellStyle name="Normal 3 4 59 2 2" xfId="10599"/>
    <cellStyle name="Normal 3 4 59 2 3" xfId="23289"/>
    <cellStyle name="Normal 3 4 59 2 4" xfId="17187"/>
    <cellStyle name="Normal 3 4 59 2 5" xfId="32415"/>
    <cellStyle name="Normal 3 4 59 3" xfId="5799"/>
    <cellStyle name="Normal 3 4 59 3 2" xfId="12569"/>
    <cellStyle name="Normal 3 4 59 3 3" xfId="25259"/>
    <cellStyle name="Normal 3 4 59 3 4" xfId="17211"/>
    <cellStyle name="Normal 3 4 59 3 5" xfId="29949"/>
    <cellStyle name="Normal 3 4 59 4" xfId="8143"/>
    <cellStyle name="Normal 3 4 59 5" xfId="20981"/>
    <cellStyle name="Normal 3 4 59 6" xfId="19480"/>
    <cellStyle name="Normal 3 4 59 7" xfId="27175"/>
    <cellStyle name="Normal 3 4 6" xfId="161"/>
    <cellStyle name="Normal 3 4 6 2" xfId="2645"/>
    <cellStyle name="Normal 3 4 6 2 2" xfId="9415"/>
    <cellStyle name="Normal 3 4 6 2 3" xfId="22105"/>
    <cellStyle name="Normal 3 4 6 2 4" xfId="15720"/>
    <cellStyle name="Normal 3 4 6 2 5" xfId="29764"/>
    <cellStyle name="Normal 3 4 6 3" xfId="3419"/>
    <cellStyle name="Normal 3 4 6 3 2" xfId="10189"/>
    <cellStyle name="Normal 3 4 6 3 3" xfId="22879"/>
    <cellStyle name="Normal 3 4 6 3 4" xfId="15367"/>
    <cellStyle name="Normal 3 4 6 3 5" xfId="29659"/>
    <cellStyle name="Normal 3 4 6 4" xfId="6931"/>
    <cellStyle name="Normal 3 4 6 5" xfId="14498"/>
    <cellStyle name="Normal 3 4 6 6" xfId="14554"/>
    <cellStyle name="Normal 3 4 6 7" xfId="28654"/>
    <cellStyle name="Normal 3 4 60" xfId="1396"/>
    <cellStyle name="Normal 3 4 60 2" xfId="3852"/>
    <cellStyle name="Normal 3 4 60 2 2" xfId="10622"/>
    <cellStyle name="Normal 3 4 60 2 3" xfId="23312"/>
    <cellStyle name="Normal 3 4 60 2 4" xfId="16855"/>
    <cellStyle name="Normal 3 4 60 2 5" xfId="27336"/>
    <cellStyle name="Normal 3 4 60 3" xfId="5819"/>
    <cellStyle name="Normal 3 4 60 3 2" xfId="12589"/>
    <cellStyle name="Normal 3 4 60 3 3" xfId="25279"/>
    <cellStyle name="Normal 3 4 60 3 4" xfId="19029"/>
    <cellStyle name="Normal 3 4 60 3 5" xfId="31984"/>
    <cellStyle name="Normal 3 4 60 4" xfId="8166"/>
    <cellStyle name="Normal 3 4 60 5" xfId="21001"/>
    <cellStyle name="Normal 3 4 60 6" xfId="15075"/>
    <cellStyle name="Normal 3 4 60 7" xfId="30131"/>
    <cellStyle name="Normal 3 4 61" xfId="1419"/>
    <cellStyle name="Normal 3 4 61 2" xfId="3874"/>
    <cellStyle name="Normal 3 4 61 2 2" xfId="10644"/>
    <cellStyle name="Normal 3 4 61 2 3" xfId="23334"/>
    <cellStyle name="Normal 3 4 61 2 4" xfId="16882"/>
    <cellStyle name="Normal 3 4 61 2 5" xfId="28472"/>
    <cellStyle name="Normal 3 4 61 3" xfId="5839"/>
    <cellStyle name="Normal 3 4 61 3 2" xfId="12609"/>
    <cellStyle name="Normal 3 4 61 3 3" xfId="25299"/>
    <cellStyle name="Normal 3 4 61 3 4" xfId="13596"/>
    <cellStyle name="Normal 3 4 61 3 5" xfId="31002"/>
    <cellStyle name="Normal 3 4 61 4" xfId="8189"/>
    <cellStyle name="Normal 3 4 61 5" xfId="21021"/>
    <cellStyle name="Normal 3 4 61 6" xfId="17280"/>
    <cellStyle name="Normal 3 4 61 7" xfId="27490"/>
    <cellStyle name="Normal 3 4 62" xfId="1442"/>
    <cellStyle name="Normal 3 4 62 2" xfId="3896"/>
    <cellStyle name="Normal 3 4 62 2 2" xfId="10666"/>
    <cellStyle name="Normal 3 4 62 2 3" xfId="23356"/>
    <cellStyle name="Normal 3 4 62 2 4" xfId="14376"/>
    <cellStyle name="Normal 3 4 62 2 5" xfId="28660"/>
    <cellStyle name="Normal 3 4 62 3" xfId="5859"/>
    <cellStyle name="Normal 3 4 62 3 2" xfId="12629"/>
    <cellStyle name="Normal 3 4 62 3 3" xfId="25319"/>
    <cellStyle name="Normal 3 4 62 3 4" xfId="16849"/>
    <cellStyle name="Normal 3 4 62 3 5" xfId="26637"/>
    <cellStyle name="Normal 3 4 62 4" xfId="8212"/>
    <cellStyle name="Normal 3 4 62 5" xfId="21041"/>
    <cellStyle name="Normal 3 4 62 6" xfId="19071"/>
    <cellStyle name="Normal 3 4 62 7" xfId="31215"/>
    <cellStyle name="Normal 3 4 63" xfId="1465"/>
    <cellStyle name="Normal 3 4 63 2" xfId="3919"/>
    <cellStyle name="Normal 3 4 63 2 2" xfId="10689"/>
    <cellStyle name="Normal 3 4 63 2 3" xfId="23379"/>
    <cellStyle name="Normal 3 4 63 2 4" xfId="16000"/>
    <cellStyle name="Normal 3 4 63 2 5" xfId="26451"/>
    <cellStyle name="Normal 3 4 63 3" xfId="5879"/>
    <cellStyle name="Normal 3 4 63 3 2" xfId="12649"/>
    <cellStyle name="Normal 3 4 63 3 3" xfId="25339"/>
    <cellStyle name="Normal 3 4 63 3 4" xfId="18678"/>
    <cellStyle name="Normal 3 4 63 3 5" xfId="31905"/>
    <cellStyle name="Normal 3 4 63 4" xfId="8235"/>
    <cellStyle name="Normal 3 4 63 5" xfId="21061"/>
    <cellStyle name="Normal 3 4 63 6" xfId="14618"/>
    <cellStyle name="Normal 3 4 63 7" xfId="29140"/>
    <cellStyle name="Normal 3 4 64" xfId="1488"/>
    <cellStyle name="Normal 3 4 64 2" xfId="3942"/>
    <cellStyle name="Normal 3 4 64 2 2" xfId="10712"/>
    <cellStyle name="Normal 3 4 64 2 3" xfId="23402"/>
    <cellStyle name="Normal 3 4 64 2 4" xfId="18440"/>
    <cellStyle name="Normal 3 4 64 2 5" xfId="30260"/>
    <cellStyle name="Normal 3 4 64 3" xfId="5899"/>
    <cellStyle name="Normal 3 4 64 3 2" xfId="12669"/>
    <cellStyle name="Normal 3 4 64 3 3" xfId="25359"/>
    <cellStyle name="Normal 3 4 64 3 4" xfId="14197"/>
    <cellStyle name="Normal 3 4 64 3 5" xfId="30905"/>
    <cellStyle name="Normal 3 4 64 4" xfId="8258"/>
    <cellStyle name="Normal 3 4 64 5" xfId="21081"/>
    <cellStyle name="Normal 3 4 64 6" xfId="16819"/>
    <cellStyle name="Normal 3 4 64 7" xfId="32077"/>
    <cellStyle name="Normal 3 4 65" xfId="1511"/>
    <cellStyle name="Normal 3 4 65 2" xfId="3964"/>
    <cellStyle name="Normal 3 4 65 2 2" xfId="10734"/>
    <cellStyle name="Normal 3 4 65 2 3" xfId="23424"/>
    <cellStyle name="Normal 3 4 65 2 4" xfId="16283"/>
    <cellStyle name="Normal 3 4 65 2 5" xfId="31388"/>
    <cellStyle name="Normal 3 4 65 3" xfId="5919"/>
    <cellStyle name="Normal 3 4 65 3 2" xfId="12689"/>
    <cellStyle name="Normal 3 4 65 3 3" xfId="25379"/>
    <cellStyle name="Normal 3 4 65 3 4" xfId="16447"/>
    <cellStyle name="Normal 3 4 65 3 5" xfId="29768"/>
    <cellStyle name="Normal 3 4 65 4" xfId="8281"/>
    <cellStyle name="Normal 3 4 65 5" xfId="21101"/>
    <cellStyle name="Normal 3 4 65 6" xfId="18660"/>
    <cellStyle name="Normal 3 4 65 7" xfId="26959"/>
    <cellStyle name="Normal 3 4 66" xfId="1534"/>
    <cellStyle name="Normal 3 4 66 2" xfId="3986"/>
    <cellStyle name="Normal 3 4 66 2 2" xfId="10756"/>
    <cellStyle name="Normal 3 4 66 2 3" xfId="23446"/>
    <cellStyle name="Normal 3 4 66 2 4" xfId="15880"/>
    <cellStyle name="Normal 3 4 66 2 5" xfId="32265"/>
    <cellStyle name="Normal 3 4 66 3" xfId="5939"/>
    <cellStyle name="Normal 3 4 66 3 2" xfId="12709"/>
    <cellStyle name="Normal 3 4 66 3 3" xfId="25399"/>
    <cellStyle name="Normal 3 4 66 3 4" xfId="16032"/>
    <cellStyle name="Normal 3 4 66 3 5" xfId="31819"/>
    <cellStyle name="Normal 3 4 66 4" xfId="8304"/>
    <cellStyle name="Normal 3 4 66 5" xfId="21121"/>
    <cellStyle name="Normal 3 4 66 6" xfId="14156"/>
    <cellStyle name="Normal 3 4 66 7" xfId="29938"/>
    <cellStyle name="Normal 3 4 67" xfId="1557"/>
    <cellStyle name="Normal 3 4 67 2" xfId="4008"/>
    <cellStyle name="Normal 3 4 67 2 2" xfId="10778"/>
    <cellStyle name="Normal 3 4 67 2 3" xfId="23468"/>
    <cellStyle name="Normal 3 4 67 2 4" xfId="19950"/>
    <cellStyle name="Normal 3 4 67 2 5" xfId="30172"/>
    <cellStyle name="Normal 3 4 67 3" xfId="5959"/>
    <cellStyle name="Normal 3 4 67 3 2" xfId="12729"/>
    <cellStyle name="Normal 3 4 67 3 3" xfId="25419"/>
    <cellStyle name="Normal 3 4 67 3 4" xfId="13792"/>
    <cellStyle name="Normal 3 4 67 3 5" xfId="30807"/>
    <cellStyle name="Normal 3 4 67 4" xfId="8327"/>
    <cellStyle name="Normal 3 4 67 5" xfId="21141"/>
    <cellStyle name="Normal 3 4 67 6" xfId="15982"/>
    <cellStyle name="Normal 3 4 67 7" xfId="28070"/>
    <cellStyle name="Normal 3 4 68" xfId="1580"/>
    <cellStyle name="Normal 3 4 68 2" xfId="4030"/>
    <cellStyle name="Normal 3 4 68 2 2" xfId="10800"/>
    <cellStyle name="Normal 3 4 68 2 3" xfId="23490"/>
    <cellStyle name="Normal 3 4 68 2 4" xfId="17970"/>
    <cellStyle name="Normal 3 4 68 2 5" xfId="31294"/>
    <cellStyle name="Normal 3 4 68 3" xfId="5979"/>
    <cellStyle name="Normal 3 4 68 3 2" xfId="12749"/>
    <cellStyle name="Normal 3 4 68 3 3" xfId="25439"/>
    <cellStyle name="Normal 3 4 68 3 4" xfId="18205"/>
    <cellStyle name="Normal 3 4 68 3 5" xfId="29674"/>
    <cellStyle name="Normal 3 4 68 4" xfId="8350"/>
    <cellStyle name="Normal 3 4 68 5" xfId="21161"/>
    <cellStyle name="Normal 3 4 68 6" xfId="16424"/>
    <cellStyle name="Normal 3 4 68 7" xfId="30992"/>
    <cellStyle name="Normal 3 4 69" xfId="1603"/>
    <cellStyle name="Normal 3 4 69 2" xfId="4052"/>
    <cellStyle name="Normal 3 4 69 2 2" xfId="10822"/>
    <cellStyle name="Normal 3 4 69 2 3" xfId="23512"/>
    <cellStyle name="Normal 3 4 69 2 4" xfId="15468"/>
    <cellStyle name="Normal 3 4 69 2 5" xfId="32175"/>
    <cellStyle name="Normal 3 4 69 3" xfId="5999"/>
    <cellStyle name="Normal 3 4 69 3 2" xfId="12769"/>
    <cellStyle name="Normal 3 4 69 3 3" xfId="25459"/>
    <cellStyle name="Normal 3 4 69 3 4" xfId="16957"/>
    <cellStyle name="Normal 3 4 69 3 5" xfId="31725"/>
    <cellStyle name="Normal 3 4 69 4" xfId="8373"/>
    <cellStyle name="Normal 3 4 69 5" xfId="21181"/>
    <cellStyle name="Normal 3 4 69 6" xfId="15804"/>
    <cellStyle name="Normal 3 4 69 7" xfId="28945"/>
    <cellStyle name="Normal 3 4 7" xfId="184"/>
    <cellStyle name="Normal 3 4 7 2" xfId="2666"/>
    <cellStyle name="Normal 3 4 7 2 2" xfId="9436"/>
    <cellStyle name="Normal 3 4 7 2 3" xfId="22126"/>
    <cellStyle name="Normal 3 4 7 2 4" xfId="14247"/>
    <cellStyle name="Normal 3 4 7 2 5" xfId="28841"/>
    <cellStyle name="Normal 3 4 7 3" xfId="2949"/>
    <cellStyle name="Normal 3 4 7 3 2" xfId="9719"/>
    <cellStyle name="Normal 3 4 7 3 3" xfId="22409"/>
    <cellStyle name="Normal 3 4 7 3 4" xfId="8020"/>
    <cellStyle name="Normal 3 4 7 3 5" xfId="30634"/>
    <cellStyle name="Normal 3 4 7 4" xfId="6954"/>
    <cellStyle name="Normal 3 4 7 5" xfId="14034"/>
    <cellStyle name="Normal 3 4 7 6" xfId="15984"/>
    <cellStyle name="Normal 3 4 7 7" xfId="32364"/>
    <cellStyle name="Normal 3 4 70" xfId="1625"/>
    <cellStyle name="Normal 3 4 70 2" xfId="4073"/>
    <cellStyle name="Normal 3 4 70 2 2" xfId="10843"/>
    <cellStyle name="Normal 3 4 70 2 3" xfId="23533"/>
    <cellStyle name="Normal 3 4 70 2 4" xfId="15323"/>
    <cellStyle name="Normal 3 4 70 2 5" xfId="28264"/>
    <cellStyle name="Normal 3 4 70 3" xfId="6018"/>
    <cellStyle name="Normal 3 4 70 3 2" xfId="12788"/>
    <cellStyle name="Normal 3 4 70 3 3" xfId="25478"/>
    <cellStyle name="Normal 3 4 70 3 4" xfId="17961"/>
    <cellStyle name="Normal 3 4 70 3 5" xfId="28723"/>
    <cellStyle name="Normal 3 4 70 4" xfId="8395"/>
    <cellStyle name="Normal 3 4 70 5" xfId="21200"/>
    <cellStyle name="Normal 3 4 70 6" xfId="18488"/>
    <cellStyle name="Normal 3 4 70 7" xfId="26779"/>
    <cellStyle name="Normal 3 4 71" xfId="1647"/>
    <cellStyle name="Normal 3 4 71 2" xfId="4095"/>
    <cellStyle name="Normal 3 4 71 2 2" xfId="10865"/>
    <cellStyle name="Normal 3 4 71 2 3" xfId="23555"/>
    <cellStyle name="Normal 3 4 71 2 4" xfId="19454"/>
    <cellStyle name="Normal 3 4 71 2 5" xfId="29153"/>
    <cellStyle name="Normal 3 4 71 3" xfId="6036"/>
    <cellStyle name="Normal 3 4 71 3 2" xfId="12806"/>
    <cellStyle name="Normal 3 4 71 3 3" xfId="25496"/>
    <cellStyle name="Normal 3 4 71 3 4" xfId="17866"/>
    <cellStyle name="Normal 3 4 71 3 5" xfId="28692"/>
    <cellStyle name="Normal 3 4 71 4" xfId="8417"/>
    <cellStyle name="Normal 3 4 71 5" xfId="21218"/>
    <cellStyle name="Normal 3 4 71 6" xfId="16315"/>
    <cellStyle name="Normal 3 4 71 7" xfId="27916"/>
    <cellStyle name="Normal 3 4 72" xfId="1662"/>
    <cellStyle name="Normal 3 4 72 2" xfId="4110"/>
    <cellStyle name="Normal 3 4 72 2 2" xfId="10880"/>
    <cellStyle name="Normal 3 4 72 2 3" xfId="23570"/>
    <cellStyle name="Normal 3 4 72 2 4" xfId="16082"/>
    <cellStyle name="Normal 3 4 72 2 5" xfId="30028"/>
    <cellStyle name="Normal 3 4 72 3" xfId="6050"/>
    <cellStyle name="Normal 3 4 72 3 2" xfId="12820"/>
    <cellStyle name="Normal 3 4 72 3 3" xfId="25510"/>
    <cellStyle name="Normal 3 4 72 3 4" xfId="19638"/>
    <cellStyle name="Normal 3 4 72 3 5" xfId="27680"/>
    <cellStyle name="Normal 3 4 72 4" xfId="8432"/>
    <cellStyle name="Normal 3 4 72 5" xfId="21232"/>
    <cellStyle name="Normal 3 4 72 6" xfId="17993"/>
    <cellStyle name="Normal 3 4 72 7" xfId="31829"/>
    <cellStyle name="Normal 3 4 73" xfId="1692"/>
    <cellStyle name="Normal 3 4 73 2" xfId="4139"/>
    <cellStyle name="Normal 3 4 73 2 2" xfId="10909"/>
    <cellStyle name="Normal 3 4 73 2 3" xfId="23599"/>
    <cellStyle name="Normal 3 4 73 2 4" xfId="14898"/>
    <cellStyle name="Normal 3 4 73 2 5" xfId="28162"/>
    <cellStyle name="Normal 3 4 73 3" xfId="6077"/>
    <cellStyle name="Normal 3 4 73 3 2" xfId="12847"/>
    <cellStyle name="Normal 3 4 73 3 3" xfId="25537"/>
    <cellStyle name="Normal 3 4 73 3 4" xfId="19482"/>
    <cellStyle name="Normal 3 4 73 3 5" xfId="31604"/>
    <cellStyle name="Normal 3 4 73 4" xfId="8462"/>
    <cellStyle name="Normal 3 4 73 5" xfId="21259"/>
    <cellStyle name="Normal 3 4 73 6" xfId="17820"/>
    <cellStyle name="Normal 3 4 73 7" xfId="31787"/>
    <cellStyle name="Normal 3 4 74" xfId="1715"/>
    <cellStyle name="Normal 3 4 74 2" xfId="4161"/>
    <cellStyle name="Normal 3 4 74 2 2" xfId="10931"/>
    <cellStyle name="Normal 3 4 74 2 3" xfId="23621"/>
    <cellStyle name="Normal 3 4 74 2 4" xfId="19065"/>
    <cellStyle name="Normal 3 4 74 2 5" xfId="29062"/>
    <cellStyle name="Normal 3 4 74 3" xfId="6097"/>
    <cellStyle name="Normal 3 4 74 3 2" xfId="12867"/>
    <cellStyle name="Normal 3 4 74 3 3" xfId="25557"/>
    <cellStyle name="Normal 3 4 74 3 4" xfId="13718"/>
    <cellStyle name="Normal 3 4 74 3 5" xfId="30558"/>
    <cellStyle name="Normal 3 4 74 4" xfId="8485"/>
    <cellStyle name="Normal 3 4 74 5" xfId="21279"/>
    <cellStyle name="Normal 3 4 74 6" xfId="19559"/>
    <cellStyle name="Normal 3 4 74 7" xfId="26633"/>
    <cellStyle name="Normal 3 4 75" xfId="1738"/>
    <cellStyle name="Normal 3 4 75 2" xfId="4182"/>
    <cellStyle name="Normal 3 4 75 2 2" xfId="10952"/>
    <cellStyle name="Normal 3 4 75 2 3" xfId="23642"/>
    <cellStyle name="Normal 3 4 75 2 4" xfId="18946"/>
    <cellStyle name="Normal 3 4 75 2 5" xfId="29926"/>
    <cellStyle name="Normal 3 4 75 3" xfId="6117"/>
    <cellStyle name="Normal 3 4 75 3 2" xfId="12887"/>
    <cellStyle name="Normal 3 4 75 3 3" xfId="25577"/>
    <cellStyle name="Normal 3 4 75 3 4" xfId="17329"/>
    <cellStyle name="Normal 3 4 75 3 5" xfId="30922"/>
    <cellStyle name="Normal 3 4 75 4" xfId="8508"/>
    <cellStyle name="Normal 3 4 75 5" xfId="21299"/>
    <cellStyle name="Normal 3 4 75 6" xfId="15133"/>
    <cellStyle name="Normal 3 4 75 7" xfId="29632"/>
    <cellStyle name="Normal 3 4 76" xfId="1761"/>
    <cellStyle name="Normal 3 4 76 2" xfId="4205"/>
    <cellStyle name="Normal 3 4 76 2 2" xfId="10975"/>
    <cellStyle name="Normal 3 4 76 2 3" xfId="23665"/>
    <cellStyle name="Normal 3 4 76 2 4" xfId="14458"/>
    <cellStyle name="Normal 3 4 76 2 5" xfId="28056"/>
    <cellStyle name="Normal 3 4 76 3" xfId="6137"/>
    <cellStyle name="Normal 3 4 76 3 2" xfId="12907"/>
    <cellStyle name="Normal 3 4 76 3 3" xfId="25597"/>
    <cellStyle name="Normal 3 4 76 3 4" xfId="19131"/>
    <cellStyle name="Normal 3 4 76 3 5" xfId="32432"/>
    <cellStyle name="Normal 3 4 76 4" xfId="8531"/>
    <cellStyle name="Normal 3 4 76 5" xfId="21319"/>
    <cellStyle name="Normal 3 4 76 6" xfId="17369"/>
    <cellStyle name="Normal 3 4 76 7" xfId="30682"/>
    <cellStyle name="Normal 3 4 77" xfId="1784"/>
    <cellStyle name="Normal 3 4 77 2" xfId="4227"/>
    <cellStyle name="Normal 3 4 77 2 2" xfId="10997"/>
    <cellStyle name="Normal 3 4 77 2 3" xfId="23687"/>
    <cellStyle name="Normal 3 4 77 2 4" xfId="18674"/>
    <cellStyle name="Normal 3 4 77 2 5" xfId="28969"/>
    <cellStyle name="Normal 3 4 77 3" xfId="6157"/>
    <cellStyle name="Normal 3 4 77 3 2" xfId="12927"/>
    <cellStyle name="Normal 3 4 77 3 3" xfId="25617"/>
    <cellStyle name="Normal 3 4 77 3 4" xfId="14637"/>
    <cellStyle name="Normal 3 4 77 3 5" xfId="31513"/>
    <cellStyle name="Normal 3 4 77 4" xfId="8554"/>
    <cellStyle name="Normal 3 4 77 5" xfId="21339"/>
    <cellStyle name="Normal 3 4 77 6" xfId="19148"/>
    <cellStyle name="Normal 3 4 77 7" xfId="28657"/>
    <cellStyle name="Normal 3 4 78" xfId="1807"/>
    <cellStyle name="Normal 3 4 78 2" xfId="4249"/>
    <cellStyle name="Normal 3 4 78 2 2" xfId="11019"/>
    <cellStyle name="Normal 3 4 78 2 3" xfId="23709"/>
    <cellStyle name="Normal 3 4 78 2 4" xfId="16550"/>
    <cellStyle name="Normal 3 4 78 2 5" xfId="26799"/>
    <cellStyle name="Normal 3 4 78 3" xfId="6177"/>
    <cellStyle name="Normal 3 4 78 3 2" xfId="12947"/>
    <cellStyle name="Normal 3 4 78 3 3" xfId="25637"/>
    <cellStyle name="Normal 3 4 78 3 4" xfId="16932"/>
    <cellStyle name="Normal 3 4 78 3 5" xfId="26933"/>
    <cellStyle name="Normal 3 4 78 4" xfId="8577"/>
    <cellStyle name="Normal 3 4 78 5" xfId="21359"/>
    <cellStyle name="Normal 3 4 78 6" xfId="14679"/>
    <cellStyle name="Normal 3 4 78 7" xfId="32343"/>
    <cellStyle name="Normal 3 4 79" xfId="1830"/>
    <cellStyle name="Normal 3 4 79 2" xfId="4272"/>
    <cellStyle name="Normal 3 4 79 2 2" xfId="11042"/>
    <cellStyle name="Normal 3 4 79 2 3" xfId="23732"/>
    <cellStyle name="Normal 3 4 79 2 4" xfId="18399"/>
    <cellStyle name="Normal 3 4 79 2 5" xfId="29800"/>
    <cellStyle name="Normal 3 4 79 3" xfId="6197"/>
    <cellStyle name="Normal 3 4 79 3 2" xfId="12967"/>
    <cellStyle name="Normal 3 4 79 3 3" xfId="25657"/>
    <cellStyle name="Normal 3 4 79 3 4" xfId="17616"/>
    <cellStyle name="Normal 3 4 79 3 5" xfId="32346"/>
    <cellStyle name="Normal 3 4 79 4" xfId="8600"/>
    <cellStyle name="Normal 3 4 79 5" xfId="21379"/>
    <cellStyle name="Normal 3 4 79 6" xfId="16906"/>
    <cellStyle name="Normal 3 4 79 7" xfId="27259"/>
    <cellStyle name="Normal 3 4 8" xfId="207"/>
    <cellStyle name="Normal 3 4 8 2" xfId="2687"/>
    <cellStyle name="Normal 3 4 8 2 2" xfId="9457"/>
    <cellStyle name="Normal 3 4 8 2 3" xfId="22147"/>
    <cellStyle name="Normal 3 4 8 2 4" xfId="16470"/>
    <cellStyle name="Normal 3 4 8 2 5" xfId="29700"/>
    <cellStyle name="Normal 3 4 8 3" xfId="2920"/>
    <cellStyle name="Normal 3 4 8 3 2" xfId="9690"/>
    <cellStyle name="Normal 3 4 8 3 3" xfId="22380"/>
    <cellStyle name="Normal 3 4 8 3 4" xfId="8615"/>
    <cellStyle name="Normal 3 4 8 3 5" xfId="27723"/>
    <cellStyle name="Normal 3 4 8 4" xfId="6977"/>
    <cellStyle name="Normal 3 4 8 5" xfId="13590"/>
    <cellStyle name="Normal 3 4 8 6" xfId="18600"/>
    <cellStyle name="Normal 3 4 8 7" xfId="27274"/>
    <cellStyle name="Normal 3 4 80" xfId="1853"/>
    <cellStyle name="Normal 3 4 80 2" xfId="4294"/>
    <cellStyle name="Normal 3 4 80 2 2" xfId="11064"/>
    <cellStyle name="Normal 3 4 80 2 3" xfId="23754"/>
    <cellStyle name="Normal 3 4 80 2 4" xfId="16237"/>
    <cellStyle name="Normal 3 4 80 2 5" xfId="30870"/>
    <cellStyle name="Normal 3 4 80 3" xfId="6217"/>
    <cellStyle name="Normal 3 4 80 3 2" xfId="12987"/>
    <cellStyle name="Normal 3 4 80 3 3" xfId="25677"/>
    <cellStyle name="Normal 3 4 80 3 4" xfId="14295"/>
    <cellStyle name="Normal 3 4 80 3 5" xfId="31409"/>
    <cellStyle name="Normal 3 4 80 4" xfId="8623"/>
    <cellStyle name="Normal 3 4 80 5" xfId="21399"/>
    <cellStyle name="Normal 3 4 80 6" xfId="18738"/>
    <cellStyle name="Normal 3 4 80 7" xfId="30206"/>
    <cellStyle name="Normal 3 4 81" xfId="1876"/>
    <cellStyle name="Normal 3 4 81 2" xfId="4316"/>
    <cellStyle name="Normal 3 4 81 2 2" xfId="11086"/>
    <cellStyle name="Normal 3 4 81 2 3" xfId="23776"/>
    <cellStyle name="Normal 3 4 81 2 4" xfId="15841"/>
    <cellStyle name="Normal 3 4 81 2 5" xfId="31806"/>
    <cellStyle name="Normal 3 4 81 3" xfId="6237"/>
    <cellStyle name="Normal 3 4 81 3 2" xfId="13007"/>
    <cellStyle name="Normal 3 4 81 3 3" xfId="25697"/>
    <cellStyle name="Normal 3 4 81 3 4" xfId="16536"/>
    <cellStyle name="Normal 3 4 81 3 5" xfId="30218"/>
    <cellStyle name="Normal 3 4 81 4" xfId="8646"/>
    <cellStyle name="Normal 3 4 81 5" xfId="21419"/>
    <cellStyle name="Normal 3 4 81 6" xfId="13647"/>
    <cellStyle name="Normal 3 4 81 7" xfId="28369"/>
    <cellStyle name="Normal 3 4 82" xfId="1899"/>
    <cellStyle name="Normal 3 4 82 2" xfId="4338"/>
    <cellStyle name="Normal 3 4 82 2 2" xfId="11108"/>
    <cellStyle name="Normal 3 4 82 2 3" xfId="23798"/>
    <cellStyle name="Normal 3 4 82 2 4" xfId="19929"/>
    <cellStyle name="Normal 3 4 82 2 5" xfId="30271"/>
    <cellStyle name="Normal 3 4 82 3" xfId="6257"/>
    <cellStyle name="Normal 3 4 82 3 2" xfId="13027"/>
    <cellStyle name="Normal 3 4 82 3 3" xfId="25717"/>
    <cellStyle name="Normal 3 4 82 3 4" xfId="18407"/>
    <cellStyle name="Normal 3 4 82 3 5" xfId="32270"/>
    <cellStyle name="Normal 3 4 82 4" xfId="8669"/>
    <cellStyle name="Normal 3 4 82 5" xfId="21439"/>
    <cellStyle name="Normal 3 4 82 6" xfId="16445"/>
    <cellStyle name="Normal 3 4 82 7" xfId="31304"/>
    <cellStyle name="Normal 3 4 83" xfId="1921"/>
    <cellStyle name="Normal 3 4 83 2" xfId="4359"/>
    <cellStyle name="Normal 3 4 83 2 2" xfId="11129"/>
    <cellStyle name="Normal 3 4 83 2 3" xfId="23819"/>
    <cellStyle name="Normal 3 4 83 2 4" xfId="19798"/>
    <cellStyle name="Normal 3 4 83 2 5" xfId="29346"/>
    <cellStyle name="Normal 3 4 83 3" xfId="6276"/>
    <cellStyle name="Normal 3 4 83 3 2" xfId="13046"/>
    <cellStyle name="Normal 3 4 83 3 3" xfId="25736"/>
    <cellStyle name="Normal 3 4 83 3 4" xfId="8717"/>
    <cellStyle name="Normal 3 4 83 3 5" xfId="29280"/>
    <cellStyle name="Normal 3 4 83 4" xfId="8691"/>
    <cellStyle name="Normal 3 4 83 5" xfId="21458"/>
    <cellStyle name="Normal 3 4 83 6" xfId="13935"/>
    <cellStyle name="Normal 3 4 83 7" xfId="32186"/>
    <cellStyle name="Normal 3 4 84" xfId="1943"/>
    <cellStyle name="Normal 3 4 84 2" xfId="4380"/>
    <cellStyle name="Normal 3 4 84 2 2" xfId="11150"/>
    <cellStyle name="Normal 3 4 84 2 3" xfId="23840"/>
    <cellStyle name="Normal 3 4 84 2 4" xfId="19686"/>
    <cellStyle name="Normal 3 4 84 2 5" xfId="30210"/>
    <cellStyle name="Normal 3 4 84 3" xfId="6295"/>
    <cellStyle name="Normal 3 4 84 3 2" xfId="13065"/>
    <cellStyle name="Normal 3 4 84 3 3" xfId="25755"/>
    <cellStyle name="Normal 3 4 84 3 4" xfId="8331"/>
    <cellStyle name="Normal 3 4 84 3 5" xfId="31299"/>
    <cellStyle name="Normal 3 4 84 4" xfId="8713"/>
    <cellStyle name="Normal 3 4 84 5" xfId="21477"/>
    <cellStyle name="Normal 3 4 84 6" xfId="20091"/>
    <cellStyle name="Normal 3 4 84 7" xfId="30094"/>
    <cellStyle name="Normal 3 4 85" xfId="1966"/>
    <cellStyle name="Normal 3 4 85 2" xfId="4403"/>
    <cellStyle name="Normal 3 4 85 2 2" xfId="11173"/>
    <cellStyle name="Normal 3 4 85 2 3" xfId="23863"/>
    <cellStyle name="Normal 3 4 85 2 4" xfId="15302"/>
    <cellStyle name="Normal 3 4 85 2 5" xfId="28372"/>
    <cellStyle name="Normal 3 4 85 3" xfId="6315"/>
    <cellStyle name="Normal 3 4 85 3 2" xfId="13085"/>
    <cellStyle name="Normal 3 4 85 3 3" xfId="25775"/>
    <cellStyle name="Normal 3 4 85 3 4" xfId="7895"/>
    <cellStyle name="Normal 3 4 85 3 5" xfId="30126"/>
    <cellStyle name="Normal 3 4 85 4" xfId="8736"/>
    <cellStyle name="Normal 3 4 85 5" xfId="21497"/>
    <cellStyle name="Normal 3 4 85 6" xfId="15743"/>
    <cellStyle name="Normal 3 4 85 7" xfId="28235"/>
    <cellStyle name="Normal 3 4 86" xfId="1989"/>
    <cellStyle name="Normal 3 4 86 2" xfId="4425"/>
    <cellStyle name="Normal 3 4 86 2 2" xfId="11195"/>
    <cellStyle name="Normal 3 4 86 2 3" xfId="23885"/>
    <cellStyle name="Normal 3 4 86 2 4" xfId="19413"/>
    <cellStyle name="Normal 3 4 86 2 5" xfId="29263"/>
    <cellStyle name="Normal 3 4 86 3" xfId="6335"/>
    <cellStyle name="Normal 3 4 86 3 2" xfId="13105"/>
    <cellStyle name="Normal 3 4 86 3 3" xfId="25795"/>
    <cellStyle name="Normal 3 4 86 3 4" xfId="7483"/>
    <cellStyle name="Normal 3 4 86 3 5" xfId="32162"/>
    <cellStyle name="Normal 3 4 86 4" xfId="8759"/>
    <cellStyle name="Normal 3 4 86 5" xfId="21517"/>
    <cellStyle name="Normal 3 4 86 6" xfId="16164"/>
    <cellStyle name="Normal 3 4 86 7" xfId="31160"/>
    <cellStyle name="Normal 3 4 87" xfId="2011"/>
    <cellStyle name="Normal 3 4 87 2" xfId="4447"/>
    <cellStyle name="Normal 3 4 87 2 2" xfId="11217"/>
    <cellStyle name="Normal 3 4 87 2 3" xfId="23907"/>
    <cellStyle name="Normal 3 4 87 2 4" xfId="17385"/>
    <cellStyle name="Normal 3 4 87 2 5" xfId="27131"/>
    <cellStyle name="Normal 3 4 87 3" xfId="6354"/>
    <cellStyle name="Normal 3 4 87 3 2" xfId="13124"/>
    <cellStyle name="Normal 3 4 87 3 3" xfId="25814"/>
    <cellStyle name="Normal 3 4 87 3 4" xfId="7096"/>
    <cellStyle name="Normal 3 4 87 3 5" xfId="29171"/>
    <cellStyle name="Normal 3 4 87 4" xfId="8781"/>
    <cellStyle name="Normal 3 4 87 5" xfId="21536"/>
    <cellStyle name="Normal 3 4 87 6" xfId="15826"/>
    <cellStyle name="Normal 3 4 87 7" xfId="32067"/>
    <cellStyle name="Normal 3 4 88" xfId="2034"/>
    <cellStyle name="Normal 3 4 88 2" xfId="4469"/>
    <cellStyle name="Normal 3 4 88 2 2" xfId="11239"/>
    <cellStyle name="Normal 3 4 88 2 3" xfId="23929"/>
    <cellStyle name="Normal 3 4 88 2 4" xfId="14875"/>
    <cellStyle name="Normal 3 4 88 2 5" xfId="28280"/>
    <cellStyle name="Normal 3 4 88 3" xfId="6374"/>
    <cellStyle name="Normal 3 4 88 3 2" xfId="13144"/>
    <cellStyle name="Normal 3 4 88 3 3" xfId="25834"/>
    <cellStyle name="Normal 3 4 88 3 4" xfId="16336"/>
    <cellStyle name="Normal 3 4 88 3 5" xfId="28209"/>
    <cellStyle name="Normal 3 4 88 4" xfId="8804"/>
    <cellStyle name="Normal 3 4 88 5" xfId="21556"/>
    <cellStyle name="Normal 3 4 88 6" xfId="18050"/>
    <cellStyle name="Normal 3 4 88 7" xfId="26948"/>
    <cellStyle name="Normal 3 4 89" xfId="2057"/>
    <cellStyle name="Normal 3 4 89 2" xfId="4491"/>
    <cellStyle name="Normal 3 4 89 2 2" xfId="11261"/>
    <cellStyle name="Normal 3 4 89 2 3" xfId="23951"/>
    <cellStyle name="Normal 3 4 89 2 4" xfId="19024"/>
    <cellStyle name="Normal 3 4 89 2 5" xfId="29172"/>
    <cellStyle name="Normal 3 4 89 3" xfId="6394"/>
    <cellStyle name="Normal 3 4 89 3 2" xfId="13164"/>
    <cellStyle name="Normal 3 4 89 3 3" xfId="25854"/>
    <cellStyle name="Normal 3 4 89 3 4" xfId="17067"/>
    <cellStyle name="Normal 3 4 89 3 5" xfId="27009"/>
    <cellStyle name="Normal 3 4 89 4" xfId="8827"/>
    <cellStyle name="Normal 3 4 89 5" xfId="21576"/>
    <cellStyle name="Normal 3 4 89 6" xfId="17237"/>
    <cellStyle name="Normal 3 4 89 7" xfId="29927"/>
    <cellStyle name="Normal 3 4 9" xfId="229"/>
    <cellStyle name="Normal 3 4 9 2" xfId="2708"/>
    <cellStyle name="Normal 3 4 9 2 2" xfId="9478"/>
    <cellStyle name="Normal 3 4 9 2 3" xfId="22168"/>
    <cellStyle name="Normal 3 4 9 2 4" xfId="16314"/>
    <cellStyle name="Normal 3 4 9 2 5" xfId="28768"/>
    <cellStyle name="Normal 3 4 9 3" xfId="2521"/>
    <cellStyle name="Normal 3 4 9 3 2" xfId="9291"/>
    <cellStyle name="Normal 3 4 9 3 3" xfId="21981"/>
    <cellStyle name="Normal 3 4 9 3 4" xfId="16795"/>
    <cellStyle name="Normal 3 4 9 3 5" xfId="30586"/>
    <cellStyle name="Normal 3 4 9 4" xfId="6999"/>
    <cellStyle name="Normal 3 4 9 5" xfId="13571"/>
    <cellStyle name="Normal 3 4 9 6" xfId="16468"/>
    <cellStyle name="Normal 3 4 9 7" xfId="28418"/>
    <cellStyle name="Normal 3 4 90" xfId="2080"/>
    <cellStyle name="Normal 3 4 90 2" xfId="4512"/>
    <cellStyle name="Normal 3 4 90 2 2" xfId="11282"/>
    <cellStyle name="Normal 3 4 90 2 3" xfId="23972"/>
    <cellStyle name="Normal 3 4 90 2 4" xfId="18907"/>
    <cellStyle name="Normal 3 4 90 2 5" xfId="30034"/>
    <cellStyle name="Normal 3 4 90 3" xfId="6414"/>
    <cellStyle name="Normal 3 4 90 3 2" xfId="13184"/>
    <cellStyle name="Normal 3 4 90 3 3" xfId="25874"/>
    <cellStyle name="Normal 3 4 90 3 4" xfId="15788"/>
    <cellStyle name="Normal 3 4 90 3 5" xfId="29088"/>
    <cellStyle name="Normal 3 4 90 4" xfId="8850"/>
    <cellStyle name="Normal 3 4 90 5" xfId="21596"/>
    <cellStyle name="Normal 3 4 90 6" xfId="15810"/>
    <cellStyle name="Normal 3 4 90 7" xfId="28057"/>
    <cellStyle name="Normal 3 4 91" xfId="2103"/>
    <cellStyle name="Normal 3 4 91 2" xfId="4534"/>
    <cellStyle name="Normal 3 4 91 2 2" xfId="11304"/>
    <cellStyle name="Normal 3 4 91 2 3" xfId="23994"/>
    <cellStyle name="Normal 3 4 91 2 4" xfId="16020"/>
    <cellStyle name="Normal 3 4 91 2 5" xfId="31145"/>
    <cellStyle name="Normal 3 4 91 3" xfId="6434"/>
    <cellStyle name="Normal 3 4 91 3 2" xfId="13204"/>
    <cellStyle name="Normal 3 4 91 3 3" xfId="25894"/>
    <cellStyle name="Normal 3 4 91 3 4" xfId="19924"/>
    <cellStyle name="Normal 3 4 91 3 5" xfId="28117"/>
    <cellStyle name="Normal 3 4 91 4" xfId="8873"/>
    <cellStyle name="Normal 3 4 91 5" xfId="21616"/>
    <cellStyle name="Normal 3 4 91 6" xfId="16095"/>
    <cellStyle name="Normal 3 4 91 7" xfId="30979"/>
    <cellStyle name="Normal 3 4 92" xfId="2126"/>
    <cellStyle name="Normal 3 4 92 2" xfId="4555"/>
    <cellStyle name="Normal 3 4 92 2 2" xfId="11325"/>
    <cellStyle name="Normal 3 4 92 2 3" xfId="24015"/>
    <cellStyle name="Normal 3 4 92 2 4" xfId="16660"/>
    <cellStyle name="Normal 3 4 92 2 5" xfId="26965"/>
    <cellStyle name="Normal 3 4 92 3" xfId="6454"/>
    <cellStyle name="Normal 3 4 92 3 2" xfId="13224"/>
    <cellStyle name="Normal 3 4 92 3 3" xfId="25914"/>
    <cellStyle name="Normal 3 4 92 3 4" xfId="15566"/>
    <cellStyle name="Normal 3 4 92 3 5" xfId="26909"/>
    <cellStyle name="Normal 3 4 92 4" xfId="8896"/>
    <cellStyle name="Normal 3 4 92 5" xfId="21636"/>
    <cellStyle name="Normal 3 4 92 6" xfId="13901"/>
    <cellStyle name="Normal 3 4 92 7" xfId="28934"/>
    <cellStyle name="Normal 3 4 93" xfId="2147"/>
    <cellStyle name="Normal 3 4 93 2" xfId="4575"/>
    <cellStyle name="Normal 3 4 93 2 2" xfId="11345"/>
    <cellStyle name="Normal 3 4 93 2 3" xfId="24035"/>
    <cellStyle name="Normal 3 4 93 2 4" xfId="18535"/>
    <cellStyle name="Normal 3 4 93 2 5" xfId="29050"/>
    <cellStyle name="Normal 3 4 93 3" xfId="6472"/>
    <cellStyle name="Normal 3 4 93 3 2" xfId="13242"/>
    <cellStyle name="Normal 3 4 93 3 3" xfId="25932"/>
    <cellStyle name="Normal 3 4 93 3 4" xfId="15460"/>
    <cellStyle name="Normal 3 4 93 3 5" xfId="26876"/>
    <cellStyle name="Normal 3 4 93 4" xfId="8917"/>
    <cellStyle name="Normal 3 4 93 5" xfId="21654"/>
    <cellStyle name="Normal 3 4 93 6" xfId="15542"/>
    <cellStyle name="Normal 3 4 93 7" xfId="29801"/>
    <cellStyle name="Normal 3 4 94" xfId="2165"/>
    <cellStyle name="Normal 3 4 94 2" xfId="4592"/>
    <cellStyle name="Normal 3 4 94 2 2" xfId="11362"/>
    <cellStyle name="Normal 3 4 94 2 3" xfId="24052"/>
    <cellStyle name="Normal 3 4 94 2 4" xfId="14038"/>
    <cellStyle name="Normal 3 4 94 2 5" xfId="31998"/>
    <cellStyle name="Normal 3 4 94 3" xfId="6488"/>
    <cellStyle name="Normal 3 4 94 3 2" xfId="13258"/>
    <cellStyle name="Normal 3 4 94 3 3" xfId="25948"/>
    <cellStyle name="Normal 3 4 94 3 4" xfId="19607"/>
    <cellStyle name="Normal 3 4 94 3 5" xfId="28028"/>
    <cellStyle name="Normal 3 4 94 4" xfId="8935"/>
    <cellStyle name="Normal 3 4 94 5" xfId="21670"/>
    <cellStyle name="Normal 3 4 94 6" xfId="15435"/>
    <cellStyle name="Normal 3 4 94 7" xfId="29773"/>
    <cellStyle name="Normal 3 4 95" xfId="2193"/>
    <cellStyle name="Normal 3 4 95 2" xfId="4618"/>
    <cellStyle name="Normal 3 4 95 2 2" xfId="11388"/>
    <cellStyle name="Normal 3 4 95 2 3" xfId="24078"/>
    <cellStyle name="Normal 3 4 95 2 4" xfId="16236"/>
    <cellStyle name="Normal 3 4 95 2 5" xfId="31007"/>
    <cellStyle name="Normal 3 4 95 3" xfId="6514"/>
    <cellStyle name="Normal 3 4 95 3 2" xfId="13284"/>
    <cellStyle name="Normal 3 4 95 3 3" xfId="25974"/>
    <cellStyle name="Normal 3 4 95 3 4" xfId="15188"/>
    <cellStyle name="Normal 3 4 95 3 5" xfId="26813"/>
    <cellStyle name="Normal 3 4 95 4" xfId="8963"/>
    <cellStyle name="Normal 3 4 95 5" xfId="21696"/>
    <cellStyle name="Normal 3 4 95 6" xfId="19503"/>
    <cellStyle name="Normal 3 4 95 7" xfId="30827"/>
    <cellStyle name="Normal 3 4 96" xfId="2218"/>
    <cellStyle name="Normal 3 4 96 2" xfId="4641"/>
    <cellStyle name="Normal 3 4 96 2 2" xfId="11411"/>
    <cellStyle name="Normal 3 4 96 2 3" xfId="24101"/>
    <cellStyle name="Normal 3 4 96 2 4" xfId="20038"/>
    <cellStyle name="Normal 3 4 96 2 5" xfId="28956"/>
    <cellStyle name="Normal 3 4 96 3" xfId="6535"/>
    <cellStyle name="Normal 3 4 96 3 2" xfId="13305"/>
    <cellStyle name="Normal 3 4 96 3 3" xfId="25995"/>
    <cellStyle name="Normal 3 4 96 3 4" xfId="15062"/>
    <cellStyle name="Normal 3 4 96 3 5" xfId="30918"/>
    <cellStyle name="Normal 3 4 96 4" xfId="8988"/>
    <cellStyle name="Normal 3 4 96 5" xfId="21717"/>
    <cellStyle name="Normal 3 4 96 6" xfId="17458"/>
    <cellStyle name="Normal 3 4 96 7" xfId="27829"/>
    <cellStyle name="Normal 3 4 97" xfId="2240"/>
    <cellStyle name="Normal 3 4 97 2" xfId="4662"/>
    <cellStyle name="Normal 3 4 97 2 2" xfId="11432"/>
    <cellStyle name="Normal 3 4 97 2 3" xfId="24122"/>
    <cellStyle name="Normal 3 4 97 2 4" xfId="19795"/>
    <cellStyle name="Normal 3 4 97 2 5" xfId="29824"/>
    <cellStyle name="Normal 3 4 97 3" xfId="6551"/>
    <cellStyle name="Normal 3 4 97 3 2" xfId="13321"/>
    <cellStyle name="Normal 3 4 97 3 3" xfId="26011"/>
    <cellStyle name="Normal 3 4 97 3 4" xfId="19232"/>
    <cellStyle name="Normal 3 4 97 3 5" xfId="31860"/>
    <cellStyle name="Normal 3 4 97 4" xfId="9010"/>
    <cellStyle name="Normal 3 4 97 5" xfId="21733"/>
    <cellStyle name="Normal 3 4 97 6" xfId="14950"/>
    <cellStyle name="Normal 3 4 97 7" xfId="28761"/>
    <cellStyle name="Normal 3 4 98" xfId="2262"/>
    <cellStyle name="Normal 3 4 98 2" xfId="4684"/>
    <cellStyle name="Normal 3 4 98 2 2" xfId="11454"/>
    <cellStyle name="Normal 3 4 98 2 3" xfId="24144"/>
    <cellStyle name="Normal 3 4 98 2 4" xfId="17767"/>
    <cellStyle name="Normal 3 4 98 2 5" xfId="30897"/>
    <cellStyle name="Normal 3 4 98 3" xfId="6570"/>
    <cellStyle name="Normal 3 4 98 3 2" xfId="13340"/>
    <cellStyle name="Normal 3 4 98 3 3" xfId="26030"/>
    <cellStyle name="Normal 3 4 98 3 4" xfId="17200"/>
    <cellStyle name="Normal 3 4 98 3 5" xfId="28860"/>
    <cellStyle name="Normal 3 4 98 4" xfId="9032"/>
    <cellStyle name="Normal 3 4 98 5" xfId="21752"/>
    <cellStyle name="Normal 3 4 98 6" xfId="18056"/>
    <cellStyle name="Normal 3 4 98 7" xfId="27324"/>
    <cellStyle name="Normal 3 4 99" xfId="2284"/>
    <cellStyle name="Normal 3 4 99 2" xfId="4705"/>
    <cellStyle name="Normal 3 4 99 2 2" xfId="11475"/>
    <cellStyle name="Normal 3 4 99 2 3" xfId="24165"/>
    <cellStyle name="Normal 3 4 99 2 4" xfId="17953"/>
    <cellStyle name="Normal 3 4 99 2 5" xfId="26729"/>
    <cellStyle name="Normal 3 4 99 3" xfId="6589"/>
    <cellStyle name="Normal 3 4 99 3 2" xfId="13359"/>
    <cellStyle name="Normal 3 4 99 3 3" xfId="26049"/>
    <cellStyle name="Normal 3 4 99 3 4" xfId="14685"/>
    <cellStyle name="Normal 3 4 99 3 5" xfId="30832"/>
    <cellStyle name="Normal 3 4 99 4" xfId="9054"/>
    <cellStyle name="Normal 3 4 99 5" xfId="21771"/>
    <cellStyle name="Normal 3 4 99 6" xfId="17018"/>
    <cellStyle name="Normal 3 4 99 7" xfId="28458"/>
    <cellStyle name="Normal 3 40" xfId="879"/>
    <cellStyle name="Normal 3 40 2" xfId="3344"/>
    <cellStyle name="Normal 3 40 2 2" xfId="10114"/>
    <cellStyle name="Normal 3 40 2 3" xfId="22804"/>
    <cellStyle name="Normal 3 40 2 4" xfId="15852"/>
    <cellStyle name="Normal 3 40 2 5" xfId="28881"/>
    <cellStyle name="Normal 3 40 3" xfId="5370"/>
    <cellStyle name="Normal 3 40 3 2" xfId="12140"/>
    <cellStyle name="Normal 3 40 3 3" xfId="24830"/>
    <cellStyle name="Normal 3 40 3 4" xfId="15486"/>
    <cellStyle name="Normal 3 40 3 5" xfId="14761"/>
    <cellStyle name="Normal 3 40 4" xfId="7649"/>
    <cellStyle name="Normal 3 40 5" xfId="20552"/>
    <cellStyle name="Normal 3 40 6" xfId="15208"/>
    <cellStyle name="Normal 3 40 7" xfId="26355"/>
    <cellStyle name="Normal 3 41" xfId="902"/>
    <cellStyle name="Normal 3 41 2" xfId="3366"/>
    <cellStyle name="Normal 3 41 2 2" xfId="10136"/>
    <cellStyle name="Normal 3 41 2 3" xfId="22826"/>
    <cellStyle name="Normal 3 41 2 4" xfId="19932"/>
    <cellStyle name="Normal 3 41 2 5" xfId="26718"/>
    <cellStyle name="Normal 3 41 3" xfId="5390"/>
    <cellStyle name="Normal 3 41 3 2" xfId="12160"/>
    <cellStyle name="Normal 3 41 3 3" xfId="24850"/>
    <cellStyle name="Normal 3 41 3 4" xfId="17746"/>
    <cellStyle name="Normal 3 41 3 5" xfId="15708"/>
    <cellStyle name="Normal 3 41 4" xfId="7672"/>
    <cellStyle name="Normal 3 41 5" xfId="20572"/>
    <cellStyle name="Normal 3 41 6" xfId="17418"/>
    <cellStyle name="Normal 3 41 7" xfId="30315"/>
    <cellStyle name="Normal 3 42" xfId="925"/>
    <cellStyle name="Normal 3 42 2" xfId="3389"/>
    <cellStyle name="Normal 3 42 2 2" xfId="10159"/>
    <cellStyle name="Normal 3 42 2 3" xfId="22849"/>
    <cellStyle name="Normal 3 42 2 4" xfId="15555"/>
    <cellStyle name="Normal 3 42 2 5" xfId="29709"/>
    <cellStyle name="Normal 3 42 3" xfId="5410"/>
    <cellStyle name="Normal 3 42 3 2" xfId="12180"/>
    <cellStyle name="Normal 3 42 3 3" xfId="24870"/>
    <cellStyle name="Normal 3 42 3 4" xfId="19510"/>
    <cellStyle name="Normal 3 42 3 5" xfId="15495"/>
    <cellStyle name="Normal 3 42 4" xfId="7695"/>
    <cellStyle name="Normal 3 42 5" xfId="20592"/>
    <cellStyle name="Normal 3 42 6" xfId="19194"/>
    <cellStyle name="Normal 3 42 7" xfId="28511"/>
    <cellStyle name="Normal 3 43" xfId="948"/>
    <cellStyle name="Normal 3 43 2" xfId="3412"/>
    <cellStyle name="Normal 3 43 2 2" xfId="10182"/>
    <cellStyle name="Normal 3 43 2 3" xfId="22872"/>
    <cellStyle name="Normal 3 43 2 4" xfId="17796"/>
    <cellStyle name="Normal 3 43 2 5" xfId="27802"/>
    <cellStyle name="Normal 3 43 3" xfId="5431"/>
    <cellStyle name="Normal 3 43 3 2" xfId="12201"/>
    <cellStyle name="Normal 3 43 3 3" xfId="24891"/>
    <cellStyle name="Normal 3 43 3 4" xfId="19379"/>
    <cellStyle name="Normal 3 43 3 5" xfId="18802"/>
    <cellStyle name="Normal 3 43 4" xfId="7718"/>
    <cellStyle name="Normal 3 43 5" xfId="20613"/>
    <cellStyle name="Normal 3 43 6" xfId="14757"/>
    <cellStyle name="Normal 3 43 7" xfId="30487"/>
    <cellStyle name="Normal 3 44" xfId="969"/>
    <cellStyle name="Normal 3 44 2" xfId="3433"/>
    <cellStyle name="Normal 3 44 2 2" xfId="10203"/>
    <cellStyle name="Normal 3 44 2 3" xfId="22893"/>
    <cellStyle name="Normal 3 44 2 4" xfId="17666"/>
    <cellStyle name="Normal 3 44 2 5" xfId="31720"/>
    <cellStyle name="Normal 3 44 3" xfId="5449"/>
    <cellStyle name="Normal 3 44 3 2" xfId="12219"/>
    <cellStyle name="Normal 3 44 3 3" xfId="24909"/>
    <cellStyle name="Normal 3 44 3 4" xfId="19275"/>
    <cellStyle name="Normal 3 44 3 5" xfId="17525"/>
    <cellStyle name="Normal 3 44 4" xfId="7739"/>
    <cellStyle name="Normal 3 44 5" xfId="20631"/>
    <cellStyle name="Normal 3 44 6" xfId="13633"/>
    <cellStyle name="Normal 3 44 7" xfId="27119"/>
    <cellStyle name="Normal 3 45" xfId="991"/>
    <cellStyle name="Normal 3 45 2" xfId="3455"/>
    <cellStyle name="Normal 3 45 2 2" xfId="10225"/>
    <cellStyle name="Normal 3 45 2 3" xfId="22915"/>
    <cellStyle name="Normal 3 45 2 4" xfId="15130"/>
    <cellStyle name="Normal 3 45 2 5" xfId="29606"/>
    <cellStyle name="Normal 3 45 3" xfId="5468"/>
    <cellStyle name="Normal 3 45 3 2" xfId="12238"/>
    <cellStyle name="Normal 3 45 3 3" xfId="24928"/>
    <cellStyle name="Normal 3 45 3 4" xfId="17226"/>
    <cellStyle name="Normal 3 45 3 5" xfId="18608"/>
    <cellStyle name="Normal 3 45 4" xfId="7761"/>
    <cellStyle name="Normal 3 45 5" xfId="20650"/>
    <cellStyle name="Normal 3 45 6" xfId="18803"/>
    <cellStyle name="Normal 3 45 7" xfId="28259"/>
    <cellStyle name="Normal 3 46" xfId="1016"/>
    <cellStyle name="Normal 3 46 2" xfId="3480"/>
    <cellStyle name="Normal 3 46 2 2" xfId="10250"/>
    <cellStyle name="Normal 3 46 2 3" xfId="22940"/>
    <cellStyle name="Normal 3 46 2 4" xfId="19261"/>
    <cellStyle name="Normal 3 46 2 5" xfId="26515"/>
    <cellStyle name="Normal 3 46 3" xfId="5489"/>
    <cellStyle name="Normal 3 46 3 2" xfId="12259"/>
    <cellStyle name="Normal 3 46 3 3" xfId="24949"/>
    <cellStyle name="Normal 3 46 3 4" xfId="17096"/>
    <cellStyle name="Normal 3 46 3 5" xfId="19501"/>
    <cellStyle name="Normal 3 46 4" xfId="7786"/>
    <cellStyle name="Normal 3 46 5" xfId="20671"/>
    <cellStyle name="Normal 3 46 6" xfId="16674"/>
    <cellStyle name="Normal 3 46 7" xfId="28003"/>
    <cellStyle name="Normal 3 47" xfId="1038"/>
    <cellStyle name="Normal 3 47 2" xfId="3501"/>
    <cellStyle name="Normal 3 47 2 2" xfId="10271"/>
    <cellStyle name="Normal 3 47 2 3" xfId="22961"/>
    <cellStyle name="Normal 3 47 2 4" xfId="19145"/>
    <cellStyle name="Normal 3 47 2 5" xfId="30617"/>
    <cellStyle name="Normal 3 47 3" xfId="5508"/>
    <cellStyle name="Normal 3 47 3 2" xfId="12278"/>
    <cellStyle name="Normal 3 47 3 3" xfId="24968"/>
    <cellStyle name="Normal 3 47 3 4" xfId="14608"/>
    <cellStyle name="Normal 3 47 3 5" xfId="13979"/>
    <cellStyle name="Normal 3 47 4" xfId="7808"/>
    <cellStyle name="Normal 3 47 5" xfId="20690"/>
    <cellStyle name="Normal 3 47 6" xfId="16520"/>
    <cellStyle name="Normal 3 47 7" xfId="29115"/>
    <cellStyle name="Normal 3 48" xfId="1060"/>
    <cellStyle name="Normal 3 48 2" xfId="3522"/>
    <cellStyle name="Normal 3 48 2 2" xfId="10292"/>
    <cellStyle name="Normal 3 48 2 3" xfId="22982"/>
    <cellStyle name="Normal 3 48 2 4" xfId="19007"/>
    <cellStyle name="Normal 3 48 2 5" xfId="26441"/>
    <cellStyle name="Normal 3 48 3" xfId="5527"/>
    <cellStyle name="Normal 3 48 3 2" xfId="12297"/>
    <cellStyle name="Normal 3 48 3 3" xfId="24987"/>
    <cellStyle name="Normal 3 48 3 4" xfId="18807"/>
    <cellStyle name="Normal 3 48 3 5" xfId="30409"/>
    <cellStyle name="Normal 3 48 4" xfId="7830"/>
    <cellStyle name="Normal 3 48 5" xfId="20709"/>
    <cellStyle name="Normal 3 48 6" xfId="13984"/>
    <cellStyle name="Normal 3 48 7" xfId="29979"/>
    <cellStyle name="Normal 3 49" xfId="1083"/>
    <cellStyle name="Normal 3 49 2" xfId="3545"/>
    <cellStyle name="Normal 3 49 2 2" xfId="10315"/>
    <cellStyle name="Normal 3 49 2 3" xfId="23005"/>
    <cellStyle name="Normal 3 49 2 4" xfId="14548"/>
    <cellStyle name="Normal 3 49 2 5" xfId="27063"/>
    <cellStyle name="Normal 3 49 3" xfId="5547"/>
    <cellStyle name="Normal 3 49 3 2" xfId="12317"/>
    <cellStyle name="Normal 3 49 3 3" xfId="25007"/>
    <cellStyle name="Normal 3 49 3 4" xfId="14348"/>
    <cellStyle name="Normal 3 49 3 5" xfId="30286"/>
    <cellStyle name="Normal 3 49 4" xfId="7853"/>
    <cellStyle name="Normal 3 49 5" xfId="20729"/>
    <cellStyle name="Normal 3 49 6" xfId="17929"/>
    <cellStyle name="Normal 3 49 7" xfId="28104"/>
    <cellStyle name="Normal 3 5" xfId="59"/>
    <cellStyle name="Normal 3 5 2" xfId="2544"/>
    <cellStyle name="Normal 3 5 2 2" xfId="9314"/>
    <cellStyle name="Normal 3 5 2 3" xfId="22004"/>
    <cellStyle name="Normal 3 5 2 4" xfId="18637"/>
    <cellStyle name="Normal 3 5 2 5" xfId="26890"/>
    <cellStyle name="Normal 3 5 3" xfId="3748"/>
    <cellStyle name="Normal 3 5 3 2" xfId="10518"/>
    <cellStyle name="Normal 3 5 3 3" xfId="23208"/>
    <cellStyle name="Normal 3 5 3 4" xfId="17709"/>
    <cellStyle name="Normal 3 5 3 5" xfId="27513"/>
    <cellStyle name="Normal 3 5 4" xfId="6829"/>
    <cellStyle name="Normal 3 5 5" xfId="14822"/>
    <cellStyle name="Normal 3 5 6" xfId="15225"/>
    <cellStyle name="Normal 3 5 7" xfId="28820"/>
    <cellStyle name="Normal 3 50" xfId="1106"/>
    <cellStyle name="Normal 3 50 2" xfId="3567"/>
    <cellStyle name="Normal 3 50 2 2" xfId="10337"/>
    <cellStyle name="Normal 3 50 2 3" xfId="23027"/>
    <cellStyle name="Normal 3 50 2 4" xfId="18755"/>
    <cellStyle name="Normal 3 50 2 5" xfId="31545"/>
    <cellStyle name="Normal 3 50 3" xfId="5567"/>
    <cellStyle name="Normal 3 50 3 2" xfId="12337"/>
    <cellStyle name="Normal 3 50 3 3" xfId="25027"/>
    <cellStyle name="Normal 3 50 3 4" xfId="16504"/>
    <cellStyle name="Normal 3 50 3 5" xfId="32324"/>
    <cellStyle name="Normal 3 50 4" xfId="7876"/>
    <cellStyle name="Normal 3 50 5" xfId="20749"/>
    <cellStyle name="Normal 3 50 6" xfId="19659"/>
    <cellStyle name="Normal 3 50 7" xfId="31027"/>
    <cellStyle name="Normal 3 51" xfId="1128"/>
    <cellStyle name="Normal 3 51 2" xfId="3589"/>
    <cellStyle name="Normal 3 51 2 2" xfId="10359"/>
    <cellStyle name="Normal 3 51 2 3" xfId="23049"/>
    <cellStyle name="Normal 3 51 2 4" xfId="16620"/>
    <cellStyle name="Normal 3 51 2 5" xfId="32402"/>
    <cellStyle name="Normal 3 51 3" xfId="5586"/>
    <cellStyle name="Normal 3 51 3 2" xfId="12356"/>
    <cellStyle name="Normal 3 51 3 3" xfId="25046"/>
    <cellStyle name="Normal 3 51 3 4" xfId="14079"/>
    <cellStyle name="Normal 3 51 3 5" xfId="29335"/>
    <cellStyle name="Normal 3 51 4" xfId="7898"/>
    <cellStyle name="Normal 3 51 5" xfId="20768"/>
    <cellStyle name="Normal 3 51 6" xfId="17632"/>
    <cellStyle name="Normal 3 51 7" xfId="26843"/>
    <cellStyle name="Normal 3 52" xfId="1151"/>
    <cellStyle name="Normal 3 52 2" xfId="3611"/>
    <cellStyle name="Normal 3 52 2 2" xfId="10381"/>
    <cellStyle name="Normal 3 52 2 3" xfId="23071"/>
    <cellStyle name="Normal 3 52 2 4" xfId="14105"/>
    <cellStyle name="Normal 3 52 2 5" xfId="27024"/>
    <cellStyle name="Normal 3 52 3" xfId="5607"/>
    <cellStyle name="Normal 3 52 3 2" xfId="12377"/>
    <cellStyle name="Normal 3 52 3 3" xfId="25067"/>
    <cellStyle name="Normal 3 52 3 4" xfId="13947"/>
    <cellStyle name="Normal 3 52 3 5" xfId="30207"/>
    <cellStyle name="Normal 3 52 4" xfId="7921"/>
    <cellStyle name="Normal 3 52 5" xfId="20789"/>
    <cellStyle name="Normal 3 52 6" xfId="19383"/>
    <cellStyle name="Normal 3 52 7" xfId="29833"/>
    <cellStyle name="Normal 3 53" xfId="1171"/>
    <cellStyle name="Normal 3 53 2" xfId="3631"/>
    <cellStyle name="Normal 3 53 2 2" xfId="10401"/>
    <cellStyle name="Normal 3 53 2 3" xfId="23091"/>
    <cellStyle name="Normal 3 53 2 4" xfId="16352"/>
    <cellStyle name="Normal 3 53 2 5" xfId="31570"/>
    <cellStyle name="Normal 3 53 3" xfId="5624"/>
    <cellStyle name="Normal 3 53 3 2" xfId="12394"/>
    <cellStyle name="Normal 3 53 3 3" xfId="25084"/>
    <cellStyle name="Normal 3 53 3 4" xfId="16190"/>
    <cellStyle name="Normal 3 53 3 5" xfId="28370"/>
    <cellStyle name="Normal 3 53 4" xfId="7941"/>
    <cellStyle name="Normal 3 53 5" xfId="20806"/>
    <cellStyle name="Normal 3 53 6" xfId="14995"/>
    <cellStyle name="Normal 3 53 7" xfId="14506"/>
    <cellStyle name="Normal 3 54" xfId="1122"/>
    <cellStyle name="Normal 3 54 2" xfId="3583"/>
    <cellStyle name="Normal 3 54 2 2" xfId="10353"/>
    <cellStyle name="Normal 3 54 2 3" xfId="23043"/>
    <cellStyle name="Normal 3 54 2 4" xfId="16663"/>
    <cellStyle name="Normal 3 54 2 5" xfId="32412"/>
    <cellStyle name="Normal 3 54 3" xfId="5581"/>
    <cellStyle name="Normal 3 54 3 2" xfId="12351"/>
    <cellStyle name="Normal 3 54 3 3" xfId="25041"/>
    <cellStyle name="Normal 3 54 3 4" xfId="16853"/>
    <cellStyle name="Normal 3 54 3 5" xfId="31399"/>
    <cellStyle name="Normal 3 54 4" xfId="7892"/>
    <cellStyle name="Normal 3 54 5" xfId="20763"/>
    <cellStyle name="Normal 3 54 6" xfId="17675"/>
    <cellStyle name="Normal 3 54 7" xfId="26853"/>
    <cellStyle name="Normal 3 55" xfId="1219"/>
    <cellStyle name="Normal 3 55 2" xfId="3679"/>
    <cellStyle name="Normal 3 55 2 2" xfId="10449"/>
    <cellStyle name="Normal 3 55 2 3" xfId="23139"/>
    <cellStyle name="Normal 3 55 2 4" xfId="18148"/>
    <cellStyle name="Normal 3 55 2 5" xfId="30390"/>
    <cellStyle name="Normal 3 55 3" xfId="5665"/>
    <cellStyle name="Normal 3 55 3 2" xfId="12435"/>
    <cellStyle name="Normal 3 55 3 3" xfId="25125"/>
    <cellStyle name="Normal 3 55 3 4" xfId="17671"/>
    <cellStyle name="Normal 3 55 3 5" xfId="30491"/>
    <cellStyle name="Normal 3 55 4" xfId="7989"/>
    <cellStyle name="Normal 3 55 5" xfId="20847"/>
    <cellStyle name="Normal 3 55 6" xfId="14663"/>
    <cellStyle name="Normal 3 55 7" xfId="27832"/>
    <cellStyle name="Normal 3 56" xfId="1242"/>
    <cellStyle name="Normal 3 56 2" xfId="3702"/>
    <cellStyle name="Normal 3 56 2 2" xfId="10472"/>
    <cellStyle name="Normal 3 56 2 3" xfId="23162"/>
    <cellStyle name="Normal 3 56 2 4" xfId="19849"/>
    <cellStyle name="Normal 3 56 2 5" xfId="27363"/>
    <cellStyle name="Normal 3 56 3" xfId="5685"/>
    <cellStyle name="Normal 3 56 3 2" xfId="12455"/>
    <cellStyle name="Normal 3 56 3 3" xfId="25145"/>
    <cellStyle name="Normal 3 56 3 4" xfId="18005"/>
    <cellStyle name="Normal 3 56 3 5" xfId="30106"/>
    <cellStyle name="Normal 3 56 4" xfId="8012"/>
    <cellStyle name="Normal 3 56 5" xfId="20867"/>
    <cellStyle name="Normal 3 56 6" xfId="16891"/>
    <cellStyle name="Normal 3 56 7" xfId="31739"/>
    <cellStyle name="Normal 3 57" xfId="1265"/>
    <cellStyle name="Normal 3 57 2" xfId="3724"/>
    <cellStyle name="Normal 3 57 2 2" xfId="10494"/>
    <cellStyle name="Normal 3 57 2 3" xfId="23184"/>
    <cellStyle name="Normal 3 57 2 4" xfId="17879"/>
    <cellStyle name="Normal 3 57 2 5" xfId="28502"/>
    <cellStyle name="Normal 3 57 3" xfId="5705"/>
    <cellStyle name="Normal 3 57 3 2" xfId="12475"/>
    <cellStyle name="Normal 3 57 3 3" xfId="25165"/>
    <cellStyle name="Normal 3 57 3 4" xfId="19691"/>
    <cellStyle name="Normal 3 57 3 5" xfId="32141"/>
    <cellStyle name="Normal 3 57 4" xfId="8035"/>
    <cellStyle name="Normal 3 57 5" xfId="20887"/>
    <cellStyle name="Normal 3 57 6" xfId="18723"/>
    <cellStyle name="Normal 3 57 7" xfId="26582"/>
    <cellStyle name="Normal 3 58" xfId="1288"/>
    <cellStyle name="Normal 3 58 2" xfId="3746"/>
    <cellStyle name="Normal 3 58 2 2" xfId="10516"/>
    <cellStyle name="Normal 3 58 2 3" xfId="23206"/>
    <cellStyle name="Normal 3 58 2 4" xfId="15345"/>
    <cellStyle name="Normal 3 58 2 5" xfId="28573"/>
    <cellStyle name="Normal 3 58 3" xfId="5725"/>
    <cellStyle name="Normal 3 58 3 2" xfId="12495"/>
    <cellStyle name="Normal 3 58 3 3" xfId="25185"/>
    <cellStyle name="Normal 3 58 3 4" xfId="15327"/>
    <cellStyle name="Normal 3 58 3 5" xfId="31185"/>
    <cellStyle name="Normal 3 58 4" xfId="8058"/>
    <cellStyle name="Normal 3 58 5" xfId="20907"/>
    <cellStyle name="Normal 3 58 6" xfId="14203"/>
    <cellStyle name="Normal 3 58 7" xfId="30276"/>
    <cellStyle name="Normal 3 59" xfId="1311"/>
    <cellStyle name="Normal 3 59 2" xfId="3769"/>
    <cellStyle name="Normal 3 59 2 2" xfId="10539"/>
    <cellStyle name="Normal 3 59 2 3" xfId="23229"/>
    <cellStyle name="Normal 3 59 2 4" xfId="17578"/>
    <cellStyle name="Normal 3 59 2 5" xfId="31560"/>
    <cellStyle name="Normal 3 59 3" xfId="5745"/>
    <cellStyle name="Normal 3 59 3 2" xfId="12515"/>
    <cellStyle name="Normal 3 59 3 3" xfId="25205"/>
    <cellStyle name="Normal 3 59 3 4" xfId="17581"/>
    <cellStyle name="Normal 3 59 3 5" xfId="30021"/>
    <cellStyle name="Normal 3 59 4" xfId="8081"/>
    <cellStyle name="Normal 3 59 5" xfId="20927"/>
    <cellStyle name="Normal 3 59 6" xfId="17974"/>
    <cellStyle name="Normal 3 59 7" xfId="28433"/>
    <cellStyle name="Normal 3 6" xfId="98"/>
    <cellStyle name="Normal 3 6 2" xfId="2582"/>
    <cellStyle name="Normal 3 6 2 2" xfId="9352"/>
    <cellStyle name="Normal 3 6 2 3" xfId="22042"/>
    <cellStyle name="Normal 3 6 2 4" xfId="14019"/>
    <cellStyle name="Normal 3 6 2 5" xfId="28960"/>
    <cellStyle name="Normal 3 6 3" xfId="4697"/>
    <cellStyle name="Normal 3 6 3 2" xfId="11467"/>
    <cellStyle name="Normal 3 6 3 3" xfId="24157"/>
    <cellStyle name="Normal 3 6 3 4" xfId="15621"/>
    <cellStyle name="Normal 3 6 3 5" xfId="27911"/>
    <cellStyle name="Normal 3 6 4" xfId="6868"/>
    <cellStyle name="Normal 3 6 5" xfId="14028"/>
    <cellStyle name="Normal 3 6 6" xfId="14970"/>
    <cellStyle name="Normal 3 6 7" xfId="29649"/>
    <cellStyle name="Normal 3 60" xfId="1334"/>
    <cellStyle name="Normal 3 60 2" xfId="3792"/>
    <cellStyle name="Normal 3 60 2 2" xfId="10562"/>
    <cellStyle name="Normal 3 60 2 3" xfId="23252"/>
    <cellStyle name="Normal 3 60 2 4" xfId="19339"/>
    <cellStyle name="Normal 3 60 2 5" xfId="26352"/>
    <cellStyle name="Normal 3 60 3" xfId="5765"/>
    <cellStyle name="Normal 3 60 3 2" xfId="12535"/>
    <cellStyle name="Normal 3 60 3 3" xfId="25225"/>
    <cellStyle name="Normal 3 60 3 4" xfId="19389"/>
    <cellStyle name="Normal 3 60 3 5" xfId="32060"/>
    <cellStyle name="Normal 3 60 4" xfId="8104"/>
    <cellStyle name="Normal 3 60 5" xfId="20947"/>
    <cellStyle name="Normal 3 60 6" xfId="19712"/>
    <cellStyle name="Normal 3 60 7" xfId="31371"/>
    <cellStyle name="Normal 3 61" xfId="1357"/>
    <cellStyle name="Normal 3 61 2" xfId="3814"/>
    <cellStyle name="Normal 3 61 2 2" xfId="10584"/>
    <cellStyle name="Normal 3 61 2 3" xfId="23274"/>
    <cellStyle name="Normal 3 61 2 4" xfId="17275"/>
    <cellStyle name="Normal 3 61 2 5" xfId="27525"/>
    <cellStyle name="Normal 3 61 3" xfId="5785"/>
    <cellStyle name="Normal 3 61 3 2" xfId="12555"/>
    <cellStyle name="Normal 3 61 3 3" xfId="25245"/>
    <cellStyle name="Normal 3 61 3 4" xfId="14945"/>
    <cellStyle name="Normal 3 61 3 5" xfId="31087"/>
    <cellStyle name="Normal 3 61 4" xfId="8127"/>
    <cellStyle name="Normal 3 61 5" xfId="20967"/>
    <cellStyle name="Normal 3 61 6" xfId="13758"/>
    <cellStyle name="Normal 3 61 7" xfId="29292"/>
    <cellStyle name="Normal 3 62" xfId="1380"/>
    <cellStyle name="Normal 3 62 2" xfId="3836"/>
    <cellStyle name="Normal 3 62 2 2" xfId="10606"/>
    <cellStyle name="Normal 3 62 2 3" xfId="23296"/>
    <cellStyle name="Normal 3 62 2 4" xfId="14768"/>
    <cellStyle name="Normal 3 62 2 5" xfId="29442"/>
    <cellStyle name="Normal 3 62 3" xfId="5805"/>
    <cellStyle name="Normal 3 62 3 2" xfId="12575"/>
    <cellStyle name="Normal 3 62 3 3" xfId="25265"/>
    <cellStyle name="Normal 3 62 3 4" xfId="17168"/>
    <cellStyle name="Normal 3 62 3 5" xfId="29939"/>
    <cellStyle name="Normal 3 62 4" xfId="8150"/>
    <cellStyle name="Normal 3 62 5" xfId="20987"/>
    <cellStyle name="Normal 3 62 6" xfId="17541"/>
    <cellStyle name="Normal 3 62 7" xfId="32225"/>
    <cellStyle name="Normal 3 63" xfId="1403"/>
    <cellStyle name="Normal 3 63 2" xfId="3859"/>
    <cellStyle name="Normal 3 63 2 2" xfId="10629"/>
    <cellStyle name="Normal 3 63 2 3" xfId="23319"/>
    <cellStyle name="Normal 3 63 2 4" xfId="16990"/>
    <cellStyle name="Normal 3 63 2 5" xfId="32372"/>
    <cellStyle name="Normal 3 63 3" xfId="5825"/>
    <cellStyle name="Normal 3 63 3 2" xfId="12595"/>
    <cellStyle name="Normal 3 63 3 3" xfId="25285"/>
    <cellStyle name="Normal 3 63 3 4" xfId="18980"/>
    <cellStyle name="Normal 3 63 3 5" xfId="31974"/>
    <cellStyle name="Normal 3 63 4" xfId="8173"/>
    <cellStyle name="Normal 3 63 5" xfId="21007"/>
    <cellStyle name="Normal 3 63 6" xfId="19305"/>
    <cellStyle name="Normal 3 63 7" xfId="27126"/>
    <cellStyle name="Normal 3 64" xfId="1426"/>
    <cellStyle name="Normal 3 64 2" xfId="3880"/>
    <cellStyle name="Normal 3 64 2 2" xfId="10650"/>
    <cellStyle name="Normal 3 64 2 3" xfId="23340"/>
    <cellStyle name="Normal 3 64 2 4" xfId="16837"/>
    <cellStyle name="Normal 3 64 2 5" xfId="27514"/>
    <cellStyle name="Normal 3 64 3" xfId="5845"/>
    <cellStyle name="Normal 3 64 3 2" xfId="12615"/>
    <cellStyle name="Normal 3 64 3 3" xfId="25305"/>
    <cellStyle name="Normal 3 64 3 4" xfId="14550"/>
    <cellStyle name="Normal 3 64 3 5" xfId="30993"/>
    <cellStyle name="Normal 3 64 4" xfId="8196"/>
    <cellStyle name="Normal 3 64 5" xfId="21027"/>
    <cellStyle name="Normal 3 64 6" xfId="14882"/>
    <cellStyle name="Normal 3 64 7" xfId="30095"/>
    <cellStyle name="Normal 3 65" xfId="1449"/>
    <cellStyle name="Normal 3 65 2" xfId="3903"/>
    <cellStyle name="Normal 3 65 2 2" xfId="10673"/>
    <cellStyle name="Normal 3 65 2 3" xfId="23363"/>
    <cellStyle name="Normal 3 65 2 4" xfId="18675"/>
    <cellStyle name="Normal 3 65 2 5" xfId="30625"/>
    <cellStyle name="Normal 3 65 3" xfId="5865"/>
    <cellStyle name="Normal 3 65 3 2" xfId="12635"/>
    <cellStyle name="Normal 3 65 3 3" xfId="25325"/>
    <cellStyle name="Normal 3 65 3 4" xfId="16796"/>
    <cellStyle name="Normal 3 65 3 5" xfId="29850"/>
    <cellStyle name="Normal 3 65 4" xfId="8219"/>
    <cellStyle name="Normal 3 65 5" xfId="21047"/>
    <cellStyle name="Normal 3 65 6" xfId="17084"/>
    <cellStyle name="Normal 3 65 7" xfId="28236"/>
    <cellStyle name="Normal 3 66" xfId="1472"/>
    <cellStyle name="Normal 3 66 2" xfId="3926"/>
    <cellStyle name="Normal 3 66 2 2" xfId="10696"/>
    <cellStyle name="Normal 3 66 2 3" xfId="23386"/>
    <cellStyle name="Normal 3 66 2 4" xfId="14172"/>
    <cellStyle name="Normal 3 66 2 5" xfId="31574"/>
    <cellStyle name="Normal 3 66 3" xfId="5885"/>
    <cellStyle name="Normal 3 66 3 2" xfId="12655"/>
    <cellStyle name="Normal 3 66 3 3" xfId="25345"/>
    <cellStyle name="Normal 3 66 3 4" xfId="18638"/>
    <cellStyle name="Normal 3 66 3 5" xfId="31895"/>
    <cellStyle name="Normal 3 66 4" xfId="8242"/>
    <cellStyle name="Normal 3 66 5" xfId="21067"/>
    <cellStyle name="Normal 3 66 6" xfId="18894"/>
    <cellStyle name="Normal 3 66 7" xfId="31161"/>
    <cellStyle name="Normal 3 67" xfId="1495"/>
    <cellStyle name="Normal 3 67 2" xfId="3949"/>
    <cellStyle name="Normal 3 67 2 2" xfId="10719"/>
    <cellStyle name="Normal 3 67 2 3" xfId="23409"/>
    <cellStyle name="Normal 3 67 2 4" xfId="16374"/>
    <cellStyle name="Normal 3 67 2 5" xfId="27265"/>
    <cellStyle name="Normal 3 67 3" xfId="5905"/>
    <cellStyle name="Normal 3 67 3 2" xfId="12675"/>
    <cellStyle name="Normal 3 67 3 3" xfId="25365"/>
    <cellStyle name="Normal 3 67 3 4" xfId="13599"/>
    <cellStyle name="Normal 3 67 3 5" xfId="30894"/>
    <cellStyle name="Normal 3 67 4" xfId="8265"/>
    <cellStyle name="Normal 3 67 5" xfId="21087"/>
    <cellStyle name="Normal 3 67 6" xfId="14422"/>
    <cellStyle name="Normal 3 67 7" xfId="29104"/>
    <cellStyle name="Normal 3 68" xfId="1518"/>
    <cellStyle name="Normal 3 68 2" xfId="3971"/>
    <cellStyle name="Normal 3 68 2 2" xfId="10741"/>
    <cellStyle name="Normal 3 68 2 3" xfId="23431"/>
    <cellStyle name="Normal 3 68 2 4" xfId="13864"/>
    <cellStyle name="Normal 3 68 2 5" xfId="28405"/>
    <cellStyle name="Normal 3 68 3" xfId="5925"/>
    <cellStyle name="Normal 3 68 3 2" xfId="12695"/>
    <cellStyle name="Normal 3 68 3 3" xfId="25385"/>
    <cellStyle name="Normal 3 68 3 4" xfId="16377"/>
    <cellStyle name="Normal 3 68 3 5" xfId="26854"/>
    <cellStyle name="Normal 3 68 4" xfId="8288"/>
    <cellStyle name="Normal 3 68 5" xfId="21107"/>
    <cellStyle name="Normal 3 68 6" xfId="16624"/>
    <cellStyle name="Normal 3 68 7" xfId="32032"/>
    <cellStyle name="Normal 3 69" xfId="1541"/>
    <cellStyle name="Normal 3 69 2" xfId="3993"/>
    <cellStyle name="Normal 3 69 2 2" xfId="10763"/>
    <cellStyle name="Normal 3 69 2 3" xfId="23453"/>
    <cellStyle name="Normal 3 69 2 4" xfId="20040"/>
    <cellStyle name="Normal 3 69 2 5" xfId="29290"/>
    <cellStyle name="Normal 3 69 3" xfId="5945"/>
    <cellStyle name="Normal 3 69 3 2" xfId="12715"/>
    <cellStyle name="Normal 3 69 3 3" xfId="25405"/>
    <cellStyle name="Normal 3 69 3 4" xfId="18285"/>
    <cellStyle name="Normal 3 69 3 5" xfId="31808"/>
    <cellStyle name="Normal 3 69 4" xfId="8311"/>
    <cellStyle name="Normal 3 69 5" xfId="21127"/>
    <cellStyle name="Normal 3 69 6" xfId="18483"/>
    <cellStyle name="Normal 3 69 7" xfId="26906"/>
    <cellStyle name="Normal 3 7" xfId="122"/>
    <cellStyle name="Normal 3 7 2" xfId="2606"/>
    <cellStyle name="Normal 3 7 2 2" xfId="9376"/>
    <cellStyle name="Normal 3 7 2 3" xfId="22066"/>
    <cellStyle name="Normal 3 7 2 4" xfId="13866"/>
    <cellStyle name="Normal 3 7 2 5" xfId="28932"/>
    <cellStyle name="Normal 3 7 3" xfId="4219"/>
    <cellStyle name="Normal 3 7 3 2" xfId="10989"/>
    <cellStyle name="Normal 3 7 3 3" xfId="23679"/>
    <cellStyle name="Normal 3 7 3 4" xfId="16746"/>
    <cellStyle name="Normal 3 7 3 5" xfId="26848"/>
    <cellStyle name="Normal 3 7 4" xfId="6892"/>
    <cellStyle name="Normal 3 7 5" xfId="15276"/>
    <cellStyle name="Normal 3 7 6" xfId="14818"/>
    <cellStyle name="Normal 3 7 7" xfId="29618"/>
    <cellStyle name="Normal 3 70" xfId="1564"/>
    <cellStyle name="Normal 3 70 2" xfId="4015"/>
    <cellStyle name="Normal 3 70 2 2" xfId="10785"/>
    <cellStyle name="Normal 3 70 2 3" xfId="23475"/>
    <cellStyle name="Normal 3 70 2 4" xfId="18083"/>
    <cellStyle name="Normal 3 70 2 5" xfId="27173"/>
    <cellStyle name="Normal 3 70 3" xfId="5965"/>
    <cellStyle name="Normal 3 70 3 2" xfId="12735"/>
    <cellStyle name="Normal 3 70 3 3" xfId="25425"/>
    <cellStyle name="Normal 3 70 3 4" xfId="13552"/>
    <cellStyle name="Normal 3 70 3 5" xfId="30797"/>
    <cellStyle name="Normal 3 70 4" xfId="8334"/>
    <cellStyle name="Normal 3 70 5" xfId="21147"/>
    <cellStyle name="Normal 3 70 6" xfId="13957"/>
    <cellStyle name="Normal 3 70 7" xfId="29899"/>
    <cellStyle name="Normal 3 71" xfId="1587"/>
    <cellStyle name="Normal 3 71 2" xfId="4037"/>
    <cellStyle name="Normal 3 71 2 2" xfId="10807"/>
    <cellStyle name="Normal 3 71 2 3" xfId="23497"/>
    <cellStyle name="Normal 3 71 2 4" xfId="15553"/>
    <cellStyle name="Normal 3 71 2 5" xfId="28313"/>
    <cellStyle name="Normal 3 71 3" xfId="5985"/>
    <cellStyle name="Normal 3 71 3 2" xfId="12755"/>
    <cellStyle name="Normal 3 71 3 3" xfId="25445"/>
    <cellStyle name="Normal 3 71 3 4" xfId="18109"/>
    <cellStyle name="Normal 3 71 3 5" xfId="29665"/>
    <cellStyle name="Normal 3 71 4" xfId="8357"/>
    <cellStyle name="Normal 3 71 5" xfId="21167"/>
    <cellStyle name="Normal 3 71 6" xfId="15936"/>
    <cellStyle name="Normal 3 71 7" xfId="28012"/>
    <cellStyle name="Normal 3 72" xfId="1610"/>
    <cellStyle name="Normal 3 72 2" xfId="4059"/>
    <cellStyle name="Normal 3 72 2 2" xfId="10829"/>
    <cellStyle name="Normal 3 72 2 3" xfId="23519"/>
    <cellStyle name="Normal 3 72 2 4" xfId="19669"/>
    <cellStyle name="Normal 3 72 2 5" xfId="29202"/>
    <cellStyle name="Normal 3 72 3" xfId="6005"/>
    <cellStyle name="Normal 3 72 3 2" xfId="12775"/>
    <cellStyle name="Normal 3 72 3 3" xfId="25465"/>
    <cellStyle name="Normal 3 72 3 4" xfId="19900"/>
    <cellStyle name="Normal 3 72 3 5" xfId="31715"/>
    <cellStyle name="Normal 3 72 4" xfId="8380"/>
    <cellStyle name="Normal 3 72 5" xfId="21187"/>
    <cellStyle name="Normal 3 72 6" xfId="19974"/>
    <cellStyle name="Normal 3 72 7" xfId="30937"/>
    <cellStyle name="Normal 3 73" xfId="1632"/>
    <cellStyle name="Normal 3 73 2" xfId="4080"/>
    <cellStyle name="Normal 3 73 2 2" xfId="10850"/>
    <cellStyle name="Normal 3 73 2 3" xfId="23540"/>
    <cellStyle name="Normal 3 73 2 4" xfId="19554"/>
    <cellStyle name="Normal 3 73 2 5" xfId="30074"/>
    <cellStyle name="Normal 3 73 3" xfId="6024"/>
    <cellStyle name="Normal 3 73 3 2" xfId="12794"/>
    <cellStyle name="Normal 3 73 3 3" xfId="25484"/>
    <cellStyle name="Normal 3 73 3 4" xfId="17927"/>
    <cellStyle name="Normal 3 73 3 5" xfId="28712"/>
    <cellStyle name="Normal 3 73 4" xfId="8402"/>
    <cellStyle name="Normal 3 73 5" xfId="21206"/>
    <cellStyle name="Normal 3 73 6" xfId="16428"/>
    <cellStyle name="Normal 3 73 7" xfId="31876"/>
    <cellStyle name="Normal 3 74" xfId="1653"/>
    <cellStyle name="Normal 3 74 2" xfId="4101"/>
    <cellStyle name="Normal 3 74 2 2" xfId="10871"/>
    <cellStyle name="Normal 3 74 2 3" xfId="23561"/>
    <cellStyle name="Normal 3 74 2 4" xfId="19414"/>
    <cellStyle name="Normal 3 74 2 5" xfId="29146"/>
    <cellStyle name="Normal 3 74 3" xfId="6042"/>
    <cellStyle name="Normal 3 74 3 2" xfId="12812"/>
    <cellStyle name="Normal 3 74 3 3" xfId="25502"/>
    <cellStyle name="Normal 3 74 3 4" xfId="17824"/>
    <cellStyle name="Normal 3 74 3 5" xfId="28681"/>
    <cellStyle name="Normal 3 74 4" xfId="8423"/>
    <cellStyle name="Normal 3 74 5" xfId="21224"/>
    <cellStyle name="Normal 3 74 6" xfId="18066"/>
    <cellStyle name="Normal 3 74 7" xfId="27906"/>
    <cellStyle name="Normal 3 75" xfId="1670"/>
    <cellStyle name="Normal 3 75 2" xfId="4118"/>
    <cellStyle name="Normal 3 75 2 2" xfId="10888"/>
    <cellStyle name="Normal 3 75 2 3" xfId="23578"/>
    <cellStyle name="Normal 3 75 2 4" xfId="15049"/>
    <cellStyle name="Normal 3 75 2 5" xfId="32085"/>
    <cellStyle name="Normal 3 75 3" xfId="6058"/>
    <cellStyle name="Normal 3 75 3 2" xfId="12828"/>
    <cellStyle name="Normal 3 75 3 3" xfId="25518"/>
    <cellStyle name="Normal 3 75 3 4" xfId="15331"/>
    <cellStyle name="Normal 3 75 3 5" xfId="26302"/>
    <cellStyle name="Normal 3 75 4" xfId="8440"/>
    <cellStyle name="Normal 3 75 5" xfId="21240"/>
    <cellStyle name="Normal 3 75 6" xfId="19803"/>
    <cellStyle name="Normal 3 75 7" xfId="30841"/>
    <cellStyle name="Normal 3 76" xfId="1699"/>
    <cellStyle name="Normal 3 76 2" xfId="4146"/>
    <cellStyle name="Normal 3 76 2 2" xfId="10916"/>
    <cellStyle name="Normal 3 76 2 3" xfId="23606"/>
    <cellStyle name="Normal 3 76 2 4" xfId="19163"/>
    <cellStyle name="Normal 3 76 2 5" xfId="29983"/>
    <cellStyle name="Normal 3 76 3" xfId="6083"/>
    <cellStyle name="Normal 3 76 3 2" xfId="12853"/>
    <cellStyle name="Normal 3 76 3 3" xfId="25543"/>
    <cellStyle name="Normal 3 76 3 4" xfId="19442"/>
    <cellStyle name="Normal 3 76 3 5" xfId="31594"/>
    <cellStyle name="Normal 3 76 4" xfId="8469"/>
    <cellStyle name="Normal 3 76 5" xfId="21265"/>
    <cellStyle name="Normal 3 76 6" xfId="15390"/>
    <cellStyle name="Normal 3 76 7" xfId="28801"/>
    <cellStyle name="Normal 3 77" xfId="1722"/>
    <cellStyle name="Normal 3 77 2" xfId="4167"/>
    <cellStyle name="Normal 3 77 2 2" xfId="10937"/>
    <cellStyle name="Normal 3 77 2 3" xfId="23627"/>
    <cellStyle name="Normal 3 77 2 4" xfId="19025"/>
    <cellStyle name="Normal 3 77 2 5" xfId="29053"/>
    <cellStyle name="Normal 3 77 3" xfId="6103"/>
    <cellStyle name="Normal 3 77 3 2" xfId="12873"/>
    <cellStyle name="Normal 3 77 3 3" xfId="25563"/>
    <cellStyle name="Normal 3 77 3 4" xfId="15058"/>
    <cellStyle name="Normal 3 77 3 5" xfId="30546"/>
    <cellStyle name="Normal 3 77 4" xfId="8492"/>
    <cellStyle name="Normal 3 77 5" xfId="21285"/>
    <cellStyle name="Normal 3 77 6" xfId="17626"/>
    <cellStyle name="Normal 3 77 7" xfId="31736"/>
    <cellStyle name="Normal 3 78" xfId="1745"/>
    <cellStyle name="Normal 3 78 2" xfId="4189"/>
    <cellStyle name="Normal 3 78 2 2" xfId="10959"/>
    <cellStyle name="Normal 3 78 2 3" xfId="23649"/>
    <cellStyle name="Normal 3 78 2 4" xfId="16945"/>
    <cellStyle name="Normal 3 78 2 5" xfId="26891"/>
    <cellStyle name="Normal 3 78 3" xfId="6123"/>
    <cellStyle name="Normal 3 78 3 2" xfId="12893"/>
    <cellStyle name="Normal 3 78 3 3" xfId="25583"/>
    <cellStyle name="Normal 3 78 3 4" xfId="17283"/>
    <cellStyle name="Normal 3 78 3 5" xfId="30379"/>
    <cellStyle name="Normal 3 78 4" xfId="8515"/>
    <cellStyle name="Normal 3 78 5" xfId="21305"/>
    <cellStyle name="Normal 3 78 6" xfId="16272"/>
    <cellStyle name="Normal 3 78 7" xfId="29621"/>
    <cellStyle name="Normal 3 79" xfId="1768"/>
    <cellStyle name="Normal 3 79 2" xfId="4211"/>
    <cellStyle name="Normal 3 79 2 2" xfId="10981"/>
    <cellStyle name="Normal 3 79 2 3" xfId="23671"/>
    <cellStyle name="Normal 3 79 2 4" xfId="14438"/>
    <cellStyle name="Normal 3 79 2 5" xfId="28044"/>
    <cellStyle name="Normal 3 79 3" xfId="6143"/>
    <cellStyle name="Normal 3 79 3 2" xfId="12913"/>
    <cellStyle name="Normal 3 79 3 3" xfId="25603"/>
    <cellStyle name="Normal 3 79 3 4" xfId="19093"/>
    <cellStyle name="Normal 3 79 3 5" xfId="32424"/>
    <cellStyle name="Normal 3 79 4" xfId="8538"/>
    <cellStyle name="Normal 3 79 5" xfId="21325"/>
    <cellStyle name="Normal 3 79 6" xfId="14946"/>
    <cellStyle name="Normal 3 79 7" xfId="27705"/>
    <cellStyle name="Normal 3 8" xfId="145"/>
    <cellStyle name="Normal 3 8 2" xfId="2629"/>
    <cellStyle name="Normal 3 8 2 2" xfId="9399"/>
    <cellStyle name="Normal 3 8 2 3" xfId="22089"/>
    <cellStyle name="Normal 3 8 2 4" xfId="18206"/>
    <cellStyle name="Normal 3 8 2 5" xfId="31863"/>
    <cellStyle name="Normal 3 8 3" xfId="3754"/>
    <cellStyle name="Normal 3 8 3 2" xfId="10524"/>
    <cellStyle name="Normal 3 8 3 3" xfId="23214"/>
    <cellStyle name="Normal 3 8 3 4" xfId="16105"/>
    <cellStyle name="Normal 3 8 3 5" xfId="27616"/>
    <cellStyle name="Normal 3 8 4" xfId="6915"/>
    <cellStyle name="Normal 3 8 5" xfId="14828"/>
    <cellStyle name="Normal 3 8 6" xfId="17016"/>
    <cellStyle name="Normal 3 8 7" xfId="27701"/>
    <cellStyle name="Normal 3 80" xfId="1791"/>
    <cellStyle name="Normal 3 80 2" xfId="4233"/>
    <cellStyle name="Normal 3 80 2 2" xfId="11003"/>
    <cellStyle name="Normal 3 80 2 3" xfId="23693"/>
    <cellStyle name="Normal 3 80 2 4" xfId="18634"/>
    <cellStyle name="Normal 3 80 2 5" xfId="28930"/>
    <cellStyle name="Normal 3 80 3" xfId="6163"/>
    <cellStyle name="Normal 3 80 3 2" xfId="12933"/>
    <cellStyle name="Normal 3 80 3 3" xfId="25623"/>
    <cellStyle name="Normal 3 80 3 4" xfId="13674"/>
    <cellStyle name="Normal 3 80 3 5" xfId="31503"/>
    <cellStyle name="Normal 3 80 4" xfId="8561"/>
    <cellStyle name="Normal 3 80 5" xfId="21345"/>
    <cellStyle name="Normal 3 80 6" xfId="17169"/>
    <cellStyle name="Normal 3 80 7" xfId="30622"/>
    <cellStyle name="Normal 3 81" xfId="1814"/>
    <cellStyle name="Normal 3 81 2" xfId="4256"/>
    <cellStyle name="Normal 3 81 2 2" xfId="11026"/>
    <cellStyle name="Normal 3 81 2 3" xfId="23716"/>
    <cellStyle name="Normal 3 81 2 4" xfId="14125"/>
    <cellStyle name="Normal 3 81 2 5" xfId="31892"/>
    <cellStyle name="Normal 3 81 3" xfId="6183"/>
    <cellStyle name="Normal 3 81 3 2" xfId="12953"/>
    <cellStyle name="Normal 3 81 3 3" xfId="25643"/>
    <cellStyle name="Normal 3 81 3 4" xfId="16889"/>
    <cellStyle name="Normal 3 81 3 5" xfId="30297"/>
    <cellStyle name="Normal 3 81 4" xfId="8584"/>
    <cellStyle name="Normal 3 81 5" xfId="21365"/>
    <cellStyle name="Normal 3 81 6" xfId="18969"/>
    <cellStyle name="Normal 3 81 7" xfId="29368"/>
    <cellStyle name="Normal 3 82" xfId="1837"/>
    <cellStyle name="Normal 3 82 2" xfId="4279"/>
    <cellStyle name="Normal 3 82 2 2" xfId="11049"/>
    <cellStyle name="Normal 3 82 2 3" xfId="23739"/>
    <cellStyle name="Normal 3 82 2 4" xfId="16350"/>
    <cellStyle name="Normal 3 82 2 5" xfId="26760"/>
    <cellStyle name="Normal 3 82 3" xfId="6203"/>
    <cellStyle name="Normal 3 82 3 2" xfId="12973"/>
    <cellStyle name="Normal 3 82 3 3" xfId="25663"/>
    <cellStyle name="Normal 3 82 3 4" xfId="18741"/>
    <cellStyle name="Normal 3 82 3 5" xfId="32338"/>
    <cellStyle name="Normal 3 82 4" xfId="8607"/>
    <cellStyle name="Normal 3 82 5" xfId="21385"/>
    <cellStyle name="Normal 3 82 6" xfId="14484"/>
    <cellStyle name="Normal 3 82 7" xfId="32301"/>
    <cellStyle name="Normal 3 83" xfId="1860"/>
    <cellStyle name="Normal 3 83 2" xfId="4301"/>
    <cellStyle name="Normal 3 83 2 2" xfId="11071"/>
    <cellStyle name="Normal 3 83 2 3" xfId="23761"/>
    <cellStyle name="Normal 3 83 2 4" xfId="13574"/>
    <cellStyle name="Normal 3 83 2 5" xfId="27893"/>
    <cellStyle name="Normal 3 83 3" xfId="6223"/>
    <cellStyle name="Normal 3 83 3 2" xfId="12993"/>
    <cellStyle name="Normal 3 83 3 3" xfId="25683"/>
    <cellStyle name="Normal 3 83 3 4" xfId="14246"/>
    <cellStyle name="Normal 3 83 3 5" xfId="31401"/>
    <cellStyle name="Normal 3 83 4" xfId="8630"/>
    <cellStyle name="Normal 3 83 5" xfId="21405"/>
    <cellStyle name="Normal 3 83 6" xfId="16708"/>
    <cellStyle name="Normal 3 83 7" xfId="27212"/>
    <cellStyle name="Normal 3 84" xfId="1883"/>
    <cellStyle name="Normal 3 84 2" xfId="4323"/>
    <cellStyle name="Normal 3 84 2 2" xfId="11093"/>
    <cellStyle name="Normal 3 84 2 3" xfId="23783"/>
    <cellStyle name="Normal 3 84 2 4" xfId="20001"/>
    <cellStyle name="Normal 3 84 2 5" xfId="28821"/>
    <cellStyle name="Normal 3 84 3" xfId="6243"/>
    <cellStyle name="Normal 3 84 3 2" xfId="13013"/>
    <cellStyle name="Normal 3 84 3 3" xfId="25703"/>
    <cellStyle name="Normal 3 84 3 4" xfId="16444"/>
    <cellStyle name="Normal 3 84 3 5" xfId="27280"/>
    <cellStyle name="Normal 3 84 4" xfId="8653"/>
    <cellStyle name="Normal 3 84 5" xfId="21425"/>
    <cellStyle name="Normal 3 84 6" xfId="18560"/>
    <cellStyle name="Normal 3 84 7" xfId="30173"/>
    <cellStyle name="Normal 3 85" xfId="1906"/>
    <cellStyle name="Normal 3 85 2" xfId="4345"/>
    <cellStyle name="Normal 3 85 2 2" xfId="11115"/>
    <cellStyle name="Normal 3 85 2 3" xfId="23805"/>
    <cellStyle name="Normal 3 85 2 4" xfId="18041"/>
    <cellStyle name="Normal 3 85 2 5" xfId="27288"/>
    <cellStyle name="Normal 3 85 3" xfId="6263"/>
    <cellStyle name="Normal 3 85 3 2" xfId="13033"/>
    <cellStyle name="Normal 3 85 3 3" xfId="25723"/>
    <cellStyle name="Normal 3 85 3 4" xfId="8986"/>
    <cellStyle name="Normal 3 85 3 5" xfId="32261"/>
    <cellStyle name="Normal 3 85 4" xfId="8676"/>
    <cellStyle name="Normal 3 85 5" xfId="21445"/>
    <cellStyle name="Normal 3 85 6" xfId="14021"/>
    <cellStyle name="Normal 3 85 7" xfId="28323"/>
    <cellStyle name="Normal 3 86" xfId="1928"/>
    <cellStyle name="Normal 3 86 2" xfId="4366"/>
    <cellStyle name="Normal 3 86 2 2" xfId="11136"/>
    <cellStyle name="Normal 3 86 2 3" xfId="23826"/>
    <cellStyle name="Normal 3 86 2 4" xfId="17898"/>
    <cellStyle name="Normal 3 86 2 5" xfId="31393"/>
    <cellStyle name="Normal 3 86 3" xfId="6282"/>
    <cellStyle name="Normal 3 86 3 2" xfId="13052"/>
    <cellStyle name="Normal 3 86 3 3" xfId="25742"/>
    <cellStyle name="Normal 3 86 3 4" xfId="8581"/>
    <cellStyle name="Normal 3 86 3 5" xfId="29271"/>
    <cellStyle name="Normal 3 86 4" xfId="8698"/>
    <cellStyle name="Normal 3 86 5" xfId="21464"/>
    <cellStyle name="Normal 3 86 6" xfId="18286"/>
    <cellStyle name="Normal 3 86 7" xfId="29212"/>
    <cellStyle name="Normal 3 87" xfId="1950"/>
    <cellStyle name="Normal 3 87 2" xfId="4387"/>
    <cellStyle name="Normal 3 87 2 2" xfId="11157"/>
    <cellStyle name="Normal 3 87 2 3" xfId="23847"/>
    <cellStyle name="Normal 3 87 2 4" xfId="17772"/>
    <cellStyle name="Normal 3 87 2 5" xfId="26362"/>
    <cellStyle name="Normal 3 87 3" xfId="6301"/>
    <cellStyle name="Normal 3 87 3 2" xfId="13071"/>
    <cellStyle name="Normal 3 87 3 3" xfId="25761"/>
    <cellStyle name="Normal 3 87 3 4" xfId="8193"/>
    <cellStyle name="Normal 3 87 3 5" xfId="31289"/>
    <cellStyle name="Normal 3 87 4" xfId="8720"/>
    <cellStyle name="Normal 3 87 5" xfId="21483"/>
    <cellStyle name="Normal 3 87 6" xfId="18233"/>
    <cellStyle name="Normal 3 87 7" xfId="27083"/>
    <cellStyle name="Normal 3 88" xfId="1973"/>
    <cellStyle name="Normal 3 88 2" xfId="4410"/>
    <cellStyle name="Normal 3 88 2 2" xfId="11180"/>
    <cellStyle name="Normal 3 88 2 3" xfId="23870"/>
    <cellStyle name="Normal 3 88 2 4" xfId="19513"/>
    <cellStyle name="Normal 3 88 2 5" xfId="30178"/>
    <cellStyle name="Normal 3 88 3" xfId="6321"/>
    <cellStyle name="Normal 3 88 3 2" xfId="13091"/>
    <cellStyle name="Normal 3 88 3 3" xfId="25781"/>
    <cellStyle name="Normal 3 88 3 4" xfId="7783"/>
    <cellStyle name="Normal 3 88 3 5" xfId="30117"/>
    <cellStyle name="Normal 3 88 4" xfId="8743"/>
    <cellStyle name="Normal 3 88 5" xfId="21503"/>
    <cellStyle name="Normal 3 88 6" xfId="18330"/>
    <cellStyle name="Normal 3 88 7" xfId="30046"/>
    <cellStyle name="Normal 3 89" xfId="1996"/>
    <cellStyle name="Normal 3 89 2" xfId="4432"/>
    <cellStyle name="Normal 3 89 2 2" xfId="11202"/>
    <cellStyle name="Normal 3 89 2 3" xfId="23892"/>
    <cellStyle name="Normal 3 89 2 4" xfId="17468"/>
    <cellStyle name="Normal 3 89 2 5" xfId="31300"/>
    <cellStyle name="Normal 3 89 3" xfId="6341"/>
    <cellStyle name="Normal 3 89 3 2" xfId="13111"/>
    <cellStyle name="Normal 3 89 3 3" xfId="25801"/>
    <cellStyle name="Normal 3 89 3 4" xfId="7403"/>
    <cellStyle name="Normal 3 89 3 5" xfId="32153"/>
    <cellStyle name="Normal 3 89 4" xfId="8766"/>
    <cellStyle name="Normal 3 89 5" xfId="21523"/>
    <cellStyle name="Normal 3 89 6" xfId="13547"/>
    <cellStyle name="Normal 3 89 7" xfId="28183"/>
    <cellStyle name="Normal 3 9" xfId="168"/>
    <cellStyle name="Normal 3 9 2" xfId="2651"/>
    <cellStyle name="Normal 3 9 2 2" xfId="9421"/>
    <cellStyle name="Normal 3 9 2 3" xfId="22111"/>
    <cellStyle name="Normal 3 9 2 4" xfId="14362"/>
    <cellStyle name="Normal 3 9 2 5" xfId="26928"/>
    <cellStyle name="Normal 3 9 3" xfId="3286"/>
    <cellStyle name="Normal 3 9 3 2" xfId="10056"/>
    <cellStyle name="Normal 3 9 3 3" xfId="22746"/>
    <cellStyle name="Normal 3 9 3 4" xfId="16492"/>
    <cellStyle name="Normal 3 9 3 5" xfId="28008"/>
    <cellStyle name="Normal 3 9 4" xfId="6938"/>
    <cellStyle name="Normal 3 9 5" xfId="14370"/>
    <cellStyle name="Normal 3 9 6" xfId="18838"/>
    <cellStyle name="Normal 3 9 7" xfId="30619"/>
    <cellStyle name="Normal 3 90" xfId="2018"/>
    <cellStyle name="Normal 3 90 2" xfId="4454"/>
    <cellStyle name="Normal 3 90 2 2" xfId="11224"/>
    <cellStyle name="Normal 3 90 2 3" xfId="23914"/>
    <cellStyle name="Normal 3 90 2 4" xfId="14962"/>
    <cellStyle name="Normal 3 90 2 5" xfId="30595"/>
    <cellStyle name="Normal 3 90 3" xfId="6360"/>
    <cellStyle name="Normal 3 90 3 2" xfId="13130"/>
    <cellStyle name="Normal 3 90 3 3" xfId="25820"/>
    <cellStyle name="Normal 3 90 3 4" xfId="7036"/>
    <cellStyle name="Normal 3 90 3 5" xfId="29161"/>
    <cellStyle name="Normal 3 90 4" xfId="8788"/>
    <cellStyle name="Normal 3 90 5" xfId="21542"/>
    <cellStyle name="Normal 3 90 6" xfId="19995"/>
    <cellStyle name="Normal 3 90 7" xfId="29093"/>
    <cellStyle name="Normal 3 91" xfId="2041"/>
    <cellStyle name="Normal 3 91 2" xfId="4476"/>
    <cellStyle name="Normal 3 91 2 2" xfId="11246"/>
    <cellStyle name="Normal 3 91 2 3" xfId="23936"/>
    <cellStyle name="Normal 3 91 2 4" xfId="19122"/>
    <cellStyle name="Normal 3 91 2 5" xfId="30090"/>
    <cellStyle name="Normal 3 91 3" xfId="6380"/>
    <cellStyle name="Normal 3 91 3 2" xfId="13150"/>
    <cellStyle name="Normal 3 91 3 3" xfId="25840"/>
    <cellStyle name="Normal 3 91 3 4" xfId="16291"/>
    <cellStyle name="Normal 3 91 3 5" xfId="27506"/>
    <cellStyle name="Normal 3 91 4" xfId="8811"/>
    <cellStyle name="Normal 3 91 5" xfId="21562"/>
    <cellStyle name="Normal 3 91 6" xfId="13920"/>
    <cellStyle name="Normal 3 91 7" xfId="32021"/>
    <cellStyle name="Normal 3 92" xfId="2064"/>
    <cellStyle name="Normal 3 92 2" xfId="4498"/>
    <cellStyle name="Normal 3 92 2 2" xfId="11268"/>
    <cellStyle name="Normal 3 92 2 3" xfId="23958"/>
    <cellStyle name="Normal 3 92 2 4" xfId="17029"/>
    <cellStyle name="Normal 3 92 2 5" xfId="31199"/>
    <cellStyle name="Normal 3 92 3" xfId="6400"/>
    <cellStyle name="Normal 3 92 3 2" xfId="13170"/>
    <cellStyle name="Normal 3 92 3 3" xfId="25860"/>
    <cellStyle name="Normal 3 92 3 4" xfId="20079"/>
    <cellStyle name="Normal 3 92 3 5" xfId="26998"/>
    <cellStyle name="Normal 3 92 4" xfId="8834"/>
    <cellStyle name="Normal 3 92 5" xfId="21582"/>
    <cellStyle name="Normal 3 92 6" xfId="15904"/>
    <cellStyle name="Normal 3 92 7" xfId="26311"/>
    <cellStyle name="Normal 3 93" xfId="2087"/>
    <cellStyle name="Normal 3 93 2" xfId="4519"/>
    <cellStyle name="Normal 3 93 2 2" xfId="11289"/>
    <cellStyle name="Normal 3 93 2 3" xfId="23979"/>
    <cellStyle name="Normal 3 93 2 4" xfId="16900"/>
    <cellStyle name="Normal 3 93 2 5" xfId="26338"/>
    <cellStyle name="Normal 3 93 3" xfId="6420"/>
    <cellStyle name="Normal 3 93 3 2" xfId="13190"/>
    <cellStyle name="Normal 3 93 3 3" xfId="25880"/>
    <cellStyle name="Normal 3 93 3 4" xfId="15747"/>
    <cellStyle name="Normal 3 93 3 5" xfId="29078"/>
    <cellStyle name="Normal 3 93 4" xfId="8857"/>
    <cellStyle name="Normal 3 93 5" xfId="21602"/>
    <cellStyle name="Normal 3 93 6" xfId="19979"/>
    <cellStyle name="Normal 3 93 7" xfId="29888"/>
    <cellStyle name="Normal 3 94" xfId="2110"/>
    <cellStyle name="Normal 3 94 2" xfId="4541"/>
    <cellStyle name="Normal 3 94 2 2" xfId="11311"/>
    <cellStyle name="Normal 3 94 2 3" xfId="24001"/>
    <cellStyle name="Normal 3 94 2 4" xfId="14394"/>
    <cellStyle name="Normal 3 94 2 5" xfId="28168"/>
    <cellStyle name="Normal 3 94 3" xfId="6440"/>
    <cellStyle name="Normal 3 94 3 2" xfId="13210"/>
    <cellStyle name="Normal 3 94 3 3" xfId="25900"/>
    <cellStyle name="Normal 3 94 3 4" xfId="19887"/>
    <cellStyle name="Normal 3 94 3 5" xfId="28105"/>
    <cellStyle name="Normal 3 94 4" xfId="8880"/>
    <cellStyle name="Normal 3 94 5" xfId="21622"/>
    <cellStyle name="Normal 3 94 6" xfId="14033"/>
    <cellStyle name="Normal 3 94 7" xfId="27996"/>
    <cellStyle name="Normal 3 95" xfId="2132"/>
    <cellStyle name="Normal 3 95 2" xfId="4561"/>
    <cellStyle name="Normal 3 95 2 2" xfId="11331"/>
    <cellStyle name="Normal 3 95 2 3" xfId="24021"/>
    <cellStyle name="Normal 3 95 2 4" xfId="16617"/>
    <cellStyle name="Normal 3 95 2 5" xfId="26953"/>
    <cellStyle name="Normal 3 95 3" xfId="6459"/>
    <cellStyle name="Normal 3 95 3 2" xfId="13229"/>
    <cellStyle name="Normal 3 95 3 3" xfId="25919"/>
    <cellStyle name="Normal 3 95 3 4" xfId="17912"/>
    <cellStyle name="Normal 3 95 3 5" xfId="29922"/>
    <cellStyle name="Normal 3 95 4" xfId="8902"/>
    <cellStyle name="Normal 3 95 5" xfId="21641"/>
    <cellStyle name="Normal 3 95 6" xfId="15634"/>
    <cellStyle name="Normal 3 95 7" xfId="28465"/>
    <cellStyle name="Normal 3 96" xfId="2152"/>
    <cellStyle name="Normal 3 96 2" xfId="4580"/>
    <cellStyle name="Normal 3 96 2 2" xfId="11350"/>
    <cellStyle name="Normal 3 96 2 3" xfId="24040"/>
    <cellStyle name="Normal 3 96 2 4" xfId="14124"/>
    <cellStyle name="Normal 3 96 2 5" xfId="32008"/>
    <cellStyle name="Normal 3 96 3" xfId="6477"/>
    <cellStyle name="Normal 3 96 3 2" xfId="13247"/>
    <cellStyle name="Normal 3 96 3 3" xfId="25937"/>
    <cellStyle name="Normal 3 96 3 4" xfId="17808"/>
    <cellStyle name="Normal 3 96 3 5" xfId="29893"/>
    <cellStyle name="Normal 3 96 4" xfId="8922"/>
    <cellStyle name="Normal 3 96 5" xfId="21659"/>
    <cellStyle name="Normal 3 96 6" xfId="17888"/>
    <cellStyle name="Normal 3 96 7" xfId="27935"/>
    <cellStyle name="Normal 3 97" xfId="2170"/>
    <cellStyle name="Normal 3 97 2" xfId="4597"/>
    <cellStyle name="Normal 3 97 2 2" xfId="11367"/>
    <cellStyle name="Normal 3 97 2 3" xfId="24057"/>
    <cellStyle name="Normal 3 97 2 4" xfId="16372"/>
    <cellStyle name="Normal 3 97 2 5" xfId="26900"/>
    <cellStyle name="Normal 3 97 3" xfId="6493"/>
    <cellStyle name="Normal 3 97 3 2" xfId="13263"/>
    <cellStyle name="Normal 3 97 3 3" xfId="25953"/>
    <cellStyle name="Normal 3 97 3 4" xfId="13765"/>
    <cellStyle name="Normal 3 97 3 5" xfId="30985"/>
    <cellStyle name="Normal 3 97 4" xfId="8940"/>
    <cellStyle name="Normal 3 97 5" xfId="21675"/>
    <cellStyle name="Normal 3 97 6" xfId="17782"/>
    <cellStyle name="Normal 3 97 7" xfId="27904"/>
    <cellStyle name="Normal 3 98" xfId="2190"/>
    <cellStyle name="Normal 3 98 2" xfId="4615"/>
    <cellStyle name="Normal 3 98 2 2" xfId="11385"/>
    <cellStyle name="Normal 3 98 2 3" xfId="24075"/>
    <cellStyle name="Normal 3 98 2 4" xfId="16259"/>
    <cellStyle name="Normal 3 98 2 5" xfId="26866"/>
    <cellStyle name="Normal 3 98 3" xfId="6511"/>
    <cellStyle name="Normal 3 98 3 2" xfId="13281"/>
    <cellStyle name="Normal 3 98 3 3" xfId="25971"/>
    <cellStyle name="Normal 3 98 3 4" xfId="15210"/>
    <cellStyle name="Normal 3 98 3 5" xfId="30450"/>
    <cellStyle name="Normal 3 98 4" xfId="8960"/>
    <cellStyle name="Normal 3 98 5" xfId="21693"/>
    <cellStyle name="Normal 3 98 6" xfId="19523"/>
    <cellStyle name="Normal 3 98 7" xfId="26700"/>
    <cellStyle name="Normal 3 99" xfId="2213"/>
    <cellStyle name="Normal 3 99 2" xfId="4637"/>
    <cellStyle name="Normal 3 99 2 2" xfId="11407"/>
    <cellStyle name="Normal 3 99 2 3" xfId="24097"/>
    <cellStyle name="Normal 3 99 2 4" xfId="15860"/>
    <cellStyle name="Normal 3 99 2 5" xfId="28007"/>
    <cellStyle name="Normal 3 99 3" xfId="6531"/>
    <cellStyle name="Normal 3 99 3 2" xfId="13301"/>
    <cellStyle name="Normal 3 99 3 3" xfId="25991"/>
    <cellStyle name="Normal 3 99 3 4" xfId="17463"/>
    <cellStyle name="Normal 3 99 3 5" xfId="29815"/>
    <cellStyle name="Normal 3 99 4" xfId="8983"/>
    <cellStyle name="Normal 3 99 5" xfId="21713"/>
    <cellStyle name="Normal 3 99 6" xfId="15116"/>
    <cellStyle name="Normal 3 99 7" xfId="29703"/>
    <cellStyle name="Normal 30" xfId="359"/>
    <cellStyle name="Normal 30 2" xfId="2835"/>
    <cellStyle name="Normal 30 2 2" xfId="9605"/>
    <cellStyle name="Normal 30 2 3" xfId="22295"/>
    <cellStyle name="Normal 30 2 4" xfId="8609"/>
    <cellStyle name="Normal 30 2 5" xfId="30527"/>
    <cellStyle name="Normal 30 3" xfId="4918"/>
    <cellStyle name="Normal 30 3 2" xfId="11688"/>
    <cellStyle name="Normal 30 3 3" xfId="24378"/>
    <cellStyle name="Normal 30 3 4" xfId="16570"/>
    <cellStyle name="Normal 30 3 5" xfId="31544"/>
    <cellStyle name="Normal 30 4" xfId="7129"/>
    <cellStyle name="Normal 30 5" xfId="20100"/>
    <cellStyle name="Normal 30 6" xfId="15021"/>
    <cellStyle name="Normal 30 7" xfId="29159"/>
    <cellStyle name="Normal 31" xfId="382"/>
    <cellStyle name="Normal 31 2" xfId="2858"/>
    <cellStyle name="Normal 31 2 2" xfId="9628"/>
    <cellStyle name="Normal 31 2 3" xfId="22318"/>
    <cellStyle name="Normal 31 2 4" xfId="8129"/>
    <cellStyle name="Normal 31 2 5" xfId="29472"/>
    <cellStyle name="Normal 31 3" xfId="4938"/>
    <cellStyle name="Normal 31 3 2" xfId="11708"/>
    <cellStyle name="Normal 31 3 3" xfId="24398"/>
    <cellStyle name="Normal 31 3 4" xfId="18437"/>
    <cellStyle name="Normal 31 3 5" xfId="30333"/>
    <cellStyle name="Normal 31 4" xfId="7152"/>
    <cellStyle name="Normal 31 5" xfId="20120"/>
    <cellStyle name="Normal 31 6" xfId="17245"/>
    <cellStyle name="Normal 31 7" xfId="32097"/>
    <cellStyle name="Normal 32" xfId="405"/>
    <cellStyle name="Normal 32 2" xfId="2881"/>
    <cellStyle name="Normal 32 2 2" xfId="9651"/>
    <cellStyle name="Normal 32 2 3" xfId="22341"/>
    <cellStyle name="Normal 32 2 4" xfId="7651"/>
    <cellStyle name="Normal 32 2 5" xfId="32403"/>
    <cellStyle name="Normal 32 3" xfId="4958"/>
    <cellStyle name="Normal 32 3 2" xfId="11728"/>
    <cellStyle name="Normal 32 3 3" xfId="24418"/>
    <cellStyle name="Normal 32 3 4" xfId="13928"/>
    <cellStyle name="Normal 32 3 5" xfId="32375"/>
    <cellStyle name="Normal 32 4" xfId="7175"/>
    <cellStyle name="Normal 32 5" xfId="20140"/>
    <cellStyle name="Normal 32 6" xfId="19019"/>
    <cellStyle name="Normal 32 7" xfId="26986"/>
    <cellStyle name="Normal 33" xfId="2495"/>
    <cellStyle name="Normal 34" xfId="450"/>
    <cellStyle name="Normal 34 2" xfId="2925"/>
    <cellStyle name="Normal 34 2 2" xfId="9695"/>
    <cellStyle name="Normal 34 2 3" xfId="22385"/>
    <cellStyle name="Normal 34 2 4" xfId="8523"/>
    <cellStyle name="Normal 34 2 5" xfId="30681"/>
    <cellStyle name="Normal 34 3" xfId="4997"/>
    <cellStyle name="Normal 34 3 2" xfId="11767"/>
    <cellStyle name="Normal 34 3 3" xfId="24457"/>
    <cellStyle name="Normal 34 3 4" xfId="15778"/>
    <cellStyle name="Normal 34 3 5" xfId="27805"/>
    <cellStyle name="Normal 34 4" xfId="7220"/>
    <cellStyle name="Normal 34 5" xfId="20179"/>
    <cellStyle name="Normal 34 6" xfId="18767"/>
    <cellStyle name="Normal 34 7" xfId="31057"/>
    <cellStyle name="Normal 35" xfId="473"/>
    <cellStyle name="Normal 35 2" xfId="2948"/>
    <cellStyle name="Normal 35 2 2" xfId="9718"/>
    <cellStyle name="Normal 35 2 3" xfId="22408"/>
    <cellStyle name="Normal 35 2 4" xfId="8043"/>
    <cellStyle name="Normal 35 2 5" xfId="28656"/>
    <cellStyle name="Normal 35 3" xfId="5017"/>
    <cellStyle name="Normal 35 3 2" xfId="11787"/>
    <cellStyle name="Normal 35 3 3" xfId="24477"/>
    <cellStyle name="Normal 35 3 4" xfId="6788"/>
    <cellStyle name="Normal 35 3 5" xfId="26595"/>
    <cellStyle name="Normal 35 4" xfId="7243"/>
    <cellStyle name="Normal 35 5" xfId="20199"/>
    <cellStyle name="Normal 35 6" xfId="14254"/>
    <cellStyle name="Normal 35 7" xfId="29000"/>
    <cellStyle name="Normal 36" xfId="496"/>
    <cellStyle name="Normal 36 2" xfId="2971"/>
    <cellStyle name="Normal 36 2 2" xfId="9741"/>
    <cellStyle name="Normal 36 2 3" xfId="22431"/>
    <cellStyle name="Normal 36 2 4" xfId="7565"/>
    <cellStyle name="Normal 36 2 5" xfId="32367"/>
    <cellStyle name="Normal 36 3" xfId="5037"/>
    <cellStyle name="Normal 36 3 2" xfId="11807"/>
    <cellStyle name="Normal 36 3 3" xfId="24497"/>
    <cellStyle name="Normal 36 3 4" xfId="19759"/>
    <cellStyle name="Normal 36 3 5" xfId="31651"/>
    <cellStyle name="Normal 36 4" xfId="7266"/>
    <cellStyle name="Normal 36 5" xfId="20219"/>
    <cellStyle name="Normal 36 6" xfId="16475"/>
    <cellStyle name="Normal 36 7" xfId="31930"/>
    <cellStyle name="Normal 37" xfId="519"/>
    <cellStyle name="Normal 37 2" xfId="2994"/>
    <cellStyle name="Normal 37 2 2" xfId="9764"/>
    <cellStyle name="Normal 37 2 3" xfId="22454"/>
    <cellStyle name="Normal 37 2 4" xfId="7084"/>
    <cellStyle name="Normal 37 2 5" xfId="27282"/>
    <cellStyle name="Normal 37 3" xfId="5057"/>
    <cellStyle name="Normal 37 3 2" xfId="11827"/>
    <cellStyle name="Normal 37 3 3" xfId="24517"/>
    <cellStyle name="Normal 37 3 4" xfId="15403"/>
    <cellStyle name="Normal 37 3 5" xfId="30657"/>
    <cellStyle name="Normal 37 4" xfId="7289"/>
    <cellStyle name="Normal 37 5" xfId="20239"/>
    <cellStyle name="Normal 37 6" xfId="18353"/>
    <cellStyle name="Normal 37 7" xfId="26802"/>
    <cellStyle name="Normal 38" xfId="542"/>
    <cellStyle name="Normal 38 2" xfId="3015"/>
    <cellStyle name="Normal 38 2 2" xfId="9785"/>
    <cellStyle name="Normal 38 2 3" xfId="22475"/>
    <cellStyle name="Normal 38 2 4" xfId="7060"/>
    <cellStyle name="Normal 38 2 5" xfId="31394"/>
    <cellStyle name="Normal 38 3" xfId="5077"/>
    <cellStyle name="Normal 38 3 2" xfId="11847"/>
    <cellStyle name="Normal 38 3 3" xfId="24537"/>
    <cellStyle name="Normal 38 3 4" xfId="17641"/>
    <cellStyle name="Normal 38 3 5" xfId="29531"/>
    <cellStyle name="Normal 38 4" xfId="7312"/>
    <cellStyle name="Normal 38 5" xfId="20259"/>
    <cellStyle name="Normal 38 6" xfId="15903"/>
    <cellStyle name="Normal 38 7" xfId="29794"/>
    <cellStyle name="Normal 38 8" xfId="34060"/>
    <cellStyle name="Normal 39" xfId="565"/>
    <cellStyle name="Normal 39 2" xfId="3038"/>
    <cellStyle name="Normal 39 2 2" xfId="9808"/>
    <cellStyle name="Normal 39 2 3" xfId="22498"/>
    <cellStyle name="Normal 39 2 4" xfId="13587"/>
    <cellStyle name="Normal 39 2 5" xfId="29313"/>
    <cellStyle name="Normal 39 3" xfId="5097"/>
    <cellStyle name="Normal 39 3 2" xfId="11867"/>
    <cellStyle name="Normal 39 3 3" xfId="24557"/>
    <cellStyle name="Normal 39 3 4" xfId="19411"/>
    <cellStyle name="Normal 39 3 5" xfId="26445"/>
    <cellStyle name="Normal 39 4" xfId="7335"/>
    <cellStyle name="Normal 39 5" xfId="20279"/>
    <cellStyle name="Normal 39 6" xfId="18141"/>
    <cellStyle name="Normal 39 7" xfId="27897"/>
    <cellStyle name="Normal 4" xfId="3"/>
    <cellStyle name="Normal 4 10" xfId="217"/>
    <cellStyle name="Normal 4 10 2" xfId="2696"/>
    <cellStyle name="Normal 4 10 2 2" xfId="9466"/>
    <cellStyle name="Normal 4 10 2 3" xfId="22156"/>
    <cellStyle name="Normal 4 10 2 4" xfId="16405"/>
    <cellStyle name="Normal 4 10 2 5" xfId="28789"/>
    <cellStyle name="Normal 4 10 3" xfId="4858"/>
    <cellStyle name="Normal 4 10 3 2" xfId="11628"/>
    <cellStyle name="Normal 4 10 3 3" xfId="24318"/>
    <cellStyle name="Normal 4 10 3 4" xfId="16965"/>
    <cellStyle name="Normal 4 10 3 5" xfId="30602"/>
    <cellStyle name="Normal 4 10 4" xfId="6987"/>
    <cellStyle name="Normal 4 10 5" xfId="15889"/>
    <cellStyle name="Normal 4 10 6" xfId="15951"/>
    <cellStyle name="Normal 4 10 7" xfId="28435"/>
    <cellStyle name="Normal 4 100" xfId="2272"/>
    <cellStyle name="Normal 4 100 2" xfId="4693"/>
    <cellStyle name="Normal 4 100 2 2" xfId="11463"/>
    <cellStyle name="Normal 4 100 2 3" xfId="24153"/>
    <cellStyle name="Normal 4 100 2 4" xfId="18040"/>
    <cellStyle name="Normal 4 100 2 5" xfId="26747"/>
    <cellStyle name="Normal 4 100 3" xfId="6578"/>
    <cellStyle name="Normal 4 100 3 2" xfId="13348"/>
    <cellStyle name="Normal 4 100 3 3" xfId="26038"/>
    <cellStyle name="Normal 4 100 3 4" xfId="19078"/>
    <cellStyle name="Normal 4 100 3 5" xfId="27471"/>
    <cellStyle name="Normal 4 100 4" xfId="9042"/>
    <cellStyle name="Normal 4 100 5" xfId="21760"/>
    <cellStyle name="Normal 4 100 6" xfId="17109"/>
    <cellStyle name="Normal 4 100 7" xfId="28478"/>
    <cellStyle name="Normal 4 101" xfId="2294"/>
    <cellStyle name="Normal 4 101 2" xfId="4715"/>
    <cellStyle name="Normal 4 101 2 2" xfId="11485"/>
    <cellStyle name="Normal 4 101 2 3" xfId="24175"/>
    <cellStyle name="Normal 4 101 2 4" xfId="13770"/>
    <cellStyle name="Normal 4 101 2 5" xfId="27877"/>
    <cellStyle name="Normal 4 101 3" xfId="6597"/>
    <cellStyle name="Normal 4 101 3 2" xfId="13367"/>
    <cellStyle name="Normal 4 101 3 3" xfId="26057"/>
    <cellStyle name="Normal 4 101 3 4" xfId="17023"/>
    <cellStyle name="Normal 4 101 3 5" xfId="29718"/>
    <cellStyle name="Normal 4 101 4" xfId="9064"/>
    <cellStyle name="Normal 4 101 5" xfId="21779"/>
    <cellStyle name="Normal 4 101 6" xfId="13592"/>
    <cellStyle name="Normal 4 101 7" xfId="29356"/>
    <cellStyle name="Normal 4 102" xfId="2316"/>
    <cellStyle name="Normal 4 102 2" xfId="4737"/>
    <cellStyle name="Normal 4 102 2 2" xfId="11507"/>
    <cellStyle name="Normal 4 102 2 3" xfId="24197"/>
    <cellStyle name="Normal 4 102 2 4" xfId="19629"/>
    <cellStyle name="Normal 4 102 2 5" xfId="28817"/>
    <cellStyle name="Normal 4 102 3" xfId="6616"/>
    <cellStyle name="Normal 4 102 3 2" xfId="13386"/>
    <cellStyle name="Normal 4 102 3 3" xfId="26076"/>
    <cellStyle name="Normal 4 102 3 4" xfId="14517"/>
    <cellStyle name="Normal 4 102 3 5" xfId="26649"/>
    <cellStyle name="Normal 4 102 4" xfId="9086"/>
    <cellStyle name="Normal 4 102 5" xfId="21798"/>
    <cellStyle name="Normal 4 102 6" xfId="18783"/>
    <cellStyle name="Normal 4 102 7" xfId="27238"/>
    <cellStyle name="Normal 4 103" xfId="2338"/>
    <cellStyle name="Normal 4 103 2" xfId="4759"/>
    <cellStyle name="Normal 4 103 2 2" xfId="11529"/>
    <cellStyle name="Normal 4 103 2 3" xfId="24219"/>
    <cellStyle name="Normal 4 103 2 4" xfId="17619"/>
    <cellStyle name="Normal 4 103 2 5" xfId="26639"/>
    <cellStyle name="Normal 4 103 3" xfId="6635"/>
    <cellStyle name="Normal 4 103 3 2" xfId="13405"/>
    <cellStyle name="Normal 4 103 3 3" xfId="26095"/>
    <cellStyle name="Normal 4 103 3 4" xfId="18746"/>
    <cellStyle name="Normal 4 103 3 5" xfId="31729"/>
    <cellStyle name="Normal 4 103 4" xfId="9108"/>
    <cellStyle name="Normal 4 103 5" xfId="21817"/>
    <cellStyle name="Normal 4 103 6" xfId="18003"/>
    <cellStyle name="Normal 4 103 7" xfId="28384"/>
    <cellStyle name="Normal 4 104" xfId="2360"/>
    <cellStyle name="Normal 4 104 2" xfId="4779"/>
    <cellStyle name="Normal 4 104 2 2" xfId="11549"/>
    <cellStyle name="Normal 4 104 2 3" xfId="24239"/>
    <cellStyle name="Normal 4 104 2 4" xfId="19372"/>
    <cellStyle name="Normal 4 104 2 5" xfId="28744"/>
    <cellStyle name="Normal 4 104 3" xfId="6654"/>
    <cellStyle name="Normal 4 104 3 2" xfId="13424"/>
    <cellStyle name="Normal 4 104 3 3" xfId="26114"/>
    <cellStyle name="Normal 4 104 3 4" xfId="16633"/>
    <cellStyle name="Normal 4 104 3 5" xfId="28734"/>
    <cellStyle name="Normal 4 104 4" xfId="9130"/>
    <cellStyle name="Normal 4 104 5" xfId="21836"/>
    <cellStyle name="Normal 4 104 6" xfId="15493"/>
    <cellStyle name="Normal 4 104 7" xfId="29274"/>
    <cellStyle name="Normal 4 105" xfId="2381"/>
    <cellStyle name="Normal 4 105 2" xfId="4800"/>
    <cellStyle name="Normal 4 105 2 2" xfId="11570"/>
    <cellStyle name="Normal 4 105 2 3" xfId="24260"/>
    <cellStyle name="Normal 4 105 2 4" xfId="19257"/>
    <cellStyle name="Normal 4 105 2 5" xfId="29614"/>
    <cellStyle name="Normal 4 105 3" xfId="6672"/>
    <cellStyle name="Normal 4 105 3 2" xfId="13442"/>
    <cellStyle name="Normal 4 105 3 3" xfId="26132"/>
    <cellStyle name="Normal 4 105 3 4" xfId="16522"/>
    <cellStyle name="Normal 4 105 3 5" xfId="28707"/>
    <cellStyle name="Normal 4 105 4" xfId="9151"/>
    <cellStyle name="Normal 4 105 5" xfId="21854"/>
    <cellStyle name="Normal 4 105 6" xfId="15347"/>
    <cellStyle name="Normal 4 105 7" xfId="30137"/>
    <cellStyle name="Normal 4 106" xfId="2401"/>
    <cellStyle name="Normal 4 106 2" xfId="4819"/>
    <cellStyle name="Normal 4 106 2 2" xfId="11589"/>
    <cellStyle name="Normal 4 106 2 3" xfId="24279"/>
    <cellStyle name="Normal 4 106 2 4" xfId="17228"/>
    <cellStyle name="Normal 4 106 2 5" xfId="26535"/>
    <cellStyle name="Normal 4 106 3" xfId="6689"/>
    <cellStyle name="Normal 4 106 3 2" xfId="13459"/>
    <cellStyle name="Normal 4 106 3 3" xfId="26149"/>
    <cellStyle name="Normal 4 106 3 4" xfId="18412"/>
    <cellStyle name="Normal 4 106 3 5" xfId="31649"/>
    <cellStyle name="Normal 4 106 4" xfId="9171"/>
    <cellStyle name="Normal 4 106 5" xfId="21871"/>
    <cellStyle name="Normal 4 106 6" xfId="17602"/>
    <cellStyle name="Normal 4 106 7" xfId="32184"/>
    <cellStyle name="Normal 4 107" xfId="2419"/>
    <cellStyle name="Normal 4 107 2" xfId="4837"/>
    <cellStyle name="Normal 4 107 2 2" xfId="11607"/>
    <cellStyle name="Normal 4 107 2 3" xfId="24297"/>
    <cellStyle name="Normal 4 107 2 4" xfId="17098"/>
    <cellStyle name="Normal 4 107 2 5" xfId="26500"/>
    <cellStyle name="Normal 4 107 3" xfId="6706"/>
    <cellStyle name="Normal 4 107 3 2" xfId="13476"/>
    <cellStyle name="Normal 4 107 3 3" xfId="26166"/>
    <cellStyle name="Normal 4 107 3 4" xfId="13922"/>
    <cellStyle name="Normal 4 107 3 5" xfId="26295"/>
    <cellStyle name="Normal 4 107 4" xfId="9189"/>
    <cellStyle name="Normal 4 107 5" xfId="21888"/>
    <cellStyle name="Normal 4 107 6" xfId="17472"/>
    <cellStyle name="Normal 4 107 7" xfId="32156"/>
    <cellStyle name="Normal 4 108" xfId="2441"/>
    <cellStyle name="Normal 4 108 2" xfId="4859"/>
    <cellStyle name="Normal 4 108 2 2" xfId="11629"/>
    <cellStyle name="Normal 4 108 2 3" xfId="24319"/>
    <cellStyle name="Normal 4 108 2 4" xfId="14588"/>
    <cellStyle name="Normal 4 108 2 5" xfId="27635"/>
    <cellStyle name="Normal 4 108 3" xfId="6726"/>
    <cellStyle name="Normal 4 108 3 2" xfId="13496"/>
    <cellStyle name="Normal 4 108 3 3" xfId="26186"/>
    <cellStyle name="Normal 4 108 3 4" xfId="18268"/>
    <cellStyle name="Normal 4 108 3 5" xfId="28618"/>
    <cellStyle name="Normal 4 108 4" xfId="9211"/>
    <cellStyle name="Normal 4 108 5" xfId="21908"/>
    <cellStyle name="Normal 4 108 6" xfId="14966"/>
    <cellStyle name="Normal 4 108 7" xfId="30054"/>
    <cellStyle name="Normal 4 109" xfId="2463"/>
    <cellStyle name="Normal 4 109 2" xfId="4880"/>
    <cellStyle name="Normal 4 109 2 2" xfId="11650"/>
    <cellStyle name="Normal 4 109 2 3" xfId="24340"/>
    <cellStyle name="Normal 4 109 2 4" xfId="13663"/>
    <cellStyle name="Normal 4 109 2 5" xfId="31565"/>
    <cellStyle name="Normal 4 109 3" xfId="6745"/>
    <cellStyle name="Normal 4 109 3 2" xfId="13515"/>
    <cellStyle name="Normal 4 109 3 3" xfId="26205"/>
    <cellStyle name="Normal 4 109 3 4" xfId="15774"/>
    <cellStyle name="Normal 4 109 3 5" xfId="30549"/>
    <cellStyle name="Normal 4 109 4" xfId="9233"/>
    <cellStyle name="Normal 4 109 5" xfId="21927"/>
    <cellStyle name="Normal 4 109 6" xfId="19126"/>
    <cellStyle name="Normal 4 109 7" xfId="31169"/>
    <cellStyle name="Normal 4 11" xfId="238"/>
    <cellStyle name="Normal 4 11 2" xfId="2716"/>
    <cellStyle name="Normal 4 11 2 2" xfId="9486"/>
    <cellStyle name="Normal 4 11 2 3" xfId="22176"/>
    <cellStyle name="Normal 4 11 2 4" xfId="13894"/>
    <cellStyle name="Normal 4 11 2 5" xfId="27783"/>
    <cellStyle name="Normal 4 11 3" xfId="2515"/>
    <cellStyle name="Normal 4 11 3 2" xfId="9285"/>
    <cellStyle name="Normal 4 11 3 3" xfId="21975"/>
    <cellStyle name="Normal 4 11 3 4" xfId="16773"/>
    <cellStyle name="Normal 4 11 3 5" xfId="32019"/>
    <cellStyle name="Normal 4 11 4" xfId="7008"/>
    <cellStyle name="Normal 4 11 5" xfId="13565"/>
    <cellStyle name="Normal 4 11 6" xfId="16403"/>
    <cellStyle name="Normal 4 11 7" xfId="31331"/>
    <cellStyle name="Normal 4 110" xfId="2481"/>
    <cellStyle name="Normal 4 110 2" xfId="4898"/>
    <cellStyle name="Normal 4 110 2 2" xfId="11668"/>
    <cellStyle name="Normal 4 110 2 3" xfId="24358"/>
    <cellStyle name="Normal 4 110 2 4" xfId="14329"/>
    <cellStyle name="Normal 4 110 2 5" xfId="31293"/>
    <cellStyle name="Normal 4 110 3" xfId="6761"/>
    <cellStyle name="Normal 4 110 3 2" xfId="13531"/>
    <cellStyle name="Normal 4 110 3 3" xfId="26221"/>
    <cellStyle name="Normal 4 110 3 4" xfId="26242"/>
    <cellStyle name="Normal 4 110 3 5" xfId="31214"/>
    <cellStyle name="Normal 4 110 4" xfId="9251"/>
    <cellStyle name="Normal 4 110 5" xfId="21943"/>
    <cellStyle name="Normal 4 110 6" xfId="19008"/>
    <cellStyle name="Normal 4 110 7" xfId="31136"/>
    <cellStyle name="Normal 4 111" xfId="2496"/>
    <cellStyle name="Normal 4 111 2" xfId="9266"/>
    <cellStyle name="Normal 4 111 3" xfId="21957"/>
    <cellStyle name="Normal 4 111 4" xfId="18929"/>
    <cellStyle name="Normal 4 111 5" xfId="26967"/>
    <cellStyle name="Normal 4 112" xfId="2535"/>
    <cellStyle name="Normal 4 112 2" xfId="9305"/>
    <cellStyle name="Normal 4 112 3" xfId="21995"/>
    <cellStyle name="Normal 4 112 4" xfId="18696"/>
    <cellStyle name="Normal 4 112 5" xfId="31052"/>
    <cellStyle name="Normal 4 113" xfId="6776"/>
    <cellStyle name="Normal 4 114" xfId="13583"/>
    <cellStyle name="Normal 4 115" xfId="15579"/>
    <cellStyle name="Normal 4 116" xfId="29799"/>
    <cellStyle name="Normal 4 117" xfId="32449"/>
    <cellStyle name="Normal 4 118" xfId="32493"/>
    <cellStyle name="Normal 4 119" xfId="32516"/>
    <cellStyle name="Normal 4 12" xfId="208"/>
    <cellStyle name="Normal 4 12 2" xfId="2688"/>
    <cellStyle name="Normal 4 12 2 2" xfId="9458"/>
    <cellStyle name="Normal 4 12 2 3" xfId="22148"/>
    <cellStyle name="Normal 4 12 2 4" xfId="14093"/>
    <cellStyle name="Normal 4 12 2 5" xfId="26662"/>
    <cellStyle name="Normal 4 12 3" xfId="2898"/>
    <cellStyle name="Normal 4 12 3 2" xfId="9668"/>
    <cellStyle name="Normal 4 12 3 3" xfId="22358"/>
    <cellStyle name="Normal 4 12 3 4" xfId="7284"/>
    <cellStyle name="Normal 4 12 3 5" xfId="27332"/>
    <cellStyle name="Normal 4 12 4" xfId="6978"/>
    <cellStyle name="Normal 4 12 5" xfId="13983"/>
    <cellStyle name="Normal 4 12 6" xfId="16601"/>
    <cellStyle name="Normal 4 12 7" xfId="32325"/>
    <cellStyle name="Normal 4 120" xfId="32539"/>
    <cellStyle name="Normal 4 121" xfId="32562"/>
    <cellStyle name="Normal 4 122" xfId="32585"/>
    <cellStyle name="Normal 4 123" xfId="32608"/>
    <cellStyle name="Normal 4 124" xfId="32631"/>
    <cellStyle name="Normal 4 125" xfId="32654"/>
    <cellStyle name="Normal 4 126" xfId="32677"/>
    <cellStyle name="Normal 4 127" xfId="32700"/>
    <cellStyle name="Normal 4 128" xfId="32723"/>
    <cellStyle name="Normal 4 129" xfId="32746"/>
    <cellStyle name="Normal 4 13" xfId="284"/>
    <cellStyle name="Normal 4 13 2" xfId="2760"/>
    <cellStyle name="Normal 4 13 2 2" xfId="9530"/>
    <cellStyle name="Normal 4 13 2 3" xfId="22220"/>
    <cellStyle name="Normal 4 13 2 4" xfId="18156"/>
    <cellStyle name="Normal 4 13 2 5" xfId="26537"/>
    <cellStyle name="Normal 4 13 3" xfId="3856"/>
    <cellStyle name="Normal 4 13 3 2" xfId="10626"/>
    <cellStyle name="Normal 4 13 3 3" xfId="23316"/>
    <cellStyle name="Normal 4 13 3 4" xfId="17011"/>
    <cellStyle name="Normal 4 13 3 5" xfId="28503"/>
    <cellStyle name="Normal 4 13 4" xfId="7054"/>
    <cellStyle name="Normal 4 13 5" xfId="14927"/>
    <cellStyle name="Normal 4 13 6" xfId="15505"/>
    <cellStyle name="Normal 4 13 7" xfId="30158"/>
    <cellStyle name="Normal 4 130" xfId="32769"/>
    <cellStyle name="Normal 4 131" xfId="32792"/>
    <cellStyle name="Normal 4 132" xfId="32815"/>
    <cellStyle name="Normal 4 133" xfId="32838"/>
    <cellStyle name="Normal 4 134" xfId="32861"/>
    <cellStyle name="Normal 4 135" xfId="32884"/>
    <cellStyle name="Normal 4 136" xfId="32906"/>
    <cellStyle name="Normal 4 137" xfId="32929"/>
    <cellStyle name="Normal 4 138" xfId="32952"/>
    <cellStyle name="Normal 4 139" xfId="32975"/>
    <cellStyle name="Normal 4 14" xfId="291"/>
    <cellStyle name="Normal 4 14 2" xfId="2767"/>
    <cellStyle name="Normal 4 14 2 2" xfId="9537"/>
    <cellStyle name="Normal 4 14 2 3" xfId="22227"/>
    <cellStyle name="Normal 4 14 2 4" xfId="15726"/>
    <cellStyle name="Normal 4 14 2 5" xfId="31653"/>
    <cellStyle name="Normal 4 14 3" xfId="3721"/>
    <cellStyle name="Normal 4 14 3 2" xfId="10491"/>
    <cellStyle name="Normal 4 14 3 3" xfId="23181"/>
    <cellStyle name="Normal 4 14 3 4" xfId="16126"/>
    <cellStyle name="Normal 4 14 3 5" xfId="32380"/>
    <cellStyle name="Normal 4 14 4" xfId="7061"/>
    <cellStyle name="Normal 4 14 5" xfId="14795"/>
    <cellStyle name="Normal 4 14 6" xfId="19700"/>
    <cellStyle name="Normal 4 14 7" xfId="27158"/>
    <cellStyle name="Normal 4 140" xfId="32998"/>
    <cellStyle name="Normal 4 141" xfId="33021"/>
    <cellStyle name="Normal 4 142" xfId="33044"/>
    <cellStyle name="Normal 4 143" xfId="33067"/>
    <cellStyle name="Normal 4 144" xfId="33090"/>
    <cellStyle name="Normal 4 145" xfId="33113"/>
    <cellStyle name="Normal 4 146" xfId="33135"/>
    <cellStyle name="Normal 4 147" xfId="33158"/>
    <cellStyle name="Normal 4 148" xfId="33177"/>
    <cellStyle name="Normal 4 149" xfId="33149"/>
    <cellStyle name="Normal 4 15" xfId="332"/>
    <cellStyle name="Normal 4 15 2" xfId="2808"/>
    <cellStyle name="Normal 4 15 2 2" xfId="9578"/>
    <cellStyle name="Normal 4 15 2 3" xfId="22268"/>
    <cellStyle name="Normal 4 15 2 4" xfId="16037"/>
    <cellStyle name="Normal 4 15 2 5" xfId="26455"/>
    <cellStyle name="Normal 4 15 3" xfId="2893"/>
    <cellStyle name="Normal 4 15 3 2" xfId="9663"/>
    <cellStyle name="Normal 4 15 3 3" xfId="22353"/>
    <cellStyle name="Normal 4 15 3 4" xfId="7389"/>
    <cellStyle name="Normal 4 15 3 5" xfId="32386"/>
    <cellStyle name="Normal 4 15 4" xfId="7102"/>
    <cellStyle name="Normal 4 15 5" xfId="13958"/>
    <cellStyle name="Normal 4 15 6" xfId="15189"/>
    <cellStyle name="Normal 4 15 7" xfId="30097"/>
    <cellStyle name="Normal 4 150" xfId="33214"/>
    <cellStyle name="Normal 4 151" xfId="33230"/>
    <cellStyle name="Normal 4 152" xfId="33269"/>
    <cellStyle name="Normal 4 153" xfId="33292"/>
    <cellStyle name="Normal 4 154" xfId="33315"/>
    <cellStyle name="Normal 4 155" xfId="33338"/>
    <cellStyle name="Normal 4 156" xfId="33361"/>
    <cellStyle name="Normal 4 157" xfId="33384"/>
    <cellStyle name="Normal 4 158" xfId="33407"/>
    <cellStyle name="Normal 4 159" xfId="33430"/>
    <cellStyle name="Normal 4 16" xfId="355"/>
    <cellStyle name="Normal 4 16 2" xfId="2831"/>
    <cellStyle name="Normal 4 16 2 2" xfId="9601"/>
    <cellStyle name="Normal 4 16 2 3" xfId="22291"/>
    <cellStyle name="Normal 4 16 2 4" xfId="8678"/>
    <cellStyle name="Normal 4 16 2 5" xfId="26568"/>
    <cellStyle name="Normal 4 16 3" xfId="4914"/>
    <cellStyle name="Normal 4 16 3 2" xfId="11684"/>
    <cellStyle name="Normal 4 16 3 3" xfId="24374"/>
    <cellStyle name="Normal 4 16 3 4" xfId="17832"/>
    <cellStyle name="Normal 4 16 3 5" xfId="30368"/>
    <cellStyle name="Normal 4 16 4" xfId="7125"/>
    <cellStyle name="Normal 4 16 5" xfId="20096"/>
    <cellStyle name="Normal 4 16 6" xfId="17421"/>
    <cellStyle name="Normal 4 16 7" xfId="28238"/>
    <cellStyle name="Normal 4 160" xfId="33453"/>
    <cellStyle name="Normal 4 161" xfId="33476"/>
    <cellStyle name="Normal 4 162" xfId="33499"/>
    <cellStyle name="Normal 4 163" xfId="33522"/>
    <cellStyle name="Normal 4 164" xfId="33545"/>
    <cellStyle name="Normal 4 165" xfId="33568"/>
    <cellStyle name="Normal 4 166" xfId="33591"/>
    <cellStyle name="Normal 4 167" xfId="33614"/>
    <cellStyle name="Normal 4 168" xfId="33637"/>
    <cellStyle name="Normal 4 169" xfId="33659"/>
    <cellStyle name="Normal 4 17" xfId="378"/>
    <cellStyle name="Normal 4 17 2" xfId="2854"/>
    <cellStyle name="Normal 4 17 2 2" xfId="9624"/>
    <cellStyle name="Normal 4 17 2 3" xfId="22314"/>
    <cellStyle name="Normal 4 17 2 4" xfId="8198"/>
    <cellStyle name="Normal 4 17 2 5" xfId="28578"/>
    <cellStyle name="Normal 4 17 3" xfId="4934"/>
    <cellStyle name="Normal 4 17 3 2" xfId="11704"/>
    <cellStyle name="Normal 4 17 3 3" xfId="24394"/>
    <cellStyle name="Normal 4 17 3 4" xfId="14081"/>
    <cellStyle name="Normal 4 17 3 5" xfId="32410"/>
    <cellStyle name="Normal 4 17 4" xfId="7148"/>
    <cellStyle name="Normal 4 17 5" xfId="20116"/>
    <cellStyle name="Normal 4 17 6" xfId="18153"/>
    <cellStyle name="Normal 4 17 7" xfId="31175"/>
    <cellStyle name="Normal 4 170" xfId="33681"/>
    <cellStyle name="Normal 4 171" xfId="33704"/>
    <cellStyle name="Normal 4 172" xfId="33727"/>
    <cellStyle name="Normal 4 173" xfId="33750"/>
    <cellStyle name="Normal 4 174" xfId="33773"/>
    <cellStyle name="Normal 4 175" xfId="33796"/>
    <cellStyle name="Normal 4 176" xfId="33819"/>
    <cellStyle name="Normal 4 177" xfId="33842"/>
    <cellStyle name="Normal 4 178" xfId="33865"/>
    <cellStyle name="Normal 4 179" xfId="33888"/>
    <cellStyle name="Normal 4 18" xfId="401"/>
    <cellStyle name="Normal 4 18 2" xfId="2877"/>
    <cellStyle name="Normal 4 18 2 2" xfId="9647"/>
    <cellStyle name="Normal 4 18 2 3" xfId="22337"/>
    <cellStyle name="Normal 4 18 2 4" xfId="7720"/>
    <cellStyle name="Normal 4 18 2 5" xfId="31519"/>
    <cellStyle name="Normal 4 18 3" xfId="4954"/>
    <cellStyle name="Normal 4 18 3 2" xfId="11724"/>
    <cellStyle name="Normal 4 18 3 3" xfId="24414"/>
    <cellStyle name="Normal 4 18 3 4" xfId="16325"/>
    <cellStyle name="Normal 4 18 3 5" xfId="31483"/>
    <cellStyle name="Normal 4 18 4" xfId="7171"/>
    <cellStyle name="Normal 4 18 5" xfId="20136"/>
    <cellStyle name="Normal 4 18 6" xfId="14737"/>
    <cellStyle name="Normal 4 18 7" xfId="29106"/>
    <cellStyle name="Normal 4 180" xfId="33911"/>
    <cellStyle name="Normal 4 181" xfId="33934"/>
    <cellStyle name="Normal 4 182" xfId="33957"/>
    <cellStyle name="Normal 4 183" xfId="33980"/>
    <cellStyle name="Normal 4 184" xfId="34002"/>
    <cellStyle name="Normal 4 185" xfId="34022"/>
    <cellStyle name="Normal 4 186" xfId="34040"/>
    <cellStyle name="Normal 4 19" xfId="424"/>
    <cellStyle name="Normal 4 19 2" xfId="2899"/>
    <cellStyle name="Normal 4 19 2 2" xfId="9669"/>
    <cellStyle name="Normal 4 19 2 3" xfId="22359"/>
    <cellStyle name="Normal 4 19 2 4" xfId="7261"/>
    <cellStyle name="Normal 4 19 2 5" xfId="32377"/>
    <cellStyle name="Normal 4 19 3" xfId="4974"/>
    <cellStyle name="Normal 4 19 3 2" xfId="11744"/>
    <cellStyle name="Normal 4 19 3 3" xfId="24434"/>
    <cellStyle name="Normal 4 19 3 4" xfId="17633"/>
    <cellStyle name="Normal 4 19 3 5" xfId="29712"/>
    <cellStyle name="Normal 4 19 4" xfId="7194"/>
    <cellStyle name="Normal 4 19 5" xfId="20156"/>
    <cellStyle name="Normal 4 19 6" xfId="16961"/>
    <cellStyle name="Normal 4 19 7" xfId="32034"/>
    <cellStyle name="Normal 4 2" xfId="5"/>
    <cellStyle name="Normal 4 2 10" xfId="215"/>
    <cellStyle name="Normal 4 2 10 2" xfId="2695"/>
    <cellStyle name="Normal 4 2 10 2 2" xfId="9465"/>
    <cellStyle name="Normal 4 2 10 2 3" xfId="22155"/>
    <cellStyle name="Normal 4 2 10 2 4" xfId="18428"/>
    <cellStyle name="Normal 4 2 10 2 5" xfId="31763"/>
    <cellStyle name="Normal 4 2 10 3" xfId="4897"/>
    <cellStyle name="Normal 4 2 10 3 2" xfId="11667"/>
    <cellStyle name="Normal 4 2 10 3 3" xfId="24357"/>
    <cellStyle name="Normal 4 2 10 3 4" xfId="16701"/>
    <cellStyle name="Normal 4 2 10 3 5" xfId="26380"/>
    <cellStyle name="Normal 4 2 10 4" xfId="6985"/>
    <cellStyle name="Normal 4 2 10 5" xfId="13813"/>
    <cellStyle name="Normal 4 2 10 6" xfId="13594"/>
    <cellStyle name="Normal 4 2 10 7" xfId="29353"/>
    <cellStyle name="Normal 4 2 100" xfId="2270"/>
    <cellStyle name="Normal 4 2 100 2" xfId="4691"/>
    <cellStyle name="Normal 4 2 100 2 2" xfId="11461"/>
    <cellStyle name="Normal 4 2 100 2 3" xfId="24151"/>
    <cellStyle name="Normal 4 2 100 2 4" xfId="15674"/>
    <cellStyle name="Normal 4 2 100 2 5" xfId="27920"/>
    <cellStyle name="Normal 4 2 100 3" xfId="6577"/>
    <cellStyle name="Normal 4 2 100 3 2" xfId="13347"/>
    <cellStyle name="Normal 4 2 100 3 3" xfId="26037"/>
    <cellStyle name="Normal 4 2 100 3 4" xfId="14782"/>
    <cellStyle name="Normal 4 2 100 3 5" xfId="30438"/>
    <cellStyle name="Normal 4 2 100 4" xfId="9040"/>
    <cellStyle name="Normal 4 2 100 5" xfId="21759"/>
    <cellStyle name="Normal 4 2 100 6" xfId="14754"/>
    <cellStyle name="Normal 4 2 100 7" xfId="29391"/>
    <cellStyle name="Normal 4 2 101" xfId="2292"/>
    <cellStyle name="Normal 4 2 101 2" xfId="4713"/>
    <cellStyle name="Normal 4 2 101 2 2" xfId="11483"/>
    <cellStyle name="Normal 4 2 101 2 3" xfId="24173"/>
    <cellStyle name="Normal 4 2 101 2 4" xfId="19760"/>
    <cellStyle name="Normal 4 2 101 2 5" xfId="28850"/>
    <cellStyle name="Normal 4 2 101 3" xfId="6596"/>
    <cellStyle name="Normal 4 2 101 3 2" xfId="13366"/>
    <cellStyle name="Normal 4 2 101 3 3" xfId="26056"/>
    <cellStyle name="Normal 4 2 101 3 4" xfId="18977"/>
    <cellStyle name="Normal 4 2 101 3 5" xfId="27855"/>
    <cellStyle name="Normal 4 2 101 4" xfId="9062"/>
    <cellStyle name="Normal 4 2 101 5" xfId="21778"/>
    <cellStyle name="Normal 4 2 101 6" xfId="18916"/>
    <cellStyle name="Normal 4 2 101 7" xfId="27272"/>
    <cellStyle name="Normal 4 2 102" xfId="2314"/>
    <cellStyle name="Normal 4 2 102 2" xfId="4735"/>
    <cellStyle name="Normal 4 2 102 2 2" xfId="11505"/>
    <cellStyle name="Normal 4 2 102 2 3" xfId="24195"/>
    <cellStyle name="Normal 4 2 102 2 4" xfId="17771"/>
    <cellStyle name="Normal 4 2 102 2 5" xfId="26685"/>
    <cellStyle name="Normal 4 2 102 3" xfId="6615"/>
    <cellStyle name="Normal 4 2 102 3 2" xfId="13385"/>
    <cellStyle name="Normal 4 2 102 3 3" xfId="26075"/>
    <cellStyle name="Normal 4 2 102 3 4" xfId="16894"/>
    <cellStyle name="Normal 4 2 102 3 5" xfId="29686"/>
    <cellStyle name="Normal 4 2 102 4" xfId="9084"/>
    <cellStyle name="Normal 4 2 102 5" xfId="21797"/>
    <cellStyle name="Normal 4 2 102 6" xfId="16823"/>
    <cellStyle name="Normal 4 2 102 7" xfId="28413"/>
    <cellStyle name="Normal 4 2 103" xfId="2336"/>
    <cellStyle name="Normal 4 2 103 2" xfId="4757"/>
    <cellStyle name="Normal 4 2 103 2 2" xfId="11527"/>
    <cellStyle name="Normal 4 2 103 2 3" xfId="24217"/>
    <cellStyle name="Normal 4 2 103 2 4" xfId="15258"/>
    <cellStyle name="Normal 4 2 103 2 5" xfId="27812"/>
    <cellStyle name="Normal 4 2 103 3" xfId="6634"/>
    <cellStyle name="Normal 4 2 103 3 2" xfId="13404"/>
    <cellStyle name="Normal 4 2 103 3 3" xfId="26094"/>
    <cellStyle name="Normal 4 2 103 3 4" xfId="14408"/>
    <cellStyle name="Normal 4 2 103 3 5" xfId="26617"/>
    <cellStyle name="Normal 4 2 103 4" xfId="9106"/>
    <cellStyle name="Normal 4 2 103 5" xfId="21816"/>
    <cellStyle name="Normal 4 2 103 6" xfId="15638"/>
    <cellStyle name="Normal 4 2 103 7" xfId="29305"/>
    <cellStyle name="Normal 4 2 104" xfId="2358"/>
    <cellStyle name="Normal 4 2 104 2" xfId="4778"/>
    <cellStyle name="Normal 4 2 104 2 2" xfId="11548"/>
    <cellStyle name="Normal 4 2 104 2 3" xfId="24238"/>
    <cellStyle name="Normal 4 2 104 2 4" xfId="15105"/>
    <cellStyle name="Normal 4 2 104 2 5" xfId="31718"/>
    <cellStyle name="Normal 4 2 104 3" xfId="6653"/>
    <cellStyle name="Normal 4 2 104 3 2" xfId="13423"/>
    <cellStyle name="Normal 4 2 104 3 3" xfId="26113"/>
    <cellStyle name="Normal 4 2 104 3 4" xfId="18627"/>
    <cellStyle name="Normal 4 2 104 3 5" xfId="31707"/>
    <cellStyle name="Normal 4 2 104 4" xfId="9128"/>
    <cellStyle name="Normal 4 2 104 5" xfId="21835"/>
    <cellStyle name="Normal 4 2 104 6" xfId="15927"/>
    <cellStyle name="Normal 4 2 104 7" xfId="27182"/>
    <cellStyle name="Normal 4 2 105" xfId="2379"/>
    <cellStyle name="Normal 4 2 105 2" xfId="4798"/>
    <cellStyle name="Normal 4 2 105 2 2" xfId="11568"/>
    <cellStyle name="Normal 4 2 105 2 3" xfId="24258"/>
    <cellStyle name="Normal 4 2 105 2 4" xfId="17362"/>
    <cellStyle name="Normal 4 2 105 2 5" xfId="30712"/>
    <cellStyle name="Normal 4 2 105 3" xfId="6671"/>
    <cellStyle name="Normal 4 2 105 3 2" xfId="13441"/>
    <cellStyle name="Normal 4 2 105 3 3" xfId="26131"/>
    <cellStyle name="Normal 4 2 105 3 4" xfId="18532"/>
    <cellStyle name="Normal 4 2 105 3 5" xfId="31681"/>
    <cellStyle name="Normal 4 2 105 4" xfId="9149"/>
    <cellStyle name="Normal 4 2 105 5" xfId="21853"/>
    <cellStyle name="Normal 4 2 105 6" xfId="19616"/>
    <cellStyle name="Normal 4 2 105 7" xfId="31292"/>
    <cellStyle name="Normal 4 2 106" xfId="2399"/>
    <cellStyle name="Normal 4 2 106 2" xfId="4817"/>
    <cellStyle name="Normal 4 2 106 2 2" xfId="11587"/>
    <cellStyle name="Normal 4 2 106 2 3" xfId="24277"/>
    <cellStyle name="Normal 4 2 106 2 4" xfId="14874"/>
    <cellStyle name="Normal 4 2 106 2 5" xfId="27710"/>
    <cellStyle name="Normal 4 2 106 3" xfId="6688"/>
    <cellStyle name="Normal 4 2 106 3 2" xfId="13458"/>
    <cellStyle name="Normal 4 2 106 3 3" xfId="26148"/>
    <cellStyle name="Normal 4 2 106 3 4" xfId="14031"/>
    <cellStyle name="Normal 4 2 106 3 5" xfId="26523"/>
    <cellStyle name="Normal 4 2 106 4" xfId="9169"/>
    <cellStyle name="Normal 4 2 106 5" xfId="21870"/>
    <cellStyle name="Normal 4 2 106 6" xfId="15240"/>
    <cellStyle name="Normal 4 2 106 7" xfId="30120"/>
    <cellStyle name="Normal 4 2 107" xfId="2417"/>
    <cellStyle name="Normal 4 2 107 2" xfId="4835"/>
    <cellStyle name="Normal 4 2 107 2 2" xfId="11605"/>
    <cellStyle name="Normal 4 2 107 2 3" xfId="24295"/>
    <cellStyle name="Normal 4 2 107 2 4" xfId="14742"/>
    <cellStyle name="Normal 4 2 107 2 5" xfId="27673"/>
    <cellStyle name="Normal 4 2 107 3" xfId="6705"/>
    <cellStyle name="Normal 4 2 107 3 2" xfId="13475"/>
    <cellStyle name="Normal 4 2 107 3 3" xfId="26165"/>
    <cellStyle name="Normal 4 2 107 3 4" xfId="16297"/>
    <cellStyle name="Normal 4 2 107 3 5" xfId="26597"/>
    <cellStyle name="Normal 4 2 107 4" xfId="9187"/>
    <cellStyle name="Normal 4 2 107 5" xfId="21887"/>
    <cellStyle name="Normal 4 2 107 6" xfId="15110"/>
    <cellStyle name="Normal 4 2 107 7" xfId="30092"/>
    <cellStyle name="Normal 4 2 108" xfId="2439"/>
    <cellStyle name="Normal 4 2 108 2" xfId="4857"/>
    <cellStyle name="Normal 4 2 108 2 2" xfId="11627"/>
    <cellStyle name="Normal 4 2 108 2 3" xfId="24317"/>
    <cellStyle name="Normal 4 2 108 2 4" xfId="18924"/>
    <cellStyle name="Normal 4 2 108 2 5" xfId="28630"/>
    <cellStyle name="Normal 4 2 108 3" xfId="6725"/>
    <cellStyle name="Normal 4 2 108 3 2" xfId="13495"/>
    <cellStyle name="Normal 4 2 108 3 3" xfId="26185"/>
    <cellStyle name="Normal 4 2 108 3 4" xfId="20094"/>
    <cellStyle name="Normal 4 2 108 3 5" xfId="31596"/>
    <cellStyle name="Normal 4 2 108 4" xfId="9209"/>
    <cellStyle name="Normal 4 2 108 5" xfId="21907"/>
    <cellStyle name="Normal 4 2 108 6" xfId="19262"/>
    <cellStyle name="Normal 4 2 108 7" xfId="31201"/>
    <cellStyle name="Normal 4 2 109" xfId="2461"/>
    <cellStyle name="Normal 4 2 109 2" xfId="4879"/>
    <cellStyle name="Normal 4 2 109 2 2" xfId="11649"/>
    <cellStyle name="Normal 4 2 109 2 3" xfId="24339"/>
    <cellStyle name="Normal 4 2 109 2 4" xfId="16811"/>
    <cellStyle name="Normal 4 2 109 2 5" xfId="26427"/>
    <cellStyle name="Normal 4 2 109 3" xfId="6744"/>
    <cellStyle name="Normal 4 2 109 3 2" xfId="13514"/>
    <cellStyle name="Normal 4 2 109 3 3" xfId="26204"/>
    <cellStyle name="Normal 4 2 109 3 4" xfId="18161"/>
    <cellStyle name="Normal 4 2 109 3 5" xfId="28587"/>
    <cellStyle name="Normal 4 2 109 4" xfId="9231"/>
    <cellStyle name="Normal 4 2 109 5" xfId="21926"/>
    <cellStyle name="Normal 4 2 109 6" xfId="17210"/>
    <cellStyle name="Normal 4 2 109 7" xfId="32102"/>
    <cellStyle name="Normal 4 2 11" xfId="236"/>
    <cellStyle name="Normal 4 2 11 2" xfId="2715"/>
    <cellStyle name="Normal 4 2 11 2 2" xfId="9485"/>
    <cellStyle name="Normal 4 2 11 2 3" xfId="22175"/>
    <cellStyle name="Normal 4 2 11 2 4" xfId="16270"/>
    <cellStyle name="Normal 4 2 11 2 5" xfId="30747"/>
    <cellStyle name="Normal 4 2 11 3" xfId="2517"/>
    <cellStyle name="Normal 4 2 11 3 2" xfId="9287"/>
    <cellStyle name="Normal 4 2 11 3 3" xfId="21977"/>
    <cellStyle name="Normal 4 2 11 3 4" xfId="18794"/>
    <cellStyle name="Normal 4 2 11 3 5" xfId="31073"/>
    <cellStyle name="Normal 4 2 11 4" xfId="7006"/>
    <cellStyle name="Normal 4 2 11 5" xfId="13567"/>
    <cellStyle name="Normal 4 2 11 6" xfId="14046"/>
    <cellStyle name="Normal 4 2 11 7" xfId="26342"/>
    <cellStyle name="Normal 4 2 110" xfId="2479"/>
    <cellStyle name="Normal 4 2 110 2" xfId="4896"/>
    <cellStyle name="Normal 4 2 110 2 2" xfId="11666"/>
    <cellStyle name="Normal 4 2 110 2 3" xfId="24356"/>
    <cellStyle name="Normal 4 2 110 2 4" xfId="18691"/>
    <cellStyle name="Normal 4 2 110 2 5" xfId="27172"/>
    <cellStyle name="Normal 4 2 110 3" xfId="6760"/>
    <cellStyle name="Normal 4 2 110 3 2" xfId="13530"/>
    <cellStyle name="Normal 4 2 110 3 3" xfId="26220"/>
    <cellStyle name="Normal 4 2 110 3 4" xfId="26241"/>
    <cellStyle name="Normal 4 2 110 3 5" xfId="26273"/>
    <cellStyle name="Normal 4 2 110 4" xfId="9249"/>
    <cellStyle name="Normal 4 2 110 5" xfId="21942"/>
    <cellStyle name="Normal 4 2 110 6" xfId="17081"/>
    <cellStyle name="Normal 4 2 110 7" xfId="32074"/>
    <cellStyle name="Normal 4 2 111" xfId="2498"/>
    <cellStyle name="Normal 4 2 111 2" xfId="9268"/>
    <cellStyle name="Normal 4 2 111 3" xfId="21959"/>
    <cellStyle name="Normal 4 2 111 4" xfId="14593"/>
    <cellStyle name="Normal 4 2 111 5" xfId="29081"/>
    <cellStyle name="Normal 4 2 112" xfId="2534"/>
    <cellStyle name="Normal 4 2 112 2" xfId="9304"/>
    <cellStyle name="Normal 4 2 112 3" xfId="21994"/>
    <cellStyle name="Normal 4 2 112 4" xfId="14355"/>
    <cellStyle name="Normal 4 2 112 5" xfId="29032"/>
    <cellStyle name="Normal 4 2 113" xfId="6778"/>
    <cellStyle name="Normal 4 2 114" xfId="13582"/>
    <cellStyle name="Normal 4 2 115" xfId="17945"/>
    <cellStyle name="Normal 4 2 116" xfId="31873"/>
    <cellStyle name="Normal 4 2 117" xfId="32451"/>
    <cellStyle name="Normal 4 2 118" xfId="32491"/>
    <cellStyle name="Normal 4 2 119" xfId="32514"/>
    <cellStyle name="Normal 4 2 12" xfId="244"/>
    <cellStyle name="Normal 4 2 12 2" xfId="2722"/>
    <cellStyle name="Normal 4 2 12 2 2" xfId="9492"/>
    <cellStyle name="Normal 4 2 12 2 3" xfId="22182"/>
    <cellStyle name="Normal 4 2 12 2 4" xfId="13851"/>
    <cellStyle name="Normal 4 2 12 2 5" xfId="27462"/>
    <cellStyle name="Normal 4 2 12 3" xfId="4666"/>
    <cellStyle name="Normal 4 2 12 3 2" xfId="11436"/>
    <cellStyle name="Normal 4 2 12 3 3" xfId="24126"/>
    <cellStyle name="Normal 4 2 12 3 4" xfId="17914"/>
    <cellStyle name="Normal 4 2 12 3 5" xfId="30929"/>
    <cellStyle name="Normal 4 2 12 4" xfId="7014"/>
    <cellStyle name="Normal 4 2 12 5" xfId="13559"/>
    <cellStyle name="Normal 4 2 12 6" xfId="16358"/>
    <cellStyle name="Normal 4 2 12 7" xfId="32287"/>
    <cellStyle name="Normal 4 2 120" xfId="32537"/>
    <cellStyle name="Normal 4 2 121" xfId="32560"/>
    <cellStyle name="Normal 4 2 122" xfId="32583"/>
    <cellStyle name="Normal 4 2 123" xfId="32606"/>
    <cellStyle name="Normal 4 2 124" xfId="32629"/>
    <cellStyle name="Normal 4 2 125" xfId="32652"/>
    <cellStyle name="Normal 4 2 126" xfId="32675"/>
    <cellStyle name="Normal 4 2 127" xfId="32698"/>
    <cellStyle name="Normal 4 2 128" xfId="32721"/>
    <cellStyle name="Normal 4 2 129" xfId="32744"/>
    <cellStyle name="Normal 4 2 13" xfId="282"/>
    <cellStyle name="Normal 4 2 13 2" xfId="2758"/>
    <cellStyle name="Normal 4 2 13 2 2" xfId="9528"/>
    <cellStyle name="Normal 4 2 13 2 3" xfId="22218"/>
    <cellStyle name="Normal 4 2 13 2 4" xfId="15789"/>
    <cellStyle name="Normal 4 2 13 2 5" xfId="27712"/>
    <cellStyle name="Normal 4 2 13 3" xfId="3900"/>
    <cellStyle name="Normal 4 2 13 3 2" xfId="10670"/>
    <cellStyle name="Normal 4 2 13 3 3" xfId="23360"/>
    <cellStyle name="Normal 4 2 13 3 4" xfId="18694"/>
    <cellStyle name="Normal 4 2 13 3 5" xfId="26497"/>
    <cellStyle name="Normal 4 2 13 4" xfId="7052"/>
    <cellStyle name="Normal 4 2 13 5" xfId="14969"/>
    <cellStyle name="Normal 4 2 13 6" xfId="19756"/>
    <cellStyle name="Normal 4 2 13 7" xfId="31316"/>
    <cellStyle name="Normal 4 2 130" xfId="32767"/>
    <cellStyle name="Normal 4 2 131" xfId="32790"/>
    <cellStyle name="Normal 4 2 132" xfId="32813"/>
    <cellStyle name="Normal 4 2 133" xfId="32836"/>
    <cellStyle name="Normal 4 2 134" xfId="32859"/>
    <cellStyle name="Normal 4 2 135" xfId="32882"/>
    <cellStyle name="Normal 4 2 136" xfId="32904"/>
    <cellStyle name="Normal 4 2 137" xfId="32927"/>
    <cellStyle name="Normal 4 2 138" xfId="32950"/>
    <cellStyle name="Normal 4 2 139" xfId="32973"/>
    <cellStyle name="Normal 4 2 14" xfId="289"/>
    <cellStyle name="Normal 4 2 14 2" xfId="2765"/>
    <cellStyle name="Normal 4 2 14 2 2" xfId="9535"/>
    <cellStyle name="Normal 4 2 14 2 3" xfId="22225"/>
    <cellStyle name="Normal 4 2 14 2 4" xfId="19958"/>
    <cellStyle name="Normal 4 2 14 2 5" xfId="29573"/>
    <cellStyle name="Normal 4 2 14 3" xfId="3766"/>
    <cellStyle name="Normal 4 2 14 3 2" xfId="10536"/>
    <cellStyle name="Normal 4 2 14 3 3" xfId="23226"/>
    <cellStyle name="Normal 4 2 14 3 4" xfId="17600"/>
    <cellStyle name="Normal 4 2 14 3 5" xfId="27592"/>
    <cellStyle name="Normal 4 2 14 4" xfId="7059"/>
    <cellStyle name="Normal 4 2 14 5" xfId="13649"/>
    <cellStyle name="Normal 4 2 14 6" xfId="17851"/>
    <cellStyle name="Normal 4 2 14 7" xfId="28336"/>
    <cellStyle name="Normal 4 2 140" xfId="32996"/>
    <cellStyle name="Normal 4 2 141" xfId="33019"/>
    <cellStyle name="Normal 4 2 142" xfId="33042"/>
    <cellStyle name="Normal 4 2 143" xfId="33065"/>
    <cellStyle name="Normal 4 2 144" xfId="33088"/>
    <cellStyle name="Normal 4 2 145" xfId="33111"/>
    <cellStyle name="Normal 4 2 146" xfId="33133"/>
    <cellStyle name="Normal 4 2 147" xfId="33156"/>
    <cellStyle name="Normal 4 2 148" xfId="33175"/>
    <cellStyle name="Normal 4 2 149" xfId="33183"/>
    <cellStyle name="Normal 4 2 15" xfId="330"/>
    <cellStyle name="Normal 4 2 15 2" xfId="2806"/>
    <cellStyle name="Normal 4 2 15 2 2" xfId="9576"/>
    <cellStyle name="Normal 4 2 15 2 3" xfId="22266"/>
    <cellStyle name="Normal 4 2 15 2 4" xfId="13682"/>
    <cellStyle name="Normal 4 2 15 2 5" xfId="27623"/>
    <cellStyle name="Normal 4 2 15 3" xfId="2915"/>
    <cellStyle name="Normal 4 2 15 3 2" xfId="9685"/>
    <cellStyle name="Normal 4 2 15 3 3" xfId="22375"/>
    <cellStyle name="Normal 4 2 15 3 4" xfId="8728"/>
    <cellStyle name="Normal 4 2 15 3 5" xfId="29605"/>
    <cellStyle name="Normal 4 2 15 4" xfId="7100"/>
    <cellStyle name="Normal 4 2 15 5" xfId="14001"/>
    <cellStyle name="Normal 4 2 15 6" xfId="19468"/>
    <cellStyle name="Normal 4 2 15 7" xfId="31248"/>
    <cellStyle name="Normal 4 2 150" xfId="33212"/>
    <cellStyle name="Normal 4 2 151" xfId="33232"/>
    <cellStyle name="Normal 4 2 152" xfId="33267"/>
    <cellStyle name="Normal 4 2 153" xfId="33290"/>
    <cellStyle name="Normal 4 2 154" xfId="33313"/>
    <cellStyle name="Normal 4 2 155" xfId="33336"/>
    <cellStyle name="Normal 4 2 156" xfId="33359"/>
    <cellStyle name="Normal 4 2 157" xfId="33382"/>
    <cellStyle name="Normal 4 2 158" xfId="33405"/>
    <cellStyle name="Normal 4 2 159" xfId="33428"/>
    <cellStyle name="Normal 4 2 16" xfId="353"/>
    <cellStyle name="Normal 4 2 16 2" xfId="2829"/>
    <cellStyle name="Normal 4 2 16 2 2" xfId="9599"/>
    <cellStyle name="Normal 4 2 16 2 3" xfId="22289"/>
    <cellStyle name="Normal 4 2 16 2 4" xfId="8722"/>
    <cellStyle name="Normal 4 2 16 2 5" xfId="30539"/>
    <cellStyle name="Normal 4 2 16 3" xfId="4913"/>
    <cellStyle name="Normal 4 2 16 3 2" xfId="11683"/>
    <cellStyle name="Normal 4 2 16 3 3" xfId="24373"/>
    <cellStyle name="Normal 4 2 16 3 4" xfId="13640"/>
    <cellStyle name="Normal 4 2 16 3 5" xfId="27416"/>
    <cellStyle name="Normal 4 2 16 4" xfId="7123"/>
    <cellStyle name="Normal 4 2 16 5" xfId="13558"/>
    <cellStyle name="Normal 4 2 16 6" xfId="15063"/>
    <cellStyle name="Normal 4 2 16 7" xfId="29169"/>
    <cellStyle name="Normal 4 2 160" xfId="33451"/>
    <cellStyle name="Normal 4 2 161" xfId="33474"/>
    <cellStyle name="Normal 4 2 162" xfId="33497"/>
    <cellStyle name="Normal 4 2 163" xfId="33520"/>
    <cellStyle name="Normal 4 2 164" xfId="33543"/>
    <cellStyle name="Normal 4 2 165" xfId="33566"/>
    <cellStyle name="Normal 4 2 166" xfId="33589"/>
    <cellStyle name="Normal 4 2 167" xfId="33612"/>
    <cellStyle name="Normal 4 2 168" xfId="33635"/>
    <cellStyle name="Normal 4 2 169" xfId="33657"/>
    <cellStyle name="Normal 4 2 17" xfId="376"/>
    <cellStyle name="Normal 4 2 17 2" xfId="2852"/>
    <cellStyle name="Normal 4 2 17 2 2" xfId="9622"/>
    <cellStyle name="Normal 4 2 17 2 3" xfId="22312"/>
    <cellStyle name="Normal 4 2 17 2 4" xfId="8244"/>
    <cellStyle name="Normal 4 2 17 2 5" xfId="29480"/>
    <cellStyle name="Normal 4 2 17 3" xfId="4933"/>
    <cellStyle name="Normal 4 2 17 3 2" xfId="11703"/>
    <cellStyle name="Normal 4 2 17 3 3" xfId="24393"/>
    <cellStyle name="Normal 4 2 17 3 4" xfId="16459"/>
    <cellStyle name="Normal 4 2 17 3 5" xfId="27367"/>
    <cellStyle name="Normal 4 2 17 4" xfId="7146"/>
    <cellStyle name="Normal 4 2 17 5" xfId="20115"/>
    <cellStyle name="Normal 4 2 17 6" xfId="17267"/>
    <cellStyle name="Normal 4 2 17 7" xfId="32106"/>
    <cellStyle name="Normal 4 2 170" xfId="33679"/>
    <cellStyle name="Normal 4 2 171" xfId="33702"/>
    <cellStyle name="Normal 4 2 172" xfId="33725"/>
    <cellStyle name="Normal 4 2 173" xfId="33748"/>
    <cellStyle name="Normal 4 2 174" xfId="33771"/>
    <cellStyle name="Normal 4 2 175" xfId="33794"/>
    <cellStyle name="Normal 4 2 176" xfId="33817"/>
    <cellStyle name="Normal 4 2 177" xfId="33840"/>
    <cellStyle name="Normal 4 2 178" xfId="33863"/>
    <cellStyle name="Normal 4 2 179" xfId="33886"/>
    <cellStyle name="Normal 4 2 18" xfId="399"/>
    <cellStyle name="Normal 4 2 18 2" xfId="2875"/>
    <cellStyle name="Normal 4 2 18 2 2" xfId="9645"/>
    <cellStyle name="Normal 4 2 18 2 3" xfId="22335"/>
    <cellStyle name="Normal 4 2 18 2 4" xfId="7763"/>
    <cellStyle name="Normal 4 2 18 2 5" xfId="32413"/>
    <cellStyle name="Normal 4 2 18 3" xfId="4953"/>
    <cellStyle name="Normal 4 2 18 3 2" xfId="11723"/>
    <cellStyle name="Normal 4 2 18 3 3" xfId="24413"/>
    <cellStyle name="Normal 4 2 18 3 4" xfId="18357"/>
    <cellStyle name="Normal 4 2 18 3 5" xfId="29417"/>
    <cellStyle name="Normal 4 2 18 4" xfId="7169"/>
    <cellStyle name="Normal 4 2 18 5" xfId="20135"/>
    <cellStyle name="Normal 4 2 18 6" xfId="19059"/>
    <cellStyle name="Normal 4 2 18 7" xfId="26996"/>
    <cellStyle name="Normal 4 2 180" xfId="33909"/>
    <cellStyle name="Normal 4 2 181" xfId="33932"/>
    <cellStyle name="Normal 4 2 182" xfId="33955"/>
    <cellStyle name="Normal 4 2 183" xfId="33978"/>
    <cellStyle name="Normal 4 2 184" xfId="34000"/>
    <cellStyle name="Normal 4 2 185" xfId="34020"/>
    <cellStyle name="Normal 4 2 186" xfId="34038"/>
    <cellStyle name="Normal 4 2 19" xfId="422"/>
    <cellStyle name="Normal 4 2 19 2" xfId="2897"/>
    <cellStyle name="Normal 4 2 19 2 2" xfId="9667"/>
    <cellStyle name="Normal 4 2 19 2 3" xfId="22357"/>
    <cellStyle name="Normal 4 2 19 2 4" xfId="7307"/>
    <cellStyle name="Normal 4 2 19 2 5" xfId="30308"/>
    <cellStyle name="Normal 4 2 19 3" xfId="4973"/>
    <cellStyle name="Normal 4 2 19 3 2" xfId="11743"/>
    <cellStyle name="Normal 4 2 19 3 3" xfId="24433"/>
    <cellStyle name="Normal 4 2 19 3 4" xfId="13572"/>
    <cellStyle name="Normal 4 2 19 3 5" xfId="27444"/>
    <cellStyle name="Normal 4 2 19 4" xfId="7192"/>
    <cellStyle name="Normal 4 2 19 5" xfId="20155"/>
    <cellStyle name="Normal 4 2 19 6" xfId="14606"/>
    <cellStyle name="Normal 4 2 19 7" xfId="29968"/>
    <cellStyle name="Normal 4 2 2" xfId="42"/>
    <cellStyle name="Normal 4 2 2 10" xfId="276"/>
    <cellStyle name="Normal 4 2 2 10 2" xfId="2752"/>
    <cellStyle name="Normal 4 2 2 10 2 2" xfId="9522"/>
    <cellStyle name="Normal 4 2 2 10 2 3" xfId="22212"/>
    <cellStyle name="Normal 4 2 2 10 2 4" xfId="15823"/>
    <cellStyle name="Normal 4 2 2 10 2 5" xfId="27726"/>
    <cellStyle name="Normal 4 2 2 10 3" xfId="2626"/>
    <cellStyle name="Normal 4 2 2 10 3 2" xfId="9396"/>
    <cellStyle name="Normal 4 2 2 10 3 3" xfId="22086"/>
    <cellStyle name="Normal 4 2 2 10 3 4" xfId="18232"/>
    <cellStyle name="Normal 4 2 2 10 3 5" xfId="27931"/>
    <cellStyle name="Normal 4 2 2 10 4" xfId="7046"/>
    <cellStyle name="Normal 4 2 2 10 5" xfId="15076"/>
    <cellStyle name="Normal 4 2 2 10 6" xfId="19775"/>
    <cellStyle name="Normal 4 2 2 10 7" xfId="31326"/>
    <cellStyle name="Normal 4 2 2 100" xfId="2330"/>
    <cellStyle name="Normal 4 2 2 100 2" xfId="4751"/>
    <cellStyle name="Normal 4 2 2 100 2 2" xfId="11521"/>
    <cellStyle name="Normal 4 2 2 100 2 3" xfId="24211"/>
    <cellStyle name="Normal 4 2 2 100 2 4" xfId="15301"/>
    <cellStyle name="Normal 4 2 2 100 2 5" xfId="27824"/>
    <cellStyle name="Normal 4 2 2 100 3" xfId="6629"/>
    <cellStyle name="Normal 4 2 2 100 3 2" xfId="13399"/>
    <cellStyle name="Normal 4 2 2 100 3 3" xfId="26089"/>
    <cellStyle name="Normal 4 2 2 100 3 4" xfId="18787"/>
    <cellStyle name="Normal 4 2 2 100 3 5" xfId="31740"/>
    <cellStyle name="Normal 4 2 2 100 4" xfId="9100"/>
    <cellStyle name="Normal 4 2 2 100 5" xfId="21811"/>
    <cellStyle name="Normal 4 2 2 100 6" xfId="15679"/>
    <cellStyle name="Normal 4 2 2 100 7" xfId="29314"/>
    <cellStyle name="Normal 4 2 2 101" xfId="2352"/>
    <cellStyle name="Normal 4 2 2 101 2" xfId="4772"/>
    <cellStyle name="Normal 4 2 2 101 2 2" xfId="11542"/>
    <cellStyle name="Normal 4 2 2 101 2 3" xfId="24232"/>
    <cellStyle name="Normal 4 2 2 101 2 4" xfId="15149"/>
    <cellStyle name="Normal 4 2 2 101 2 5" xfId="31714"/>
    <cellStyle name="Normal 4 2 2 101 3" xfId="6648"/>
    <cellStyle name="Normal 4 2 2 101 3 2" xfId="13418"/>
    <cellStyle name="Normal 4 2 2 101 3 3" xfId="26108"/>
    <cellStyle name="Normal 4 2 2 101 3 4" xfId="16676"/>
    <cellStyle name="Normal 4 2 2 101 3 5" xfId="28743"/>
    <cellStyle name="Normal 4 2 2 101 4" xfId="9122"/>
    <cellStyle name="Normal 4 2 2 101 5" xfId="21830"/>
    <cellStyle name="Normal 4 2 2 101 6" xfId="19765"/>
    <cellStyle name="Normal 4 2 2 101 7" xfId="27192"/>
    <cellStyle name="Normal 4 2 2 102" xfId="2373"/>
    <cellStyle name="Normal 4 2 2 102 2" xfId="4792"/>
    <cellStyle name="Normal 4 2 2 102 2 2" xfId="11562"/>
    <cellStyle name="Normal 4 2 2 102 2 3" xfId="24252"/>
    <cellStyle name="Normal 4 2 2 102 2 4" xfId="17405"/>
    <cellStyle name="Normal 4 2 2 102 2 5" xfId="30686"/>
    <cellStyle name="Normal 4 2 2 102 3" xfId="6666"/>
    <cellStyle name="Normal 4 2 2 102 3 2" xfId="13436"/>
    <cellStyle name="Normal 4 2 2 102 3 3" xfId="26126"/>
    <cellStyle name="Normal 4 2 2 102 3 4" xfId="16564"/>
    <cellStyle name="Normal 4 2 2 102 3 5" xfId="28714"/>
    <cellStyle name="Normal 4 2 2 102 4" xfId="9143"/>
    <cellStyle name="Normal 4 2 2 102 5" xfId="21848"/>
    <cellStyle name="Normal 4 2 2 102 6" xfId="19653"/>
    <cellStyle name="Normal 4 2 2 102 7" xfId="31302"/>
    <cellStyle name="Normal 4 2 2 103" xfId="2393"/>
    <cellStyle name="Normal 4 2 2 103 2" xfId="4811"/>
    <cellStyle name="Normal 4 2 2 103 2 2" xfId="11581"/>
    <cellStyle name="Normal 4 2 2 103 2 3" xfId="24271"/>
    <cellStyle name="Normal 4 2 2 103 2 4" xfId="14896"/>
    <cellStyle name="Normal 4 2 2 103 2 5" xfId="27718"/>
    <cellStyle name="Normal 4 2 2 103 3" xfId="6682"/>
    <cellStyle name="Normal 4 2 2 103 3 2" xfId="13452"/>
    <cellStyle name="Normal 4 2 2 103 3 3" xfId="26142"/>
    <cellStyle name="Normal 4 2 2 103 3 4" xfId="14075"/>
    <cellStyle name="Normal 4 2 2 103 3 5" xfId="26534"/>
    <cellStyle name="Normal 4 2 2 103 4" xfId="9163"/>
    <cellStyle name="Normal 4 2 2 103 5" xfId="21864"/>
    <cellStyle name="Normal 4 2 2 103 6" xfId="15284"/>
    <cellStyle name="Normal 4 2 2 103 7" xfId="30129"/>
    <cellStyle name="Normal 4 2 2 104" xfId="2415"/>
    <cellStyle name="Normal 4 2 2 104 2" xfId="4833"/>
    <cellStyle name="Normal 4 2 2 104 2 2" xfId="11603"/>
    <cellStyle name="Normal 4 2 2 104 2 3" xfId="24293"/>
    <cellStyle name="Normal 4 2 2 104 2 4" xfId="19063"/>
    <cellStyle name="Normal 4 2 2 104 2 5" xfId="28662"/>
    <cellStyle name="Normal 4 2 2 104 3" xfId="6703"/>
    <cellStyle name="Normal 4 2 2 104 3 2" xfId="13473"/>
    <cellStyle name="Normal 4 2 2 104 3 3" xfId="26163"/>
    <cellStyle name="Normal 4 2 2 104 3 4" xfId="13944"/>
    <cellStyle name="Normal 4 2 2 104 3 5" xfId="30627"/>
    <cellStyle name="Normal 4 2 2 104 4" xfId="9185"/>
    <cellStyle name="Normal 4 2 2 104 5" xfId="21885"/>
    <cellStyle name="Normal 4 2 2 104 6" xfId="19390"/>
    <cellStyle name="Normal 4 2 2 104 7" xfId="31243"/>
    <cellStyle name="Normal 4 2 2 105" xfId="2437"/>
    <cellStyle name="Normal 4 2 2 105 2" xfId="4855"/>
    <cellStyle name="Normal 4 2 2 105 2 2" xfId="11625"/>
    <cellStyle name="Normal 4 2 2 105 2 3" xfId="24315"/>
    <cellStyle name="Normal 4 2 2 105 2 4" xfId="16987"/>
    <cellStyle name="Normal 4 2 2 105 2 5" xfId="26476"/>
    <cellStyle name="Normal 4 2 2 105 3" xfId="6723"/>
    <cellStyle name="Normal 4 2 2 105 3 2" xfId="13493"/>
    <cellStyle name="Normal 4 2 2 105 3 3" xfId="26183"/>
    <cellStyle name="Normal 4 2 2 105 3 4" xfId="15942"/>
    <cellStyle name="Normal 4 2 2 105 3 5" xfId="29517"/>
    <cellStyle name="Normal 4 2 2 105 4" xfId="9207"/>
    <cellStyle name="Normal 4 2 2 105 5" xfId="21905"/>
    <cellStyle name="Normal 4 2 2 105 6" xfId="17367"/>
    <cellStyle name="Normal 4 2 2 105 7" xfId="32129"/>
    <cellStyle name="Normal 4 2 2 106" xfId="2456"/>
    <cellStyle name="Normal 4 2 2 106 2" xfId="4874"/>
    <cellStyle name="Normal 4 2 2 106 2 2" xfId="11644"/>
    <cellStyle name="Normal 4 2 2 106 2 3" xfId="24334"/>
    <cellStyle name="Normal 4 2 2 106 2 4" xfId="14478"/>
    <cellStyle name="Normal 4 2 2 106 2 5" xfId="31576"/>
    <cellStyle name="Normal 4 2 2 106 3" xfId="6739"/>
    <cellStyle name="Normal 4 2 2 106 3 2" xfId="13509"/>
    <cellStyle name="Normal 4 2 2 106 3 3" xfId="26199"/>
    <cellStyle name="Normal 4 2 2 106 3 4" xfId="15812"/>
    <cellStyle name="Normal 4 2 2 106 3 5" xfId="30561"/>
    <cellStyle name="Normal 4 2 2 106 4" xfId="9226"/>
    <cellStyle name="Normal 4 2 2 106 5" xfId="21921"/>
    <cellStyle name="Normal 4 2 2 106 6" xfId="13691"/>
    <cellStyle name="Normal 4 2 2 106 7" xfId="27591"/>
    <cellStyle name="Normal 4 2 2 107" xfId="2474"/>
    <cellStyle name="Normal 4 2 2 107 2" xfId="4891"/>
    <cellStyle name="Normal 4 2 2 107 2 2" xfId="11661"/>
    <cellStyle name="Normal 4 2 2 107 2 3" xfId="24351"/>
    <cellStyle name="Normal 4 2 2 107 2 4" xfId="16744"/>
    <cellStyle name="Normal 4 2 2 107 2 5" xfId="26404"/>
    <cellStyle name="Normal 4 2 2 107 3" xfId="6755"/>
    <cellStyle name="Normal 4 2 2 107 3 2" xfId="13525"/>
    <cellStyle name="Normal 4 2 2 107 3 3" xfId="26215"/>
    <cellStyle name="Normal 4 2 2 107 3 4" xfId="26236"/>
    <cellStyle name="Normal 4 2 2 107 3 5" xfId="30698"/>
    <cellStyle name="Normal 4 2 2 107 4" xfId="9244"/>
    <cellStyle name="Normal 4 2 2 107 5" xfId="21937"/>
    <cellStyle name="Normal 4 2 2 107 6" xfId="14747"/>
    <cellStyle name="Normal 4 2 2 107 7" xfId="29119"/>
    <cellStyle name="Normal 4 2 2 108" xfId="2490"/>
    <cellStyle name="Normal 4 2 2 108 2" xfId="4907"/>
    <cellStyle name="Normal 4 2 2 108 2 2" xfId="11677"/>
    <cellStyle name="Normal 4 2 2 108 2 3" xfId="24367"/>
    <cellStyle name="Normal 4 2 2 108 2 4" xfId="14260"/>
    <cellStyle name="Normal 4 2 2 108 2 5" xfId="26382"/>
    <cellStyle name="Normal 4 2 2 108 3" xfId="6770"/>
    <cellStyle name="Normal 4 2 2 108 3 2" xfId="13540"/>
    <cellStyle name="Normal 4 2 2 108 3 3" xfId="26230"/>
    <cellStyle name="Normal 4 2 2 108 3 4" xfId="26251"/>
    <cellStyle name="Normal 4 2 2 108 3 5" xfId="27427"/>
    <cellStyle name="Normal 4 2 2 108 4" xfId="9260"/>
    <cellStyle name="Normal 4 2 2 108 5" xfId="21952"/>
    <cellStyle name="Normal 4 2 2 108 6" xfId="17269"/>
    <cellStyle name="Normal 4 2 2 108 7" xfId="26979"/>
    <cellStyle name="Normal 4 2 2 109" xfId="2529"/>
    <cellStyle name="Normal 4 2 2 109 2" xfId="9299"/>
    <cellStyle name="Normal 4 2 2 109 3" xfId="21989"/>
    <cellStyle name="Normal 4 2 2 109 4" xfId="18736"/>
    <cellStyle name="Normal 4 2 2 109 5" xfId="31063"/>
    <cellStyle name="Normal 4 2 2 11" xfId="297"/>
    <cellStyle name="Normal 4 2 2 11 2" xfId="2773"/>
    <cellStyle name="Normal 4 2 2 11 2 2" xfId="9543"/>
    <cellStyle name="Normal 4 2 2 11 2 3" xfId="22233"/>
    <cellStyle name="Normal 4 2 2 11 2 4" xfId="15685"/>
    <cellStyle name="Normal 4 2 2 11 2 5" xfId="31641"/>
    <cellStyle name="Normal 4 2 2 11 3" xfId="3586"/>
    <cellStyle name="Normal 4 2 2 11 3 2" xfId="10356"/>
    <cellStyle name="Normal 4 2 2 11 3 3" xfId="23046"/>
    <cellStyle name="Normal 4 2 2 11 3 4" xfId="16643"/>
    <cellStyle name="Normal 4 2 2 11 3 5" xfId="28541"/>
    <cellStyle name="Normal 4 2 2 11 4" xfId="7067"/>
    <cellStyle name="Normal 4 2 2 11 5" xfId="14692"/>
    <cellStyle name="Normal 4 2 2 11 6" xfId="19663"/>
    <cellStyle name="Normal 4 2 2 11 7" xfId="27147"/>
    <cellStyle name="Normal 4 2 2 110" xfId="4103"/>
    <cellStyle name="Normal 4 2 2 110 2" xfId="10873"/>
    <cellStyle name="Normal 4 2 2 110 3" xfId="23563"/>
    <cellStyle name="Normal 4 2 2 110 4" xfId="15128"/>
    <cellStyle name="Normal 4 2 2 110 5" xfId="28213"/>
    <cellStyle name="Normal 4 2 2 111" xfId="6813"/>
    <cellStyle name="Normal 4 2 2 112" xfId="15163"/>
    <cellStyle name="Normal 4 2 2 113" xfId="15330"/>
    <cellStyle name="Normal 4 2 2 114" xfId="28842"/>
    <cellStyle name="Normal 4 2 2 115" xfId="32485"/>
    <cellStyle name="Normal 4 2 2 116" xfId="32508"/>
    <cellStyle name="Normal 4 2 2 117" xfId="32531"/>
    <cellStyle name="Normal 4 2 2 118" xfId="32554"/>
    <cellStyle name="Normal 4 2 2 119" xfId="32577"/>
    <cellStyle name="Normal 4 2 2 12" xfId="324"/>
    <cellStyle name="Normal 4 2 2 12 2" xfId="2800"/>
    <cellStyle name="Normal 4 2 2 12 2 2" xfId="9570"/>
    <cellStyle name="Normal 4 2 2 12 2 3" xfId="22260"/>
    <cellStyle name="Normal 4 2 2 12 2 4" xfId="13725"/>
    <cellStyle name="Normal 4 2 2 12 2 5" xfId="27637"/>
    <cellStyle name="Normal 4 2 2 12 3" xfId="3062"/>
    <cellStyle name="Normal 4 2 2 12 3 2" xfId="9832"/>
    <cellStyle name="Normal 4 2 2 12 3 3" xfId="22522"/>
    <cellStyle name="Normal 4 2 2 12 3 4" xfId="15584"/>
    <cellStyle name="Normal 4 2 2 12 3 5" xfId="29282"/>
    <cellStyle name="Normal 4 2 2 12 4" xfId="7094"/>
    <cellStyle name="Normal 4 2 2 12 5" xfId="14121"/>
    <cellStyle name="Normal 4 2 2 12 6" xfId="19508"/>
    <cellStyle name="Normal 4 2 2 12 7" xfId="31258"/>
    <cellStyle name="Normal 4 2 2 120" xfId="32600"/>
    <cellStyle name="Normal 4 2 2 121" xfId="32623"/>
    <cellStyle name="Normal 4 2 2 122" xfId="32646"/>
    <cellStyle name="Normal 4 2 2 123" xfId="32669"/>
    <cellStyle name="Normal 4 2 2 124" xfId="32692"/>
    <cellStyle name="Normal 4 2 2 125" xfId="32715"/>
    <cellStyle name="Normal 4 2 2 126" xfId="32738"/>
    <cellStyle name="Normal 4 2 2 127" xfId="32761"/>
    <cellStyle name="Normal 4 2 2 128" xfId="32784"/>
    <cellStyle name="Normal 4 2 2 129" xfId="32807"/>
    <cellStyle name="Normal 4 2 2 13" xfId="347"/>
    <cellStyle name="Normal 4 2 2 13 2" xfId="2823"/>
    <cellStyle name="Normal 4 2 2 13 2 2" xfId="9593"/>
    <cellStyle name="Normal 4 2 2 13 2 3" xfId="22283"/>
    <cellStyle name="Normal 4 2 2 13 2 4" xfId="7007"/>
    <cellStyle name="Normal 4 2 2 13 2 5" xfId="30552"/>
    <cellStyle name="Normal 4 2 2 13 3" xfId="4731"/>
    <cellStyle name="Normal 4 2 2 13 3 2" xfId="11501"/>
    <cellStyle name="Normal 4 2 2 13 3 3" xfId="24191"/>
    <cellStyle name="Normal 4 2 2 13 3 4" xfId="19667"/>
    <cellStyle name="Normal 4 2 2 13 3 5" xfId="28828"/>
    <cellStyle name="Normal 4 2 2 13 4" xfId="7117"/>
    <cellStyle name="Normal 4 2 2 13 5" xfId="15766"/>
    <cellStyle name="Normal 4 2 2 13 6" xfId="15102"/>
    <cellStyle name="Normal 4 2 2 13 7" xfId="29178"/>
    <cellStyle name="Normal 4 2 2 130" xfId="32830"/>
    <cellStyle name="Normal 4 2 2 131" xfId="32853"/>
    <cellStyle name="Normal 4 2 2 132" xfId="32876"/>
    <cellStyle name="Normal 4 2 2 133" xfId="32898"/>
    <cellStyle name="Normal 4 2 2 134" xfId="32921"/>
    <cellStyle name="Normal 4 2 2 135" xfId="32944"/>
    <cellStyle name="Normal 4 2 2 136" xfId="32967"/>
    <cellStyle name="Normal 4 2 2 137" xfId="32990"/>
    <cellStyle name="Normal 4 2 2 138" xfId="33013"/>
    <cellStyle name="Normal 4 2 2 139" xfId="33036"/>
    <cellStyle name="Normal 4 2 2 14" xfId="370"/>
    <cellStyle name="Normal 4 2 2 14 2" xfId="2846"/>
    <cellStyle name="Normal 4 2 2 14 2 2" xfId="9616"/>
    <cellStyle name="Normal 4 2 2 14 2 3" xfId="22306"/>
    <cellStyle name="Normal 4 2 2 14 2 4" xfId="8382"/>
    <cellStyle name="Normal 4 2 2 14 2 5" xfId="27555"/>
    <cellStyle name="Normal 4 2 2 14 3" xfId="4928"/>
    <cellStyle name="Normal 4 2 2 14 3 2" xfId="11698"/>
    <cellStyle name="Normal 4 2 2 14 3 3" xfId="24388"/>
    <cellStyle name="Normal 4 2 2 14 3 4" xfId="14123"/>
    <cellStyle name="Normal 4 2 2 14 3 5" xfId="32418"/>
    <cellStyle name="Normal 4 2 2 14 4" xfId="7140"/>
    <cellStyle name="Normal 4 2 2 14 5" xfId="20110"/>
    <cellStyle name="Normal 4 2 2 14 6" xfId="17313"/>
    <cellStyle name="Normal 4 2 2 14 7" xfId="31501"/>
    <cellStyle name="Normal 4 2 2 140" xfId="33059"/>
    <cellStyle name="Normal 4 2 2 141" xfId="33082"/>
    <cellStyle name="Normal 4 2 2 142" xfId="33105"/>
    <cellStyle name="Normal 4 2 2 143" xfId="33127"/>
    <cellStyle name="Normal 4 2 2 144" xfId="33150"/>
    <cellStyle name="Normal 4 2 2 145" xfId="33169"/>
    <cellStyle name="Normal 4 2 2 146" xfId="33191"/>
    <cellStyle name="Normal 4 2 2 147" xfId="33207"/>
    <cellStyle name="Normal 4 2 2 148" xfId="33223"/>
    <cellStyle name="Normal 4 2 2 149" xfId="33261"/>
    <cellStyle name="Normal 4 2 2 15" xfId="393"/>
    <cellStyle name="Normal 4 2 2 15 2" xfId="2869"/>
    <cellStyle name="Normal 4 2 2 15 2 2" xfId="9639"/>
    <cellStyle name="Normal 4 2 2 15 2 3" xfId="22329"/>
    <cellStyle name="Normal 4 2 2 15 2 4" xfId="7900"/>
    <cellStyle name="Normal 4 2 2 15 2 5" xfId="32421"/>
    <cellStyle name="Normal 4 2 2 15 3" xfId="4948"/>
    <cellStyle name="Normal 4 2 2 15 3 2" xfId="11718"/>
    <cellStyle name="Normal 4 2 2 15 3 3" xfId="24408"/>
    <cellStyle name="Normal 4 2 2 15 3 4" xfId="15974"/>
    <cellStyle name="Normal 4 2 2 15 3 5" xfId="31494"/>
    <cellStyle name="Normal 4 2 2 15 4" xfId="7163"/>
    <cellStyle name="Normal 4 2 2 15 5" xfId="20130"/>
    <cellStyle name="Normal 4 2 2 15 6" xfId="19098"/>
    <cellStyle name="Normal 4 2 2 15 7" xfId="27007"/>
    <cellStyle name="Normal 4 2 2 150" xfId="33284"/>
    <cellStyle name="Normal 4 2 2 151" xfId="33307"/>
    <cellStyle name="Normal 4 2 2 152" xfId="33330"/>
    <cellStyle name="Normal 4 2 2 153" xfId="33353"/>
    <cellStyle name="Normal 4 2 2 154" xfId="33376"/>
    <cellStyle name="Normal 4 2 2 155" xfId="33399"/>
    <cellStyle name="Normal 4 2 2 156" xfId="33422"/>
    <cellStyle name="Normal 4 2 2 157" xfId="33445"/>
    <cellStyle name="Normal 4 2 2 158" xfId="33468"/>
    <cellStyle name="Normal 4 2 2 159" xfId="33491"/>
    <cellStyle name="Normal 4 2 2 16" xfId="416"/>
    <cellStyle name="Normal 4 2 2 16 2" xfId="2891"/>
    <cellStyle name="Normal 4 2 2 16 2 2" xfId="9661"/>
    <cellStyle name="Normal 4 2 2 16 2 3" xfId="22351"/>
    <cellStyle name="Normal 4 2 2 16 2 4" xfId="7443"/>
    <cellStyle name="Normal 4 2 2 16 2 5" xfId="30317"/>
    <cellStyle name="Normal 4 2 2 16 3" xfId="4968"/>
    <cellStyle name="Normal 4 2 2 16 3 2" xfId="11738"/>
    <cellStyle name="Normal 4 2 2 16 3 3" xfId="24428"/>
    <cellStyle name="Normal 4 2 2 16 3 4" xfId="16142"/>
    <cellStyle name="Normal 4 2 2 16 3 5" xfId="26761"/>
    <cellStyle name="Normal 4 2 2 16 4" xfId="7186"/>
    <cellStyle name="Normal 4 2 2 16 5" xfId="20150"/>
    <cellStyle name="Normal 4 2 2 16 6" xfId="14649"/>
    <cellStyle name="Normal 4 2 2 16 7" xfId="29978"/>
    <cellStyle name="Normal 4 2 2 160" xfId="33514"/>
    <cellStyle name="Normal 4 2 2 161" xfId="33537"/>
    <cellStyle name="Normal 4 2 2 162" xfId="33560"/>
    <cellStyle name="Normal 4 2 2 163" xfId="33583"/>
    <cellStyle name="Normal 4 2 2 164" xfId="33606"/>
    <cellStyle name="Normal 4 2 2 165" xfId="33629"/>
    <cellStyle name="Normal 4 2 2 166" xfId="33651"/>
    <cellStyle name="Normal 4 2 2 167" xfId="33673"/>
    <cellStyle name="Normal 4 2 2 168" xfId="33696"/>
    <cellStyle name="Normal 4 2 2 169" xfId="33719"/>
    <cellStyle name="Normal 4 2 2 17" xfId="438"/>
    <cellStyle name="Normal 4 2 2 17 2" xfId="2913"/>
    <cellStyle name="Normal 4 2 2 17 2 2" xfId="9683"/>
    <cellStyle name="Normal 4 2 2 17 2 3" xfId="22373"/>
    <cellStyle name="Normal 4 2 2 17 2 4" xfId="8773"/>
    <cellStyle name="Normal 4 2 2 17 2 5" xfId="30706"/>
    <cellStyle name="Normal 4 2 2 17 3" xfId="4987"/>
    <cellStyle name="Normal 4 2 2 17 3 2" xfId="11757"/>
    <cellStyle name="Normal 4 2 2 17 3 3" xfId="24447"/>
    <cellStyle name="Normal 4 2 2 17 3 4" xfId="18227"/>
    <cellStyle name="Normal 4 2 2 17 3 5" xfId="26654"/>
    <cellStyle name="Normal 4 2 2 17 4" xfId="7208"/>
    <cellStyle name="Normal 4 2 2 17 5" xfId="20169"/>
    <cellStyle name="Normal 4 2 2 17 6" xfId="18825"/>
    <cellStyle name="Normal 4 2 2 17 7" xfId="30470"/>
    <cellStyle name="Normal 4 2 2 170" xfId="33742"/>
    <cellStyle name="Normal 4 2 2 171" xfId="33765"/>
    <cellStyle name="Normal 4 2 2 172" xfId="33788"/>
    <cellStyle name="Normal 4 2 2 173" xfId="33811"/>
    <cellStyle name="Normal 4 2 2 174" xfId="33834"/>
    <cellStyle name="Normal 4 2 2 175" xfId="33857"/>
    <cellStyle name="Normal 4 2 2 176" xfId="33880"/>
    <cellStyle name="Normal 4 2 2 177" xfId="33903"/>
    <cellStyle name="Normal 4 2 2 178" xfId="33926"/>
    <cellStyle name="Normal 4 2 2 179" xfId="33949"/>
    <cellStyle name="Normal 4 2 2 18" xfId="461"/>
    <cellStyle name="Normal 4 2 2 18 2" xfId="2936"/>
    <cellStyle name="Normal 4 2 2 18 2 2" xfId="9706"/>
    <cellStyle name="Normal 4 2 2 18 2 3" xfId="22396"/>
    <cellStyle name="Normal 4 2 2 18 2 4" xfId="8296"/>
    <cellStyle name="Normal 4 2 2 18 2 5" xfId="28679"/>
    <cellStyle name="Normal 4 2 2 18 3" xfId="5007"/>
    <cellStyle name="Normal 4 2 2 18 3 2" xfId="11777"/>
    <cellStyle name="Normal 4 2 2 18 3 3" xfId="24467"/>
    <cellStyle name="Normal 4 2 2 18 3 4" xfId="17520"/>
    <cellStyle name="Normal 4 2 2 18 3 5" xfId="28760"/>
    <cellStyle name="Normal 4 2 2 18 4" xfId="7231"/>
    <cellStyle name="Normal 4 2 2 18 5" xfId="20189"/>
    <cellStyle name="Normal 4 2 2 18 6" xfId="14345"/>
    <cellStyle name="Normal 4 2 2 18 7" xfId="29018"/>
    <cellStyle name="Normal 4 2 2 180" xfId="33972"/>
    <cellStyle name="Normal 4 2 2 181" xfId="33994"/>
    <cellStyle name="Normal 4 2 2 182" xfId="34015"/>
    <cellStyle name="Normal 4 2 2 183" xfId="34033"/>
    <cellStyle name="Normal 4 2 2 184" xfId="34049"/>
    <cellStyle name="Normal 4 2 2 19" xfId="484"/>
    <cellStyle name="Normal 4 2 2 19 2" xfId="2959"/>
    <cellStyle name="Normal 4 2 2 19 2 2" xfId="9729"/>
    <cellStyle name="Normal 4 2 2 19 2 3" xfId="22419"/>
    <cellStyle name="Normal 4 2 2 19 2 4" xfId="7815"/>
    <cellStyle name="Normal 4 2 2 19 2 5" xfId="31612"/>
    <cellStyle name="Normal 4 2 2 19 3" xfId="5027"/>
    <cellStyle name="Normal 4 2 2 19 3 2" xfId="11797"/>
    <cellStyle name="Normal 4 2 2 19 3 3" xfId="24487"/>
    <cellStyle name="Normal 4 2 2 19 3 4" xfId="15649"/>
    <cellStyle name="Normal 4 2 2 19 3 5" xfId="27751"/>
    <cellStyle name="Normal 4 2 2 19 4" xfId="7254"/>
    <cellStyle name="Normal 4 2 2 19 5" xfId="20209"/>
    <cellStyle name="Normal 4 2 2 19 6" xfId="16565"/>
    <cellStyle name="Normal 4 2 2 19 7" xfId="31948"/>
    <cellStyle name="Normal 4 2 2 2" xfId="93"/>
    <cellStyle name="Normal 4 2 2 2 2" xfId="2577"/>
    <cellStyle name="Normal 4 2 2 2 2 2" xfId="9347"/>
    <cellStyle name="Normal 4 2 2 2 2 3" xfId="22037"/>
    <cellStyle name="Normal 4 2 2 2 2 4" xfId="18442"/>
    <cellStyle name="Normal 4 2 2 2 2 5" xfId="30977"/>
    <cellStyle name="Normal 4 2 2 2 3" xfId="3056"/>
    <cellStyle name="Normal 4 2 2 2 3 2" xfId="9826"/>
    <cellStyle name="Normal 4 2 2 2 3 3" xfId="22516"/>
    <cellStyle name="Normal 4 2 2 2 3 4" xfId="15608"/>
    <cellStyle name="Normal 4 2 2 2 3 5" xfId="29288"/>
    <cellStyle name="Normal 4 2 2 2 4" xfId="6863"/>
    <cellStyle name="Normal 4 2 2 2 5" xfId="14129"/>
    <cellStyle name="Normal 4 2 2 2 6" xfId="19286"/>
    <cellStyle name="Normal 4 2 2 2 7" xfId="26621"/>
    <cellStyle name="Normal 4 2 2 20" xfId="507"/>
    <cellStyle name="Normal 4 2 2 20 2" xfId="2982"/>
    <cellStyle name="Normal 4 2 2 20 2 2" xfId="9752"/>
    <cellStyle name="Normal 4 2 2 20 2 3" xfId="22442"/>
    <cellStyle name="Normal 4 2 2 20 2 4" xfId="7336"/>
    <cellStyle name="Normal 4 2 2 20 2 5" xfId="27302"/>
    <cellStyle name="Normal 4 2 2 20 3" xfId="5047"/>
    <cellStyle name="Normal 4 2 2 20 3 2" xfId="11817"/>
    <cellStyle name="Normal 4 2 2 20 3 3" xfId="24507"/>
    <cellStyle name="Normal 4 2 2 20 3 4" xfId="17834"/>
    <cellStyle name="Normal 4 2 2 20 3 5" xfId="29586"/>
    <cellStyle name="Normal 4 2 2 20 4" xfId="7277"/>
    <cellStyle name="Normal 4 2 2 20 5" xfId="20229"/>
    <cellStyle name="Normal 4 2 2 20 6" xfId="18413"/>
    <cellStyle name="Normal 4 2 2 20 7" xfId="26819"/>
    <cellStyle name="Normal 4 2 2 21" xfId="530"/>
    <cellStyle name="Normal 4 2 2 21 2" xfId="3005"/>
    <cellStyle name="Normal 4 2 2 21 2 2" xfId="9775"/>
    <cellStyle name="Normal 4 2 2 21 2 3" xfId="22465"/>
    <cellStyle name="Normal 4 2 2 21 2 4" xfId="9068"/>
    <cellStyle name="Normal 4 2 2 21 2 5" xfId="30246"/>
    <cellStyle name="Normal 4 2 2 21 3" xfId="5067"/>
    <cellStyle name="Normal 4 2 2 21 3 2" xfId="11837"/>
    <cellStyle name="Normal 4 2 2 21 3 3" xfId="24527"/>
    <cellStyle name="Normal 4 2 2 21 3 4" xfId="19591"/>
    <cellStyle name="Normal 4 2 2 21 3 5" xfId="31633"/>
    <cellStyle name="Normal 4 2 2 21 4" xfId="7300"/>
    <cellStyle name="Normal 4 2 2 21 5" xfId="20249"/>
    <cellStyle name="Normal 4 2 2 21 6" xfId="13878"/>
    <cellStyle name="Normal 4 2 2 21 7" xfId="29814"/>
    <cellStyle name="Normal 4 2 2 22" xfId="553"/>
    <cellStyle name="Normal 4 2 2 22 2" xfId="3026"/>
    <cellStyle name="Normal 4 2 2 22 2 2" xfId="9796"/>
    <cellStyle name="Normal 4 2 2 22 2 3" xfId="22486"/>
    <cellStyle name="Normal 4 2 2 22 2 4" xfId="7015"/>
    <cellStyle name="Normal 4 2 2 22 2 5" xfId="29321"/>
    <cellStyle name="Normal 4 2 2 22 3" xfId="5087"/>
    <cellStyle name="Normal 4 2 2 22 3 2" xfId="11857"/>
    <cellStyle name="Normal 4 2 2 22 3 3" xfId="24547"/>
    <cellStyle name="Normal 4 2 2 22 3 4" xfId="15215"/>
    <cellStyle name="Normal 4 2 2 22 3 5" xfId="30593"/>
    <cellStyle name="Normal 4 2 2 22 4" xfId="7323"/>
    <cellStyle name="Normal 4 2 2 22 5" xfId="20269"/>
    <cellStyle name="Normal 4 2 2 22 6" xfId="18222"/>
    <cellStyle name="Normal 4 2 2 22 7" xfId="27918"/>
    <cellStyle name="Normal 4 2 2 23" xfId="576"/>
    <cellStyle name="Normal 4 2 2 23 2" xfId="3049"/>
    <cellStyle name="Normal 4 2 2 23 2 2" xfId="9819"/>
    <cellStyle name="Normal 4 2 2 23 2 3" xfId="22509"/>
    <cellStyle name="Normal 4 2 2 23 2 4" xfId="18053"/>
    <cellStyle name="Normal 4 2 2 23 2 5" xfId="32263"/>
    <cellStyle name="Normal 4 2 2 23 3" xfId="5107"/>
    <cellStyle name="Normal 4 2 2 23 3 2" xfId="11877"/>
    <cellStyle name="Normal 4 2 2 23 3 3" xfId="24567"/>
    <cellStyle name="Normal 4 2 2 23 3 4" xfId="17505"/>
    <cellStyle name="Normal 4 2 2 23 3 5" xfId="27589"/>
    <cellStyle name="Normal 4 2 2 23 4" xfId="7346"/>
    <cellStyle name="Normal 4 2 2 23 5" xfId="20289"/>
    <cellStyle name="Normal 4 2 2 23 6" xfId="18327"/>
    <cellStyle name="Normal 4 2 2 23 7" xfId="30855"/>
    <cellStyle name="Normal 4 2 2 24" xfId="597"/>
    <cellStyle name="Normal 4 2 2 24 2" xfId="3070"/>
    <cellStyle name="Normal 4 2 2 24 2 2" xfId="9840"/>
    <cellStyle name="Normal 4 2 2 24 2 3" xfId="22530"/>
    <cellStyle name="Normal 4 2 2 24 2 4" xfId="17911"/>
    <cellStyle name="Normal 4 2 2 24 2 5" xfId="28347"/>
    <cellStyle name="Normal 4 2 2 24 3" xfId="5125"/>
    <cellStyle name="Normal 4 2 2 24 3 2" xfId="11895"/>
    <cellStyle name="Normal 4 2 2 24 3 3" xfId="24585"/>
    <cellStyle name="Normal 4 2 2 24 3 4" xfId="17339"/>
    <cellStyle name="Normal 4 2 2 24 3 5" xfId="27550"/>
    <cellStyle name="Normal 4 2 2 24 4" xfId="7367"/>
    <cellStyle name="Normal 4 2 2 24 5" xfId="20307"/>
    <cellStyle name="Normal 4 2 2 24 6" xfId="18032"/>
    <cellStyle name="Normal 4 2 2 24 7" xfId="26681"/>
    <cellStyle name="Normal 4 2 2 25" xfId="620"/>
    <cellStyle name="Normal 4 2 2 25 2" xfId="3093"/>
    <cellStyle name="Normal 4 2 2 25 2 2" xfId="9863"/>
    <cellStyle name="Normal 4 2 2 25 2 3" xfId="22553"/>
    <cellStyle name="Normal 4 2 2 25 2 4" xfId="19642"/>
    <cellStyle name="Normal 4 2 2 25 2 5" xfId="31282"/>
    <cellStyle name="Normal 4 2 2 25 3" xfId="5145"/>
    <cellStyle name="Normal 4 2 2 25 3 2" xfId="11915"/>
    <cellStyle name="Normal 4 2 2 25 3 3" xfId="24605"/>
    <cellStyle name="Normal 4 2 2 25 3 4" xfId="19120"/>
    <cellStyle name="Normal 4 2 2 25 3 5" xfId="26259"/>
    <cellStyle name="Normal 4 2 2 25 4" xfId="7390"/>
    <cellStyle name="Normal 4 2 2 25 5" xfId="20327"/>
    <cellStyle name="Normal 4 2 2 25 6" xfId="15767"/>
    <cellStyle name="Normal 4 2 2 25 7" xfId="29675"/>
    <cellStyle name="Normal 4 2 2 26" xfId="645"/>
    <cellStyle name="Normal 4 2 2 26 2" xfId="3118"/>
    <cellStyle name="Normal 4 2 2 26 2 2" xfId="9888"/>
    <cellStyle name="Normal 4 2 2 26 2 3" xfId="22578"/>
    <cellStyle name="Normal 4 2 2 26 2 4" xfId="17612"/>
    <cellStyle name="Normal 4 2 2 26 2 5" xfId="28281"/>
    <cellStyle name="Normal 4 2 2 26 3" xfId="5167"/>
    <cellStyle name="Normal 4 2 2 26 3 2" xfId="11937"/>
    <cellStyle name="Normal 4 2 2 26 3 3" xfId="24627"/>
    <cellStyle name="Normal 4 2 2 26 3 4" xfId="17052"/>
    <cellStyle name="Normal 4 2 2 26 3 5" xfId="27512"/>
    <cellStyle name="Normal 4 2 2 26 4" xfId="7415"/>
    <cellStyle name="Normal 4 2 2 26 5" xfId="20349"/>
    <cellStyle name="Normal 4 2 2 26 6" xfId="19529"/>
    <cellStyle name="Normal 4 2 2 26 7" xfId="26601"/>
    <cellStyle name="Normal 4 2 2 27" xfId="666"/>
    <cellStyle name="Normal 4 2 2 27 2" xfId="3138"/>
    <cellStyle name="Normal 4 2 2 27 2 2" xfId="9908"/>
    <cellStyle name="Normal 4 2 2 27 2 3" xfId="22598"/>
    <cellStyle name="Normal 4 2 2 27 2 4" xfId="18195"/>
    <cellStyle name="Normal 4 2 2 27 2 5" xfId="27070"/>
    <cellStyle name="Normal 4 2 2 27 3" xfId="5185"/>
    <cellStyle name="Normal 4 2 2 27 3 2" xfId="11955"/>
    <cellStyle name="Normal 4 2 2 27 3 3" xfId="24645"/>
    <cellStyle name="Normal 4 2 2 27 3 4" xfId="16942"/>
    <cellStyle name="Normal 4 2 2 27 3 5" xfId="28533"/>
    <cellStyle name="Normal 4 2 2 27 4" xfId="7436"/>
    <cellStyle name="Normal 4 2 2 27 5" xfId="20367"/>
    <cellStyle name="Normal 4 2 2 27 6" xfId="14689"/>
    <cellStyle name="Normal 4 2 2 27 7" xfId="30697"/>
    <cellStyle name="Normal 4 2 2 28" xfId="688"/>
    <cellStyle name="Normal 4 2 2 28 2" xfId="3160"/>
    <cellStyle name="Normal 4 2 2 28 2 2" xfId="9930"/>
    <cellStyle name="Normal 4 2 2 28 2 3" xfId="22620"/>
    <cellStyle name="Normal 4 2 2 28 2 4" xfId="17333"/>
    <cellStyle name="Normal 4 2 2 28 2 5" xfId="28211"/>
    <cellStyle name="Normal 4 2 2 28 3" xfId="5205"/>
    <cellStyle name="Normal 4 2 2 28 3 2" xfId="11975"/>
    <cellStyle name="Normal 4 2 2 28 3 3" xfId="24665"/>
    <cellStyle name="Normal 4 2 2 28 3 4" xfId="18597"/>
    <cellStyle name="Normal 4 2 2 28 3 5" xfId="27325"/>
    <cellStyle name="Normal 4 2 2 28 4" xfId="7458"/>
    <cellStyle name="Normal 4 2 2 28 5" xfId="20387"/>
    <cellStyle name="Normal 4 2 2 28 6" xfId="19254"/>
    <cellStyle name="Normal 4 2 2 28 7" xfId="31647"/>
    <cellStyle name="Normal 4 2 2 29" xfId="711"/>
    <cellStyle name="Normal 4 2 2 29 2" xfId="3183"/>
    <cellStyle name="Normal 4 2 2 29 2 2" xfId="9953"/>
    <cellStyle name="Normal 4 2 2 29 2 3" xfId="22643"/>
    <cellStyle name="Normal 4 2 2 29 2 4" xfId="19115"/>
    <cellStyle name="Normal 4 2 2 29 2 5" xfId="31146"/>
    <cellStyle name="Normal 4 2 2 29 3" xfId="5225"/>
    <cellStyle name="Normal 4 2 2 29 3 2" xfId="11995"/>
    <cellStyle name="Normal 4 2 2 29 3 3" xfId="24685"/>
    <cellStyle name="Normal 4 2 2 29 3 4" xfId="14306"/>
    <cellStyle name="Normal 4 2 2 29 3 5" xfId="29375"/>
    <cellStyle name="Normal 4 2 2 29 4" xfId="7481"/>
    <cellStyle name="Normal 4 2 2 29 5" xfId="20407"/>
    <cellStyle name="Normal 4 2 2 29 6" xfId="17180"/>
    <cellStyle name="Normal 4 2 2 29 7" xfId="26485"/>
    <cellStyle name="Normal 4 2 2 3" xfId="117"/>
    <cellStyle name="Normal 4 2 2 3 2" xfId="2601"/>
    <cellStyle name="Normal 4 2 2 3 2 2" xfId="9371"/>
    <cellStyle name="Normal 4 2 2 3 2 3" xfId="22061"/>
    <cellStyle name="Normal 4 2 2 3 2 4" xfId="18304"/>
    <cellStyle name="Normal 4 2 2 3 2 5" xfId="30944"/>
    <cellStyle name="Normal 4 2 2 3 3" xfId="4308"/>
    <cellStyle name="Normal 4 2 2 3 3 2" xfId="11078"/>
    <cellStyle name="Normal 4 2 2 3 3 3" xfId="23768"/>
    <cellStyle name="Normal 4 2 2 3 3 4" xfId="20088"/>
    <cellStyle name="Normal 4 2 2 3 3 5" xfId="29744"/>
    <cellStyle name="Normal 4 2 2 3 4" xfId="6887"/>
    <cellStyle name="Normal 4 2 2 3 5" xfId="15360"/>
    <cellStyle name="Normal 4 2 2 3 6" xfId="17181"/>
    <cellStyle name="Normal 4 2 2 3 7" xfId="26585"/>
    <cellStyle name="Normal 4 2 2 30" xfId="734"/>
    <cellStyle name="Normal 4 2 2 30 2" xfId="3205"/>
    <cellStyle name="Normal 4 2 2 30 2 2" xfId="9975"/>
    <cellStyle name="Normal 4 2 2 30 2 3" xfId="22665"/>
    <cellStyle name="Normal 4 2 2 30 2 4" xfId="16056"/>
    <cellStyle name="Normal 4 2 2 30 2 5" xfId="32045"/>
    <cellStyle name="Normal 4 2 2 30 3" xfId="5244"/>
    <cellStyle name="Normal 4 2 2 30 3 2" xfId="12014"/>
    <cellStyle name="Normal 4 2 2 30 3 3" xfId="24704"/>
    <cellStyle name="Normal 4 2 2 30 3 4" xfId="18511"/>
    <cellStyle name="Normal 4 2 2 30 3 5" xfId="30522"/>
    <cellStyle name="Normal 4 2 2 30 4" xfId="7504"/>
    <cellStyle name="Normal 4 2 2 30 5" xfId="20426"/>
    <cellStyle name="Normal 4 2 2 30 6" xfId="14683"/>
    <cellStyle name="Normal 4 2 2 30 7" xfId="29495"/>
    <cellStyle name="Normal 4 2 2 31" xfId="758"/>
    <cellStyle name="Normal 4 2 2 31 2" xfId="3229"/>
    <cellStyle name="Normal 4 2 2 31 2 2" xfId="9999"/>
    <cellStyle name="Normal 4 2 2 31 2 3" xfId="22689"/>
    <cellStyle name="Normal 4 2 2 31 2 4" xfId="16873"/>
    <cellStyle name="Normal 4 2 2 31 2 5" xfId="30600"/>
    <cellStyle name="Normal 4 2 2 31 3" xfId="5265"/>
    <cellStyle name="Normal 4 2 2 31 3 2" xfId="12035"/>
    <cellStyle name="Normal 4 2 2 31 3 3" xfId="24725"/>
    <cellStyle name="Normal 4 2 2 31 3 4" xfId="18416"/>
    <cellStyle name="Normal 4 2 2 31 3 5" xfId="26375"/>
    <cellStyle name="Normal 4 2 2 31 4" xfId="7528"/>
    <cellStyle name="Normal 4 2 2 31 5" xfId="20447"/>
    <cellStyle name="Normal 4 2 2 31 6" xfId="18768"/>
    <cellStyle name="Normal 4 2 2 31 7" xfId="30900"/>
    <cellStyle name="Normal 4 2 2 32" xfId="782"/>
    <cellStyle name="Normal 4 2 2 32 2" xfId="3252"/>
    <cellStyle name="Normal 4 2 2 32 2 2" xfId="10022"/>
    <cellStyle name="Normal 4 2 2 32 2 3" xfId="22712"/>
    <cellStyle name="Normal 4 2 2 32 2 4" xfId="18705"/>
    <cellStyle name="Normal 4 2 2 32 2 5" xfId="26889"/>
    <cellStyle name="Normal 4 2 2 32 3" xfId="5286"/>
    <cellStyle name="Normal 4 2 2 32 3 2" xfId="12056"/>
    <cellStyle name="Normal 4 2 2 32 3 3" xfId="24746"/>
    <cellStyle name="Normal 4 2 2 32 3 4" xfId="18298"/>
    <cellStyle name="Normal 4 2 2 32 3 5" xfId="30448"/>
    <cellStyle name="Normal 4 2 2 32 4" xfId="7552"/>
    <cellStyle name="Normal 4 2 2 32 5" xfId="20468"/>
    <cellStyle name="Normal 4 2 2 32 6" xfId="16636"/>
    <cellStyle name="Normal 4 2 2 32 7" xfId="30358"/>
    <cellStyle name="Normal 4 2 2 33" xfId="805"/>
    <cellStyle name="Normal 4 2 2 33 2" xfId="3273"/>
    <cellStyle name="Normal 4 2 2 33 2 2" xfId="10043"/>
    <cellStyle name="Normal 4 2 2 33 2 3" xfId="22733"/>
    <cellStyle name="Normal 4 2 2 33 2 4" xfId="18586"/>
    <cellStyle name="Normal 4 2 2 33 2 5" xfId="30996"/>
    <cellStyle name="Normal 4 2 2 33 3" xfId="5306"/>
    <cellStyle name="Normal 4 2 2 33 3 2" xfId="12076"/>
    <cellStyle name="Normal 4 2 2 33 3 3" xfId="24766"/>
    <cellStyle name="Normal 4 2 2 33 3 4" xfId="13566"/>
    <cellStyle name="Normal 4 2 2 33 3 5" xfId="20082"/>
    <cellStyle name="Normal 4 2 2 33 4" xfId="7575"/>
    <cellStyle name="Normal 4 2 2 33 5" xfId="20488"/>
    <cellStyle name="Normal 4 2 2 33 6" xfId="18505"/>
    <cellStyle name="Normal 4 2 2 33 7" xfId="28527"/>
    <cellStyle name="Normal 4 2 2 34" xfId="828"/>
    <cellStyle name="Normal 4 2 2 34 2" xfId="3296"/>
    <cellStyle name="Normal 4 2 2 34 2 2" xfId="10066"/>
    <cellStyle name="Normal 4 2 2 34 2 3" xfId="22756"/>
    <cellStyle name="Normal 4 2 2 34 2 4" xfId="14052"/>
    <cellStyle name="Normal 4 2 2 34 2 5" xfId="27458"/>
    <cellStyle name="Normal 4 2 2 34 3" xfId="5326"/>
    <cellStyle name="Normal 4 2 2 34 3 2" xfId="12096"/>
    <cellStyle name="Normal 4 2 2 34 3 3" xfId="24786"/>
    <cellStyle name="Normal 4 2 2 34 3 4" xfId="18123"/>
    <cellStyle name="Normal 4 2 2 34 3 5" xfId="18429"/>
    <cellStyle name="Normal 4 2 2 34 4" xfId="7598"/>
    <cellStyle name="Normal 4 2 2 34 5" xfId="20508"/>
    <cellStyle name="Normal 4 2 2 34 6" xfId="15523"/>
    <cellStyle name="Normal 4 2 2 34 7" xfId="30592"/>
    <cellStyle name="Normal 4 2 2 35" xfId="851"/>
    <cellStyle name="Normal 4 2 2 35 2" xfId="3317"/>
    <cellStyle name="Normal 4 2 2 35 2 2" xfId="10087"/>
    <cellStyle name="Normal 4 2 2 35 2 3" xfId="22777"/>
    <cellStyle name="Normal 4 2 2 35 2 4" xfId="13921"/>
    <cellStyle name="Normal 4 2 2 35 2 5" xfId="29817"/>
    <cellStyle name="Normal 4 2 2 35 3" xfId="5346"/>
    <cellStyle name="Normal 4 2 2 35 3 2" xfId="12116"/>
    <cellStyle name="Normal 4 2 2 35 3 3" xfId="24806"/>
    <cellStyle name="Normal 4 2 2 35 3 4" xfId="15653"/>
    <cellStyle name="Normal 4 2 2 35 3 5" xfId="17019"/>
    <cellStyle name="Normal 4 2 2 35 4" xfId="7621"/>
    <cellStyle name="Normal 4 2 2 35 5" xfId="20528"/>
    <cellStyle name="Normal 4 2 2 35 6" xfId="17763"/>
    <cellStyle name="Normal 4 2 2 35 7" xfId="27521"/>
    <cellStyle name="Normal 4 2 2 36" xfId="874"/>
    <cellStyle name="Normal 4 2 2 36 2" xfId="3339"/>
    <cellStyle name="Normal 4 2 2 36 2 2" xfId="10109"/>
    <cellStyle name="Normal 4 2 2 36 2 3" xfId="22799"/>
    <cellStyle name="Normal 4 2 2 36 2 4" xfId="20083"/>
    <cellStyle name="Normal 4 2 2 36 2 5" xfId="30888"/>
    <cellStyle name="Normal 4 2 2 36 3" xfId="5366"/>
    <cellStyle name="Normal 4 2 2 36 3 2" xfId="12136"/>
    <cellStyle name="Normal 4 2 2 36 3 3" xfId="24826"/>
    <cellStyle name="Normal 4 2 2 36 3 4" xfId="17895"/>
    <cellStyle name="Normal 4 2 2 36 3 5" xfId="17998"/>
    <cellStyle name="Normal 4 2 2 36 4" xfId="7644"/>
    <cellStyle name="Normal 4 2 2 36 5" xfId="20548"/>
    <cellStyle name="Normal 4 2 2 36 6" xfId="19505"/>
    <cellStyle name="Normal 4 2 2 36 7" xfId="31437"/>
    <cellStyle name="Normal 4 2 2 37" xfId="897"/>
    <cellStyle name="Normal 4 2 2 37 2" xfId="3361"/>
    <cellStyle name="Normal 4 2 2 37 2 2" xfId="10131"/>
    <cellStyle name="Normal 4 2 2 37 2 3" xfId="22821"/>
    <cellStyle name="Normal 4 2 2 37 2 4" xfId="18119"/>
    <cellStyle name="Normal 4 2 2 37 2 5" xfId="31059"/>
    <cellStyle name="Normal 4 2 2 37 3" xfId="5386"/>
    <cellStyle name="Normal 4 2 2 37 3 2" xfId="12156"/>
    <cellStyle name="Normal 4 2 2 37 3 3" xfId="24846"/>
    <cellStyle name="Normal 4 2 2 37 3 4" xfId="19646"/>
    <cellStyle name="Normal 4 2 2 37 3 5" xfId="13675"/>
    <cellStyle name="Normal 4 2 2 37 4" xfId="7667"/>
    <cellStyle name="Normal 4 2 2 37 5" xfId="20568"/>
    <cellStyle name="Normal 4 2 2 37 6" xfId="15080"/>
    <cellStyle name="Normal 4 2 2 37 7" xfId="27366"/>
    <cellStyle name="Normal 4 2 2 38" xfId="920"/>
    <cellStyle name="Normal 4 2 2 38 2" xfId="3384"/>
    <cellStyle name="Normal 4 2 2 38 2 2" xfId="10154"/>
    <cellStyle name="Normal 4 2 2 38 2 3" xfId="22844"/>
    <cellStyle name="Normal 4 2 2 38 2 4" xfId="19817"/>
    <cellStyle name="Normal 4 2 2 38 2 5" xfId="26686"/>
    <cellStyle name="Normal 4 2 2 38 3" xfId="5406"/>
    <cellStyle name="Normal 4 2 2 38 3 2" xfId="12176"/>
    <cellStyle name="Normal 4 2 2 38 3 3" xfId="24866"/>
    <cellStyle name="Normal 4 2 2 38 3 4" xfId="13706"/>
    <cellStyle name="Normal 4 2 2 38 3 5" xfId="17257"/>
    <cellStyle name="Normal 4 2 2 38 4" xfId="7690"/>
    <cellStyle name="Normal 4 2 2 38 5" xfId="20588"/>
    <cellStyle name="Normal 4 2 2 38 6" xfId="17310"/>
    <cellStyle name="Normal 4 2 2 38 7" xfId="30318"/>
    <cellStyle name="Normal 4 2 2 39" xfId="943"/>
    <cellStyle name="Normal 4 2 2 39 2" xfId="3407"/>
    <cellStyle name="Normal 4 2 2 39 2 2" xfId="10177"/>
    <cellStyle name="Normal 4 2 2 39 2 3" xfId="22867"/>
    <cellStyle name="Normal 4 2 2 39 2 4" xfId="15449"/>
    <cellStyle name="Normal 4 2 2 39 2 5" xfId="29679"/>
    <cellStyle name="Normal 4 2 2 39 3" xfId="5426"/>
    <cellStyle name="Normal 4 2 2 39 3 2" xfId="12196"/>
    <cellStyle name="Normal 4 2 2 39 3 3" xfId="24886"/>
    <cellStyle name="Normal 4 2 2 39 3 4" xfId="17509"/>
    <cellStyle name="Normal 4 2 2 39 3 5" xfId="17649"/>
    <cellStyle name="Normal 4 2 2 39 4" xfId="7713"/>
    <cellStyle name="Normal 4 2 2 39 5" xfId="20608"/>
    <cellStyle name="Normal 4 2 2 39 6" xfId="19095"/>
    <cellStyle name="Normal 4 2 2 39 7" xfId="28480"/>
    <cellStyle name="Normal 4 2 2 4" xfId="140"/>
    <cellStyle name="Normal 4 2 2 4 2" xfId="2624"/>
    <cellStyle name="Normal 4 2 2 4 2 2" xfId="9394"/>
    <cellStyle name="Normal 4 2 2 4 2 3" xfId="22084"/>
    <cellStyle name="Normal 4 2 2 4 2 4" xfId="15864"/>
    <cellStyle name="Normal 4 2 2 4 2 5" xfId="28900"/>
    <cellStyle name="Normal 4 2 2 4 3" xfId="3844"/>
    <cellStyle name="Normal 4 2 2 4 3 2" xfId="10614"/>
    <cellStyle name="Normal 4 2 2 4 3 3" xfId="23304"/>
    <cellStyle name="Normal 4 2 2 4 3 4" xfId="17079"/>
    <cellStyle name="Normal 4 2 2 4 3 5" xfId="28525"/>
    <cellStyle name="Normal 4 2 2 4 4" xfId="6910"/>
    <cellStyle name="Normal 4 2 2 4 5" xfId="14916"/>
    <cellStyle name="Normal 4 2 2 4 6" xfId="14672"/>
    <cellStyle name="Normal 4 2 2 4 7" xfId="29585"/>
    <cellStyle name="Normal 4 2 2 40" xfId="964"/>
    <cellStyle name="Normal 4 2 2 40 2" xfId="3428"/>
    <cellStyle name="Normal 4 2 2 40 2 2" xfId="10198"/>
    <cellStyle name="Normal 4 2 2 40 2 3" xfId="22888"/>
    <cellStyle name="Normal 4 2 2 40 2 4" xfId="13755"/>
    <cellStyle name="Normal 4 2 2 40 2 5" xfId="28309"/>
    <cellStyle name="Normal 4 2 2 40 3" xfId="5444"/>
    <cellStyle name="Normal 4 2 2 40 3 2" xfId="12214"/>
    <cellStyle name="Normal 4 2 2 40 3 3" xfId="24904"/>
    <cellStyle name="Normal 4 2 2 40 3 4" xfId="17403"/>
    <cellStyle name="Normal 4 2 2 40 3 5" xfId="18899"/>
    <cellStyle name="Normal 4 2 2 40 4" xfId="7734"/>
    <cellStyle name="Normal 4 2 2 40 5" xfId="20626"/>
    <cellStyle name="Normal 4 2 2 40 6" xfId="18958"/>
    <cellStyle name="Normal 4 2 2 40 7" xfId="32190"/>
    <cellStyle name="Normal 4 2 2 41" xfId="987"/>
    <cellStyle name="Normal 4 2 2 41 2" xfId="3451"/>
    <cellStyle name="Normal 4 2 2 41 2 2" xfId="10221"/>
    <cellStyle name="Normal 4 2 2 41 2 3" xfId="22911"/>
    <cellStyle name="Normal 4 2 2 41 2 4" xfId="17537"/>
    <cellStyle name="Normal 4 2 2 41 2 5" xfId="31691"/>
    <cellStyle name="Normal 4 2 2 41 3" xfId="5464"/>
    <cellStyle name="Normal 4 2 2 41 3 2" xfId="12234"/>
    <cellStyle name="Normal 4 2 2 41 3 3" xfId="24924"/>
    <cellStyle name="Normal 4 2 2 41 3 4" xfId="19179"/>
    <cellStyle name="Normal 4 2 2 41 3 5" xfId="15754"/>
    <cellStyle name="Normal 4 2 2 41 4" xfId="7757"/>
    <cellStyle name="Normal 4 2 2 41 5" xfId="20646"/>
    <cellStyle name="Normal 4 2 2 41 6" xfId="14491"/>
    <cellStyle name="Normal 4 2 2 41 7" xfId="27087"/>
    <cellStyle name="Normal 4 2 2 42" xfId="1011"/>
    <cellStyle name="Normal 4 2 2 42 2" xfId="3475"/>
    <cellStyle name="Normal 4 2 2 42 2 2" xfId="10245"/>
    <cellStyle name="Normal 4 2 2 42 2 3" xfId="22935"/>
    <cellStyle name="Normal 4 2 2 42 2 4" xfId="17388"/>
    <cellStyle name="Normal 4 2 2 42 2 5" xfId="31652"/>
    <cellStyle name="Normal 4 2 2 42 3" xfId="5485"/>
    <cellStyle name="Normal 4 2 2 42 3 2" xfId="12255"/>
    <cellStyle name="Normal 4 2 2 42 3 3" xfId="24945"/>
    <cellStyle name="Normal 4 2 2 42 3 4" xfId="19061"/>
    <cellStyle name="Normal 4 2 2 42 3 5" xfId="15591"/>
    <cellStyle name="Normal 4 2 2 42 4" xfId="7781"/>
    <cellStyle name="Normal 4 2 2 42 5" xfId="20667"/>
    <cellStyle name="Normal 4 2 2 42 6" xfId="14342"/>
    <cellStyle name="Normal 4 2 2 42 7" xfId="29861"/>
    <cellStyle name="Normal 4 2 2 43" xfId="1033"/>
    <cellStyle name="Normal 4 2 2 43 2" xfId="3497"/>
    <cellStyle name="Normal 4 2 2 43 2 2" xfId="10267"/>
    <cellStyle name="Normal 4 2 2 43 2 3" xfId="22957"/>
    <cellStyle name="Normal 4 2 2 43 2 4" xfId="14878"/>
    <cellStyle name="Normal 4 2 2 43 2 5" xfId="29538"/>
    <cellStyle name="Normal 4 2 2 43 3" xfId="5504"/>
    <cellStyle name="Normal 4 2 2 43 3 2" xfId="12274"/>
    <cellStyle name="Normal 4 2 2 43 3 3" xfId="24964"/>
    <cellStyle name="Normal 4 2 2 43 3 4" xfId="16985"/>
    <cellStyle name="Normal 4 2 2 43 3 5" xfId="17732"/>
    <cellStyle name="Normal 4 2 2 43 4" xfId="7803"/>
    <cellStyle name="Normal 4 2 2 43 5" xfId="20686"/>
    <cellStyle name="Normal 4 2 2 43 6" xfId="18548"/>
    <cellStyle name="Normal 4 2 2 43 7" xfId="31154"/>
    <cellStyle name="Normal 4 2 2 44" xfId="1055"/>
    <cellStyle name="Normal 4 2 2 44 2" xfId="3517"/>
    <cellStyle name="Normal 4 2 2 44 2 2" xfId="10287"/>
    <cellStyle name="Normal 4 2 2 44 2 3" xfId="22977"/>
    <cellStyle name="Normal 4 2 2 44 2 4" xfId="17102"/>
    <cellStyle name="Normal 4 2 2 44 2 5" xfId="31588"/>
    <cellStyle name="Normal 4 2 2 44 3" xfId="5523"/>
    <cellStyle name="Normal 4 2 2 44 3 2" xfId="12293"/>
    <cellStyle name="Normal 4 2 2 44 3 3" xfId="24983"/>
    <cellStyle name="Normal 4 2 2 44 3 4" xfId="14499"/>
    <cellStyle name="Normal 4 2 2 44 3 5" xfId="26789"/>
    <cellStyle name="Normal 4 2 2 44 4" xfId="7825"/>
    <cellStyle name="Normal 4 2 2 44 5" xfId="20705"/>
    <cellStyle name="Normal 4 2 2 44 6" xfId="18410"/>
    <cellStyle name="Normal 4 2 2 44 7" xfId="32052"/>
    <cellStyle name="Normal 4 2 2 45" xfId="1078"/>
    <cellStyle name="Normal 4 2 2 45 2" xfId="3540"/>
    <cellStyle name="Normal 4 2 2 45 2 2" xfId="10310"/>
    <cellStyle name="Normal 4 2 2 45 2 3" xfId="23000"/>
    <cellStyle name="Normal 4 2 2 45 2 4" xfId="18910"/>
    <cellStyle name="Normal 4 2 2 45 2 5" xfId="26405"/>
    <cellStyle name="Normal 4 2 2 45 3" xfId="5543"/>
    <cellStyle name="Normal 4 2 2 45 3 2" xfId="12313"/>
    <cellStyle name="Normal 4 2 2 45 3 3" xfId="25003"/>
    <cellStyle name="Normal 4 2 2 45 3 4" xfId="16742"/>
    <cellStyle name="Normal 4 2 2 45 3 5" xfId="32363"/>
    <cellStyle name="Normal 4 2 2 45 4" xfId="7848"/>
    <cellStyle name="Normal 4 2 2 45 5" xfId="20725"/>
    <cellStyle name="Normal 4 2 2 45 6" xfId="15582"/>
    <cellStyle name="Normal 4 2 2 45 7" xfId="29950"/>
    <cellStyle name="Normal 4 2 2 46" xfId="1101"/>
    <cellStyle name="Normal 4 2 2 46 2" xfId="3562"/>
    <cellStyle name="Normal 4 2 2 46 2 2" xfId="10332"/>
    <cellStyle name="Normal 4 2 2 46 2 3" xfId="23022"/>
    <cellStyle name="Normal 4 2 2 46 2 4" xfId="16023"/>
    <cellStyle name="Normal 4 2 2 46 2 5" xfId="28577"/>
    <cellStyle name="Normal 4 2 2 46 3" xfId="5563"/>
    <cellStyle name="Normal 4 2 2 46 3 2" xfId="12333"/>
    <cellStyle name="Normal 4 2 2 46 3 3" xfId="25023"/>
    <cellStyle name="Normal 4 2 2 46 3 4" xfId="18484"/>
    <cellStyle name="Normal 4 2 2 46 3 5" xfId="31422"/>
    <cellStyle name="Normal 4 2 2 46 4" xfId="7871"/>
    <cellStyle name="Normal 4 2 2 46 5" xfId="20745"/>
    <cellStyle name="Normal 4 2 2 46 6" xfId="17826"/>
    <cellStyle name="Normal 4 2 2 46 7" xfId="28072"/>
    <cellStyle name="Normal 4 2 2 47" xfId="1123"/>
    <cellStyle name="Normal 4 2 2 47 2" xfId="3584"/>
    <cellStyle name="Normal 4 2 2 47 2 2" xfId="10354"/>
    <cellStyle name="Normal 4 2 2 47 2 3" xfId="23044"/>
    <cellStyle name="Normal 4 2 2 47 2 4" xfId="14288"/>
    <cellStyle name="Normal 4 2 2 47 2 5" xfId="29447"/>
    <cellStyle name="Normal 4 2 2 47 3" xfId="5582"/>
    <cellStyle name="Normal 4 2 2 47 3 2" xfId="12352"/>
    <cellStyle name="Normal 4 2 2 47 3 3" xfId="25042"/>
    <cellStyle name="Normal 4 2 2 47 3 4" xfId="16180"/>
    <cellStyle name="Normal 4 2 2 47 3 5" xfId="28425"/>
    <cellStyle name="Normal 4 2 2 47 4" xfId="7893"/>
    <cellStyle name="Normal 4 2 2 47 5" xfId="20764"/>
    <cellStyle name="Normal 4 2 2 47 6" xfId="15291"/>
    <cellStyle name="Normal 4 2 2 47 7" xfId="31949"/>
    <cellStyle name="Normal 4 2 2 48" xfId="1146"/>
    <cellStyle name="Normal 4 2 2 48 2" xfId="3606"/>
    <cellStyle name="Normal 4 2 2 48 2 2" xfId="10376"/>
    <cellStyle name="Normal 4 2 2 48 2 3" xfId="23066"/>
    <cellStyle name="Normal 4 2 2 48 2 4" xfId="18520"/>
    <cellStyle name="Normal 4 2 2 48 2 5" xfId="27331"/>
    <cellStyle name="Normal 4 2 2 48 3" xfId="5602"/>
    <cellStyle name="Normal 4 2 2 48 3 2" xfId="12372"/>
    <cellStyle name="Normal 4 2 2 48 3 3" xfId="25062"/>
    <cellStyle name="Normal 4 2 2 48 3 4" xfId="18355"/>
    <cellStyle name="Normal 4 2 2 48 3 5" xfId="27233"/>
    <cellStyle name="Normal 4 2 2 48 4" xfId="7916"/>
    <cellStyle name="Normal 4 2 2 48 5" xfId="20784"/>
    <cellStyle name="Normal 4 2 2 48 6" xfId="17524"/>
    <cellStyle name="Normal 4 2 2 48 7" xfId="26826"/>
    <cellStyle name="Normal 4 2 2 49" xfId="1167"/>
    <cellStyle name="Normal 4 2 2 49 2" xfId="3627"/>
    <cellStyle name="Normal 4 2 2 49 2 2" xfId="10397"/>
    <cellStyle name="Normal 4 2 2 49 2 3" xfId="23087"/>
    <cellStyle name="Normal 4 2 2 49 2 4" xfId="16519"/>
    <cellStyle name="Normal 4 2 2 49 2 5" xfId="30568"/>
    <cellStyle name="Normal 4 2 2 49 3" xfId="5620"/>
    <cellStyle name="Normal 4 2 2 49 3 2" xfId="12390"/>
    <cellStyle name="Normal 4 2 2 49 3 3" xfId="25080"/>
    <cellStyle name="Normal 4 2 2 49 3 4" xfId="16187"/>
    <cellStyle name="Normal 4 2 2 49 3 5" xfId="27205"/>
    <cellStyle name="Normal 4 2 2 49 4" xfId="7937"/>
    <cellStyle name="Normal 4 2 2 49 5" xfId="20802"/>
    <cellStyle name="Normal 4 2 2 49 6" xfId="17396"/>
    <cellStyle name="Normal 4 2 2 49 7" xfId="28907"/>
    <cellStyle name="Normal 4 2 2 5" xfId="163"/>
    <cellStyle name="Normal 4 2 2 5 2" xfId="2647"/>
    <cellStyle name="Normal 4 2 2 5 2 2" xfId="9417"/>
    <cellStyle name="Normal 4 2 2 5 2 3" xfId="22107"/>
    <cellStyle name="Normal 4 2 2 5 2 4" xfId="18086"/>
    <cellStyle name="Normal 4 2 2 5 2 5" xfId="31836"/>
    <cellStyle name="Normal 4 2 2 5 3" xfId="2591"/>
    <cellStyle name="Normal 4 2 2 5 3 2" xfId="9361"/>
    <cellStyle name="Normal 4 2 2 5 3 3" xfId="22051"/>
    <cellStyle name="Normal 4 2 2 5 3 4" xfId="13976"/>
    <cellStyle name="Normal 4 2 2 5 3 5" xfId="29846"/>
    <cellStyle name="Normal 4 2 2 5 4" xfId="6933"/>
    <cellStyle name="Normal 4 2 2 5 5" xfId="14454"/>
    <cellStyle name="Normal 4 2 2 5 6" xfId="16909"/>
    <cellStyle name="Normal 4 2 2 5 7" xfId="27665"/>
    <cellStyle name="Normal 4 2 2 50" xfId="1189"/>
    <cellStyle name="Normal 4 2 2 50 2" xfId="3649"/>
    <cellStyle name="Normal 4 2 2 50 2 2" xfId="10419"/>
    <cellStyle name="Normal 4 2 2 50 2 3" xfId="23109"/>
    <cellStyle name="Normal 4 2 2 50 2 4" xfId="16217"/>
    <cellStyle name="Normal 4 2 2 50 2 5" xfId="31021"/>
    <cellStyle name="Normal 4 2 2 50 3" xfId="5639"/>
    <cellStyle name="Normal 4 2 2 50 3 2" xfId="12409"/>
    <cellStyle name="Normal 4 2 2 50 3 3" xfId="25099"/>
    <cellStyle name="Normal 4 2 2 50 3 4" xfId="18226"/>
    <cellStyle name="Normal 4 2 2 50 3 5" xfId="32234"/>
    <cellStyle name="Normal 4 2 2 50 4" xfId="7959"/>
    <cellStyle name="Normal 4 2 2 50 5" xfId="20821"/>
    <cellStyle name="Normal 4 2 2 50 6" xfId="14866"/>
    <cellStyle name="Normal 4 2 2 50 7" xfId="27890"/>
    <cellStyle name="Normal 4 2 2 51" xfId="1214"/>
    <cellStyle name="Normal 4 2 2 51 2" xfId="3674"/>
    <cellStyle name="Normal 4 2 2 51 2 2" xfId="10444"/>
    <cellStyle name="Normal 4 2 2 51 2 3" xfId="23134"/>
    <cellStyle name="Normal 4 2 2 51 2 4" xfId="15801"/>
    <cellStyle name="Normal 4 2 2 51 2 5" xfId="29474"/>
    <cellStyle name="Normal 4 2 2 51 3" xfId="5661"/>
    <cellStyle name="Normal 4 2 2 51 3 2" xfId="12431"/>
    <cellStyle name="Normal 4 2 2 51 3 3" xfId="25121"/>
    <cellStyle name="Normal 4 2 2 51 3 4" xfId="15691"/>
    <cellStyle name="Normal 4 2 2 51 3 5" xfId="26267"/>
    <cellStyle name="Normal 4 2 2 51 4" xfId="7984"/>
    <cellStyle name="Normal 4 2 2 51 5" xfId="20843"/>
    <cellStyle name="Normal 4 2 2 51 6" xfId="19015"/>
    <cellStyle name="Normal 4 2 2 51 7" xfId="29706"/>
    <cellStyle name="Normal 4 2 2 52" xfId="1237"/>
    <cellStyle name="Normal 4 2 2 52 2" xfId="3697"/>
    <cellStyle name="Normal 4 2 2 52 2 2" xfId="10467"/>
    <cellStyle name="Normal 4 2 2 52 2 3" xfId="23157"/>
    <cellStyle name="Normal 4 2 2 52 2 4" xfId="18043"/>
    <cellStyle name="Normal 4 2 2 52 2 5" xfId="32414"/>
    <cellStyle name="Normal 4 2 2 52 3" xfId="5681"/>
    <cellStyle name="Normal 4 2 2 52 3 2" xfId="12451"/>
    <cellStyle name="Normal 4 2 2 52 3 3" xfId="25141"/>
    <cellStyle name="Normal 4 2 2 52 3 4" xfId="19856"/>
    <cellStyle name="Normal 4 2 2 52 3 5" xfId="32178"/>
    <cellStyle name="Normal 4 2 2 52 4" xfId="8007"/>
    <cellStyle name="Normal 4 2 2 52 5" xfId="20863"/>
    <cellStyle name="Normal 4 2 2 52 6" xfId="14557"/>
    <cellStyle name="Normal 4 2 2 52 7" xfId="28775"/>
    <cellStyle name="Normal 4 2 2 53" xfId="1260"/>
    <cellStyle name="Normal 4 2 2 53 2" xfId="3719"/>
    <cellStyle name="Normal 4 2 2 53 2 2" xfId="10489"/>
    <cellStyle name="Normal 4 2 2 53 2 3" xfId="23179"/>
    <cellStyle name="Normal 4 2 2 53 2 4" xfId="13773"/>
    <cellStyle name="Normal 4 2 2 53 2 5" xfId="30311"/>
    <cellStyle name="Normal 4 2 2 53 3" xfId="5701"/>
    <cellStyle name="Normal 4 2 2 53 3 2" xfId="12471"/>
    <cellStyle name="Normal 4 2 2 53 3 3" xfId="25161"/>
    <cellStyle name="Normal 4 2 2 53 3 4" xfId="15472"/>
    <cellStyle name="Normal 4 2 2 53 3 5" xfId="31226"/>
    <cellStyle name="Normal 4 2 2 53 4" xfId="8030"/>
    <cellStyle name="Normal 4 2 2 53 5" xfId="20883"/>
    <cellStyle name="Normal 4 2 2 53 6" xfId="16757"/>
    <cellStyle name="Normal 4 2 2 53 7" xfId="31693"/>
    <cellStyle name="Normal 4 2 2 54" xfId="1283"/>
    <cellStyle name="Normal 4 2 2 54 2" xfId="3742"/>
    <cellStyle name="Normal 4 2 2 54 2 2" xfId="10512"/>
    <cellStyle name="Normal 4 2 2 54 2 3" xfId="23202"/>
    <cellStyle name="Normal 4 2 2 54 2 4" xfId="17751"/>
    <cellStyle name="Normal 4 2 2 54 2 5" xfId="28471"/>
    <cellStyle name="Normal 4 2 2 54 3" xfId="5721"/>
    <cellStyle name="Normal 4 2 2 54 3 2" xfId="12491"/>
    <cellStyle name="Normal 4 2 2 54 3 3" xfId="25181"/>
    <cellStyle name="Normal 4 2 2 54 3 4" xfId="17733"/>
    <cellStyle name="Normal 4 2 2 54 3 5" xfId="30048"/>
    <cellStyle name="Normal 4 2 2 54 4" xfId="8053"/>
    <cellStyle name="Normal 4 2 2 54 5" xfId="20903"/>
    <cellStyle name="Normal 4 2 2 54 6" xfId="18603"/>
    <cellStyle name="Normal 4 2 2 54 7" xfId="26565"/>
    <cellStyle name="Normal 4 2 2 55" xfId="1306"/>
    <cellStyle name="Normal 4 2 2 55 2" xfId="3764"/>
    <cellStyle name="Normal 4 2 2 55 2 2" xfId="10534"/>
    <cellStyle name="Normal 4 2 2 55 2 3" xfId="23224"/>
    <cellStyle name="Normal 4 2 2 55 2 4" xfId="15238"/>
    <cellStyle name="Normal 4 2 2 55 2 5" xfId="28594"/>
    <cellStyle name="Normal 4 2 2 55 3" xfId="5741"/>
    <cellStyle name="Normal 4 2 2 55 3 2" xfId="12511"/>
    <cellStyle name="Normal 4 2 2 55 3 3" xfId="25201"/>
    <cellStyle name="Normal 4 2 2 55 3 4" xfId="17247"/>
    <cellStyle name="Normal 4 2 2 55 3 5" xfId="32096"/>
    <cellStyle name="Normal 4 2 2 55 4" xfId="8076"/>
    <cellStyle name="Normal 4 2 2 55 5" xfId="20923"/>
    <cellStyle name="Normal 4 2 2 55 6" xfId="15627"/>
    <cellStyle name="Normal 4 2 2 55 7" xfId="30250"/>
    <cellStyle name="Normal 4 2 2 56" xfId="1329"/>
    <cellStyle name="Normal 4 2 2 56 2" xfId="3787"/>
    <cellStyle name="Normal 4 2 2 56 2 2" xfId="10557"/>
    <cellStyle name="Normal 4 2 2 56 2 3" xfId="23247"/>
    <cellStyle name="Normal 4 2 2 56 2 4" xfId="16086"/>
    <cellStyle name="Normal 4 2 2 56 2 5" xfId="31064"/>
    <cellStyle name="Normal 4 2 2 56 3" xfId="5761"/>
    <cellStyle name="Normal 4 2 2 56 3 2" xfId="12531"/>
    <cellStyle name="Normal 4 2 2 56 3 3" xfId="25221"/>
    <cellStyle name="Normal 4 2 2 56 3 4" xfId="15122"/>
    <cellStyle name="Normal 4 2 2 56 3 5" xfId="31131"/>
    <cellStyle name="Normal 4 2 2 56 4" xfId="8099"/>
    <cellStyle name="Normal 4 2 2 56 5" xfId="20943"/>
    <cellStyle name="Normal 4 2 2 56 6" xfId="17884"/>
    <cellStyle name="Normal 4 2 2 56 7" xfId="28407"/>
    <cellStyle name="Normal 4 2 2 57" xfId="1352"/>
    <cellStyle name="Normal 4 2 2 57 2" xfId="3809"/>
    <cellStyle name="Normal 4 2 2 57 2 2" xfId="10579"/>
    <cellStyle name="Normal 4 2 2 57 2 3" xfId="23269"/>
    <cellStyle name="Normal 4 2 2 57 2 4" xfId="14942"/>
    <cellStyle name="Normal 4 2 2 57 2 5" xfId="26268"/>
    <cellStyle name="Normal 4 2 2 57 3" xfId="5781"/>
    <cellStyle name="Normal 4 2 2 57 3 2" xfId="12551"/>
    <cellStyle name="Normal 4 2 2 57 3 3" xfId="25241"/>
    <cellStyle name="Normal 4 2 2 57 3 4" xfId="17346"/>
    <cellStyle name="Normal 4 2 2 57 3 5" xfId="29967"/>
    <cellStyle name="Normal 4 2 2 57 4" xfId="8122"/>
    <cellStyle name="Normal 4 2 2 57 5" xfId="20963"/>
    <cellStyle name="Normal 4 2 2 57 6" xfId="19600"/>
    <cellStyle name="Normal 4 2 2 57 7" xfId="30468"/>
    <cellStyle name="Normal 4 2 2 58" xfId="1375"/>
    <cellStyle name="Normal 4 2 2 58 2" xfId="3831"/>
    <cellStyle name="Normal 4 2 2 58 2 2" xfId="10601"/>
    <cellStyle name="Normal 4 2 2 58 2 3" xfId="23291"/>
    <cellStyle name="Normal 4 2 2 58 2 4" xfId="19104"/>
    <cellStyle name="Normal 4 2 2 58 2 5" xfId="31522"/>
    <cellStyle name="Normal 4 2 2 58 3" xfId="5801"/>
    <cellStyle name="Normal 4 2 2 58 3 2" xfId="12571"/>
    <cellStyle name="Normal 4 2 2 58 3 3" xfId="25261"/>
    <cellStyle name="Normal 4 2 2 58 3 4" xfId="19127"/>
    <cellStyle name="Normal 4 2 2 58 3 5" xfId="32014"/>
    <cellStyle name="Normal 4 2 2 58 4" xfId="8145"/>
    <cellStyle name="Normal 4 2 2 58 5" xfId="20983"/>
    <cellStyle name="Normal 4 2 2 58 6" xfId="15202"/>
    <cellStyle name="Normal 4 2 2 58 7" xfId="29268"/>
    <cellStyle name="Normal 4 2 2 59" xfId="1398"/>
    <cellStyle name="Normal 4 2 2 59 2" xfId="3854"/>
    <cellStyle name="Normal 4 2 2 59 2 2" xfId="10624"/>
    <cellStyle name="Normal 4 2 2 59 2 3" xfId="23314"/>
    <cellStyle name="Normal 4 2 2 59 2 4" xfId="14655"/>
    <cellStyle name="Normal 4 2 2 59 2 5" xfId="29414"/>
    <cellStyle name="Normal 4 2 2 59 3" xfId="5821"/>
    <cellStyle name="Normal 4 2 2 59 3 2" xfId="12591"/>
    <cellStyle name="Normal 4 2 2 59 3 3" xfId="25281"/>
    <cellStyle name="Normal 4 2 2 59 3 4" xfId="14703"/>
    <cellStyle name="Normal 4 2 2 59 3 5" xfId="31036"/>
    <cellStyle name="Normal 4 2 2 59 4" xfId="8168"/>
    <cellStyle name="Normal 4 2 2 59 5" xfId="21003"/>
    <cellStyle name="Normal 4 2 2 59 6" xfId="17434"/>
    <cellStyle name="Normal 4 2 2 59 7" xfId="32197"/>
    <cellStyle name="Normal 4 2 2 6" xfId="186"/>
    <cellStyle name="Normal 4 2 2 6 2" xfId="2668"/>
    <cellStyle name="Normal 4 2 2 6 2 2" xfId="9438"/>
    <cellStyle name="Normal 4 2 2 6 2 3" xfId="22128"/>
    <cellStyle name="Normal 4 2 2 6 2 4" xfId="16603"/>
    <cellStyle name="Normal 4 2 2 6 2 5" xfId="27870"/>
    <cellStyle name="Normal 4 2 2 6 3" xfId="2926"/>
    <cellStyle name="Normal 4 2 2 6 3 2" xfId="9696"/>
    <cellStyle name="Normal 4 2 2 6 3 3" xfId="22386"/>
    <cellStyle name="Normal 4 2 2 6 3 4" xfId="8500"/>
    <cellStyle name="Normal 4 2 2 6 3 5" xfId="27715"/>
    <cellStyle name="Normal 4 2 2 6 4" xfId="6956"/>
    <cellStyle name="Normal 4 2 2 6 5" xfId="13989"/>
    <cellStyle name="Normal 4 2 2 6 6" xfId="18740"/>
    <cellStyle name="Normal 4 2 2 6 7" xfId="31462"/>
    <cellStyle name="Normal 4 2 2 60" xfId="1421"/>
    <cellStyle name="Normal 4 2 2 60 2" xfId="3876"/>
    <cellStyle name="Normal 4 2 2 60 2 2" xfId="10646"/>
    <cellStyle name="Normal 4 2 2 60 2 3" xfId="23336"/>
    <cellStyle name="Normal 4 2 2 60 2 4" xfId="18832"/>
    <cellStyle name="Normal 4 2 2 60 2 5" xfId="26358"/>
    <cellStyle name="Normal 4 2 2 60 3" xfId="5841"/>
    <cellStyle name="Normal 4 2 2 60 3 2" xfId="12611"/>
    <cellStyle name="Normal 4 2 2 60 3 3" xfId="25301"/>
    <cellStyle name="Normal 4 2 2 60 3 4" xfId="15953"/>
    <cellStyle name="Normal 4 2 2 60 3 5" xfId="29880"/>
    <cellStyle name="Normal 4 2 2 60 4" xfId="8191"/>
    <cellStyle name="Normal 4 2 2 60 5" xfId="21023"/>
    <cellStyle name="Normal 4 2 2 60 6" xfId="19189"/>
    <cellStyle name="Normal 4 2 2 60 7" xfId="27105"/>
    <cellStyle name="Normal 4 2 2 61" xfId="1444"/>
    <cellStyle name="Normal 4 2 2 61 2" xfId="3898"/>
    <cellStyle name="Normal 4 2 2 61 2 2" xfId="10668"/>
    <cellStyle name="Normal 4 2 2 61 2 3" xfId="23358"/>
    <cellStyle name="Normal 4 2 2 61 2 4" xfId="16726"/>
    <cellStyle name="Normal 4 2 2 61 2 5" xfId="27671"/>
    <cellStyle name="Normal 4 2 2 61 3" xfId="5861"/>
    <cellStyle name="Normal 4 2 2 61 3 2" xfId="12631"/>
    <cellStyle name="Normal 4 2 2 61 3 3" xfId="25321"/>
    <cellStyle name="Normal 4 2 2 61 3 4" xfId="18809"/>
    <cellStyle name="Normal 4 2 2 61 3 5" xfId="30742"/>
    <cellStyle name="Normal 4 2 2 61 4" xfId="8214"/>
    <cellStyle name="Normal 4 2 2 61 5" xfId="21043"/>
    <cellStyle name="Normal 4 2 2 61 6" xfId="14750"/>
    <cellStyle name="Normal 4 2 2 61 7" xfId="30067"/>
    <cellStyle name="Normal 4 2 2 62" xfId="1467"/>
    <cellStyle name="Normal 4 2 2 62 2" xfId="3921"/>
    <cellStyle name="Normal 4 2 2 62 2 2" xfId="10691"/>
    <cellStyle name="Normal 4 2 2 62 2 3" xfId="23381"/>
    <cellStyle name="Normal 4 2 2 62 2 4" xfId="18576"/>
    <cellStyle name="Normal 4 2 2 62 2 5" xfId="28608"/>
    <cellStyle name="Normal 4 2 2 62 3" xfId="5881"/>
    <cellStyle name="Normal 4 2 2 62 3 2" xfId="12651"/>
    <cellStyle name="Normal 4 2 2 62 3 3" xfId="25341"/>
    <cellStyle name="Normal 4 2 2 62 3 4" xfId="14313"/>
    <cellStyle name="Normal 4 2 2 62 3 5" xfId="30938"/>
    <cellStyle name="Normal 4 2 2 62 4" xfId="8237"/>
    <cellStyle name="Normal 4 2 2 62 5" xfId="21063"/>
    <cellStyle name="Normal 4 2 2 62 6" xfId="16973"/>
    <cellStyle name="Normal 4 2 2 62 7" xfId="28206"/>
    <cellStyle name="Normal 4 2 2 63" xfId="1490"/>
    <cellStyle name="Normal 4 2 2 63 2" xfId="3944"/>
    <cellStyle name="Normal 4 2 2 63 2 2" xfId="10714"/>
    <cellStyle name="Normal 4 2 2 63 2 3" xfId="23404"/>
    <cellStyle name="Normal 4 2 2 63 2 4" xfId="14040"/>
    <cellStyle name="Normal 4 2 2 63 2 5" xfId="32328"/>
    <cellStyle name="Normal 4 2 2 63 3" xfId="5901"/>
    <cellStyle name="Normal 4 2 2 63 3 2" xfId="12671"/>
    <cellStyle name="Normal 4 2 2 63 3 3" xfId="25361"/>
    <cellStyle name="Normal 4 2 2 63 3 4" xfId="16553"/>
    <cellStyle name="Normal 4 2 2 63 3 5" xfId="29793"/>
    <cellStyle name="Normal 4 2 2 63 4" xfId="8260"/>
    <cellStyle name="Normal 4 2 2 63 5" xfId="21083"/>
    <cellStyle name="Normal 4 2 2 63 6" xfId="16038"/>
    <cellStyle name="Normal 4 2 2 63 7" xfId="31140"/>
    <cellStyle name="Normal 4 2 2 64" xfId="1513"/>
    <cellStyle name="Normal 4 2 2 64 2" xfId="3966"/>
    <cellStyle name="Normal 4 2 2 64 2 2" xfId="10736"/>
    <cellStyle name="Normal 4 2 2 64 2 3" xfId="23426"/>
    <cellStyle name="Normal 4 2 2 64 2 4" xfId="18302"/>
    <cellStyle name="Normal 4 2 2 64 2 5" xfId="30221"/>
    <cellStyle name="Normal 4 2 2 64 3" xfId="5921"/>
    <cellStyle name="Normal 4 2 2 64 3 2" xfId="12691"/>
    <cellStyle name="Normal 4 2 2 64 3 3" xfId="25381"/>
    <cellStyle name="Normal 4 2 2 64 3 4" xfId="18423"/>
    <cellStyle name="Normal 4 2 2 64 3 5" xfId="31840"/>
    <cellStyle name="Normal 4 2 2 64 4" xfId="8283"/>
    <cellStyle name="Normal 4 2 2 64 5" xfId="21103"/>
    <cellStyle name="Normal 4 2 2 64 6" xfId="14292"/>
    <cellStyle name="Normal 4 2 2 64 7" xfId="29074"/>
    <cellStyle name="Normal 4 2 2 65" xfId="1536"/>
    <cellStyle name="Normal 4 2 2 65 2" xfId="3988"/>
    <cellStyle name="Normal 4 2 2 65 2 2" xfId="10758"/>
    <cellStyle name="Normal 4 2 2 65 2 3" xfId="23448"/>
    <cellStyle name="Normal 4 2 2 65 2 4" xfId="18247"/>
    <cellStyle name="Normal 4 2 2 65 2 5" xfId="31351"/>
    <cellStyle name="Normal 4 2 2 65 3" xfId="5941"/>
    <cellStyle name="Normal 4 2 2 65 3 2" xfId="12711"/>
    <cellStyle name="Normal 4 2 2 65 3 3" xfId="25401"/>
    <cellStyle name="Normal 4 2 2 65 3 4" xfId="13911"/>
    <cellStyle name="Normal 4 2 2 65 3 5" xfId="30842"/>
    <cellStyle name="Normal 4 2 2 65 4" xfId="8306"/>
    <cellStyle name="Normal 4 2 2 65 5" xfId="21123"/>
    <cellStyle name="Normal 4 2 2 65 6" xfId="16513"/>
    <cellStyle name="Normal 4 2 2 65 7" xfId="32003"/>
    <cellStyle name="Normal 4 2 2 66" xfId="1559"/>
    <cellStyle name="Normal 4 2 2 66 2" xfId="4010"/>
    <cellStyle name="Normal 4 2 2 66 2 2" xfId="10780"/>
    <cellStyle name="Normal 4 2 2 66 2 3" xfId="23470"/>
    <cellStyle name="Normal 4 2 2 66 2 4" xfId="13797"/>
    <cellStyle name="Normal 4 2 2 66 2 5" xfId="32239"/>
    <cellStyle name="Normal 4 2 2 66 3" xfId="5961"/>
    <cellStyle name="Normal 4 2 2 66 3 2" xfId="12731"/>
    <cellStyle name="Normal 4 2 2 66 3 3" xfId="25421"/>
    <cellStyle name="Normal 4 2 2 66 3 4" xfId="16144"/>
    <cellStyle name="Normal 4 2 2 66 3 5" xfId="29704"/>
    <cellStyle name="Normal 4 2 2 66 4" xfId="8329"/>
    <cellStyle name="Normal 4 2 2 66 5" xfId="21143"/>
    <cellStyle name="Normal 4 2 2 66 6" xfId="18385"/>
    <cellStyle name="Normal 4 2 2 66 7" xfId="26883"/>
    <cellStyle name="Normal 4 2 2 67" xfId="1582"/>
    <cellStyle name="Normal 4 2 2 67 2" xfId="4032"/>
    <cellStyle name="Normal 4 2 2 67 2 2" xfId="10802"/>
    <cellStyle name="Normal 4 2 2 67 2 3" xfId="23492"/>
    <cellStyle name="Normal 4 2 2 67 2 4" xfId="19815"/>
    <cellStyle name="Normal 4 2 2 67 2 5" xfId="30138"/>
    <cellStyle name="Normal 4 2 2 67 3" xfId="5981"/>
    <cellStyle name="Normal 4 2 2 67 3 2" xfId="12751"/>
    <cellStyle name="Normal 4 2 2 67 3 3" xfId="25441"/>
    <cellStyle name="Normal 4 2 2 67 3 4" xfId="20016"/>
    <cellStyle name="Normal 4 2 2 67 3 5" xfId="31747"/>
    <cellStyle name="Normal 4 2 2 67 4" xfId="8352"/>
    <cellStyle name="Normal 4 2 2 67 5" xfId="21163"/>
    <cellStyle name="Normal 4 2 2 67 6" xfId="13579"/>
    <cellStyle name="Normal 4 2 2 67 7" xfId="29869"/>
    <cellStyle name="Normal 4 2 2 68" xfId="1605"/>
    <cellStyle name="Normal 4 2 2 68 2" xfId="4054"/>
    <cellStyle name="Normal 4 2 2 68 2 2" xfId="10824"/>
    <cellStyle name="Normal 4 2 2 68 2 3" xfId="23514"/>
    <cellStyle name="Normal 4 2 2 68 2 4" xfId="17837"/>
    <cellStyle name="Normal 4 2 2 68 2 5" xfId="31254"/>
    <cellStyle name="Normal 4 2 2 68 3" xfId="6001"/>
    <cellStyle name="Normal 4 2 2 68 3 2" xfId="12771"/>
    <cellStyle name="Normal 4 2 2 68 3 3" xfId="25461"/>
    <cellStyle name="Normal 4 2 2 68 3 4" xfId="15704"/>
    <cellStyle name="Normal 4 2 2 68 3 5" xfId="30740"/>
    <cellStyle name="Normal 4 2 2 68 4" xfId="8375"/>
    <cellStyle name="Normal 4 2 2 68 5" xfId="21183"/>
    <cellStyle name="Normal 4 2 2 68 6" xfId="18171"/>
    <cellStyle name="Normal 4 2 2 68 7" xfId="27979"/>
    <cellStyle name="Normal 4 2 2 69" xfId="1627"/>
    <cellStyle name="Normal 4 2 2 69 2" xfId="4075"/>
    <cellStyle name="Normal 4 2 2 69 2 2" xfId="10845"/>
    <cellStyle name="Normal 4 2 2 69 2 3" xfId="23535"/>
    <cellStyle name="Normal 4 2 2 69 2 4" xfId="17686"/>
    <cellStyle name="Normal 4 2 2 69 2 5" xfId="27082"/>
    <cellStyle name="Normal 4 2 2 69 3" xfId="6019"/>
    <cellStyle name="Normal 4 2 2 69 3 2" xfId="12789"/>
    <cellStyle name="Normal 4 2 2 69 3 3" xfId="25479"/>
    <cellStyle name="Normal 4 2 2 69 3 4" xfId="15580"/>
    <cellStyle name="Normal 4 2 2 69 3 5" xfId="30709"/>
    <cellStyle name="Normal 4 2 2 69 4" xfId="8397"/>
    <cellStyle name="Normal 4 2 2 69 5" xfId="21201"/>
    <cellStyle name="Normal 4 2 2 69 6" xfId="14094"/>
    <cellStyle name="Normal 4 2 2 69 7" xfId="28915"/>
    <cellStyle name="Normal 4 2 2 7" xfId="209"/>
    <cellStyle name="Normal 4 2 2 7 2" xfId="2689"/>
    <cellStyle name="Normal 4 2 2 7 2 2" xfId="9459"/>
    <cellStyle name="Normal 4 2 2 7 2 3" xfId="22149"/>
    <cellStyle name="Normal 4 2 2 7 2 4" xfId="18469"/>
    <cellStyle name="Normal 4 2 2 7 2 5" xfId="31774"/>
    <cellStyle name="Normal 4 2 2 7 3" xfId="2876"/>
    <cellStyle name="Normal 4 2 2 7 3 2" xfId="9646"/>
    <cellStyle name="Normal 4 2 2 7 3 3" xfId="22336"/>
    <cellStyle name="Normal 4 2 2 7 3 4" xfId="7741"/>
    <cellStyle name="Normal 4 2 2 7 3 5" xfId="29448"/>
    <cellStyle name="Normal 4 2 2 7 4" xfId="6979"/>
    <cellStyle name="Normal 4 2 2 7 5" xfId="13963"/>
    <cellStyle name="Normal 4 2 2 7 6" xfId="14224"/>
    <cellStyle name="Normal 4 2 2 7 7" xfId="29358"/>
    <cellStyle name="Normal 4 2 2 70" xfId="1648"/>
    <cellStyle name="Normal 4 2 2 70 2" xfId="4096"/>
    <cellStyle name="Normal 4 2 2 70 2 2" xfId="10866"/>
    <cellStyle name="Normal 4 2 2 70 2 3" xfId="23556"/>
    <cellStyle name="Normal 4 2 2 70 2 4" xfId="17555"/>
    <cellStyle name="Normal 4 2 2 70 2 5" xfId="31189"/>
    <cellStyle name="Normal 4 2 2 70 3" xfId="6037"/>
    <cellStyle name="Normal 4 2 2 70 3 2" xfId="12807"/>
    <cellStyle name="Normal 4 2 2 70 3 3" xfId="25497"/>
    <cellStyle name="Normal 4 2 2 70 3 4" xfId="15476"/>
    <cellStyle name="Normal 4 2 2 70 3 5" xfId="30673"/>
    <cellStyle name="Normal 4 2 2 70 4" xfId="8418"/>
    <cellStyle name="Normal 4 2 2 70 5" xfId="21219"/>
    <cellStyle name="Normal 4 2 2 70 6" xfId="15722"/>
    <cellStyle name="Normal 4 2 2 70 7" xfId="29774"/>
    <cellStyle name="Normal 4 2 2 71" xfId="1671"/>
    <cellStyle name="Normal 4 2 2 71 2" xfId="4119"/>
    <cellStyle name="Normal 4 2 2 71 2 2" xfId="10889"/>
    <cellStyle name="Normal 4 2 2 71 2 3" xfId="23579"/>
    <cellStyle name="Normal 4 2 2 71 2 4" xfId="19319"/>
    <cellStyle name="Normal 4 2 2 71 2 5" xfId="29120"/>
    <cellStyle name="Normal 4 2 2 71 3" xfId="6059"/>
    <cellStyle name="Normal 4 2 2 71 3 2" xfId="12829"/>
    <cellStyle name="Normal 4 2 2 71 3 3" xfId="25519"/>
    <cellStyle name="Normal 4 2 2 71 3 4" xfId="19582"/>
    <cellStyle name="Normal 4 2 2 71 3 5" xfId="31418"/>
    <cellStyle name="Normal 4 2 2 71 4" xfId="8441"/>
    <cellStyle name="Normal 4 2 2 71 5" xfId="21241"/>
    <cellStyle name="Normal 4 2 2 71 6" xfId="17943"/>
    <cellStyle name="Normal 4 2 2 71 7" xfId="27873"/>
    <cellStyle name="Normal 4 2 2 72" xfId="1694"/>
    <cellStyle name="Normal 4 2 2 72 2" xfId="4141"/>
    <cellStyle name="Normal 4 2 2 72 2 2" xfId="10911"/>
    <cellStyle name="Normal 4 2 2 72 2 3" xfId="23601"/>
    <cellStyle name="Normal 4 2 2 72 2 4" xfId="17252"/>
    <cellStyle name="Normal 4 2 2 72 2 5" xfId="26981"/>
    <cellStyle name="Normal 4 2 2 72 3" xfId="6079"/>
    <cellStyle name="Normal 4 2 2 72 3 2" xfId="12849"/>
    <cellStyle name="Normal 4 2 2 72 3 3" xfId="25539"/>
    <cellStyle name="Normal 4 2 2 72 3 4" xfId="15205"/>
    <cellStyle name="Normal 4 2 2 72 3 5" xfId="30597"/>
    <cellStyle name="Normal 4 2 2 72 4" xfId="8464"/>
    <cellStyle name="Normal 4 2 2 72 5" xfId="21261"/>
    <cellStyle name="Normal 4 2 2 72 6" xfId="19674"/>
    <cellStyle name="Normal 4 2 2 72 7" xfId="30806"/>
    <cellStyle name="Normal 4 2 2 73" xfId="1717"/>
    <cellStyle name="Normal 4 2 2 73 2" xfId="4163"/>
    <cellStyle name="Normal 4 2 2 73 2 2" xfId="10933"/>
    <cellStyle name="Normal 4 2 2 73 2 3" xfId="23623"/>
    <cellStyle name="Normal 4 2 2 73 2 4" xfId="14744"/>
    <cellStyle name="Normal 4 2 2 73 2 5" xfId="28122"/>
    <cellStyle name="Normal 4 2 2 73 3" xfId="6099"/>
    <cellStyle name="Normal 4 2 2 73 3 2" xfId="12869"/>
    <cellStyle name="Normal 4 2 2 73 3 3" xfId="25559"/>
    <cellStyle name="Normal 4 2 2 73 3 4" xfId="16073"/>
    <cellStyle name="Normal 4 2 2 73 3 5" xfId="29484"/>
    <cellStyle name="Normal 4 2 2 73 4" xfId="8487"/>
    <cellStyle name="Normal 4 2 2 73 5" xfId="21281"/>
    <cellStyle name="Normal 4 2 2 73 6" xfId="15286"/>
    <cellStyle name="Normal 4 2 2 73 7" xfId="28772"/>
    <cellStyle name="Normal 4 2 2 74" xfId="1740"/>
    <cellStyle name="Normal 4 2 2 74 2" xfId="4184"/>
    <cellStyle name="Normal 4 2 2 74 2 2" xfId="10954"/>
    <cellStyle name="Normal 4 2 2 74 2 3" xfId="23644"/>
    <cellStyle name="Normal 4 2 2 74 2 4" xfId="14612"/>
    <cellStyle name="Normal 4 2 2 74 2 5" xfId="31991"/>
    <cellStyle name="Normal 4 2 2 74 3" xfId="6119"/>
    <cellStyle name="Normal 4 2 2 74 3 2" xfId="12889"/>
    <cellStyle name="Normal 4 2 2 74 3 3" xfId="25579"/>
    <cellStyle name="Normal 4 2 2 74 3 4" xfId="19227"/>
    <cellStyle name="Normal 4 2 2 74 3 5" xfId="30519"/>
    <cellStyle name="Normal 4 2 2 74 4" xfId="8510"/>
    <cellStyle name="Normal 4 2 2 74 5" xfId="21301"/>
    <cellStyle name="Normal 4 2 2 74 6" xfId="17496"/>
    <cellStyle name="Normal 4 2 2 74 7" xfId="31705"/>
    <cellStyle name="Normal 4 2 2 75" xfId="1763"/>
    <cellStyle name="Normal 4 2 2 75 2" xfId="4207"/>
    <cellStyle name="Normal 4 2 2 75 2 2" xfId="10977"/>
    <cellStyle name="Normal 4 2 2 75 2 3" xfId="23667"/>
    <cellStyle name="Normal 4 2 2 75 2 4" xfId="16813"/>
    <cellStyle name="Normal 4 2 2 75 2 5" xfId="26869"/>
    <cellStyle name="Normal 4 2 2 75 3" xfId="6139"/>
    <cellStyle name="Normal 4 2 2 75 3 2" xfId="12909"/>
    <cellStyle name="Normal 4 2 2 75 3 3" xfId="25599"/>
    <cellStyle name="Normal 4 2 2 75 3 4" xfId="14819"/>
    <cellStyle name="Normal 4 2 2 75 3 5" xfId="31541"/>
    <cellStyle name="Normal 4 2 2 75 4" xfId="8533"/>
    <cellStyle name="Normal 4 2 2 75 5" xfId="21321"/>
    <cellStyle name="Normal 4 2 2 75 6" xfId="19264"/>
    <cellStyle name="Normal 4 2 2 75 7" xfId="29588"/>
    <cellStyle name="Normal 4 2 2 76" xfId="1786"/>
    <cellStyle name="Normal 4 2 2 76 2" xfId="4229"/>
    <cellStyle name="Normal 4 2 2 76 2 2" xfId="10999"/>
    <cellStyle name="Normal 4 2 2 76 2 3" xfId="23689"/>
    <cellStyle name="Normal 4 2 2 76 2 4" xfId="14309"/>
    <cellStyle name="Normal 4 2 2 76 2 5" xfId="28010"/>
    <cellStyle name="Normal 4 2 2 76 3" xfId="6159"/>
    <cellStyle name="Normal 4 2 2 76 3 2" xfId="12929"/>
    <cellStyle name="Normal 4 2 2 76 3 3" xfId="25619"/>
    <cellStyle name="Normal 4 2 2 76 3 4" xfId="16993"/>
    <cellStyle name="Normal 4 2 2 76 3 5" xfId="30331"/>
    <cellStyle name="Normal 4 2 2 76 4" xfId="8556"/>
    <cellStyle name="Normal 4 2 2 76 5" xfId="21341"/>
    <cellStyle name="Normal 4 2 2 76 6" xfId="14838"/>
    <cellStyle name="Normal 4 2 2 76 7" xfId="27668"/>
    <cellStyle name="Normal 4 2 2 77" xfId="1809"/>
    <cellStyle name="Normal 4 2 2 77 2" xfId="4251"/>
    <cellStyle name="Normal 4 2 2 77 2 2" xfId="11021"/>
    <cellStyle name="Normal 4 2 2 77 2 3" xfId="23711"/>
    <cellStyle name="Normal 4 2 2 77 2 4" xfId="18536"/>
    <cellStyle name="Normal 4 2 2 77 2 5" xfId="28933"/>
    <cellStyle name="Normal 4 2 2 77 3" xfId="6179"/>
    <cellStyle name="Normal 4 2 2 77 3 2" xfId="12949"/>
    <cellStyle name="Normal 4 2 2 77 3 3" xfId="25639"/>
    <cellStyle name="Normal 4 2 2 77 3 4" xfId="18876"/>
    <cellStyle name="Normal 4 2 2 77 3 5" xfId="31053"/>
    <cellStyle name="Normal 4 2 2 77 4" xfId="8579"/>
    <cellStyle name="Normal 4 2 2 77 5" xfId="21361"/>
    <cellStyle name="Normal 4 2 2 77 6" xfId="17035"/>
    <cellStyle name="Normal 4 2 2 77 7" xfId="31436"/>
    <cellStyle name="Normal 4 2 2 78" xfId="1832"/>
    <cellStyle name="Normal 4 2 2 78 2" xfId="4274"/>
    <cellStyle name="Normal 4 2 2 78 2 2" xfId="11044"/>
    <cellStyle name="Normal 4 2 2 78 2 3" xfId="23734"/>
    <cellStyle name="Normal 4 2 2 78 2 4" xfId="13620"/>
    <cellStyle name="Normal 4 2 2 78 2 5" xfId="31874"/>
    <cellStyle name="Normal 4 2 2 78 3" xfId="6199"/>
    <cellStyle name="Normal 4 2 2 78 3 2" xfId="12969"/>
    <cellStyle name="Normal 4 2 2 78 3 3" xfId="25659"/>
    <cellStyle name="Normal 4 2 2 78 3 4" xfId="14425"/>
    <cellStyle name="Normal 4 2 2 78 3 5" xfId="31442"/>
    <cellStyle name="Normal 4 2 2 78 4" xfId="8602"/>
    <cellStyle name="Normal 4 2 2 78 5" xfId="21381"/>
    <cellStyle name="Normal 4 2 2 78 6" xfId="18855"/>
    <cellStyle name="Normal 4 2 2 78 7" xfId="29342"/>
    <cellStyle name="Normal 4 2 2 79" xfId="1855"/>
    <cellStyle name="Normal 4 2 2 79 2" xfId="4296"/>
    <cellStyle name="Normal 4 2 2 79 2 2" xfId="11066"/>
    <cellStyle name="Normal 4 2 2 79 2 3" xfId="23756"/>
    <cellStyle name="Normal 4 2 2 79 2 4" xfId="18224"/>
    <cellStyle name="Normal 4 2 2 79 2 5" xfId="29765"/>
    <cellStyle name="Normal 4 2 2 79 3" xfId="6219"/>
    <cellStyle name="Normal 4 2 2 79 3 2" xfId="12989"/>
    <cellStyle name="Normal 4 2 2 79 3 3" xfId="25679"/>
    <cellStyle name="Normal 4 2 2 79 3 4" xfId="16648"/>
    <cellStyle name="Normal 4 2 2 79 3 5" xfId="30244"/>
    <cellStyle name="Normal 4 2 2 79 4" xfId="8625"/>
    <cellStyle name="Normal 4 2 2 79 5" xfId="21401"/>
    <cellStyle name="Normal 4 2 2 79 6" xfId="14380"/>
    <cellStyle name="Normal 4 2 2 79 7" xfId="32275"/>
    <cellStyle name="Normal 4 2 2 8" xfId="230"/>
    <cellStyle name="Normal 4 2 2 8 2" xfId="2709"/>
    <cellStyle name="Normal 4 2 2 8 2 2" xfId="9479"/>
    <cellStyle name="Normal 4 2 2 8 2 3" xfId="22169"/>
    <cellStyle name="Normal 4 2 2 8 2 4" xfId="13940"/>
    <cellStyle name="Normal 4 2 2 8 2 5" xfId="30756"/>
    <cellStyle name="Normal 4 2 2 8 3" xfId="2520"/>
    <cellStyle name="Normal 4 2 2 8 3 2" xfId="9290"/>
    <cellStyle name="Normal 4 2 2 8 3 3" xfId="21980"/>
    <cellStyle name="Normal 4 2 2 8 3 4" xfId="18776"/>
    <cellStyle name="Normal 4 2 2 8 3 5" xfId="26341"/>
    <cellStyle name="Normal 4 2 2 8 4" xfId="7000"/>
    <cellStyle name="Normal 4 2 2 8 5" xfId="13570"/>
    <cellStyle name="Normal 4 2 2 8 6" xfId="14091"/>
    <cellStyle name="Normal 4 2 2 8 7" xfId="30225"/>
    <cellStyle name="Normal 4 2 2 80" xfId="1878"/>
    <cellStyle name="Normal 4 2 2 80 2" xfId="4318"/>
    <cellStyle name="Normal 4 2 2 80 2 2" xfId="11088"/>
    <cellStyle name="Normal 4 2 2 80 2 3" xfId="23778"/>
    <cellStyle name="Normal 4 2 2 80 2 4" xfId="18209"/>
    <cellStyle name="Normal 4 2 2 80 2 5" xfId="30826"/>
    <cellStyle name="Normal 4 2 2 80 3" xfId="6239"/>
    <cellStyle name="Normal 4 2 2 80 3 2" xfId="13009"/>
    <cellStyle name="Normal 4 2 2 80 3 3" xfId="25699"/>
    <cellStyle name="Normal 4 2 2 80 3 4" xfId="18527"/>
    <cellStyle name="Normal 4 2 2 80 3 5" xfId="32288"/>
    <cellStyle name="Normal 4 2 2 80 4" xfId="8648"/>
    <cellStyle name="Normal 4 2 2 80 5" xfId="21421"/>
    <cellStyle name="Normal 4 2 2 80 6" xfId="16004"/>
    <cellStyle name="Normal 4 2 2 80 7" xfId="27194"/>
    <cellStyle name="Normal 4 2 2 81" xfId="1901"/>
    <cellStyle name="Normal 4 2 2 81 2" xfId="4340"/>
    <cellStyle name="Normal 4 2 2 81 2 2" xfId="11110"/>
    <cellStyle name="Normal 4 2 2 81 2 3" xfId="23800"/>
    <cellStyle name="Normal 4 2 2 81 2 4" xfId="15694"/>
    <cellStyle name="Normal 4 2 2 81 2 5" xfId="32339"/>
    <cellStyle name="Normal 4 2 2 81 3" xfId="6259"/>
    <cellStyle name="Normal 4 2 2 81 3 2" xfId="13029"/>
    <cellStyle name="Normal 4 2 2 81 3 3" xfId="25719"/>
    <cellStyle name="Normal 4 2 2 81 3 4" xfId="14003"/>
    <cellStyle name="Normal 4 2 2 81 3 5" xfId="31356"/>
    <cellStyle name="Normal 4 2 2 81 4" xfId="8671"/>
    <cellStyle name="Normal 4 2 2 81 5" xfId="21441"/>
    <cellStyle name="Normal 4 2 2 81 6" xfId="18444"/>
    <cellStyle name="Normal 4 2 2 81 7" xfId="30147"/>
    <cellStyle name="Normal 4 2 2 82" xfId="1923"/>
    <cellStyle name="Normal 4 2 2 82 2" xfId="4361"/>
    <cellStyle name="Normal 4 2 2 82 2 2" xfId="11131"/>
    <cellStyle name="Normal 4 2 2 82 2 3" xfId="23821"/>
    <cellStyle name="Normal 4 2 2 82 2 4" xfId="15552"/>
    <cellStyle name="Normal 4 2 2 82 2 5" xfId="28428"/>
    <cellStyle name="Normal 4 2 2 82 3" xfId="6278"/>
    <cellStyle name="Normal 4 2 2 82 3 2" xfId="13048"/>
    <cellStyle name="Normal 4 2 2 82 3 3" xfId="25738"/>
    <cellStyle name="Normal 4 2 2 82 3 4" xfId="8673"/>
    <cellStyle name="Normal 4 2 2 82 3 5" xfId="28355"/>
    <cellStyle name="Normal 4 2 2 82 4" xfId="8693"/>
    <cellStyle name="Normal 4 2 2 82 5" xfId="21460"/>
    <cellStyle name="Normal 4 2 2 82 6" xfId="16287"/>
    <cellStyle name="Normal 4 2 2 82 7" xfId="31265"/>
    <cellStyle name="Normal 4 2 2 83" xfId="1945"/>
    <cellStyle name="Normal 4 2 2 83 2" xfId="4382"/>
    <cellStyle name="Normal 4 2 2 83 2 2" xfId="11152"/>
    <cellStyle name="Normal 4 2 2 83 2 3" xfId="23842"/>
    <cellStyle name="Normal 4 2 2 83 2 4" xfId="15425"/>
    <cellStyle name="Normal 4 2 2 83 2 5" xfId="32280"/>
    <cellStyle name="Normal 4 2 2 83 3" xfId="6297"/>
    <cellStyle name="Normal 4 2 2 83 3 2" xfId="13067"/>
    <cellStyle name="Normal 4 2 2 83 3 3" xfId="25757"/>
    <cellStyle name="Normal 4 2 2 83 3 4" xfId="8285"/>
    <cellStyle name="Normal 4 2 2 83 3 5" xfId="30143"/>
    <cellStyle name="Normal 4 2 2 83 4" xfId="8715"/>
    <cellStyle name="Normal 4 2 2 83 5" xfId="21479"/>
    <cellStyle name="Normal 4 2 2 83 6" xfId="15883"/>
    <cellStyle name="Normal 4 2 2 83 7" xfId="32158"/>
    <cellStyle name="Normal 4 2 2 84" xfId="1968"/>
    <cellStyle name="Normal 4 2 2 84 2" xfId="4405"/>
    <cellStyle name="Normal 4 2 2 84 2 2" xfId="11175"/>
    <cellStyle name="Normal 4 2 2 84 2 3" xfId="23865"/>
    <cellStyle name="Normal 4 2 2 84 2 4" xfId="17663"/>
    <cellStyle name="Normal 4 2 2 84 2 5" xfId="27198"/>
    <cellStyle name="Normal 4 2 2 84 3" xfId="6317"/>
    <cellStyle name="Normal 4 2 2 84 3 2" xfId="13087"/>
    <cellStyle name="Normal 4 2 2 84 3 3" xfId="25777"/>
    <cellStyle name="Normal 4 2 2 84 3 4" xfId="7873"/>
    <cellStyle name="Normal 4 2 2 84 3 5" xfId="32191"/>
    <cellStyle name="Normal 4 2 2 84 4" xfId="8738"/>
    <cellStyle name="Normal 4 2 2 84 5" xfId="21499"/>
    <cellStyle name="Normal 4 2 2 84 6" xfId="18110"/>
    <cellStyle name="Normal 4 2 2 84 7" xfId="27052"/>
    <cellStyle name="Normal 4 2 2 85" xfId="1991"/>
    <cellStyle name="Normal 4 2 2 85 2" xfId="4427"/>
    <cellStyle name="Normal 4 2 2 85 2 2" xfId="11197"/>
    <cellStyle name="Normal 4 2 2 85 2 3" xfId="23887"/>
    <cellStyle name="Normal 4 2 2 85 2 4" xfId="15127"/>
    <cellStyle name="Normal 4 2 2 85 2 5" xfId="28339"/>
    <cellStyle name="Normal 4 2 2 85 3" xfId="6337"/>
    <cellStyle name="Normal 4 2 2 85 3 2" xfId="13107"/>
    <cellStyle name="Normal 4 2 2 85 3 3" xfId="25797"/>
    <cellStyle name="Normal 4 2 2 85 3 4" xfId="7470"/>
    <cellStyle name="Normal 4 2 2 85 3 5" xfId="31240"/>
    <cellStyle name="Normal 4 2 2 85 4" xfId="8761"/>
    <cellStyle name="Normal 4 2 2 85 5" xfId="21519"/>
    <cellStyle name="Normal 4 2 2 85 6" xfId="17281"/>
    <cellStyle name="Normal 4 2 2 85 7" xfId="30020"/>
    <cellStyle name="Normal 4 2 2 86" xfId="2013"/>
    <cellStyle name="Normal 4 2 2 86 2" xfId="4449"/>
    <cellStyle name="Normal 4 2 2 86 2 2" xfId="11219"/>
    <cellStyle name="Normal 4 2 2 86 2 3" xfId="23909"/>
    <cellStyle name="Normal 4 2 2 86 2 4" xfId="19278"/>
    <cellStyle name="Normal 4 2 2 86 2 5" xfId="29225"/>
    <cellStyle name="Normal 4 2 2 86 3" xfId="6356"/>
    <cellStyle name="Normal 4 2 2 86 3 2" xfId="13126"/>
    <cellStyle name="Normal 4 2 2 86 3 3" xfId="25816"/>
    <cellStyle name="Normal 4 2 2 86 3 4" xfId="7082"/>
    <cellStyle name="Normal 4 2 2 86 3 5" xfId="28240"/>
    <cellStyle name="Normal 4 2 2 86 4" xfId="8783"/>
    <cellStyle name="Normal 4 2 2 86 5" xfId="21538"/>
    <cellStyle name="Normal 4 2 2 86 6" xfId="18194"/>
    <cellStyle name="Normal 4 2 2 86 7" xfId="31129"/>
    <cellStyle name="Normal 4 2 2 87" xfId="2036"/>
    <cellStyle name="Normal 4 2 2 87 2" xfId="4471"/>
    <cellStyle name="Normal 4 2 2 87 2 2" xfId="11241"/>
    <cellStyle name="Normal 4 2 2 87 2 3" xfId="23931"/>
    <cellStyle name="Normal 4 2 2 87 2 4" xfId="17229"/>
    <cellStyle name="Normal 4 2 2 87 2 5" xfId="27100"/>
    <cellStyle name="Normal 4 2 2 87 3" xfId="6376"/>
    <cellStyle name="Normal 4 2 2 87 3 2" xfId="13146"/>
    <cellStyle name="Normal 4 2 2 87 3 3" xfId="25836"/>
    <cellStyle name="Normal 4 2 2 87 3 4" xfId="18347"/>
    <cellStyle name="Normal 4 2 2 87 3 5" xfId="26350"/>
    <cellStyle name="Normal 4 2 2 87 4" xfId="8806"/>
    <cellStyle name="Normal 4 2 2 87 5" xfId="21558"/>
    <cellStyle name="Normal 4 2 2 87 6" xfId="18255"/>
    <cellStyle name="Normal 4 2 2 87 7" xfId="29063"/>
    <cellStyle name="Normal 4 2 2 88" xfId="2059"/>
    <cellStyle name="Normal 4 2 2 88 2" xfId="4493"/>
    <cellStyle name="Normal 4 2 2 88 2 2" xfId="11263"/>
    <cellStyle name="Normal 4 2 2 88 2 3" xfId="23953"/>
    <cellStyle name="Normal 4 2 2 88 2 4" xfId="14698"/>
    <cellStyle name="Normal 4 2 2 88 2 5" xfId="28241"/>
    <cellStyle name="Normal 4 2 2 88 3" xfId="6396"/>
    <cellStyle name="Normal 4 2 2 88 3 2" xfId="13166"/>
    <cellStyle name="Normal 4 2 2 88 3 3" xfId="25856"/>
    <cellStyle name="Normal 4 2 2 88 3 4" xfId="13804"/>
    <cellStyle name="Normal 4 2 2 88 3 5" xfId="29116"/>
    <cellStyle name="Normal 4 2 2 88 4" xfId="8829"/>
    <cellStyle name="Normal 4 2 2 88 5" xfId="21578"/>
    <cellStyle name="Normal 4 2 2 88 6" xfId="13735"/>
    <cellStyle name="Normal 4 2 2 88 7" xfId="31992"/>
    <cellStyle name="Normal 4 2 2 89" xfId="2082"/>
    <cellStyle name="Normal 4 2 2 89 2" xfId="4514"/>
    <cellStyle name="Normal 4 2 2 89 2 2" xfId="11284"/>
    <cellStyle name="Normal 4 2 2 89 2 3" xfId="23974"/>
    <cellStyle name="Normal 4 2 2 89 2 4" xfId="14568"/>
    <cellStyle name="Normal 4 2 2 89 2 5" xfId="32100"/>
    <cellStyle name="Normal 4 2 2 89 3" xfId="6416"/>
    <cellStyle name="Normal 4 2 2 89 3 2" xfId="13186"/>
    <cellStyle name="Normal 4 2 2 89 3 3" xfId="25876"/>
    <cellStyle name="Normal 4 2 2 89 3 4" xfId="18155"/>
    <cellStyle name="Normal 4 2 2 89 3 5" xfId="28148"/>
    <cellStyle name="Normal 4 2 2 89 4" xfId="8852"/>
    <cellStyle name="Normal 4 2 2 89 5" xfId="21598"/>
    <cellStyle name="Normal 4 2 2 89 6" xfId="18178"/>
    <cellStyle name="Normal 4 2 2 89 7" xfId="26870"/>
    <cellStyle name="Normal 4 2 2 9" xfId="252"/>
    <cellStyle name="Normal 4 2 2 9 2" xfId="2730"/>
    <cellStyle name="Normal 4 2 2 9 2 2" xfId="9500"/>
    <cellStyle name="Normal 4 2 2 9 2 3" xfId="22190"/>
    <cellStyle name="Normal 4 2 2 9 2 4" xfId="16156"/>
    <cellStyle name="Normal 4 2 2 9 2 5" xfId="26594"/>
    <cellStyle name="Normal 4 2 2 9 3" xfId="4495"/>
    <cellStyle name="Normal 4 2 2 9 3 2" xfId="11265"/>
    <cellStyle name="Normal 4 2 2 9 3 3" xfId="23955"/>
    <cellStyle name="Normal 4 2 2 9 3 4" xfId="17054"/>
    <cellStyle name="Normal 4 2 2 9 3 5" xfId="27058"/>
    <cellStyle name="Normal 4 2 2 9 4" xfId="7022"/>
    <cellStyle name="Normal 4 2 2 9 5" xfId="15540"/>
    <cellStyle name="Normal 4 2 2 9 6" xfId="19925"/>
    <cellStyle name="Normal 4 2 2 9 7" xfId="31363"/>
    <cellStyle name="Normal 4 2 2 90" xfId="2105"/>
    <cellStyle name="Normal 4 2 2 90 2" xfId="4536"/>
    <cellStyle name="Normal 4 2 2 90 2 2" xfId="11306"/>
    <cellStyle name="Normal 4 2 2 90 2 3" xfId="23996"/>
    <cellStyle name="Normal 4 2 2 90 2 4" xfId="18772"/>
    <cellStyle name="Normal 4 2 2 90 2 5" xfId="30008"/>
    <cellStyle name="Normal 4 2 2 90 3" xfId="6436"/>
    <cellStyle name="Normal 4 2 2 90 3 2" xfId="13206"/>
    <cellStyle name="Normal 4 2 2 90 3 3" xfId="25896"/>
    <cellStyle name="Normal 4 2 2 90 3 4" xfId="15689"/>
    <cellStyle name="Normal 4 2 2 90 3 5" xfId="26929"/>
    <cellStyle name="Normal 4 2 2 90 4" xfId="8875"/>
    <cellStyle name="Normal 4 2 2 90 5" xfId="21618"/>
    <cellStyle name="Normal 4 2 2 90 6" xfId="18454"/>
    <cellStyle name="Normal 4 2 2 90 7" xfId="29854"/>
    <cellStyle name="Normal 4 2 2 91" xfId="2127"/>
    <cellStyle name="Normal 4 2 2 91 2" xfId="4556"/>
    <cellStyle name="Normal 4 2 2 91 2 2" xfId="11326"/>
    <cellStyle name="Normal 4 2 2 91 2 3" xfId="24016"/>
    <cellStyle name="Normal 4 2 2 91 2 4" xfId="14285"/>
    <cellStyle name="Normal 4 2 2 91 2 5" xfId="32044"/>
    <cellStyle name="Normal 4 2 2 91 3" xfId="6455"/>
    <cellStyle name="Normal 4 2 2 91 3 2" xfId="13225"/>
    <cellStyle name="Normal 4 2 2 91 3 3" xfId="25915"/>
    <cellStyle name="Normal 4 2 2 91 3 4" xfId="19793"/>
    <cellStyle name="Normal 4 2 2 91 3 5" xfId="31997"/>
    <cellStyle name="Normal 4 2 2 91 4" xfId="8897"/>
    <cellStyle name="Normal 4 2 2 91 5" xfId="21637"/>
    <cellStyle name="Normal 4 2 2 91 6" xfId="18296"/>
    <cellStyle name="Normal 4 2 2 91 7" xfId="30935"/>
    <cellStyle name="Normal 4 2 2 92" xfId="2148"/>
    <cellStyle name="Normal 4 2 2 92 2" xfId="4576"/>
    <cellStyle name="Normal 4 2 2 92 2 2" xfId="11346"/>
    <cellStyle name="Normal 4 2 2 92 2 3" xfId="24036"/>
    <cellStyle name="Normal 4 2 2 92 2 4" xfId="16526"/>
    <cellStyle name="Normal 4 2 2 92 2 5" xfId="31071"/>
    <cellStyle name="Normal 4 2 2 92 3" xfId="6473"/>
    <cellStyle name="Normal 4 2 2 92 3 2" xfId="13243"/>
    <cellStyle name="Normal 4 2 2 92 3 3" xfId="25933"/>
    <cellStyle name="Normal 4 2 2 92 3 4" xfId="19699"/>
    <cellStyle name="Normal 4 2 2 92 3 5" xfId="31967"/>
    <cellStyle name="Normal 4 2 2 92 4" xfId="8918"/>
    <cellStyle name="Normal 4 2 2 92 5" xfId="21655"/>
    <cellStyle name="Normal 4 2 2 92 6" xfId="19770"/>
    <cellStyle name="Normal 4 2 2 92 7" xfId="26769"/>
    <cellStyle name="Normal 4 2 2 93" xfId="2166"/>
    <cellStyle name="Normal 4 2 2 93 2" xfId="4593"/>
    <cellStyle name="Normal 4 2 2 93 2 2" xfId="11363"/>
    <cellStyle name="Normal 4 2 2 93 2 3" xfId="24053"/>
    <cellStyle name="Normal 4 2 2 93 2 4" xfId="18418"/>
    <cellStyle name="Normal 4 2 2 93 2 5" xfId="29030"/>
    <cellStyle name="Normal 4 2 2 93 3" xfId="6489"/>
    <cellStyle name="Normal 4 2 2 93 3 2" xfId="13259"/>
    <cellStyle name="Normal 4 2 2 93 3 3" xfId="25949"/>
    <cellStyle name="Normal 4 2 2 93 3 4" xfId="17722"/>
    <cellStyle name="Normal 4 2 2 93 3 5" xfId="29873"/>
    <cellStyle name="Normal 4 2 2 93 4" xfId="8936"/>
    <cellStyle name="Normal 4 2 2 93 5" xfId="21671"/>
    <cellStyle name="Normal 4 2 2 93 6" xfId="19678"/>
    <cellStyle name="Normal 4 2 2 93 7" xfId="26741"/>
    <cellStyle name="Normal 4 2 2 94" xfId="2182"/>
    <cellStyle name="Normal 4 2 2 94 2" xfId="4608"/>
    <cellStyle name="Normal 4 2 2 94 2 2" xfId="11378"/>
    <cellStyle name="Normal 4 2 2 94 2 3" xfId="24068"/>
    <cellStyle name="Normal 4 2 2 94 2 4" xfId="18338"/>
    <cellStyle name="Normal 4 2 2 94 2 5" xfId="29903"/>
    <cellStyle name="Normal 4 2 2 94 3" xfId="6504"/>
    <cellStyle name="Normal 4 2 2 94 3 2" xfId="13274"/>
    <cellStyle name="Normal 4 2 2 94 3 3" xfId="25964"/>
    <cellStyle name="Normal 4 2 2 94 3 4" xfId="17636"/>
    <cellStyle name="Normal 4 2 2 94 3 5" xfId="28957"/>
    <cellStyle name="Normal 4 2 2 94 4" xfId="8952"/>
    <cellStyle name="Normal 4 2 2 94 5" xfId="21686"/>
    <cellStyle name="Normal 4 2 2 94 6" xfId="17696"/>
    <cellStyle name="Normal 4 2 2 94 7" xfId="27883"/>
    <cellStyle name="Normal 4 2 2 95" xfId="2204"/>
    <cellStyle name="Normal 4 2 2 95 2" xfId="4629"/>
    <cellStyle name="Normal 4 2 2 95 2 2" xfId="11399"/>
    <cellStyle name="Normal 4 2 2 95 2 3" xfId="24089"/>
    <cellStyle name="Normal 4 2 2 95 2 4" xfId="16168"/>
    <cellStyle name="Normal 4 2 2 95 2 5" xfId="28974"/>
    <cellStyle name="Normal 4 2 2 95 3" xfId="6523"/>
    <cellStyle name="Normal 4 2 2 95 3 2" xfId="13293"/>
    <cellStyle name="Normal 4 2 2 95 3 3" xfId="25983"/>
    <cellStyle name="Normal 4 2 2 95 3 4" xfId="15120"/>
    <cellStyle name="Normal 4 2 2 95 3 5" xfId="30941"/>
    <cellStyle name="Normal 4 2 2 95 4" xfId="8974"/>
    <cellStyle name="Normal 4 2 2 95 5" xfId="21705"/>
    <cellStyle name="Normal 4 2 2 95 6" xfId="15184"/>
    <cellStyle name="Normal 4 2 2 95 7" xfId="28822"/>
    <cellStyle name="Normal 4 2 2 96" xfId="2242"/>
    <cellStyle name="Normal 4 2 2 96 2" xfId="4664"/>
    <cellStyle name="Normal 4 2 2 96 2 2" xfId="11434"/>
    <cellStyle name="Normal 4 2 2 96 2 3" xfId="24124"/>
    <cellStyle name="Normal 4 2 2 96 2 4" xfId="15548"/>
    <cellStyle name="Normal 4 2 2 96 2 5" xfId="31898"/>
    <cellStyle name="Normal 4 2 2 96 3" xfId="6553"/>
    <cellStyle name="Normal 4 2 2 96 3 2" xfId="13323"/>
    <cellStyle name="Normal 4 2 2 96 3 3" xfId="26013"/>
    <cellStyle name="Normal 4 2 2 96 3 4" xfId="14933"/>
    <cellStyle name="Normal 4 2 2 96 3 5" xfId="30886"/>
    <cellStyle name="Normal 4 2 2 96 4" xfId="9012"/>
    <cellStyle name="Normal 4 2 2 96 5" xfId="21735"/>
    <cellStyle name="Normal 4 2 2 96 6" xfId="17307"/>
    <cellStyle name="Normal 4 2 2 96 7" xfId="27786"/>
    <cellStyle name="Normal 4 2 2 97" xfId="2264"/>
    <cellStyle name="Normal 4 2 2 97 2" xfId="4686"/>
    <cellStyle name="Normal 4 2 2 97 2 2" xfId="11456"/>
    <cellStyle name="Normal 4 2 2 97 2 3" xfId="24146"/>
    <cellStyle name="Normal 4 2 2 97 2 4" xfId="19928"/>
    <cellStyle name="Normal 4 2 2 97 2 5" xfId="29787"/>
    <cellStyle name="Normal 4 2 2 97 3" xfId="6572"/>
    <cellStyle name="Normal 4 2 2 97 3 2" xfId="13342"/>
    <cellStyle name="Normal 4 2 2 97 3 3" xfId="26032"/>
    <cellStyle name="Normal 4 2 2 97 3 4" xfId="19116"/>
    <cellStyle name="Normal 4 2 2 97 3 5" xfId="27888"/>
    <cellStyle name="Normal 4 2 2 97 4" xfId="9034"/>
    <cellStyle name="Normal 4 2 2 97 5" xfId="21754"/>
    <cellStyle name="Normal 4 2 2 97 6" xfId="14798"/>
    <cellStyle name="Normal 4 2 2 97 7" xfId="29401"/>
    <cellStyle name="Normal 4 2 2 98" xfId="2286"/>
    <cellStyle name="Normal 4 2 2 98 2" xfId="4707"/>
    <cellStyle name="Normal 4 2 2 98 2 2" xfId="11477"/>
    <cellStyle name="Normal 4 2 2 98 2 3" xfId="24167"/>
    <cellStyle name="Normal 4 2 2 98 2 4" xfId="19797"/>
    <cellStyle name="Normal 4 2 2 98 2 5" xfId="28861"/>
    <cellStyle name="Normal 4 2 2 98 3" xfId="6591"/>
    <cellStyle name="Normal 4 2 2 98 3 2" xfId="13361"/>
    <cellStyle name="Normal 4 2 2 98 3 3" xfId="26051"/>
    <cellStyle name="Normal 4 2 2 98 3 4" xfId="17041"/>
    <cellStyle name="Normal 4 2 2 98 3 5" xfId="29727"/>
    <cellStyle name="Normal 4 2 2 98 4" xfId="9056"/>
    <cellStyle name="Normal 4 2 2 98 5" xfId="21773"/>
    <cellStyle name="Normal 4 2 2 98 6" xfId="18956"/>
    <cellStyle name="Normal 4 2 2 98 7" xfId="27283"/>
    <cellStyle name="Normal 4 2 2 99" xfId="2308"/>
    <cellStyle name="Normal 4 2 2 99 2" xfId="4729"/>
    <cellStyle name="Normal 4 2 2 99 2 2" xfId="11499"/>
    <cellStyle name="Normal 4 2 2 99 2 3" xfId="24189"/>
    <cellStyle name="Normal 4 2 2 99 2 4" xfId="17813"/>
    <cellStyle name="Normal 4 2 2 99 2 5" xfId="26695"/>
    <cellStyle name="Normal 4 2 2 99 3" xfId="6610"/>
    <cellStyle name="Normal 4 2 2 99 3 2" xfId="13380"/>
    <cellStyle name="Normal 4 2 2 99 3 3" xfId="26070"/>
    <cellStyle name="Normal 4 2 2 99 3 4" xfId="14561"/>
    <cellStyle name="Normal 4 2 2 99 3 5" xfId="26659"/>
    <cellStyle name="Normal 4 2 2 99 4" xfId="9078"/>
    <cellStyle name="Normal 4 2 2 99 5" xfId="21792"/>
    <cellStyle name="Normal 4 2 2 99 6" xfId="16870"/>
    <cellStyle name="Normal 4 2 2 99 7" xfId="28422"/>
    <cellStyle name="Normal 4 2 20" xfId="444"/>
    <cellStyle name="Normal 4 2 20 2" xfId="2919"/>
    <cellStyle name="Normal 4 2 20 2 2" xfId="9689"/>
    <cellStyle name="Normal 4 2 20 2 3" xfId="22379"/>
    <cellStyle name="Normal 4 2 20 2 4" xfId="8638"/>
    <cellStyle name="Normal 4 2 20 2 5" xfId="30690"/>
    <cellStyle name="Normal 4 2 20 3" xfId="4992"/>
    <cellStyle name="Normal 4 2 20 3 2" xfId="11762"/>
    <cellStyle name="Normal 4 2 20 3 3" xfId="24452"/>
    <cellStyle name="Normal 4 2 20 3 4" xfId="20018"/>
    <cellStyle name="Normal 4 2 20 3 5" xfId="29681"/>
    <cellStyle name="Normal 4 2 20 4" xfId="7214"/>
    <cellStyle name="Normal 4 2 20 5" xfId="20174"/>
    <cellStyle name="Normal 4 2 20 6" xfId="17005"/>
    <cellStyle name="Normal 4 2 20 7" xfId="31068"/>
    <cellStyle name="Normal 4 2 21" xfId="467"/>
    <cellStyle name="Normal 4 2 21 2" xfId="2942"/>
    <cellStyle name="Normal 4 2 21 2 2" xfId="9712"/>
    <cellStyle name="Normal 4 2 21 2 3" xfId="22402"/>
    <cellStyle name="Normal 4 2 21 2 4" xfId="8158"/>
    <cellStyle name="Normal 4 2 21 2 5" xfId="28667"/>
    <cellStyle name="Normal 4 2 21 3" xfId="5012"/>
    <cellStyle name="Normal 4 2 21 3 2" xfId="11782"/>
    <cellStyle name="Normal 4 2 21 3 3" xfId="24472"/>
    <cellStyle name="Normal 4 2 21 3 4" xfId="6802"/>
    <cellStyle name="Normal 4 2 21 3 5" xfId="31722"/>
    <cellStyle name="Normal 4 2 21 4" xfId="7237"/>
    <cellStyle name="Normal 4 2 21 5" xfId="20194"/>
    <cellStyle name="Normal 4 2 21 6" xfId="14302"/>
    <cellStyle name="Normal 4 2 21 7" xfId="29009"/>
    <cellStyle name="Normal 4 2 22" xfId="490"/>
    <cellStyle name="Normal 4 2 22 2" xfId="2965"/>
    <cellStyle name="Normal 4 2 22 2 2" xfId="9735"/>
    <cellStyle name="Normal 4 2 22 2 3" xfId="22425"/>
    <cellStyle name="Normal 4 2 22 2 4" xfId="6877"/>
    <cellStyle name="Normal 4 2 22 2 5" xfId="31602"/>
    <cellStyle name="Normal 4 2 22 3" xfId="5032"/>
    <cellStyle name="Normal 4 2 22 3 2" xfId="11802"/>
    <cellStyle name="Normal 4 2 22 3 3" xfId="24492"/>
    <cellStyle name="Normal 4 2 22 3 4" xfId="17987"/>
    <cellStyle name="Normal 4 2 22 3 5" xfId="30705"/>
    <cellStyle name="Normal 4 2 22 4" xfId="7260"/>
    <cellStyle name="Normal 4 2 22 5" xfId="20214"/>
    <cellStyle name="Normal 4 2 22 6" xfId="16523"/>
    <cellStyle name="Normal 4 2 22 7" xfId="31939"/>
    <cellStyle name="Normal 4 2 23" xfId="513"/>
    <cellStyle name="Normal 4 2 23 2" xfId="2988"/>
    <cellStyle name="Normal 4 2 23 2 2" xfId="9758"/>
    <cellStyle name="Normal 4 2 23 2 3" xfId="22448"/>
    <cellStyle name="Normal 4 2 23 2 4" xfId="7221"/>
    <cellStyle name="Normal 4 2 23 2 5" xfId="27293"/>
    <cellStyle name="Normal 4 2 23 3" xfId="5052"/>
    <cellStyle name="Normal 4 2 23 3 2" xfId="11822"/>
    <cellStyle name="Normal 4 2 23 3 3" xfId="24512"/>
    <cellStyle name="Normal 4 2 23 3 4" xfId="19684"/>
    <cellStyle name="Normal 4 2 23 3 5" xfId="27702"/>
    <cellStyle name="Normal 4 2 23 4" xfId="7283"/>
    <cellStyle name="Normal 4 2 23 5" xfId="20234"/>
    <cellStyle name="Normal 4 2 23 6" xfId="18393"/>
    <cellStyle name="Normal 4 2 23 7" xfId="26811"/>
    <cellStyle name="Normal 4 2 24" xfId="536"/>
    <cellStyle name="Normal 4 2 24 2" xfId="3010"/>
    <cellStyle name="Normal 4 2 24 2 2" xfId="9780"/>
    <cellStyle name="Normal 4 2 24 2 3" xfId="22470"/>
    <cellStyle name="Normal 4 2 24 2 4" xfId="7193"/>
    <cellStyle name="Normal 4 2 24 2 5" xfId="28429"/>
    <cellStyle name="Normal 4 2 24 3" xfId="5072"/>
    <cellStyle name="Normal 4 2 24 3 2" xfId="11842"/>
    <cellStyle name="Normal 4 2 24 3 3" xfId="24532"/>
    <cellStyle name="Normal 4 2 24 3 4" xfId="15300"/>
    <cellStyle name="Normal 4 2 24 3 5" xfId="26493"/>
    <cellStyle name="Normal 4 2 24 4" xfId="7306"/>
    <cellStyle name="Normal 4 2 24 5" xfId="20254"/>
    <cellStyle name="Normal 4 2 24 6" xfId="13586"/>
    <cellStyle name="Normal 4 2 24 7" xfId="29804"/>
    <cellStyle name="Normal 4 2 25" xfId="559"/>
    <cellStyle name="Normal 4 2 25 2" xfId="3032"/>
    <cellStyle name="Normal 4 2 25 2 2" xfId="9802"/>
    <cellStyle name="Normal 4 2 25 2 3" xfId="22492"/>
    <cellStyle name="Normal 4 2 25 2 4" xfId="13615"/>
    <cellStyle name="Normal 4 2 25 2 5" xfId="28385"/>
    <cellStyle name="Normal 4 2 25 3" xfId="5092"/>
    <cellStyle name="Normal 4 2 25 3 2" xfId="11862"/>
    <cellStyle name="Normal 4 2 25 3 3" xfId="24552"/>
    <cellStyle name="Normal 4 2 25 3 4" xfId="17552"/>
    <cellStyle name="Normal 4 2 25 3 5" xfId="28614"/>
    <cellStyle name="Normal 4 2 25 4" xfId="7329"/>
    <cellStyle name="Normal 4 2 25 5" xfId="20274"/>
    <cellStyle name="Normal 4 2 25 6" xfId="18181"/>
    <cellStyle name="Normal 4 2 25 7" xfId="27908"/>
    <cellStyle name="Normal 4 2 26" xfId="582"/>
    <cellStyle name="Normal 4 2 26 2" xfId="3055"/>
    <cellStyle name="Normal 4 2 26 2 2" xfId="9825"/>
    <cellStyle name="Normal 4 2 26 2 3" xfId="22515"/>
    <cellStyle name="Normal 4 2 26 2 4" xfId="17994"/>
    <cellStyle name="Normal 4 2 26 2 5" xfId="32254"/>
    <cellStyle name="Normal 4 2 26 3" xfId="5113"/>
    <cellStyle name="Normal 4 2 26 3 2" xfId="11883"/>
    <cellStyle name="Normal 4 2 26 3 3" xfId="24573"/>
    <cellStyle name="Normal 4 2 26 3 4" xfId="17404"/>
    <cellStyle name="Normal 4 2 26 3 5" xfId="27578"/>
    <cellStyle name="Normal 4 2 26 4" xfId="7352"/>
    <cellStyle name="Normal 4 2 26 5" xfId="20295"/>
    <cellStyle name="Normal 4 2 26 6" xfId="18288"/>
    <cellStyle name="Normal 4 2 26 7" xfId="30843"/>
    <cellStyle name="Normal 4 2 27" xfId="603"/>
    <cellStyle name="Normal 4 2 27 2" xfId="3076"/>
    <cellStyle name="Normal 4 2 27 2 2" xfId="9846"/>
    <cellStyle name="Normal 4 2 27 2 3" xfId="22536"/>
    <cellStyle name="Normal 4 2 27 2 4" xfId="17890"/>
    <cellStyle name="Normal 4 2 27 2 5" xfId="28340"/>
    <cellStyle name="Normal 4 2 27 3" xfId="5131"/>
    <cellStyle name="Normal 4 2 27 3 2" xfId="11901"/>
    <cellStyle name="Normal 4 2 27 3 3" xfId="24591"/>
    <cellStyle name="Normal 4 2 27 3 4" xfId="17294"/>
    <cellStyle name="Normal 4 2 27 3 5" xfId="27544"/>
    <cellStyle name="Normal 4 2 27 4" xfId="7373"/>
    <cellStyle name="Normal 4 2 27 5" xfId="20313"/>
    <cellStyle name="Normal 4 2 27 6" xfId="20078"/>
    <cellStyle name="Normal 4 2 27 7" xfId="26667"/>
    <cellStyle name="Normal 4 2 28" xfId="618"/>
    <cellStyle name="Normal 4 2 28 2" xfId="3091"/>
    <cellStyle name="Normal 4 2 28 2 2" xfId="9861"/>
    <cellStyle name="Normal 4 2 28 2 3" xfId="22551"/>
    <cellStyle name="Normal 4 2 28 2 4" xfId="17785"/>
    <cellStyle name="Normal 4 2 28 2 5" xfId="32203"/>
    <cellStyle name="Normal 4 2 28 3" xfId="5144"/>
    <cellStyle name="Normal 4 2 28 3 2" xfId="11914"/>
    <cellStyle name="Normal 4 2 28 3 3" xfId="24604"/>
    <cellStyle name="Normal 4 2 28 3 4" xfId="14830"/>
    <cellStyle name="Normal 4 2 28 3 5" xfId="27420"/>
    <cellStyle name="Normal 4 2 28 4" xfId="7388"/>
    <cellStyle name="Normal 4 2 28 5" xfId="20326"/>
    <cellStyle name="Normal 4 2 28 6" xfId="19992"/>
    <cellStyle name="Normal 4 2 28 7" xfId="30773"/>
    <cellStyle name="Normal 4 2 29" xfId="651"/>
    <cellStyle name="Normal 4 2 29 2" xfId="3124"/>
    <cellStyle name="Normal 4 2 29 2 2" xfId="9894"/>
    <cellStyle name="Normal 4 2 29 2 3" xfId="22584"/>
    <cellStyle name="Normal 4 2 29 2 4" xfId="17568"/>
    <cellStyle name="Normal 4 2 29 2 5" xfId="28272"/>
    <cellStyle name="Normal 4 2 29 3" xfId="5173"/>
    <cellStyle name="Normal 4 2 29 3 2" xfId="11943"/>
    <cellStyle name="Normal 4 2 29 3 3" xfId="24633"/>
    <cellStyle name="Normal 4 2 29 3 4" xfId="16986"/>
    <cellStyle name="Normal 4 2 29 3 5" xfId="28549"/>
    <cellStyle name="Normal 4 2 29 4" xfId="7421"/>
    <cellStyle name="Normal 4 2 29 5" xfId="20355"/>
    <cellStyle name="Normal 4 2 29 6" xfId="19489"/>
    <cellStyle name="Normal 4 2 29 7" xfId="26591"/>
    <cellStyle name="Normal 4 2 3" xfId="43"/>
    <cellStyle name="Normal 4 2 3 10" xfId="277"/>
    <cellStyle name="Normal 4 2 3 10 2" xfId="2753"/>
    <cellStyle name="Normal 4 2 3 10 2 2" xfId="9523"/>
    <cellStyle name="Normal 4 2 3 10 2 3" xfId="22213"/>
    <cellStyle name="Normal 4 2 3 10 2 4" xfId="20024"/>
    <cellStyle name="Normal 4 2 3 10 2 5" xfId="29594"/>
    <cellStyle name="Normal 4 2 3 10 3" xfId="4012"/>
    <cellStyle name="Normal 4 2 3 10 3 2" xfId="10782"/>
    <cellStyle name="Normal 4 2 3 10 3 3" xfId="23472"/>
    <cellStyle name="Normal 4 2 3 10 3 4" xfId="16148"/>
    <cellStyle name="Normal 4 2 3 10 3 5" xfId="31322"/>
    <cellStyle name="Normal 4 2 3 10 4" xfId="7047"/>
    <cellStyle name="Normal 4 2 3 10 5" xfId="15056"/>
    <cellStyle name="Normal 4 2 3 10 6" xfId="17913"/>
    <cellStyle name="Normal 4 2 3 10 7" xfId="28354"/>
    <cellStyle name="Normal 4 2 3 100" xfId="2331"/>
    <cellStyle name="Normal 4 2 3 100 2" xfId="4752"/>
    <cellStyle name="Normal 4 2 3 100 2 2" xfId="11522"/>
    <cellStyle name="Normal 4 2 3 100 2 3" xfId="24212"/>
    <cellStyle name="Normal 4 2 3 100 2 4" xfId="19552"/>
    <cellStyle name="Normal 4 2 3 100 2 5" xfId="29687"/>
    <cellStyle name="Normal 4 2 3 100 3" xfId="6630"/>
    <cellStyle name="Normal 4 2 3 100 3 2" xfId="13400"/>
    <cellStyle name="Normal 4 2 3 100 3 3" xfId="26090"/>
    <cellStyle name="Normal 4 2 3 100 3 4" xfId="16807"/>
    <cellStyle name="Normal 4 2 3 100 3 5" xfId="28766"/>
    <cellStyle name="Normal 4 2 3 100 4" xfId="9101"/>
    <cellStyle name="Normal 4 2 3 100 5" xfId="21812"/>
    <cellStyle name="Normal 4 2 3 100 6" xfId="19896"/>
    <cellStyle name="Normal 4 2 3 100 7" xfId="31367"/>
    <cellStyle name="Normal 4 2 3 101" xfId="2353"/>
    <cellStyle name="Normal 4 2 3 101 2" xfId="4773"/>
    <cellStyle name="Normal 4 2 3 101 2 2" xfId="11543"/>
    <cellStyle name="Normal 4 2 3 101 2 3" xfId="24233"/>
    <cellStyle name="Normal 4 2 3 101 2 4" xfId="19412"/>
    <cellStyle name="Normal 4 2 3 101 2 5" xfId="28740"/>
    <cellStyle name="Normal 4 2 3 101 3" xfId="6649"/>
    <cellStyle name="Normal 4 2 3 101 3 2" xfId="13419"/>
    <cellStyle name="Normal 4 2 3 101 3 3" xfId="26109"/>
    <cellStyle name="Normal 4 2 3 101 3 4" xfId="14301"/>
    <cellStyle name="Normal 4 2 3 101 3 5" xfId="30732"/>
    <cellStyle name="Normal 4 2 3 101 4" xfId="9123"/>
    <cellStyle name="Normal 4 2 3 101 5" xfId="21831"/>
    <cellStyle name="Normal 4 2 3 101 6" xfId="17902"/>
    <cellStyle name="Normal 4 2 3 101 7" xfId="32246"/>
    <cellStyle name="Normal 4 2 3 102" xfId="2374"/>
    <cellStyle name="Normal 4 2 3 102 2" xfId="4793"/>
    <cellStyle name="Normal 4 2 3 102 2 2" xfId="11563"/>
    <cellStyle name="Normal 4 2 3 102 2 3" xfId="24253"/>
    <cellStyle name="Normal 4 2 3 102 2 4" xfId="15026"/>
    <cellStyle name="Normal 4 2 3 102 2 5" xfId="27719"/>
    <cellStyle name="Normal 4 2 3 102 3" xfId="6667"/>
    <cellStyle name="Normal 4 2 3 102 3 2" xfId="13437"/>
    <cellStyle name="Normal 4 2 3 102 3 3" xfId="26127"/>
    <cellStyle name="Normal 4 2 3 102 3 4" xfId="14186"/>
    <cellStyle name="Normal 4 2 3 102 3 5" xfId="30700"/>
    <cellStyle name="Normal 4 2 3 102 4" xfId="9144"/>
    <cellStyle name="Normal 4 2 3 102 5" xfId="21849"/>
    <cellStyle name="Normal 4 2 3 102 6" xfId="17776"/>
    <cellStyle name="Normal 4 2 3 102 7" xfId="28331"/>
    <cellStyle name="Normal 4 2 3 103" xfId="2394"/>
    <cellStyle name="Normal 4 2 3 103 2" xfId="4812"/>
    <cellStyle name="Normal 4 2 3 103 2 2" xfId="11582"/>
    <cellStyle name="Normal 4 2 3 103 2 3" xfId="24272"/>
    <cellStyle name="Normal 4 2 3 103 2 4" xfId="19181"/>
    <cellStyle name="Normal 4 2 3 103 2 5" xfId="29592"/>
    <cellStyle name="Normal 4 2 3 103 3" xfId="6683"/>
    <cellStyle name="Normal 4 2 3 103 3 2" xfId="13453"/>
    <cellStyle name="Normal 4 2 3 103 3 3" xfId="26143"/>
    <cellStyle name="Normal 4 2 3 103 3 4" xfId="18452"/>
    <cellStyle name="Normal 4 2 3 103 3 5" xfId="31661"/>
    <cellStyle name="Normal 4 2 3 103 4" xfId="9164"/>
    <cellStyle name="Normal 4 2 3 103 5" xfId="21865"/>
    <cellStyle name="Normal 4 2 3 103 6" xfId="19537"/>
    <cellStyle name="Normal 4 2 3 103 7" xfId="27133"/>
    <cellStyle name="Normal 4 2 3 104" xfId="2416"/>
    <cellStyle name="Normal 4 2 3 104 2" xfId="4834"/>
    <cellStyle name="Normal 4 2 3 104 2 2" xfId="11604"/>
    <cellStyle name="Normal 4 2 3 104 2 3" xfId="24294"/>
    <cellStyle name="Normal 4 2 3 104 2 4" xfId="17120"/>
    <cellStyle name="Normal 4 2 3 104 2 5" xfId="30640"/>
    <cellStyle name="Normal 4 2 3 104 3" xfId="6704"/>
    <cellStyle name="Normal 4 2 3 104 3 2" xfId="13474"/>
    <cellStyle name="Normal 4 2 3 104 3 3" xfId="26164"/>
    <cellStyle name="Normal 4 2 3 104 3 4" xfId="18333"/>
    <cellStyle name="Normal 4 2 3 104 3 5" xfId="27660"/>
    <cellStyle name="Normal 4 2 3 104 4" xfId="9186"/>
    <cellStyle name="Normal 4 2 3 104 5" xfId="21886"/>
    <cellStyle name="Normal 4 2 3 104 6" xfId="17487"/>
    <cellStyle name="Normal 4 2 3 104 7" xfId="28273"/>
    <cellStyle name="Normal 4 2 3 105" xfId="2438"/>
    <cellStyle name="Normal 4 2 3 105 2" xfId="4856"/>
    <cellStyle name="Normal 4 2 3 105 2 2" xfId="11626"/>
    <cellStyle name="Normal 4 2 3 105 2 3" xfId="24316"/>
    <cellStyle name="Normal 4 2 3 105 2 4" xfId="14610"/>
    <cellStyle name="Normal 4 2 3 105 2 5" xfId="31607"/>
    <cellStyle name="Normal 4 2 3 105 3" xfId="6724"/>
    <cellStyle name="Normal 4 2 3 105 3 2" xfId="13494"/>
    <cellStyle name="Normal 4 2 3 105 3 3" xfId="26184"/>
    <cellStyle name="Normal 4 2 3 105 3 4" xfId="15902"/>
    <cellStyle name="Normal 4 2 3 105 3 5" xfId="26462"/>
    <cellStyle name="Normal 4 2 3 105 4" xfId="9208"/>
    <cellStyle name="Normal 4 2 3 105 5" xfId="21906"/>
    <cellStyle name="Normal 4 2 3 105 6" xfId="14988"/>
    <cellStyle name="Normal 4 2 3 105 7" xfId="29164"/>
    <cellStyle name="Normal 4 2 3 106" xfId="2457"/>
    <cellStyle name="Normal 4 2 3 106 2" xfId="4875"/>
    <cellStyle name="Normal 4 2 3 106 2 2" xfId="11645"/>
    <cellStyle name="Normal 4 2 3 106 2 3" xfId="24335"/>
    <cellStyle name="Normal 4 2 3 106 2 4" xfId="18810"/>
    <cellStyle name="Normal 4 2 3 106 2 5" xfId="28599"/>
    <cellStyle name="Normal 4 2 3 106 3" xfId="6740"/>
    <cellStyle name="Normal 4 2 3 106 3 2" xfId="13510"/>
    <cellStyle name="Normal 4 2 3 106 3 3" xfId="26200"/>
    <cellStyle name="Normal 4 2 3 106 3 4" xfId="20013"/>
    <cellStyle name="Normal 4 2 3 106 3 5" xfId="27596"/>
    <cellStyle name="Normal 4 2 3 106 4" xfId="9227"/>
    <cellStyle name="Normal 4 2 3 106 5" xfId="21922"/>
    <cellStyle name="Normal 4 2 3 106 6" xfId="16809"/>
    <cellStyle name="Normal 4 2 3 106 7" xfId="30476"/>
    <cellStyle name="Normal 4 2 3 107" xfId="2475"/>
    <cellStyle name="Normal 4 2 3 107 2" xfId="4892"/>
    <cellStyle name="Normal 4 2 3 107 2 2" xfId="11662"/>
    <cellStyle name="Normal 4 2 3 107 2 3" xfId="24352"/>
    <cellStyle name="Normal 4 2 3 107 2 4" xfId="14373"/>
    <cellStyle name="Normal 4 2 3 107 2 5" xfId="30687"/>
    <cellStyle name="Normal 4 2 3 107 3" xfId="6756"/>
    <cellStyle name="Normal 4 2 3 107 3 2" xfId="13526"/>
    <cellStyle name="Normal 4 2 3 107 3 3" xfId="26216"/>
    <cellStyle name="Normal 4 2 3 107 3 4" xfId="26237"/>
    <cellStyle name="Normal 4 2 3 107 3 5" xfId="27731"/>
    <cellStyle name="Normal 4 2 3 107 4" xfId="9245"/>
    <cellStyle name="Normal 4 2 3 107 5" xfId="21938"/>
    <cellStyle name="Normal 4 2 3 107 6" xfId="19048"/>
    <cellStyle name="Normal 4 2 3 107 7" xfId="31147"/>
    <cellStyle name="Normal 4 2 3 108" xfId="2491"/>
    <cellStyle name="Normal 4 2 3 108 2" xfId="4908"/>
    <cellStyle name="Normal 4 2 3 108 2 2" xfId="11678"/>
    <cellStyle name="Normal 4 2 3 108 2 3" xfId="24368"/>
    <cellStyle name="Normal 4 2 3 108 2 4" xfId="18612"/>
    <cellStyle name="Normal 4 2 3 108 2 5" xfId="31148"/>
    <cellStyle name="Normal 4 2 3 108 3" xfId="6771"/>
    <cellStyle name="Normal 4 2 3 108 3 2" xfId="13541"/>
    <cellStyle name="Normal 4 2 3 108 3 3" xfId="26231"/>
    <cellStyle name="Normal 4 2 3 108 3 4" xfId="26252"/>
    <cellStyle name="Normal 4 2 3 108 3 5" xfId="30376"/>
    <cellStyle name="Normal 4 2 3 108 4" xfId="9261"/>
    <cellStyle name="Normal 4 2 3 108 5" xfId="21953"/>
    <cellStyle name="Normal 4 2 3 108 6" xfId="16024"/>
    <cellStyle name="Normal 4 2 3 108 7" xfId="32056"/>
    <cellStyle name="Normal 4 2 3 109" xfId="2530"/>
    <cellStyle name="Normal 4 2 3 109 2" xfId="9300"/>
    <cellStyle name="Normal 4 2 3 109 3" xfId="21990"/>
    <cellStyle name="Normal 4 2 3 109 4" xfId="16749"/>
    <cellStyle name="Normal 4 2 3 109 5" xfId="28098"/>
    <cellStyle name="Normal 4 2 3 11" xfId="298"/>
    <cellStyle name="Normal 4 2 3 11 2" xfId="2774"/>
    <cellStyle name="Normal 4 2 3 11 2 2" xfId="9544"/>
    <cellStyle name="Normal 4 2 3 11 2 3" xfId="22234"/>
    <cellStyle name="Normal 4 2 3 11 2 4" xfId="19901"/>
    <cellStyle name="Normal 4 2 3 11 2 5" xfId="28664"/>
    <cellStyle name="Normal 4 2 3 11 3" xfId="2579"/>
    <cellStyle name="Normal 4 2 3 11 3 2" xfId="9349"/>
    <cellStyle name="Normal 4 2 3 11 3 3" xfId="22039"/>
    <cellStyle name="Normal 4 2 3 11 3 4" xfId="14042"/>
    <cellStyle name="Normal 4 2 3 11 3 5" xfId="29856"/>
    <cellStyle name="Normal 4 2 3 11 4" xfId="7068"/>
    <cellStyle name="Normal 4 2 3 11 5" xfId="14650"/>
    <cellStyle name="Normal 4 2 3 11 6" xfId="17787"/>
    <cellStyle name="Normal 4 2 3 11 7" xfId="32209"/>
    <cellStyle name="Normal 4 2 3 110" xfId="4082"/>
    <cellStyle name="Normal 4 2 3 110 2" xfId="10852"/>
    <cellStyle name="Normal 4 2 3 110 3" xfId="23542"/>
    <cellStyle name="Normal 4 2 3 110 4" xfId="15281"/>
    <cellStyle name="Normal 4 2 3 110 5" xfId="32138"/>
    <cellStyle name="Normal 4 2 3 111" xfId="6814"/>
    <cellStyle name="Normal 4 2 3 112" xfId="15136"/>
    <cellStyle name="Normal 4 2 3 113" xfId="19581"/>
    <cellStyle name="Normal 4 2 3 114" xfId="30838"/>
    <cellStyle name="Normal 4 2 3 115" xfId="32486"/>
    <cellStyle name="Normal 4 2 3 116" xfId="32509"/>
    <cellStyle name="Normal 4 2 3 117" xfId="32532"/>
    <cellStyle name="Normal 4 2 3 118" xfId="32555"/>
    <cellStyle name="Normal 4 2 3 119" xfId="32578"/>
    <cellStyle name="Normal 4 2 3 12" xfId="325"/>
    <cellStyle name="Normal 4 2 3 12 2" xfId="2801"/>
    <cellStyle name="Normal 4 2 3 12 2 2" xfId="9571"/>
    <cellStyle name="Normal 4 2 3 12 2 3" xfId="22261"/>
    <cellStyle name="Normal 4 2 3 12 2 4" xfId="18163"/>
    <cellStyle name="Normal 4 2 3 12 2 5" xfId="29520"/>
    <cellStyle name="Normal 4 2 3 12 3" xfId="3028"/>
    <cellStyle name="Normal 4 2 3 12 3 2" xfId="9798"/>
    <cellStyle name="Normal 4 2 3 12 3 3" xfId="22488"/>
    <cellStyle name="Normal 4 2 3 12 3 4" xfId="6777"/>
    <cellStyle name="Normal 4 2 3 12 3 5" xfId="28403"/>
    <cellStyle name="Normal 4 2 3 12 4" xfId="7095"/>
    <cellStyle name="Normal 4 2 3 12 5" xfId="14143"/>
    <cellStyle name="Normal 4 2 3 12 6" xfId="17614"/>
    <cellStyle name="Normal 4 2 3 12 7" xfId="28286"/>
    <cellStyle name="Normal 4 2 3 120" xfId="32601"/>
    <cellStyle name="Normal 4 2 3 121" xfId="32624"/>
    <cellStyle name="Normal 4 2 3 122" xfId="32647"/>
    <cellStyle name="Normal 4 2 3 123" xfId="32670"/>
    <cellStyle name="Normal 4 2 3 124" xfId="32693"/>
    <cellStyle name="Normal 4 2 3 125" xfId="32716"/>
    <cellStyle name="Normal 4 2 3 126" xfId="32739"/>
    <cellStyle name="Normal 4 2 3 127" xfId="32762"/>
    <cellStyle name="Normal 4 2 3 128" xfId="32785"/>
    <cellStyle name="Normal 4 2 3 129" xfId="32808"/>
    <cellStyle name="Normal 4 2 3 13" xfId="348"/>
    <cellStyle name="Normal 4 2 3 13 2" xfId="2824"/>
    <cellStyle name="Normal 4 2 3 13 2 2" xfId="9594"/>
    <cellStyle name="Normal 4 2 3 13 2 3" xfId="22284"/>
    <cellStyle name="Normal 4 2 3 13 2 4" xfId="8836"/>
    <cellStyle name="Normal 4 2 3 13 2 5" xfId="27587"/>
    <cellStyle name="Normal 4 2 3 13 3" xfId="4709"/>
    <cellStyle name="Normal 4 2 3 13 3 2" xfId="11479"/>
    <cellStyle name="Normal 4 2 3 13 3 3" xfId="24169"/>
    <cellStyle name="Normal 4 2 3 13 3 4" xfId="15551"/>
    <cellStyle name="Normal 4 2 3 13 3 5" xfId="27889"/>
    <cellStyle name="Normal 4 2 3 13 4" xfId="7118"/>
    <cellStyle name="Normal 4 2 3 13 5" xfId="15745"/>
    <cellStyle name="Normal 4 2 3 13 6" xfId="19370"/>
    <cellStyle name="Normal 4 2 3 13 7" xfId="31217"/>
    <cellStyle name="Normal 4 2 3 130" xfId="32831"/>
    <cellStyle name="Normal 4 2 3 131" xfId="32854"/>
    <cellStyle name="Normal 4 2 3 132" xfId="32877"/>
    <cellStyle name="Normal 4 2 3 133" xfId="32899"/>
    <cellStyle name="Normal 4 2 3 134" xfId="32922"/>
    <cellStyle name="Normal 4 2 3 135" xfId="32945"/>
    <cellStyle name="Normal 4 2 3 136" xfId="32968"/>
    <cellStyle name="Normal 4 2 3 137" xfId="32991"/>
    <cellStyle name="Normal 4 2 3 138" xfId="33014"/>
    <cellStyle name="Normal 4 2 3 139" xfId="33037"/>
    <cellStyle name="Normal 4 2 3 14" xfId="371"/>
    <cellStyle name="Normal 4 2 3 14 2" xfId="2847"/>
    <cellStyle name="Normal 4 2 3 14 2 2" xfId="9617"/>
    <cellStyle name="Normal 4 2 3 14 2 3" xfId="22307"/>
    <cellStyle name="Normal 4 2 3 14 2 4" xfId="8359"/>
    <cellStyle name="Normal 4 2 3 14 2 5" xfId="30396"/>
    <cellStyle name="Normal 4 2 3 14 3" xfId="4929"/>
    <cellStyle name="Normal 4 2 3 14 3 2" xfId="11699"/>
    <cellStyle name="Normal 4 2 3 14 3 3" xfId="24389"/>
    <cellStyle name="Normal 4 2 3 14 3 4" xfId="18496"/>
    <cellStyle name="Normal 4 2 3 14 3 5" xfId="29453"/>
    <cellStyle name="Normal 4 2 3 14 4" xfId="7141"/>
    <cellStyle name="Normal 4 2 3 14 5" xfId="20111"/>
    <cellStyle name="Normal 4 2 3 14 6" xfId="14934"/>
    <cellStyle name="Normal 4 2 3 14 7" xfId="28524"/>
    <cellStyle name="Normal 4 2 3 140" xfId="33060"/>
    <cellStyle name="Normal 4 2 3 141" xfId="33083"/>
    <cellStyle name="Normal 4 2 3 142" xfId="33106"/>
    <cellStyle name="Normal 4 2 3 143" xfId="33128"/>
    <cellStyle name="Normal 4 2 3 144" xfId="33151"/>
    <cellStyle name="Normal 4 2 3 145" xfId="33170"/>
    <cellStyle name="Normal 4 2 3 146" xfId="33192"/>
    <cellStyle name="Normal 4 2 3 147" xfId="33208"/>
    <cellStyle name="Normal 4 2 3 148" xfId="33224"/>
    <cellStyle name="Normal 4 2 3 149" xfId="33262"/>
    <cellStyle name="Normal 4 2 3 15" xfId="394"/>
    <cellStyle name="Normal 4 2 3 15 2" xfId="2870"/>
    <cellStyle name="Normal 4 2 3 15 2 2" xfId="9640"/>
    <cellStyle name="Normal 4 2 3 15 2 3" xfId="22330"/>
    <cellStyle name="Normal 4 2 3 15 2 4" xfId="7878"/>
    <cellStyle name="Normal 4 2 3 15 2 5" xfId="29456"/>
    <cellStyle name="Normal 4 2 3 15 3" xfId="4949"/>
    <cellStyle name="Normal 4 2 3 15 3 2" xfId="11719"/>
    <cellStyle name="Normal 4 2 3 15 3 3" xfId="24409"/>
    <cellStyle name="Normal 4 2 3 15 3 4" xfId="13992"/>
    <cellStyle name="Normal 4 2 3 15 3 5" xfId="28517"/>
    <cellStyle name="Normal 4 2 3 15 4" xfId="7164"/>
    <cellStyle name="Normal 4 2 3 15 5" xfId="20131"/>
    <cellStyle name="Normal 4 2 3 15 6" xfId="17157"/>
    <cellStyle name="Normal 4 2 3 15 7" xfId="32079"/>
    <cellStyle name="Normal 4 2 3 150" xfId="33285"/>
    <cellStyle name="Normal 4 2 3 151" xfId="33308"/>
    <cellStyle name="Normal 4 2 3 152" xfId="33331"/>
    <cellStyle name="Normal 4 2 3 153" xfId="33354"/>
    <cellStyle name="Normal 4 2 3 154" xfId="33377"/>
    <cellStyle name="Normal 4 2 3 155" xfId="33400"/>
    <cellStyle name="Normal 4 2 3 156" xfId="33423"/>
    <cellStyle name="Normal 4 2 3 157" xfId="33446"/>
    <cellStyle name="Normal 4 2 3 158" xfId="33469"/>
    <cellStyle name="Normal 4 2 3 159" xfId="33492"/>
    <cellStyle name="Normal 4 2 3 16" xfId="417"/>
    <cellStyle name="Normal 4 2 3 16 2" xfId="2892"/>
    <cellStyle name="Normal 4 2 3 16 2 2" xfId="9662"/>
    <cellStyle name="Normal 4 2 3 16 2 3" xfId="22352"/>
    <cellStyle name="Normal 4 2 3 16 2 4" xfId="7422"/>
    <cellStyle name="Normal 4 2 3 16 2 5" xfId="27342"/>
    <cellStyle name="Normal 4 2 3 16 3" xfId="4969"/>
    <cellStyle name="Normal 4 2 3 16 3 2" xfId="11739"/>
    <cellStyle name="Normal 4 2 3 16 3 3" xfId="24429"/>
    <cellStyle name="Normal 4 2 3 16 3 4" xfId="16213"/>
    <cellStyle name="Normal 4 2 3 16 3 5" xfId="26291"/>
    <cellStyle name="Normal 4 2 3 16 4" xfId="7187"/>
    <cellStyle name="Normal 4 2 3 16 5" xfId="20151"/>
    <cellStyle name="Normal 4 2 3 16 6" xfId="18961"/>
    <cellStyle name="Normal 4 2 3 16 7" xfId="26961"/>
    <cellStyle name="Normal 4 2 3 160" xfId="33515"/>
    <cellStyle name="Normal 4 2 3 161" xfId="33538"/>
    <cellStyle name="Normal 4 2 3 162" xfId="33561"/>
    <cellStyle name="Normal 4 2 3 163" xfId="33584"/>
    <cellStyle name="Normal 4 2 3 164" xfId="33607"/>
    <cellStyle name="Normal 4 2 3 165" xfId="33630"/>
    <cellStyle name="Normal 4 2 3 166" xfId="33652"/>
    <cellStyle name="Normal 4 2 3 167" xfId="33674"/>
    <cellStyle name="Normal 4 2 3 168" xfId="33697"/>
    <cellStyle name="Normal 4 2 3 169" xfId="33720"/>
    <cellStyle name="Normal 4 2 3 17" xfId="439"/>
    <cellStyle name="Normal 4 2 3 17 2" xfId="2914"/>
    <cellStyle name="Normal 4 2 3 17 2 2" xfId="9684"/>
    <cellStyle name="Normal 4 2 3 17 2 3" xfId="22374"/>
    <cellStyle name="Normal 4 2 3 17 2 4" xfId="8751"/>
    <cellStyle name="Normal 4 2 3 17 2 5" xfId="27740"/>
    <cellStyle name="Normal 4 2 3 17 3" xfId="4988"/>
    <cellStyle name="Normal 4 2 3 17 3 2" xfId="11758"/>
    <cellStyle name="Normal 4 2 3 17 3 3" xfId="24448"/>
    <cellStyle name="Normal 4 2 3 17 3 4" xfId="15839"/>
    <cellStyle name="Normal 4 2 3 17 3 5" xfId="31765"/>
    <cellStyle name="Normal 4 2 3 17 4" xfId="7209"/>
    <cellStyle name="Normal 4 2 3 17 5" xfId="20170"/>
    <cellStyle name="Normal 4 2 3 17 6" xfId="16852"/>
    <cellStyle name="Normal 4 2 3 17 7" xfId="27504"/>
    <cellStyle name="Normal 4 2 3 170" xfId="33743"/>
    <cellStyle name="Normal 4 2 3 171" xfId="33766"/>
    <cellStyle name="Normal 4 2 3 172" xfId="33789"/>
    <cellStyle name="Normal 4 2 3 173" xfId="33812"/>
    <cellStyle name="Normal 4 2 3 174" xfId="33835"/>
    <cellStyle name="Normal 4 2 3 175" xfId="33858"/>
    <cellStyle name="Normal 4 2 3 176" xfId="33881"/>
    <cellStyle name="Normal 4 2 3 177" xfId="33904"/>
    <cellStyle name="Normal 4 2 3 178" xfId="33927"/>
    <cellStyle name="Normal 4 2 3 179" xfId="33950"/>
    <cellStyle name="Normal 4 2 3 18" xfId="462"/>
    <cellStyle name="Normal 4 2 3 18 2" xfId="2937"/>
    <cellStyle name="Normal 4 2 3 18 2 2" xfId="9707"/>
    <cellStyle name="Normal 4 2 3 18 2 3" xfId="22397"/>
    <cellStyle name="Normal 4 2 3 18 2 4" xfId="8273"/>
    <cellStyle name="Normal 4 2 3 18 2 5" xfId="30658"/>
    <cellStyle name="Normal 4 2 3 18 3" xfId="5008"/>
    <cellStyle name="Normal 4 2 3 18 3 2" xfId="11778"/>
    <cellStyle name="Normal 4 2 3 18 3 3" xfId="24468"/>
    <cellStyle name="Normal 4 2 3 18 3 4" xfId="16145"/>
    <cellStyle name="Normal 4 2 3 18 3 5" xfId="30749"/>
    <cellStyle name="Normal 4 2 3 18 4" xfId="7232"/>
    <cellStyle name="Normal 4 2 3 18 5" xfId="20190"/>
    <cellStyle name="Normal 4 2 3 18 6" xfId="18688"/>
    <cellStyle name="Normal 4 2 3 18 7" xfId="31037"/>
    <cellStyle name="Normal 4 2 3 180" xfId="33973"/>
    <cellStyle name="Normal 4 2 3 181" xfId="33995"/>
    <cellStyle name="Normal 4 2 3 182" xfId="34016"/>
    <cellStyle name="Normal 4 2 3 183" xfId="34034"/>
    <cellStyle name="Normal 4 2 3 184" xfId="34050"/>
    <cellStyle name="Normal 4 2 3 19" xfId="485"/>
    <cellStyle name="Normal 4 2 3 19 2" xfId="2960"/>
    <cellStyle name="Normal 4 2 3 19 2 2" xfId="9730"/>
    <cellStyle name="Normal 4 2 3 19 2 3" xfId="22420"/>
    <cellStyle name="Normal 4 2 3 19 2 4" xfId="7793"/>
    <cellStyle name="Normal 4 2 3 19 2 5" xfId="28635"/>
    <cellStyle name="Normal 4 2 3 19 3" xfId="5028"/>
    <cellStyle name="Normal 4 2 3 19 3 2" xfId="11798"/>
    <cellStyle name="Normal 4 2 3 19 3 3" xfId="24488"/>
    <cellStyle name="Normal 4 2 3 19 3 4" xfId="19869"/>
    <cellStyle name="Normal 4 2 3 19 3 5" xfId="29619"/>
    <cellStyle name="Normal 4 2 3 19 4" xfId="7255"/>
    <cellStyle name="Normal 4 2 3 19 5" xfId="20210"/>
    <cellStyle name="Normal 4 2 3 19 6" xfId="14187"/>
    <cellStyle name="Normal 4 2 3 19 7" xfId="28981"/>
    <cellStyle name="Normal 4 2 3 2" xfId="94"/>
    <cellStyle name="Normal 4 2 3 2 2" xfId="2578"/>
    <cellStyle name="Normal 4 2 3 2 2 2" xfId="9348"/>
    <cellStyle name="Normal 4 2 3 2 2 3" xfId="22038"/>
    <cellStyle name="Normal 4 2 3 2 2 4" xfId="16420"/>
    <cellStyle name="Normal 4 2 3 2 2 5" xfId="28009"/>
    <cellStyle name="Normal 4 2 3 2 3" xfId="3033"/>
    <cellStyle name="Normal 4 2 3 2 3 2" xfId="9803"/>
    <cellStyle name="Normal 4 2 3 2 3 3" xfId="22493"/>
    <cellStyle name="Normal 4 2 3 2 3 4" xfId="16673"/>
    <cellStyle name="Normal 4 2 3 2 3 5" xfId="30496"/>
    <cellStyle name="Normal 4 2 3 2 4" xfId="6864"/>
    <cellStyle name="Normal 4 2 3 2 5" xfId="14114"/>
    <cellStyle name="Normal 4 2 3 2 6" xfId="17372"/>
    <cellStyle name="Normal 4 2 3 2 7" xfId="31733"/>
    <cellStyle name="Normal 4 2 3 20" xfId="508"/>
    <cellStyle name="Normal 4 2 3 20 2" xfId="2983"/>
    <cellStyle name="Normal 4 2 3 20 2 2" xfId="9753"/>
    <cellStyle name="Normal 4 2 3 20 2 3" xfId="22443"/>
    <cellStyle name="Normal 4 2 3 20 2 4" xfId="7313"/>
    <cellStyle name="Normal 4 2 3 20 2 5" xfId="32348"/>
    <cellStyle name="Normal 4 2 3 20 3" xfId="5048"/>
    <cellStyle name="Normal 4 2 3 20 3 2" xfId="11818"/>
    <cellStyle name="Normal 4 2 3 20 3 3" xfId="24508"/>
    <cellStyle name="Normal 4 2 3 20 3 4" xfId="13707"/>
    <cellStyle name="Normal 4 2 3 20 3 5" xfId="26539"/>
    <cellStyle name="Normal 4 2 3 20 4" xfId="7278"/>
    <cellStyle name="Normal 4 2 3 20 5" xfId="20230"/>
    <cellStyle name="Normal 4 2 3 20 6" xfId="16389"/>
    <cellStyle name="Normal 4 2 3 20 7" xfId="31922"/>
    <cellStyle name="Normal 4 2 3 21" xfId="531"/>
    <cellStyle name="Normal 4 2 3 21 2" xfId="3006"/>
    <cellStyle name="Normal 4 2 3 21 2 2" xfId="9776"/>
    <cellStyle name="Normal 4 2 3 21 2 3" xfId="22466"/>
    <cellStyle name="Normal 4 2 3 21 2 4" xfId="6971"/>
    <cellStyle name="Normal 4 2 3 21 2 5" xfId="27264"/>
    <cellStyle name="Normal 4 2 3 21 3" xfId="5068"/>
    <cellStyle name="Normal 4 2 3 21 3 2" xfId="11838"/>
    <cellStyle name="Normal 4 2 3 21 3 3" xfId="24528"/>
    <cellStyle name="Normal 4 2 3 21 3 4" xfId="17705"/>
    <cellStyle name="Normal 4 2 3 21 3 5" xfId="28655"/>
    <cellStyle name="Normal 4 2 3 21 4" xfId="7301"/>
    <cellStyle name="Normal 4 2 3 21 5" xfId="20250"/>
    <cellStyle name="Normal 4 2 3 21 6" xfId="18275"/>
    <cellStyle name="Normal 4 2 3 21 7" xfId="26781"/>
    <cellStyle name="Normal 4 2 3 22" xfId="554"/>
    <cellStyle name="Normal 4 2 3 22 2" xfId="3027"/>
    <cellStyle name="Normal 4 2 3 22 2 2" xfId="9797"/>
    <cellStyle name="Normal 4 2 3 22 2 3" xfId="22487"/>
    <cellStyle name="Normal 4 2 3 22 2 4" xfId="6790"/>
    <cellStyle name="Normal 4 2 3 22 2 5" xfId="31377"/>
    <cellStyle name="Normal 4 2 3 22 3" xfId="5088"/>
    <cellStyle name="Normal 4 2 3 22 3 2" xfId="11858"/>
    <cellStyle name="Normal 4 2 3 22 3 3" xfId="24548"/>
    <cellStyle name="Normal 4 2 3 22 3 4" xfId="19471"/>
    <cellStyle name="Normal 4 2 3 22 3 5" xfId="27626"/>
    <cellStyle name="Normal 4 2 3 22 4" xfId="7324"/>
    <cellStyle name="Normal 4 2 3 22 5" xfId="20270"/>
    <cellStyle name="Normal 4 2 3 22 6" xfId="15832"/>
    <cellStyle name="Normal 4 2 3 22 7" xfId="29776"/>
    <cellStyle name="Normal 4 2 3 23" xfId="577"/>
    <cellStyle name="Normal 4 2 3 23 2" xfId="3050"/>
    <cellStyle name="Normal 4 2 3 23 2 2" xfId="9820"/>
    <cellStyle name="Normal 4 2 3 23 2 3" xfId="22510"/>
    <cellStyle name="Normal 4 2 3 23 2 4" xfId="15668"/>
    <cellStyle name="Normal 4 2 3 23 2 5" xfId="29297"/>
    <cellStyle name="Normal 4 2 3 23 3" xfId="5108"/>
    <cellStyle name="Normal 4 2 3 23 3 2" xfId="11878"/>
    <cellStyle name="Normal 4 2 3 23 3 3" xfId="24568"/>
    <cellStyle name="Normal 4 2 3 23 3 4" xfId="15067"/>
    <cellStyle name="Normal 4 2 3 23 3 5" xfId="26365"/>
    <cellStyle name="Normal 4 2 3 23 4" xfId="7347"/>
    <cellStyle name="Normal 4 2 3 23 5" xfId="20290"/>
    <cellStyle name="Normal 4 2 3 23 6" xfId="16290"/>
    <cellStyle name="Normal 4 2 3 23 7" xfId="27886"/>
    <cellStyle name="Normal 4 2 3 24" xfId="598"/>
    <cellStyle name="Normal 4 2 3 24 2" xfId="3071"/>
    <cellStyle name="Normal 4 2 3 24 2 2" xfId="9841"/>
    <cellStyle name="Normal 4 2 3 24 2 3" xfId="22531"/>
    <cellStyle name="Normal 4 2 3 24 2 4" xfId="13778"/>
    <cellStyle name="Normal 4 2 3 24 2 5" xfId="30161"/>
    <cellStyle name="Normal 4 2 3 24 3" xfId="5126"/>
    <cellStyle name="Normal 4 2 3 24 3 2" xfId="11896"/>
    <cellStyle name="Normal 4 2 3 24 3 3" xfId="24586"/>
    <cellStyle name="Normal 4 2 3 24 3 4" xfId="14960"/>
    <cellStyle name="Normal 4 2 3 24 3 5" xfId="26980"/>
    <cellStyle name="Normal 4 2 3 24 4" xfId="7368"/>
    <cellStyle name="Normal 4 2 3 24 5" xfId="20308"/>
    <cellStyle name="Normal 4 2 3 24 6" xfId="15913"/>
    <cellStyle name="Normal 4 2 3 24 7" xfId="31789"/>
    <cellStyle name="Normal 4 2 3 25" xfId="621"/>
    <cellStyle name="Normal 4 2 3 25 2" xfId="3094"/>
    <cellStyle name="Normal 4 2 3 25 2 2" xfId="9864"/>
    <cellStyle name="Normal 4 2 3 25 2 3" xfId="22554"/>
    <cellStyle name="Normal 4 2 3 25 2 4" xfId="17764"/>
    <cellStyle name="Normal 4 2 3 25 2 5" xfId="28312"/>
    <cellStyle name="Normal 4 2 3 25 3" xfId="5146"/>
    <cellStyle name="Normal 4 2 3 25 3 2" xfId="11916"/>
    <cellStyle name="Normal 4 2 3 25 3 3" xfId="24606"/>
    <cellStyle name="Normal 4 2 3 25 3 4" xfId="17183"/>
    <cellStyle name="Normal 4 2 3 25 3 5" xfId="30397"/>
    <cellStyle name="Normal 4 2 3 25 4" xfId="7391"/>
    <cellStyle name="Normal 4 2 3 25 5" xfId="20328"/>
    <cellStyle name="Normal 4 2 3 25 6" xfId="19975"/>
    <cellStyle name="Normal 4 2 3 25 7" xfId="26635"/>
    <cellStyle name="Normal 4 2 3 26" xfId="646"/>
    <cellStyle name="Normal 4 2 3 26 2" xfId="3119"/>
    <cellStyle name="Normal 4 2 3 26 2 2" xfId="9889"/>
    <cellStyle name="Normal 4 2 3 26 2 3" xfId="22579"/>
    <cellStyle name="Normal 4 2 3 26 2 4" xfId="15230"/>
    <cellStyle name="Normal 4 2 3 26 2 5" xfId="30101"/>
    <cellStyle name="Normal 4 2 3 26 3" xfId="5168"/>
    <cellStyle name="Normal 4 2 3 26 3 2" xfId="11938"/>
    <cellStyle name="Normal 4 2 3 26 3 3" xfId="24628"/>
    <cellStyle name="Normal 4 2 3 26 3 4" xfId="14651"/>
    <cellStyle name="Normal 4 2 3 26 3 5" xfId="30352"/>
    <cellStyle name="Normal 4 2 3 26 4" xfId="7416"/>
    <cellStyle name="Normal 4 2 3 26 5" xfId="20350"/>
    <cellStyle name="Normal 4 2 3 26 6" xfId="17638"/>
    <cellStyle name="Normal 4 2 3 26 7" xfId="31716"/>
    <cellStyle name="Normal 4 2 3 27" xfId="667"/>
    <cellStyle name="Normal 4 2 3 27 2" xfId="3139"/>
    <cellStyle name="Normal 4 2 3 27 2 2" xfId="9909"/>
    <cellStyle name="Normal 4 2 3 27 2 3" xfId="22599"/>
    <cellStyle name="Normal 4 2 3 27 2 4" xfId="16096"/>
    <cellStyle name="Normal 4 2 3 27 2 5" xfId="32136"/>
    <cellStyle name="Normal 4 2 3 27 3" xfId="5186"/>
    <cellStyle name="Normal 4 2 3 27 3 2" xfId="11956"/>
    <cellStyle name="Normal 4 2 3 27 3 3" xfId="24646"/>
    <cellStyle name="Normal 4 2 3 27 3 4" xfId="14566"/>
    <cellStyle name="Normal 4 2 3 27 3 5" xfId="30328"/>
    <cellStyle name="Normal 4 2 3 27 4" xfId="7437"/>
    <cellStyle name="Normal 4 2 3 27 5" xfId="20368"/>
    <cellStyle name="Normal 4 2 3 27 6" xfId="18997"/>
    <cellStyle name="Normal 4 2 3 27 7" xfId="27730"/>
    <cellStyle name="Normal 4 2 3 28" xfId="689"/>
    <cellStyle name="Normal 4 2 3 28 2" xfId="3161"/>
    <cellStyle name="Normal 4 2 3 28 2 2" xfId="9931"/>
    <cellStyle name="Normal 4 2 3 28 2 3" xfId="22621"/>
    <cellStyle name="Normal 4 2 3 28 2 4" xfId="14954"/>
    <cellStyle name="Normal 4 2 3 28 2 5" xfId="26470"/>
    <cellStyle name="Normal 4 2 3 28 3" xfId="5206"/>
    <cellStyle name="Normal 4 2 3 28 3 2" xfId="11976"/>
    <cellStyle name="Normal 4 2 3 28 3 3" xfId="24666"/>
    <cellStyle name="Normal 4 2 3 28 3 4" xfId="16598"/>
    <cellStyle name="Normal 4 2 3 28 3 5" xfId="32370"/>
    <cellStyle name="Normal 4 2 3 28 4" xfId="7459"/>
    <cellStyle name="Normal 4 2 3 28 5" xfId="20388"/>
    <cellStyle name="Normal 4 2 3 28 6" xfId="17336"/>
    <cellStyle name="Normal 4 2 3 28 7" xfId="28670"/>
    <cellStyle name="Normal 4 2 3 29" xfId="712"/>
    <cellStyle name="Normal 4 2 3 29 2" xfId="3184"/>
    <cellStyle name="Normal 4 2 3 29 2 2" xfId="9954"/>
    <cellStyle name="Normal 4 2 3 29 2 3" xfId="22644"/>
    <cellStyle name="Normal 4 2 3 29 2 4" xfId="17177"/>
    <cellStyle name="Normal 4 2 3 29 2 5" xfId="28179"/>
    <cellStyle name="Normal 4 2 3 29 3" xfId="5226"/>
    <cellStyle name="Normal 4 2 3 29 3 2" xfId="11996"/>
    <cellStyle name="Normal 4 2 3 29 3 3" xfId="24686"/>
    <cellStyle name="Normal 4 2 3 29 3 4" xfId="18651"/>
    <cellStyle name="Normal 4 2 3 29 3 5" xfId="31435"/>
    <cellStyle name="Normal 4 2 3 29 4" xfId="7482"/>
    <cellStyle name="Normal 4 2 3 29 5" xfId="20408"/>
    <cellStyle name="Normal 4 2 3 29 6" xfId="14805"/>
    <cellStyle name="Normal 4 2 3 29 7" xfId="31615"/>
    <cellStyle name="Normal 4 2 3 3" xfId="118"/>
    <cellStyle name="Normal 4 2 3 3 2" xfId="2602"/>
    <cellStyle name="Normal 4 2 3 3 2 2" xfId="9372"/>
    <cellStyle name="Normal 4 2 3 3 2 3" xfId="22062"/>
    <cellStyle name="Normal 4 2 3 3 2 4" xfId="16263"/>
    <cellStyle name="Normal 4 2 3 3 2 5" xfId="27976"/>
    <cellStyle name="Normal 4 2 3 3 3" xfId="4286"/>
    <cellStyle name="Normal 4 2 3 3 3 2" xfId="11056"/>
    <cellStyle name="Normal 4 2 3 3 3 3" xfId="23746"/>
    <cellStyle name="Normal 4 2 3 3 3 4" xfId="13930"/>
    <cellStyle name="Normal 4 2 3 3 3 5" xfId="31855"/>
    <cellStyle name="Normal 4 2 3 3 4" xfId="6888"/>
    <cellStyle name="Normal 4 2 3 3 5" xfId="15339"/>
    <cellStyle name="Normal 4 2 3 3 6" xfId="16028"/>
    <cellStyle name="Normal 4 2 3 3 7" xfId="31702"/>
    <cellStyle name="Normal 4 2 3 30" xfId="735"/>
    <cellStyle name="Normal 4 2 3 30 2" xfId="3206"/>
    <cellStyle name="Normal 4 2 3 30 2 2" xfId="9976"/>
    <cellStyle name="Normal 4 2 3 30 2 3" xfId="22666"/>
    <cellStyle name="Normal 4 2 3 30 2 4" xfId="14666"/>
    <cellStyle name="Normal 4 2 3 30 2 5" xfId="29080"/>
    <cellStyle name="Normal 4 2 3 30 3" xfId="5245"/>
    <cellStyle name="Normal 4 2 3 30 3 2" xfId="12015"/>
    <cellStyle name="Normal 4 2 3 30 3 3" xfId="24705"/>
    <cellStyle name="Normal 4 2 3 30 3 4" xfId="16497"/>
    <cellStyle name="Normal 4 2 3 30 3 5" xfId="27559"/>
    <cellStyle name="Normal 4 2 3 30 4" xfId="7505"/>
    <cellStyle name="Normal 4 2 3 30 5" xfId="20427"/>
    <cellStyle name="Normal 4 2 3 30 6" xfId="18992"/>
    <cellStyle name="Normal 4 2 3 30 7" xfId="26436"/>
    <cellStyle name="Normal 4 2 3 31" xfId="759"/>
    <cellStyle name="Normal 4 2 3 31 2" xfId="3230"/>
    <cellStyle name="Normal 4 2 3 31 2 2" xfId="10000"/>
    <cellStyle name="Normal 4 2 3 31 2 3" xfId="22690"/>
    <cellStyle name="Normal 4 2 3 31 2 4" xfId="14493"/>
    <cellStyle name="Normal 4 2 3 31 2 5" xfId="27633"/>
    <cellStyle name="Normal 4 2 3 31 3" xfId="5266"/>
    <cellStyle name="Normal 4 2 3 31 3 2" xfId="12036"/>
    <cellStyle name="Normal 4 2 3 31 3 3" xfId="24726"/>
    <cellStyle name="Normal 4 2 3 31 3 4" xfId="16393"/>
    <cellStyle name="Normal 4 2 3 31 3 5" xfId="31368"/>
    <cellStyle name="Normal 4 2 3 31 4" xfId="7529"/>
    <cellStyle name="Normal 4 2 3 31 5" xfId="20448"/>
    <cellStyle name="Normal 4 2 3 31 6" xfId="16786"/>
    <cellStyle name="Normal 4 2 3 31 7" xfId="27932"/>
    <cellStyle name="Normal 4 2 3 32" xfId="783"/>
    <cellStyle name="Normal 4 2 3 32 2" xfId="3253"/>
    <cellStyle name="Normal 4 2 3 32 2 2" xfId="10023"/>
    <cellStyle name="Normal 4 2 3 32 2 3" xfId="22713"/>
    <cellStyle name="Normal 4 2 3 32 2 4" xfId="16716"/>
    <cellStyle name="Normal 4 2 3 32 2 5" xfId="31979"/>
    <cellStyle name="Normal 4 2 3 32 3" xfId="5287"/>
    <cellStyle name="Normal 4 2 3 32 3 2" xfId="12057"/>
    <cellStyle name="Normal 4 2 3 32 3 3" xfId="24747"/>
    <cellStyle name="Normal 4 2 3 32 3 4" xfId="16257"/>
    <cellStyle name="Normal 4 2 3 32 3 5" xfId="27481"/>
    <cellStyle name="Normal 4 2 3 32 4" xfId="7553"/>
    <cellStyle name="Normal 4 2 3 32 5" xfId="20469"/>
    <cellStyle name="Normal 4 2 3 32 6" xfId="14255"/>
    <cellStyle name="Normal 4 2 3 32 7" xfId="27382"/>
    <cellStyle name="Normal 4 2 3 33" xfId="806"/>
    <cellStyle name="Normal 4 2 3 33 2" xfId="3274"/>
    <cellStyle name="Normal 4 2 3 33 2 2" xfId="10044"/>
    <cellStyle name="Normal 4 2 3 33 2 3" xfId="22734"/>
    <cellStyle name="Normal 4 2 3 33 2 4" xfId="16586"/>
    <cellStyle name="Normal 4 2 3 33 2 5" xfId="28030"/>
    <cellStyle name="Normal 4 2 3 33 3" xfId="5307"/>
    <cellStyle name="Normal 4 2 3 33 3 2" xfId="12077"/>
    <cellStyle name="Normal 4 2 3 33 3 3" xfId="24767"/>
    <cellStyle name="Normal 4 2 3 33 3 4" xfId="17762"/>
    <cellStyle name="Normal 4 2 3 33 3 5" xfId="16273"/>
    <cellStyle name="Normal 4 2 3 33 4" xfId="7576"/>
    <cellStyle name="Normal 4 2 3 33 5" xfId="20489"/>
    <cellStyle name="Normal 4 2 3 33 6" xfId="16491"/>
    <cellStyle name="Normal 4 2 3 33 7" xfId="30323"/>
    <cellStyle name="Normal 4 2 3 34" xfId="829"/>
    <cellStyle name="Normal 4 2 3 34 2" xfId="3297"/>
    <cellStyle name="Normal 4 2 3 34 2 2" xfId="10067"/>
    <cellStyle name="Normal 4 2 3 34 2 3" xfId="22757"/>
    <cellStyle name="Normal 4 2 3 34 2 4" xfId="18431"/>
    <cellStyle name="Normal 4 2 3 34 2 5" xfId="30452"/>
    <cellStyle name="Normal 4 2 3 34 3" xfId="5327"/>
    <cellStyle name="Normal 4 2 3 34 3 2" xfId="12097"/>
    <cellStyle name="Normal 4 2 3 34 3 3" xfId="24787"/>
    <cellStyle name="Normal 4 2 3 34 3 4" xfId="15735"/>
    <cellStyle name="Normal 4 2 3 34 3 5" xfId="16711"/>
    <cellStyle name="Normal 4 2 3 34 4" xfId="7599"/>
    <cellStyle name="Normal 4 2 3 34 5" xfId="20509"/>
    <cellStyle name="Normal 4 2 3 34 6" xfId="19753"/>
    <cellStyle name="Normal 4 2 3 34 7" xfId="27625"/>
    <cellStyle name="Normal 4 2 3 35" xfId="852"/>
    <cellStyle name="Normal 4 2 3 35 2" xfId="3318"/>
    <cellStyle name="Normal 4 2 3 35 2 2" xfId="10088"/>
    <cellStyle name="Normal 4 2 3 35 2 3" xfId="22778"/>
    <cellStyle name="Normal 4 2 3 35 2 4" xfId="18312"/>
    <cellStyle name="Normal 4 2 3 35 2 5" xfId="26784"/>
    <cellStyle name="Normal 4 2 3 35 3" xfId="5347"/>
    <cellStyle name="Normal 4 2 3 35 3 2" xfId="12117"/>
    <cellStyle name="Normal 4 2 3 35 3 3" xfId="24807"/>
    <cellStyle name="Normal 4 2 3 35 3 4" xfId="19871"/>
    <cellStyle name="Normal 4 2 3 35 3 5" xfId="17241"/>
    <cellStyle name="Normal 4 2 3 35 4" xfId="7622"/>
    <cellStyle name="Normal 4 2 3 35 5" xfId="20529"/>
    <cellStyle name="Normal 4 2 3 35 6" xfId="15377"/>
    <cellStyle name="Normal 4 2 3 35 7" xfId="30541"/>
    <cellStyle name="Normal 4 2 3 36" xfId="875"/>
    <cellStyle name="Normal 4 2 3 36 2" xfId="3340"/>
    <cellStyle name="Normal 4 2 3 36 2 2" xfId="10110"/>
    <cellStyle name="Normal 4 2 3 36 2 3" xfId="22800"/>
    <cellStyle name="Normal 4 2 3 36 2 4" xfId="18257"/>
    <cellStyle name="Normal 4 2 3 36 2 5" xfId="27921"/>
    <cellStyle name="Normal 4 2 3 36 3" xfId="5367"/>
    <cellStyle name="Normal 4 2 3 36 3 2" xfId="12137"/>
    <cellStyle name="Normal 4 2 3 36 3 3" xfId="24827"/>
    <cellStyle name="Normal 4 2 3 36 3 4" xfId="15508"/>
    <cellStyle name="Normal 4 2 3 36 3 5" xfId="14220"/>
    <cellStyle name="Normal 4 2 3 36 4" xfId="7645"/>
    <cellStyle name="Normal 4 2 3 36 5" xfId="20549"/>
    <cellStyle name="Normal 4 2 3 36 6" xfId="17611"/>
    <cellStyle name="Normal 4 2 3 36 7" xfId="28462"/>
    <cellStyle name="Normal 4 2 3 37" xfId="898"/>
    <cellStyle name="Normal 4 2 3 37 2" xfId="3362"/>
    <cellStyle name="Normal 4 2 3 37 2 2" xfId="10132"/>
    <cellStyle name="Normal 4 2 3 37 2 3" xfId="22822"/>
    <cellStyle name="Normal 4 2 3 37 2 4" xfId="13808"/>
    <cellStyle name="Normal 4 2 3 37 2 5" xfId="28094"/>
    <cellStyle name="Normal 4 2 3 37 3" xfId="5387"/>
    <cellStyle name="Normal 4 2 3 37 3 2" xfId="12157"/>
    <cellStyle name="Normal 4 2 3 37 3 3" xfId="24847"/>
    <cellStyle name="Normal 4 2 3 37 3 4" xfId="17769"/>
    <cellStyle name="Normal 4 2 3 37 3 5" xfId="15456"/>
    <cellStyle name="Normal 4 2 3 37 4" xfId="7668"/>
    <cellStyle name="Normal 4 2 3 37 5" xfId="20569"/>
    <cellStyle name="Normal 4 2 3 37 6" xfId="19348"/>
    <cellStyle name="Normal 4 2 3 37 7" xfId="32409"/>
    <cellStyle name="Normal 4 2 3 38" xfId="921"/>
    <cellStyle name="Normal 4 2 3 38 2" xfId="3385"/>
    <cellStyle name="Normal 4 2 3 38 2 2" xfId="10155"/>
    <cellStyle name="Normal 4 2 3 38 2 3" xfId="22845"/>
    <cellStyle name="Normal 4 2 3 38 2 4" xfId="17957"/>
    <cellStyle name="Normal 4 2 3 38 2 5" xfId="31793"/>
    <cellStyle name="Normal 4 2 3 38 3" xfId="5407"/>
    <cellStyle name="Normal 4 2 3 38 3 2" xfId="12177"/>
    <cellStyle name="Normal 4 2 3 38 3 3" xfId="24867"/>
    <cellStyle name="Normal 4 2 3 38 3 4" xfId="16502"/>
    <cellStyle name="Normal 4 2 3 38 3 5" xfId="15054"/>
    <cellStyle name="Normal 4 2 3 38 4" xfId="7691"/>
    <cellStyle name="Normal 4 2 3 38 5" xfId="20589"/>
    <cellStyle name="Normal 4 2 3 38 6" xfId="14931"/>
    <cellStyle name="Normal 4 2 3 38 7" xfId="27344"/>
    <cellStyle name="Normal 4 2 3 39" xfId="944"/>
    <cellStyle name="Normal 4 2 3 39 2" xfId="3408"/>
    <cellStyle name="Normal 4 2 3 39 2 2" xfId="10178"/>
    <cellStyle name="Normal 4 2 3 39 2 3" xfId="22868"/>
    <cellStyle name="Normal 4 2 3 39 2 4" xfId="19689"/>
    <cellStyle name="Normal 4 2 3 39 2 5" xfId="26640"/>
    <cellStyle name="Normal 4 2 3 39 3" xfId="5427"/>
    <cellStyle name="Normal 4 2 3 39 3 2" xfId="12197"/>
    <cellStyle name="Normal 4 2 3 39 3 3" xfId="24887"/>
    <cellStyle name="Normal 4 2 3 39 3 4" xfId="14691"/>
    <cellStyle name="Normal 4 2 3 39 3 5" xfId="15411"/>
    <cellStyle name="Normal 4 2 3 39 4" xfId="7714"/>
    <cellStyle name="Normal 4 2 3 39 5" xfId="20609"/>
    <cellStyle name="Normal 4 2 3 39 6" xfId="17154"/>
    <cellStyle name="Normal 4 2 3 39 7" xfId="26260"/>
    <cellStyle name="Normal 4 2 3 4" xfId="141"/>
    <cellStyle name="Normal 4 2 3 4 2" xfId="2625"/>
    <cellStyle name="Normal 4 2 3 4 2 2" xfId="9395"/>
    <cellStyle name="Normal 4 2 3 4 2 3" xfId="22085"/>
    <cellStyle name="Normal 4 2 3 4 2 4" xfId="20059"/>
    <cellStyle name="Normal 4 2 3 4 2 5" xfId="30899"/>
    <cellStyle name="Normal 4 2 3 4 3" xfId="2637"/>
    <cellStyle name="Normal 4 2 3 4 3 2" xfId="9407"/>
    <cellStyle name="Normal 4 2 3 4 3 3" xfId="22097"/>
    <cellStyle name="Normal 4 2 3 4 3 4" xfId="19989"/>
    <cellStyle name="Normal 4 2 3 4 3 5" xfId="30880"/>
    <cellStyle name="Normal 4 2 3 4 4" xfId="6911"/>
    <cellStyle name="Normal 4 2 3 4 5" xfId="14893"/>
    <cellStyle name="Normal 4 2 3 4 6" xfId="18981"/>
    <cellStyle name="Normal 4 2 3 4 7" xfId="26538"/>
    <cellStyle name="Normal 4 2 3 40" xfId="965"/>
    <cellStyle name="Normal 4 2 3 40 2" xfId="3429"/>
    <cellStyle name="Normal 4 2 3 40 2 2" xfId="10199"/>
    <cellStyle name="Normal 4 2 3 40 2 3" xfId="22889"/>
    <cellStyle name="Normal 4 2 3 40 2 4" xfId="15928"/>
    <cellStyle name="Normal 4 2 3 40 2 5" xfId="30428"/>
    <cellStyle name="Normal 4 2 3 40 3" xfId="5445"/>
    <cellStyle name="Normal 4 2 3 40 3 2" xfId="12215"/>
    <cellStyle name="Normal 4 2 3 40 3 3" xfId="24905"/>
    <cellStyle name="Normal 4 2 3 40 3 4" xfId="15024"/>
    <cellStyle name="Normal 4 2 3 40 3 5" xfId="19016"/>
    <cellStyle name="Normal 4 2 3 40 4" xfId="7735"/>
    <cellStyle name="Normal 4 2 3 40 5" xfId="20627"/>
    <cellStyle name="Normal 4 2 3 40 6" xfId="17002"/>
    <cellStyle name="Normal 4 2 3 40 7" xfId="29223"/>
    <cellStyle name="Normal 4 2 3 41" xfId="988"/>
    <cellStyle name="Normal 4 2 3 41 2" xfId="3452"/>
    <cellStyle name="Normal 4 2 3 41 2 2" xfId="10222"/>
    <cellStyle name="Normal 4 2 3 41 2 3" xfId="22912"/>
    <cellStyle name="Normal 4 2 3 41 2 4" xfId="15153"/>
    <cellStyle name="Normal 4 2 3 41 2 5" xfId="28716"/>
    <cellStyle name="Normal 4 2 3 41 3" xfId="5465"/>
    <cellStyle name="Normal 4 2 3 41 3 2" xfId="12235"/>
    <cellStyle name="Normal 4 2 3 41 3 3" xfId="24925"/>
    <cellStyle name="Normal 4 2 3 41 3 4" xfId="17248"/>
    <cellStyle name="Normal 4 2 3 41 3 5" xfId="20095"/>
    <cellStyle name="Normal 4 2 3 41 4" xfId="7758"/>
    <cellStyle name="Normal 4 2 3 41 5" xfId="20647"/>
    <cellStyle name="Normal 4 2 3 41 6" xfId="18821"/>
    <cellStyle name="Normal 4 2 3 41 7" xfId="32152"/>
    <cellStyle name="Normal 4 2 3 42" xfId="1012"/>
    <cellStyle name="Normal 4 2 3 42 2" xfId="3476"/>
    <cellStyle name="Normal 4 2 3 42 2 2" xfId="10246"/>
    <cellStyle name="Normal 4 2 3 42 2 3" xfId="22936"/>
    <cellStyle name="Normal 4 2 3 42 2 4" xfId="15009"/>
    <cellStyle name="Normal 4 2 3 42 2 5" xfId="28675"/>
    <cellStyle name="Normal 4 2 3 42 3" xfId="5486"/>
    <cellStyle name="Normal 4 2 3 42 3 2" xfId="12256"/>
    <cellStyle name="Normal 4 2 3 42 3 3" xfId="24946"/>
    <cellStyle name="Normal 4 2 3 42 3 4" xfId="17118"/>
    <cellStyle name="Normal 4 2 3 42 3 5" xfId="16779"/>
    <cellStyle name="Normal 4 2 3 42 4" xfId="7782"/>
    <cellStyle name="Normal 4 2 3 42 5" xfId="20668"/>
    <cellStyle name="Normal 4 2 3 42 6" xfId="18685"/>
    <cellStyle name="Normal 4 2 3 42 7" xfId="26830"/>
    <cellStyle name="Normal 4 2 3 43" xfId="1034"/>
    <cellStyle name="Normal 4 2 3 43 2" xfId="3498"/>
    <cellStyle name="Normal 4 2 3 43 2 2" xfId="10268"/>
    <cellStyle name="Normal 4 2 3 43 2 3" xfId="22958"/>
    <cellStyle name="Normal 4 2 3 43 2 4" xfId="19165"/>
    <cellStyle name="Normal 4 2 3 43 2 5" xfId="26490"/>
    <cellStyle name="Normal 4 2 3 43 3" xfId="5505"/>
    <cellStyle name="Normal 4 2 3 43 3 2" xfId="12275"/>
    <cellStyle name="Normal 4 2 3 43 3 3" xfId="24965"/>
    <cellStyle name="Normal 4 2 3 43 3 4" xfId="13638"/>
    <cellStyle name="Normal 4 2 3 43 3 5" xfId="16107"/>
    <cellStyle name="Normal 4 2 3 43 4" xfId="7804"/>
    <cellStyle name="Normal 4 2 3 43 5" xfId="20687"/>
    <cellStyle name="Normal 4 2 3 43 6" xfId="16540"/>
    <cellStyle name="Normal 4 2 3 43 7" xfId="28187"/>
    <cellStyle name="Normal 4 2 3 44" xfId="1056"/>
    <cellStyle name="Normal 4 2 3 44 2" xfId="3518"/>
    <cellStyle name="Normal 4 2 3 44 2 2" xfId="10288"/>
    <cellStyle name="Normal 4 2 3 44 2 3" xfId="22978"/>
    <cellStyle name="Normal 4 2 3 44 2 4" xfId="14723"/>
    <cellStyle name="Normal 4 2 3 44 2 5" xfId="28611"/>
    <cellStyle name="Normal 4 2 3 44 3" xfId="5524"/>
    <cellStyle name="Normal 4 2 3 44 3 2" xfId="12294"/>
    <cellStyle name="Normal 4 2 3 44 3 3" xfId="24984"/>
    <cellStyle name="Normal 4 2 3 44 3 4" xfId="18827"/>
    <cellStyle name="Normal 4 2 3 44 3 5" xfId="26289"/>
    <cellStyle name="Normal 4 2 3 44 4" xfId="7826"/>
    <cellStyle name="Normal 4 2 3 44 5" xfId="20706"/>
    <cellStyle name="Normal 4 2 3 44 6" xfId="16386"/>
    <cellStyle name="Normal 4 2 3 44 7" xfId="29087"/>
    <cellStyle name="Normal 4 2 3 45" xfId="1079"/>
    <cellStyle name="Normal 4 2 3 45 2" xfId="3541"/>
    <cellStyle name="Normal 4 2 3 45 2 2" xfId="10311"/>
    <cellStyle name="Normal 4 2 3 45 2 3" xfId="23001"/>
    <cellStyle name="Normal 4 2 3 45 2 4" xfId="16947"/>
    <cellStyle name="Normal 4 2 3 45 2 5" xfId="30674"/>
    <cellStyle name="Normal 4 2 3 45 3" xfId="5544"/>
    <cellStyle name="Normal 4 2 3 45 3 2" xfId="12314"/>
    <cellStyle name="Normal 4 2 3 45 3 3" xfId="25004"/>
    <cellStyle name="Normal 4 2 3 45 3 4" xfId="14371"/>
    <cellStyle name="Normal 4 2 3 45 3 5" xfId="29396"/>
    <cellStyle name="Normal 4 2 3 45 4" xfId="7849"/>
    <cellStyle name="Normal 4 2 3 45 5" xfId="20726"/>
    <cellStyle name="Normal 4 2 3 45 6" xfId="19808"/>
    <cellStyle name="Normal 4 2 3 45 7" xfId="26927"/>
    <cellStyle name="Normal 4 2 3 46" xfId="1102"/>
    <cellStyle name="Normal 4 2 3 46 2" xfId="3563"/>
    <cellStyle name="Normal 4 2 3 46 2 2" xfId="10333"/>
    <cellStyle name="Normal 4 2 3 46 2 3" xfId="23023"/>
    <cellStyle name="Normal 4 2 3 46 2 4" xfId="14440"/>
    <cellStyle name="Normal 4 2 3 46 2 5" xfId="30369"/>
    <cellStyle name="Normal 4 2 3 46 3" xfId="5564"/>
    <cellStyle name="Normal 4 2 3 46 3 2" xfId="12334"/>
    <cellStyle name="Normal 4 2 3 46 3 3" xfId="25024"/>
    <cellStyle name="Normal 4 2 3 46 3 4" xfId="16467"/>
    <cellStyle name="Normal 4 2 3 46 3 5" xfId="28448"/>
    <cellStyle name="Normal 4 2 3 46 4" xfId="7872"/>
    <cellStyle name="Normal 4 2 3 46 5" xfId="20746"/>
    <cellStyle name="Normal 4 2 3 46 6" xfId="15436"/>
    <cellStyle name="Normal 4 2 3 46 7" xfId="29911"/>
    <cellStyle name="Normal 4 2 3 47" xfId="1124"/>
    <cellStyle name="Normal 4 2 3 47 2" xfId="3585"/>
    <cellStyle name="Normal 4 2 3 47 2 2" xfId="10355"/>
    <cellStyle name="Normal 4 2 3 47 2 3" xfId="23045"/>
    <cellStyle name="Normal 4 2 3 47 2 4" xfId="18636"/>
    <cellStyle name="Normal 4 2 3 47 2 5" xfId="31518"/>
    <cellStyle name="Normal 4 2 3 47 3" xfId="5583"/>
    <cellStyle name="Normal 4 2 3 47 3 2" xfId="12353"/>
    <cellStyle name="Normal 4 2 3 47 3 3" xfId="25043"/>
    <cellStyle name="Normal 4 2 3 47 3 4" xfId="14139"/>
    <cellStyle name="Normal 4 2 3 47 3 5" xfId="30233"/>
    <cellStyle name="Normal 4 2 3 47 4" xfId="7894"/>
    <cellStyle name="Normal 4 2 3 47 5" xfId="20765"/>
    <cellStyle name="Normal 4 2 3 47 6" xfId="19544"/>
    <cellStyle name="Normal 4 2 3 47 7" xfId="28982"/>
    <cellStyle name="Normal 4 2 3 48" xfId="1147"/>
    <cellStyle name="Normal 4 2 3 48 2" xfId="3607"/>
    <cellStyle name="Normal 4 2 3 48 2 2" xfId="10377"/>
    <cellStyle name="Normal 4 2 3 48 2 3" xfId="23067"/>
    <cellStyle name="Normal 4 2 3 48 2 4" xfId="16509"/>
    <cellStyle name="Normal 4 2 3 48 2 5" xfId="32376"/>
    <cellStyle name="Normal 4 2 3 48 3" xfId="5603"/>
    <cellStyle name="Normal 4 2 3 48 3 2" xfId="12373"/>
    <cellStyle name="Normal 4 2 3 48 3 3" xfId="25063"/>
    <cellStyle name="Normal 4 2 3 48 3 4" xfId="16323"/>
    <cellStyle name="Normal 4 2 3 48 3 5" xfId="32286"/>
    <cellStyle name="Normal 4 2 3 48 4" xfId="7917"/>
    <cellStyle name="Normal 4 2 3 48 5" xfId="20785"/>
    <cellStyle name="Normal 4 2 3 48 6" xfId="15135"/>
    <cellStyle name="Normal 4 2 3 48 7" xfId="31928"/>
    <cellStyle name="Normal 4 2 3 49" xfId="1168"/>
    <cellStyle name="Normal 4 2 3 49 2" xfId="3628"/>
    <cellStyle name="Normal 4 2 3 49 2 2" xfId="10398"/>
    <cellStyle name="Normal 4 2 3 49 2 3" xfId="23088"/>
    <cellStyle name="Normal 4 2 3 49 2 4" xfId="15978"/>
    <cellStyle name="Normal 4 2 3 49 2 5" xfId="27602"/>
    <cellStyle name="Normal 4 2 3 49 3" xfId="5621"/>
    <cellStyle name="Normal 4 2 3 49 3 2" xfId="12391"/>
    <cellStyle name="Normal 4 2 3 49 3 3" xfId="25081"/>
    <cellStyle name="Normal 4 2 3 49 3 4" xfId="16211"/>
    <cellStyle name="Normal 4 2 3 49 3 5" xfId="32259"/>
    <cellStyle name="Normal 4 2 3 49 4" xfId="7938"/>
    <cellStyle name="Normal 4 2 3 49 5" xfId="20803"/>
    <cellStyle name="Normal 4 2 3 49 6" xfId="15017"/>
    <cellStyle name="Normal 4 2 3 49 7" xfId="30907"/>
    <cellStyle name="Normal 4 2 3 5" xfId="164"/>
    <cellStyle name="Normal 4 2 3 5 2" xfId="2648"/>
    <cellStyle name="Normal 4 2 3 5 2 2" xfId="9418"/>
    <cellStyle name="Normal 4 2 3 5 2 3" xfId="22108"/>
    <cellStyle name="Normal 4 2 3 5 2 4" xfId="13606"/>
    <cellStyle name="Normal 4 2 3 5 2 5" xfId="28864"/>
    <cellStyle name="Normal 4 2 3 5 3" xfId="3374"/>
    <cellStyle name="Normal 4 2 3 5 3 2" xfId="10144"/>
    <cellStyle name="Normal 4 2 3 5 3 3" xfId="22834"/>
    <cellStyle name="Normal 4 2 3 5 3 4" xfId="15659"/>
    <cellStyle name="Normal 4 2 3 5 3 5" xfId="28840"/>
    <cellStyle name="Normal 4 2 3 5 4" xfId="6934"/>
    <cellStyle name="Normal 4 2 3 5 5" xfId="14433"/>
    <cellStyle name="Normal 4 2 3 5 6" xfId="14532"/>
    <cellStyle name="Normal 4 2 3 5 7" xfId="29540"/>
    <cellStyle name="Normal 4 2 3 50" xfId="1190"/>
    <cellStyle name="Normal 4 2 3 50 2" xfId="3650"/>
    <cellStyle name="Normal 4 2 3 50 2 2" xfId="10420"/>
    <cellStyle name="Normal 4 2 3 50 2 3" xfId="23110"/>
    <cellStyle name="Normal 4 2 3 50 2 4" xfId="13843"/>
    <cellStyle name="Normal 4 2 3 50 2 5" xfId="28055"/>
    <cellStyle name="Normal 4 2 3 50 3" xfId="5640"/>
    <cellStyle name="Normal 4 2 3 50 3 2" xfId="12410"/>
    <cellStyle name="Normal 4 2 3 50 3 3" xfId="25100"/>
    <cellStyle name="Normal 4 2 3 50 3 4" xfId="15834"/>
    <cellStyle name="Normal 4 2 3 50 3 5" xfId="29269"/>
    <cellStyle name="Normal 4 2 3 50 4" xfId="7960"/>
    <cellStyle name="Normal 4 2 3 50 5" xfId="20822"/>
    <cellStyle name="Normal 4 2 3 50 6" xfId="19153"/>
    <cellStyle name="Normal 4 2 3 50 7" xfId="29749"/>
    <cellStyle name="Normal 4 2 3 51" xfId="1215"/>
    <cellStyle name="Normal 4 2 3 51 2" xfId="3675"/>
    <cellStyle name="Normal 4 2 3 51 2 2" xfId="10445"/>
    <cellStyle name="Normal 4 2 3 51 2 3" xfId="23135"/>
    <cellStyle name="Normal 4 2 3 51 2 4" xfId="20003"/>
    <cellStyle name="Normal 4 2 3 51 2 5" xfId="31549"/>
    <cellStyle name="Normal 4 2 3 51 3" xfId="5662"/>
    <cellStyle name="Normal 4 2 3 51 3 2" xfId="12432"/>
    <cellStyle name="Normal 4 2 3 51 3 3" xfId="25122"/>
    <cellStyle name="Normal 4 2 3 51 3 4" xfId="19907"/>
    <cellStyle name="Normal 4 2 3 51 3 5" xfId="26370"/>
    <cellStyle name="Normal 4 2 3 51 4" xfId="7985"/>
    <cellStyle name="Normal 4 2 3 51 5" xfId="20844"/>
    <cellStyle name="Normal 4 2 3 51 6" xfId="17066"/>
    <cellStyle name="Normal 4 2 3 51 7" xfId="26668"/>
    <cellStyle name="Normal 4 2 3 52" xfId="1238"/>
    <cellStyle name="Normal 4 2 3 52 2" xfId="3698"/>
    <cellStyle name="Normal 4 2 3 52 2 2" xfId="10468"/>
    <cellStyle name="Normal 4 2 3 52 2 3" xfId="23158"/>
    <cellStyle name="Normal 4 2 3 52 2 4" xfId="15658"/>
    <cellStyle name="Normal 4 2 3 52 2 5" xfId="29449"/>
    <cellStyle name="Normal 4 2 3 52 3" xfId="5682"/>
    <cellStyle name="Normal 4 2 3 52 3 2" xfId="12452"/>
    <cellStyle name="Normal 4 2 3 52 3 3" xfId="25142"/>
    <cellStyle name="Normal 4 2 3 52 3 4" xfId="17997"/>
    <cellStyle name="Normal 4 2 3 52 3 5" xfId="29213"/>
    <cellStyle name="Normal 4 2 3 52 4" xfId="8008"/>
    <cellStyle name="Normal 4 2 3 52 5" xfId="20864"/>
    <cellStyle name="Normal 4 2 3 52 6" xfId="18878"/>
    <cellStyle name="Normal 4 2 3 52 7" xfId="30763"/>
    <cellStyle name="Normal 4 2 3 53" xfId="1261"/>
    <cellStyle name="Normal 4 2 3 53 2" xfId="3720"/>
    <cellStyle name="Normal 4 2 3 53 2 2" xfId="10490"/>
    <cellStyle name="Normal 4 2 3 53 2 3" xfId="23180"/>
    <cellStyle name="Normal 4 2 3 53 2 4" xfId="17925"/>
    <cellStyle name="Normal 4 2 3 53 2 5" xfId="27335"/>
    <cellStyle name="Normal 4 2 3 53 3" xfId="5702"/>
    <cellStyle name="Normal 4 2 3 53 3 2" xfId="12472"/>
    <cellStyle name="Normal 4 2 3 53 3 3" xfId="25162"/>
    <cellStyle name="Normal 4 2 3 53 3 4" xfId="19710"/>
    <cellStyle name="Normal 4 2 3 53 3 5" xfId="28257"/>
    <cellStyle name="Normal 4 2 3 53 4" xfId="8031"/>
    <cellStyle name="Normal 4 2 3 53 5" xfId="20884"/>
    <cellStyle name="Normal 4 2 3 53 6" xfId="13591"/>
    <cellStyle name="Normal 4 2 3 53 7" xfId="28718"/>
    <cellStyle name="Normal 4 2 3 54" xfId="1284"/>
    <cellStyle name="Normal 4 2 3 54 2" xfId="3743"/>
    <cellStyle name="Normal 4 2 3 54 2 2" xfId="10513"/>
    <cellStyle name="Normal 4 2 3 54 2 3" xfId="23203"/>
    <cellStyle name="Normal 4 2 3 54 2 4" xfId="15366"/>
    <cellStyle name="Normal 4 2 3 54 2 5" xfId="26394"/>
    <cellStyle name="Normal 4 2 3 54 3" xfId="5722"/>
    <cellStyle name="Normal 4 2 3 54 3 2" xfId="12492"/>
    <cellStyle name="Normal 4 2 3 54 3 3" xfId="25182"/>
    <cellStyle name="Normal 4 2 3 54 3 4" xfId="15348"/>
    <cellStyle name="Normal 4 2 3 54 3 5" xfId="27045"/>
    <cellStyle name="Normal 4 2 3 54 4" xfId="8054"/>
    <cellStyle name="Normal 4 2 3 54 5" xfId="20904"/>
    <cellStyle name="Normal 4 2 3 54 6" xfId="16604"/>
    <cellStyle name="Normal 4 2 3 54 7" xfId="31685"/>
    <cellStyle name="Normal 4 2 3 55" xfId="1307"/>
    <cellStyle name="Normal 4 2 3 55 2" xfId="3765"/>
    <cellStyle name="Normal 4 2 3 55 2 2" xfId="10535"/>
    <cellStyle name="Normal 4 2 3 55 2 3" xfId="23225"/>
    <cellStyle name="Normal 4 2 3 55 2 4" xfId="19495"/>
    <cellStyle name="Normal 4 2 3 55 2 5" xfId="30557"/>
    <cellStyle name="Normal 4 2 3 55 3" xfId="5742"/>
    <cellStyle name="Normal 4 2 3 55 3 2" xfId="12512"/>
    <cellStyle name="Normal 4 2 3 55 3 3" xfId="25202"/>
    <cellStyle name="Normal 4 2 3 55 3 4" xfId="16025"/>
    <cellStyle name="Normal 4 2 3 55 3 5" xfId="29133"/>
    <cellStyle name="Normal 4 2 3 55 4" xfId="8077"/>
    <cellStyle name="Normal 4 2 3 55 5" xfId="20924"/>
    <cellStyle name="Normal 4 2 3 55 6" xfId="19852"/>
    <cellStyle name="Normal 4 2 3 55 7" xfId="27267"/>
    <cellStyle name="Normal 4 2 3 56" xfId="1330"/>
    <cellStyle name="Normal 4 2 3 56 2" xfId="3788"/>
    <cellStyle name="Normal 4 2 3 56 2 2" xfId="10558"/>
    <cellStyle name="Normal 4 2 3 56 2 3" xfId="23248"/>
    <cellStyle name="Normal 4 2 3 56 2 4" xfId="15090"/>
    <cellStyle name="Normal 4 2 3 56 2 5" xfId="28099"/>
    <cellStyle name="Normal 4 2 3 56 3" xfId="5762"/>
    <cellStyle name="Normal 4 2 3 56 3 2" xfId="12532"/>
    <cellStyle name="Normal 4 2 3 56 3 3" xfId="25222"/>
    <cellStyle name="Normal 4 2 3 56 3 4" xfId="19388"/>
    <cellStyle name="Normal 4 2 3 56 3 5" xfId="28164"/>
    <cellStyle name="Normal 4 2 3 56 4" xfId="8100"/>
    <cellStyle name="Normal 4 2 3 56 5" xfId="20944"/>
    <cellStyle name="Normal 4 2 3 56 6" xfId="15496"/>
    <cellStyle name="Normal 4 2 3 56 7" xfId="30215"/>
    <cellStyle name="Normal 4 2 3 57" xfId="1353"/>
    <cellStyle name="Normal 4 2 3 57 2" xfId="3810"/>
    <cellStyle name="Normal 4 2 3 57 2 2" xfId="10580"/>
    <cellStyle name="Normal 4 2 3 57 2 3" xfId="23270"/>
    <cellStyle name="Normal 4 2 3 57 2 4" xfId="19220"/>
    <cellStyle name="Normal 4 2 3 57 2 5" xfId="26369"/>
    <cellStyle name="Normal 4 2 3 57 3" xfId="5782"/>
    <cellStyle name="Normal 4 2 3 57 3 2" xfId="12552"/>
    <cellStyle name="Normal 4 2 3 57 3 3" xfId="25242"/>
    <cellStyle name="Normal 4 2 3 57 3 4" xfId="14967"/>
    <cellStyle name="Normal 4 2 3 57 3 5" xfId="26950"/>
    <cellStyle name="Normal 4 2 3 57 4" xfId="8123"/>
    <cellStyle name="Normal 4 2 3 57 5" xfId="20964"/>
    <cellStyle name="Normal 4 2 3 57 6" xfId="17714"/>
    <cellStyle name="Normal 4 2 3 57 7" xfId="27502"/>
    <cellStyle name="Normal 4 2 3 58" xfId="1376"/>
    <cellStyle name="Normal 4 2 3 58 2" xfId="3832"/>
    <cellStyle name="Normal 4 2 3 58 2 2" xfId="10602"/>
    <cellStyle name="Normal 4 2 3 58 2 3" xfId="23292"/>
    <cellStyle name="Normal 4 2 3 58 2 4" xfId="17165"/>
    <cellStyle name="Normal 4 2 3 58 2 5" xfId="28545"/>
    <cellStyle name="Normal 4 2 3 58 3" xfId="5802"/>
    <cellStyle name="Normal 4 2 3 58 3 2" xfId="12572"/>
    <cellStyle name="Normal 4 2 3 58 3 3" xfId="25262"/>
    <cellStyle name="Normal 4 2 3 58 3 4" xfId="17190"/>
    <cellStyle name="Normal 4 2 3 58 3 5" xfId="29046"/>
    <cellStyle name="Normal 4 2 3 58 4" xfId="8146"/>
    <cellStyle name="Normal 4 2 3 58 5" xfId="20984"/>
    <cellStyle name="Normal 4 2 3 58 6" xfId="19460"/>
    <cellStyle name="Normal 4 2 3 58 7" xfId="31314"/>
    <cellStyle name="Normal 4 2 3 59" xfId="1399"/>
    <cellStyle name="Normal 4 2 3 59 2" xfId="3855"/>
    <cellStyle name="Normal 4 2 3 59 2 2" xfId="10625"/>
    <cellStyle name="Normal 4 2 3 59 2 3" xfId="23315"/>
    <cellStyle name="Normal 4 2 3 59 2 4" xfId="18966"/>
    <cellStyle name="Normal 4 2 3 59 2 5" xfId="31480"/>
    <cellStyle name="Normal 4 2 3 59 3" xfId="5822"/>
    <cellStyle name="Normal 4 2 3 59 3 2" xfId="12592"/>
    <cellStyle name="Normal 4 2 3 59 3 3" xfId="25282"/>
    <cellStyle name="Normal 4 2 3 59 3 4" xfId="19009"/>
    <cellStyle name="Normal 4 2 3 59 3 5" xfId="28071"/>
    <cellStyle name="Normal 4 2 3 59 4" xfId="8169"/>
    <cellStyle name="Normal 4 2 3 59 5" xfId="21004"/>
    <cellStyle name="Normal 4 2 3 59 6" xfId="15055"/>
    <cellStyle name="Normal 4 2 3 59 7" xfId="29230"/>
    <cellStyle name="Normal 4 2 3 6" xfId="187"/>
    <cellStyle name="Normal 4 2 3 6 2" xfId="2669"/>
    <cellStyle name="Normal 4 2 3 6 2 2" xfId="9439"/>
    <cellStyle name="Normal 4 2 3 6 2 3" xfId="22129"/>
    <cellStyle name="Normal 4 2 3 6 2 4" xfId="14226"/>
    <cellStyle name="Normal 4 2 3 6 2 5" xfId="29730"/>
    <cellStyle name="Normal 4 2 3 6 3" xfId="2903"/>
    <cellStyle name="Normal 4 2 3 6 3 2" xfId="9673"/>
    <cellStyle name="Normal 4 2 3 6 3 3" xfId="22363"/>
    <cellStyle name="Normal 4 2 3 6 3 4" xfId="8993"/>
    <cellStyle name="Normal 4 2 3 6 3 5" xfId="27013"/>
    <cellStyle name="Normal 4 2 3 6 4" xfId="6957"/>
    <cellStyle name="Normal 4 2 3 6 5" xfId="13602"/>
    <cellStyle name="Normal 4 2 3 6 6" xfId="16754"/>
    <cellStyle name="Normal 4 2 3 6 7" xfId="28486"/>
    <cellStyle name="Normal 4 2 3 60" xfId="1422"/>
    <cellStyle name="Normal 4 2 3 60 2" xfId="3877"/>
    <cellStyle name="Normal 4 2 3 60 2 2" xfId="10647"/>
    <cellStyle name="Normal 4 2 3 60 2 3" xfId="23337"/>
    <cellStyle name="Normal 4 2 3 60 2 4" xfId="16861"/>
    <cellStyle name="Normal 4 2 3 60 2 5" xfId="31530"/>
    <cellStyle name="Normal 4 2 3 60 3" xfId="5842"/>
    <cellStyle name="Normal 4 2 3 60 3 2" xfId="12612"/>
    <cellStyle name="Normal 4 2 3 60 3 3" xfId="25302"/>
    <cellStyle name="Normal 4 2 3 60 3 4" xfId="14573"/>
    <cellStyle name="Normal 4 2 3 60 3 5" xfId="26851"/>
    <cellStyle name="Normal 4 2 3 60 4" xfId="8192"/>
    <cellStyle name="Normal 4 2 3 60 5" xfId="21024"/>
    <cellStyle name="Normal 4 2 3 60 6" xfId="17258"/>
    <cellStyle name="Normal 4 2 3 60 7" xfId="32168"/>
    <cellStyle name="Normal 4 2 3 61" xfId="1445"/>
    <cellStyle name="Normal 4 2 3 61 2" xfId="3899"/>
    <cellStyle name="Normal 4 2 3 61 2 2" xfId="10669"/>
    <cellStyle name="Normal 4 2 3 61 2 3" xfId="23359"/>
    <cellStyle name="Normal 4 2 3 61 2 4" xfId="14353"/>
    <cellStyle name="Normal 4 2 3 61 2 5" xfId="29546"/>
    <cellStyle name="Normal 4 2 3 61 3" xfId="5862"/>
    <cellStyle name="Normal 4 2 3 61 3 2" xfId="12632"/>
    <cellStyle name="Normal 4 2 3 61 3 3" xfId="25322"/>
    <cellStyle name="Normal 4 2 3 61 3 4" xfId="16833"/>
    <cellStyle name="Normal 4 2 3 61 3 5" xfId="27777"/>
    <cellStyle name="Normal 4 2 3 61 4" xfId="8215"/>
    <cellStyle name="Normal 4 2 3 61 5" xfId="21044"/>
    <cellStyle name="Normal 4 2 3 61 6" xfId="19051"/>
    <cellStyle name="Normal 4 2 3 61 7" xfId="27064"/>
    <cellStyle name="Normal 4 2 3 62" xfId="1468"/>
    <cellStyle name="Normal 4 2 3 62 2" xfId="3922"/>
    <cellStyle name="Normal 4 2 3 62 2 2" xfId="10692"/>
    <cellStyle name="Normal 4 2 3 62 2 3" xfId="23382"/>
    <cellStyle name="Normal 4 2 3 62 2 4" xfId="16573"/>
    <cellStyle name="Normal 4 2 3 62 2 5" xfId="30573"/>
    <cellStyle name="Normal 4 2 3 62 3" xfId="5882"/>
    <cellStyle name="Normal 4 2 3 62 3 2" xfId="12652"/>
    <cellStyle name="Normal 4 2 3 62 3 3" xfId="25342"/>
    <cellStyle name="Normal 4 2 3 62 3 4" xfId="18658"/>
    <cellStyle name="Normal 4 2 3 62 3 5" xfId="27970"/>
    <cellStyle name="Normal 4 2 3 62 4" xfId="8238"/>
    <cellStyle name="Normal 4 2 3 62 5" xfId="21064"/>
    <cellStyle name="Normal 4 2 3 62 6" xfId="14596"/>
    <cellStyle name="Normal 4 2 3 62 7" xfId="30030"/>
    <cellStyle name="Normal 4 2 3 63" xfId="1491"/>
    <cellStyle name="Normal 4 2 3 63 2" xfId="3945"/>
    <cellStyle name="Normal 4 2 3 63 2 2" xfId="10715"/>
    <cellStyle name="Normal 4 2 3 63 2 3" xfId="23405"/>
    <cellStyle name="Normal 4 2 3 63 2 4" xfId="18420"/>
    <cellStyle name="Normal 4 2 3 63 2 5" xfId="29361"/>
    <cellStyle name="Normal 4 2 3 63 3" xfId="5902"/>
    <cellStyle name="Normal 4 2 3 63 3 2" xfId="12672"/>
    <cellStyle name="Normal 4 2 3 63 3 3" xfId="25362"/>
    <cellStyle name="Normal 4 2 3 63 3 4" xfId="14191"/>
    <cellStyle name="Normal 4 2 3 63 3 5" xfId="26763"/>
    <cellStyle name="Normal 4 2 3 63 4" xfId="8261"/>
    <cellStyle name="Normal 4 2 3 63 5" xfId="21084"/>
    <cellStyle name="Normal 4 2 3 63 6" xfId="16027"/>
    <cellStyle name="Normal 4 2 3 63 7" xfId="28174"/>
    <cellStyle name="Normal 4 2 3 64" xfId="1514"/>
    <cellStyle name="Normal 4 2 3 64 2" xfId="3967"/>
    <cellStyle name="Normal 4 2 3 64 2 2" xfId="10737"/>
    <cellStyle name="Normal 4 2 3 64 2 3" xfId="23427"/>
    <cellStyle name="Normal 4 2 3 64 2 4" xfId="16261"/>
    <cellStyle name="Normal 4 2 3 64 2 5" xfId="27240"/>
    <cellStyle name="Normal 4 2 3 64 3" xfId="5922"/>
    <cellStyle name="Normal 4 2 3 64 3 2" xfId="12692"/>
    <cellStyle name="Normal 4 2 3 64 3 3" xfId="25382"/>
    <cellStyle name="Normal 4 2 3 64 3 4" xfId="16400"/>
    <cellStyle name="Normal 4 2 3 64 3 5" xfId="28868"/>
    <cellStyle name="Normal 4 2 3 64 4" xfId="8284"/>
    <cellStyle name="Normal 4 2 3 64 5" xfId="21104"/>
    <cellStyle name="Normal 4 2 3 64 6" xfId="18640"/>
    <cellStyle name="Normal 4 2 3 64 7" xfId="31099"/>
    <cellStyle name="Normal 4 2 3 65" xfId="1537"/>
    <cellStyle name="Normal 4 2 3 65 2" xfId="3989"/>
    <cellStyle name="Normal 4 2 3 65 2 2" xfId="10759"/>
    <cellStyle name="Normal 4 2 3 65 2 3" xfId="23449"/>
    <cellStyle name="Normal 4 2 3 65 2 4" xfId="15862"/>
    <cellStyle name="Normal 4 2 3 65 2 5" xfId="28376"/>
    <cellStyle name="Normal 4 2 3 65 3" xfId="5942"/>
    <cellStyle name="Normal 4 2 3 65 3 2" xfId="12712"/>
    <cellStyle name="Normal 4 2 3 65 3 3" xfId="25402"/>
    <cellStyle name="Normal 4 2 3 65 3 4" xfId="18305"/>
    <cellStyle name="Normal 4 2 3 65 3 5" xfId="27874"/>
    <cellStyle name="Normal 4 2 3 65 4" xfId="8307"/>
    <cellStyle name="Normal 4 2 3 65 5" xfId="21124"/>
    <cellStyle name="Normal 4 2 3 65 6" xfId="14131"/>
    <cellStyle name="Normal 4 2 3 65 7" xfId="29035"/>
    <cellStyle name="Normal 4 2 3 66" xfId="1560"/>
    <cellStyle name="Normal 4 2 3 66 2" xfId="4011"/>
    <cellStyle name="Normal 4 2 3 66 2 2" xfId="10781"/>
    <cellStyle name="Normal 4 2 3 66 2 3" xfId="23471"/>
    <cellStyle name="Normal 4 2 3 66 2 4" xfId="17043"/>
    <cellStyle name="Normal 4 2 3 66 2 5" xfId="29275"/>
    <cellStyle name="Normal 4 2 3 66 3" xfId="5962"/>
    <cellStyle name="Normal 4 2 3 66 3 2" xfId="12732"/>
    <cellStyle name="Normal 4 2 3 66 3 3" xfId="25422"/>
    <cellStyle name="Normal 4 2 3 66 3 4" xfId="13785"/>
    <cellStyle name="Normal 4 2 3 66 3 5" xfId="26666"/>
    <cellStyle name="Normal 4 2 3 66 4" xfId="8330"/>
    <cellStyle name="Normal 4 2 3 66 5" xfId="21144"/>
    <cellStyle name="Normal 4 2 3 66 6" xfId="16356"/>
    <cellStyle name="Normal 4 2 3 66 7" xfId="31973"/>
    <cellStyle name="Normal 4 2 3 67" xfId="1583"/>
    <cellStyle name="Normal 4 2 3 67 2" xfId="4033"/>
    <cellStyle name="Normal 4 2 3 67 2 2" xfId="10803"/>
    <cellStyle name="Normal 4 2 3 67 2 3" xfId="23493"/>
    <cellStyle name="Normal 4 2 3 67 2 4" xfId="17955"/>
    <cellStyle name="Normal 4 2 3 67 2 5" xfId="27144"/>
    <cellStyle name="Normal 4 2 3 67 3" xfId="5982"/>
    <cellStyle name="Normal 4 2 3 67 3 2" xfId="12752"/>
    <cellStyle name="Normal 4 2 3 67 3 3" xfId="25442"/>
    <cellStyle name="Normal 4 2 3 67 3 4" xfId="18183"/>
    <cellStyle name="Normal 4 2 3 67 3 5" xfId="28773"/>
    <cellStyle name="Normal 4 2 3 67 4" xfId="8353"/>
    <cellStyle name="Normal 4 2 3 67 5" xfId="21164"/>
    <cellStyle name="Normal 4 2 3 67 6" xfId="17460"/>
    <cellStyle name="Normal 4 2 3 67 7" xfId="26840"/>
    <cellStyle name="Normal 4 2 3 68" xfId="1606"/>
    <cellStyle name="Normal 4 2 3 68 2" xfId="4055"/>
    <cellStyle name="Normal 4 2 3 68 2 2" xfId="10825"/>
    <cellStyle name="Normal 4 2 3 68 2 3" xfId="23515"/>
    <cellStyle name="Normal 4 2 3 68 2 4" xfId="15447"/>
    <cellStyle name="Normal 4 2 3 68 2 5" xfId="28283"/>
    <cellStyle name="Normal 4 2 3 68 3" xfId="6002"/>
    <cellStyle name="Normal 4 2 3 68 3 2" xfId="12772"/>
    <cellStyle name="Normal 4 2 3 68 3 3" xfId="25462"/>
    <cellStyle name="Normal 4 2 3 68 3 4" xfId="19919"/>
    <cellStyle name="Normal 4 2 3 68 3 5" xfId="27775"/>
    <cellStyle name="Normal 4 2 3 68 4" xfId="8376"/>
    <cellStyle name="Normal 4 2 3 68 5" xfId="21184"/>
    <cellStyle name="Normal 4 2 3 68 6" xfId="15786"/>
    <cellStyle name="Normal 4 2 3 68 7" xfId="29830"/>
    <cellStyle name="Normal 4 2 3 69" xfId="1628"/>
    <cellStyle name="Normal 4 2 3 69 2" xfId="4076"/>
    <cellStyle name="Normal 4 2 3 69 2 2" xfId="10846"/>
    <cellStyle name="Normal 4 2 3 69 2 3" xfId="23536"/>
    <cellStyle name="Normal 4 2 3 69 2 4" xfId="13753"/>
    <cellStyle name="Normal 4 2 3 69 2 5" xfId="32148"/>
    <cellStyle name="Normal 4 2 3 69 3" xfId="6020"/>
    <cellStyle name="Normal 4 2 3 69 3 2" xfId="12790"/>
    <cellStyle name="Normal 4 2 3 69 3 3" xfId="25480"/>
    <cellStyle name="Normal 4 2 3 69 3 4" xfId="19806"/>
    <cellStyle name="Normal 4 2 3 69 3 5" xfId="27743"/>
    <cellStyle name="Normal 4 2 3 69 4" xfId="8398"/>
    <cellStyle name="Normal 4 2 3 69 5" xfId="21202"/>
    <cellStyle name="Normal 4 2 3 69 6" xfId="18470"/>
    <cellStyle name="Normal 4 2 3 69 7" xfId="30914"/>
    <cellStyle name="Normal 4 2 3 7" xfId="210"/>
    <cellStyle name="Normal 4 2 3 7 2" xfId="2690"/>
    <cellStyle name="Normal 4 2 3 7 2 2" xfId="9460"/>
    <cellStyle name="Normal 4 2 3 7 2 3" xfId="22150"/>
    <cellStyle name="Normal 4 2 3 7 2 4" xfId="16449"/>
    <cellStyle name="Normal 4 2 3 7 2 5" xfId="28799"/>
    <cellStyle name="Normal 4 2 3 7 3" xfId="2853"/>
    <cellStyle name="Normal 4 2 3 7 3 2" xfId="9623"/>
    <cellStyle name="Normal 4 2 3 7 3 3" xfId="22313"/>
    <cellStyle name="Normal 4 2 3 7 3 4" xfId="8221"/>
    <cellStyle name="Normal 4 2 3 7 3 5" xfId="31555"/>
    <cellStyle name="Normal 4 2 3 7 4" xfId="6980"/>
    <cellStyle name="Normal 4 2 3 7 5" xfId="13942"/>
    <cellStyle name="Normal 4 2 3 7 6" xfId="18581"/>
    <cellStyle name="Normal 4 2 3 7 7" xfId="31413"/>
    <cellStyle name="Normal 4 2 3 70" xfId="1649"/>
    <cellStyle name="Normal 4 2 3 70 2" xfId="4097"/>
    <cellStyle name="Normal 4 2 3 70 2 2" xfId="10867"/>
    <cellStyle name="Normal 4 2 3 70 2 3" xfId="23557"/>
    <cellStyle name="Normal 4 2 3 70 2 4" xfId="15174"/>
    <cellStyle name="Normal 4 2 3 70 2 5" xfId="28221"/>
    <cellStyle name="Normal 4 2 3 70 3" xfId="6038"/>
    <cellStyle name="Normal 4 2 3 70 3 2" xfId="12808"/>
    <cellStyle name="Normal 4 2 3 70 3 3" xfId="25498"/>
    <cellStyle name="Normal 4 2 3 70 3 4" xfId="19713"/>
    <cellStyle name="Normal 4 2 3 70 3 5" xfId="27706"/>
    <cellStyle name="Normal 4 2 3 70 4" xfId="8419"/>
    <cellStyle name="Normal 4 2 3 70 5" xfId="21220"/>
    <cellStyle name="Normal 4 2 3 70 6" xfId="19935"/>
    <cellStyle name="Normal 4 2 3 70 7" xfId="26742"/>
    <cellStyle name="Normal 4 2 3 71" xfId="1672"/>
    <cellStyle name="Normal 4 2 3 71 2" xfId="4120"/>
    <cellStyle name="Normal 4 2 3 71 2 2" xfId="10890"/>
    <cellStyle name="Normal 4 2 3 71 2 3" xfId="23580"/>
    <cellStyle name="Normal 4 2 3 71 2 4" xfId="17407"/>
    <cellStyle name="Normal 4 2 3 71 2 5" xfId="31149"/>
    <cellStyle name="Normal 4 2 3 71 3" xfId="6060"/>
    <cellStyle name="Normal 4 2 3 71 3 2" xfId="12830"/>
    <cellStyle name="Normal 4 2 3 71 3 3" xfId="25520"/>
    <cellStyle name="Normal 4 2 3 71 3 4" xfId="17695"/>
    <cellStyle name="Normal 4 2 3 71 3 5" xfId="28444"/>
    <cellStyle name="Normal 4 2 3 71 4" xfId="8442"/>
    <cellStyle name="Normal 4 2 3 71 5" xfId="21242"/>
    <cellStyle name="Normal 4 2 3 71 6" xfId="15557"/>
    <cellStyle name="Normal 4 2 3 71 7" xfId="29734"/>
    <cellStyle name="Normal 4 2 3 72" xfId="1695"/>
    <cellStyle name="Normal 4 2 3 72 2" xfId="4142"/>
    <cellStyle name="Normal 4 2 3 72 2 2" xfId="10912"/>
    <cellStyle name="Normal 4 2 3 72 2 3" xfId="23602"/>
    <cellStyle name="Normal 4 2 3 72 2 4" xfId="13710"/>
    <cellStyle name="Normal 4 2 3 72 2 5" xfId="32057"/>
    <cellStyle name="Normal 4 2 3 72 3" xfId="6080"/>
    <cellStyle name="Normal 4 2 3 72 3 2" xfId="12850"/>
    <cellStyle name="Normal 4 2 3 72 3 3" xfId="25540"/>
    <cellStyle name="Normal 4 2 3 72 3 4" xfId="19462"/>
    <cellStyle name="Normal 4 2 3 72 3 5" xfId="27630"/>
    <cellStyle name="Normal 4 2 3 72 4" xfId="8465"/>
    <cellStyle name="Normal 4 2 3 72 5" xfId="21262"/>
    <cellStyle name="Normal 4 2 3 72 6" xfId="17799"/>
    <cellStyle name="Normal 4 2 3 72 7" xfId="27840"/>
    <cellStyle name="Normal 4 2 3 73" xfId="1718"/>
    <cellStyle name="Normal 4 2 3 73 2" xfId="4164"/>
    <cellStyle name="Normal 4 2 3 73 2 2" xfId="10934"/>
    <cellStyle name="Normal 4 2 3 73 2 3" xfId="23624"/>
    <cellStyle name="Normal 4 2 3 73 2 4" xfId="19045"/>
    <cellStyle name="Normal 4 2 3 73 2 5" xfId="29955"/>
    <cellStyle name="Normal 4 2 3 73 3" xfId="6100"/>
    <cellStyle name="Normal 4 2 3 73 3 2" xfId="12870"/>
    <cellStyle name="Normal 4 2 3 73 3 3" xfId="25560"/>
    <cellStyle name="Normal 4 2 3 73 3 4" xfId="15077"/>
    <cellStyle name="Normal 4 2 3 73 3 5" xfId="26422"/>
    <cellStyle name="Normal 4 2 3 73 4" xfId="8488"/>
    <cellStyle name="Normal 4 2 3 73 5" xfId="21282"/>
    <cellStyle name="Normal 4 2 3 73 6" xfId="19539"/>
    <cellStyle name="Normal 4 2 3 73 7" xfId="30760"/>
    <cellStyle name="Normal 4 2 3 74" xfId="1741"/>
    <cellStyle name="Normal 4 2 3 74 2" xfId="4185"/>
    <cellStyle name="Normal 4 2 3 74 2 2" xfId="10955"/>
    <cellStyle name="Normal 4 2 3 74 2 3" xfId="23645"/>
    <cellStyle name="Normal 4 2 3 74 2 4" xfId="18926"/>
    <cellStyle name="Normal 4 2 3 74 2 5" xfId="29024"/>
    <cellStyle name="Normal 4 2 3 74 3" xfId="6120"/>
    <cellStyle name="Normal 4 2 3 74 3 2" xfId="12890"/>
    <cellStyle name="Normal 4 2 3 74 3 3" xfId="25580"/>
    <cellStyle name="Normal 4 2 3 74 3 4" xfId="17306"/>
    <cellStyle name="Normal 4 2 3 74 3 5" xfId="27556"/>
    <cellStyle name="Normal 4 2 3 74 4" xfId="8511"/>
    <cellStyle name="Normal 4 2 3 74 5" xfId="21302"/>
    <cellStyle name="Normal 4 2 3 74 6" xfId="15111"/>
    <cellStyle name="Normal 4 2 3 74 7" xfId="28731"/>
    <cellStyle name="Normal 4 2 3 75" xfId="1764"/>
    <cellStyle name="Normal 4 2 3 75 2" xfId="4208"/>
    <cellStyle name="Normal 4 2 3 75 2 2" xfId="10978"/>
    <cellStyle name="Normal 4 2 3 75 2 3" xfId="23668"/>
    <cellStyle name="Normal 4 2 3 75 2 4" xfId="13665"/>
    <cellStyle name="Normal 4 2 3 75 2 5" xfId="31962"/>
    <cellStyle name="Normal 4 2 3 75 3" xfId="6140"/>
    <cellStyle name="Normal 4 2 3 75 3 2" xfId="12910"/>
    <cellStyle name="Normal 4 2 3 75 3 3" xfId="25600"/>
    <cellStyle name="Normal 4 2 3 75 3 4" xfId="19111"/>
    <cellStyle name="Normal 4 2 3 75 3 5" xfId="28564"/>
    <cellStyle name="Normal 4 2 3 75 4" xfId="8534"/>
    <cellStyle name="Normal 4 2 3 75 5" xfId="21322"/>
    <cellStyle name="Normal 4 2 3 75 6" xfId="17347"/>
    <cellStyle name="Normal 4 2 3 75 7" xfId="26541"/>
    <cellStyle name="Normal 4 2 3 76" xfId="1787"/>
    <cellStyle name="Normal 4 2 3 76 2" xfId="4230"/>
    <cellStyle name="Normal 4 2 3 76 2 2" xfId="11000"/>
    <cellStyle name="Normal 4 2 3 76 2 3" xfId="23690"/>
    <cellStyle name="Normal 4 2 3 76 2 4" xfId="18654"/>
    <cellStyle name="Normal 4 2 3 76 2 5" xfId="29825"/>
    <cellStyle name="Normal 4 2 3 76 3" xfId="6160"/>
    <cellStyle name="Normal 4 2 3 76 3 2" xfId="12930"/>
    <cellStyle name="Normal 4 2 3 76 3 3" xfId="25620"/>
    <cellStyle name="Normal 4 2 3 76 3 4" xfId="14661"/>
    <cellStyle name="Normal 4 2 3 76 3 5" xfId="27356"/>
    <cellStyle name="Normal 4 2 3 76 4" xfId="8557"/>
    <cellStyle name="Normal 4 2 3 76 5" xfId="21342"/>
    <cellStyle name="Normal 4 2 3 76 6" xfId="19128"/>
    <cellStyle name="Normal 4 2 3 76 7" xfId="29543"/>
    <cellStyle name="Normal 4 2 3 77" xfId="1810"/>
    <cellStyle name="Normal 4 2 3 77 2" xfId="4252"/>
    <cellStyle name="Normal 4 2 3 77 2 2" xfId="11022"/>
    <cellStyle name="Normal 4 2 3 77 2 3" xfId="23712"/>
    <cellStyle name="Normal 4 2 3 77 2 4" xfId="16527"/>
    <cellStyle name="Normal 4 2 3 77 2 5" xfId="30934"/>
    <cellStyle name="Normal 4 2 3 77 3" xfId="6180"/>
    <cellStyle name="Normal 4 2 3 77 3 2" xfId="12950"/>
    <cellStyle name="Normal 4 2 3 77 3 3" xfId="25640"/>
    <cellStyle name="Normal 4 2 3 77 3 4" xfId="16910"/>
    <cellStyle name="Normal 4 2 3 77 3 5" xfId="28088"/>
    <cellStyle name="Normal 4 2 3 77 4" xfId="8580"/>
    <cellStyle name="Normal 4 2 3 77 5" xfId="21362"/>
    <cellStyle name="Normal 4 2 3 77 6" xfId="13693"/>
    <cellStyle name="Normal 4 2 3 77 7" xfId="28461"/>
    <cellStyle name="Normal 4 2 3 78" xfId="1833"/>
    <cellStyle name="Normal 4 2 3 78 2" xfId="4275"/>
    <cellStyle name="Normal 4 2 3 78 2 2" xfId="11045"/>
    <cellStyle name="Normal 4 2 3 78 2 3" xfId="23735"/>
    <cellStyle name="Normal 4 2 3 78 2 4" xfId="16560"/>
    <cellStyle name="Normal 4 2 3 78 2 5" xfId="28902"/>
    <cellStyle name="Normal 4 2 3 78 3" xfId="6200"/>
    <cellStyle name="Normal 4 2 3 78 3 2" xfId="12970"/>
    <cellStyle name="Normal 4 2 3 78 3 3" xfId="25660"/>
    <cellStyle name="Normal 4 2 3 78 3 4" xfId="18761"/>
    <cellStyle name="Normal 4 2 3 78 3 5" xfId="28466"/>
    <cellStyle name="Normal 4 2 3 78 4" xfId="8603"/>
    <cellStyle name="Normal 4 2 3 78 5" xfId="21382"/>
    <cellStyle name="Normal 4 2 3 78 6" xfId="16886"/>
    <cellStyle name="Normal 4 2 3 78 7" xfId="31397"/>
    <cellStyle name="Normal 4 2 3 79" xfId="1856"/>
    <cellStyle name="Normal 4 2 3 79 2" xfId="4297"/>
    <cellStyle name="Normal 4 2 3 79 2 2" xfId="11067"/>
    <cellStyle name="Normal 4 2 3 79 2 3" xfId="23757"/>
    <cellStyle name="Normal 4 2 3 79 2 4" xfId="16215"/>
    <cellStyle name="Normal 4 2 3 79 2 5" xfId="26734"/>
    <cellStyle name="Normal 4 2 3 79 3" xfId="6220"/>
    <cellStyle name="Normal 4 2 3 79 3 2" xfId="12990"/>
    <cellStyle name="Normal 4 2 3 79 3 3" xfId="25680"/>
    <cellStyle name="Normal 4 2 3 79 3 4" xfId="14270"/>
    <cellStyle name="Normal 4 2 3 79 3 5" xfId="27262"/>
    <cellStyle name="Normal 4 2 3 79 4" xfId="8626"/>
    <cellStyle name="Normal 4 2 3 79 5" xfId="21402"/>
    <cellStyle name="Normal 4 2 3 79 6" xfId="18718"/>
    <cellStyle name="Normal 4 2 3 79 7" xfId="29307"/>
    <cellStyle name="Normal 4 2 3 8" xfId="231"/>
    <cellStyle name="Normal 4 2 3 8 2" xfId="2710"/>
    <cellStyle name="Normal 4 2 3 8 2 2" xfId="9480"/>
    <cellStyle name="Normal 4 2 3 8 2 3" xfId="22170"/>
    <cellStyle name="Normal 4 2 3 8 2 4" xfId="18329"/>
    <cellStyle name="Normal 4 2 3 8 2 5" xfId="27794"/>
    <cellStyle name="Normal 4 2 3 8 3" xfId="2502"/>
    <cellStyle name="Normal 4 2 3 8 3 2" xfId="9272"/>
    <cellStyle name="Normal 4 2 3 8 3 3" xfId="21963"/>
    <cellStyle name="Normal 4 2 3 8 3 4" xfId="18891"/>
    <cellStyle name="Normal 4 2 3 8 3 5" xfId="26955"/>
    <cellStyle name="Normal 4 2 3 8 4" xfId="7001"/>
    <cellStyle name="Normal 4 2 3 8 5" xfId="13569"/>
    <cellStyle name="Normal 4 2 3 8 6" xfId="18467"/>
    <cellStyle name="Normal 4 2 3 8 7" xfId="27244"/>
    <cellStyle name="Normal 4 2 3 80" xfId="1879"/>
    <cellStyle name="Normal 4 2 3 80 2" xfId="4319"/>
    <cellStyle name="Normal 4 2 3 80 2 2" xfId="11089"/>
    <cellStyle name="Normal 4 2 3 80 2 3" xfId="23779"/>
    <cellStyle name="Normal 4 2 3 80 2 4" xfId="15819"/>
    <cellStyle name="Normal 4 2 3 80 2 5" xfId="27860"/>
    <cellStyle name="Normal 4 2 3 80 3" xfId="6240"/>
    <cellStyle name="Normal 4 2 3 80 3 2" xfId="13010"/>
    <cellStyle name="Normal 4 2 3 80 3 3" xfId="25700"/>
    <cellStyle name="Normal 4 2 3 80 3 4" xfId="16516"/>
    <cellStyle name="Normal 4 2 3 80 3 5" xfId="29319"/>
    <cellStyle name="Normal 4 2 3 80 4" xfId="8649"/>
    <cellStyle name="Normal 4 2 3 80 5" xfId="21422"/>
    <cellStyle name="Normal 4 2 3 80 6" xfId="14221"/>
    <cellStyle name="Normal 4 2 3 80 7" xfId="32248"/>
    <cellStyle name="Normal 4 2 3 81" xfId="1902"/>
    <cellStyle name="Normal 4 2 3 81 2" xfId="4341"/>
    <cellStyle name="Normal 4 2 3 81 2 2" xfId="11111"/>
    <cellStyle name="Normal 4 2 3 81 2 3" xfId="23801"/>
    <cellStyle name="Normal 4 2 3 81 2 4" xfId="19910"/>
    <cellStyle name="Normal 4 2 3 81 2 5" xfId="29372"/>
    <cellStyle name="Normal 4 2 3 81 3" xfId="6260"/>
    <cellStyle name="Normal 4 2 3 81 3 2" xfId="13030"/>
    <cellStyle name="Normal 4 2 3 81 3 3" xfId="25720"/>
    <cellStyle name="Normal 4 2 3 81 3 4" xfId="18387"/>
    <cellStyle name="Normal 4 2 3 81 3 5" xfId="28381"/>
    <cellStyle name="Normal 4 2 3 81 4" xfId="8672"/>
    <cellStyle name="Normal 4 2 3 81 5" xfId="21442"/>
    <cellStyle name="Normal 4 2 3 81 6" xfId="16422"/>
    <cellStyle name="Normal 4 2 3 81 7" xfId="27155"/>
    <cellStyle name="Normal 4 2 3 82" xfId="1924"/>
    <cellStyle name="Normal 4 2 3 82 2" xfId="4362"/>
    <cellStyle name="Normal 4 2 3 82 2 2" xfId="11132"/>
    <cellStyle name="Normal 4 2 3 82 2 3" xfId="23822"/>
    <cellStyle name="Normal 4 2 3 82 2 4" xfId="19780"/>
    <cellStyle name="Normal 4 2 3 82 2 5" xfId="30236"/>
    <cellStyle name="Normal 4 2 3 82 3" xfId="6279"/>
    <cellStyle name="Normal 4 2 3 82 3 2" xfId="13049"/>
    <cellStyle name="Normal 4 2 3 82 3 3" xfId="25739"/>
    <cellStyle name="Normal 4 2 3 82 3 4" xfId="8650"/>
    <cellStyle name="Normal 4 2 3 82 3 5" xfId="30168"/>
    <cellStyle name="Normal 4 2 3 82 4" xfId="8694"/>
    <cellStyle name="Normal 4 2 3 82 5" xfId="21461"/>
    <cellStyle name="Normal 4 2 3 82 6" xfId="13912"/>
    <cellStyle name="Normal 4 2 3 82 7" xfId="28293"/>
    <cellStyle name="Normal 4 2 3 83" xfId="1946"/>
    <cellStyle name="Normal 4 2 3 83 2" xfId="4383"/>
    <cellStyle name="Normal 4 2 3 83 2 2" xfId="11153"/>
    <cellStyle name="Normal 4 2 3 83 2 3" xfId="23843"/>
    <cellStyle name="Normal 4 2 3 83 2 4" xfId="19668"/>
    <cellStyle name="Normal 4 2 3 83 2 5" xfId="29312"/>
    <cellStyle name="Normal 4 2 3 83 3" xfId="6298"/>
    <cellStyle name="Normal 4 2 3 83 3 2" xfId="13068"/>
    <cellStyle name="Normal 4 2 3 83 3 3" xfId="25758"/>
    <cellStyle name="Normal 4 2 3 83 3 4" xfId="8262"/>
    <cellStyle name="Normal 4 2 3 83 3 5" xfId="27150"/>
    <cellStyle name="Normal 4 2 3 83 4" xfId="8716"/>
    <cellStyle name="Normal 4 2 3 83 5" xfId="21480"/>
    <cellStyle name="Normal 4 2 3 83 6" xfId="20076"/>
    <cellStyle name="Normal 4 2 3 83 7" xfId="29193"/>
    <cellStyle name="Normal 4 2 3 84" xfId="1969"/>
    <cellStyle name="Normal 4 2 3 84 2" xfId="4406"/>
    <cellStyle name="Normal 4 2 3 84 2 2" xfId="11176"/>
    <cellStyle name="Normal 4 2 3 84 2 3" xfId="23866"/>
    <cellStyle name="Normal 4 2 3 84 2 4" xfId="15280"/>
    <cellStyle name="Normal 4 2 3 84 2 5" xfId="32253"/>
    <cellStyle name="Normal 4 2 3 84 3" xfId="6318"/>
    <cellStyle name="Normal 4 2 3 84 3 2" xfId="13088"/>
    <cellStyle name="Normal 4 2 3 84 3 3" xfId="25778"/>
    <cellStyle name="Normal 4 2 3 84 3 4" xfId="7850"/>
    <cellStyle name="Normal 4 2 3 84 3 5" xfId="29224"/>
    <cellStyle name="Normal 4 2 3 84 4" xfId="8739"/>
    <cellStyle name="Normal 4 2 3 84 5" xfId="21500"/>
    <cellStyle name="Normal 4 2 3 84 6" xfId="13800"/>
    <cellStyle name="Normal 4 2 3 84 7" xfId="32120"/>
    <cellStyle name="Normal 4 2 3 85" xfId="1992"/>
    <cellStyle name="Normal 4 2 3 85 2" xfId="4428"/>
    <cellStyle name="Normal 4 2 3 85 2 2" xfId="11198"/>
    <cellStyle name="Normal 4 2 3 85 2 3" xfId="23888"/>
    <cellStyle name="Normal 4 2 3 85 2 4" xfId="19393"/>
    <cellStyle name="Normal 4 2 3 85 2 5" xfId="30151"/>
    <cellStyle name="Normal 4 2 3 85 3" xfId="6338"/>
    <cellStyle name="Normal 4 2 3 85 3 2" xfId="13108"/>
    <cellStyle name="Normal 4 2 3 85 3 3" xfId="25798"/>
    <cellStyle name="Normal 4 2 3 85 3 4" xfId="6851"/>
    <cellStyle name="Normal 4 2 3 85 3 5" xfId="28270"/>
    <cellStyle name="Normal 4 2 3 85 4" xfId="8762"/>
    <cellStyle name="Normal 4 2 3 85 5" xfId="21520"/>
    <cellStyle name="Normal 4 2 3 85 6" xfId="16157"/>
    <cellStyle name="Normal 4 2 3 85 7" xfId="27015"/>
    <cellStyle name="Normal 4 2 3 86" xfId="2014"/>
    <cellStyle name="Normal 4 2 3 86 2" xfId="4450"/>
    <cellStyle name="Normal 4 2 3 86 2 2" xfId="11220"/>
    <cellStyle name="Normal 4 2 3 86 2 3" xfId="23910"/>
    <cellStyle name="Normal 4 2 3 86 2 4" xfId="17363"/>
    <cellStyle name="Normal 4 2 3 86 2 5" xfId="31272"/>
    <cellStyle name="Normal 4 2 3 86 3" xfId="6357"/>
    <cellStyle name="Normal 4 2 3 86 3 2" xfId="13127"/>
    <cellStyle name="Normal 4 2 3 86 3 3" xfId="25817"/>
    <cellStyle name="Normal 4 2 3 86 3 4" xfId="7072"/>
    <cellStyle name="Normal 4 2 3 86 3 5" xfId="30061"/>
    <cellStyle name="Normal 4 2 3 86 4" xfId="8784"/>
    <cellStyle name="Normal 4 2 3 86 5" xfId="21539"/>
    <cellStyle name="Normal 4 2 3 86 6" xfId="15809"/>
    <cellStyle name="Normal 4 2 3 86 7" xfId="28163"/>
    <cellStyle name="Normal 4 2 3 87" xfId="2037"/>
    <cellStyle name="Normal 4 2 3 87 2" xfId="4472"/>
    <cellStyle name="Normal 4 2 3 87 2 2" xfId="11242"/>
    <cellStyle name="Normal 4 2 3 87 2 3" xfId="23932"/>
    <cellStyle name="Normal 4 2 3 87 2 4" xfId="14854"/>
    <cellStyle name="Normal 4 2 3 87 2 5" xfId="32163"/>
    <cellStyle name="Normal 4 2 3 87 3" xfId="6377"/>
    <cellStyle name="Normal 4 2 3 87 3 2" xfId="13147"/>
    <cellStyle name="Normal 4 2 3 87 3 3" xfId="25837"/>
    <cellStyle name="Normal 4 2 3 87 3 4" xfId="16313"/>
    <cellStyle name="Normal 4 2 3 87 3 5" xfId="30609"/>
    <cellStyle name="Normal 4 2 3 87 4" xfId="8807"/>
    <cellStyle name="Normal 4 2 3 87 5" xfId="21559"/>
    <cellStyle name="Normal 4 2 3 87 6" xfId="16094"/>
    <cellStyle name="Normal 4 2 3 87 7" xfId="31086"/>
    <cellStyle name="Normal 4 2 3 88" xfId="2060"/>
    <cellStyle name="Normal 4 2 3 88 2" xfId="4494"/>
    <cellStyle name="Normal 4 2 3 88 2 2" xfId="11264"/>
    <cellStyle name="Normal 4 2 3 88 2 3" xfId="23954"/>
    <cellStyle name="Normal 4 2 3 88 2 4" xfId="19004"/>
    <cellStyle name="Normal 4 2 3 88 2 5" xfId="30062"/>
    <cellStyle name="Normal 4 2 3 88 3" xfId="6397"/>
    <cellStyle name="Normal 4 2 3 88 3 2" xfId="13167"/>
    <cellStyle name="Normal 4 2 3 88 3 3" xfId="25857"/>
    <cellStyle name="Normal 4 2 3 88 3 4" xfId="17327"/>
    <cellStyle name="Normal 4 2 3 88 3 5" xfId="31144"/>
    <cellStyle name="Normal 4 2 3 88 4" xfId="8830"/>
    <cellStyle name="Normal 4 2 3 88 5" xfId="21579"/>
    <cellStyle name="Normal 4 2 3 88 6" xfId="16294"/>
    <cellStyle name="Normal 4 2 3 88 7" xfId="29025"/>
    <cellStyle name="Normal 4 2 3 89" xfId="2083"/>
    <cellStyle name="Normal 4 2 3 89 2" xfId="4515"/>
    <cellStyle name="Normal 4 2 3 89 2 2" xfId="11285"/>
    <cellStyle name="Normal 4 2 3 89 2 3" xfId="23975"/>
    <cellStyle name="Normal 4 2 3 89 2 4" xfId="18887"/>
    <cellStyle name="Normal 4 2 3 89 2 5" xfId="29136"/>
    <cellStyle name="Normal 4 2 3 89 3" xfId="6417"/>
    <cellStyle name="Normal 4 2 3 89 3 2" xfId="13187"/>
    <cellStyle name="Normal 4 2 3 89 3 3" xfId="25877"/>
    <cellStyle name="Normal 4 2 3 89 3 4" xfId="15768"/>
    <cellStyle name="Normal 4 2 3 89 3 5" xfId="29980"/>
    <cellStyle name="Normal 4 2 3 89 4" xfId="8853"/>
    <cellStyle name="Normal 4 2 3 89 5" xfId="21599"/>
    <cellStyle name="Normal 4 2 3 89 6" xfId="15792"/>
    <cellStyle name="Normal 4 2 3 89 7" xfId="31963"/>
    <cellStyle name="Normal 4 2 3 9" xfId="253"/>
    <cellStyle name="Normal 4 2 3 9 2" xfId="2731"/>
    <cellStyle name="Normal 4 2 3 9 2 2" xfId="9501"/>
    <cellStyle name="Normal 4 2 3 9 2 3" xfId="22191"/>
    <cellStyle name="Normal 4 2 3 9 2 4" xfId="13768"/>
    <cellStyle name="Normal 4 2 3 9 2 5" xfId="31709"/>
    <cellStyle name="Normal 4 2 3 9 3" xfId="4473"/>
    <cellStyle name="Normal 4 2 3 9 3 2" xfId="11243"/>
    <cellStyle name="Normal 4 2 3 9 3 3" xfId="23933"/>
    <cellStyle name="Normal 4 2 3 9 3 4" xfId="19142"/>
    <cellStyle name="Normal 4 2 3 9 3 5" xfId="29199"/>
    <cellStyle name="Normal 4 2 3 9 4" xfId="7023"/>
    <cellStyle name="Normal 4 2 3 9 5" xfId="15518"/>
    <cellStyle name="Normal 4 2 3 9 6" xfId="18077"/>
    <cellStyle name="Normal 4 2 3 9 7" xfId="28390"/>
    <cellStyle name="Normal 4 2 3 90" xfId="2106"/>
    <cellStyle name="Normal 4 2 3 90 2" xfId="4537"/>
    <cellStyle name="Normal 4 2 3 90 2 2" xfId="11307"/>
    <cellStyle name="Normal 4 2 3 90 2 3" xfId="23997"/>
    <cellStyle name="Normal 4 2 3 90 2 4" xfId="16791"/>
    <cellStyle name="Normal 4 2 3 90 2 5" xfId="26999"/>
    <cellStyle name="Normal 4 2 3 90 3" xfId="6437"/>
    <cellStyle name="Normal 4 2 3 90 3 2" xfId="13207"/>
    <cellStyle name="Normal 4 2 3 90 3 3" xfId="25897"/>
    <cellStyle name="Normal 4 2 3 90 3 4" xfId="19905"/>
    <cellStyle name="Normal 4 2 3 90 3 5" xfId="32016"/>
    <cellStyle name="Normal 4 2 3 90 4" xfId="8876"/>
    <cellStyle name="Normal 4 2 3 90 5" xfId="21619"/>
    <cellStyle name="Normal 4 2 3 90 6" xfId="16434"/>
    <cellStyle name="Normal 4 2 3 90 7" xfId="26823"/>
    <cellStyle name="Normal 4 2 3 91" xfId="2128"/>
    <cellStyle name="Normal 4 2 3 91 2" xfId="4557"/>
    <cellStyle name="Normal 4 2 3 91 2 2" xfId="11327"/>
    <cellStyle name="Normal 4 2 3 91 2 3" xfId="24017"/>
    <cellStyle name="Normal 4 2 3 91 2 4" xfId="18633"/>
    <cellStyle name="Normal 4 2 3 91 2 5" xfId="29079"/>
    <cellStyle name="Normal 4 2 3 91 3" xfId="6456"/>
    <cellStyle name="Normal 4 2 3 91 3 2" xfId="13226"/>
    <cellStyle name="Normal 4 2 3 91 3 3" xfId="25916"/>
    <cellStyle name="Normal 4 2 3 91 3 4" xfId="17932"/>
    <cellStyle name="Normal 4 2 3 91 3 5" xfId="29029"/>
    <cellStyle name="Normal 4 2 3 91 4" xfId="8898"/>
    <cellStyle name="Normal 4 2 3 91 5" xfId="21638"/>
    <cellStyle name="Normal 4 2 3 91 6" xfId="16254"/>
    <cellStyle name="Normal 4 2 3 91 7" xfId="27967"/>
    <cellStyle name="Normal 4 2 3 92" xfId="2149"/>
    <cellStyle name="Normal 4 2 3 92 2" xfId="4577"/>
    <cellStyle name="Normal 4 2 3 92 2 2" xfId="11347"/>
    <cellStyle name="Normal 4 2 3 92 2 3" xfId="24037"/>
    <cellStyle name="Normal 4 2 3 92 2 4" xfId="14149"/>
    <cellStyle name="Normal 4 2 3 92 2 5" xfId="28106"/>
    <cellStyle name="Normal 4 2 3 92 3" xfId="6474"/>
    <cellStyle name="Normal 4 2 3 92 3 2" xfId="13244"/>
    <cellStyle name="Normal 4 2 3 92 3 3" xfId="25934"/>
    <cellStyle name="Normal 4 2 3 92 3 4" xfId="17829"/>
    <cellStyle name="Normal 4 2 3 92 3 5" xfId="29002"/>
    <cellStyle name="Normal 4 2 3 92 4" xfId="8919"/>
    <cellStyle name="Normal 4 2 3 92 5" xfId="21656"/>
    <cellStyle name="Normal 4 2 3 92 6" xfId="17908"/>
    <cellStyle name="Normal 4 2 3 92 7" xfId="31875"/>
    <cellStyle name="Normal 4 2 3 93" xfId="2167"/>
    <cellStyle name="Normal 4 2 3 93 2" xfId="4594"/>
    <cellStyle name="Normal 4 2 3 93 2 2" xfId="11364"/>
    <cellStyle name="Normal 4 2 3 93 2 3" xfId="24054"/>
    <cellStyle name="Normal 4 2 3 93 2 4" xfId="16395"/>
    <cellStyle name="Normal 4 2 3 93 2 5" xfId="31050"/>
    <cellStyle name="Normal 4 2 3 93 3" xfId="6490"/>
    <cellStyle name="Normal 4 2 3 93 3 2" xfId="13260"/>
    <cellStyle name="Normal 4 2 3 93 3 3" xfId="25950"/>
    <cellStyle name="Normal 4 2 3 93 3 4" xfId="15336"/>
    <cellStyle name="Normal 4 2 3 93 3 5" xfId="26844"/>
    <cellStyle name="Normal 4 2 3 93 4" xfId="8937"/>
    <cellStyle name="Normal 4 2 3 93 5" xfId="21672"/>
    <cellStyle name="Normal 4 2 3 93 6" xfId="17803"/>
    <cellStyle name="Normal 4 2 3 93 7" xfId="31846"/>
    <cellStyle name="Normal 4 2 3 94" xfId="2183"/>
    <cellStyle name="Normal 4 2 3 94 2" xfId="4609"/>
    <cellStyle name="Normal 4 2 3 94 2 2" xfId="11379"/>
    <cellStyle name="Normal 4 2 3 94 2 3" xfId="24069"/>
    <cellStyle name="Normal 4 2 3 94 2 4" xfId="16303"/>
    <cellStyle name="Normal 4 2 3 94 2 5" xfId="26877"/>
    <cellStyle name="Normal 4 2 3 94 3" xfId="6505"/>
    <cellStyle name="Normal 4 2 3 94 3 2" xfId="13275"/>
    <cellStyle name="Normal 4 2 3 94 3 3" xfId="25965"/>
    <cellStyle name="Normal 4 2 3 94 3 4" xfId="15252"/>
    <cellStyle name="Normal 4 2 3 94 3 5" xfId="30963"/>
    <cellStyle name="Normal 4 2 3 94 4" xfId="8953"/>
    <cellStyle name="Normal 4 2 3 94 5" xfId="21687"/>
    <cellStyle name="Normal 4 2 3 94 6" xfId="15312"/>
    <cellStyle name="Normal 4 2 3 94 7" xfId="29745"/>
    <cellStyle name="Normal 4 2 3 95" xfId="2205"/>
    <cellStyle name="Normal 4 2 3 95 2" xfId="4630"/>
    <cellStyle name="Normal 4 2 3 95 2 2" xfId="11400"/>
    <cellStyle name="Normal 4 2 3 95 2 3" xfId="24090"/>
    <cellStyle name="Normal 4 2 3 95 2 4" xfId="15931"/>
    <cellStyle name="Normal 4 2 3 95 2 5" xfId="30986"/>
    <cellStyle name="Normal 4 2 3 95 3" xfId="6524"/>
    <cellStyle name="Normal 4 2 3 95 3 2" xfId="13294"/>
    <cellStyle name="Normal 4 2 3 95 3 3" xfId="25984"/>
    <cellStyle name="Normal 4 2 3 95 3 4" xfId="19386"/>
    <cellStyle name="Normal 4 2 3 95 3 5" xfId="27973"/>
    <cellStyle name="Normal 4 2 3 95 4" xfId="8975"/>
    <cellStyle name="Normal 4 2 3 95 5" xfId="21706"/>
    <cellStyle name="Normal 4 2 3 95 6" xfId="19443"/>
    <cellStyle name="Normal 4 2 3 95 7" xfId="30816"/>
    <cellStyle name="Normal 4 2 3 96" xfId="2243"/>
    <cellStyle name="Normal 4 2 3 96 2" xfId="4665"/>
    <cellStyle name="Normal 4 2 3 96 2 2" xfId="11435"/>
    <cellStyle name="Normal 4 2 3 96 2 3" xfId="24125"/>
    <cellStyle name="Normal 4 2 3 96 2 4" xfId="19776"/>
    <cellStyle name="Normal 4 2 3 96 2 5" xfId="28929"/>
    <cellStyle name="Normal 4 2 3 96 3" xfId="6554"/>
    <cellStyle name="Normal 4 2 3 96 3 2" xfId="13324"/>
    <cellStyle name="Normal 4 2 3 96 3 3" xfId="26014"/>
    <cellStyle name="Normal 4 2 3 96 3 4" xfId="19213"/>
    <cellStyle name="Normal 4 2 3 96 3 5" xfId="27919"/>
    <cellStyle name="Normal 4 2 3 96 4" xfId="9013"/>
    <cellStyle name="Normal 4 2 3 96 5" xfId="21736"/>
    <cellStyle name="Normal 4 2 3 96 6" xfId="14930"/>
    <cellStyle name="Normal 4 2 3 96 7" xfId="29651"/>
    <cellStyle name="Normal 4 2 3 97" xfId="2265"/>
    <cellStyle name="Normal 4 2 3 97 2" xfId="4687"/>
    <cellStyle name="Normal 4 2 3 97 2 2" xfId="11457"/>
    <cellStyle name="Normal 4 2 3 97 2 3" xfId="24147"/>
    <cellStyle name="Normal 4 2 3 97 2 4" xfId="18081"/>
    <cellStyle name="Normal 4 2 3 97 2 5" xfId="26757"/>
    <cellStyle name="Normal 4 2 3 97 3" xfId="6573"/>
    <cellStyle name="Normal 4 2 3 97 3 2" xfId="13343"/>
    <cellStyle name="Normal 4 2 3 97 3 3" xfId="26033"/>
    <cellStyle name="Normal 4 2 3 97 3 4" xfId="17178"/>
    <cellStyle name="Normal 4 2 3 97 3 5" xfId="26975"/>
    <cellStyle name="Normal 4 2 3 97 4" xfId="9035"/>
    <cellStyle name="Normal 4 2 3 97 5" xfId="21755"/>
    <cellStyle name="Normal 4 2 3 97 6" xfId="19094"/>
    <cellStyle name="Normal 4 2 3 97 7" xfId="31466"/>
    <cellStyle name="Normal 4 2 3 98" xfId="2287"/>
    <cellStyle name="Normal 4 2 3 98 2" xfId="4708"/>
    <cellStyle name="Normal 4 2 3 98 2 2" xfId="11478"/>
    <cellStyle name="Normal 4 2 3 98 2 3" xfId="24168"/>
    <cellStyle name="Normal 4 2 3 98 2 4" xfId="17937"/>
    <cellStyle name="Normal 4 2 3 98 2 5" xfId="30858"/>
    <cellStyle name="Normal 4 2 3 98 3" xfId="6592"/>
    <cellStyle name="Normal 4 2 3 98 3 2" xfId="13362"/>
    <cellStyle name="Normal 4 2 3 98 3 3" xfId="26052"/>
    <cellStyle name="Normal 4 2 3 98 3 4" xfId="13702"/>
    <cellStyle name="Normal 4 2 3 98 3 5" xfId="26694"/>
    <cellStyle name="Normal 4 2 3 98 4" xfId="9057"/>
    <cellStyle name="Normal 4 2 3 98 5" xfId="21774"/>
    <cellStyle name="Normal 4 2 3 98 6" xfId="16999"/>
    <cellStyle name="Normal 4 2 3 98 7" xfId="32332"/>
    <cellStyle name="Normal 4 2 3 99" xfId="2309"/>
    <cellStyle name="Normal 4 2 3 99 2" xfId="4730"/>
    <cellStyle name="Normal 4 2 3 99 2 2" xfId="11500"/>
    <cellStyle name="Normal 4 2 3 99 2 3" xfId="24190"/>
    <cellStyle name="Normal 4 2 3 99 2 4" xfId="15424"/>
    <cellStyle name="Normal 4 2 3 99 2 5" xfId="31802"/>
    <cellStyle name="Normal 4 2 3 99 3" xfId="6611"/>
    <cellStyle name="Normal 4 2 3 99 3 2" xfId="13381"/>
    <cellStyle name="Normal 4 2 3 99 3 3" xfId="26071"/>
    <cellStyle name="Normal 4 2 3 99 3 4" xfId="18881"/>
    <cellStyle name="Normal 4 2 3 99 3 5" xfId="31771"/>
    <cellStyle name="Normal 4 2 3 99 4" xfId="9079"/>
    <cellStyle name="Normal 4 2 3 99 5" xfId="21793"/>
    <cellStyle name="Normal 4 2 3 99 6" xfId="14488"/>
    <cellStyle name="Normal 4 2 3 99 7" xfId="30229"/>
    <cellStyle name="Normal 4 2 30" xfId="672"/>
    <cellStyle name="Normal 4 2 30 2" xfId="3144"/>
    <cellStyle name="Normal 4 2 30 2 2" xfId="9914"/>
    <cellStyle name="Normal 4 2 30 2 3" xfId="22604"/>
    <cellStyle name="Normal 4 2 30 2 4" xfId="19349"/>
    <cellStyle name="Normal 4 2 30 2 5" xfId="27059"/>
    <cellStyle name="Normal 4 2 30 3" xfId="5191"/>
    <cellStyle name="Normal 4 2 30 3 2" xfId="11961"/>
    <cellStyle name="Normal 4 2 30 3 3" xfId="24651"/>
    <cellStyle name="Normal 4 2 30 3 4" xfId="16898"/>
    <cellStyle name="Normal 4 2 30 3 5" xfId="28522"/>
    <cellStyle name="Normal 4 2 30 4" xfId="7442"/>
    <cellStyle name="Normal 4 2 30 5" xfId="20373"/>
    <cellStyle name="Normal 4 2 30 6" xfId="15084"/>
    <cellStyle name="Normal 4 2 30 7" xfId="30684"/>
    <cellStyle name="Normal 4 2 31" xfId="693"/>
    <cellStyle name="Normal 4 2 31 2" xfId="3165"/>
    <cellStyle name="Normal 4 2 31 2 2" xfId="9935"/>
    <cellStyle name="Normal 4 2 31 2 3" xfId="22625"/>
    <cellStyle name="Normal 4 2 31 2 4" xfId="19212"/>
    <cellStyle name="Normal 4 2 31 2 5" xfId="30475"/>
    <cellStyle name="Normal 4 2 31 3" xfId="5210"/>
    <cellStyle name="Normal 4 2 31 3 2" xfId="11980"/>
    <cellStyle name="Normal 4 2 31 3 3" xfId="24670"/>
    <cellStyle name="Normal 4 2 31 3 4" xfId="14392"/>
    <cellStyle name="Normal 4 2 31 3 5" xfId="30292"/>
    <cellStyle name="Normal 4 2 31 4" xfId="7463"/>
    <cellStyle name="Normal 4 2 31 5" xfId="20392"/>
    <cellStyle name="Normal 4 2 31 6" xfId="17314"/>
    <cellStyle name="Normal 4 2 31 7" xfId="26510"/>
    <cellStyle name="Normal 4 2 32" xfId="717"/>
    <cellStyle name="Normal 4 2 32 2" xfId="3189"/>
    <cellStyle name="Normal 4 2 32 2 2" xfId="9959"/>
    <cellStyle name="Normal 4 2 32 2 3" xfId="22649"/>
    <cellStyle name="Normal 4 2 32 2 4" xfId="19077"/>
    <cellStyle name="Normal 4 2 32 2 5" xfId="31135"/>
    <cellStyle name="Normal 4 2 32 3" xfId="5230"/>
    <cellStyle name="Normal 4 2 32 3 2" xfId="12000"/>
    <cellStyle name="Normal 4 2 32 3 3" xfId="24690"/>
    <cellStyle name="Normal 4 2 32 3 4" xfId="16638"/>
    <cellStyle name="Normal 4 2 32 3 5" xfId="30535"/>
    <cellStyle name="Normal 4 2 32 4" xfId="7487"/>
    <cellStyle name="Normal 4 2 32 5" xfId="20412"/>
    <cellStyle name="Normal 4 2 32 6" xfId="17138"/>
    <cellStyle name="Normal 4 2 32 7" xfId="26473"/>
    <cellStyle name="Normal 4 2 33" xfId="739"/>
    <cellStyle name="Normal 4 2 33 2" xfId="3210"/>
    <cellStyle name="Normal 4 2 33 2 2" xfId="9980"/>
    <cellStyle name="Normal 4 2 33 2 3" xfId="22670"/>
    <cellStyle name="Normal 4 2 33 2 4" xfId="18959"/>
    <cellStyle name="Normal 4 2 33 2 5" xfId="26954"/>
    <cellStyle name="Normal 4 2 33 3" xfId="5249"/>
    <cellStyle name="Normal 4 2 33 3 2" xfId="12019"/>
    <cellStyle name="Normal 4 2 33 3 3" xfId="24709"/>
    <cellStyle name="Normal 4 2 33 3 4" xfId="13831"/>
    <cellStyle name="Normal 4 2 33 3 5" xfId="28161"/>
    <cellStyle name="Normal 4 2 33 4" xfId="7509"/>
    <cellStyle name="Normal 4 2 33 5" xfId="20431"/>
    <cellStyle name="Normal 4 2 33 6" xfId="16984"/>
    <cellStyle name="Normal 4 2 33 7" xfId="27594"/>
    <cellStyle name="Normal 4 2 34" xfId="763"/>
    <cellStyle name="Normal 4 2 34 2" xfId="3234"/>
    <cellStyle name="Normal 4 2 34 2 2" xfId="10004"/>
    <cellStyle name="Normal 4 2 34 2 3" xfId="22694"/>
    <cellStyle name="Normal 4 2 34 2 4" xfId="18804"/>
    <cellStyle name="Normal 4 2 34 2 5" xfId="26920"/>
    <cellStyle name="Normal 4 2 34 3" xfId="5270"/>
    <cellStyle name="Normal 4 2 34 3 2" xfId="12040"/>
    <cellStyle name="Normal 4 2 34 3 3" xfId="24730"/>
    <cellStyle name="Normal 4 2 34 3 4" xfId="13991"/>
    <cellStyle name="Normal 4 2 34 3 5" xfId="27384"/>
    <cellStyle name="Normal 4 2 34 4" xfId="7533"/>
    <cellStyle name="Normal 4 2 34 5" xfId="20452"/>
    <cellStyle name="Normal 4 2 34 6" xfId="14389"/>
    <cellStyle name="Normal 4 2 34 7" xfId="27434"/>
    <cellStyle name="Normal 4 2 35" xfId="788"/>
    <cellStyle name="Normal 4 2 35 2" xfId="3257"/>
    <cellStyle name="Normal 4 2 35 2 2" xfId="10027"/>
    <cellStyle name="Normal 4 2 35 2 3" xfId="22717"/>
    <cellStyle name="Normal 4 2 35 2 4" xfId="14323"/>
    <cellStyle name="Normal 4 2 35 2 5" xfId="29904"/>
    <cellStyle name="Normal 4 2 35 3" xfId="5291"/>
    <cellStyle name="Normal 4 2 35 3 2" xfId="12061"/>
    <cellStyle name="Normal 4 2 35 3 3" xfId="24751"/>
    <cellStyle name="Normal 4 2 35 3 4" xfId="13860"/>
    <cellStyle name="Normal 4 2 35 3 5" xfId="28198"/>
    <cellStyle name="Normal 4 2 35 4" xfId="7558"/>
    <cellStyle name="Normal 4 2 35 5" xfId="20473"/>
    <cellStyle name="Normal 4 2 35 6" xfId="16597"/>
    <cellStyle name="Normal 4 2 35 7" xfId="30350"/>
    <cellStyle name="Normal 4 2 36" xfId="811"/>
    <cellStyle name="Normal 4 2 36 2" xfId="3279"/>
    <cellStyle name="Normal 4 2 36 2 2" xfId="10049"/>
    <cellStyle name="Normal 4 2 36 2 3" xfId="22739"/>
    <cellStyle name="Normal 4 2 36 2 4" xfId="18549"/>
    <cellStyle name="Normal 4 2 36 2 5" xfId="30987"/>
    <cellStyle name="Normal 4 2 36 3" xfId="5311"/>
    <cellStyle name="Normal 4 2 36 3 2" xfId="12081"/>
    <cellStyle name="Normal 4 2 36 3 3" xfId="24771"/>
    <cellStyle name="Normal 4 2 36 3 4" xfId="15924"/>
    <cellStyle name="Normal 4 2 36 3 5" xfId="20044"/>
    <cellStyle name="Normal 4 2 36 4" xfId="7581"/>
    <cellStyle name="Normal 4 2 36 5" xfId="20493"/>
    <cellStyle name="Normal 4 2 36 6" xfId="19857"/>
    <cellStyle name="Normal 4 2 36 7" xfId="28516"/>
    <cellStyle name="Normal 4 2 37" xfId="834"/>
    <cellStyle name="Normal 4 2 37 2" xfId="3301"/>
    <cellStyle name="Normal 4 2 37 2 2" xfId="10071"/>
    <cellStyle name="Normal 4 2 37 2 3" xfId="22761"/>
    <cellStyle name="Normal 4 2 37 2 4" xfId="16387"/>
    <cellStyle name="Normal 4 2 37 2 5" xfId="31916"/>
    <cellStyle name="Normal 4 2 37 3" xfId="5331"/>
    <cellStyle name="Normal 4 2 37 3 2" xfId="12101"/>
    <cellStyle name="Normal 4 2 37 3 3" xfId="24791"/>
    <cellStyle name="Normal 4 2 37 3 4" xfId="19927"/>
    <cellStyle name="Normal 4 2 37 3 5" xfId="14089"/>
    <cellStyle name="Normal 4 2 37 4" xfId="7604"/>
    <cellStyle name="Normal 4 2 37 5" xfId="20513"/>
    <cellStyle name="Normal 4 2 37 6" xfId="15480"/>
    <cellStyle name="Normal 4 2 37 7" xfId="30579"/>
    <cellStyle name="Normal 4 2 38" xfId="857"/>
    <cellStyle name="Normal 4 2 38 2" xfId="3323"/>
    <cellStyle name="Normal 4 2 38 2 2" xfId="10093"/>
    <cellStyle name="Normal 4 2 38 2 3" xfId="22783"/>
    <cellStyle name="Normal 4 2 38 2 4" xfId="13876"/>
    <cellStyle name="Normal 4 2 38 2 5" xfId="29808"/>
    <cellStyle name="Normal 4 2 38 3" xfId="5351"/>
    <cellStyle name="Normal 4 2 38 3 2" xfId="12121"/>
    <cellStyle name="Normal 4 2 38 3 3" xfId="24811"/>
    <cellStyle name="Normal 4 2 38 3 4" xfId="18007"/>
    <cellStyle name="Normal 4 2 38 3 5" xfId="16656"/>
    <cellStyle name="Normal 4 2 38 4" xfId="7627"/>
    <cellStyle name="Normal 4 2 38 5" xfId="20533"/>
    <cellStyle name="Normal 4 2 38 6" xfId="17720"/>
    <cellStyle name="Normal 4 2 38 7" xfId="27664"/>
    <cellStyle name="Normal 4 2 39" xfId="880"/>
    <cellStyle name="Normal 4 2 39 2" xfId="3345"/>
    <cellStyle name="Normal 4 2 39 2 2" xfId="10115"/>
    <cellStyle name="Normal 4 2 39 2 3" xfId="22805"/>
    <cellStyle name="Normal 4 2 39 2 4" xfId="20049"/>
    <cellStyle name="Normal 4 2 39 2 5" xfId="30879"/>
    <cellStyle name="Normal 4 2 39 3" xfId="5371"/>
    <cellStyle name="Normal 4 2 39 3 2" xfId="12141"/>
    <cellStyle name="Normal 4 2 39 3 3" xfId="24831"/>
    <cellStyle name="Normal 4 2 39 3 4" xfId="19721"/>
    <cellStyle name="Normal 4 2 39 3 5" xfId="17328"/>
    <cellStyle name="Normal 4 2 39 4" xfId="7650"/>
    <cellStyle name="Normal 4 2 39 5" xfId="20553"/>
    <cellStyle name="Normal 4 2 39 6" xfId="19465"/>
    <cellStyle name="Normal 4 2 39 7" xfId="30544"/>
    <cellStyle name="Normal 4 2 4" xfId="58"/>
    <cellStyle name="Normal 4 2 4 2" xfId="2543"/>
    <cellStyle name="Normal 4 2 4 2 2" xfId="9313"/>
    <cellStyle name="Normal 4 2 4 2 3" xfId="22003"/>
    <cellStyle name="Normal 4 2 4 2 4" xfId="14289"/>
    <cellStyle name="Normal 4 2 4 2 5" xfId="29915"/>
    <cellStyle name="Normal 4 2 4 3" xfId="3771"/>
    <cellStyle name="Normal 4 2 4 3 2" xfId="10541"/>
    <cellStyle name="Normal 4 2 4 3 3" xfId="23231"/>
    <cellStyle name="Normal 4 2 4 3 4" xfId="19455"/>
    <cellStyle name="Normal 4 2 4 3 5" xfId="30545"/>
    <cellStyle name="Normal 4 2 4 4" xfId="6828"/>
    <cellStyle name="Normal 4 2 4 5" xfId="14844"/>
    <cellStyle name="Normal 4 2 4 6" xfId="17606"/>
    <cellStyle name="Normal 4 2 4 7" xfId="31795"/>
    <cellStyle name="Normal 4 2 40" xfId="903"/>
    <cellStyle name="Normal 4 2 40 2" xfId="3367"/>
    <cellStyle name="Normal 4 2 40 2 2" xfId="10137"/>
    <cellStyle name="Normal 4 2 40 2 3" xfId="22827"/>
    <cellStyle name="Normal 4 2 40 2 4" xfId="18085"/>
    <cellStyle name="Normal 4 2 40 2 5" xfId="31824"/>
    <cellStyle name="Normal 4 2 40 3" xfId="5391"/>
    <cellStyle name="Normal 4 2 40 3 2" xfId="12161"/>
    <cellStyle name="Normal 4 2 40 3 3" xfId="24851"/>
    <cellStyle name="Normal 4 2 40 3 4" xfId="15361"/>
    <cellStyle name="Normal 4 2 40 3 5" xfId="20066"/>
    <cellStyle name="Normal 4 2 40 4" xfId="7673"/>
    <cellStyle name="Normal 4 2 40 5" xfId="20573"/>
    <cellStyle name="Normal 4 2 40 6" xfId="13678"/>
    <cellStyle name="Normal 4 2 40 7" xfId="27340"/>
    <cellStyle name="Normal 4 2 41" xfId="926"/>
    <cellStyle name="Normal 4 2 41 2" xfId="3390"/>
    <cellStyle name="Normal 4 2 41 2 2" xfId="10160"/>
    <cellStyle name="Normal 4 2 41 2 3" xfId="22850"/>
    <cellStyle name="Normal 4 2 41 2 4" xfId="19783"/>
    <cellStyle name="Normal 4 2 41 2 5" xfId="26672"/>
    <cellStyle name="Normal 4 2 41 3" xfId="5411"/>
    <cellStyle name="Normal 4 2 41 3 2" xfId="12181"/>
    <cellStyle name="Normal 4 2 41 3 3" xfId="24871"/>
    <cellStyle name="Normal 4 2 41 3 4" xfId="17617"/>
    <cellStyle name="Normal 4 2 41 3 5" xfId="16361"/>
    <cellStyle name="Normal 4 2 41 4" xfId="7696"/>
    <cellStyle name="Normal 4 2 41 5" xfId="20593"/>
    <cellStyle name="Normal 4 2 41 6" xfId="17264"/>
    <cellStyle name="Normal 4 2 41 7" xfId="30309"/>
    <cellStyle name="Normal 4 2 42" xfId="949"/>
    <cellStyle name="Normal 4 2 42 2" xfId="3413"/>
    <cellStyle name="Normal 4 2 42 2 2" xfId="10183"/>
    <cellStyle name="Normal 4 2 42 2 3" xfId="22873"/>
    <cellStyle name="Normal 4 2 42 2 4" xfId="15408"/>
    <cellStyle name="Normal 4 2 42 2 5" xfId="29669"/>
    <cellStyle name="Normal 4 2 42 3" xfId="5432"/>
    <cellStyle name="Normal 4 2 42 3 2" xfId="12202"/>
    <cellStyle name="Normal 4 2 42 3 3" xfId="24892"/>
    <cellStyle name="Normal 4 2 42 3 4" xfId="17475"/>
    <cellStyle name="Normal 4 2 42 3 5" xfId="16978"/>
    <cellStyle name="Normal 4 2 42 4" xfId="7719"/>
    <cellStyle name="Normal 4 2 42 5" xfId="20614"/>
    <cellStyle name="Normal 4 2 42 6" xfId="19056"/>
    <cellStyle name="Normal 4 2 42 7" xfId="27522"/>
    <cellStyle name="Normal 4 2 43" xfId="970"/>
    <cellStyle name="Normal 4 2 43 2" xfId="3434"/>
    <cellStyle name="Normal 4 2 43 2 2" xfId="10204"/>
    <cellStyle name="Normal 4 2 43 2 3" xfId="22894"/>
    <cellStyle name="Normal 4 2 43 2 4" xfId="15283"/>
    <cellStyle name="Normal 4 2 43 2 5" xfId="28746"/>
    <cellStyle name="Normal 4 2 43 3" xfId="5450"/>
    <cellStyle name="Normal 4 2 43 3 2" xfId="12220"/>
    <cellStyle name="Normal 4 2 43 3 3" xfId="24910"/>
    <cellStyle name="Normal 4 2 43 3 4" xfId="17360"/>
    <cellStyle name="Normal 4 2 43 3 5" xfId="15293"/>
    <cellStyle name="Normal 4 2 43 4" xfId="7740"/>
    <cellStyle name="Normal 4 2 43 5" xfId="20632"/>
    <cellStyle name="Normal 4 2 43 6" xfId="18008"/>
    <cellStyle name="Normal 4 2 43 7" xfId="32180"/>
    <cellStyle name="Normal 4 2 44" xfId="992"/>
    <cellStyle name="Normal 4 2 44 2" xfId="3456"/>
    <cellStyle name="Normal 4 2 44 2 2" xfId="10226"/>
    <cellStyle name="Normal 4 2 44 2 3" xfId="22916"/>
    <cellStyle name="Normal 4 2 44 2 4" xfId="19396"/>
    <cellStyle name="Normal 4 2 44 2 5" xfId="26562"/>
    <cellStyle name="Normal 4 2 44 3" xfId="5469"/>
    <cellStyle name="Normal 4 2 44 3 2" xfId="12239"/>
    <cellStyle name="Normal 4 2 44 3 3" xfId="24929"/>
    <cellStyle name="Normal 4 2 44 3 4" xfId="14851"/>
    <cellStyle name="Normal 4 2 44 3 5" xfId="19421"/>
    <cellStyle name="Normal 4 2 44 4" xfId="7762"/>
    <cellStyle name="Normal 4 2 44 5" xfId="20651"/>
    <cellStyle name="Normal 4 2 44 6" xfId="16826"/>
    <cellStyle name="Normal 4 2 44 7" xfId="30079"/>
    <cellStyle name="Normal 4 2 45" xfId="1017"/>
    <cellStyle name="Normal 4 2 45 2" xfId="3481"/>
    <cellStyle name="Normal 4 2 45 2 2" xfId="10251"/>
    <cellStyle name="Normal 4 2 45 2 3" xfId="22941"/>
    <cellStyle name="Normal 4 2 45 2 4" xfId="17344"/>
    <cellStyle name="Normal 4 2 45 2 5" xfId="31640"/>
    <cellStyle name="Normal 4 2 45 3" xfId="5490"/>
    <cellStyle name="Normal 4 2 45 3 2" xfId="12260"/>
    <cellStyle name="Normal 4 2 45 3 3" xfId="24950"/>
    <cellStyle name="Normal 4 2 45 3 4" xfId="14717"/>
    <cellStyle name="Normal 4 2 45 3 5" xfId="18648"/>
    <cellStyle name="Normal 4 2 45 4" xfId="7787"/>
    <cellStyle name="Normal 4 2 45 5" xfId="20672"/>
    <cellStyle name="Normal 4 2 45 6" xfId="14299"/>
    <cellStyle name="Normal 4 2 45 7" xfId="30057"/>
    <cellStyle name="Normal 4 2 46" xfId="1039"/>
    <cellStyle name="Normal 4 2 46 2" xfId="3502"/>
    <cellStyle name="Normal 4 2 46 2 2" xfId="10272"/>
    <cellStyle name="Normal 4 2 46 2 3" xfId="22962"/>
    <cellStyle name="Normal 4 2 46 2 4" xfId="17209"/>
    <cellStyle name="Normal 4 2 46 2 5" xfId="27650"/>
    <cellStyle name="Normal 4 2 46 3" xfId="5509"/>
    <cellStyle name="Normal 4 2 46 3 2" xfId="12279"/>
    <cellStyle name="Normal 4 2 46 3 3" xfId="24969"/>
    <cellStyle name="Normal 4 2 46 3 4" xfId="18922"/>
    <cellStyle name="Normal 4 2 46 3 5" xfId="13739"/>
    <cellStyle name="Normal 4 2 46 4" xfId="7809"/>
    <cellStyle name="Normal 4 2 46 5" xfId="20691"/>
    <cellStyle name="Normal 4 2 46 6" xfId="14132"/>
    <cellStyle name="Normal 4 2 46 7" xfId="31143"/>
    <cellStyle name="Normal 4 2 47" xfId="1061"/>
    <cellStyle name="Normal 4 2 47 2" xfId="3523"/>
    <cellStyle name="Normal 4 2 47 2 2" xfId="10293"/>
    <cellStyle name="Normal 4 2 47 2 3" xfId="22983"/>
    <cellStyle name="Normal 4 2 47 2 4" xfId="17057"/>
    <cellStyle name="Normal 4 2 47 2 5" xfId="31577"/>
    <cellStyle name="Normal 4 2 47 3" xfId="5528"/>
    <cellStyle name="Normal 4 2 47 3 2" xfId="12298"/>
    <cellStyle name="Normal 4 2 47 3 3" xfId="24988"/>
    <cellStyle name="Normal 4 2 47 3 4" xfId="16831"/>
    <cellStyle name="Normal 4 2 47 3 5" xfId="27443"/>
    <cellStyle name="Normal 4 2 47 4" xfId="7831"/>
    <cellStyle name="Normal 4 2 47 5" xfId="20710"/>
    <cellStyle name="Normal 4 2 47 6" xfId="18370"/>
    <cellStyle name="Normal 4 2 47 7" xfId="26962"/>
    <cellStyle name="Normal 4 2 48" xfId="1084"/>
    <cellStyle name="Normal 4 2 48 2" xfId="3546"/>
    <cellStyle name="Normal 4 2 48 2 2" xfId="10316"/>
    <cellStyle name="Normal 4 2 48 2 3" xfId="23006"/>
    <cellStyle name="Normal 4 2 48 2 4" xfId="18870"/>
    <cellStyle name="Normal 4 2 48 2 5" xfId="26275"/>
    <cellStyle name="Normal 4 2 48 3" xfId="5548"/>
    <cellStyle name="Normal 4 2 48 3 2" xfId="12318"/>
    <cellStyle name="Normal 4 2 48 3 3" xfId="25008"/>
    <cellStyle name="Normal 4 2 48 3 4" xfId="18689"/>
    <cellStyle name="Normal 4 2 48 3 5" xfId="27307"/>
    <cellStyle name="Normal 4 2 48 4" xfId="7854"/>
    <cellStyle name="Normal 4 2 48 5" xfId="20730"/>
    <cellStyle name="Normal 4 2 48 6" xfId="15543"/>
    <cellStyle name="Normal 4 2 48 7" xfId="29941"/>
    <cellStyle name="Normal 4 2 49" xfId="1107"/>
    <cellStyle name="Normal 4 2 49 2" xfId="3568"/>
    <cellStyle name="Normal 4 2 49 2 2" xfId="10338"/>
    <cellStyle name="Normal 4 2 49 2 3" xfId="23028"/>
    <cellStyle name="Normal 4 2 49 2 4" xfId="16771"/>
    <cellStyle name="Normal 4 2 49 2 5" xfId="28568"/>
    <cellStyle name="Normal 4 2 49 3" xfId="5568"/>
    <cellStyle name="Normal 4 2 49 3 2" xfId="12338"/>
    <cellStyle name="Normal 4 2 49 3 3" xfId="25028"/>
    <cellStyle name="Normal 4 2 49 3 4" xfId="14189"/>
    <cellStyle name="Normal 4 2 49 3 5" xfId="29357"/>
    <cellStyle name="Normal 4 2 49 4" xfId="7877"/>
    <cellStyle name="Normal 4 2 49 5" xfId="20750"/>
    <cellStyle name="Normal 4 2 49 6" xfId="17783"/>
    <cellStyle name="Normal 4 2 49 7" xfId="28062"/>
    <cellStyle name="Normal 4 2 5" xfId="99"/>
    <cellStyle name="Normal 4 2 5 2" xfId="2583"/>
    <cellStyle name="Normal 4 2 5 2 2" xfId="9353"/>
    <cellStyle name="Normal 4 2 5 2 3" xfId="22043"/>
    <cellStyle name="Normal 4 2 5 2 4" xfId="18402"/>
    <cellStyle name="Normal 4 2 5 2 5" xfId="30966"/>
    <cellStyle name="Normal 4 2 5 3" xfId="4676"/>
    <cellStyle name="Normal 4 2 5 3 2" xfId="11446"/>
    <cellStyle name="Normal 4 2 5 3 3" xfId="24136"/>
    <cellStyle name="Normal 4 2 5 3 4" xfId="15462"/>
    <cellStyle name="Normal 4 2 5 3 5" xfId="31881"/>
    <cellStyle name="Normal 4 2 5 4" xfId="6869"/>
    <cellStyle name="Normal 4 2 5 5" xfId="14006"/>
    <cellStyle name="Normal 4 2 5 6" xfId="19246"/>
    <cellStyle name="Normal 4 2 5 7" xfId="26609"/>
    <cellStyle name="Normal 4 2 50" xfId="1129"/>
    <cellStyle name="Normal 4 2 50 2" xfId="3590"/>
    <cellStyle name="Normal 4 2 50 2 2" xfId="10360"/>
    <cellStyle name="Normal 4 2 50 2 3" xfId="23050"/>
    <cellStyle name="Normal 4 2 50 2 4" xfId="14240"/>
    <cellStyle name="Normal 4 2 50 2 5" xfId="29437"/>
    <cellStyle name="Normal 4 2 50 3" xfId="5587"/>
    <cellStyle name="Normal 4 2 50 3 2" xfId="12357"/>
    <cellStyle name="Normal 4 2 50 3 3" xfId="25047"/>
    <cellStyle name="Normal 4 2 50 3 4" xfId="18455"/>
    <cellStyle name="Normal 4 2 50 3 5" xfId="31390"/>
    <cellStyle name="Normal 4 2 50 4" xfId="7899"/>
    <cellStyle name="Normal 4 2 50 5" xfId="20769"/>
    <cellStyle name="Normal 4 2 50 6" xfId="13698"/>
    <cellStyle name="Normal 4 2 50 7" xfId="31940"/>
    <cellStyle name="Normal 4 2 51" xfId="1152"/>
    <cellStyle name="Normal 4 2 51 2" xfId="3612"/>
    <cellStyle name="Normal 4 2 51 2 2" xfId="10382"/>
    <cellStyle name="Normal 4 2 51 2 3" xfId="23072"/>
    <cellStyle name="Normal 4 2 51 2 4" xfId="18480"/>
    <cellStyle name="Normal 4 2 51 2 5" xfId="26383"/>
    <cellStyle name="Normal 4 2 51 3" xfId="5608"/>
    <cellStyle name="Normal 4 2 51 3 2" xfId="12378"/>
    <cellStyle name="Normal 4 2 51 3 3" xfId="25068"/>
    <cellStyle name="Normal 4 2 51 3 4" xfId="18335"/>
    <cellStyle name="Normal 4 2 51 3 5" xfId="27224"/>
    <cellStyle name="Normal 4 2 51 4" xfId="7922"/>
    <cellStyle name="Normal 4 2 51 5" xfId="20790"/>
    <cellStyle name="Normal 4 2 51 6" xfId="17479"/>
    <cellStyle name="Normal 4 2 51 7" xfId="26803"/>
    <cellStyle name="Normal 4 2 52" xfId="1172"/>
    <cellStyle name="Normal 4 2 52 2" xfId="3632"/>
    <cellStyle name="Normal 4 2 52 2 2" xfId="10402"/>
    <cellStyle name="Normal 4 2 52 2 3" xfId="23092"/>
    <cellStyle name="Normal 4 2 52 2 4" xfId="13975"/>
    <cellStyle name="Normal 4 2 52 2 5" xfId="28593"/>
    <cellStyle name="Normal 4 2 52 3" xfId="5625"/>
    <cellStyle name="Normal 4 2 52 3 2" xfId="12395"/>
    <cellStyle name="Normal 4 2 52 3 3" xfId="25085"/>
    <cellStyle name="Normal 4 2 52 3 4" xfId="13749"/>
    <cellStyle name="Normal 4 2 52 3 5" xfId="30184"/>
    <cellStyle name="Normal 4 2 52 4" xfId="7942"/>
    <cellStyle name="Normal 4 2 52 5" xfId="20807"/>
    <cellStyle name="Normal 4 2 52 6" xfId="19269"/>
    <cellStyle name="Normal 4 2 52 7" xfId="29777"/>
    <cellStyle name="Normal 4 2 53" xfId="1187"/>
    <cellStyle name="Normal 4 2 53 2" xfId="3647"/>
    <cellStyle name="Normal 4 2 53 2 2" xfId="10417"/>
    <cellStyle name="Normal 4 2 53 2 3" xfId="23107"/>
    <cellStyle name="Normal 4 2 53 2 4" xfId="13865"/>
    <cellStyle name="Normal 4 2 53 2 5" xfId="26309"/>
    <cellStyle name="Normal 4 2 53 3" xfId="5638"/>
    <cellStyle name="Normal 4 2 53 3 2" xfId="12408"/>
    <cellStyle name="Normal 4 2 53 3 3" xfId="25098"/>
    <cellStyle name="Normal 4 2 53 3 4" xfId="20053"/>
    <cellStyle name="Normal 4 2 53 3 5" xfId="27176"/>
    <cellStyle name="Normal 4 2 53 4" xfId="7957"/>
    <cellStyle name="Normal 4 2 53 5" xfId="20820"/>
    <cellStyle name="Normal 4 2 53 6" xfId="19173"/>
    <cellStyle name="Normal 4 2 53 7" xfId="28862"/>
    <cellStyle name="Normal 4 2 54" xfId="1220"/>
    <cellStyle name="Normal 4 2 54 2" xfId="3680"/>
    <cellStyle name="Normal 4 2 54 2 2" xfId="10450"/>
    <cellStyle name="Normal 4 2 54 2 3" xfId="23140"/>
    <cellStyle name="Normal 4 2 54 2 4" xfId="15762"/>
    <cellStyle name="Normal 4 2 54 2 5" xfId="27423"/>
    <cellStyle name="Normal 4 2 54 3" xfId="5666"/>
    <cellStyle name="Normal 4 2 54 3 2" xfId="12436"/>
    <cellStyle name="Normal 4 2 54 3 3" xfId="25126"/>
    <cellStyle name="Normal 4 2 54 3 4" xfId="16139"/>
    <cellStyle name="Normal 4 2 54 3 5" xfId="27526"/>
    <cellStyle name="Normal 4 2 54 4" xfId="7990"/>
    <cellStyle name="Normal 4 2 54 5" xfId="20848"/>
    <cellStyle name="Normal 4 2 54 6" xfId="18974"/>
    <cellStyle name="Normal 4 2 54 7" xfId="29696"/>
    <cellStyle name="Normal 4 2 55" xfId="1243"/>
    <cellStyle name="Normal 4 2 55 2" xfId="3703"/>
    <cellStyle name="Normal 4 2 55 2 2" xfId="10473"/>
    <cellStyle name="Normal 4 2 55 2 3" xfId="23163"/>
    <cellStyle name="Normal 4 2 55 2 4" xfId="17991"/>
    <cellStyle name="Normal 4 2 55 2 5" xfId="32405"/>
    <cellStyle name="Normal 4 2 55 3" xfId="5686"/>
    <cellStyle name="Normal 4 2 55 3 2" xfId="12456"/>
    <cellStyle name="Normal 4 2 55 3 3" xfId="25146"/>
    <cellStyle name="Normal 4 2 55 3 4" xfId="15639"/>
    <cellStyle name="Normal 4 2 55 3 5" xfId="27106"/>
    <cellStyle name="Normal 4 2 55 4" xfId="8013"/>
    <cellStyle name="Normal 4 2 55 5" xfId="20868"/>
    <cellStyle name="Normal 4 2 55 6" xfId="14513"/>
    <cellStyle name="Normal 4 2 55 7" xfId="28765"/>
    <cellStyle name="Normal 4 2 56" xfId="1266"/>
    <cellStyle name="Normal 4 2 56 2" xfId="3725"/>
    <cellStyle name="Normal 4 2 56 2 2" xfId="10495"/>
    <cellStyle name="Normal 4 2 56 2 3" xfId="23185"/>
    <cellStyle name="Normal 4 2 56 2 4" xfId="15491"/>
    <cellStyle name="Normal 4 2 56 2 5" xfId="30303"/>
    <cellStyle name="Normal 4 2 56 3" xfId="5706"/>
    <cellStyle name="Normal 4 2 56 3 2" xfId="12476"/>
    <cellStyle name="Normal 4 2 56 3 3" xfId="25166"/>
    <cellStyle name="Normal 4 2 56 3 4" xfId="17819"/>
    <cellStyle name="Normal 4 2 56 3 5" xfId="29177"/>
    <cellStyle name="Normal 4 2 56 4" xfId="8036"/>
    <cellStyle name="Normal 4 2 56 5" xfId="20888"/>
    <cellStyle name="Normal 4 2 56 6" xfId="16735"/>
    <cellStyle name="Normal 4 2 56 7" xfId="31699"/>
    <cellStyle name="Normal 4 2 57" xfId="1289"/>
    <cellStyle name="Normal 4 2 57 2" xfId="3747"/>
    <cellStyle name="Normal 4 2 57 2 2" xfId="10517"/>
    <cellStyle name="Normal 4 2 57 2 3" xfId="23207"/>
    <cellStyle name="Normal 4 2 57 2 4" xfId="19595"/>
    <cellStyle name="Normal 4 2 57 2 5" xfId="30479"/>
    <cellStyle name="Normal 4 2 57 3" xfId="5726"/>
    <cellStyle name="Normal 4 2 57 3 2" xfId="12496"/>
    <cellStyle name="Normal 4 2 57 3 3" xfId="25186"/>
    <cellStyle name="Normal 4 2 57 3 4" xfId="19578"/>
    <cellStyle name="Normal 4 2 57 3 5" xfId="28217"/>
    <cellStyle name="Normal 4 2 57 4" xfId="8059"/>
    <cellStyle name="Normal 4 2 57 5" xfId="20908"/>
    <cellStyle name="Normal 4 2 57 6" xfId="18565"/>
    <cellStyle name="Normal 4 2 57 7" xfId="27297"/>
    <cellStyle name="Normal 4 2 58" xfId="1312"/>
    <cellStyle name="Normal 4 2 58 2" xfId="3770"/>
    <cellStyle name="Normal 4 2 58 2 2" xfId="10540"/>
    <cellStyle name="Normal 4 2 58 2 3" xfId="23230"/>
    <cellStyle name="Normal 4 2 58 2 4" xfId="15197"/>
    <cellStyle name="Normal 4 2 58 2 5" xfId="28583"/>
    <cellStyle name="Normal 4 2 58 3" xfId="5746"/>
    <cellStyle name="Normal 4 2 58 3 2" xfId="12516"/>
    <cellStyle name="Normal 4 2 58 3 3" xfId="25206"/>
    <cellStyle name="Normal 4 2 58 3 4" xfId="15200"/>
    <cellStyle name="Normal 4 2 58 3 5" xfId="27017"/>
    <cellStyle name="Normal 4 2 58 4" xfId="8082"/>
    <cellStyle name="Normal 4 2 58 5" xfId="20928"/>
    <cellStyle name="Normal 4 2 58 6" xfId="15593"/>
    <cellStyle name="Normal 4 2 58 7" xfId="30241"/>
    <cellStyle name="Normal 4 2 59" xfId="1335"/>
    <cellStyle name="Normal 4 2 59 2" xfId="3793"/>
    <cellStyle name="Normal 4 2 59 2 2" xfId="10563"/>
    <cellStyle name="Normal 4 2 59 2 3" xfId="23253"/>
    <cellStyle name="Normal 4 2 59 2 4" xfId="17429"/>
    <cellStyle name="Normal 4 2 59 2 5" xfId="30582"/>
    <cellStyle name="Normal 4 2 59 3" xfId="5766"/>
    <cellStyle name="Normal 4 2 59 3 2" xfId="12536"/>
    <cellStyle name="Normal 4 2 59 3 3" xfId="25226"/>
    <cellStyle name="Normal 4 2 59 3 4" xfId="17486"/>
    <cellStyle name="Normal 4 2 59 3 5" xfId="29095"/>
    <cellStyle name="Normal 4 2 59 4" xfId="8105"/>
    <cellStyle name="Normal 4 2 59 5" xfId="20948"/>
    <cellStyle name="Normal 4 2 59 6" xfId="17843"/>
    <cellStyle name="Normal 4 2 59 7" xfId="28397"/>
    <cellStyle name="Normal 4 2 6" xfId="123"/>
    <cellStyle name="Normal 4 2 6 2" xfId="2607"/>
    <cellStyle name="Normal 4 2 6 2 2" xfId="9377"/>
    <cellStyle name="Normal 4 2 6 2 3" xfId="22067"/>
    <cellStyle name="Normal 4 2 6 2 4" xfId="18133"/>
    <cellStyle name="Normal 4 2 6 2 5" xfId="30932"/>
    <cellStyle name="Normal 4 2 6 3" xfId="4197"/>
    <cellStyle name="Normal 4 2 6 3 2" xfId="10967"/>
    <cellStyle name="Normal 4 2 6 3 3" xfId="23657"/>
    <cellStyle name="Normal 4 2 6 3 4" xfId="18850"/>
    <cellStyle name="Normal 4 2 6 3 5" xfId="28474"/>
    <cellStyle name="Normal 4 2 6 4" xfId="6893"/>
    <cellStyle name="Normal 4 2 6 5" xfId="15255"/>
    <cellStyle name="Normal 4 2 6 6" xfId="19110"/>
    <cellStyle name="Normal 4 2 6 7" xfId="26575"/>
    <cellStyle name="Normal 4 2 60" xfId="1358"/>
    <cellStyle name="Normal 4 2 60 2" xfId="3815"/>
    <cellStyle name="Normal 4 2 60 2 2" xfId="10585"/>
    <cellStyle name="Normal 4 2 60 2 3" xfId="23275"/>
    <cellStyle name="Normal 4 2 60 2 4" xfId="14899"/>
    <cellStyle name="Normal 4 2 60 2 5" xfId="30365"/>
    <cellStyle name="Normal 4 2 60 3" xfId="5786"/>
    <cellStyle name="Normal 4 2 60 3 2" xfId="12556"/>
    <cellStyle name="Normal 4 2 60 3 3" xfId="25246"/>
    <cellStyle name="Normal 4 2 60 3 4" xfId="19223"/>
    <cellStyle name="Normal 4 2 60 3 5" xfId="28124"/>
    <cellStyle name="Normal 4 2 60 4" xfId="8128"/>
    <cellStyle name="Normal 4 2 60 5" xfId="20968"/>
    <cellStyle name="Normal 4 2 60 6" xfId="15909"/>
    <cellStyle name="Normal 4 2 60 7" xfId="31343"/>
    <cellStyle name="Normal 4 2 61" xfId="1381"/>
    <cellStyle name="Normal 4 2 61 2" xfId="3837"/>
    <cellStyle name="Normal 4 2 61 2 2" xfId="10607"/>
    <cellStyle name="Normal 4 2 61 2 3" xfId="23297"/>
    <cellStyle name="Normal 4 2 61 2 4" xfId="19066"/>
    <cellStyle name="Normal 4 2 61 2 5" xfId="31512"/>
    <cellStyle name="Normal 4 2 61 3" xfId="5806"/>
    <cellStyle name="Normal 4 2 61 3 2" xfId="12576"/>
    <cellStyle name="Normal 4 2 61 3 3" xfId="25266"/>
    <cellStyle name="Normal 4 2 61 3 4" xfId="13624"/>
    <cellStyle name="Normal 4 2 61 3 5" xfId="26916"/>
    <cellStyle name="Normal 4 2 61 4" xfId="8151"/>
    <cellStyle name="Normal 4 2 61 5" xfId="20988"/>
    <cellStyle name="Normal 4 2 61 6" xfId="15157"/>
    <cellStyle name="Normal 4 2 61 7" xfId="29259"/>
    <cellStyle name="Normal 4 2 62" xfId="1404"/>
    <cellStyle name="Normal 4 2 62 2" xfId="3860"/>
    <cellStyle name="Normal 4 2 62 2 2" xfId="10630"/>
    <cellStyle name="Normal 4 2 62 2 3" xfId="23320"/>
    <cellStyle name="Normal 4 2 62 2 4" xfId="14613"/>
    <cellStyle name="Normal 4 2 62 2 5" xfId="29405"/>
    <cellStyle name="Normal 4 2 62 3" xfId="5826"/>
    <cellStyle name="Normal 4 2 62 3 2" xfId="12596"/>
    <cellStyle name="Normal 4 2 62 3 3" xfId="25286"/>
    <cellStyle name="Normal 4 2 62 3 4" xfId="17026"/>
    <cellStyle name="Normal 4 2 62 3 5" xfId="29008"/>
    <cellStyle name="Normal 4 2 62 4" xfId="8174"/>
    <cellStyle name="Normal 4 2 62 5" xfId="21008"/>
    <cellStyle name="Normal 4 2 62 6" xfId="17392"/>
    <cellStyle name="Normal 4 2 62 7" xfId="32187"/>
    <cellStyle name="Normal 4 2 63" xfId="1427"/>
    <cellStyle name="Normal 4 2 63 2" xfId="3881"/>
    <cellStyle name="Normal 4 2 63 2 2" xfId="10651"/>
    <cellStyle name="Normal 4 2 63 2 3" xfId="23341"/>
    <cellStyle name="Normal 4 2 63 2 4" xfId="14459"/>
    <cellStyle name="Normal 4 2 63 2 5" xfId="29580"/>
    <cellStyle name="Normal 4 2 63 3" xfId="5846"/>
    <cellStyle name="Normal 4 2 63 3 2" xfId="12616"/>
    <cellStyle name="Normal 4 2 63 3 3" xfId="25306"/>
    <cellStyle name="Normal 4 2 63 3 4" xfId="18872"/>
    <cellStyle name="Normal 4 2 63 3 5" xfId="28025"/>
    <cellStyle name="Normal 4 2 63 4" xfId="8197"/>
    <cellStyle name="Normal 4 2 63 5" xfId="21028"/>
    <cellStyle name="Normal 4 2 63 6" xfId="19169"/>
    <cellStyle name="Normal 4 2 63 7" xfId="27095"/>
    <cellStyle name="Normal 4 2 64" xfId="1450"/>
    <cellStyle name="Normal 4 2 64 2" xfId="3904"/>
    <cellStyle name="Normal 4 2 64 2 2" xfId="10674"/>
    <cellStyle name="Normal 4 2 64 2 3" xfId="23364"/>
    <cellStyle name="Normal 4 2 64 2 4" xfId="16685"/>
    <cellStyle name="Normal 4 2 64 2 5" xfId="27658"/>
    <cellStyle name="Normal 4 2 64 3" xfId="5866"/>
    <cellStyle name="Normal 4 2 64 3 2" xfId="12636"/>
    <cellStyle name="Normal 4 2 64 3 3" xfId="25326"/>
    <cellStyle name="Normal 4 2 64 3 4" xfId="14399"/>
    <cellStyle name="Normal 4 2 64 3 5" xfId="26818"/>
    <cellStyle name="Normal 4 2 64 4" xfId="8220"/>
    <cellStyle name="Normal 4 2 64 5" xfId="21048"/>
    <cellStyle name="Normal 4 2 64 6" xfId="14705"/>
    <cellStyle name="Normal 4 2 64 7" xfId="30056"/>
    <cellStyle name="Normal 4 2 65" xfId="1473"/>
    <cellStyle name="Normal 4 2 65 2" xfId="3927"/>
    <cellStyle name="Normal 4 2 65 2 2" xfId="10697"/>
    <cellStyle name="Normal 4 2 65 2 3" xfId="23387"/>
    <cellStyle name="Normal 4 2 65 2 4" xfId="18537"/>
    <cellStyle name="Normal 4 2 65 2 5" xfId="28597"/>
    <cellStyle name="Normal 4 2 65 3" xfId="5886"/>
    <cellStyle name="Normal 4 2 65 3 2" xfId="12656"/>
    <cellStyle name="Normal 4 2 65 3 3" xfId="25346"/>
    <cellStyle name="Normal 4 2 65 3 4" xfId="16645"/>
    <cellStyle name="Normal 4 2 65 3 5" xfId="28926"/>
    <cellStyle name="Normal 4 2 65 4" xfId="8243"/>
    <cellStyle name="Normal 4 2 65 5" xfId="21068"/>
    <cellStyle name="Normal 4 2 65 6" xfId="16929"/>
    <cellStyle name="Normal 4 2 65 7" xfId="28194"/>
    <cellStyle name="Normal 4 2 66" xfId="1496"/>
    <cellStyle name="Normal 4 2 66 2" xfId="3950"/>
    <cellStyle name="Normal 4 2 66 2 2" xfId="10720"/>
    <cellStyle name="Normal 4 2 66 2 3" xfId="23410"/>
    <cellStyle name="Normal 4 2 66 2 4" xfId="13621"/>
    <cellStyle name="Normal 4 2 66 2 5" xfId="32318"/>
    <cellStyle name="Normal 4 2 66 3" xfId="5906"/>
    <cellStyle name="Normal 4 2 66 3 2" xfId="12676"/>
    <cellStyle name="Normal 4 2 66 3 3" xfId="25366"/>
    <cellStyle name="Normal 4 2 66 3 4" xfId="17001"/>
    <cellStyle name="Normal 4 2 66 3 5" xfId="27926"/>
    <cellStyle name="Normal 4 2 66 4" xfId="8266"/>
    <cellStyle name="Normal 4 2 66 5" xfId="21088"/>
    <cellStyle name="Normal 4 2 66 6" xfId="18759"/>
    <cellStyle name="Normal 4 2 66 7" xfId="31130"/>
    <cellStyle name="Normal 4 2 67" xfId="1519"/>
    <cellStyle name="Normal 4 2 67 2" xfId="3972"/>
    <cellStyle name="Normal 4 2 67 2 2" xfId="10742"/>
    <cellStyle name="Normal 4 2 67 2 3" xfId="23432"/>
    <cellStyle name="Normal 4 2 67 2 4" xfId="18010"/>
    <cellStyle name="Normal 4 2 67 2 5" xfId="30213"/>
    <cellStyle name="Normal 4 2 67 3" xfId="5926"/>
    <cellStyle name="Normal 4 2 67 3 2" xfId="12696"/>
    <cellStyle name="Normal 4 2 67 3 3" xfId="25386"/>
    <cellStyle name="Normal 4 2 67 3 4" xfId="13998"/>
    <cellStyle name="Normal 4 2 67 3 5" xfId="26323"/>
    <cellStyle name="Normal 4 2 67 4" xfId="8289"/>
    <cellStyle name="Normal 4 2 67 5" xfId="21108"/>
    <cellStyle name="Normal 4 2 67 6" xfId="14244"/>
    <cellStyle name="Normal 4 2 67 7" xfId="29064"/>
    <cellStyle name="Normal 4 2 68" xfId="1542"/>
    <cellStyle name="Normal 4 2 68 2" xfId="3994"/>
    <cellStyle name="Normal 4 2 68 2 2" xfId="10764"/>
    <cellStyle name="Normal 4 2 68 2 3" xfId="23454"/>
    <cellStyle name="Normal 4 2 68 2 4" xfId="18210"/>
    <cellStyle name="Normal 4 2 68 2 5" xfId="31341"/>
    <cellStyle name="Normal 4 2 68 3" xfId="5946"/>
    <cellStyle name="Normal 4 2 68 3 2" xfId="12716"/>
    <cellStyle name="Normal 4 2 68 3 3" xfId="25406"/>
    <cellStyle name="Normal 4 2 68 3 4" xfId="16241"/>
    <cellStyle name="Normal 4 2 68 3 5" xfId="28834"/>
    <cellStyle name="Normal 4 2 68 4" xfId="8312"/>
    <cellStyle name="Normal 4 2 68 5" xfId="21128"/>
    <cellStyle name="Normal 4 2 68 6" xfId="16466"/>
    <cellStyle name="Normal 4 2 68 7" xfId="31993"/>
    <cellStyle name="Normal 4 2 69" xfId="1565"/>
    <cellStyle name="Normal 4 2 69 2" xfId="4016"/>
    <cellStyle name="Normal 4 2 69 2 2" xfId="10786"/>
    <cellStyle name="Normal 4 2 69 2 3" xfId="23476"/>
    <cellStyle name="Normal 4 2 69 2 4" xfId="15695"/>
    <cellStyle name="Normal 4 2 69 2 5" xfId="32232"/>
    <cellStyle name="Normal 4 2 69 3" xfId="5966"/>
    <cellStyle name="Normal 4 2 69 3 2" xfId="12736"/>
    <cellStyle name="Normal 4 2 69 3 3" xfId="25426"/>
    <cellStyle name="Normal 4 2 69 3 4" xfId="18051"/>
    <cellStyle name="Normal 4 2 69 3 5" xfId="27830"/>
    <cellStyle name="Normal 4 2 69 4" xfId="8335"/>
    <cellStyle name="Normal 4 2 69 5" xfId="21148"/>
    <cellStyle name="Normal 4 2 69 6" xfId="18345"/>
    <cellStyle name="Normal 4 2 69 7" xfId="26872"/>
    <cellStyle name="Normal 4 2 7" xfId="146"/>
    <cellStyle name="Normal 4 2 7 2" xfId="2630"/>
    <cellStyle name="Normal 4 2 7 2 2" xfId="9400"/>
    <cellStyle name="Normal 4 2 7 2 3" xfId="22090"/>
    <cellStyle name="Normal 4 2 7 2 4" xfId="15816"/>
    <cellStyle name="Normal 4 2 7 2 5" xfId="28891"/>
    <cellStyle name="Normal 4 2 7 3" xfId="3732"/>
    <cellStyle name="Normal 4 2 7 3 2" xfId="10502"/>
    <cellStyle name="Normal 4 2 7 3 3" xfId="23192"/>
    <cellStyle name="Normal 4 2 7 3 4" xfId="19688"/>
    <cellStyle name="Normal 4 2 7 3 5" xfId="27316"/>
    <cellStyle name="Normal 4 2 7 4" xfId="6916"/>
    <cellStyle name="Normal 4 2 7 5" xfId="14806"/>
    <cellStyle name="Normal 4 2 7 6" xfId="14641"/>
    <cellStyle name="Normal 4 2 7 7" xfId="29574"/>
    <cellStyle name="Normal 4 2 70" xfId="1588"/>
    <cellStyle name="Normal 4 2 70 2" xfId="4038"/>
    <cellStyle name="Normal 4 2 70 2 2" xfId="10808"/>
    <cellStyle name="Normal 4 2 70 2 3" xfId="23498"/>
    <cellStyle name="Normal 4 2 70 2 4" xfId="19781"/>
    <cellStyle name="Normal 4 2 70 2 5" xfId="30130"/>
    <cellStyle name="Normal 4 2 70 3" xfId="5986"/>
    <cellStyle name="Normal 4 2 70 3 2" xfId="12756"/>
    <cellStyle name="Normal 4 2 70 3 3" xfId="25446"/>
    <cellStyle name="Normal 4 2 70 3 4" xfId="15721"/>
    <cellStyle name="Normal 4 2 70 3 5" xfId="26625"/>
    <cellStyle name="Normal 4 2 70 4" xfId="8358"/>
    <cellStyle name="Normal 4 2 70 5" xfId="21168"/>
    <cellStyle name="Normal 4 2 70 6" xfId="15900"/>
    <cellStyle name="Normal 4 2 70 7" xfId="29857"/>
    <cellStyle name="Normal 4 2 71" xfId="1611"/>
    <cellStyle name="Normal 4 2 71 2" xfId="4060"/>
    <cellStyle name="Normal 4 2 71 2 2" xfId="10830"/>
    <cellStyle name="Normal 4 2 71 2 3" xfId="23520"/>
    <cellStyle name="Normal 4 2 71 2 4" xfId="17794"/>
    <cellStyle name="Normal 4 2 71 2 5" xfId="31244"/>
    <cellStyle name="Normal 4 2 71 3" xfId="6006"/>
    <cellStyle name="Normal 4 2 71 3 2" xfId="12776"/>
    <cellStyle name="Normal 4 2 71 3 3" xfId="25466"/>
    <cellStyle name="Normal 4 2 71 3 4" xfId="18048"/>
    <cellStyle name="Normal 4 2 71 3 5" xfId="28741"/>
    <cellStyle name="Normal 4 2 71 4" xfId="8381"/>
    <cellStyle name="Normal 4 2 71 5" xfId="21188"/>
    <cellStyle name="Normal 4 2 71 6" xfId="18132"/>
    <cellStyle name="Normal 4 2 71 7" xfId="27969"/>
    <cellStyle name="Normal 4 2 72" xfId="1633"/>
    <cellStyle name="Normal 4 2 72 2" xfId="4081"/>
    <cellStyle name="Normal 4 2 72 2 2" xfId="10851"/>
    <cellStyle name="Normal 4 2 72 2 3" xfId="23541"/>
    <cellStyle name="Normal 4 2 72 2 4" xfId="17664"/>
    <cellStyle name="Normal 4 2 72 2 5" xfId="27072"/>
    <cellStyle name="Normal 4 2 72 3" xfId="6025"/>
    <cellStyle name="Normal 4 2 72 3 2" xfId="12795"/>
    <cellStyle name="Normal 4 2 72 3 3" xfId="25485"/>
    <cellStyle name="Normal 4 2 72 3 4" xfId="15541"/>
    <cellStyle name="Normal 4 2 72 3 5" xfId="30696"/>
    <cellStyle name="Normal 4 2 72 4" xfId="8403"/>
    <cellStyle name="Normal 4 2 72 5" xfId="21207"/>
    <cellStyle name="Normal 4 2 72 6" xfId="14049"/>
    <cellStyle name="Normal 4 2 72 7" xfId="28904"/>
    <cellStyle name="Normal 4 2 73" xfId="1654"/>
    <cellStyle name="Normal 4 2 73 2" xfId="4102"/>
    <cellStyle name="Normal 4 2 73 2 2" xfId="10872"/>
    <cellStyle name="Normal 4 2 73 2 3" xfId="23562"/>
    <cellStyle name="Normal 4 2 73 2 4" xfId="17513"/>
    <cellStyle name="Normal 4 2 73 2 5" xfId="31181"/>
    <cellStyle name="Normal 4 2 73 3" xfId="6043"/>
    <cellStyle name="Normal 4 2 73 3 2" xfId="12813"/>
    <cellStyle name="Normal 4 2 73 3 3" xfId="25503"/>
    <cellStyle name="Normal 4 2 73 3 4" xfId="15434"/>
    <cellStyle name="Normal 4 2 73 3 5" xfId="30661"/>
    <cellStyle name="Normal 4 2 73 4" xfId="8424"/>
    <cellStyle name="Normal 4 2 73 5" xfId="21225"/>
    <cellStyle name="Normal 4 2 73 6" xfId="15681"/>
    <cellStyle name="Normal 4 2 73 7" xfId="29767"/>
    <cellStyle name="Normal 4 2 74" xfId="1673"/>
    <cellStyle name="Normal 4 2 74 2" xfId="4121"/>
    <cellStyle name="Normal 4 2 74 2 2" xfId="10891"/>
    <cellStyle name="Normal 4 2 74 2 3" xfId="23581"/>
    <cellStyle name="Normal 4 2 74 2 4" xfId="15028"/>
    <cellStyle name="Normal 4 2 74 2 5" xfId="28182"/>
    <cellStyle name="Normal 4 2 74 3" xfId="6061"/>
    <cellStyle name="Normal 4 2 74 3 2" xfId="12831"/>
    <cellStyle name="Normal 4 2 74 3 3" xfId="25521"/>
    <cellStyle name="Normal 4 2 74 3 4" xfId="15311"/>
    <cellStyle name="Normal 4 2 74 3 5" xfId="30422"/>
    <cellStyle name="Normal 4 2 74 4" xfId="8443"/>
    <cellStyle name="Normal 4 2 74 5" xfId="21243"/>
    <cellStyle name="Normal 4 2 74 6" xfId="19785"/>
    <cellStyle name="Normal 4 2 74 7" xfId="26701"/>
    <cellStyle name="Normal 4 2 75" xfId="1700"/>
    <cellStyle name="Normal 4 2 75 2" xfId="4147"/>
    <cellStyle name="Normal 4 2 75 2 2" xfId="10917"/>
    <cellStyle name="Normal 4 2 75 2 3" xfId="23607"/>
    <cellStyle name="Normal 4 2 75 2 4" xfId="17230"/>
    <cellStyle name="Normal 4 2 75 2 5" xfId="26969"/>
    <cellStyle name="Normal 4 2 75 3" xfId="6084"/>
    <cellStyle name="Normal 4 2 75 3 2" xfId="12854"/>
    <cellStyle name="Normal 4 2 75 3 3" xfId="25544"/>
    <cellStyle name="Normal 4 2 75 3 4" xfId="17543"/>
    <cellStyle name="Normal 4 2 75 3 5" xfId="28617"/>
    <cellStyle name="Normal 4 2 75 4" xfId="8470"/>
    <cellStyle name="Normal 4 2 75 5" xfId="21266"/>
    <cellStyle name="Normal 4 2 75 6" xfId="19636"/>
    <cellStyle name="Normal 4 2 75 7" xfId="30796"/>
    <cellStyle name="Normal 4 2 76" xfId="1723"/>
    <cellStyle name="Normal 4 2 76 2" xfId="4168"/>
    <cellStyle name="Normal 4 2 76 2 2" xfId="10938"/>
    <cellStyle name="Normal 4 2 76 2 3" xfId="23628"/>
    <cellStyle name="Normal 4 2 76 2 4" xfId="17078"/>
    <cellStyle name="Normal 4 2 76 2 5" xfId="31074"/>
    <cellStyle name="Normal 4 2 76 3" xfId="6104"/>
    <cellStyle name="Normal 4 2 76 3 2" xfId="12874"/>
    <cellStyle name="Normal 4 2 76 3 3" xfId="25564"/>
    <cellStyle name="Normal 4 2 76 3 4" xfId="19326"/>
    <cellStyle name="Normal 4 2 76 3 5" xfId="27581"/>
    <cellStyle name="Normal 4 2 76 4" xfId="8493"/>
    <cellStyle name="Normal 4 2 76 5" xfId="21286"/>
    <cellStyle name="Normal 4 2 76 6" xfId="15242"/>
    <cellStyle name="Normal 4 2 76 7" xfId="28762"/>
    <cellStyle name="Normal 4 2 77" xfId="1746"/>
    <cellStyle name="Normal 4 2 77 2" xfId="4190"/>
    <cellStyle name="Normal 4 2 77 2 2" xfId="10960"/>
    <cellStyle name="Normal 4 2 77 2 3" xfId="23650"/>
    <cellStyle name="Normal 4 2 77 2 4" xfId="14569"/>
    <cellStyle name="Normal 4 2 77 2 5" xfId="31981"/>
    <cellStyle name="Normal 4 2 77 3" xfId="6124"/>
    <cellStyle name="Normal 4 2 77 3 2" xfId="12894"/>
    <cellStyle name="Normal 4 2 77 3 3" xfId="25584"/>
    <cellStyle name="Normal 4 2 77 3 4" xfId="14907"/>
    <cellStyle name="Normal 4 2 77 3 5" xfId="27409"/>
    <cellStyle name="Normal 4 2 77 4" xfId="8516"/>
    <cellStyle name="Normal 4 2 77 5" xfId="21306"/>
    <cellStyle name="Normal 4 2 77 6" xfId="16089"/>
    <cellStyle name="Normal 4 2 77 7" xfId="26578"/>
    <cellStyle name="Normal 4 2 78" xfId="1769"/>
    <cellStyle name="Normal 4 2 78 2" xfId="4212"/>
    <cellStyle name="Normal 4 2 78 2 2" xfId="10982"/>
    <cellStyle name="Normal 4 2 78 2 3" xfId="23672"/>
    <cellStyle name="Normal 4 2 78 2 4" xfId="18773"/>
    <cellStyle name="Normal 4 2 78 2 5" xfId="29887"/>
    <cellStyle name="Normal 4 2 78 3" xfId="6144"/>
    <cellStyle name="Normal 4 2 78 3 2" xfId="12914"/>
    <cellStyle name="Normal 4 2 78 3 3" xfId="25604"/>
    <cellStyle name="Normal 4 2 78 3 4" xfId="17152"/>
    <cellStyle name="Normal 4 2 78 3 5" xfId="29459"/>
    <cellStyle name="Normal 4 2 78 4" xfId="8539"/>
    <cellStyle name="Normal 4 2 78 5" xfId="21326"/>
    <cellStyle name="Normal 4 2 78 6" xfId="19224"/>
    <cellStyle name="Normal 4 2 78 7" xfId="29577"/>
    <cellStyle name="Normal 4 2 79" xfId="1792"/>
    <cellStyle name="Normal 4 2 79 2" xfId="4234"/>
    <cellStyle name="Normal 4 2 79 2 2" xfId="11004"/>
    <cellStyle name="Normal 4 2 79 2 3" xfId="23694"/>
    <cellStyle name="Normal 4 2 79 2 4" xfId="16641"/>
    <cellStyle name="Normal 4 2 79 2 5" xfId="30930"/>
    <cellStyle name="Normal 4 2 79 3" xfId="6164"/>
    <cellStyle name="Normal 4 2 79 3 2" xfId="12934"/>
    <cellStyle name="Normal 4 2 79 3 3" xfId="25624"/>
    <cellStyle name="Normal 4 2 79 3 4" xfId="17159"/>
    <cellStyle name="Normal 4 2 79 3 5" xfId="28526"/>
    <cellStyle name="Normal 4 2 79 4" xfId="8562"/>
    <cellStyle name="Normal 4 2 79 5" xfId="21346"/>
    <cellStyle name="Normal 4 2 79 6" xfId="14793"/>
    <cellStyle name="Normal 4 2 79 7" xfId="27655"/>
    <cellStyle name="Normal 4 2 8" xfId="169"/>
    <cellStyle name="Normal 4 2 8 2" xfId="2652"/>
    <cellStyle name="Normal 4 2 8 2 2" xfId="9422"/>
    <cellStyle name="Normal 4 2 8 2 3" xfId="22112"/>
    <cellStyle name="Normal 4 2 8 2 4" xfId="18702"/>
    <cellStyle name="Normal 4 2 8 2 5" xfId="26318"/>
    <cellStyle name="Normal 4 2 8 3" xfId="3263"/>
    <cellStyle name="Normal 4 2 8 3 2" xfId="10033"/>
    <cellStyle name="Normal 4 2 8 3 3" xfId="22723"/>
    <cellStyle name="Normal 4 2 8 3 4" xfId="14276"/>
    <cellStyle name="Normal 4 2 8 3 5" xfId="29895"/>
    <cellStyle name="Normal 4 2 8 4" xfId="6939"/>
    <cellStyle name="Normal 4 2 8 5" xfId="14347"/>
    <cellStyle name="Normal 4 2 8 6" xfId="16868"/>
    <cellStyle name="Normal 4 2 8 7" xfId="27652"/>
    <cellStyle name="Normal 4 2 80" xfId="1815"/>
    <cellStyle name="Normal 4 2 80 2" xfId="4257"/>
    <cellStyle name="Normal 4 2 80 2 2" xfId="11027"/>
    <cellStyle name="Normal 4 2 80 2 3" xfId="23717"/>
    <cellStyle name="Normal 4 2 80 2 4" xfId="18498"/>
    <cellStyle name="Normal 4 2 80 2 5" xfId="28923"/>
    <cellStyle name="Normal 4 2 80 3" xfId="6184"/>
    <cellStyle name="Normal 4 2 80 3 2" xfId="12954"/>
    <cellStyle name="Normal 4 2 80 3 3" xfId="25644"/>
    <cellStyle name="Normal 4 2 80 3 4" xfId="14511"/>
    <cellStyle name="Normal 4 2 80 3 5" xfId="27321"/>
    <cellStyle name="Normal 4 2 80 4" xfId="8585"/>
    <cellStyle name="Normal 4 2 80 5" xfId="21366"/>
    <cellStyle name="Normal 4 2 80 6" xfId="17014"/>
    <cellStyle name="Normal 4 2 80 7" xfId="31425"/>
    <cellStyle name="Normal 4 2 81" xfId="1838"/>
    <cellStyle name="Normal 4 2 81 2" xfId="4280"/>
    <cellStyle name="Normal 4 2 81 2 2" xfId="11050"/>
    <cellStyle name="Normal 4 2 81 2 3" xfId="23740"/>
    <cellStyle name="Normal 4 2 81 2 4" xfId="13973"/>
    <cellStyle name="Normal 4 2 81 2 5" xfId="31864"/>
    <cellStyle name="Normal 4 2 81 3" xfId="6204"/>
    <cellStyle name="Normal 4 2 81 3 2" xfId="12974"/>
    <cellStyle name="Normal 4 2 81 3 3" xfId="25664"/>
    <cellStyle name="Normal 4 2 81 3 4" xfId="16755"/>
    <cellStyle name="Normal 4 2 81 3 5" xfId="29371"/>
    <cellStyle name="Normal 4 2 81 4" xfId="8608"/>
    <cellStyle name="Normal 4 2 81 5" xfId="21386"/>
    <cellStyle name="Normal 4 2 81 6" xfId="18816"/>
    <cellStyle name="Normal 4 2 81 7" xfId="29333"/>
    <cellStyle name="Normal 4 2 82" xfId="1861"/>
    <cellStyle name="Normal 4 2 82 2" xfId="4302"/>
    <cellStyle name="Normal 4 2 82 2 2" xfId="11072"/>
    <cellStyle name="Normal 4 2 82 2 3" xfId="23762"/>
    <cellStyle name="Normal 4 2 82 2 4" xfId="17588"/>
    <cellStyle name="Normal 4 2 82 2 5" xfId="29755"/>
    <cellStyle name="Normal 4 2 82 3" xfId="6224"/>
    <cellStyle name="Normal 4 2 82 3 2" xfId="12994"/>
    <cellStyle name="Normal 4 2 82 3 3" xfId="25684"/>
    <cellStyle name="Normal 4 2 82 3 4" xfId="18601"/>
    <cellStyle name="Normal 4 2 82 3 5" xfId="28427"/>
    <cellStyle name="Normal 4 2 82 4" xfId="8631"/>
    <cellStyle name="Normal 4 2 82 5" xfId="21406"/>
    <cellStyle name="Normal 4 2 82 6" xfId="14336"/>
    <cellStyle name="Normal 4 2 82 7" xfId="32266"/>
    <cellStyle name="Normal 4 2 83" xfId="1884"/>
    <cellStyle name="Normal 4 2 83 2" xfId="4324"/>
    <cellStyle name="Normal 4 2 83 2 2" xfId="11094"/>
    <cellStyle name="Normal 4 2 83 2 3" xfId="23784"/>
    <cellStyle name="Normal 4 2 83 2 4" xfId="18166"/>
    <cellStyle name="Normal 4 2 83 2 5" xfId="30815"/>
    <cellStyle name="Normal 4 2 83 3" xfId="6244"/>
    <cellStyle name="Normal 4 2 83 3 2" xfId="13014"/>
    <cellStyle name="Normal 4 2 83 3 3" xfId="25704"/>
    <cellStyle name="Normal 4 2 83 3 4" xfId="14111"/>
    <cellStyle name="Normal 4 2 83 3 5" xfId="26374"/>
    <cellStyle name="Normal 4 2 83 4" xfId="8654"/>
    <cellStyle name="Normal 4 2 83 5" xfId="21426"/>
    <cellStyle name="Normal 4 2 83 6" xfId="16554"/>
    <cellStyle name="Normal 4 2 83 7" xfId="27184"/>
    <cellStyle name="Normal 4 2 84" xfId="1907"/>
    <cellStyle name="Normal 4 2 84 2" xfId="4346"/>
    <cellStyle name="Normal 4 2 84 2 2" xfId="11116"/>
    <cellStyle name="Normal 4 2 84 2 3" xfId="23806"/>
    <cellStyle name="Normal 4 2 84 2 4" xfId="15656"/>
    <cellStyle name="Normal 4 2 84 2 5" xfId="32337"/>
    <cellStyle name="Normal 4 2 84 3" xfId="6264"/>
    <cellStyle name="Normal 4 2 84 3 2" xfId="13034"/>
    <cellStyle name="Normal 4 2 84 3 3" xfId="25724"/>
    <cellStyle name="Normal 4 2 84 3 4" xfId="9001"/>
    <cellStyle name="Normal 4 2 84 3 5" xfId="29295"/>
    <cellStyle name="Normal 4 2 84 4" xfId="8677"/>
    <cellStyle name="Normal 4 2 84 5" xfId="21446"/>
    <cellStyle name="Normal 4 2 84 6" xfId="18404"/>
    <cellStyle name="Normal 4 2 84 7" xfId="30139"/>
    <cellStyle name="Normal 4 2 85" xfId="1929"/>
    <cellStyle name="Normal 4 2 85 2" xfId="4367"/>
    <cellStyle name="Normal 4 2 85 2 2" xfId="11137"/>
    <cellStyle name="Normal 4 2 85 2 3" xfId="23827"/>
    <cellStyle name="Normal 4 2 85 2 4" xfId="13771"/>
    <cellStyle name="Normal 4 2 85 2 5" xfId="28420"/>
    <cellStyle name="Normal 4 2 85 3" xfId="6283"/>
    <cellStyle name="Normal 4 2 85 3 2" xfId="13053"/>
    <cellStyle name="Normal 4 2 85 3 3" xfId="25743"/>
    <cellStyle name="Normal 4 2 85 3 4" xfId="6935"/>
    <cellStyle name="Normal 4 2 85 3 5" xfId="31317"/>
    <cellStyle name="Normal 4 2 85 4" xfId="8699"/>
    <cellStyle name="Normal 4 2 85 5" xfId="21465"/>
    <cellStyle name="Normal 4 2 85 6" xfId="16242"/>
    <cellStyle name="Normal 4 2 85 7" xfId="31255"/>
    <cellStyle name="Normal 4 2 86" xfId="1951"/>
    <cellStyle name="Normal 4 2 86 2" xfId="4388"/>
    <cellStyle name="Normal 4 2 86 2 2" xfId="11158"/>
    <cellStyle name="Normal 4 2 86 2 3" xfId="23848"/>
    <cellStyle name="Normal 4 2 86 2 4" xfId="15384"/>
    <cellStyle name="Normal 4 2 86 2 5" xfId="30392"/>
    <cellStyle name="Normal 4 2 86 3" xfId="6302"/>
    <cellStyle name="Normal 4 2 86 3 2" xfId="13072"/>
    <cellStyle name="Normal 4 2 86 3 3" xfId="25762"/>
    <cellStyle name="Normal 4 2 86 3 4" xfId="8170"/>
    <cellStyle name="Normal 4 2 86 3 5" xfId="28318"/>
    <cellStyle name="Normal 4 2 86 4" xfId="8721"/>
    <cellStyle name="Normal 4 2 86 5" xfId="21484"/>
    <cellStyle name="Normal 4 2 86 6" xfId="15846"/>
    <cellStyle name="Normal 4 2 86 7" xfId="32149"/>
    <cellStyle name="Normal 4 2 87" xfId="1974"/>
    <cellStyle name="Normal 4 2 87 2" xfId="4411"/>
    <cellStyle name="Normal 4 2 87 2 2" xfId="11181"/>
    <cellStyle name="Normal 4 2 87 2 3" xfId="23871"/>
    <cellStyle name="Normal 4 2 87 2 4" xfId="17620"/>
    <cellStyle name="Normal 4 2 87 2 5" xfId="27190"/>
    <cellStyle name="Normal 4 2 87 3" xfId="6322"/>
    <cellStyle name="Normal 4 2 87 3 2" xfId="13092"/>
    <cellStyle name="Normal 4 2 87 3 3" xfId="25782"/>
    <cellStyle name="Normal 4 2 87 3 4" xfId="7756"/>
    <cellStyle name="Normal 4 2 87 3 5" xfId="27121"/>
    <cellStyle name="Normal 4 2 87 4" xfId="8744"/>
    <cellStyle name="Normal 4 2 87 5" xfId="21504"/>
    <cellStyle name="Normal 4 2 87 6" xfId="16293"/>
    <cellStyle name="Normal 4 2 87 7" xfId="27044"/>
    <cellStyle name="Normal 4 2 88" xfId="1997"/>
    <cellStyle name="Normal 4 2 88 2" xfId="4433"/>
    <cellStyle name="Normal 4 2 88 2 2" xfId="11203"/>
    <cellStyle name="Normal 4 2 88 2 3" xfId="23893"/>
    <cellStyle name="Normal 4 2 88 2 4" xfId="13730"/>
    <cellStyle name="Normal 4 2 88 2 5" xfId="28329"/>
    <cellStyle name="Normal 4 2 88 3" xfId="6342"/>
    <cellStyle name="Normal 4 2 88 3 2" xfId="13112"/>
    <cellStyle name="Normal 4 2 88 3 3" xfId="25802"/>
    <cellStyle name="Normal 4 2 88 3 4" xfId="7359"/>
    <cellStyle name="Normal 4 2 88 3 5" xfId="29189"/>
    <cellStyle name="Normal 4 2 88 4" xfId="8767"/>
    <cellStyle name="Normal 4 2 88 5" xfId="21524"/>
    <cellStyle name="Normal 4 2 88 6" xfId="15939"/>
    <cellStyle name="Normal 4 2 88 7" xfId="26886"/>
    <cellStyle name="Normal 4 2 89" xfId="2019"/>
    <cellStyle name="Normal 4 2 89 2" xfId="4455"/>
    <cellStyle name="Normal 4 2 89 2 2" xfId="11225"/>
    <cellStyle name="Normal 4 2 89 2 3" xfId="23915"/>
    <cellStyle name="Normal 4 2 89 2 4" xfId="19238"/>
    <cellStyle name="Normal 4 2 89 2 5" xfId="27628"/>
    <cellStyle name="Normal 4 2 89 3" xfId="6361"/>
    <cellStyle name="Normal 4 2 89 3 2" xfId="13131"/>
    <cellStyle name="Normal 4 2 89 3 3" xfId="25821"/>
    <cellStyle name="Normal 4 2 89 3 4" xfId="15950"/>
    <cellStyle name="Normal 4 2 89 3 5" xfId="31198"/>
    <cellStyle name="Normal 4 2 89 4" xfId="8789"/>
    <cellStyle name="Normal 4 2 89 5" xfId="21543"/>
    <cellStyle name="Normal 4 2 89 6" xfId="18157"/>
    <cellStyle name="Normal 4 2 89 7" xfId="31118"/>
    <cellStyle name="Normal 4 2 9" xfId="192"/>
    <cellStyle name="Normal 4 2 9 2" xfId="2674"/>
    <cellStyle name="Normal 4 2 9 2 2" xfId="9444"/>
    <cellStyle name="Normal 4 2 9 2 3" xfId="22134"/>
    <cellStyle name="Normal 4 2 9 2 4" xfId="16558"/>
    <cellStyle name="Normal 4 2 9 2 5" xfId="27858"/>
    <cellStyle name="Normal 4 2 9 3" xfId="2790"/>
    <cellStyle name="Normal 4 2 9 3 2" xfId="9560"/>
    <cellStyle name="Normal 4 2 9 3 3" xfId="22250"/>
    <cellStyle name="Normal 4 2 9 3 4" xfId="16153"/>
    <cellStyle name="Normal 4 2 9 3 5" xfId="26491"/>
    <cellStyle name="Normal 4 2 9 4" xfId="6962"/>
    <cellStyle name="Normal 4 2 9 5" xfId="13879"/>
    <cellStyle name="Normal 4 2 9 6" xfId="18700"/>
    <cellStyle name="Normal 4 2 9 7" xfId="31450"/>
    <cellStyle name="Normal 4 2 90" xfId="2042"/>
    <cellStyle name="Normal 4 2 90 2" xfId="4477"/>
    <cellStyle name="Normal 4 2 90 2 2" xfId="11247"/>
    <cellStyle name="Normal 4 2 90 2 3" xfId="23937"/>
    <cellStyle name="Normal 4 2 90 2 4" xfId="17185"/>
    <cellStyle name="Normal 4 2 90 2 5" xfId="27090"/>
    <cellStyle name="Normal 4 2 90 3" xfId="6381"/>
    <cellStyle name="Normal 4 2 90 3 2" xfId="13151"/>
    <cellStyle name="Normal 4 2 90 3 3" xfId="25841"/>
    <cellStyle name="Normal 4 2 90 3 4" xfId="13916"/>
    <cellStyle name="Normal 4 2 90 3 5" xfId="30033"/>
    <cellStyle name="Normal 4 2 90 4" xfId="8812"/>
    <cellStyle name="Normal 4 2 90 5" xfId="21563"/>
    <cellStyle name="Normal 4 2 90 6" xfId="18311"/>
    <cellStyle name="Normal 4 2 90 7" xfId="29054"/>
    <cellStyle name="Normal 4 2 91" xfId="2065"/>
    <cellStyle name="Normal 4 2 91 2" xfId="4499"/>
    <cellStyle name="Normal 4 2 91 2 2" xfId="11269"/>
    <cellStyle name="Normal 4 2 91 2 3" xfId="23959"/>
    <cellStyle name="Normal 4 2 91 2 4" xfId="13687"/>
    <cellStyle name="Normal 4 2 91 2 5" xfId="28232"/>
    <cellStyle name="Normal 4 2 91 3" xfId="6401"/>
    <cellStyle name="Normal 4 2 91 3 2" xfId="13171"/>
    <cellStyle name="Normal 4 2 91 3 3" xfId="25861"/>
    <cellStyle name="Normal 4 2 91 3 4" xfId="18252"/>
    <cellStyle name="Normal 4 2 91 3 5" xfId="32071"/>
    <cellStyle name="Normal 4 2 91 4" xfId="8835"/>
    <cellStyle name="Normal 4 2 91 5" xfId="21583"/>
    <cellStyle name="Normal 4 2 91 6" xfId="15890"/>
    <cellStyle name="Normal 4 2 91 7" xfId="31229"/>
    <cellStyle name="Normal 4 2 92" xfId="2088"/>
    <cellStyle name="Normal 4 2 92 2" xfId="4520"/>
    <cellStyle name="Normal 4 2 92 2 2" xfId="11290"/>
    <cellStyle name="Normal 4 2 92 2 3" xfId="23980"/>
    <cellStyle name="Normal 4 2 92 2 4" xfId="14523"/>
    <cellStyle name="Normal 4 2 92 2 5" xfId="30614"/>
    <cellStyle name="Normal 4 2 92 3" xfId="6421"/>
    <cellStyle name="Normal 4 2 92 3 2" xfId="13191"/>
    <cellStyle name="Normal 4 2 92 3 3" xfId="25881"/>
    <cellStyle name="Normal 4 2 92 3 4" xfId="19957"/>
    <cellStyle name="Normal 4 2 92 3 5" xfId="31103"/>
    <cellStyle name="Normal 4 2 92 4" xfId="8858"/>
    <cellStyle name="Normal 4 2 92 5" xfId="21603"/>
    <cellStyle name="Normal 4 2 92 6" xfId="18138"/>
    <cellStyle name="Normal 4 2 92 7" xfId="26860"/>
    <cellStyle name="Normal 4 2 93" xfId="2111"/>
    <cellStyle name="Normal 4 2 93 2" xfId="4542"/>
    <cellStyle name="Normal 4 2 93 2 2" xfId="11312"/>
    <cellStyle name="Normal 4 2 93 2 3" xfId="24002"/>
    <cellStyle name="Normal 4 2 93 2 4" xfId="18732"/>
    <cellStyle name="Normal 4 2 93 2 5" xfId="29999"/>
    <cellStyle name="Normal 4 2 93 3" xfId="6441"/>
    <cellStyle name="Normal 4 2 93 3 2" xfId="13211"/>
    <cellStyle name="Normal 4 2 93 3 3" xfId="25901"/>
    <cellStyle name="Normal 4 2 93 3 4" xfId="18035"/>
    <cellStyle name="Normal 4 2 93 3 5" xfId="26522"/>
    <cellStyle name="Normal 4 2 93 4" xfId="8881"/>
    <cellStyle name="Normal 4 2 93 5" xfId="21623"/>
    <cellStyle name="Normal 4 2 93 6" xfId="18414"/>
    <cellStyle name="Normal 4 2 93 7" xfId="29848"/>
    <cellStyle name="Normal 4 2 94" xfId="2133"/>
    <cellStyle name="Normal 4 2 94 2" xfId="4562"/>
    <cellStyle name="Normal 4 2 94 2 2" xfId="11332"/>
    <cellStyle name="Normal 4 2 94 2 3" xfId="24022"/>
    <cellStyle name="Normal 4 2 94 2 4" xfId="14237"/>
    <cellStyle name="Normal 4 2 94 2 5" xfId="32036"/>
    <cellStyle name="Normal 4 2 94 3" xfId="6460"/>
    <cellStyle name="Normal 4 2 94 3 2" xfId="13230"/>
    <cellStyle name="Normal 4 2 94 3 3" xfId="25920"/>
    <cellStyle name="Normal 4 2 94 3 4" xfId="13779"/>
    <cellStyle name="Normal 4 2 94 3 5" xfId="26899"/>
    <cellStyle name="Normal 4 2 94 4" xfId="8903"/>
    <cellStyle name="Normal 4 2 94 5" xfId="21642"/>
    <cellStyle name="Normal 4 2 94 6" xfId="19859"/>
    <cellStyle name="Normal 4 2 94 7" xfId="30420"/>
    <cellStyle name="Normal 4 2 95" xfId="2153"/>
    <cellStyle name="Normal 4 2 95 2" xfId="4581"/>
    <cellStyle name="Normal 4 2 95 2 2" xfId="11351"/>
    <cellStyle name="Normal 4 2 95 2 3" xfId="24041"/>
    <cellStyle name="Normal 4 2 95 2 4" xfId="18497"/>
    <cellStyle name="Normal 4 2 95 2 5" xfId="29040"/>
    <cellStyle name="Normal 4 2 95 3" xfId="6478"/>
    <cellStyle name="Normal 4 2 95 3 2" xfId="13248"/>
    <cellStyle name="Normal 4 2 95 3 3" xfId="25938"/>
    <cellStyle name="Normal 4 2 95 3 4" xfId="15418"/>
    <cellStyle name="Normal 4 2 95 3 5" xfId="26865"/>
    <cellStyle name="Normal 4 2 95 4" xfId="8923"/>
    <cellStyle name="Normal 4 2 95 5" xfId="21660"/>
    <cellStyle name="Normal 4 2 95 6" xfId="15500"/>
    <cellStyle name="Normal 4 2 95 7" xfId="29791"/>
    <cellStyle name="Normal 4 2 96" xfId="2171"/>
    <cellStyle name="Normal 4 2 96 2" xfId="4598"/>
    <cellStyle name="Normal 4 2 96 2 2" xfId="11368"/>
    <cellStyle name="Normal 4 2 96 2 3" xfId="24058"/>
    <cellStyle name="Normal 4 2 96 2 4" xfId="13619"/>
    <cellStyle name="Normal 4 2 96 2 5" xfId="31988"/>
    <cellStyle name="Normal 4 2 96 3" xfId="6494"/>
    <cellStyle name="Normal 4 2 96 3 2" xfId="13264"/>
    <cellStyle name="Normal 4 2 96 3 3" xfId="25954"/>
    <cellStyle name="Normal 4 2 96 3 4" xfId="15920"/>
    <cellStyle name="Normal 4 2 96 3 5" xfId="28017"/>
    <cellStyle name="Normal 4 2 96 4" xfId="8941"/>
    <cellStyle name="Normal 4 2 96 5" xfId="21676"/>
    <cellStyle name="Normal 4 2 96 6" xfId="15394"/>
    <cellStyle name="Normal 4 2 96 7" xfId="29766"/>
    <cellStyle name="Normal 4 2 97" xfId="2189"/>
    <cellStyle name="Normal 4 2 97 2" xfId="4614"/>
    <cellStyle name="Normal 4 2 97 2 2" xfId="11384"/>
    <cellStyle name="Normal 4 2 97 2 3" xfId="24074"/>
    <cellStyle name="Normal 4 2 97 2 4" xfId="18300"/>
    <cellStyle name="Normal 4 2 97 2 5" xfId="29894"/>
    <cellStyle name="Normal 4 2 97 3" xfId="6510"/>
    <cellStyle name="Normal 4 2 97 3 2" xfId="13280"/>
    <cellStyle name="Normal 4 2 97 3 3" xfId="25970"/>
    <cellStyle name="Normal 4 2 97 3 4" xfId="17591"/>
    <cellStyle name="Normal 4 2 97 3 5" xfId="27898"/>
    <cellStyle name="Normal 4 2 97 4" xfId="8959"/>
    <cellStyle name="Normal 4 2 97 5" xfId="21692"/>
    <cellStyle name="Normal 4 2 97 6" xfId="15268"/>
    <cellStyle name="Normal 4 2 97 7" xfId="29733"/>
    <cellStyle name="Normal 4 2 98" xfId="2212"/>
    <cellStyle name="Normal 4 2 98 2" xfId="4636"/>
    <cellStyle name="Normal 4 2 98 2 2" xfId="11406"/>
    <cellStyle name="Normal 4 2 98 2 3" xfId="24096"/>
    <cellStyle name="Normal 4 2 98 2 4" xfId="18245"/>
    <cellStyle name="Normal 4 2 98 2 5" xfId="30975"/>
    <cellStyle name="Normal 4 2 98 3" xfId="6530"/>
    <cellStyle name="Normal 4 2 98 3 2" xfId="13300"/>
    <cellStyle name="Normal 4 2 98 3 3" xfId="25990"/>
    <cellStyle name="Normal 4 2 98 3 4" xfId="19369"/>
    <cellStyle name="Normal 4 2 98 3 5" xfId="27960"/>
    <cellStyle name="Normal 4 2 98 4" xfId="8982"/>
    <cellStyle name="Normal 4 2 98 5" xfId="21712"/>
    <cellStyle name="Normal 4 2 98 6" xfId="17495"/>
    <cellStyle name="Normal 4 2 98 7" xfId="27839"/>
    <cellStyle name="Normal 4 2 99" xfId="2248"/>
    <cellStyle name="Normal 4 2 99 2" xfId="4670"/>
    <cellStyle name="Normal 4 2 99 2 2" xfId="11440"/>
    <cellStyle name="Normal 4 2 99 2 3" xfId="24130"/>
    <cellStyle name="Normal 4 2 99 2 4" xfId="15506"/>
    <cellStyle name="Normal 4 2 99 2 5" xfId="31889"/>
    <cellStyle name="Normal 4 2 99 3" xfId="6558"/>
    <cellStyle name="Normal 4 2 99 3 2" xfId="13328"/>
    <cellStyle name="Normal 4 2 99 3 3" xfId="26018"/>
    <cellStyle name="Normal 4 2 99 3 4" xfId="17266"/>
    <cellStyle name="Normal 4 2 99 3 5" xfId="28879"/>
    <cellStyle name="Normal 4 2 99 4" xfId="9018"/>
    <cellStyle name="Normal 4 2 99 5" xfId="21740"/>
    <cellStyle name="Normal 4 2 99 6" xfId="17261"/>
    <cellStyle name="Normal 4 2 99 7" xfId="27773"/>
    <cellStyle name="Normal 4 20" xfId="446"/>
    <cellStyle name="Normal 4 20 2" xfId="2921"/>
    <cellStyle name="Normal 4 20 2 2" xfId="9691"/>
    <cellStyle name="Normal 4 20 2 3" xfId="22381"/>
    <cellStyle name="Normal 4 20 2 4" xfId="6969"/>
    <cellStyle name="Normal 4 20 2 5" xfId="29597"/>
    <cellStyle name="Normal 4 20 3" xfId="4993"/>
    <cellStyle name="Normal 4 20 3 2" xfId="11763"/>
    <cellStyle name="Normal 4 20 3 3" xfId="24453"/>
    <cellStyle name="Normal 4 20 3 4" xfId="18185"/>
    <cellStyle name="Normal 4 20 3 5" xfId="26642"/>
    <cellStyle name="Normal 4 20 4" xfId="7216"/>
    <cellStyle name="Normal 4 20 5" xfId="20175"/>
    <cellStyle name="Normal 4 20 6" xfId="14453"/>
    <cellStyle name="Normal 4 20 7" xfId="29940"/>
    <cellStyle name="Normal 4 21" xfId="469"/>
    <cellStyle name="Normal 4 21 2" xfId="2944"/>
    <cellStyle name="Normal 4 21 2 2" xfId="9714"/>
    <cellStyle name="Normal 4 21 2 3" xfId="22404"/>
    <cellStyle name="Normal 4 21 2 4" xfId="8135"/>
    <cellStyle name="Normal 4 21 2 5" xfId="27678"/>
    <cellStyle name="Normal 4 21 3" xfId="5013"/>
    <cellStyle name="Normal 4 21 3 2" xfId="11783"/>
    <cellStyle name="Normal 4 21 3 3" xfId="24473"/>
    <cellStyle name="Normal 4 21 3 4" xfId="6782"/>
    <cellStyle name="Normal 4 21 3 5" xfId="28749"/>
    <cellStyle name="Normal 4 21 4" xfId="7239"/>
    <cellStyle name="Normal 4 21 5" xfId="20195"/>
    <cellStyle name="Normal 4 21 6" xfId="16654"/>
    <cellStyle name="Normal 4 21 7" xfId="28061"/>
    <cellStyle name="Normal 4 22" xfId="492"/>
    <cellStyle name="Normal 4 22 2" xfId="2967"/>
    <cellStyle name="Normal 4 22 2 2" xfId="9737"/>
    <cellStyle name="Normal 4 22 2 3" xfId="22427"/>
    <cellStyle name="Normal 4 22 2 4" xfId="7657"/>
    <cellStyle name="Normal 4 22 2 5" xfId="30594"/>
    <cellStyle name="Normal 4 22 3" xfId="5033"/>
    <cellStyle name="Normal 4 22 3 2" xfId="11803"/>
    <cellStyle name="Normal 4 22 3 3" xfId="24493"/>
    <cellStyle name="Normal 4 22 3 4" xfId="15550"/>
    <cellStyle name="Normal 4 22 3 5" xfId="27739"/>
    <cellStyle name="Normal 4 22 4" xfId="7262"/>
    <cellStyle name="Normal 4 22 5" xfId="20215"/>
    <cellStyle name="Normal 4 22 6" xfId="18508"/>
    <cellStyle name="Normal 4 22 7" xfId="30982"/>
    <cellStyle name="Normal 4 23" xfId="515"/>
    <cellStyle name="Normal 4 23 2" xfId="2990"/>
    <cellStyle name="Normal 4 23 2 2" xfId="9760"/>
    <cellStyle name="Normal 4 23 2 3" xfId="22450"/>
    <cellStyle name="Normal 4 23 2 4" xfId="7176"/>
    <cellStyle name="Normal 4 23 2 5" xfId="29373"/>
    <cellStyle name="Normal 4 23 3" xfId="5053"/>
    <cellStyle name="Normal 4 23 3 2" xfId="11823"/>
    <cellStyle name="Normal 4 23 3 3" xfId="24513"/>
    <cellStyle name="Normal 4 23 3 4" xfId="17812"/>
    <cellStyle name="Normal 4 23 3 5" xfId="29575"/>
    <cellStyle name="Normal 4 23 4" xfId="7285"/>
    <cellStyle name="Normal 4 23 5" xfId="20235"/>
    <cellStyle name="Normal 4 23 6" xfId="13987"/>
    <cellStyle name="Normal 4 23 7" xfId="28947"/>
    <cellStyle name="Normal 4 24" xfId="538"/>
    <cellStyle name="Normal 4 24 2" xfId="3011"/>
    <cellStyle name="Normal 4 24 2 2" xfId="9781"/>
    <cellStyle name="Normal 4 24 2 3" xfId="22471"/>
    <cellStyle name="Normal 4 24 2 4" xfId="7170"/>
    <cellStyle name="Normal 4 24 2 5" xfId="30237"/>
    <cellStyle name="Normal 4 24 3" xfId="5073"/>
    <cellStyle name="Normal 4 24 3 2" xfId="11843"/>
    <cellStyle name="Normal 4 24 3 3" xfId="24533"/>
    <cellStyle name="Normal 4 24 3 4" xfId="19551"/>
    <cellStyle name="Normal 4 24 3 5" xfId="31622"/>
    <cellStyle name="Normal 4 24 4" xfId="7308"/>
    <cellStyle name="Normal 4 24 5" xfId="20255"/>
    <cellStyle name="Normal 4 24 6" xfId="13823"/>
    <cellStyle name="Normal 4 24 7" xfId="31878"/>
    <cellStyle name="Normal 4 25" xfId="561"/>
    <cellStyle name="Normal 4 25 2" xfId="3034"/>
    <cellStyle name="Normal 4 25 2 2" xfId="9804"/>
    <cellStyle name="Normal 4 25 2 3" xfId="22494"/>
    <cellStyle name="Normal 4 25 2 4" xfId="15970"/>
    <cellStyle name="Normal 4 25 2 5" xfId="27532"/>
    <cellStyle name="Normal 4 25 3" xfId="5093"/>
    <cellStyle name="Normal 4 25 3 2" xfId="11863"/>
    <cellStyle name="Normal 4 25 3 3" xfId="24553"/>
    <cellStyle name="Normal 4 25 3 4" xfId="15171"/>
    <cellStyle name="Normal 4 25 3 5" xfId="30580"/>
    <cellStyle name="Normal 4 25 4" xfId="7331"/>
    <cellStyle name="Normal 4 25 5" xfId="20275"/>
    <cellStyle name="Normal 4 25 6" xfId="19998"/>
    <cellStyle name="Normal 4 25 7" xfId="26736"/>
    <cellStyle name="Normal 4 26" xfId="584"/>
    <cellStyle name="Normal 4 26 2" xfId="3057"/>
    <cellStyle name="Normal 4 26 2 2" xfId="9827"/>
    <cellStyle name="Normal 4 26 2 3" xfId="22517"/>
    <cellStyle name="Normal 4 26 2 4" xfId="19835"/>
    <cellStyle name="Normal 4 26 2 5" xfId="31339"/>
    <cellStyle name="Normal 4 26 3" xfId="5114"/>
    <cellStyle name="Normal 4 26 3 2" xfId="11884"/>
    <cellStyle name="Normal 4 26 3 3" xfId="24574"/>
    <cellStyle name="Normal 4 26 3 4" xfId="13662"/>
    <cellStyle name="Normal 4 26 3 5" xfId="26503"/>
    <cellStyle name="Normal 4 26 4" xfId="7354"/>
    <cellStyle name="Normal 4 26 5" xfId="20296"/>
    <cellStyle name="Normal 4 26 6" xfId="13870"/>
    <cellStyle name="Normal 4 26 7" xfId="29736"/>
    <cellStyle name="Normal 4 27" xfId="605"/>
    <cellStyle name="Normal 4 27 2" xfId="3078"/>
    <cellStyle name="Normal 4 27 2 2" xfId="9848"/>
    <cellStyle name="Normal 4 27 2 3" xfId="22538"/>
    <cellStyle name="Normal 4 27 2 4" xfId="19735"/>
    <cellStyle name="Normal 4 27 2 5" xfId="27162"/>
    <cellStyle name="Normal 4 27 3" xfId="5132"/>
    <cellStyle name="Normal 4 27 3 2" xfId="11902"/>
    <cellStyle name="Normal 4 27 3 3" xfId="24592"/>
    <cellStyle name="Normal 4 27 3 4" xfId="14918"/>
    <cellStyle name="Normal 4 27 3 5" xfId="26266"/>
    <cellStyle name="Normal 4 27 4" xfId="7375"/>
    <cellStyle name="Normal 4 27 5" xfId="20314"/>
    <cellStyle name="Normal 4 27 6" xfId="15867"/>
    <cellStyle name="Normal 4 27 7" xfId="28803"/>
    <cellStyle name="Normal 4 28" xfId="622"/>
    <cellStyle name="Normal 4 28 2" xfId="3095"/>
    <cellStyle name="Normal 4 28 2 2" xfId="9865"/>
    <cellStyle name="Normal 4 28 2 3" xfId="22555"/>
    <cellStyle name="Normal 4 28 2 4" xfId="15378"/>
    <cellStyle name="Normal 4 28 2 5" xfId="26271"/>
    <cellStyle name="Normal 4 28 3" xfId="5147"/>
    <cellStyle name="Normal 4 28 3 2" xfId="11917"/>
    <cellStyle name="Normal 4 28 3 3" xfId="24607"/>
    <cellStyle name="Normal 4 28 3 4" xfId="13639"/>
    <cellStyle name="Normal 4 28 3 5" xfId="27430"/>
    <cellStyle name="Normal 4 28 4" xfId="7392"/>
    <cellStyle name="Normal 4 28 5" xfId="20329"/>
    <cellStyle name="Normal 4 28 6" xfId="18134"/>
    <cellStyle name="Normal 4 28 7" xfId="31748"/>
    <cellStyle name="Normal 4 29" xfId="653"/>
    <cellStyle name="Normal 4 29 2" xfId="3126"/>
    <cellStyle name="Normal 4 29 2 2" xfId="9896"/>
    <cellStyle name="Normal 4 29 2 3" xfId="22586"/>
    <cellStyle name="Normal 4 29 2 4" xfId="19446"/>
    <cellStyle name="Normal 4 29 2 5" xfId="27091"/>
    <cellStyle name="Normal 4 29 3" xfId="5174"/>
    <cellStyle name="Normal 4 29 3 2" xfId="11944"/>
    <cellStyle name="Normal 4 29 3 3" xfId="24634"/>
    <cellStyle name="Normal 4 29 3 4" xfId="14690"/>
    <cellStyle name="Normal 4 29 3 5" xfId="30344"/>
    <cellStyle name="Normal 4 29 4" xfId="7423"/>
    <cellStyle name="Normal 4 29 5" xfId="20356"/>
    <cellStyle name="Normal 4 29 6" xfId="15212"/>
    <cellStyle name="Normal 4 29 7" xfId="28733"/>
    <cellStyle name="Normal 4 3" xfId="44"/>
    <cellStyle name="Normal 4 30" xfId="674"/>
    <cellStyle name="Normal 4 30 2" xfId="3146"/>
    <cellStyle name="Normal 4 30 2 2" xfId="9916"/>
    <cellStyle name="Normal 4 30 2 3" xfId="22606"/>
    <cellStyle name="Normal 4 30 2 4" xfId="15061"/>
    <cellStyle name="Normal 4 30 2 5" xfId="29163"/>
    <cellStyle name="Normal 4 30 3" xfId="5192"/>
    <cellStyle name="Normal 4 30 3 2" xfId="11962"/>
    <cellStyle name="Normal 4 30 3 3" xfId="24652"/>
    <cellStyle name="Normal 4 30 3 4" xfId="14521"/>
    <cellStyle name="Normal 4 30 3 5" xfId="30319"/>
    <cellStyle name="Normal 4 30 4" xfId="7444"/>
    <cellStyle name="Normal 4 30 5" xfId="20374"/>
    <cellStyle name="Normal 4 30 6" xfId="17443"/>
    <cellStyle name="Normal 4 30 7" xfId="29590"/>
    <cellStyle name="Normal 4 31" xfId="695"/>
    <cellStyle name="Normal 4 31 2" xfId="3167"/>
    <cellStyle name="Normal 4 31 2 2" xfId="9937"/>
    <cellStyle name="Normal 4 31 2 3" xfId="22627"/>
    <cellStyle name="Normal 4 31 2 4" xfId="14912"/>
    <cellStyle name="Normal 4 31 2 5" xfId="30035"/>
    <cellStyle name="Normal 4 31 3" xfId="5211"/>
    <cellStyle name="Normal 4 31 3 2" xfId="11981"/>
    <cellStyle name="Normal 4 31 3 3" xfId="24671"/>
    <cellStyle name="Normal 4 31 3 4" xfId="18730"/>
    <cellStyle name="Normal 4 31 3 5" xfId="27315"/>
    <cellStyle name="Normal 4 31 4" xfId="7465"/>
    <cellStyle name="Normal 4 31 5" xfId="20393"/>
    <cellStyle name="Normal 4 31 6" xfId="19214"/>
    <cellStyle name="Normal 4 31 7" xfId="28659"/>
    <cellStyle name="Normal 4 32" xfId="719"/>
    <cellStyle name="Normal 4 32 2" xfId="3191"/>
    <cellStyle name="Normal 4 32 2 2" xfId="9961"/>
    <cellStyle name="Normal 4 32 2 3" xfId="22651"/>
    <cellStyle name="Normal 4 32 2 4" xfId="14758"/>
    <cellStyle name="Normal 4 32 2 5" xfId="30000"/>
    <cellStyle name="Normal 4 32 3" xfId="5231"/>
    <cellStyle name="Normal 4 32 3 2" xfId="12001"/>
    <cellStyle name="Normal 4 32 3 3" xfId="24691"/>
    <cellStyle name="Normal 4 32 3 4" xfId="14258"/>
    <cellStyle name="Normal 4 32 3 5" xfId="27572"/>
    <cellStyle name="Normal 4 32 4" xfId="7489"/>
    <cellStyle name="Normal 4 32 5" xfId="20413"/>
    <cellStyle name="Normal 4 32 6" xfId="19060"/>
    <cellStyle name="Normal 4 32 7" xfId="28627"/>
    <cellStyle name="Normal 4 33" xfId="741"/>
    <cellStyle name="Normal 4 33 2" xfId="3212"/>
    <cellStyle name="Normal 4 33 2 2" xfId="9982"/>
    <cellStyle name="Normal 4 33 2 3" xfId="22672"/>
    <cellStyle name="Normal 4 33 2 4" xfId="14624"/>
    <cellStyle name="Normal 4 33 2 5" xfId="29070"/>
    <cellStyle name="Normal 4 33 3" xfId="5250"/>
    <cellStyle name="Normal 4 33 3 2" xfId="12020"/>
    <cellStyle name="Normal 4 33 3 3" xfId="24710"/>
    <cellStyle name="Normal 4 33 3 4" xfId="15993"/>
    <cellStyle name="Normal 4 33 3 5" xfId="30505"/>
    <cellStyle name="Normal 4 33 4" xfId="7511"/>
    <cellStyle name="Normal 4 33 5" xfId="20432"/>
    <cellStyle name="Normal 4 33 6" xfId="18903"/>
    <cellStyle name="Normal 4 33 7" xfId="26423"/>
    <cellStyle name="Normal 4 34" xfId="765"/>
    <cellStyle name="Normal 4 34 2" xfId="3236"/>
    <cellStyle name="Normal 4 34 2 2" xfId="10006"/>
    <cellStyle name="Normal 4 34 2 3" xfId="22696"/>
    <cellStyle name="Normal 4 34 2 4" xfId="13679"/>
    <cellStyle name="Normal 4 34 2 5" xfId="29041"/>
    <cellStyle name="Normal 4 34 3" xfId="5271"/>
    <cellStyle name="Normal 4 34 3 2" xfId="12041"/>
    <cellStyle name="Normal 4 34 3 3" xfId="24731"/>
    <cellStyle name="Normal 4 34 3 4" xfId="18376"/>
    <cellStyle name="Normal 4 34 3 5" xfId="26348"/>
    <cellStyle name="Normal 4 34 4" xfId="7535"/>
    <cellStyle name="Normal 4 34 5" xfId="20453"/>
    <cellStyle name="Normal 4 34 6" xfId="16741"/>
    <cellStyle name="Normal 4 34 7" xfId="27410"/>
    <cellStyle name="Normal 4 35" xfId="790"/>
    <cellStyle name="Normal 4 35 2" xfId="3258"/>
    <cellStyle name="Normal 4 35 2 2" xfId="10028"/>
    <cellStyle name="Normal 4 35 2 3" xfId="22718"/>
    <cellStyle name="Normal 4 35 2 4" xfId="18666"/>
    <cellStyle name="Normal 4 35 2 5" xfId="26878"/>
    <cellStyle name="Normal 4 35 3" xfId="5292"/>
    <cellStyle name="Normal 4 35 3 2" xfId="12062"/>
    <cellStyle name="Normal 4 35 3 3" xfId="24752"/>
    <cellStyle name="Normal 4 35 3 4" xfId="16177"/>
    <cellStyle name="Normal 4 35 3 5" xfId="30436"/>
    <cellStyle name="Normal 4 35 4" xfId="7560"/>
    <cellStyle name="Normal 4 35 5" xfId="20474"/>
    <cellStyle name="Normal 4 35 6" xfId="18579"/>
    <cellStyle name="Normal 4 35 7" xfId="32417"/>
    <cellStyle name="Normal 4 36" xfId="813"/>
    <cellStyle name="Normal 4 36 2" xfId="3281"/>
    <cellStyle name="Normal 4 36 2 2" xfId="10051"/>
    <cellStyle name="Normal 4 36 2 3" xfId="22741"/>
    <cellStyle name="Normal 4 36 2 4" xfId="14164"/>
    <cellStyle name="Normal 4 36 2 5" xfId="29865"/>
    <cellStyle name="Normal 4 36 3" xfId="5312"/>
    <cellStyle name="Normal 4 36 3 2" xfId="12082"/>
    <cellStyle name="Normal 4 36 3 3" xfId="24772"/>
    <cellStyle name="Normal 4 36 3 4" xfId="15835"/>
    <cellStyle name="Normal 4 36 3 5" xfId="13868"/>
    <cellStyle name="Normal 4 36 4" xfId="7583"/>
    <cellStyle name="Normal 4 36 5" xfId="20494"/>
    <cellStyle name="Normal 4 36 6" xfId="15611"/>
    <cellStyle name="Normal 4 36 7" xfId="27338"/>
    <cellStyle name="Normal 4 37" xfId="836"/>
    <cellStyle name="Normal 4 37 2" xfId="3302"/>
    <cellStyle name="Normal 4 37 2 2" xfId="10072"/>
    <cellStyle name="Normal 4 37 2 3" xfId="22762"/>
    <cellStyle name="Normal 4 37 2 4" xfId="13634"/>
    <cellStyle name="Normal 4 37 2 5" xfId="28950"/>
    <cellStyle name="Normal 4 37 3" xfId="5332"/>
    <cellStyle name="Normal 4 37 3 2" xfId="12102"/>
    <cellStyle name="Normal 4 37 3 3" xfId="24792"/>
    <cellStyle name="Normal 4 37 3 4" xfId="18080"/>
    <cellStyle name="Normal 4 37 3 5" xfId="18599"/>
    <cellStyle name="Normal 4 37 4" xfId="7606"/>
    <cellStyle name="Normal 4 37 5" xfId="20514"/>
    <cellStyle name="Normal 4 37 6" xfId="17848"/>
    <cellStyle name="Normal 4 37 7" xfId="29501"/>
    <cellStyle name="Normal 4 38" xfId="859"/>
    <cellStyle name="Normal 4 38 2" xfId="3324"/>
    <cellStyle name="Normal 4 38 2 2" xfId="10094"/>
    <cellStyle name="Normal 4 38 2 3" xfId="22784"/>
    <cellStyle name="Normal 4 38 2 4" xfId="18273"/>
    <cellStyle name="Normal 4 38 2 5" xfId="26775"/>
    <cellStyle name="Normal 4 38 3" xfId="5352"/>
    <cellStyle name="Normal 4 38 3 2" xfId="12122"/>
    <cellStyle name="Normal 4 38 3 3" xfId="24812"/>
    <cellStyle name="Normal 4 38 3 4" xfId="15648"/>
    <cellStyle name="Normal 4 38 3 5" xfId="15395"/>
    <cellStyle name="Normal 4 38 4" xfId="7629"/>
    <cellStyle name="Normal 4 38 5" xfId="20534"/>
    <cellStyle name="Normal 4 38 6" xfId="19585"/>
    <cellStyle name="Normal 4 38 7" xfId="27565"/>
    <cellStyle name="Normal 4 39" xfId="882"/>
    <cellStyle name="Normal 4 39 2" xfId="3347"/>
    <cellStyle name="Normal 4 39 2 2" xfId="10117"/>
    <cellStyle name="Normal 4 39 2 3" xfId="22807"/>
    <cellStyle name="Normal 4 39 2 4" xfId="15830"/>
    <cellStyle name="Normal 4 39 2 5" xfId="29770"/>
    <cellStyle name="Normal 4 39 3" xfId="5372"/>
    <cellStyle name="Normal 4 39 3 2" xfId="12142"/>
    <cellStyle name="Normal 4 39 3 3" xfId="24832"/>
    <cellStyle name="Normal 4 39 3 4" xfId="17854"/>
    <cellStyle name="Normal 4 39 3 5" xfId="14935"/>
    <cellStyle name="Normal 4 39 4" xfId="7652"/>
    <cellStyle name="Normal 4 39 5" xfId="20554"/>
    <cellStyle name="Normal 4 39 6" xfId="15186"/>
    <cellStyle name="Normal 4 39 7" xfId="30477"/>
    <cellStyle name="Normal 4 4" xfId="56"/>
    <cellStyle name="Normal 4 4 2" xfId="2541"/>
    <cellStyle name="Normal 4 4 2 2" xfId="9311"/>
    <cellStyle name="Normal 4 4 2 3" xfId="22001"/>
    <cellStyle name="Normal 4 4 2 4" xfId="18657"/>
    <cellStyle name="Normal 4 4 2 5" xfId="31042"/>
    <cellStyle name="Normal 4 4 3" xfId="3816"/>
    <cellStyle name="Normal 4 4 3 2" xfId="10586"/>
    <cellStyle name="Normal 4 4 3 3" xfId="23276"/>
    <cellStyle name="Normal 4 4 3 4" xfId="19184"/>
    <cellStyle name="Normal 4 4 3 5" xfId="27392"/>
    <cellStyle name="Normal 4 4 4" xfId="6826"/>
    <cellStyle name="Normal 4 4 5" xfId="13699"/>
    <cellStyle name="Normal 4 4 6" xfId="15245"/>
    <cellStyle name="Normal 4 4 7" xfId="29722"/>
    <cellStyle name="Normal 4 40" xfId="905"/>
    <cellStyle name="Normal 4 40 2" xfId="3369"/>
    <cellStyle name="Normal 4 40 2 2" xfId="10139"/>
    <cellStyle name="Normal 4 40 2 3" xfId="22829"/>
    <cellStyle name="Normal 4 40 2 4" xfId="19913"/>
    <cellStyle name="Normal 4 40 2 5" xfId="30847"/>
    <cellStyle name="Normal 4 40 3" xfId="5392"/>
    <cellStyle name="Normal 4 40 3 2" xfId="12162"/>
    <cellStyle name="Normal 4 40 3 3" xfId="24852"/>
    <cellStyle name="Normal 4 40 3 4" xfId="19609"/>
    <cellStyle name="Normal 4 40 3 5" xfId="14158"/>
    <cellStyle name="Normal 4 40 4" xfId="7675"/>
    <cellStyle name="Normal 4 40 5" xfId="20574"/>
    <cellStyle name="Normal 4 40 6" xfId="16033"/>
    <cellStyle name="Normal 4 40 7" xfId="29418"/>
    <cellStyle name="Normal 4 41" xfId="928"/>
    <cellStyle name="Normal 4 41 2" xfId="3392"/>
    <cellStyle name="Normal 4 41 2 2" xfId="10162"/>
    <cellStyle name="Normal 4 41 2 3" xfId="22852"/>
    <cellStyle name="Normal 4 41 2 4" xfId="15535"/>
    <cellStyle name="Normal 4 41 2 5" xfId="28807"/>
    <cellStyle name="Normal 4 41 3" xfId="5412"/>
    <cellStyle name="Normal 4 41 3 2" xfId="12182"/>
    <cellStyle name="Normal 4 41 3 3" xfId="24872"/>
    <cellStyle name="Normal 4 41 3 4" xfId="15233"/>
    <cellStyle name="Normal 4 41 3 5" xfId="14005"/>
    <cellStyle name="Normal 4 41 4" xfId="7698"/>
    <cellStyle name="Normal 4 41 5" xfId="20594"/>
    <cellStyle name="Normal 4 41 6" xfId="19174"/>
    <cellStyle name="Normal 4 41 7" xfId="32378"/>
    <cellStyle name="Normal 4 42" xfId="951"/>
    <cellStyle name="Normal 4 42 2" xfId="3415"/>
    <cellStyle name="Normal 4 42 2 2" xfId="10185"/>
    <cellStyle name="Normal 4 42 2 3" xfId="22875"/>
    <cellStyle name="Normal 4 42 2 4" xfId="17775"/>
    <cellStyle name="Normal 4 42 2 5" xfId="31741"/>
    <cellStyle name="Normal 4 42 3" xfId="5433"/>
    <cellStyle name="Normal 4 42 3 2" xfId="12203"/>
    <cellStyle name="Normal 4 42 3 3" xfId="24893"/>
    <cellStyle name="Normal 4 42 3 4" xfId="15086"/>
    <cellStyle name="Normal 4 42 3 5" xfId="14778"/>
    <cellStyle name="Normal 4 42 4" xfId="7721"/>
    <cellStyle name="Normal 4 42 5" xfId="20615"/>
    <cellStyle name="Normal 4 42 6" xfId="14734"/>
    <cellStyle name="Normal 4 42 7" xfId="27148"/>
    <cellStyle name="Normal 4 43" xfId="972"/>
    <cellStyle name="Normal 4 43 2" xfId="3436"/>
    <cellStyle name="Normal 4 43 2 2" xfId="10206"/>
    <cellStyle name="Normal 4 43 2 3" xfId="22896"/>
    <cellStyle name="Normal 4 43 2 4" xfId="17646"/>
    <cellStyle name="Normal 4 43 2 5" xfId="27769"/>
    <cellStyle name="Normal 4 43 3" xfId="5451"/>
    <cellStyle name="Normal 4 43 3 2" xfId="12221"/>
    <cellStyle name="Normal 4 43 3 3" xfId="24911"/>
    <cellStyle name="Normal 4 43 3 4" xfId="14981"/>
    <cellStyle name="Normal 4 43 3 5" xfId="19697"/>
    <cellStyle name="Normal 4 43 4" xfId="7742"/>
    <cellStyle name="Normal 4 43 5" xfId="20633"/>
    <cellStyle name="Normal 4 43 6" xfId="14603"/>
    <cellStyle name="Normal 4 43 7" xfId="31259"/>
    <cellStyle name="Normal 4 44" xfId="994"/>
    <cellStyle name="Normal 4 44 2" xfId="3458"/>
    <cellStyle name="Normal 4 44 2 2" xfId="10228"/>
    <cellStyle name="Normal 4 44 2 3" xfId="22918"/>
    <cellStyle name="Normal 4 44 2 4" xfId="15109"/>
    <cellStyle name="Normal 4 44 2 5" xfId="28709"/>
    <cellStyle name="Normal 4 44 3" xfId="5470"/>
    <cellStyle name="Normal 4 44 3 2" xfId="12240"/>
    <cellStyle name="Normal 4 44 3 3" xfId="24930"/>
    <cellStyle name="Normal 4 44 3 4" xfId="19139"/>
    <cellStyle name="Normal 4 44 3 5" xfId="16785"/>
    <cellStyle name="Normal 4 44 4" xfId="7764"/>
    <cellStyle name="Normal 4 44 5" xfId="20652"/>
    <cellStyle name="Normal 4 44 6" xfId="18785"/>
    <cellStyle name="Normal 4 44 7" xfId="32143"/>
    <cellStyle name="Normal 4 45" xfId="1019"/>
    <cellStyle name="Normal 4 45 2" xfId="3483"/>
    <cellStyle name="Normal 4 45 2 2" xfId="10253"/>
    <cellStyle name="Normal 4 45 2 3" xfId="22943"/>
    <cellStyle name="Normal 4 45 2 4" xfId="19241"/>
    <cellStyle name="Normal 4 45 2 5" xfId="30641"/>
    <cellStyle name="Normal 4 45 3" xfId="5491"/>
    <cellStyle name="Normal 4 45 3 2" xfId="12261"/>
    <cellStyle name="Normal 4 45 3 3" xfId="24951"/>
    <cellStyle name="Normal 4 45 3 4" xfId="19021"/>
    <cellStyle name="Normal 4 45 3 5" xfId="16036"/>
    <cellStyle name="Normal 4 45 4" xfId="7789"/>
    <cellStyle name="Normal 4 45 5" xfId="20673"/>
    <cellStyle name="Normal 4 45 6" xfId="16651"/>
    <cellStyle name="Normal 4 45 7" xfId="32122"/>
    <cellStyle name="Normal 4 46" xfId="1041"/>
    <cellStyle name="Normal 4 46 2" xfId="3503"/>
    <cellStyle name="Normal 4 46 2 2" xfId="10273"/>
    <cellStyle name="Normal 4 46 2 3" xfId="22963"/>
    <cellStyle name="Normal 4 46 2 4" xfId="14835"/>
    <cellStyle name="Normal 4 46 2 5" xfId="29529"/>
    <cellStyle name="Normal 4 46 3" xfId="5510"/>
    <cellStyle name="Normal 4 46 3 2" xfId="12280"/>
    <cellStyle name="Normal 4 46 3 3" xfId="24970"/>
    <cellStyle name="Normal 4 46 3 4" xfId="16963"/>
    <cellStyle name="Normal 4 46 3 5" xfId="19805"/>
    <cellStyle name="Normal 4 46 4" xfId="7811"/>
    <cellStyle name="Normal 4 46 5" xfId="20692"/>
    <cellStyle name="Normal 4 46 6" xfId="16489"/>
    <cellStyle name="Normal 4 46 7" xfId="30006"/>
    <cellStyle name="Normal 4 47" xfId="1063"/>
    <cellStyle name="Normal 4 47 2" xfId="3525"/>
    <cellStyle name="Normal 4 47 2 2" xfId="10295"/>
    <cellStyle name="Normal 4 47 2 3" xfId="22985"/>
    <cellStyle name="Normal 4 47 2 4" xfId="18986"/>
    <cellStyle name="Normal 4 47 2 5" xfId="30563"/>
    <cellStyle name="Normal 4 47 3" xfId="5529"/>
    <cellStyle name="Normal 4 47 3 2" xfId="12299"/>
    <cellStyle name="Normal 4 47 3 3" xfId="24989"/>
    <cellStyle name="Normal 4 47 3 4" xfId="14138"/>
    <cellStyle name="Normal 4 47 3 5" xfId="26936"/>
    <cellStyle name="Normal 4 47 4" xfId="7833"/>
    <cellStyle name="Normal 4 47 5" xfId="20711"/>
    <cellStyle name="Normal 4 47 6" xfId="13964"/>
    <cellStyle name="Normal 4 47 7" xfId="29077"/>
    <cellStyle name="Normal 4 48" xfId="1086"/>
    <cellStyle name="Normal 4 48 2" xfId="3547"/>
    <cellStyle name="Normal 4 48 2 2" xfId="10317"/>
    <cellStyle name="Normal 4 48 2 3" xfId="23007"/>
    <cellStyle name="Normal 4 48 2 4" xfId="16903"/>
    <cellStyle name="Normal 4 48 2 5" xfId="31183"/>
    <cellStyle name="Normal 4 48 3" xfId="5549"/>
    <cellStyle name="Normal 4 48 3 2" xfId="12319"/>
    <cellStyle name="Normal 4 48 3 3" xfId="25009"/>
    <cellStyle name="Normal 4 48 3 4" xfId="16699"/>
    <cellStyle name="Normal 4 48 3 5" xfId="32353"/>
    <cellStyle name="Normal 4 48 4" xfId="7856"/>
    <cellStyle name="Normal 4 48 5" xfId="20731"/>
    <cellStyle name="Normal 4 48 6" xfId="17909"/>
    <cellStyle name="Normal 4 48 7" xfId="32006"/>
    <cellStyle name="Normal 4 49" xfId="1109"/>
    <cellStyle name="Normal 4 49 2" xfId="3570"/>
    <cellStyle name="Normal 4 49 2 2" xfId="10340"/>
    <cellStyle name="Normal 4 49 2 3" xfId="23030"/>
    <cellStyle name="Normal 4 49 2 4" xfId="18735"/>
    <cellStyle name="Normal 4 49 2 5" xfId="27386"/>
    <cellStyle name="Normal 4 49 3" xfId="5569"/>
    <cellStyle name="Normal 4 49 3 2" xfId="12339"/>
    <cellStyle name="Normal 4 49 3 3" xfId="25029"/>
    <cellStyle name="Normal 4 49 3 4" xfId="18551"/>
    <cellStyle name="Normal 4 49 3 5" xfId="31412"/>
    <cellStyle name="Normal 4 49 4" xfId="7879"/>
    <cellStyle name="Normal 4 49 5" xfId="20751"/>
    <cellStyle name="Normal 4 49 6" xfId="19640"/>
    <cellStyle name="Normal 4 49 7" xfId="26875"/>
    <cellStyle name="Normal 4 5" xfId="101"/>
    <cellStyle name="Normal 4 5 2" xfId="2585"/>
    <cellStyle name="Normal 4 5 2 2" xfId="9355"/>
    <cellStyle name="Normal 4 5 2 3" xfId="22045"/>
    <cellStyle name="Normal 4 5 2 4" xfId="13997"/>
    <cellStyle name="Normal 4 5 2 5" xfId="26715"/>
    <cellStyle name="Normal 4 5 3" xfId="4646"/>
    <cellStyle name="Normal 4 5 3 2" xfId="11416"/>
    <cellStyle name="Normal 4 5 3 3" xfId="24106"/>
    <cellStyle name="Normal 4 5 3 4" xfId="15798"/>
    <cellStyle name="Normal 4 5 3 5" xfId="31915"/>
    <cellStyle name="Normal 4 5 4" xfId="6871"/>
    <cellStyle name="Normal 4 5 5" xfId="15671"/>
    <cellStyle name="Normal 4 5 6" xfId="14948"/>
    <cellStyle name="Normal 4 5 7" xfId="28748"/>
    <cellStyle name="Normal 4 50" xfId="1131"/>
    <cellStyle name="Normal 4 50 2" xfId="3592"/>
    <cellStyle name="Normal 4 50 2 2" xfId="10362"/>
    <cellStyle name="Normal 4 50 2 3" xfId="23052"/>
    <cellStyle name="Normal 4 50 2 4" xfId="16596"/>
    <cellStyle name="Normal 4 50 2 5" xfId="28530"/>
    <cellStyle name="Normal 4 50 3" xfId="5588"/>
    <cellStyle name="Normal 4 50 3 2" xfId="12358"/>
    <cellStyle name="Normal 4 50 3 3" xfId="25048"/>
    <cellStyle name="Normal 4 50 3 4" xfId="16436"/>
    <cellStyle name="Normal 4 50 3 5" xfId="28417"/>
    <cellStyle name="Normal 4 50 4" xfId="7901"/>
    <cellStyle name="Normal 4 50 5" xfId="20770"/>
    <cellStyle name="Normal 4 50 6" xfId="16053"/>
    <cellStyle name="Normal 4 50 7" xfId="30983"/>
    <cellStyle name="Normal 4 51" xfId="1154"/>
    <cellStyle name="Normal 4 51 2" xfId="3614"/>
    <cellStyle name="Normal 4 51 2 2" xfId="10384"/>
    <cellStyle name="Normal 4 51 2 3" xfId="23074"/>
    <cellStyle name="Normal 4 51 2 4" xfId="14085"/>
    <cellStyle name="Normal 4 51 2 5" xfId="27475"/>
    <cellStyle name="Normal 4 51 3" xfId="5609"/>
    <cellStyle name="Normal 4 51 3 2" xfId="12379"/>
    <cellStyle name="Normal 4 51 3 3" xfId="25069"/>
    <cellStyle name="Normal 4 51 3 4" xfId="16300"/>
    <cellStyle name="Normal 4 51 3 5" xfId="32277"/>
    <cellStyle name="Normal 4 51 4" xfId="7924"/>
    <cellStyle name="Normal 4 51 5" xfId="20791"/>
    <cellStyle name="Normal 4 51 6" xfId="19366"/>
    <cellStyle name="Normal 4 51 7" xfId="28938"/>
    <cellStyle name="Normal 4 52" xfId="1174"/>
    <cellStyle name="Normal 4 52 2" xfId="3634"/>
    <cellStyle name="Normal 4 52 2 2" xfId="10404"/>
    <cellStyle name="Normal 4 52 2 3" xfId="23094"/>
    <cellStyle name="Normal 4 52 2 4" xfId="16329"/>
    <cellStyle name="Normal 4 52 2 5" xfId="27590"/>
    <cellStyle name="Normal 4 52 3" xfId="5626"/>
    <cellStyle name="Normal 4 52 3 2" xfId="12396"/>
    <cellStyle name="Normal 4 52 3 3" xfId="25086"/>
    <cellStyle name="Normal 4 52 3 4" xfId="18117"/>
    <cellStyle name="Normal 4 52 3 5" xfId="27196"/>
    <cellStyle name="Normal 4 52 4" xfId="7944"/>
    <cellStyle name="Normal 4 52 5" xfId="20808"/>
    <cellStyle name="Normal 4 52 6" xfId="14973"/>
    <cellStyle name="Normal 4 52 7" xfId="31850"/>
    <cellStyle name="Normal 4 53" xfId="1191"/>
    <cellStyle name="Normal 4 53 2" xfId="3651"/>
    <cellStyle name="Normal 4 53 2 2" xfId="10421"/>
    <cellStyle name="Normal 4 53 2 3" xfId="23111"/>
    <cellStyle name="Normal 4 53 2 4" xfId="16499"/>
    <cellStyle name="Normal 4 53 2 5" xfId="30514"/>
    <cellStyle name="Normal 4 53 3" xfId="5641"/>
    <cellStyle name="Normal 4 53 3 2" xfId="12411"/>
    <cellStyle name="Normal 4 53 3 3" xfId="25101"/>
    <cellStyle name="Normal 4 53 3 4" xfId="20032"/>
    <cellStyle name="Normal 4 53 3 5" xfId="31315"/>
    <cellStyle name="Normal 4 53 4" xfId="7961"/>
    <cellStyle name="Normal 4 53 5" xfId="20823"/>
    <cellStyle name="Normal 4 53 6" xfId="17218"/>
    <cellStyle name="Normal 4 53 7" xfId="26714"/>
    <cellStyle name="Normal 4 54" xfId="1222"/>
    <cellStyle name="Normal 4 54 2" xfId="3682"/>
    <cellStyle name="Normal 4 54 2 2" xfId="10452"/>
    <cellStyle name="Normal 4 54 2 3" xfId="23142"/>
    <cellStyle name="Normal 4 54 2 4" xfId="18128"/>
    <cellStyle name="Normal 4 54 2 5" xfId="27524"/>
    <cellStyle name="Normal 4 54 3" xfId="5667"/>
    <cellStyle name="Normal 4 54 3 2" xfId="12437"/>
    <cellStyle name="Normal 4 54 3 3" xfId="25127"/>
    <cellStyle name="Normal 4 54 3 4" xfId="6796"/>
    <cellStyle name="Normal 4 54 3 5" xfId="30132"/>
    <cellStyle name="Normal 4 54 4" xfId="7992"/>
    <cellStyle name="Normal 4 54 5" xfId="20849"/>
    <cellStyle name="Normal 4 54 6" xfId="14644"/>
    <cellStyle name="Normal 4 54 7" xfId="31770"/>
    <cellStyle name="Normal 4 55" xfId="1245"/>
    <cellStyle name="Normal 4 55 2" xfId="3705"/>
    <cellStyle name="Normal 4 55 2 2" xfId="10475"/>
    <cellStyle name="Normal 4 55 2 3" xfId="23165"/>
    <cellStyle name="Normal 4 55 2 4" xfId="19831"/>
    <cellStyle name="Normal 4 55 2 5" xfId="31511"/>
    <cellStyle name="Normal 4 55 3" xfId="5687"/>
    <cellStyle name="Normal 4 55 3 2" xfId="12457"/>
    <cellStyle name="Normal 4 55 3 3" xfId="25147"/>
    <cellStyle name="Normal 4 55 3 4" xfId="19863"/>
    <cellStyle name="Normal 4 55 3 5" xfId="32169"/>
    <cellStyle name="Normal 4 55 4" xfId="8015"/>
    <cellStyle name="Normal 4 55 5" xfId="20869"/>
    <cellStyle name="Normal 4 55 6" xfId="16871"/>
    <cellStyle name="Normal 4 55 7" xfId="27790"/>
    <cellStyle name="Normal 4 56" xfId="1268"/>
    <cellStyle name="Normal 4 56 2" xfId="3727"/>
    <cellStyle name="Normal 4 56 2 2" xfId="10497"/>
    <cellStyle name="Normal 4 56 2 3" xfId="23187"/>
    <cellStyle name="Normal 4 56 2 4" xfId="17859"/>
    <cellStyle name="Normal 4 56 2 5" xfId="32371"/>
    <cellStyle name="Normal 4 56 3" xfId="5707"/>
    <cellStyle name="Normal 4 56 3 2" xfId="12477"/>
    <cellStyle name="Normal 4 56 3 3" xfId="25167"/>
    <cellStyle name="Normal 4 56 3 4" xfId="13692"/>
    <cellStyle name="Normal 4 56 3 5" xfId="31216"/>
    <cellStyle name="Normal 4 56 4" xfId="8038"/>
    <cellStyle name="Normal 4 56 5" xfId="20889"/>
    <cellStyle name="Normal 4 56 6" xfId="18703"/>
    <cellStyle name="Normal 4 56 7" xfId="30713"/>
    <cellStyle name="Normal 4 57" xfId="1291"/>
    <cellStyle name="Normal 4 57 2" xfId="3749"/>
    <cellStyle name="Normal 4 57 2 2" xfId="10519"/>
    <cellStyle name="Normal 4 57 2 3" xfId="23209"/>
    <cellStyle name="Normal 4 57 2 4" xfId="15324"/>
    <cellStyle name="Normal 4 57 2 5" xfId="29514"/>
    <cellStyle name="Normal 4 57 3" xfId="5727"/>
    <cellStyle name="Normal 4 57 3 2" xfId="12497"/>
    <cellStyle name="Normal 4 57 3 3" xfId="25187"/>
    <cellStyle name="Normal 4 57 3 4" xfId="17690"/>
    <cellStyle name="Normal 4 57 3 5" xfId="27391"/>
    <cellStyle name="Normal 4 57 4" xfId="8061"/>
    <cellStyle name="Normal 4 57 5" xfId="20909"/>
    <cellStyle name="Normal 4 57 6" xfId="14182"/>
    <cellStyle name="Normal 4 57 7" xfId="29377"/>
    <cellStyle name="Normal 4 58" xfId="1314"/>
    <cellStyle name="Normal 4 58 2" xfId="3772"/>
    <cellStyle name="Normal 4 58 2 2" xfId="10542"/>
    <cellStyle name="Normal 4 58 2 3" xfId="23232"/>
    <cellStyle name="Normal 4 58 2 4" xfId="17556"/>
    <cellStyle name="Normal 4 58 2 5" xfId="27580"/>
    <cellStyle name="Normal 4 58 3" xfId="5747"/>
    <cellStyle name="Normal 4 58 3 2" xfId="12517"/>
    <cellStyle name="Normal 4 58 3 3" xfId="25207"/>
    <cellStyle name="Normal 4 58 3 4" xfId="19458"/>
    <cellStyle name="Normal 4 58 3 5" xfId="32087"/>
    <cellStyle name="Normal 4 58 4" xfId="8084"/>
    <cellStyle name="Normal 4 58 5" xfId="20929"/>
    <cellStyle name="Normal 4 58 6" xfId="17960"/>
    <cellStyle name="Normal 4 58 7" xfId="32311"/>
    <cellStyle name="Normal 4 59" xfId="1337"/>
    <cellStyle name="Normal 4 59 2" xfId="3794"/>
    <cellStyle name="Normal 4 59 2 2" xfId="10564"/>
    <cellStyle name="Normal 4 59 2 3" xfId="23254"/>
    <cellStyle name="Normal 4 59 2 4" xfId="15050"/>
    <cellStyle name="Normal 4 59 2 5" xfId="27615"/>
    <cellStyle name="Normal 4 59 3" xfId="5767"/>
    <cellStyle name="Normal 4 59 3 2" xfId="12537"/>
    <cellStyle name="Normal 4 59 3 3" xfId="25227"/>
    <cellStyle name="Normal 4 59 3 4" xfId="15053"/>
    <cellStyle name="Normal 4 59 3 5" xfId="31120"/>
    <cellStyle name="Normal 4 59 4" xfId="8107"/>
    <cellStyle name="Normal 4 59 5" xfId="20949"/>
    <cellStyle name="Normal 4 59 6" xfId="19693"/>
    <cellStyle name="Normal 4 59 7" xfId="27223"/>
    <cellStyle name="Normal 4 6" xfId="125"/>
    <cellStyle name="Normal 4 6 2" xfId="2609"/>
    <cellStyle name="Normal 4 6 2 2" xfId="9379"/>
    <cellStyle name="Normal 4 6 2 3" xfId="22069"/>
    <cellStyle name="Normal 4 6 2 4" xfId="13844"/>
    <cellStyle name="Normal 4 6 2 5" xfId="29818"/>
    <cellStyle name="Normal 4 6 3" xfId="4153"/>
    <cellStyle name="Normal 4 6 3 2" xfId="10923"/>
    <cellStyle name="Normal 4 6 3 3" xfId="23613"/>
    <cellStyle name="Normal 4 6 3 4" xfId="17186"/>
    <cellStyle name="Normal 4 6 3 5" xfId="26956"/>
    <cellStyle name="Normal 4 6 4" xfId="6895"/>
    <cellStyle name="Normal 4 6 5" xfId="15213"/>
    <cellStyle name="Normal 4 6 6" xfId="14796"/>
    <cellStyle name="Normal 4 6 7" xfId="28719"/>
    <cellStyle name="Normal 4 60" xfId="1360"/>
    <cellStyle name="Normal 4 60 2" xfId="3817"/>
    <cellStyle name="Normal 4 60 2 2" xfId="10587"/>
    <cellStyle name="Normal 4 60 2 3" xfId="23277"/>
    <cellStyle name="Normal 4 60 2 4" xfId="17253"/>
    <cellStyle name="Normal 4 60 2 5" xfId="32431"/>
    <cellStyle name="Normal 4 60 3" xfId="5787"/>
    <cellStyle name="Normal 4 60 3 2" xfId="12557"/>
    <cellStyle name="Normal 4 60 3 3" xfId="25247"/>
    <cellStyle name="Normal 4 60 3 4" xfId="17301"/>
    <cellStyle name="Normal 4 60 3 5" xfId="29958"/>
    <cellStyle name="Normal 4 60 4" xfId="8130"/>
    <cellStyle name="Normal 4 60 5" xfId="20969"/>
    <cellStyle name="Normal 4 60 6" xfId="15309"/>
    <cellStyle name="Normal 4 60 7" xfId="30183"/>
    <cellStyle name="Normal 4 61" xfId="1383"/>
    <cellStyle name="Normal 4 61 2" xfId="3839"/>
    <cellStyle name="Normal 4 61 2 2" xfId="10609"/>
    <cellStyle name="Normal 4 61 2 3" xfId="23299"/>
    <cellStyle name="Normal 4 61 2 4" xfId="14745"/>
    <cellStyle name="Normal 4 61 2 5" xfId="30330"/>
    <cellStyle name="Normal 4 61 3" xfId="5807"/>
    <cellStyle name="Normal 4 61 3 2" xfId="12577"/>
    <cellStyle name="Normal 4 61 3 3" xfId="25267"/>
    <cellStyle name="Normal 4 61 3 4" xfId="16471"/>
    <cellStyle name="Normal 4 61 3 5" xfId="32004"/>
    <cellStyle name="Normal 4 61 4" xfId="8153"/>
    <cellStyle name="Normal 4 61 5" xfId="20989"/>
    <cellStyle name="Normal 4 61 6" xfId="17519"/>
    <cellStyle name="Normal 4 61 7" xfId="28334"/>
    <cellStyle name="Normal 4 62" xfId="1406"/>
    <cellStyle name="Normal 4 62 2" xfId="3861"/>
    <cellStyle name="Normal 4 62 2 2" xfId="10631"/>
    <cellStyle name="Normal 4 62 2 3" xfId="23321"/>
    <cellStyle name="Normal 4 62 2 4" xfId="18927"/>
    <cellStyle name="Normal 4 62 2 5" xfId="31471"/>
    <cellStyle name="Normal 4 62 3" xfId="5827"/>
    <cellStyle name="Normal 4 62 3 2" xfId="12597"/>
    <cellStyle name="Normal 4 62 3 3" xfId="25287"/>
    <cellStyle name="Normal 4 62 3 4" xfId="14682"/>
    <cellStyle name="Normal 4 62 3 5" xfId="31026"/>
    <cellStyle name="Normal 4 62 4" xfId="8176"/>
    <cellStyle name="Normal 4 62 5" xfId="21009"/>
    <cellStyle name="Normal 4 62 6" xfId="19285"/>
    <cellStyle name="Normal 4 62 7" xfId="31266"/>
    <cellStyle name="Normal 4 63" xfId="1429"/>
    <cellStyle name="Normal 4 63 2" xfId="3883"/>
    <cellStyle name="Normal 4 63 2 2" xfId="10653"/>
    <cellStyle name="Normal 4 63 2 3" xfId="23343"/>
    <cellStyle name="Normal 4 63 2 4" xfId="16814"/>
    <cellStyle name="Normal 4 63 2 5" xfId="31660"/>
    <cellStyle name="Normal 4 63 3" xfId="5847"/>
    <cellStyle name="Normal 4 63 3 2" xfId="12617"/>
    <cellStyle name="Normal 4 63 3 3" xfId="25307"/>
    <cellStyle name="Normal 4 63 3 4" xfId="16905"/>
    <cellStyle name="Normal 4 63 3 5" xfId="29870"/>
    <cellStyle name="Normal 4 63 4" xfId="8199"/>
    <cellStyle name="Normal 4 63 5" xfId="21029"/>
    <cellStyle name="Normal 4 63 6" xfId="14861"/>
    <cellStyle name="Normal 4 63 7" xfId="29194"/>
    <cellStyle name="Normal 4 64" xfId="1452"/>
    <cellStyle name="Normal 4 64 2" xfId="3906"/>
    <cellStyle name="Normal 4 64 2 2" xfId="10676"/>
    <cellStyle name="Normal 4 64 2 3" xfId="23366"/>
    <cellStyle name="Normal 4 64 2 4" xfId="18655"/>
    <cellStyle name="Normal 4 64 2 5" xfId="26486"/>
    <cellStyle name="Normal 4 64 3" xfId="5867"/>
    <cellStyle name="Normal 4 64 3 2" xfId="12637"/>
    <cellStyle name="Normal 4 64 3 3" xfId="25327"/>
    <cellStyle name="Normal 4 64 3 4" xfId="18737"/>
    <cellStyle name="Normal 4 64 3 5" xfId="31921"/>
    <cellStyle name="Normal 4 64 4" xfId="8222"/>
    <cellStyle name="Normal 4 64 5" xfId="21049"/>
    <cellStyle name="Normal 4 64 6" xfId="17061"/>
    <cellStyle name="Normal 4 64 7" xfId="32121"/>
    <cellStyle name="Normal 4 65" xfId="1475"/>
    <cellStyle name="Normal 4 65 2" xfId="3929"/>
    <cellStyle name="Normal 4 65 2 2" xfId="10699"/>
    <cellStyle name="Normal 4 65 2 3" xfId="23389"/>
    <cellStyle name="Normal 4 65 2 4" xfId="14151"/>
    <cellStyle name="Normal 4 65 2 5" xfId="27595"/>
    <cellStyle name="Normal 4 65 3" xfId="5887"/>
    <cellStyle name="Normal 4 65 3 2" xfId="12657"/>
    <cellStyle name="Normal 4 65 3 3" xfId="25347"/>
    <cellStyle name="Normal 4 65 3 4" xfId="14265"/>
    <cellStyle name="Normal 4 65 3 5" xfId="30926"/>
    <cellStyle name="Normal 4 65 4" xfId="8245"/>
    <cellStyle name="Normal 4 65 5" xfId="21069"/>
    <cellStyle name="Normal 4 65 6" xfId="18874"/>
    <cellStyle name="Normal 4 65 7" xfId="27016"/>
    <cellStyle name="Normal 4 66" xfId="1498"/>
    <cellStyle name="Normal 4 66 2" xfId="3951"/>
    <cellStyle name="Normal 4 66 2 2" xfId="10721"/>
    <cellStyle name="Normal 4 66 2 3" xfId="23411"/>
    <cellStyle name="Normal 4 66 2 4" xfId="16539"/>
    <cellStyle name="Normal 4 66 2 5" xfId="29349"/>
    <cellStyle name="Normal 4 66 3" xfId="5907"/>
    <cellStyle name="Normal 4 66 3 2" xfId="12677"/>
    <cellStyle name="Normal 4 66 3 3" xfId="25367"/>
    <cellStyle name="Normal 4 66 3 4" xfId="15956"/>
    <cellStyle name="Normal 4 66 3 5" xfId="29784"/>
    <cellStyle name="Normal 4 66 4" xfId="8268"/>
    <cellStyle name="Normal 4 66 5" xfId="21089"/>
    <cellStyle name="Normal 4 66 6" xfId="14401"/>
    <cellStyle name="Normal 4 66 7" xfId="29994"/>
    <cellStyle name="Normal 4 67" xfId="1521"/>
    <cellStyle name="Normal 4 67 2" xfId="3973"/>
    <cellStyle name="Normal 4 67 2 2" xfId="10743"/>
    <cellStyle name="Normal 4 67 2 3" xfId="23433"/>
    <cellStyle name="Normal 4 67 2 4" xfId="16216"/>
    <cellStyle name="Normal 4 67 2 5" xfId="27231"/>
    <cellStyle name="Normal 4 67 3" xfId="5927"/>
    <cellStyle name="Normal 4 67 3 2" xfId="12697"/>
    <cellStyle name="Normal 4 67 3 3" xfId="25387"/>
    <cellStyle name="Normal 4 67 3 4" xfId="18383"/>
    <cellStyle name="Normal 4 67 3 5" xfId="30973"/>
    <cellStyle name="Normal 4 67 4" xfId="8291"/>
    <cellStyle name="Normal 4 67 5" xfId="21109"/>
    <cellStyle name="Normal 4 67 6" xfId="16600"/>
    <cellStyle name="Normal 4 67 7" xfId="28123"/>
    <cellStyle name="Normal 4 68" xfId="1544"/>
    <cellStyle name="Normal 4 68 2" xfId="3995"/>
    <cellStyle name="Normal 4 68 2 2" xfId="10765"/>
    <cellStyle name="Normal 4 68 2 3" xfId="23455"/>
    <cellStyle name="Normal 4 68 2 4" xfId="15820"/>
    <cellStyle name="Normal 4 68 2 5" xfId="28368"/>
    <cellStyle name="Normal 4 68 3" xfId="5947"/>
    <cellStyle name="Normal 4 68 3 2" xfId="12717"/>
    <cellStyle name="Normal 4 68 3 3" xfId="25407"/>
    <cellStyle name="Normal 4 68 3 4" xfId="13867"/>
    <cellStyle name="Normal 4 68 3 5" xfId="30829"/>
    <cellStyle name="Normal 4 68 4" xfId="8314"/>
    <cellStyle name="Normal 4 68 5" xfId="21129"/>
    <cellStyle name="Normal 4 68 6" xfId="18465"/>
    <cellStyle name="Normal 4 68 7" xfId="31045"/>
    <cellStyle name="Normal 4 69" xfId="1567"/>
    <cellStyle name="Normal 4 69 2" xfId="4017"/>
    <cellStyle name="Normal 4 69 2 2" xfId="10787"/>
    <cellStyle name="Normal 4 69 2 3" xfId="23477"/>
    <cellStyle name="Normal 4 69 2 4" xfId="19911"/>
    <cellStyle name="Normal 4 69 2 5" xfId="29266"/>
    <cellStyle name="Normal 4 69 3" xfId="5967"/>
    <cellStyle name="Normal 4 69 3 2" xfId="12737"/>
    <cellStyle name="Normal 4 69 3 3" xfId="25427"/>
    <cellStyle name="Normal 4 69 3 4" xfId="13608"/>
    <cellStyle name="Normal 4 69 3 5" xfId="29694"/>
    <cellStyle name="Normal 4 69 4" xfId="8337"/>
    <cellStyle name="Normal 4 69 5" xfId="21149"/>
    <cellStyle name="Normal 4 69 6" xfId="13936"/>
    <cellStyle name="Normal 4 69 7" xfId="28998"/>
    <cellStyle name="Normal 4 7" xfId="148"/>
    <cellStyle name="Normal 4 7 2" xfId="2632"/>
    <cellStyle name="Normal 4 7 2 2" xfId="9402"/>
    <cellStyle name="Normal 4 7 2 3" xfId="22092"/>
    <cellStyle name="Normal 4 7 2 4" xfId="18184"/>
    <cellStyle name="Normal 4 7 2 5" xfId="27922"/>
    <cellStyle name="Normal 4 7 3" xfId="3687"/>
    <cellStyle name="Normal 4 7 3 2" xfId="10457"/>
    <cellStyle name="Normal 4 7 3 3" xfId="23147"/>
    <cellStyle name="Normal 4 7 3 4" xfId="17435"/>
    <cellStyle name="Normal 4 7 3 5" xfId="31539"/>
    <cellStyle name="Normal 4 7 4" xfId="6918"/>
    <cellStyle name="Normal 4 7 5" xfId="14762"/>
    <cellStyle name="Normal 4 7 6" xfId="16997"/>
    <cellStyle name="Normal 4 7 7" xfId="31654"/>
    <cellStyle name="Normal 4 70" xfId="1590"/>
    <cellStyle name="Normal 4 70 2" xfId="4039"/>
    <cellStyle name="Normal 4 70 2 2" xfId="10809"/>
    <cellStyle name="Normal 4 70 2 3" xfId="23499"/>
    <cellStyle name="Normal 4 70 2 4" xfId="17919"/>
    <cellStyle name="Normal 4 70 2 5" xfId="27134"/>
    <cellStyle name="Normal 4 70 3" xfId="5987"/>
    <cellStyle name="Normal 4 70 3 2" xfId="12757"/>
    <cellStyle name="Normal 4 70 3 3" xfId="25447"/>
    <cellStyle name="Normal 4 70 3 4" xfId="19934"/>
    <cellStyle name="Normal 4 70 3 5" xfId="31737"/>
    <cellStyle name="Normal 4 70 4" xfId="8360"/>
    <cellStyle name="Normal 4 70 5" xfId="21169"/>
    <cellStyle name="Normal 4 70 6" xfId="18266"/>
    <cellStyle name="Normal 4 70 7" xfId="31927"/>
    <cellStyle name="Normal 4 71" xfId="1613"/>
    <cellStyle name="Normal 4 71 2" xfId="4061"/>
    <cellStyle name="Normal 4 71 2 2" xfId="10831"/>
    <cellStyle name="Normal 4 71 2 3" xfId="23521"/>
    <cellStyle name="Normal 4 71 2 4" xfId="15406"/>
    <cellStyle name="Normal 4 71 2 5" xfId="28274"/>
    <cellStyle name="Normal 4 71 3" xfId="6007"/>
    <cellStyle name="Normal 4 71 3 2" xfId="12777"/>
    <cellStyle name="Normal 4 71 3 3" xfId="25467"/>
    <cellStyle name="Normal 4 71 3 4" xfId="15665"/>
    <cellStyle name="Normal 4 71 3 5" xfId="30730"/>
    <cellStyle name="Normal 4 71 4" xfId="8383"/>
    <cellStyle name="Normal 4 71 5" xfId="21189"/>
    <cellStyle name="Normal 4 71 6" xfId="19955"/>
    <cellStyle name="Normal 4 71 7" xfId="26301"/>
    <cellStyle name="Normal 4 72" xfId="1635"/>
    <cellStyle name="Normal 4 72 2" xfId="4083"/>
    <cellStyle name="Normal 4 72 2 2" xfId="10853"/>
    <cellStyle name="Normal 4 72 2 3" xfId="23543"/>
    <cellStyle name="Normal 4 72 2 4" xfId="19534"/>
    <cellStyle name="Normal 4 72 2 5" xfId="29175"/>
    <cellStyle name="Normal 4 72 3" xfId="6026"/>
    <cellStyle name="Normal 4 72 3 2" xfId="12796"/>
    <cellStyle name="Normal 4 72 3 3" xfId="25486"/>
    <cellStyle name="Normal 4 72 3 4" xfId="19769"/>
    <cellStyle name="Normal 4 72 3 5" xfId="27729"/>
    <cellStyle name="Normal 4 72 4" xfId="8405"/>
    <cellStyle name="Normal 4 72 5" xfId="21208"/>
    <cellStyle name="Normal 4 72 6" xfId="16406"/>
    <cellStyle name="Normal 4 72 7" xfId="27937"/>
    <cellStyle name="Normal 4 73" xfId="1656"/>
    <cellStyle name="Normal 4 73 2" xfId="4104"/>
    <cellStyle name="Normal 4 73 2 2" xfId="10874"/>
    <cellStyle name="Normal 4 73 2 3" xfId="23564"/>
    <cellStyle name="Normal 4 73 2 4" xfId="19394"/>
    <cellStyle name="Normal 4 73 2 5" xfId="30037"/>
    <cellStyle name="Normal 4 73 3" xfId="6044"/>
    <cellStyle name="Normal 4 73 3 2" xfId="12814"/>
    <cellStyle name="Normal 4 73 3 3" xfId="25504"/>
    <cellStyle name="Normal 4 73 3 4" xfId="19677"/>
    <cellStyle name="Normal 4 73 3 5" xfId="27694"/>
    <cellStyle name="Normal 4 73 4" xfId="8426"/>
    <cellStyle name="Normal 4 73 5" xfId="21226"/>
    <cellStyle name="Normal 4 73 6" xfId="18046"/>
    <cellStyle name="Normal 4 73 7" xfId="31839"/>
    <cellStyle name="Normal 4 74" xfId="1675"/>
    <cellStyle name="Normal 4 74 2" xfId="4122"/>
    <cellStyle name="Normal 4 74 2 2" xfId="10892"/>
    <cellStyle name="Normal 4 74 2 3" xfId="23582"/>
    <cellStyle name="Normal 4 74 2 4" xfId="19299"/>
    <cellStyle name="Normal 4 74 2 5" xfId="30011"/>
    <cellStyle name="Normal 4 74 3" xfId="6062"/>
    <cellStyle name="Normal 4 74 3 2" xfId="12832"/>
    <cellStyle name="Normal 4 74 3 3" xfId="25522"/>
    <cellStyle name="Normal 4 74 3 4" xfId="19562"/>
    <cellStyle name="Normal 4 74 3 5" xfId="27455"/>
    <cellStyle name="Normal 4 74 4" xfId="8445"/>
    <cellStyle name="Normal 4 74 5" xfId="21244"/>
    <cellStyle name="Normal 4 74 6" xfId="15538"/>
    <cellStyle name="Normal 4 74 7" xfId="28833"/>
    <cellStyle name="Normal 4 75" xfId="1702"/>
    <cellStyle name="Normal 4 75 2" xfId="4148"/>
    <cellStyle name="Normal 4 75 2 2" xfId="10918"/>
    <cellStyle name="Normal 4 75 2 3" xfId="23608"/>
    <cellStyle name="Normal 4 75 2 4" xfId="14855"/>
    <cellStyle name="Normal 4 75 2 5" xfId="32047"/>
    <cellStyle name="Normal 4 75 3" xfId="6085"/>
    <cellStyle name="Normal 4 75 3 2" xfId="12855"/>
    <cellStyle name="Normal 4 75 3 3" xfId="25545"/>
    <cellStyle name="Normal 4 75 3 4" xfId="15160"/>
    <cellStyle name="Normal 4 75 3 5" xfId="30584"/>
    <cellStyle name="Normal 4 75 4" xfId="8472"/>
    <cellStyle name="Normal 4 75 5" xfId="21267"/>
    <cellStyle name="Normal 4 75 6" xfId="15370"/>
    <cellStyle name="Normal 4 75 7" xfId="29693"/>
    <cellStyle name="Normal 4 76" xfId="1725"/>
    <cellStyle name="Normal 4 76 2" xfId="4170"/>
    <cellStyle name="Normal 4 76 2 2" xfId="10940"/>
    <cellStyle name="Normal 4 76 2 3" xfId="23630"/>
    <cellStyle name="Normal 4 76 2 4" xfId="19005"/>
    <cellStyle name="Normal 4 76 2 5" xfId="29946"/>
    <cellStyle name="Normal 4 76 3" xfId="6105"/>
    <cellStyle name="Normal 4 76 3 2" xfId="12875"/>
    <cellStyle name="Normal 4 76 3 3" xfId="25565"/>
    <cellStyle name="Normal 4 76 3 4" xfId="17416"/>
    <cellStyle name="Normal 4 76 3 5" xfId="26290"/>
    <cellStyle name="Normal 4 76 4" xfId="8495"/>
    <cellStyle name="Normal 4 76 5" xfId="21287"/>
    <cellStyle name="Normal 4 76 6" xfId="17604"/>
    <cellStyle name="Normal 4 76 7" xfId="27787"/>
    <cellStyle name="Normal 4 77" xfId="1748"/>
    <cellStyle name="Normal 4 77 2" xfId="4192"/>
    <cellStyle name="Normal 4 77 2 2" xfId="10962"/>
    <cellStyle name="Normal 4 77 2 3" xfId="23652"/>
    <cellStyle name="Normal 4 77 2 4" xfId="16923"/>
    <cellStyle name="Normal 4 77 2 5" xfId="31033"/>
    <cellStyle name="Normal 4 77 3" xfId="6125"/>
    <cellStyle name="Normal 4 77 3 2" xfId="12895"/>
    <cellStyle name="Normal 4 77 3 3" xfId="25585"/>
    <cellStyle name="Normal 4 77 3 4" xfId="19191"/>
    <cellStyle name="Normal 4 77 3 5" xfId="32445"/>
    <cellStyle name="Normal 4 77 4" xfId="8518"/>
    <cellStyle name="Normal 4 77 5" xfId="21307"/>
    <cellStyle name="Normal 4 77 6" xfId="19360"/>
    <cellStyle name="Normal 4 77 7" xfId="28722"/>
    <cellStyle name="Normal 4 78" xfId="1771"/>
    <cellStyle name="Normal 4 78 2" xfId="4214"/>
    <cellStyle name="Normal 4 78 2 2" xfId="10984"/>
    <cellStyle name="Normal 4 78 2 3" xfId="23674"/>
    <cellStyle name="Normal 4 78 2 4" xfId="14416"/>
    <cellStyle name="Normal 4 78 2 5" xfId="31954"/>
    <cellStyle name="Normal 4 78 3" xfId="6145"/>
    <cellStyle name="Normal 4 78 3 2" xfId="12915"/>
    <cellStyle name="Normal 4 78 3 3" xfId="25605"/>
    <cellStyle name="Normal 4 78 3 4" xfId="14776"/>
    <cellStyle name="Normal 4 78 3 5" xfId="31532"/>
    <cellStyle name="Normal 4 78 4" xfId="8541"/>
    <cellStyle name="Normal 4 78 5" xfId="21327"/>
    <cellStyle name="Normal 4 78 6" xfId="14925"/>
    <cellStyle name="Normal 4 78 7" xfId="31657"/>
    <cellStyle name="Normal 4 79" xfId="1794"/>
    <cellStyle name="Normal 4 79 2" xfId="4236"/>
    <cellStyle name="Normal 4 79 2 2" xfId="11006"/>
    <cellStyle name="Normal 4 79 2 3" xfId="23696"/>
    <cellStyle name="Normal 4 79 2 4" xfId="18614"/>
    <cellStyle name="Normal 4 79 2 5" xfId="29847"/>
    <cellStyle name="Normal 4 79 3" xfId="6165"/>
    <cellStyle name="Normal 4 79 3 2" xfId="12935"/>
    <cellStyle name="Normal 4 79 3 3" xfId="25625"/>
    <cellStyle name="Normal 4 79 3 4" xfId="16029"/>
    <cellStyle name="Normal 4 79 3 5" xfId="30322"/>
    <cellStyle name="Normal 4 79 4" xfId="8564"/>
    <cellStyle name="Normal 4 79 5" xfId="21347"/>
    <cellStyle name="Normal 4 79 6" xfId="17148"/>
    <cellStyle name="Normal 4 79 7" xfId="26483"/>
    <cellStyle name="Normal 4 8" xfId="171"/>
    <cellStyle name="Normal 4 8 2" xfId="2654"/>
    <cellStyle name="Normal 4 8 2 2" xfId="9424"/>
    <cellStyle name="Normal 4 8 2 3" xfId="22114"/>
    <cellStyle name="Normal 4 8 2 4" xfId="14340"/>
    <cellStyle name="Normal 4 8 2 5" xfId="27482"/>
    <cellStyle name="Normal 4 8 3" xfId="3218"/>
    <cellStyle name="Normal 4 8 3 2" xfId="9988"/>
    <cellStyle name="Normal 4 8 3 3" xfId="22678"/>
    <cellStyle name="Normal 4 8 3 4" xfId="14581"/>
    <cellStyle name="Normal 4 8 3 5" xfId="29061"/>
    <cellStyle name="Normal 4 8 4" xfId="6941"/>
    <cellStyle name="Normal 4 8 5" xfId="14304"/>
    <cellStyle name="Normal 4 8 6" xfId="18818"/>
    <cellStyle name="Normal 4 8 7" xfId="26479"/>
    <cellStyle name="Normal 4 80" xfId="1817"/>
    <cellStyle name="Normal 4 80 2" xfId="4259"/>
    <cellStyle name="Normal 4 80 2 2" xfId="11029"/>
    <cellStyle name="Normal 4 80 2 3" xfId="23719"/>
    <cellStyle name="Normal 4 80 2 4" xfId="14103"/>
    <cellStyle name="Normal 4 80 2 5" xfId="27956"/>
    <cellStyle name="Normal 4 80 3" xfId="6185"/>
    <cellStyle name="Normal 4 80 3 2" xfId="12955"/>
    <cellStyle name="Normal 4 80 3 3" xfId="25645"/>
    <cellStyle name="Normal 4 80 3 4" xfId="18839"/>
    <cellStyle name="Normal 4 80 3 5" xfId="32365"/>
    <cellStyle name="Normal 4 80 4" xfId="8587"/>
    <cellStyle name="Normal 4 80 5" xfId="21367"/>
    <cellStyle name="Normal 4 80 6" xfId="18951"/>
    <cellStyle name="Normal 4 80 7" xfId="30259"/>
    <cellStyle name="Normal 4 81" xfId="1840"/>
    <cellStyle name="Normal 4 81 2" xfId="4281"/>
    <cellStyle name="Normal 4 81 2 2" xfId="11051"/>
    <cellStyle name="Normal 4 81 2 3" xfId="23741"/>
    <cellStyle name="Normal 4 81 2 4" xfId="18359"/>
    <cellStyle name="Normal 4 81 2 5" xfId="28893"/>
    <cellStyle name="Normal 4 81 3" xfId="6205"/>
    <cellStyle name="Normal 4 81 3 2" xfId="12975"/>
    <cellStyle name="Normal 4 81 3 3" xfId="25665"/>
    <cellStyle name="Normal 4 81 3 4" xfId="14382"/>
    <cellStyle name="Normal 4 81 3 5" xfId="31430"/>
    <cellStyle name="Normal 4 81 4" xfId="8610"/>
    <cellStyle name="Normal 4 81 5" xfId="21387"/>
    <cellStyle name="Normal 4 81 6" xfId="14463"/>
    <cellStyle name="Normal 4 81 7" xfId="28415"/>
    <cellStyle name="Normal 4 82" xfId="1863"/>
    <cellStyle name="Normal 4 82 2" xfId="4303"/>
    <cellStyle name="Normal 4 82 2 2" xfId="11073"/>
    <cellStyle name="Normal 4 82 2 3" xfId="23763"/>
    <cellStyle name="Normal 4 82 2 4" xfId="13817"/>
    <cellStyle name="Normal 4 82 2 5" xfId="26721"/>
    <cellStyle name="Normal 4 82 3" xfId="6225"/>
    <cellStyle name="Normal 4 82 3 2" xfId="12995"/>
    <cellStyle name="Normal 4 82 3 3" xfId="25685"/>
    <cellStyle name="Normal 4 82 3 4" xfId="16602"/>
    <cellStyle name="Normal 4 82 3 5" xfId="30235"/>
    <cellStyle name="Normal 4 82 4" xfId="8633"/>
    <cellStyle name="Normal 4 82 5" xfId="21407"/>
    <cellStyle name="Normal 4 82 6" xfId="16689"/>
    <cellStyle name="Normal 4 82 7" xfId="31352"/>
    <cellStyle name="Normal 4 83" xfId="1886"/>
    <cellStyle name="Normal 4 83 2" xfId="4325"/>
    <cellStyle name="Normal 4 83 2 2" xfId="11095"/>
    <cellStyle name="Normal 4 83 2 3" xfId="23785"/>
    <cellStyle name="Normal 4 83 2 4" xfId="15780"/>
    <cellStyle name="Normal 4 83 2 5" xfId="27849"/>
    <cellStyle name="Normal 4 83 3" xfId="6245"/>
    <cellStyle name="Normal 4 83 3 2" xfId="13015"/>
    <cellStyle name="Normal 4 83 3 3" xfId="25705"/>
    <cellStyle name="Normal 4 83 3 4" xfId="18486"/>
    <cellStyle name="Normal 4 83 3 5" xfId="31379"/>
    <cellStyle name="Normal 4 83 4" xfId="8656"/>
    <cellStyle name="Normal 4 83 5" xfId="21427"/>
    <cellStyle name="Normal 4 83 6" xfId="18541"/>
    <cellStyle name="Normal 4 83 7" xfId="29276"/>
    <cellStyle name="Normal 4 84" xfId="1909"/>
    <cellStyle name="Normal 4 84 2" xfId="4347"/>
    <cellStyle name="Normal 4 84 2 2" xfId="11117"/>
    <cellStyle name="Normal 4 84 2 3" xfId="23807"/>
    <cellStyle name="Normal 4 84 2 4" xfId="19874"/>
    <cellStyle name="Normal 4 84 2 5" xfId="29370"/>
    <cellStyle name="Normal 4 84 3" xfId="6265"/>
    <cellStyle name="Normal 4 84 3 2" xfId="13035"/>
    <cellStyle name="Normal 4 84 3 3" xfId="25725"/>
    <cellStyle name="Normal 4 84 3 4" xfId="8994"/>
    <cellStyle name="Normal 4 84 3 5" xfId="31346"/>
    <cellStyle name="Normal 4 84 4" xfId="8679"/>
    <cellStyle name="Normal 4 84 5" xfId="21447"/>
    <cellStyle name="Normal 4 84 6" xfId="13625"/>
    <cellStyle name="Normal 4 84 7" xfId="32206"/>
    <cellStyle name="Normal 4 85" xfId="1931"/>
    <cellStyle name="Normal 4 85 2" xfId="4368"/>
    <cellStyle name="Normal 4 85 2 2" xfId="11138"/>
    <cellStyle name="Normal 4 85 2 3" xfId="23828"/>
    <cellStyle name="Normal 4 85 2 4" xfId="18009"/>
    <cellStyle name="Normal 4 85 2 5" xfId="30227"/>
    <cellStyle name="Normal 4 85 3" xfId="6284"/>
    <cellStyle name="Normal 4 85 3 2" xfId="13054"/>
    <cellStyle name="Normal 4 85 3 3" xfId="25744"/>
    <cellStyle name="Normal 4 85 3 4" xfId="8558"/>
    <cellStyle name="Normal 4 85 3 5" xfId="28345"/>
    <cellStyle name="Normal 4 85 4" xfId="8701"/>
    <cellStyle name="Normal 4 85 5" xfId="21466"/>
    <cellStyle name="Normal 4 85 6" xfId="18090"/>
    <cellStyle name="Normal 4 85 7" xfId="26669"/>
    <cellStyle name="Normal 4 86" xfId="1953"/>
    <cellStyle name="Normal 4 86 2" xfId="4390"/>
    <cellStyle name="Normal 4 86 2 2" xfId="11160"/>
    <cellStyle name="Normal 4 86 2 3" xfId="23850"/>
    <cellStyle name="Normal 4 86 2 4" xfId="17749"/>
    <cellStyle name="Normal 4 86 2 5" xfId="30483"/>
    <cellStyle name="Normal 4 86 3" xfId="6303"/>
    <cellStyle name="Normal 4 86 3 2" xfId="13073"/>
    <cellStyle name="Normal 4 86 3 3" xfId="25763"/>
    <cellStyle name="Normal 4 86 3 4" xfId="8147"/>
    <cellStyle name="Normal 4 86 3 5" xfId="30134"/>
    <cellStyle name="Normal 4 86 4" xfId="8723"/>
    <cellStyle name="Normal 4 86 5" xfId="21485"/>
    <cellStyle name="Normal 4 86 6" xfId="18214"/>
    <cellStyle name="Normal 4 86 7" xfId="31224"/>
    <cellStyle name="Normal 4 87" xfId="1976"/>
    <cellStyle name="Normal 4 87 2" xfId="4412"/>
    <cellStyle name="Normal 4 87 2 2" xfId="11182"/>
    <cellStyle name="Normal 4 87 2 3" xfId="23872"/>
    <cellStyle name="Normal 4 87 2 4" xfId="15236"/>
    <cellStyle name="Normal 4 87 2 5" xfId="32244"/>
    <cellStyle name="Normal 4 87 3" xfId="6323"/>
    <cellStyle name="Normal 4 87 3 2" xfId="13093"/>
    <cellStyle name="Normal 4 87 3 3" xfId="25783"/>
    <cellStyle name="Normal 4 87 3 4" xfId="7769"/>
    <cellStyle name="Normal 4 87 3 5" xfId="32181"/>
    <cellStyle name="Normal 4 87 4" xfId="8746"/>
    <cellStyle name="Normal 4 87 5" xfId="21505"/>
    <cellStyle name="Normal 4 87 6" xfId="18310"/>
    <cellStyle name="Normal 4 87 7" xfId="29147"/>
    <cellStyle name="Normal 4 88" xfId="1999"/>
    <cellStyle name="Normal 4 88 2" xfId="4435"/>
    <cellStyle name="Normal 4 88 2 2" xfId="11205"/>
    <cellStyle name="Normal 4 88 2 3" xfId="23895"/>
    <cellStyle name="Normal 4 88 2 4" xfId="16084"/>
    <cellStyle name="Normal 4 88 2 5" xfId="27151"/>
    <cellStyle name="Normal 4 88 3" xfId="6343"/>
    <cellStyle name="Normal 4 88 3 2" xfId="13113"/>
    <cellStyle name="Normal 4 88 3 3" xfId="25803"/>
    <cellStyle name="Normal 4 88 3 4" xfId="7325"/>
    <cellStyle name="Normal 4 88 3 5" xfId="31230"/>
    <cellStyle name="Normal 4 88 4" xfId="8769"/>
    <cellStyle name="Normal 4 88 5" xfId="21525"/>
    <cellStyle name="Normal 4 88 6" xfId="15888"/>
    <cellStyle name="Normal 4 88 7" xfId="31005"/>
    <cellStyle name="Normal 4 89" xfId="2021"/>
    <cellStyle name="Normal 4 89 2" xfId="4456"/>
    <cellStyle name="Normal 4 89 2 2" xfId="11226"/>
    <cellStyle name="Normal 4 89 2 3" xfId="23916"/>
    <cellStyle name="Normal 4 89 2 4" xfId="17319"/>
    <cellStyle name="Normal 4 89 2 5" xfId="30473"/>
    <cellStyle name="Normal 4 89 3" xfId="6362"/>
    <cellStyle name="Normal 4 89 3 2" xfId="13132"/>
    <cellStyle name="Normal 4 89 3 3" xfId="25822"/>
    <cellStyle name="Normal 4 89 3 4" xfId="9190"/>
    <cellStyle name="Normal 4 89 3 5" xfId="28231"/>
    <cellStyle name="Normal 4 89 4" xfId="8791"/>
    <cellStyle name="Normal 4 89 5" xfId="21544"/>
    <cellStyle name="Normal 4 89 6" xfId="19978"/>
    <cellStyle name="Normal 4 89 7" xfId="29984"/>
    <cellStyle name="Normal 4 9" xfId="194"/>
    <cellStyle name="Normal 4 9 2" xfId="2675"/>
    <cellStyle name="Normal 4 9 2 2" xfId="9445"/>
    <cellStyle name="Normal 4 9 2 3" xfId="22135"/>
    <cellStyle name="Normal 4 9 2 4" xfId="14181"/>
    <cellStyle name="Normal 4 9 2 5" xfId="29721"/>
    <cellStyle name="Normal 4 9 3" xfId="2744"/>
    <cellStyle name="Normal 4 9 3 2" xfId="9514"/>
    <cellStyle name="Normal 4 9 3 3" xfId="22204"/>
    <cellStyle name="Normal 4 9 3 4" xfId="20064"/>
    <cellStyle name="Normal 4 9 3 5" xfId="28717"/>
    <cellStyle name="Normal 4 9 4" xfId="6964"/>
    <cellStyle name="Normal 4 9 5" xfId="13836"/>
    <cellStyle name="Normal 4 9 6" xfId="14338"/>
    <cellStyle name="Normal 4 9 7" xfId="30278"/>
    <cellStyle name="Normal 4 90" xfId="2044"/>
    <cellStyle name="Normal 4 90 2" xfId="4478"/>
    <cellStyle name="Normal 4 90 2 2" xfId="11248"/>
    <cellStyle name="Normal 4 90 2 3" xfId="23938"/>
    <cellStyle name="Normal 4 90 2 4" xfId="14810"/>
    <cellStyle name="Normal 4 90 2 5" xfId="32154"/>
    <cellStyle name="Normal 4 90 3" xfId="6382"/>
    <cellStyle name="Normal 4 90 3 2" xfId="13152"/>
    <cellStyle name="Normal 4 90 3 3" xfId="25842"/>
    <cellStyle name="Normal 4 90 3 4" xfId="18308"/>
    <cellStyle name="Normal 4 90 3 5" xfId="27030"/>
    <cellStyle name="Normal 4 90 4" xfId="8814"/>
    <cellStyle name="Normal 4 90 5" xfId="21564"/>
    <cellStyle name="Normal 4 90 6" xfId="13897"/>
    <cellStyle name="Normal 4 90 7" xfId="28110"/>
    <cellStyle name="Normal 4 91" xfId="2067"/>
    <cellStyle name="Normal 4 91 2" xfId="4500"/>
    <cellStyle name="Normal 4 91 2 2" xfId="11270"/>
    <cellStyle name="Normal 4 91 2 3" xfId="23960"/>
    <cellStyle name="Normal 4 91 2 4" xfId="16896"/>
    <cellStyle name="Normal 4 91 2 5" xfId="30050"/>
    <cellStyle name="Normal 4 91 3" xfId="6402"/>
    <cellStyle name="Normal 4 91 3 2" xfId="13172"/>
    <cellStyle name="Normal 4 91 3 3" xfId="25862"/>
    <cellStyle name="Normal 4 91 3 4" xfId="15868"/>
    <cellStyle name="Normal 4 91 3 5" xfId="29108"/>
    <cellStyle name="Normal 4 91 4" xfId="8837"/>
    <cellStyle name="Normal 4 91 5" xfId="21584"/>
    <cellStyle name="Normal 4 91 6" xfId="18256"/>
    <cellStyle name="Normal 4 91 7" xfId="30432"/>
    <cellStyle name="Normal 4 92" xfId="2090"/>
    <cellStyle name="Normal 4 92 2" xfId="4521"/>
    <cellStyle name="Normal 4 92 2 2" xfId="11291"/>
    <cellStyle name="Normal 4 92 2 3" xfId="23981"/>
    <cellStyle name="Normal 4 92 2 4" xfId="18849"/>
    <cellStyle name="Normal 4 92 2 5" xfId="27647"/>
    <cellStyle name="Normal 4 92 3" xfId="6422"/>
    <cellStyle name="Normal 4 92 3 2" xfId="13192"/>
    <cellStyle name="Normal 4 92 3 3" xfId="25882"/>
    <cellStyle name="Normal 4 92 3 4" xfId="18114"/>
    <cellStyle name="Normal 4 92 3 5" xfId="28139"/>
    <cellStyle name="Normal 4 92 4" xfId="8860"/>
    <cellStyle name="Normal 4 92 5" xfId="21604"/>
    <cellStyle name="Normal 4 92 6" xfId="19960"/>
    <cellStyle name="Normal 4 92 7" xfId="28988"/>
    <cellStyle name="Normal 4 93" xfId="2113"/>
    <cellStyle name="Normal 4 93 2" xfId="4543"/>
    <cellStyle name="Normal 4 93 2 2" xfId="11313"/>
    <cellStyle name="Normal 4 93 2 3" xfId="24003"/>
    <cellStyle name="Normal 4 93 2 4" xfId="16745"/>
    <cellStyle name="Normal 4 93 2 5" xfId="26989"/>
    <cellStyle name="Normal 4 93 3" xfId="6442"/>
    <cellStyle name="Normal 4 93 3 2" xfId="13212"/>
    <cellStyle name="Normal 4 93 3 3" xfId="25902"/>
    <cellStyle name="Normal 4 93 3 4" xfId="15629"/>
    <cellStyle name="Normal 4 93 3 5" xfId="26337"/>
    <cellStyle name="Normal 4 93 4" xfId="8883"/>
    <cellStyle name="Normal 4 93 5" xfId="21624"/>
    <cellStyle name="Normal 4 93 6" xfId="14010"/>
    <cellStyle name="Normal 4 93 7" xfId="31919"/>
    <cellStyle name="Normal 4 94" xfId="2135"/>
    <cellStyle name="Normal 4 94 2" xfId="4563"/>
    <cellStyle name="Normal 4 94 2 2" xfId="11333"/>
    <cellStyle name="Normal 4 94 2 3" xfId="24023"/>
    <cellStyle name="Normal 4 94 2 4" xfId="18592"/>
    <cellStyle name="Normal 4 94 2 5" xfId="29069"/>
    <cellStyle name="Normal 4 94 3" xfId="6461"/>
    <cellStyle name="Normal 4 94 3 2" xfId="13231"/>
    <cellStyle name="Normal 4 94 3 3" xfId="25921"/>
    <cellStyle name="Normal 4 94 3 4" xfId="17822"/>
    <cellStyle name="Normal 4 94 3 5" xfId="31987"/>
    <cellStyle name="Normal 4 94 4" xfId="8905"/>
    <cellStyle name="Normal 4 94 5" xfId="21643"/>
    <cellStyle name="Normal 4 94 6" xfId="15613"/>
    <cellStyle name="Normal 4 94 7" xfId="29820"/>
    <cellStyle name="Normal 4 95" xfId="2155"/>
    <cellStyle name="Normal 4 95 2" xfId="4582"/>
    <cellStyle name="Normal 4 95 2 2" xfId="11352"/>
    <cellStyle name="Normal 4 95 2 3" xfId="24042"/>
    <cellStyle name="Normal 4 95 2 4" xfId="16481"/>
    <cellStyle name="Normal 4 95 2 5" xfId="31061"/>
    <cellStyle name="Normal 4 95 3" xfId="6479"/>
    <cellStyle name="Normal 4 95 3 2" xfId="13249"/>
    <cellStyle name="Normal 4 95 3 3" xfId="25939"/>
    <cellStyle name="Normal 4 95 3 4" xfId="19662"/>
    <cellStyle name="Normal 4 95 3 5" xfId="31958"/>
    <cellStyle name="Normal 4 95 4" xfId="8925"/>
    <cellStyle name="Normal 4 95 5" xfId="21661"/>
    <cellStyle name="Normal 4 95 6" xfId="17867"/>
    <cellStyle name="Normal 4 95 7" xfId="31865"/>
    <cellStyle name="Normal 4 96" xfId="2173"/>
    <cellStyle name="Normal 4 96 2" xfId="4599"/>
    <cellStyle name="Normal 4 96 2 2" xfId="11369"/>
    <cellStyle name="Normal 4 96 2 3" xfId="24059"/>
    <cellStyle name="Normal 4 96 2 4" xfId="15988"/>
    <cellStyle name="Normal 4 96 2 5" xfId="29021"/>
    <cellStyle name="Normal 4 96 3" xfId="6495"/>
    <cellStyle name="Normal 4 96 3 2" xfId="13265"/>
    <cellStyle name="Normal 4 96 3 3" xfId="25955"/>
    <cellStyle name="Normal 4 96 3 4" xfId="16117"/>
    <cellStyle name="Normal 4 96 3 5" xfId="29863"/>
    <cellStyle name="Normal 4 96 4" xfId="8943"/>
    <cellStyle name="Normal 4 96 5" xfId="21677"/>
    <cellStyle name="Normal 4 96 6" xfId="17760"/>
    <cellStyle name="Normal 4 96 7" xfId="31838"/>
    <cellStyle name="Normal 4 97" xfId="2187"/>
    <cellStyle name="Normal 4 97 2" xfId="4613"/>
    <cellStyle name="Normal 4 97 2 2" xfId="11383"/>
    <cellStyle name="Normal 4 97 2 3" xfId="24073"/>
    <cellStyle name="Normal 4 97 2 4" xfId="13906"/>
    <cellStyle name="Normal 4 97 2 5" xfId="28052"/>
    <cellStyle name="Normal 4 97 3" xfId="6509"/>
    <cellStyle name="Normal 4 97 3 2" xfId="13279"/>
    <cellStyle name="Normal 4 97 3 3" xfId="25969"/>
    <cellStyle name="Normal 4 97 3 4" xfId="19487"/>
    <cellStyle name="Normal 4 97 3 5" xfId="30866"/>
    <cellStyle name="Normal 4 97 4" xfId="8957"/>
    <cellStyle name="Normal 4 97 5" xfId="21691"/>
    <cellStyle name="Normal 4 97 6" xfId="19543"/>
    <cellStyle name="Normal 4 97 7" xfId="30840"/>
    <cellStyle name="Normal 4 98" xfId="2210"/>
    <cellStyle name="Normal 4 98 2" xfId="4635"/>
    <cellStyle name="Normal 4 98 2 2" xfId="11405"/>
    <cellStyle name="Normal 4 98 2 3" xfId="24095"/>
    <cellStyle name="Normal 4 98 2 4" xfId="20071"/>
    <cellStyle name="Normal 4 98 2 5" xfId="28966"/>
    <cellStyle name="Normal 4 98 3" xfId="6529"/>
    <cellStyle name="Normal 4 98 3 2" xfId="13299"/>
    <cellStyle name="Normal 4 98 3 3" xfId="25989"/>
    <cellStyle name="Normal 4 98 3 4" xfId="15101"/>
    <cellStyle name="Normal 4 98 3 5" xfId="30928"/>
    <cellStyle name="Normal 4 98 4" xfId="8980"/>
    <cellStyle name="Normal 4 98 5" xfId="21711"/>
    <cellStyle name="Normal 4 98 6" xfId="15132"/>
    <cellStyle name="Normal 4 98 7" xfId="28811"/>
    <cellStyle name="Normal 4 99" xfId="2250"/>
    <cellStyle name="Normal 4 99 2" xfId="4672"/>
    <cellStyle name="Normal 4 99 2 2" xfId="11442"/>
    <cellStyle name="Normal 4 99 2 3" xfId="24132"/>
    <cellStyle name="Normal 4 99 2 4" xfId="17873"/>
    <cellStyle name="Normal 4 99 2 5" xfId="30919"/>
    <cellStyle name="Normal 4 99 3" xfId="6559"/>
    <cellStyle name="Normal 4 99 3 2" xfId="13329"/>
    <cellStyle name="Normal 4 99 3 3" xfId="26019"/>
    <cellStyle name="Normal 4 99 3 4" xfId="13723"/>
    <cellStyle name="Normal 4 99 3 5" xfId="30877"/>
    <cellStyle name="Normal 4 99 4" xfId="9020"/>
    <cellStyle name="Normal 4 99 5" xfId="21741"/>
    <cellStyle name="Normal 4 99 6" xfId="19172"/>
    <cellStyle name="Normal 4 99 7" xfId="26596"/>
    <cellStyle name="Normal 40" xfId="624"/>
    <cellStyle name="Normal 40 2" xfId="3097"/>
    <cellStyle name="Normal 40 2 2" xfId="9867"/>
    <cellStyle name="Normal 40 2 3" xfId="22557"/>
    <cellStyle name="Normal 40 2 4" xfId="17742"/>
    <cellStyle name="Normal 40 2 5" xfId="30391"/>
    <cellStyle name="Normal 40 3" xfId="5149"/>
    <cellStyle name="Normal 40 3 2" xfId="11919"/>
    <cellStyle name="Normal 40 3 3" xfId="24609"/>
    <cellStyle name="Normal 40 3 4" xfId="15996"/>
    <cellStyle name="Normal 40 3 5" xfId="27413"/>
    <cellStyle name="Normal 40 4" xfId="7394"/>
    <cellStyle name="Normal 40 5" xfId="20331"/>
    <cellStyle name="Normal 40 6" xfId="19956"/>
    <cellStyle name="Normal 40 7" xfId="30762"/>
    <cellStyle name="Normal 41" xfId="307"/>
    <cellStyle name="Normal 41 2" xfId="2783"/>
    <cellStyle name="Normal 41 2 2" xfId="9553"/>
    <cellStyle name="Normal 41 2 3" xfId="22243"/>
    <cellStyle name="Normal 41 2 4" xfId="16201"/>
    <cellStyle name="Normal 41 2 5" xfId="26551"/>
    <cellStyle name="Normal 41 3" xfId="3386"/>
    <cellStyle name="Normal 41 3 2" xfId="10156"/>
    <cellStyle name="Normal 41 3 3" xfId="22846"/>
    <cellStyle name="Normal 41 3 4" xfId="15575"/>
    <cellStyle name="Normal 41 3 5" xfId="28818"/>
    <cellStyle name="Normal 41 4" xfId="7077"/>
    <cellStyle name="Normal 41 5" xfId="14496"/>
    <cellStyle name="Normal 41 6" xfId="17723"/>
    <cellStyle name="Normal 41 7" xfId="27527"/>
    <cellStyle name="Normal 42" xfId="634"/>
    <cellStyle name="Normal 42 2" xfId="3107"/>
    <cellStyle name="Normal 42 2 2" xfId="9877"/>
    <cellStyle name="Normal 42 2 3" xfId="22567"/>
    <cellStyle name="Normal 42 2 4" xfId="15315"/>
    <cellStyle name="Normal 42 2 5" xfId="30119"/>
    <cellStyle name="Normal 42 3" xfId="5157"/>
    <cellStyle name="Normal 42 3 2" xfId="11927"/>
    <cellStyle name="Normal 42 3 3" xfId="24617"/>
    <cellStyle name="Normal 42 3 4" xfId="19062"/>
    <cellStyle name="Normal 42 3 5" xfId="27389"/>
    <cellStyle name="Normal 42 4" xfId="7404"/>
    <cellStyle name="Normal 42 5" xfId="20339"/>
    <cellStyle name="Normal 42 6" xfId="16111"/>
    <cellStyle name="Normal 42 7" xfId="31176"/>
    <cellStyle name="Normal 42 8" xfId="34091"/>
    <cellStyle name="Normal 43" xfId="665"/>
    <cellStyle name="Normal 43 2" xfId="3137"/>
    <cellStyle name="Normal 43 2 2" xfId="9907"/>
    <cellStyle name="Normal 43 2 3" xfId="22597"/>
    <cellStyle name="Normal 43 2 4" xfId="13745"/>
    <cellStyle name="Normal 43 2 5" xfId="30072"/>
    <cellStyle name="Normal 43 3" xfId="5184"/>
    <cellStyle name="Normal 43 3 2" xfId="11954"/>
    <cellStyle name="Normal 43 3 3" xfId="24644"/>
    <cellStyle name="Normal 43 3 4" xfId="18905"/>
    <cellStyle name="Normal 43 3 5" xfId="31510"/>
    <cellStyle name="Normal 43 4" xfId="7435"/>
    <cellStyle name="Normal 43 5" xfId="20366"/>
    <cellStyle name="Normal 43 6" xfId="17507"/>
    <cellStyle name="Normal 43 7" xfId="28713"/>
    <cellStyle name="Normal 44" xfId="647"/>
    <cellStyle name="Normal 44 2" xfId="3120"/>
    <cellStyle name="Normal 44 2 2" xfId="9890"/>
    <cellStyle name="Normal 44 2 3" xfId="22580"/>
    <cellStyle name="Normal 44 2 4" xfId="19486"/>
    <cellStyle name="Normal 44 2 5" xfId="27101"/>
    <cellStyle name="Normal 44 3" xfId="5169"/>
    <cellStyle name="Normal 44 3 2" xfId="11939"/>
    <cellStyle name="Normal 44 3 3" xfId="24629"/>
    <cellStyle name="Normal 44 3 4" xfId="18962"/>
    <cellStyle name="Normal 44 3 5" xfId="27376"/>
    <cellStyle name="Normal 44 4" xfId="7417"/>
    <cellStyle name="Normal 44 5" xfId="20351"/>
    <cellStyle name="Normal 44 6" xfId="15254"/>
    <cellStyle name="Normal 44 7" xfId="28742"/>
    <cellStyle name="Normal 44 8" xfId="34094"/>
    <cellStyle name="Normal 45" xfId="710"/>
    <cellStyle name="Normal 45 2" xfId="3182"/>
    <cellStyle name="Normal 45 2 2" xfId="9952"/>
    <cellStyle name="Normal 45 2 3" xfId="22642"/>
    <cellStyle name="Normal 45 2 4" xfId="14824"/>
    <cellStyle name="Normal 45 2 5" xfId="29118"/>
    <cellStyle name="Normal 45 3" xfId="5224"/>
    <cellStyle name="Normal 45 3 2" xfId="11994"/>
    <cellStyle name="Normal 45 3 3" xfId="24684"/>
    <cellStyle name="Normal 45 3 4" xfId="16681"/>
    <cellStyle name="Normal 45 3 5" xfId="32342"/>
    <cellStyle name="Normal 45 4" xfId="7480"/>
    <cellStyle name="Normal 45 5" xfId="20406"/>
    <cellStyle name="Normal 45 6" xfId="19118"/>
    <cellStyle name="Normal 45 7" xfId="29534"/>
    <cellStyle name="Normal 45 8" xfId="34097"/>
    <cellStyle name="Normal 46" xfId="732"/>
    <cellStyle name="Normal 46 2" xfId="3203"/>
    <cellStyle name="Normal 46 2 2" xfId="9973"/>
    <cellStyle name="Normal 46 2 3" xfId="22663"/>
    <cellStyle name="Normal 46 2 4" xfId="13701"/>
    <cellStyle name="Normal 46 2 5" xfId="29982"/>
    <cellStyle name="Normal 46 3" xfId="5242"/>
    <cellStyle name="Normal 46 3 2" xfId="12012"/>
    <cellStyle name="Normal 46 3 3" xfId="24702"/>
    <cellStyle name="Normal 46 3 4" xfId="16534"/>
    <cellStyle name="Normal 46 3 5" xfId="30780"/>
    <cellStyle name="Normal 46 4" xfId="7502"/>
    <cellStyle name="Normal 46 5" xfId="20424"/>
    <cellStyle name="Normal 46 6" xfId="18589"/>
    <cellStyle name="Normal 46 7" xfId="30572"/>
    <cellStyle name="Normal 47" xfId="746"/>
    <cellStyle name="Normal 47 2" xfId="3217"/>
    <cellStyle name="Normal 47 2 2" xfId="9987"/>
    <cellStyle name="Normal 47 2 3" xfId="22677"/>
    <cellStyle name="Normal 47 2 4" xfId="16959"/>
    <cellStyle name="Normal 47 2 5" xfId="32028"/>
    <cellStyle name="Normal 47 3" xfId="5255"/>
    <cellStyle name="Normal 47 3 2" xfId="12025"/>
    <cellStyle name="Normal 47 3 3" xfId="24715"/>
    <cellStyle name="Normal 47 3 4" xfId="14080"/>
    <cellStyle name="Normal 47 3 5" xfId="27442"/>
    <cellStyle name="Normal 47 4" xfId="7516"/>
    <cellStyle name="Normal 47 5" xfId="20437"/>
    <cellStyle name="Normal 47 6" xfId="6817"/>
    <cellStyle name="Normal 47 7" xfId="26443"/>
    <cellStyle name="Normal 48" xfId="771"/>
    <cellStyle name="Normal 48 2" xfId="3242"/>
    <cellStyle name="Normal 48 2 2" xfId="10012"/>
    <cellStyle name="Normal 48 2 3" xfId="22702"/>
    <cellStyle name="Normal 48 2 4" xfId="14430"/>
    <cellStyle name="Normal 48 2 5" xfId="29031"/>
    <cellStyle name="Normal 48 3" xfId="5276"/>
    <cellStyle name="Normal 48 3 2" xfId="12046"/>
    <cellStyle name="Normal 48 3 3" xfId="24736"/>
    <cellStyle name="Normal 48 3 4" xfId="13948"/>
    <cellStyle name="Normal 48 3 5" xfId="26603"/>
    <cellStyle name="Normal 48 4" xfId="7541"/>
    <cellStyle name="Normal 48 5" xfId="20458"/>
    <cellStyle name="Normal 48 6" xfId="16697"/>
    <cellStyle name="Normal 48 7" xfId="27405"/>
    <cellStyle name="Normal 49" xfId="794"/>
    <cellStyle name="Normal 49 2" xfId="3262"/>
    <cellStyle name="Normal 49 2 2" xfId="10032"/>
    <cellStyle name="Normal 49 2 3" xfId="22722"/>
    <cellStyle name="Normal 49 2 4" xfId="16652"/>
    <cellStyle name="Normal 49 2 5" xfId="28053"/>
    <cellStyle name="Normal 49 3" xfId="5296"/>
    <cellStyle name="Normal 49 3 2" xfId="12066"/>
    <cellStyle name="Normal 49 3 3" xfId="24756"/>
    <cellStyle name="Normal 49 3 4" xfId="16191"/>
    <cellStyle name="Normal 49 3 5" xfId="19054"/>
    <cellStyle name="Normal 49 4" xfId="7564"/>
    <cellStyle name="Normal 49 5" xfId="20478"/>
    <cellStyle name="Normal 49 6" xfId="16514"/>
    <cellStyle name="Normal 49 7" xfId="30341"/>
    <cellStyle name="Normal 5" xfId="45"/>
    <cellStyle name="Normal 5 2" xfId="46"/>
    <cellStyle name="Normal 50" xfId="817"/>
    <cellStyle name="Normal 50 2" xfId="3285"/>
    <cellStyle name="Normal 50 2 2" xfId="10055"/>
    <cellStyle name="Normal 50 2 3" xfId="22745"/>
    <cellStyle name="Normal 50 2 4" xfId="18506"/>
    <cellStyle name="Normal 50 2 5" xfId="30976"/>
    <cellStyle name="Normal 50 3" xfId="5316"/>
    <cellStyle name="Normal 50 3 2" xfId="12086"/>
    <cellStyle name="Normal 50 3 3" xfId="24776"/>
    <cellStyle name="Normal 50 3 4" xfId="19870"/>
    <cellStyle name="Normal 50 3 5" xfId="17090"/>
    <cellStyle name="Normal 50 4" xfId="7587"/>
    <cellStyle name="Normal 50 5" xfId="20498"/>
    <cellStyle name="Normal 50 6" xfId="19824"/>
    <cellStyle name="Normal 50 7" xfId="28505"/>
    <cellStyle name="Normal 51" xfId="840"/>
    <cellStyle name="Normal 51 2" xfId="3306"/>
    <cellStyle name="Normal 51 2 2" xfId="10076"/>
    <cellStyle name="Normal 51 2 3" xfId="22766"/>
    <cellStyle name="Normal 51 2 4" xfId="18391"/>
    <cellStyle name="Normal 51 2 5" xfId="26806"/>
    <cellStyle name="Normal 51 3" xfId="5336"/>
    <cellStyle name="Normal 51 3 2" xfId="12106"/>
    <cellStyle name="Normal 51 3 3" xfId="24796"/>
    <cellStyle name="Normal 51 3 4" xfId="15673"/>
    <cellStyle name="Normal 51 3 5" xfId="17236"/>
    <cellStyle name="Normal 51 4" xfId="7610"/>
    <cellStyle name="Normal 51 5" xfId="20518"/>
    <cellStyle name="Normal 51 6" xfId="15458"/>
    <cellStyle name="Normal 51 7" xfId="30566"/>
    <cellStyle name="Normal 52" xfId="863"/>
    <cellStyle name="Normal 52 2" xfId="3328"/>
    <cellStyle name="Normal 52 2 2" xfId="10098"/>
    <cellStyle name="Normal 52 2 3" xfId="22788"/>
    <cellStyle name="Normal 52 2 4" xfId="16206"/>
    <cellStyle name="Normal 52 2 5" xfId="27943"/>
    <cellStyle name="Normal 52 3" xfId="5356"/>
    <cellStyle name="Normal 52 3 2" xfId="12126"/>
    <cellStyle name="Normal 52 3 3" xfId="24816"/>
    <cellStyle name="Normal 52 3 4" xfId="19844"/>
    <cellStyle name="Normal 52 3 5" xfId="18645"/>
    <cellStyle name="Normal 52 4" xfId="7633"/>
    <cellStyle name="Normal 52 5" xfId="20538"/>
    <cellStyle name="Normal 52 6" xfId="17676"/>
    <cellStyle name="Normal 52 7" xfId="28349"/>
    <cellStyle name="Normal 53" xfId="886"/>
    <cellStyle name="Normal 53 2" xfId="3351"/>
    <cellStyle name="Normal 53 2 2" xfId="10121"/>
    <cellStyle name="Normal 53 2 3" xfId="22811"/>
    <cellStyle name="Normal 53 2 4" xfId="20012"/>
    <cellStyle name="Normal 53 2 5" xfId="30868"/>
    <cellStyle name="Normal 53 3" xfId="5376"/>
    <cellStyle name="Normal 53 3 2" xfId="12146"/>
    <cellStyle name="Normal 53 3 3" xfId="24836"/>
    <cellStyle name="Normal 53 3 4" xfId="15464"/>
    <cellStyle name="Normal 53 3 5" xfId="18251"/>
    <cellStyle name="Normal 53 4" xfId="7656"/>
    <cellStyle name="Normal 53 5" xfId="20558"/>
    <cellStyle name="Normal 53 6" xfId="19425"/>
    <cellStyle name="Normal 53 7" xfId="32437"/>
    <cellStyle name="Normal 54" xfId="909"/>
    <cellStyle name="Normal 54 2" xfId="3373"/>
    <cellStyle name="Normal 54 2 2" xfId="10143"/>
    <cellStyle name="Normal 54 2 3" xfId="22833"/>
    <cellStyle name="Normal 54 2 4" xfId="18044"/>
    <cellStyle name="Normal 54 2 5" xfId="31814"/>
    <cellStyle name="Normal 54 3" xfId="5396"/>
    <cellStyle name="Normal 54 3 2" xfId="12166"/>
    <cellStyle name="Normal 54 3 3" xfId="24856"/>
    <cellStyle name="Normal 54 3 4" xfId="17704"/>
    <cellStyle name="Normal 54 3 5" xfId="13873"/>
    <cellStyle name="Normal 54 4" xfId="7679"/>
    <cellStyle name="Normal 54 5" xfId="20578"/>
    <cellStyle name="Normal 54 6" xfId="15018"/>
    <cellStyle name="Normal 54 7" xfId="27361"/>
    <cellStyle name="Normal 55" xfId="932"/>
    <cellStyle name="Normal 55 2" xfId="3396"/>
    <cellStyle name="Normal 55 2 2" xfId="10166"/>
    <cellStyle name="Normal 55 2 3" xfId="22856"/>
    <cellStyle name="Normal 55 2 4" xfId="17906"/>
    <cellStyle name="Normal 55 2 5" xfId="26661"/>
    <cellStyle name="Normal 55 3" xfId="5416"/>
    <cellStyle name="Normal 55 3 2" xfId="12186"/>
    <cellStyle name="Normal 55 3 3" xfId="24876"/>
    <cellStyle name="Normal 55 3 4" xfId="19470"/>
    <cellStyle name="Normal 55 3 5" xfId="16266"/>
    <cellStyle name="Normal 55 4" xfId="7702"/>
    <cellStyle name="Normal 55 5" xfId="20598"/>
    <cellStyle name="Normal 55 6" xfId="17220"/>
    <cellStyle name="Normal 55 7" xfId="30301"/>
    <cellStyle name="Normal 55 8" xfId="34079"/>
    <cellStyle name="Normal 56" xfId="963"/>
    <cellStyle name="Normal 56 2" xfId="3427"/>
    <cellStyle name="Normal 56 2 2" xfId="10197"/>
    <cellStyle name="Normal 56 2 3" xfId="22887"/>
    <cellStyle name="Normal 56 2 4" xfId="17688"/>
    <cellStyle name="Normal 56 2 5" xfId="31279"/>
    <cellStyle name="Normal 56 3" xfId="5443"/>
    <cellStyle name="Normal 56 3 2" xfId="12213"/>
    <cellStyle name="Normal 56 3 3" xfId="24903"/>
    <cellStyle name="Normal 56 3 4" xfId="19315"/>
    <cellStyle name="Normal 56 3 5" xfId="16759"/>
    <cellStyle name="Normal 56 4" xfId="7733"/>
    <cellStyle name="Normal 56 5" xfId="20625"/>
    <cellStyle name="Normal 56 6" xfId="14646"/>
    <cellStyle name="Normal 56 7" xfId="27129"/>
    <cellStyle name="Normal 57" xfId="945"/>
    <cellStyle name="Normal 57 2" xfId="3409"/>
    <cellStyle name="Normal 57 2 2" xfId="10179"/>
    <cellStyle name="Normal 57 2 3" xfId="22869"/>
    <cellStyle name="Normal 57 2 4" xfId="17817"/>
    <cellStyle name="Normal 57 2 5" xfId="31752"/>
    <cellStyle name="Normal 57 3" xfId="5428"/>
    <cellStyle name="Normal 57 3 2" xfId="12198"/>
    <cellStyle name="Normal 57 3 3" xfId="24888"/>
    <cellStyle name="Normal 57 3 4" xfId="18999"/>
    <cellStyle name="Normal 57 3 5" xfId="19786"/>
    <cellStyle name="Normal 57 4" xfId="7715"/>
    <cellStyle name="Normal 57 5" xfId="20610"/>
    <cellStyle name="Normal 57 6" xfId="14780"/>
    <cellStyle name="Normal 57 7" xfId="26366"/>
    <cellStyle name="Normal 58" xfId="1000"/>
    <cellStyle name="Normal 58 2" xfId="3464"/>
    <cellStyle name="Normal 58 2 2" xfId="10234"/>
    <cellStyle name="Normal 58 2 3" xfId="22924"/>
    <cellStyle name="Normal 58 2 4" xfId="15091"/>
    <cellStyle name="Normal 58 2 5" xfId="28696"/>
    <cellStyle name="Normal 58 3" xfId="5475"/>
    <cellStyle name="Normal 58 3 2" xfId="12245"/>
    <cellStyle name="Normal 58 3 3" xfId="24935"/>
    <cellStyle name="Normal 58 3 4" xfId="14829"/>
    <cellStyle name="Normal 58 3 5" xfId="17528"/>
    <cellStyle name="Normal 58 4" xfId="7770"/>
    <cellStyle name="Normal 58 5" xfId="20657"/>
    <cellStyle name="Normal 58 6" xfId="18744"/>
    <cellStyle name="Normal 58 7" xfId="27067"/>
    <cellStyle name="Normal 59" xfId="2510"/>
    <cellStyle name="Normal 6" xfId="47"/>
    <cellStyle name="Normal 60" xfId="6775"/>
    <cellStyle name="Normal 61" xfId="1067"/>
    <cellStyle name="Normal 61 2" xfId="3529"/>
    <cellStyle name="Normal 61 2 2" xfId="10299"/>
    <cellStyle name="Normal 61 2 3" xfId="22989"/>
    <cellStyle name="Normal 61 2 4" xfId="16045"/>
    <cellStyle name="Normal 61 2 5" xfId="31566"/>
    <cellStyle name="Normal 61 3" xfId="5533"/>
    <cellStyle name="Normal 61 3 2" xfId="12303"/>
    <cellStyle name="Normal 61 3 3" xfId="24993"/>
    <cellStyle name="Normal 61 3 4" xfId="18769"/>
    <cellStyle name="Normal 61 3 5" xfId="30402"/>
    <cellStyle name="Normal 61 4" xfId="7837"/>
    <cellStyle name="Normal 61 5" xfId="20715"/>
    <cellStyle name="Normal 61 6" xfId="19884"/>
    <cellStyle name="Normal 61 7" xfId="26951"/>
    <cellStyle name="Normal 62" xfId="1090"/>
    <cellStyle name="Normal 62 2" xfId="3551"/>
    <cellStyle name="Normal 62 2 2" xfId="10321"/>
    <cellStyle name="Normal 62 2 3" xfId="23011"/>
    <cellStyle name="Normal 62 2 4" xfId="14505"/>
    <cellStyle name="Normal 62 2 5" xfId="30933"/>
    <cellStyle name="Normal 62 3" xfId="5553"/>
    <cellStyle name="Normal 62 3 2" xfId="12323"/>
    <cellStyle name="Normal 62 3 3" xfId="25013"/>
    <cellStyle name="Normal 62 3 4" xfId="14305"/>
    <cellStyle name="Normal 62 3 5" xfId="30277"/>
    <cellStyle name="Normal 62 4" xfId="7860"/>
    <cellStyle name="Normal 62 5" xfId="20735"/>
    <cellStyle name="Normal 62 6" xfId="15501"/>
    <cellStyle name="Normal 62 7" xfId="29931"/>
    <cellStyle name="Normal 63" xfId="13557"/>
    <cellStyle name="Normal 64" xfId="1135"/>
    <cellStyle name="Normal 64 2" xfId="3596"/>
    <cellStyle name="Normal 64 2 2" xfId="10366"/>
    <cellStyle name="Normal 64 2 3" xfId="23056"/>
    <cellStyle name="Normal 64 2 4" xfId="14218"/>
    <cellStyle name="Normal 64 2 5" xfId="29428"/>
    <cellStyle name="Normal 64 3" xfId="5592"/>
    <cellStyle name="Normal 64 3 2" xfId="12362"/>
    <cellStyle name="Normal 64 3 3" xfId="25052"/>
    <cellStyle name="Normal 64 3 4" xfId="14035"/>
    <cellStyle name="Normal 64 3 5" xfId="29326"/>
    <cellStyle name="Normal 64 4" xfId="7905"/>
    <cellStyle name="Normal 64 5" xfId="20774"/>
    <cellStyle name="Normal 64 6" xfId="15228"/>
    <cellStyle name="Normal 64 7" xfId="31931"/>
    <cellStyle name="Normal 65" xfId="1193"/>
    <cellStyle name="Normal 65 2" xfId="3653"/>
    <cellStyle name="Normal 65 2 2" xfId="10423"/>
    <cellStyle name="Normal 65 2 3" xfId="23113"/>
    <cellStyle name="Normal 65 2 4" xfId="13576"/>
    <cellStyle name="Normal 65 2 5" xfId="26968"/>
    <cellStyle name="Normal 65 3" xfId="5643"/>
    <cellStyle name="Normal 65 3 2" xfId="12413"/>
    <cellStyle name="Normal 65 3 3" xfId="25103"/>
    <cellStyle name="Normal 65 3 4" xfId="15784"/>
    <cellStyle name="Normal 65 3 5" xfId="30157"/>
    <cellStyle name="Normal 65 4" xfId="7963"/>
    <cellStyle name="Normal 65 5" xfId="20825"/>
    <cellStyle name="Normal 65 6" xfId="19133"/>
    <cellStyle name="Normal 65 7" xfId="28848"/>
    <cellStyle name="Normal 66" xfId="724"/>
    <cellStyle name="Normal 66 2" xfId="3196"/>
    <cellStyle name="Normal 66 2 2" xfId="9966"/>
    <cellStyle name="Normal 66 2 3" xfId="22656"/>
    <cellStyle name="Normal 66 2 4" xfId="17092"/>
    <cellStyle name="Normal 66 2 5" xfId="28159"/>
    <cellStyle name="Normal 66 3" xfId="5235"/>
    <cellStyle name="Normal 66 3 2" xfId="12005"/>
    <cellStyle name="Normal 66 3 3" xfId="24695"/>
    <cellStyle name="Normal 66 3 4" xfId="18552"/>
    <cellStyle name="Normal 66 3 5" xfId="26413"/>
    <cellStyle name="Normal 66 4" xfId="7494"/>
    <cellStyle name="Normal 66 5" xfId="20417"/>
    <cellStyle name="Normal 66 6" xfId="17095"/>
    <cellStyle name="Normal 66 7" xfId="31595"/>
    <cellStyle name="Normal 66 8" xfId="34128"/>
    <cellStyle name="Normal 67" xfId="1203"/>
    <cellStyle name="Normal 67 2" xfId="3663"/>
    <cellStyle name="Normal 67 2 2" xfId="10433"/>
    <cellStyle name="Normal 67 2 3" xfId="23123"/>
    <cellStyle name="Normal 67 2 4" xfId="20074"/>
    <cellStyle name="Normal 67 2 5" xfId="30493"/>
    <cellStyle name="Normal 67 3" xfId="5651"/>
    <cellStyle name="Normal 67 3 2" xfId="12421"/>
    <cellStyle name="Normal 67 3 3" xfId="25111"/>
    <cellStyle name="Normal 67 3 4" xfId="18143"/>
    <cellStyle name="Normal 67 3 5" xfId="32217"/>
    <cellStyle name="Normal 67 4" xfId="7973"/>
    <cellStyle name="Normal 67 5" xfId="20833"/>
    <cellStyle name="Normal 67 6" xfId="17153"/>
    <cellStyle name="Normal 67 7" xfId="26693"/>
    <cellStyle name="Normal 68" xfId="1226"/>
    <cellStyle name="Normal 68 2" xfId="3686"/>
    <cellStyle name="Normal 68 2 2" xfId="10456"/>
    <cellStyle name="Normal 68 2 3" xfId="23146"/>
    <cellStyle name="Normal 68 2 4" xfId="13798"/>
    <cellStyle name="Normal 68 2 5" xfId="29466"/>
    <cellStyle name="Normal 68 3" xfId="5671"/>
    <cellStyle name="Normal 68 3 2" xfId="12441"/>
    <cellStyle name="Normal 68 3 3" xfId="25131"/>
    <cellStyle name="Normal 68 3 4" xfId="6793"/>
    <cellStyle name="Normal 68 3 5" xfId="31277"/>
    <cellStyle name="Normal 68 4" xfId="7996"/>
    <cellStyle name="Normal 68 5" xfId="20853"/>
    <cellStyle name="Normal 68 6" xfId="18936"/>
    <cellStyle name="Normal 68 7" xfId="19561"/>
    <cellStyle name="Normal 68 8" xfId="34061"/>
    <cellStyle name="Normal 69" xfId="1249"/>
    <cellStyle name="Normal 69 2" xfId="3709"/>
    <cellStyle name="Normal 69 2 2" xfId="10479"/>
    <cellStyle name="Normal 69 2 3" xfId="23169"/>
    <cellStyle name="Normal 69 2 4" xfId="17956"/>
    <cellStyle name="Normal 69 2 5" xfId="32397"/>
    <cellStyle name="Normal 69 3" xfId="5691"/>
    <cellStyle name="Normal 69 3 2" xfId="12461"/>
    <cellStyle name="Normal 69 3 3" xfId="25151"/>
    <cellStyle name="Normal 69 3 4" xfId="17983"/>
    <cellStyle name="Normal 69 3 5" xfId="30096"/>
    <cellStyle name="Normal 69 4" xfId="8019"/>
    <cellStyle name="Normal 69 5" xfId="20873"/>
    <cellStyle name="Normal 69 6" xfId="14469"/>
    <cellStyle name="Normal 69 7" xfId="28757"/>
    <cellStyle name="Normal 7" xfId="48"/>
    <cellStyle name="Normal 70" xfId="1272"/>
    <cellStyle name="Normal 70 2" xfId="3731"/>
    <cellStyle name="Normal 70 2 2" xfId="10501"/>
    <cellStyle name="Normal 70 2 3" xfId="23191"/>
    <cellStyle name="Normal 70 2 4" xfId="15448"/>
    <cellStyle name="Normal 70 2 5" xfId="30293"/>
    <cellStyle name="Normal 70 3" xfId="5711"/>
    <cellStyle name="Normal 70 3 2" xfId="12481"/>
    <cellStyle name="Normal 70 3 3" xfId="25171"/>
    <cellStyle name="Normal 70 3 4" xfId="19673"/>
    <cellStyle name="Normal 70 3 5" xfId="32132"/>
    <cellStyle name="Normal 70 4" xfId="8042"/>
    <cellStyle name="Normal 70 5" xfId="20893"/>
    <cellStyle name="Normal 70 6" xfId="16694"/>
    <cellStyle name="Normal 70 7" xfId="31688"/>
    <cellStyle name="Normal 71" xfId="1295"/>
    <cellStyle name="Normal 71 2" xfId="3753"/>
    <cellStyle name="Normal 71 2 2" xfId="10523"/>
    <cellStyle name="Normal 71 2 3" xfId="23213"/>
    <cellStyle name="Normal 71 2 4" xfId="15929"/>
    <cellStyle name="Normal 71 2 5" xfId="30583"/>
    <cellStyle name="Normal 71 3" xfId="5731"/>
    <cellStyle name="Normal 71 3 2" xfId="12501"/>
    <cellStyle name="Normal 71 3 3" xfId="25191"/>
    <cellStyle name="Normal 71 3 4" xfId="15285"/>
    <cellStyle name="Normal 71 3 5" xfId="30481"/>
    <cellStyle name="Normal 71 4" xfId="8065"/>
    <cellStyle name="Normal 71 5" xfId="20913"/>
    <cellStyle name="Normal 71 6" xfId="19936"/>
    <cellStyle name="Normal 71 7" xfId="27285"/>
    <cellStyle name="Normal 72" xfId="1318"/>
    <cellStyle name="Normal 72 2" xfId="3776"/>
    <cellStyle name="Normal 72 2 2" xfId="10546"/>
    <cellStyle name="Normal 72 2 3" xfId="23236"/>
    <cellStyle name="Normal 72 2 4" xfId="15152"/>
    <cellStyle name="Normal 72 2 5" xfId="27612"/>
    <cellStyle name="Normal 72 3" xfId="5751"/>
    <cellStyle name="Normal 72 3 2" xfId="12521"/>
    <cellStyle name="Normal 72 3 3" xfId="25211"/>
    <cellStyle name="Normal 72 3 4" xfId="17539"/>
    <cellStyle name="Normal 72 3 5" xfId="30013"/>
    <cellStyle name="Normal 72 4" xfId="8088"/>
    <cellStyle name="Normal 72 5" xfId="20933"/>
    <cellStyle name="Normal 72 6" xfId="15558"/>
    <cellStyle name="Normal 72 7" xfId="30232"/>
    <cellStyle name="Normal 73" xfId="1341"/>
    <cellStyle name="Normal 73 2" xfId="3798"/>
    <cellStyle name="Normal 73 2 2" xfId="10568"/>
    <cellStyle name="Normal 73 2 3" xfId="23258"/>
    <cellStyle name="Normal 73 2 4" xfId="19300"/>
    <cellStyle name="Normal 73 2 5" xfId="26256"/>
    <cellStyle name="Normal 73 3" xfId="5771"/>
    <cellStyle name="Normal 73 3 2" xfId="12541"/>
    <cellStyle name="Normal 73 3 3" xfId="25231"/>
    <cellStyle name="Normal 73 3 4" xfId="19303"/>
    <cellStyle name="Normal 73 3 5" xfId="32050"/>
    <cellStyle name="Normal 73 4" xfId="8111"/>
    <cellStyle name="Normal 73 5" xfId="20953"/>
    <cellStyle name="Normal 73 6" xfId="17800"/>
    <cellStyle name="Normal 73 7" xfId="28388"/>
    <cellStyle name="Normal 74" xfId="1364"/>
    <cellStyle name="Normal 74 2" xfId="3821"/>
    <cellStyle name="Normal 74 2 2" xfId="10591"/>
    <cellStyle name="Normal 74 2 3" xfId="23281"/>
    <cellStyle name="Normal 74 2 4" xfId="14877"/>
    <cellStyle name="Normal 74 2 5" xfId="30356"/>
    <cellStyle name="Normal 74 3" xfId="5791"/>
    <cellStyle name="Normal 74 3 2" xfId="12561"/>
    <cellStyle name="Normal 74 3 3" xfId="25251"/>
    <cellStyle name="Normal 74 3 4" xfId="14902"/>
    <cellStyle name="Normal 74 3 5" xfId="31076"/>
    <cellStyle name="Normal 74 4" xfId="8134"/>
    <cellStyle name="Normal 74 5" xfId="20973"/>
    <cellStyle name="Normal 74 6" xfId="19540"/>
    <cellStyle name="Normal 74 7" xfId="31334"/>
    <cellStyle name="Normal 75" xfId="1387"/>
    <cellStyle name="Normal 75 2" xfId="3843"/>
    <cellStyle name="Normal 75 2 2" xfId="10613"/>
    <cellStyle name="Normal 75 2 3" xfId="23303"/>
    <cellStyle name="Normal 75 2 4" xfId="19026"/>
    <cellStyle name="Normal 75 2 5" xfId="31502"/>
    <cellStyle name="Normal 75 3" xfId="5811"/>
    <cellStyle name="Normal 75 3 2" xfId="12581"/>
    <cellStyle name="Normal 75 3 3" xfId="25271"/>
    <cellStyle name="Normal 75 3 4" xfId="17147"/>
    <cellStyle name="Normal 75 3 5" xfId="29929"/>
    <cellStyle name="Normal 75 4" xfId="8157"/>
    <cellStyle name="Normal 75 5" xfId="20993"/>
    <cellStyle name="Normal 75 6" xfId="15112"/>
    <cellStyle name="Normal 75 7" xfId="29250"/>
    <cellStyle name="Normal 76" xfId="1410"/>
    <cellStyle name="Normal 76 2" xfId="3865"/>
    <cellStyle name="Normal 76 2 2" xfId="10635"/>
    <cellStyle name="Normal 76 2 3" xfId="23325"/>
    <cellStyle name="Normal 76 2 4" xfId="16946"/>
    <cellStyle name="Normal 76 2 5" xfId="32362"/>
    <cellStyle name="Normal 76 3" xfId="5831"/>
    <cellStyle name="Normal 76 3 2" xfId="12601"/>
    <cellStyle name="Normal 76 3 3" xfId="25291"/>
    <cellStyle name="Normal 76 3 4" xfId="18798"/>
    <cellStyle name="Normal 76 3 5" xfId="31964"/>
    <cellStyle name="Normal 76 4" xfId="8180"/>
    <cellStyle name="Normal 76 5" xfId="21013"/>
    <cellStyle name="Normal 76 6" xfId="17348"/>
    <cellStyle name="Normal 76 7" xfId="32177"/>
    <cellStyle name="Normal 77" xfId="1433"/>
    <cellStyle name="Normal 77 2" xfId="3887"/>
    <cellStyle name="Normal 77 2 2" xfId="10657"/>
    <cellStyle name="Normal 77 2 3" xfId="23347"/>
    <cellStyle name="Normal 77 2 4" xfId="14439"/>
    <cellStyle name="Normal 77 2 5" xfId="29568"/>
    <cellStyle name="Normal 77 3" xfId="5851"/>
    <cellStyle name="Normal 77 3 2" xfId="12621"/>
    <cellStyle name="Normal 77 3 3" xfId="25311"/>
    <cellStyle name="Normal 77 3 4" xfId="14507"/>
    <cellStyle name="Normal 77 3 5" xfId="30981"/>
    <cellStyle name="Normal 77 4" xfId="8203"/>
    <cellStyle name="Normal 77 5" xfId="21033"/>
    <cellStyle name="Normal 77 6" xfId="19129"/>
    <cellStyle name="Normal 77 7" xfId="27084"/>
    <cellStyle name="Normal 78" xfId="1456"/>
    <cellStyle name="Normal 78 2" xfId="3910"/>
    <cellStyle name="Normal 78 2 2" xfId="10680"/>
    <cellStyle name="Normal 78 2 3" xfId="23370"/>
    <cellStyle name="Normal 78 2 4" xfId="16642"/>
    <cellStyle name="Normal 78 2 5" xfId="27646"/>
    <cellStyle name="Normal 78 3" xfId="5871"/>
    <cellStyle name="Normal 78 3 2" xfId="12641"/>
    <cellStyle name="Normal 78 3 3" xfId="25331"/>
    <cellStyle name="Normal 78 3 4" xfId="16729"/>
    <cellStyle name="Normal 78 3 5" xfId="29841"/>
    <cellStyle name="Normal 78 4" xfId="8226"/>
    <cellStyle name="Normal 78 5" xfId="21053"/>
    <cellStyle name="Normal 78 6" xfId="13694"/>
    <cellStyle name="Normal 78 7" xfId="30047"/>
    <cellStyle name="Normal 79" xfId="1479"/>
    <cellStyle name="Normal 79 2" xfId="3933"/>
    <cellStyle name="Normal 79 2 2" xfId="10703"/>
    <cellStyle name="Normal 79 2 3" xfId="23393"/>
    <cellStyle name="Normal 79 2 4" xfId="18499"/>
    <cellStyle name="Normal 79 2 5" xfId="28586"/>
    <cellStyle name="Normal 79 3" xfId="5891"/>
    <cellStyle name="Normal 79 3 2" xfId="12661"/>
    <cellStyle name="Normal 79 3 3" xfId="25351"/>
    <cellStyle name="Normal 79 3 4" xfId="18625"/>
    <cellStyle name="Normal 79 3 5" xfId="31886"/>
    <cellStyle name="Normal 79 4" xfId="8249"/>
    <cellStyle name="Normal 79 5" xfId="21073"/>
    <cellStyle name="Normal 79 6" xfId="16887"/>
    <cellStyle name="Normal 79 7" xfId="28184"/>
    <cellStyle name="Normal 8" xfId="49"/>
    <cellStyle name="Normal 80" xfId="1502"/>
    <cellStyle name="Normal 80 2" xfId="3955"/>
    <cellStyle name="Normal 80 2 2" xfId="10725"/>
    <cellStyle name="Normal 80 2 3" xfId="23415"/>
    <cellStyle name="Normal 80 2 4" xfId="16351"/>
    <cellStyle name="Normal 80 2 5" xfId="27258"/>
    <cellStyle name="Normal 80 3" xfId="5911"/>
    <cellStyle name="Normal 80 3 2" xfId="12681"/>
    <cellStyle name="Normal 80 3 3" xfId="25371"/>
    <cellStyle name="Normal 80 3 4" xfId="14133"/>
    <cellStyle name="Normal 80 3 5" xfId="30884"/>
    <cellStyle name="Normal 80 4" xfId="8272"/>
    <cellStyle name="Normal 80 5" xfId="21093"/>
    <cellStyle name="Normal 80 6" xfId="18719"/>
    <cellStyle name="Normal 80 7" xfId="31119"/>
    <cellStyle name="Normal 81" xfId="1525"/>
    <cellStyle name="Normal 81 2" xfId="3977"/>
    <cellStyle name="Normal 81 2 2" xfId="10747"/>
    <cellStyle name="Normal 81 2 3" xfId="23437"/>
    <cellStyle name="Normal 81 2 4" xfId="13575"/>
    <cellStyle name="Normal 81 2 5" xfId="28395"/>
    <cellStyle name="Normal 81 3" xfId="5931"/>
    <cellStyle name="Normal 81 3 2" xfId="12701"/>
    <cellStyle name="Normal 81 3 3" xfId="25391"/>
    <cellStyle name="Normal 81 3 4" xfId="16331"/>
    <cellStyle name="Normal 81 3 5" xfId="29758"/>
    <cellStyle name="Normal 81 4" xfId="8295"/>
    <cellStyle name="Normal 81 5" xfId="21113"/>
    <cellStyle name="Normal 81 6" xfId="14222"/>
    <cellStyle name="Normal 81 7" xfId="29055"/>
    <cellStyle name="Normal 82" xfId="1548"/>
    <cellStyle name="Normal 82 2" xfId="3999"/>
    <cellStyle name="Normal 82 2 2" xfId="10769"/>
    <cellStyle name="Normal 82 2 3" xfId="23459"/>
    <cellStyle name="Normal 82 2 4" xfId="20002"/>
    <cellStyle name="Normal 82 2 5" xfId="27822"/>
    <cellStyle name="Normal 82 3" xfId="5951"/>
    <cellStyle name="Normal 82 3 2" xfId="12721"/>
    <cellStyle name="Normal 82 3 3" xfId="25411"/>
    <cellStyle name="Normal 82 3 4" xfId="16500"/>
    <cellStyle name="Normal 82 3 5" xfId="31799"/>
    <cellStyle name="Normal 82 4" xfId="8318"/>
    <cellStyle name="Normal 82 5" xfId="21133"/>
    <cellStyle name="Normal 82 6" xfId="16423"/>
    <cellStyle name="Normal 82 7" xfId="31207"/>
    <cellStyle name="Normal 83" xfId="1571"/>
    <cellStyle name="Normal 83 2" xfId="4021"/>
    <cellStyle name="Normal 83 2 2" xfId="10791"/>
    <cellStyle name="Normal 83 2 3" xfId="23481"/>
    <cellStyle name="Normal 83 2 4" xfId="18042"/>
    <cellStyle name="Normal 83 2 5" xfId="27164"/>
    <cellStyle name="Normal 83 3" xfId="5971"/>
    <cellStyle name="Normal 83 3 2" xfId="12741"/>
    <cellStyle name="Normal 83 3 3" xfId="25431"/>
    <cellStyle name="Normal 83 3 4" xfId="15851"/>
    <cellStyle name="Normal 83 3 5" xfId="30785"/>
    <cellStyle name="Normal 83 4" xfId="8341"/>
    <cellStyle name="Normal 83 5" xfId="21153"/>
    <cellStyle name="Normal 83 6" xfId="18306"/>
    <cellStyle name="Normal 83 7" xfId="26861"/>
    <cellStyle name="Normal 84" xfId="1594"/>
    <cellStyle name="Normal 84 2" xfId="4043"/>
    <cellStyle name="Normal 84 2 2" xfId="10813"/>
    <cellStyle name="Normal 84 2 3" xfId="23503"/>
    <cellStyle name="Normal 84 2 4" xfId="13772"/>
    <cellStyle name="Normal 84 2 5" xfId="28303"/>
    <cellStyle name="Normal 84 3" xfId="5991"/>
    <cellStyle name="Normal 84 3 2" xfId="12761"/>
    <cellStyle name="Normal 84 3 3" xfId="25451"/>
    <cellStyle name="Normal 84 3 4" xfId="18065"/>
    <cellStyle name="Normal 84 3 5" xfId="27077"/>
    <cellStyle name="Normal 84 4" xfId="8364"/>
    <cellStyle name="Normal 84 5" xfId="21173"/>
    <cellStyle name="Normal 84 6" xfId="15866"/>
    <cellStyle name="Normal 84 7" xfId="29849"/>
    <cellStyle name="Normal 85" xfId="1617"/>
    <cellStyle name="Normal 85 2" xfId="4065"/>
    <cellStyle name="Normal 85 2 2" xfId="10835"/>
    <cellStyle name="Normal 85 2 3" xfId="23525"/>
    <cellStyle name="Normal 85 2 4" xfId="19631"/>
    <cellStyle name="Normal 85 2 5" xfId="28050"/>
    <cellStyle name="Normal 85 3" xfId="6011"/>
    <cellStyle name="Normal 85 3 2" xfId="12781"/>
    <cellStyle name="Normal 85 3 3" xfId="25471"/>
    <cellStyle name="Normal 85 3 4" xfId="19860"/>
    <cellStyle name="Normal 85 3 5" xfId="31706"/>
    <cellStyle name="Normal 85 4" xfId="8387"/>
    <cellStyle name="Normal 85 5" xfId="21193"/>
    <cellStyle name="Normal 85 6" xfId="16152"/>
    <cellStyle name="Normal 85 7" xfId="27454"/>
    <cellStyle name="Normal 86" xfId="1677"/>
    <cellStyle name="Normal 86 2" xfId="4124"/>
    <cellStyle name="Normal 86 2 2" xfId="10894"/>
    <cellStyle name="Normal 86 2 3" xfId="23584"/>
    <cellStyle name="Normal 86 2 4" xfId="15007"/>
    <cellStyle name="Normal 86 2 5" xfId="32075"/>
    <cellStyle name="Normal 86 3" xfId="6064"/>
    <cellStyle name="Normal 86 3 2" xfId="12834"/>
    <cellStyle name="Normal 86 3 3" xfId="25524"/>
    <cellStyle name="Normal 86 3 4" xfId="13740"/>
    <cellStyle name="Normal 86 3 5" xfId="26495"/>
    <cellStyle name="Normal 86 4" xfId="8447"/>
    <cellStyle name="Normal 86 5" xfId="21246"/>
    <cellStyle name="Normal 86 6" xfId="17904"/>
    <cellStyle name="Normal 86 7" xfId="27862"/>
    <cellStyle name="Normal 87" xfId="1199"/>
    <cellStyle name="Normal 87 2" xfId="3659"/>
    <cellStyle name="Normal 87 2 2" xfId="10429"/>
    <cellStyle name="Normal 87 2 3" xfId="23119"/>
    <cellStyle name="Normal 87 2 4" xfId="15898"/>
    <cellStyle name="Normal 87 2 5" xfId="26265"/>
    <cellStyle name="Normal 87 3" xfId="5648"/>
    <cellStyle name="Normal 87 3 2" xfId="12418"/>
    <cellStyle name="Normal 87 3 3" xfId="25108"/>
    <cellStyle name="Normal 87 3 4" xfId="18172"/>
    <cellStyle name="Normal 87 3 5" xfId="28335"/>
    <cellStyle name="Normal 87 4" xfId="7969"/>
    <cellStyle name="Normal 87 5" xfId="20830"/>
    <cellStyle name="Normal 87 6" xfId="19113"/>
    <cellStyle name="Normal 87 7" xfId="28836"/>
    <cellStyle name="Normal 88" xfId="1683"/>
    <cellStyle name="Normal 88 2" xfId="4130"/>
    <cellStyle name="Normal 88 2 2" xfId="10900"/>
    <cellStyle name="Normal 88 2 3" xfId="23590"/>
    <cellStyle name="Normal 88 2 4" xfId="14963"/>
    <cellStyle name="Normal 88 2 5" xfId="31239"/>
    <cellStyle name="Normal 88 3" xfId="6069"/>
    <cellStyle name="Normal 88 3 2" xfId="12839"/>
    <cellStyle name="Normal 88 3 3" xfId="25529"/>
    <cellStyle name="Normal 88 3 4" xfId="17652"/>
    <cellStyle name="Normal 88 3 5" xfId="29533"/>
    <cellStyle name="Normal 88 4" xfId="8453"/>
    <cellStyle name="Normal 88 5" xfId="21251"/>
    <cellStyle name="Normal 88 6" xfId="17883"/>
    <cellStyle name="Normal 88 7" xfId="27436"/>
    <cellStyle name="Normal 89" xfId="1706"/>
    <cellStyle name="Normal 89 2" xfId="4152"/>
    <cellStyle name="Normal 89 2 2" xfId="10922"/>
    <cellStyle name="Normal 89 2 3" xfId="23612"/>
    <cellStyle name="Normal 89 2 4" xfId="19123"/>
    <cellStyle name="Normal 89 2 5" xfId="29974"/>
    <cellStyle name="Normal 89 3" xfId="6089"/>
    <cellStyle name="Normal 89 3 2" xfId="12859"/>
    <cellStyle name="Normal 89 3 3" xfId="25549"/>
    <cellStyle name="Normal 89 3 4" xfId="19397"/>
    <cellStyle name="Normal 89 3 5" xfId="31583"/>
    <cellStyle name="Normal 89 4" xfId="8476"/>
    <cellStyle name="Normal 89 5" xfId="21271"/>
    <cellStyle name="Normal 89 6" xfId="19599"/>
    <cellStyle name="Normal 89 7" xfId="30784"/>
    <cellStyle name="Normal 9" xfId="50"/>
    <cellStyle name="Normal 90" xfId="1729"/>
    <cellStyle name="Normal 90 2" xfId="4174"/>
    <cellStyle name="Normal 90 2 2" xfId="10944"/>
    <cellStyle name="Normal 90 2 3" xfId="23634"/>
    <cellStyle name="Normal 90 2 4" xfId="17030"/>
    <cellStyle name="Normal 90 2 5" xfId="31065"/>
    <cellStyle name="Normal 90 3" xfId="6109"/>
    <cellStyle name="Normal 90 3 2" xfId="12879"/>
    <cellStyle name="Normal 90 3 3" xfId="25569"/>
    <cellStyle name="Normal 90 3 4" xfId="15016"/>
    <cellStyle name="Normal 90 3 5" xfId="30532"/>
    <cellStyle name="Normal 90 4" xfId="8499"/>
    <cellStyle name="Normal 90 5" xfId="21291"/>
    <cellStyle name="Normal 90 6" xfId="15201"/>
    <cellStyle name="Normal 90 7" xfId="28751"/>
    <cellStyle name="Normal 91" xfId="1752"/>
    <cellStyle name="Normal 91 2" xfId="4196"/>
    <cellStyle name="Normal 91 2 2" xfId="10966"/>
    <cellStyle name="Normal 91 2 3" xfId="23656"/>
    <cellStyle name="Normal 91 2 4" xfId="14524"/>
    <cellStyle name="Normal 91 2 5" xfId="31451"/>
    <cellStyle name="Normal 91 3" xfId="6129"/>
    <cellStyle name="Normal 91 3 2" xfId="12899"/>
    <cellStyle name="Normal 91 3 3" xfId="25589"/>
    <cellStyle name="Normal 91 3 4" xfId="17239"/>
    <cellStyle name="Normal 91 3 5" xfId="30375"/>
    <cellStyle name="Normal 91 4" xfId="8522"/>
    <cellStyle name="Normal 91 5" xfId="21311"/>
    <cellStyle name="Normal 91 6" xfId="17433"/>
    <cellStyle name="Normal 91 7" xfId="26564"/>
    <cellStyle name="Normal 92" xfId="1775"/>
    <cellStyle name="Normal 92 2" xfId="4218"/>
    <cellStyle name="Normal 92 2 2" xfId="10988"/>
    <cellStyle name="Normal 92 2 3" xfId="23678"/>
    <cellStyle name="Normal 92 2 4" xfId="18733"/>
    <cellStyle name="Normal 92 2 5" xfId="29877"/>
    <cellStyle name="Normal 92 3" xfId="6149"/>
    <cellStyle name="Normal 92 3 2" xfId="12919"/>
    <cellStyle name="Normal 92 3 3" xfId="25609"/>
    <cellStyle name="Normal 92 3 4" xfId="19053"/>
    <cellStyle name="Normal 92 3 5" xfId="32416"/>
    <cellStyle name="Normal 92 4" xfId="8545"/>
    <cellStyle name="Normal 92 5" xfId="21331"/>
    <cellStyle name="Normal 92 6" xfId="19188"/>
    <cellStyle name="Normal 92 7" xfId="29565"/>
    <cellStyle name="Normal 93" xfId="1798"/>
    <cellStyle name="Normal 93 2" xfId="4240"/>
    <cellStyle name="Normal 93 2 2" xfId="11010"/>
    <cellStyle name="Normal 93 2 3" xfId="23700"/>
    <cellStyle name="Normal 93 2 4" xfId="16594"/>
    <cellStyle name="Normal 93 2 5" xfId="30956"/>
    <cellStyle name="Normal 93 3" xfId="6169"/>
    <cellStyle name="Normal 93 3 2" xfId="12939"/>
    <cellStyle name="Normal 93 3 3" xfId="25629"/>
    <cellStyle name="Normal 93 3 4" xfId="14621"/>
    <cellStyle name="Normal 93 3 5" xfId="31492"/>
    <cellStyle name="Normal 93 4" xfId="8568"/>
    <cellStyle name="Normal 93 5" xfId="21351"/>
    <cellStyle name="Normal 93 6" xfId="14749"/>
    <cellStyle name="Normal 93 7" xfId="27643"/>
    <cellStyle name="Normal 94" xfId="1821"/>
    <cellStyle name="Normal 94 2" xfId="4263"/>
    <cellStyle name="Normal 94 2 2" xfId="11033"/>
    <cellStyle name="Normal 94 2 3" xfId="23723"/>
    <cellStyle name="Normal 94 2 4" xfId="18459"/>
    <cellStyle name="Normal 94 2 5" xfId="28046"/>
    <cellStyle name="Normal 94 3" xfId="6189"/>
    <cellStyle name="Normal 94 3 2" xfId="12959"/>
    <cellStyle name="Normal 94 3 3" xfId="25649"/>
    <cellStyle name="Normal 94 3 4" xfId="16844"/>
    <cellStyle name="Normal 94 3 5" xfId="30287"/>
    <cellStyle name="Normal 94 4" xfId="8591"/>
    <cellStyle name="Normal 94 5" xfId="21371"/>
    <cellStyle name="Normal 94 6" xfId="16972"/>
    <cellStyle name="Normal 94 7" xfId="31415"/>
    <cellStyle name="Normal 95" xfId="1844"/>
    <cellStyle name="Normal 95 2" xfId="4285"/>
    <cellStyle name="Normal 95 2 2" xfId="11055"/>
    <cellStyle name="Normal 95 2 3" xfId="23745"/>
    <cellStyle name="Normal 95 2 4" xfId="16304"/>
    <cellStyle name="Normal 95 2 5" xfId="26750"/>
    <cellStyle name="Normal 95 3" xfId="6209"/>
    <cellStyle name="Normal 95 3 2" xfId="12979"/>
    <cellStyle name="Normal 95 3 3" xfId="25669"/>
    <cellStyle name="Normal 95 3 4" xfId="18701"/>
    <cellStyle name="Normal 95 3 5" xfId="32330"/>
    <cellStyle name="Normal 95 4" xfId="8614"/>
    <cellStyle name="Normal 95 5" xfId="21391"/>
    <cellStyle name="Normal 95 6" xfId="17225"/>
    <cellStyle name="Normal 95 7" xfId="29324"/>
    <cellStyle name="Normal 96" xfId="1867"/>
    <cellStyle name="Normal 96 2" xfId="4307"/>
    <cellStyle name="Normal 96 2 2" xfId="11077"/>
    <cellStyle name="Normal 96 2 3" xfId="23767"/>
    <cellStyle name="Normal 96 2 4" xfId="15896"/>
    <cellStyle name="Normal 96 2 5" xfId="27882"/>
    <cellStyle name="Normal 96 3" xfId="6229"/>
    <cellStyle name="Normal 96 3 2" xfId="12999"/>
    <cellStyle name="Normal 96 3 3" xfId="25689"/>
    <cellStyle name="Normal 96 3 4" xfId="13629"/>
    <cellStyle name="Normal 96 3 5" xfId="31392"/>
    <cellStyle name="Normal 96 4" xfId="8637"/>
    <cellStyle name="Normal 96 5" xfId="21411"/>
    <cellStyle name="Normal 96 6" xfId="14291"/>
    <cellStyle name="Normal 96 7" xfId="30523"/>
    <cellStyle name="Normal 97" xfId="1890"/>
    <cellStyle name="Normal 97 2" xfId="4329"/>
    <cellStyle name="Normal 97 2 2" xfId="11099"/>
    <cellStyle name="Normal 97 2 3" xfId="23789"/>
    <cellStyle name="Normal 97 2 4" xfId="19968"/>
    <cellStyle name="Normal 97 2 5" xfId="29389"/>
    <cellStyle name="Normal 97 3" xfId="6249"/>
    <cellStyle name="Normal 97 3 2" xfId="13019"/>
    <cellStyle name="Normal 97 3 3" xfId="25709"/>
    <cellStyle name="Normal 97 3 4" xfId="16448"/>
    <cellStyle name="Normal 97 3 5" xfId="30209"/>
    <cellStyle name="Normal 97 4" xfId="8660"/>
    <cellStyle name="Normal 97 5" xfId="21431"/>
    <cellStyle name="Normal 97 6" xfId="16512"/>
    <cellStyle name="Normal 97 7" xfId="27174"/>
    <cellStyle name="Normal 98" xfId="15594"/>
    <cellStyle name="Normal 99" xfId="28912"/>
    <cellStyle name="Normal_calculation_1" xfId="34142"/>
    <cellStyle name="Normal_Consumables &amp; Repairs 2" xfId="34138"/>
    <cellStyle name="Normal_EDC Conceptual_BH_Costing_24Jul'09" xfId="34141"/>
    <cellStyle name="Normal_West Piano (April 08,04)" xfId="34140"/>
    <cellStyle name="Percent" xfId="2" builtinId="5"/>
    <cellStyle name="Percent 2" xfId="8"/>
    <cellStyle name="Percent 2 2" xfId="14"/>
    <cellStyle name="Percent 2 2 10" xfId="233"/>
    <cellStyle name="Percent 2 2 10 2" xfId="2712"/>
    <cellStyle name="Percent 2 2 10 2 2" xfId="9482"/>
    <cellStyle name="Percent 2 2 10 2 3" xfId="22172"/>
    <cellStyle name="Percent 2 2 10 2 4" xfId="6811"/>
    <cellStyle name="Percent 2 2 10 2 5" xfId="26620"/>
    <cellStyle name="Percent 2 2 10 3" xfId="2564"/>
    <cellStyle name="Percent 2 2 10 3 2" xfId="9334"/>
    <cellStyle name="Percent 2 2 10 3 3" xfId="22024"/>
    <cellStyle name="Percent 2 2 10 3 4" xfId="14153"/>
    <cellStyle name="Percent 2 2 10 3 5" xfId="28986"/>
    <cellStyle name="Percent 2 2 10 4" xfId="7003"/>
    <cellStyle name="Percent 2 2 10 5" xfId="13550"/>
    <cellStyle name="Percent 2 2 10 6" xfId="14068"/>
    <cellStyle name="Percent 2 2 10 7" xfId="29327"/>
    <cellStyle name="Percent 2 2 100" xfId="2289"/>
    <cellStyle name="Percent 2 2 100 2" xfId="4710"/>
    <cellStyle name="Percent 2 2 100 2 2" xfId="11480"/>
    <cellStyle name="Percent 2 2 100 2 3" xfId="24170"/>
    <cellStyle name="Percent 2 2 100 2 4" xfId="19779"/>
    <cellStyle name="Percent 2 2 100 2 5" xfId="29751"/>
    <cellStyle name="Percent 2 2 100 3" xfId="6593"/>
    <cellStyle name="Percent 2 2 100 3 2" xfId="13363"/>
    <cellStyle name="Percent 2 2 100 3 3" xfId="26053"/>
    <cellStyle name="Percent 2 2 100 3 4" xfId="16567"/>
    <cellStyle name="Percent 2 2 100 3 5" xfId="31801"/>
    <cellStyle name="Percent 2 2 100 4" xfId="9059"/>
    <cellStyle name="Percent 2 2 100 5" xfId="21775"/>
    <cellStyle name="Percent 2 2 100 6" xfId="18935"/>
    <cellStyle name="Percent 2 2 100 7" xfId="31421"/>
    <cellStyle name="Percent 2 2 101" xfId="2311"/>
    <cellStyle name="Percent 2 2 101 2" xfId="4732"/>
    <cellStyle name="Percent 2 2 101 2 2" xfId="11502"/>
    <cellStyle name="Percent 2 2 101 2 3" xfId="24192"/>
    <cellStyle name="Percent 2 2 101 2 4" xfId="17792"/>
    <cellStyle name="Percent 2 2 101 2 5" xfId="30822"/>
    <cellStyle name="Percent 2 2 101 3" xfId="6612"/>
    <cellStyle name="Percent 2 2 101 3 2" xfId="13382"/>
    <cellStyle name="Percent 2 2 101 3 3" xfId="26072"/>
    <cellStyle name="Percent 2 2 101 3 4" xfId="16915"/>
    <cellStyle name="Percent 2 2 101 3 5" xfId="28796"/>
    <cellStyle name="Percent 2 2 101 4" xfId="9081"/>
    <cellStyle name="Percent 2 2 101 5" xfId="21794"/>
    <cellStyle name="Percent 2 2 101 6" xfId="16845"/>
    <cellStyle name="Percent 2 2 101 7" xfId="32299"/>
    <cellStyle name="Percent 2 2 102" xfId="2333"/>
    <cellStyle name="Percent 2 2 102 2" xfId="4754"/>
    <cellStyle name="Percent 2 2 102 2 2" xfId="11524"/>
    <cellStyle name="Percent 2 2 102 2 3" xfId="24214"/>
    <cellStyle name="Percent 2 2 102 2 4" xfId="15279"/>
    <cellStyle name="Percent 2 2 102 2 5" xfId="31761"/>
    <cellStyle name="Percent 2 2 102 3" xfId="6631"/>
    <cellStyle name="Percent 2 2 102 3 2" xfId="13401"/>
    <cellStyle name="Percent 2 2 102 3 3" xfId="26091"/>
    <cellStyle name="Percent 2 2 102 3 4" xfId="14431"/>
    <cellStyle name="Percent 2 2 102 3 5" xfId="30754"/>
    <cellStyle name="Percent 2 2 102 4" xfId="9103"/>
    <cellStyle name="Percent 2 2 102 5" xfId="21813"/>
    <cellStyle name="Percent 2 2 102 6" xfId="15660"/>
    <cellStyle name="Percent 2 2 102 7" xfId="30204"/>
    <cellStyle name="Percent 2 2 103" xfId="2355"/>
    <cellStyle name="Percent 2 2 103 2" xfId="4775"/>
    <cellStyle name="Percent 2 2 103 2 2" xfId="11545"/>
    <cellStyle name="Percent 2 2 103 2 3" xfId="24235"/>
    <cellStyle name="Percent 2 2 103 2 4" xfId="15126"/>
    <cellStyle name="Percent 2 2 103 2 5" xfId="27763"/>
    <cellStyle name="Percent 2 2 103 3" xfId="6650"/>
    <cellStyle name="Percent 2 2 103 3 2" xfId="13420"/>
    <cellStyle name="Percent 2 2 103 3 3" xfId="26110"/>
    <cellStyle name="Percent 2 2 103 3 4" xfId="18647"/>
    <cellStyle name="Percent 2 2 103 3 5" xfId="27766"/>
    <cellStyle name="Percent 2 2 103 4" xfId="9125"/>
    <cellStyle name="Percent 2 2 103 5" xfId="21832"/>
    <cellStyle name="Percent 2 2 103 6" xfId="19746"/>
    <cellStyle name="Percent 2 2 103 7" xfId="31330"/>
    <cellStyle name="Percent 2 2 104" xfId="2376"/>
    <cellStyle name="Percent 2 2 104 2" xfId="4795"/>
    <cellStyle name="Percent 2 2 104 2 2" xfId="11565"/>
    <cellStyle name="Percent 2 2 104 2 3" xfId="24255"/>
    <cellStyle name="Percent 2 2 104 2 4" xfId="17384"/>
    <cellStyle name="Percent 2 2 104 2 5" xfId="26581"/>
    <cellStyle name="Percent 2 2 104 3" xfId="6668"/>
    <cellStyle name="Percent 2 2 104 3 2" xfId="13438"/>
    <cellStyle name="Percent 2 2 104 3 3" xfId="26128"/>
    <cellStyle name="Percent 2 2 104 3 4" xfId="18550"/>
    <cellStyle name="Percent 2 2 104 3 5" xfId="27733"/>
    <cellStyle name="Percent 2 2 104 4" xfId="9146"/>
    <cellStyle name="Percent 2 2 104 5" xfId="21850"/>
    <cellStyle name="Percent 2 2 104 6" xfId="19634"/>
    <cellStyle name="Percent 2 2 104 7" xfId="27153"/>
    <cellStyle name="Percent 2 2 105" xfId="2396"/>
    <cellStyle name="Percent 2 2 105 2" xfId="4814"/>
    <cellStyle name="Percent 2 2 105 2 2" xfId="11584"/>
    <cellStyle name="Percent 2 2 105 2 3" xfId="24274"/>
    <cellStyle name="Percent 2 2 105 2 4" xfId="13708"/>
    <cellStyle name="Percent 2 2 105 2 5" xfId="31670"/>
    <cellStyle name="Percent 2 2 105 3" xfId="6685"/>
    <cellStyle name="Percent 2 2 105 3 2" xfId="13455"/>
    <cellStyle name="Percent 2 2 105 3 3" xfId="26145"/>
    <cellStyle name="Percent 2 2 105 3 4" xfId="14053"/>
    <cellStyle name="Percent 2 2 105 3 5" xfId="30664"/>
    <cellStyle name="Percent 2 2 105 4" xfId="9166"/>
    <cellStyle name="Percent 2 2 105 5" xfId="21867"/>
    <cellStyle name="Percent 2 2 105 6" xfId="15263"/>
    <cellStyle name="Percent 2 2 105 7" xfId="29227"/>
    <cellStyle name="Percent 2 2 106" xfId="2351"/>
    <cellStyle name="Percent 2 2 106 2" xfId="4771"/>
    <cellStyle name="Percent 2 2 106 2 2" xfId="11541"/>
    <cellStyle name="Percent 2 2 106 2 3" xfId="24231"/>
    <cellStyle name="Percent 2 2 106 2 4" xfId="17533"/>
    <cellStyle name="Percent 2 2 106 2 5" xfId="26599"/>
    <cellStyle name="Percent 2 2 106 3" xfId="6647"/>
    <cellStyle name="Percent 2 2 106 3 2" xfId="13417"/>
    <cellStyle name="Percent 2 2 106 3 3" xfId="26107"/>
    <cellStyle name="Percent 2 2 106 3 4" xfId="18667"/>
    <cellStyle name="Percent 2 2 106 3 5" xfId="31717"/>
    <cellStyle name="Percent 2 2 106 4" xfId="9121"/>
    <cellStyle name="Percent 2 2 106 5" xfId="21829"/>
    <cellStyle name="Percent 2 2 106 6" xfId="15536"/>
    <cellStyle name="Percent 2 2 106 7" xfId="30180"/>
    <cellStyle name="Percent 2 2 107" xfId="2405"/>
    <cellStyle name="Percent 2 2 107 2" xfId="4823"/>
    <cellStyle name="Percent 2 2 107 2 2" xfId="11593"/>
    <cellStyle name="Percent 2 2 107 2 3" xfId="24283"/>
    <cellStyle name="Percent 2 2 107 2 4" xfId="14831"/>
    <cellStyle name="Percent 2 2 107 2 5" xfId="27698"/>
    <cellStyle name="Percent 2 2 107 3" xfId="6693"/>
    <cellStyle name="Percent 2 2 107 3 2" xfId="13463"/>
    <cellStyle name="Percent 2 2 107 3 3" xfId="26153"/>
    <cellStyle name="Percent 2 2 107 3 4" xfId="15991"/>
    <cellStyle name="Percent 2 2 107 3 5" xfId="29558"/>
    <cellStyle name="Percent 2 2 107 4" xfId="9175"/>
    <cellStyle name="Percent 2 2 107 5" xfId="21875"/>
    <cellStyle name="Percent 2 2 107 6" xfId="15199"/>
    <cellStyle name="Percent 2 2 107 7" xfId="30111"/>
    <cellStyle name="Percent 2 2 108" xfId="2458"/>
    <cellStyle name="Percent 2 2 108 2" xfId="4876"/>
    <cellStyle name="Percent 2 2 108 2 2" xfId="11646"/>
    <cellStyle name="Percent 2 2 108 2 3" xfId="24336"/>
    <cellStyle name="Percent 2 2 108 2 4" xfId="16834"/>
    <cellStyle name="Percent 2 2 108 2 5" xfId="30562"/>
    <cellStyle name="Percent 2 2 108 3" xfId="6741"/>
    <cellStyle name="Percent 2 2 108 3 2" xfId="13511"/>
    <cellStyle name="Percent 2 2 108 3 3" xfId="26201"/>
    <cellStyle name="Percent 2 2 108 3 4" xfId="18180"/>
    <cellStyle name="Percent 2 2 108 3 5" xfId="29486"/>
    <cellStyle name="Percent 2 2 108 4" xfId="9228"/>
    <cellStyle name="Percent 2 2 108 5" xfId="21923"/>
    <cellStyle name="Percent 2 2 108 6" xfId="16046"/>
    <cellStyle name="Percent 2 2 108 7" xfId="27510"/>
    <cellStyle name="Percent 2 2 109" xfId="2476"/>
    <cellStyle name="Percent 2 2 109 2" xfId="4893"/>
    <cellStyle name="Percent 2 2 109 2 2" xfId="11663"/>
    <cellStyle name="Percent 2 2 109 2 3" xfId="24353"/>
    <cellStyle name="Percent 2 2 109 2 4" xfId="18711"/>
    <cellStyle name="Percent 2 2 109 2 5" xfId="27720"/>
    <cellStyle name="Percent 2 2 109 3" xfId="6757"/>
    <cellStyle name="Percent 2 2 109 3 2" xfId="13527"/>
    <cellStyle name="Percent 2 2 109 3 3" xfId="26217"/>
    <cellStyle name="Percent 2 2 109 3 4" xfId="26238"/>
    <cellStyle name="Percent 2 2 109 3 5" xfId="30524"/>
    <cellStyle name="Percent 2 2 109 4" xfId="9246"/>
    <cellStyle name="Percent 2 2 109 5" xfId="21939"/>
    <cellStyle name="Percent 2 2 109 6" xfId="17103"/>
    <cellStyle name="Percent 2 2 109 7" xfId="28180"/>
    <cellStyle name="Percent 2 2 11" xfId="211"/>
    <cellStyle name="Percent 2 2 11 2" xfId="2691"/>
    <cellStyle name="Percent 2 2 11 2 2" xfId="9461"/>
    <cellStyle name="Percent 2 2 11 2 3" xfId="22151"/>
    <cellStyle name="Percent 2 2 11 2 4" xfId="14070"/>
    <cellStyle name="Percent 2 2 11 2 5" xfId="30792"/>
    <cellStyle name="Percent 2 2 11 3" xfId="2830"/>
    <cellStyle name="Percent 2 2 11 3 2" xfId="9600"/>
    <cellStyle name="Percent 2 2 11 3 3" xfId="22290"/>
    <cellStyle name="Percent 2 2 11 3 4" xfId="8700"/>
    <cellStyle name="Percent 2 2 11 3 5" xfId="27576"/>
    <cellStyle name="Percent 2 2 11 4" xfId="6981"/>
    <cellStyle name="Percent 2 2 11 5" xfId="13919"/>
    <cellStyle name="Percent 2 2 11 6" xfId="16580"/>
    <cellStyle name="Percent 2 2 11 7" xfId="28440"/>
    <cellStyle name="Percent 2 2 110" xfId="2506"/>
    <cellStyle name="Percent 2 2 110 2" xfId="9276"/>
    <cellStyle name="Percent 2 2 110 3" xfId="21967"/>
    <cellStyle name="Percent 2 2 110 4" xfId="16904"/>
    <cellStyle name="Percent 2 2 110 5" xfId="28131"/>
    <cellStyle name="Percent 2 2 111" xfId="4671"/>
    <cellStyle name="Percent 2 2 111 2" xfId="11441"/>
    <cellStyle name="Percent 2 2 111 3" xfId="24131"/>
    <cellStyle name="Percent 2 2 111 4" xfId="19738"/>
    <cellStyle name="Percent 2 2 111 5" xfId="28920"/>
    <cellStyle name="Percent 2 2 112" xfId="6786"/>
    <cellStyle name="Percent 2 2 113" xfId="15707"/>
    <cellStyle name="Percent 2 2 114" xfId="17886"/>
    <cellStyle name="Percent 2 2 115" xfId="27923"/>
    <cellStyle name="Percent 2 2 116" xfId="32454"/>
    <cellStyle name="Percent 2 2 117" xfId="32488"/>
    <cellStyle name="Percent 2 2 118" xfId="32511"/>
    <cellStyle name="Percent 2 2 119" xfId="32534"/>
    <cellStyle name="Percent 2 2 12" xfId="279"/>
    <cellStyle name="Percent 2 2 12 2" xfId="2755"/>
    <cellStyle name="Percent 2 2 12 2 2" xfId="9525"/>
    <cellStyle name="Percent 2 2 12 2 3" xfId="22215"/>
    <cellStyle name="Percent 2 2 12 2 4" xfId="15808"/>
    <cellStyle name="Percent 2 2 12 2 5" xfId="31672"/>
    <cellStyle name="Percent 2 2 12 3" xfId="3968"/>
    <cellStyle name="Percent 2 2 12 3 2" xfId="10738"/>
    <cellStyle name="Percent 2 2 12 3 3" xfId="23428"/>
    <cellStyle name="Percent 2 2 12 3 4" xfId="13885"/>
    <cellStyle name="Percent 2 2 12 3 5" xfId="32292"/>
    <cellStyle name="Percent 2 2 12 4" xfId="7049"/>
    <cellStyle name="Percent 2 2 12 5" xfId="15035"/>
    <cellStyle name="Percent 2 2 12 6" xfId="17801"/>
    <cellStyle name="Percent 2 2 12 7" xfId="27177"/>
    <cellStyle name="Percent 2 2 120" xfId="32557"/>
    <cellStyle name="Percent 2 2 121" xfId="32580"/>
    <cellStyle name="Percent 2 2 122" xfId="32603"/>
    <cellStyle name="Percent 2 2 123" xfId="32626"/>
    <cellStyle name="Percent 2 2 124" xfId="32649"/>
    <cellStyle name="Percent 2 2 125" xfId="32672"/>
    <cellStyle name="Percent 2 2 126" xfId="32695"/>
    <cellStyle name="Percent 2 2 127" xfId="32718"/>
    <cellStyle name="Percent 2 2 128" xfId="32741"/>
    <cellStyle name="Percent 2 2 129" xfId="32764"/>
    <cellStyle name="Percent 2 2 13" xfId="257"/>
    <cellStyle name="Percent 2 2 13 2" xfId="2735"/>
    <cellStyle name="Percent 2 2 13 2 2" xfId="9505"/>
    <cellStyle name="Percent 2 2 13 2 3" xfId="22195"/>
    <cellStyle name="Percent 2 2 13 2 4" xfId="15914"/>
    <cellStyle name="Percent 2 2 13 2 5" xfId="29628"/>
    <cellStyle name="Percent 2 2 13 3" xfId="4407"/>
    <cellStyle name="Percent 2 2 13 3 2" xfId="11177"/>
    <cellStyle name="Percent 2 2 13 3 3" xfId="23867"/>
    <cellStyle name="Percent 2 2 13 3 4" xfId="19533"/>
    <cellStyle name="Percent 2 2 13 3 5" xfId="29287"/>
    <cellStyle name="Percent 2 2 13 4" xfId="7027"/>
    <cellStyle name="Percent 2 2 13 5" xfId="15454"/>
    <cellStyle name="Percent 2 2 13 6" xfId="15670"/>
    <cellStyle name="Percent 2 2 13 7" xfId="29301"/>
    <cellStyle name="Percent 2 2 130" xfId="32787"/>
    <cellStyle name="Percent 2 2 131" xfId="32810"/>
    <cellStyle name="Percent 2 2 132" xfId="32833"/>
    <cellStyle name="Percent 2 2 133" xfId="32856"/>
    <cellStyle name="Percent 2 2 134" xfId="32879"/>
    <cellStyle name="Percent 2 2 135" xfId="32901"/>
    <cellStyle name="Percent 2 2 136" xfId="32924"/>
    <cellStyle name="Percent 2 2 137" xfId="32947"/>
    <cellStyle name="Percent 2 2 138" xfId="32970"/>
    <cellStyle name="Percent 2 2 139" xfId="32993"/>
    <cellStyle name="Percent 2 2 14" xfId="327"/>
    <cellStyle name="Percent 2 2 14 2" xfId="2803"/>
    <cellStyle name="Percent 2 2 14 2 2" xfId="9573"/>
    <cellStyle name="Percent 2 2 14 2 3" xfId="22263"/>
    <cellStyle name="Percent 2 2 14 2 4" xfId="13704"/>
    <cellStyle name="Percent 2 2 14 2 5" xfId="31599"/>
    <cellStyle name="Percent 2 2 14 3" xfId="2984"/>
    <cellStyle name="Percent 2 2 14 3 2" xfId="9754"/>
    <cellStyle name="Percent 2 2 14 3 3" xfId="22444"/>
    <cellStyle name="Percent 2 2 14 3 4" xfId="7290"/>
    <cellStyle name="Percent 2 2 14 3 5" xfId="29382"/>
    <cellStyle name="Percent 2 2 14 4" xfId="7097"/>
    <cellStyle name="Percent 2 2 14 5" xfId="14067"/>
    <cellStyle name="Percent 2 2 14 6" xfId="19488"/>
    <cellStyle name="Percent 2 2 14 7" xfId="27107"/>
    <cellStyle name="Percent 2 2 140" xfId="33016"/>
    <cellStyle name="Percent 2 2 141" xfId="33039"/>
    <cellStyle name="Percent 2 2 142" xfId="33062"/>
    <cellStyle name="Percent 2 2 143" xfId="33085"/>
    <cellStyle name="Percent 2 2 144" xfId="33108"/>
    <cellStyle name="Percent 2 2 145" xfId="33130"/>
    <cellStyle name="Percent 2 2 146" xfId="33153"/>
    <cellStyle name="Percent 2 2 147" xfId="33172"/>
    <cellStyle name="Percent 2 2 148" xfId="33152"/>
    <cellStyle name="Percent 2 2 149" xfId="33209"/>
    <cellStyle name="Percent 2 2 15" xfId="350"/>
    <cellStyle name="Percent 2 2 15 2" xfId="2826"/>
    <cellStyle name="Percent 2 2 15 2 2" xfId="9596"/>
    <cellStyle name="Percent 2 2 15 2 3" xfId="22286"/>
    <cellStyle name="Percent 2 2 15 2 4" xfId="8790"/>
    <cellStyle name="Percent 2 2 15 2 5" xfId="26417"/>
    <cellStyle name="Percent 2 2 15 3" xfId="2711"/>
    <cellStyle name="Percent 2 2 15 3 2" xfId="9481"/>
    <cellStyle name="Percent 2 2 15 3 3" xfId="22171"/>
    <cellStyle name="Percent 2 2 15 3 4" xfId="16292"/>
    <cellStyle name="Percent 2 2 15 3 5" xfId="29660"/>
    <cellStyle name="Percent 2 2 15 4" xfId="7120"/>
    <cellStyle name="Percent 2 2 15 5" xfId="15702"/>
    <cellStyle name="Percent 2 2 15 6" xfId="15083"/>
    <cellStyle name="Percent 2 2 15 7" xfId="30069"/>
    <cellStyle name="Percent 2 2 150" xfId="33235"/>
    <cellStyle name="Percent 2 2 151" xfId="33264"/>
    <cellStyle name="Percent 2 2 152" xfId="33287"/>
    <cellStyle name="Percent 2 2 153" xfId="33310"/>
    <cellStyle name="Percent 2 2 154" xfId="33333"/>
    <cellStyle name="Percent 2 2 155" xfId="33356"/>
    <cellStyle name="Percent 2 2 156" xfId="33379"/>
    <cellStyle name="Percent 2 2 157" xfId="33402"/>
    <cellStyle name="Percent 2 2 158" xfId="33425"/>
    <cellStyle name="Percent 2 2 159" xfId="33448"/>
    <cellStyle name="Percent 2 2 16" xfId="373"/>
    <cellStyle name="Percent 2 2 16 2" xfId="2849"/>
    <cellStyle name="Percent 2 2 16 2 2" xfId="9619"/>
    <cellStyle name="Percent 2 2 16 2 3" xfId="22309"/>
    <cellStyle name="Percent 2 2 16 2 4" xfId="8313"/>
    <cellStyle name="Percent 2 2 16 2 5" xfId="30378"/>
    <cellStyle name="Percent 2 2 16 3" xfId="4930"/>
    <cellStyle name="Percent 2 2 16 3 2" xfId="11700"/>
    <cellStyle name="Percent 2 2 16 3 3" xfId="24390"/>
    <cellStyle name="Percent 2 2 16 3 4" xfId="16480"/>
    <cellStyle name="Percent 2 2 16 3 5" xfId="31525"/>
    <cellStyle name="Percent 2 2 16 4" xfId="7143"/>
    <cellStyle name="Percent 2 2 16 5" xfId="20112"/>
    <cellStyle name="Percent 2 2 16 6" xfId="17290"/>
    <cellStyle name="Percent 2 2 16 7" xfId="27516"/>
    <cellStyle name="Percent 2 2 160" xfId="33471"/>
    <cellStyle name="Percent 2 2 161" xfId="33494"/>
    <cellStyle name="Percent 2 2 162" xfId="33517"/>
    <cellStyle name="Percent 2 2 163" xfId="33540"/>
    <cellStyle name="Percent 2 2 164" xfId="33563"/>
    <cellStyle name="Percent 2 2 165" xfId="33586"/>
    <cellStyle name="Percent 2 2 166" xfId="33609"/>
    <cellStyle name="Percent 2 2 167" xfId="33632"/>
    <cellStyle name="Percent 2 2 168" xfId="33654"/>
    <cellStyle name="Percent 2 2 169" xfId="33676"/>
    <cellStyle name="Percent 2 2 17" xfId="396"/>
    <cellStyle name="Percent 2 2 17 2" xfId="2872"/>
    <cellStyle name="Percent 2 2 17 2 2" xfId="9642"/>
    <cellStyle name="Percent 2 2 17 2 3" xfId="22332"/>
    <cellStyle name="Percent 2 2 17 2 4" xfId="7832"/>
    <cellStyle name="Percent 2 2 17 2 5" xfId="28551"/>
    <cellStyle name="Percent 2 2 17 3" xfId="4950"/>
    <cellStyle name="Percent 2 2 17 3 2" xfId="11720"/>
    <cellStyle name="Percent 2 2 17 3 3" xfId="24410"/>
    <cellStyle name="Percent 2 2 17 3 4" xfId="18377"/>
    <cellStyle name="Percent 2 2 17 3 5" xfId="30314"/>
    <cellStyle name="Percent 2 2 17 4" xfId="7166"/>
    <cellStyle name="Percent 2 2 17 5" xfId="20132"/>
    <cellStyle name="Percent 2 2 17 6" xfId="19079"/>
    <cellStyle name="Percent 2 2 17 7" xfId="31142"/>
    <cellStyle name="Percent 2 2 170" xfId="33699"/>
    <cellStyle name="Percent 2 2 171" xfId="33722"/>
    <cellStyle name="Percent 2 2 172" xfId="33745"/>
    <cellStyle name="Percent 2 2 173" xfId="33768"/>
    <cellStyle name="Percent 2 2 174" xfId="33791"/>
    <cellStyle name="Percent 2 2 175" xfId="33814"/>
    <cellStyle name="Percent 2 2 176" xfId="33837"/>
    <cellStyle name="Percent 2 2 177" xfId="33860"/>
    <cellStyle name="Percent 2 2 178" xfId="33883"/>
    <cellStyle name="Percent 2 2 179" xfId="33906"/>
    <cellStyle name="Percent 2 2 18" xfId="419"/>
    <cellStyle name="Percent 2 2 18 2" xfId="2894"/>
    <cellStyle name="Percent 2 2 18 2 2" xfId="9664"/>
    <cellStyle name="Percent 2 2 18 2 3" xfId="22354"/>
    <cellStyle name="Percent 2 2 18 2 4" xfId="7374"/>
    <cellStyle name="Percent 2 2 18 2 5" xfId="29420"/>
    <cellStyle name="Percent 2 2 18 3" xfId="4970"/>
    <cellStyle name="Percent 2 2 18 3 2" xfId="11740"/>
    <cellStyle name="Percent 2 2 18 3 3" xfId="24430"/>
    <cellStyle name="Percent 2 2 18 3 4" xfId="13839"/>
    <cellStyle name="Percent 2 2 18 3 5" xfId="30872"/>
    <cellStyle name="Percent 2 2 18 4" xfId="7189"/>
    <cellStyle name="Percent 2 2 18 5" xfId="20152"/>
    <cellStyle name="Percent 2 2 18 6" xfId="14626"/>
    <cellStyle name="Percent 2 2 18 7" xfId="29076"/>
    <cellStyle name="Percent 2 2 180" xfId="33929"/>
    <cellStyle name="Percent 2 2 181" xfId="33952"/>
    <cellStyle name="Percent 2 2 182" xfId="33975"/>
    <cellStyle name="Percent 2 2 183" xfId="33997"/>
    <cellStyle name="Percent 2 2 184" xfId="34017"/>
    <cellStyle name="Percent 2 2 185" xfId="34035"/>
    <cellStyle name="Percent 2 2 19" xfId="441"/>
    <cellStyle name="Percent 2 2 19 2" xfId="2916"/>
    <cellStyle name="Percent 2 2 19 2 2" xfId="9686"/>
    <cellStyle name="Percent 2 2 19 2 3" xfId="22376"/>
    <cellStyle name="Percent 2 2 19 2 4" xfId="8705"/>
    <cellStyle name="Percent 2 2 19 2 5" xfId="26560"/>
    <cellStyle name="Percent 2 2 19 3" xfId="4989"/>
    <cellStyle name="Percent 2 2 19 3 2" xfId="11759"/>
    <cellStyle name="Percent 2 2 19 3 3" xfId="24449"/>
    <cellStyle name="Percent 2 2 19 3 4" xfId="20037"/>
    <cellStyle name="Percent 2 2 19 3 5" xfId="28791"/>
    <cellStyle name="Percent 2 2 19 4" xfId="7211"/>
    <cellStyle name="Percent 2 2 19 5" xfId="20171"/>
    <cellStyle name="Percent 2 2 19 6" xfId="18806"/>
    <cellStyle name="Percent 2 2 19 7" xfId="26926"/>
    <cellStyle name="Percent 2 2 2" xfId="53"/>
    <cellStyle name="Percent 2 2 2 10" xfId="287"/>
    <cellStyle name="Percent 2 2 2 10 2" xfId="2763"/>
    <cellStyle name="Percent 2 2 2 10 2 2" xfId="9533"/>
    <cellStyle name="Percent 2 2 2 10 2 3" xfId="22223"/>
    <cellStyle name="Percent 2 2 2 10 2 4" xfId="18136"/>
    <cellStyle name="Percent 2 2 2 10 2 5" xfId="30667"/>
    <cellStyle name="Percent 2 2 2 10 3" xfId="2603"/>
    <cellStyle name="Percent 2 2 2 10 3 2" xfId="9373"/>
    <cellStyle name="Percent 2 2 2 10 3 3" xfId="22063"/>
    <cellStyle name="Percent 2 2 2 10 3 4" xfId="13887"/>
    <cellStyle name="Percent 2 2 2 10 3 5" xfId="29827"/>
    <cellStyle name="Percent 2 2 2 10 4" xfId="7057"/>
    <cellStyle name="Percent 2 2 2 10 5" xfId="14862"/>
    <cellStyle name="Percent 2 2 2 10 6" xfId="15483"/>
    <cellStyle name="Percent 2 2 2 10 7" xfId="29261"/>
    <cellStyle name="Percent 2 2 2 100" xfId="2341"/>
    <cellStyle name="Percent 2 2 2 100 2" xfId="4762"/>
    <cellStyle name="Percent 2 2 2 100 2 2" xfId="11532"/>
    <cellStyle name="Percent 2 2 2 100 2 3" xfId="24222"/>
    <cellStyle name="Percent 2 2 2 100 2 4" xfId="17597"/>
    <cellStyle name="Percent 2 2 2 100 2 5" xfId="30765"/>
    <cellStyle name="Percent 2 2 2 100 3" xfId="6638"/>
    <cellStyle name="Percent 2 2 2 100 3 2" xfId="13408"/>
    <cellStyle name="Percent 2 2 2 100 3 3" xfId="26098"/>
    <cellStyle name="Percent 2 2 2 100 3 4" xfId="18726"/>
    <cellStyle name="Percent 2 2 2 100 3 5" xfId="27780"/>
    <cellStyle name="Percent 2 2 2 100 4" xfId="9111"/>
    <cellStyle name="Percent 2 2 2 100 5" xfId="21820"/>
    <cellStyle name="Percent 2 2 2 100 6" xfId="17982"/>
    <cellStyle name="Percent 2 2 2 100 7" xfId="32264"/>
    <cellStyle name="Percent 2 2 2 101" xfId="2363"/>
    <cellStyle name="Percent 2 2 2 101 2" xfId="4782"/>
    <cellStyle name="Percent 2 2 2 101 2 2" xfId="11552"/>
    <cellStyle name="Percent 2 2 2 101 2 3" xfId="24242"/>
    <cellStyle name="Percent 2 2 2 101 2 4" xfId="18100"/>
    <cellStyle name="Percent 2 2 2 101 2 5" xfId="26588"/>
    <cellStyle name="Percent 2 2 2 101 3" xfId="6657"/>
    <cellStyle name="Percent 2 2 2 101 3 2" xfId="13427"/>
    <cellStyle name="Percent 2 2 2 101 3 3" xfId="26117"/>
    <cellStyle name="Percent 2 2 2 101 3 4" xfId="16609"/>
    <cellStyle name="Percent 2 2 2 101 3 5" xfId="29624"/>
    <cellStyle name="Percent 2 2 2 101 4" xfId="9133"/>
    <cellStyle name="Percent 2 2 2 101 5" xfId="21839"/>
    <cellStyle name="Percent 2 2 2 101 6" xfId="15471"/>
    <cellStyle name="Percent 2 2 2 101 7" xfId="30162"/>
    <cellStyle name="Percent 2 2 2 102" xfId="2384"/>
    <cellStyle name="Percent 2 2 2 102 2" xfId="4803"/>
    <cellStyle name="Percent 2 2 2 102 2 2" xfId="11573"/>
    <cellStyle name="Percent 2 2 2 102 2 3" xfId="24263"/>
    <cellStyle name="Percent 2 2 2 102 2 4" xfId="19237"/>
    <cellStyle name="Percent 2 2 2 102 2 5" xfId="28715"/>
    <cellStyle name="Percent 2 2 2 102 3" xfId="6675"/>
    <cellStyle name="Percent 2 2 2 102 3 2" xfId="13445"/>
    <cellStyle name="Percent 2 2 2 102 3 3" xfId="26135"/>
    <cellStyle name="Percent 2 2 2 102 3 4" xfId="16493"/>
    <cellStyle name="Percent 2 2 2 102 3 5" xfId="29591"/>
    <cellStyle name="Percent 2 2 2 102 4" xfId="9154"/>
    <cellStyle name="Percent 2 2 2 102 5" xfId="21857"/>
    <cellStyle name="Percent 2 2 2 102 6" xfId="15326"/>
    <cellStyle name="Percent 2 2 2 102 7" xfId="29237"/>
    <cellStyle name="Percent 2 2 2 103" xfId="2404"/>
    <cellStyle name="Percent 2 2 2 103 2" xfId="4822"/>
    <cellStyle name="Percent 2 2 2 103 2 2" xfId="11592"/>
    <cellStyle name="Percent 2 2 2 103 2 3" xfId="24282"/>
    <cellStyle name="Percent 2 2 2 103 2 4" xfId="17205"/>
    <cellStyle name="Percent 2 2 2 103 2 5" xfId="30665"/>
    <cellStyle name="Percent 2 2 2 103 3" xfId="6692"/>
    <cellStyle name="Percent 2 2 2 103 3 2" xfId="13462"/>
    <cellStyle name="Percent 2 2 2 103 3 3" xfId="26152"/>
    <cellStyle name="Percent 2 2 2 103 3 4" xfId="17952"/>
    <cellStyle name="Percent 2 2 2 103 3 5" xfId="27683"/>
    <cellStyle name="Percent 2 2 2 103 4" xfId="9174"/>
    <cellStyle name="Percent 2 2 2 103 5" xfId="21874"/>
    <cellStyle name="Percent 2 2 2 103 6" xfId="17580"/>
    <cellStyle name="Percent 2 2 2 103 7" xfId="28291"/>
    <cellStyle name="Percent 2 2 2 104" xfId="2423"/>
    <cellStyle name="Percent 2 2 2 104 2" xfId="4841"/>
    <cellStyle name="Percent 2 2 2 104 2 2" xfId="11611"/>
    <cellStyle name="Percent 2 2 2 104 2 3" xfId="24301"/>
    <cellStyle name="Percent 2 2 2 104 2 4" xfId="14697"/>
    <cellStyle name="Percent 2 2 2 104 2 5" xfId="27661"/>
    <cellStyle name="Percent 2 2 2 104 3" xfId="6709"/>
    <cellStyle name="Percent 2 2 2 104 3 2" xfId="13479"/>
    <cellStyle name="Percent 2 2 2 104 3 3" xfId="26169"/>
    <cellStyle name="Percent 2 2 2 104 3 4" xfId="13899"/>
    <cellStyle name="Percent 2 2 2 104 3 5" xfId="30414"/>
    <cellStyle name="Percent 2 2 2 104 4" xfId="9193"/>
    <cellStyle name="Percent 2 2 2 104 5" xfId="21891"/>
    <cellStyle name="Percent 2 2 2 104 6" xfId="13713"/>
    <cellStyle name="Percent 2 2 2 104 7" xfId="30083"/>
    <cellStyle name="Percent 2 2 2 105" xfId="2445"/>
    <cellStyle name="Percent 2 2 2 105 2" xfId="4863"/>
    <cellStyle name="Percent 2 2 2 105 2 2" xfId="11633"/>
    <cellStyle name="Percent 2 2 2 105 2 3" xfId="24323"/>
    <cellStyle name="Percent 2 2 2 105 2 4" xfId="18886"/>
    <cellStyle name="Percent 2 2 2 105 2 5" xfId="28619"/>
    <cellStyle name="Percent 2 2 2 105 3" xfId="6730"/>
    <cellStyle name="Percent 2 2 2 105 3 2" xfId="13500"/>
    <cellStyle name="Percent 2 2 2 105 3 3" xfId="26190"/>
    <cellStyle name="Percent 2 2 2 105 3 4" xfId="15874"/>
    <cellStyle name="Percent 2 2 2 105 3 5" xfId="26452"/>
    <cellStyle name="Percent 2 2 2 105 4" xfId="9215"/>
    <cellStyle name="Percent 2 2 2 105 5" xfId="21912"/>
    <cellStyle name="Percent 2 2 2 105 6" xfId="19222"/>
    <cellStyle name="Percent 2 2 2 105 7" xfId="31191"/>
    <cellStyle name="Percent 2 2 2 106" xfId="2466"/>
    <cellStyle name="Percent 2 2 2 106 2" xfId="4883"/>
    <cellStyle name="Percent 2 2 2 106 2 2" xfId="11653"/>
    <cellStyle name="Percent 2 2 2 106 2 3" xfId="24343"/>
    <cellStyle name="Percent 2 2 2 106 2 4" xfId="14436"/>
    <cellStyle name="Percent 2 2 2 106 2 5" xfId="27585"/>
    <cellStyle name="Percent 2 2 2 106 3" xfId="6748"/>
    <cellStyle name="Percent 2 2 2 106 3 2" xfId="13518"/>
    <cellStyle name="Percent 2 2 2 106 3 3" xfId="26208"/>
    <cellStyle name="Percent 2 2 2 106 3 4" xfId="15753"/>
    <cellStyle name="Percent 2 2 2 106 3 5" xfId="26414"/>
    <cellStyle name="Percent 2 2 2 106 4" xfId="9236"/>
    <cellStyle name="Percent 2 2 2 106 5" xfId="21930"/>
    <cellStyle name="Percent 2 2 2 106 6" xfId="19106"/>
    <cellStyle name="Percent 2 2 2 106 7" xfId="27023"/>
    <cellStyle name="Percent 2 2 2 107" xfId="2484"/>
    <cellStyle name="Percent 2 2 2 107 2" xfId="4901"/>
    <cellStyle name="Percent 2 2 2 107 2 2" xfId="11671"/>
    <cellStyle name="Percent 2 2 2 107 2 3" xfId="24361"/>
    <cellStyle name="Percent 2 2 2 107 2 4" xfId="14307"/>
    <cellStyle name="Percent 2 2 2 107 2 5" xfId="27537"/>
    <cellStyle name="Percent 2 2 2 107 3" xfId="6764"/>
    <cellStyle name="Percent 2 2 2 107 3 2" xfId="13534"/>
    <cellStyle name="Percent 2 2 2 107 3 3" xfId="26224"/>
    <cellStyle name="Percent 2 2 2 107 3 4" xfId="26245"/>
    <cellStyle name="Percent 2 2 2 107 3 5" xfId="26396"/>
    <cellStyle name="Percent 2 2 2 107 4" xfId="9254"/>
    <cellStyle name="Percent 2 2 2 107 5" xfId="21946"/>
    <cellStyle name="Percent 2 2 2 107 6" xfId="18979"/>
    <cellStyle name="Percent 2 2 2 107 7" xfId="26991"/>
    <cellStyle name="Percent 2 2 2 108" xfId="2494"/>
    <cellStyle name="Percent 2 2 2 108 2" xfId="4911"/>
    <cellStyle name="Percent 2 2 2 108 2 2" xfId="11681"/>
    <cellStyle name="Percent 2 2 2 108 2 3" xfId="24371"/>
    <cellStyle name="Percent 2 2 2 108 2 4" xfId="18591"/>
    <cellStyle name="Percent 2 2 2 108 2 5" xfId="27539"/>
    <cellStyle name="Percent 2 2 2 108 3" xfId="6774"/>
    <cellStyle name="Percent 2 2 2 108 3 2" xfId="13544"/>
    <cellStyle name="Percent 2 2 2 108 3 3" xfId="26234"/>
    <cellStyle name="Percent 2 2 2 108 3 4" xfId="26255"/>
    <cellStyle name="Percent 2 2 2 108 3 5" xfId="29478"/>
    <cellStyle name="Percent 2 2 2 108 4" xfId="9264"/>
    <cellStyle name="Percent 2 2 2 108 5" xfId="21956"/>
    <cellStyle name="Percent 2 2 2 108 6" xfId="16992"/>
    <cellStyle name="Percent 2 2 2 108 7" xfId="28151"/>
    <cellStyle name="Percent 2 2 2 109" xfId="2538"/>
    <cellStyle name="Percent 2 2 2 109 2" xfId="9308"/>
    <cellStyle name="Percent 2 2 2 109 3" xfId="21998"/>
    <cellStyle name="Percent 2 2 2 109 4" xfId="18677"/>
    <cellStyle name="Percent 2 2 2 109 5" xfId="26902"/>
    <cellStyle name="Percent 2 2 2 11" xfId="301"/>
    <cellStyle name="Percent 2 2 2 11 2" xfId="2777"/>
    <cellStyle name="Percent 2 2 2 11 2 2" xfId="9547"/>
    <cellStyle name="Percent 2 2 2 11 2 3" xfId="22237"/>
    <cellStyle name="Percent 2 2 2 11 2 4" xfId="19883"/>
    <cellStyle name="Percent 2 2 2 11 2 5" xfId="29550"/>
    <cellStyle name="Percent 2 2 2 11 3" xfId="3519"/>
    <cellStyle name="Percent 2 2 2 11 3 2" xfId="10289"/>
    <cellStyle name="Percent 2 2 2 11 3 3" xfId="22979"/>
    <cellStyle name="Percent 2 2 2 11 3 4" xfId="19027"/>
    <cellStyle name="Percent 2 2 2 11 3 5" xfId="30576"/>
    <cellStyle name="Percent 2 2 2 11 4" xfId="7071"/>
    <cellStyle name="Percent 2 2 2 11 5" xfId="14597"/>
    <cellStyle name="Percent 2 2 2 11 6" xfId="17766"/>
    <cellStyle name="Percent 2 2 2 11 7" xfId="28317"/>
    <cellStyle name="Percent 2 2 2 110" xfId="3882"/>
    <cellStyle name="Percent 2 2 2 110 2" xfId="10652"/>
    <cellStyle name="Percent 2 2 2 110 3" xfId="23342"/>
    <cellStyle name="Percent 2 2 2 110 4" xfId="18792"/>
    <cellStyle name="Percent 2 2 2 110 5" xfId="26533"/>
    <cellStyle name="Percent 2 2 2 111" xfId="6823"/>
    <cellStyle name="Percent 2 2 2 112" xfId="14952"/>
    <cellStyle name="Percent 2 2 2 113" xfId="16072"/>
    <cellStyle name="Percent 2 2 2 114" xfId="31805"/>
    <cellStyle name="Percent 2 2 2 115" xfId="32496"/>
    <cellStyle name="Percent 2 2 2 116" xfId="32519"/>
    <cellStyle name="Percent 2 2 2 117" xfId="32542"/>
    <cellStyle name="Percent 2 2 2 118" xfId="32565"/>
    <cellStyle name="Percent 2 2 2 119" xfId="32588"/>
    <cellStyle name="Percent 2 2 2 12" xfId="335"/>
    <cellStyle name="Percent 2 2 2 12 2" xfId="2811"/>
    <cellStyle name="Percent 2 2 2 12 2 2" xfId="9581"/>
    <cellStyle name="Percent 2 2 2 12 2 3" xfId="22271"/>
    <cellStyle name="Percent 2 2 2 12 2 4" xfId="16015"/>
    <cellStyle name="Percent 2 2 2 12 2 5" xfId="30577"/>
    <cellStyle name="Percent 2 2 2 12 3" xfId="2825"/>
    <cellStyle name="Percent 2 2 2 12 3 2" xfId="9595"/>
    <cellStyle name="Percent 2 2 2 12 3 3" xfId="22285"/>
    <cellStyle name="Percent 2 2 2 12 3 4" xfId="8813"/>
    <cellStyle name="Percent 2 2 2 12 3 5" xfId="27333"/>
    <cellStyle name="Percent 2 2 2 12 4" xfId="7105"/>
    <cellStyle name="Percent 2 2 2 12 5" xfId="13914"/>
    <cellStyle name="Percent 2 2 2 12 6" xfId="15167"/>
    <cellStyle name="Percent 2 2 2 12 7" xfId="29196"/>
    <cellStyle name="Percent 2 2 2 120" xfId="32611"/>
    <cellStyle name="Percent 2 2 2 121" xfId="32634"/>
    <cellStyle name="Percent 2 2 2 122" xfId="32657"/>
    <cellStyle name="Percent 2 2 2 123" xfId="32680"/>
    <cellStyle name="Percent 2 2 2 124" xfId="32703"/>
    <cellStyle name="Percent 2 2 2 125" xfId="32726"/>
    <cellStyle name="Percent 2 2 2 126" xfId="32749"/>
    <cellStyle name="Percent 2 2 2 127" xfId="32772"/>
    <cellStyle name="Percent 2 2 2 128" xfId="32795"/>
    <cellStyle name="Percent 2 2 2 129" xfId="32818"/>
    <cellStyle name="Percent 2 2 2 13" xfId="358"/>
    <cellStyle name="Percent 2 2 2 13 2" xfId="2834"/>
    <cellStyle name="Percent 2 2 2 13 2 2" xfId="9604"/>
    <cellStyle name="Percent 2 2 2 13 2 3" xfId="22294"/>
    <cellStyle name="Percent 2 2 2 13 2 4" xfId="6986"/>
    <cellStyle name="Percent 2 2 2 13 2 5" xfId="27688"/>
    <cellStyle name="Percent 2 2 2 13 3" xfId="4917"/>
    <cellStyle name="Percent 2 2 2 13 3 2" xfId="11687"/>
    <cellStyle name="Percent 2 2 2 13 3 3" xfId="24377"/>
    <cellStyle name="Percent 2 2 2 13 3 4" xfId="18573"/>
    <cellStyle name="Percent 2 2 2 13 3 5" xfId="29470"/>
    <cellStyle name="Percent 2 2 2 13 4" xfId="7128"/>
    <cellStyle name="Percent 2 2 2 13 5" xfId="20099"/>
    <cellStyle name="Percent 2 2 2 13 6" xfId="17400"/>
    <cellStyle name="Percent 2 2 2 13 7" xfId="32124"/>
    <cellStyle name="Percent 2 2 2 130" xfId="32841"/>
    <cellStyle name="Percent 2 2 2 131" xfId="32864"/>
    <cellStyle name="Percent 2 2 2 132" xfId="32887"/>
    <cellStyle name="Percent 2 2 2 133" xfId="32909"/>
    <cellStyle name="Percent 2 2 2 134" xfId="32932"/>
    <cellStyle name="Percent 2 2 2 135" xfId="32955"/>
    <cellStyle name="Percent 2 2 2 136" xfId="32978"/>
    <cellStyle name="Percent 2 2 2 137" xfId="33001"/>
    <cellStyle name="Percent 2 2 2 138" xfId="33024"/>
    <cellStyle name="Percent 2 2 2 139" xfId="33047"/>
    <cellStyle name="Percent 2 2 2 14" xfId="381"/>
    <cellStyle name="Percent 2 2 2 14 2" xfId="2857"/>
    <cellStyle name="Percent 2 2 2 14 2 2" xfId="9627"/>
    <cellStyle name="Percent 2 2 2 14 2 3" xfId="22317"/>
    <cellStyle name="Percent 2 2 2 14 2 4" xfId="8152"/>
    <cellStyle name="Percent 2 2 2 14 2 5" xfId="32436"/>
    <cellStyle name="Percent 2 2 2 14 3" xfId="4937"/>
    <cellStyle name="Percent 2 2 2 14 3 2" xfId="11707"/>
    <cellStyle name="Percent 2 2 2 14 3 3" xfId="24397"/>
    <cellStyle name="Percent 2 2 2 14 3 4" xfId="14058"/>
    <cellStyle name="Percent 2 2 2 14 3 5" xfId="28539"/>
    <cellStyle name="Percent 2 2 2 14 4" xfId="7151"/>
    <cellStyle name="Percent 2 2 2 14 5" xfId="20119"/>
    <cellStyle name="Percent 2 2 2 14 6" xfId="19177"/>
    <cellStyle name="Percent 2 2 2 14 7" xfId="27028"/>
    <cellStyle name="Percent 2 2 2 140" xfId="33070"/>
    <cellStyle name="Percent 2 2 2 141" xfId="33093"/>
    <cellStyle name="Percent 2 2 2 142" xfId="33116"/>
    <cellStyle name="Percent 2 2 2 143" xfId="33138"/>
    <cellStyle name="Percent 2 2 2 144" xfId="33161"/>
    <cellStyle name="Percent 2 2 2 145" xfId="33180"/>
    <cellStyle name="Percent 2 2 2 146" xfId="33195"/>
    <cellStyle name="Percent 2 2 2 147" xfId="33217"/>
    <cellStyle name="Percent 2 2 2 148" xfId="33227"/>
    <cellStyle name="Percent 2 2 2 149" xfId="33272"/>
    <cellStyle name="Percent 2 2 2 15" xfId="404"/>
    <cellStyle name="Percent 2 2 2 15 2" xfId="2880"/>
    <cellStyle name="Percent 2 2 2 15 2 2" xfId="9650"/>
    <cellStyle name="Percent 2 2 2 15 2 3" xfId="22340"/>
    <cellStyle name="Percent 2 2 2 15 2 4" xfId="7674"/>
    <cellStyle name="Percent 2 2 2 15 2 5" xfId="27360"/>
    <cellStyle name="Percent 2 2 2 15 3" xfId="4957"/>
    <cellStyle name="Percent 2 2 2 15 3 2" xfId="11727"/>
    <cellStyle name="Percent 2 2 2 15 3 3" xfId="24417"/>
    <cellStyle name="Percent 2 2 2 15 3 4" xfId="16302"/>
    <cellStyle name="Percent 2 2 2 15 3 5" xfId="27330"/>
    <cellStyle name="Percent 2 2 2 15 4" xfId="7174"/>
    <cellStyle name="Percent 2 2 2 15 5" xfId="20139"/>
    <cellStyle name="Percent 2 2 2 15 6" xfId="14715"/>
    <cellStyle name="Percent 2 2 2 15 7" xfId="29996"/>
    <cellStyle name="Percent 2 2 2 150" xfId="33295"/>
    <cellStyle name="Percent 2 2 2 151" xfId="33318"/>
    <cellStyle name="Percent 2 2 2 152" xfId="33341"/>
    <cellStyle name="Percent 2 2 2 153" xfId="33364"/>
    <cellStyle name="Percent 2 2 2 154" xfId="33387"/>
    <cellStyle name="Percent 2 2 2 155" xfId="33410"/>
    <cellStyle name="Percent 2 2 2 156" xfId="33433"/>
    <cellStyle name="Percent 2 2 2 157" xfId="33456"/>
    <cellStyle name="Percent 2 2 2 158" xfId="33479"/>
    <cellStyle name="Percent 2 2 2 159" xfId="33502"/>
    <cellStyle name="Percent 2 2 2 16" xfId="427"/>
    <cellStyle name="Percent 2 2 2 16 2" xfId="2902"/>
    <cellStyle name="Percent 2 2 2 16 2 2" xfId="9672"/>
    <cellStyle name="Percent 2 2 2 16 2 3" xfId="22362"/>
    <cellStyle name="Percent 2 2 2 16 2 4" xfId="9002"/>
    <cellStyle name="Percent 2 2 2 16 2 5" xfId="28499"/>
    <cellStyle name="Percent 2 2 2 16 3" xfId="4977"/>
    <cellStyle name="Percent 2 2 2 16 3 2" xfId="11747"/>
    <cellStyle name="Percent 2 2 2 16 3 3" xfId="24437"/>
    <cellStyle name="Percent 2 2 2 16 3 4" xfId="16167"/>
    <cellStyle name="Percent 2 2 2 16 3 5" xfId="28810"/>
    <cellStyle name="Percent 2 2 2 16 4" xfId="7197"/>
    <cellStyle name="Percent 2 2 2 16 5" xfId="20159"/>
    <cellStyle name="Percent 2 2 2 16 6" xfId="16938"/>
    <cellStyle name="Percent 2 2 2 16 7" xfId="28125"/>
    <cellStyle name="Percent 2 2 2 160" xfId="33525"/>
    <cellStyle name="Percent 2 2 2 161" xfId="33548"/>
    <cellStyle name="Percent 2 2 2 162" xfId="33571"/>
    <cellStyle name="Percent 2 2 2 163" xfId="33594"/>
    <cellStyle name="Percent 2 2 2 164" xfId="33617"/>
    <cellStyle name="Percent 2 2 2 165" xfId="33640"/>
    <cellStyle name="Percent 2 2 2 166" xfId="33662"/>
    <cellStyle name="Percent 2 2 2 167" xfId="33684"/>
    <cellStyle name="Percent 2 2 2 168" xfId="33707"/>
    <cellStyle name="Percent 2 2 2 169" xfId="33730"/>
    <cellStyle name="Percent 2 2 2 17" xfId="449"/>
    <cellStyle name="Percent 2 2 2 17 2" xfId="2924"/>
    <cellStyle name="Percent 2 2 2 17 2 2" xfId="9694"/>
    <cellStyle name="Percent 2 2 2 17 2 3" xfId="22384"/>
    <cellStyle name="Percent 2 2 2 17 2 4" xfId="8546"/>
    <cellStyle name="Percent 2 2 2 17 2 5" xfId="28700"/>
    <cellStyle name="Percent 2 2 2 17 3" xfId="4996"/>
    <cellStyle name="Percent 2 2 2 17 3 2" xfId="11766"/>
    <cellStyle name="Percent 2 2 2 17 3 3" xfId="24456"/>
    <cellStyle name="Percent 2 2 2 17 3 4" xfId="18164"/>
    <cellStyle name="Percent 2 2 2 17 3 5" xfId="30769"/>
    <cellStyle name="Percent 2 2 2 17 4" xfId="7219"/>
    <cellStyle name="Percent 2 2 2 17 5" xfId="20178"/>
    <cellStyle name="Percent 2 2 2 17 6" xfId="14432"/>
    <cellStyle name="Percent 2 2 2 17 7" xfId="29037"/>
    <cellStyle name="Percent 2 2 2 170" xfId="33753"/>
    <cellStyle name="Percent 2 2 2 171" xfId="33776"/>
    <cellStyle name="Percent 2 2 2 172" xfId="33799"/>
    <cellStyle name="Percent 2 2 2 173" xfId="33822"/>
    <cellStyle name="Percent 2 2 2 174" xfId="33845"/>
    <cellStyle name="Percent 2 2 2 175" xfId="33868"/>
    <cellStyle name="Percent 2 2 2 176" xfId="33891"/>
    <cellStyle name="Percent 2 2 2 177" xfId="33914"/>
    <cellStyle name="Percent 2 2 2 178" xfId="33937"/>
    <cellStyle name="Percent 2 2 2 179" xfId="33960"/>
    <cellStyle name="Percent 2 2 2 18" xfId="472"/>
    <cellStyle name="Percent 2 2 2 18 2" xfId="2947"/>
    <cellStyle name="Percent 2 2 2 18 2 2" xfId="9717"/>
    <cellStyle name="Percent 2 2 2 18 2 3" xfId="22407"/>
    <cellStyle name="Percent 2 2 2 18 2 4" xfId="8066"/>
    <cellStyle name="Percent 2 2 2 18 2 5" xfId="31634"/>
    <cellStyle name="Percent 2 2 2 18 3" xfId="5016"/>
    <cellStyle name="Percent 2 2 2 18 3 2" xfId="11786"/>
    <cellStyle name="Percent 2 2 2 18 3 3" xfId="24476"/>
    <cellStyle name="Percent 2 2 2 18 3 4" xfId="6800"/>
    <cellStyle name="Percent 2 2 2 18 3 5" xfId="29639"/>
    <cellStyle name="Percent 2 2 2 18 4" xfId="7242"/>
    <cellStyle name="Percent 2 2 2 18 5" xfId="20198"/>
    <cellStyle name="Percent 2 2 2 18 6" xfId="16634"/>
    <cellStyle name="Percent 2 2 2 18 7" xfId="31965"/>
    <cellStyle name="Percent 2 2 2 180" xfId="33983"/>
    <cellStyle name="Percent 2 2 2 181" xfId="34005"/>
    <cellStyle name="Percent 2 2 2 182" xfId="34025"/>
    <cellStyle name="Percent 2 2 2 183" xfId="34043"/>
    <cellStyle name="Percent 2 2 2 184" xfId="34053"/>
    <cellStyle name="Percent 2 2 2 19" xfId="495"/>
    <cellStyle name="Percent 2 2 2 19 2" xfId="2970"/>
    <cellStyle name="Percent 2 2 2 19 2 2" xfId="9740"/>
    <cellStyle name="Percent 2 2 2 19 2 3" xfId="22430"/>
    <cellStyle name="Percent 2 2 2 19 2 4" xfId="7588"/>
    <cellStyle name="Percent 2 2 2 19 2 5" xfId="27323"/>
    <cellStyle name="Percent 2 2 2 19 3" xfId="5036"/>
    <cellStyle name="Percent 2 2 2 19 3 2" xfId="11806"/>
    <cellStyle name="Percent 2 2 2 19 3 3" xfId="24496"/>
    <cellStyle name="Percent 2 2 2 19 3 4" xfId="15530"/>
    <cellStyle name="Percent 2 2 2 19 3 5" xfId="26525"/>
    <cellStyle name="Percent 2 2 2 19 4" xfId="7265"/>
    <cellStyle name="Percent 2 2 2 19 5" xfId="20218"/>
    <cellStyle name="Percent 2 2 2 19 6" xfId="18492"/>
    <cellStyle name="Percent 2 2 2 19 7" xfId="26828"/>
    <cellStyle name="Percent 2 2 2 2" xfId="104"/>
    <cellStyle name="Percent 2 2 2 2 2" xfId="2588"/>
    <cellStyle name="Percent 2 2 2 2 2 2" xfId="9358"/>
    <cellStyle name="Percent 2 2 2 2 2 3" xfId="22048"/>
    <cellStyle name="Percent 2 2 2 2 2 4" xfId="13597"/>
    <cellStyle name="Percent 2 2 2 2 2 5" xfId="27865"/>
    <cellStyle name="Percent 2 2 2 2 3" xfId="4568"/>
    <cellStyle name="Percent 2 2 2 2 3 2" xfId="11338"/>
    <cellStyle name="Percent 2 2 2 2 3 3" xfId="24028"/>
    <cellStyle name="Percent 2 2 2 2 3 4" xfId="14215"/>
    <cellStyle name="Percent 2 2 2 2 3 5" xfId="32027"/>
    <cellStyle name="Percent 2 2 2 2 4" xfId="6874"/>
    <cellStyle name="Percent 2 2 2 2 5" xfId="15617"/>
    <cellStyle name="Percent 2 2 2 2 6" xfId="14928"/>
    <cellStyle name="Percent 2 2 2 2 7" xfId="29638"/>
    <cellStyle name="Percent 2 2 2 20" xfId="518"/>
    <cellStyle name="Percent 2 2 2 20 2" xfId="2993"/>
    <cellStyle name="Percent 2 2 2 20 2 2" xfId="9763"/>
    <cellStyle name="Percent 2 2 2 20 2 3" xfId="22453"/>
    <cellStyle name="Percent 2 2 2 20 2 4" xfId="7107"/>
    <cellStyle name="Percent 2 2 2 20 2 5" xfId="30263"/>
    <cellStyle name="Percent 2 2 2 20 3" xfId="5056"/>
    <cellStyle name="Percent 2 2 2 20 3 2" xfId="11826"/>
    <cellStyle name="Percent 2 2 2 20 3 3" xfId="24516"/>
    <cellStyle name="Percent 2 2 2 20 3 4" xfId="17791"/>
    <cellStyle name="Percent 2 2 2 20 3 5" xfId="28678"/>
    <cellStyle name="Percent 2 2 2 20 4" xfId="7288"/>
    <cellStyle name="Percent 2 2 2 20 5" xfId="20238"/>
    <cellStyle name="Percent 2 2 2 20 6" xfId="13967"/>
    <cellStyle name="Percent 2 2 2 20 7" xfId="29832"/>
    <cellStyle name="Percent 2 2 2 21" xfId="541"/>
    <cellStyle name="Percent 2 2 2 21 2" xfId="3014"/>
    <cellStyle name="Percent 2 2 2 21 2 2" xfId="9784"/>
    <cellStyle name="Percent 2 2 2 21 2 3" xfId="22474"/>
    <cellStyle name="Percent 2 2 2 21 2 4" xfId="7101"/>
    <cellStyle name="Percent 2 2 2 21 2 5" xfId="29339"/>
    <cellStyle name="Percent 2 2 2 21 3" xfId="5076"/>
    <cellStyle name="Percent 2 2 2 21 3 2" xfId="11846"/>
    <cellStyle name="Percent 2 2 2 21 3 3" xfId="24536"/>
    <cellStyle name="Percent 2 2 2 21 3 4" xfId="19531"/>
    <cellStyle name="Percent 2 2 2 21 3 5" xfId="27653"/>
    <cellStyle name="Percent 2 2 2 21 4" xfId="7311"/>
    <cellStyle name="Percent 2 2 2 21 5" xfId="20258"/>
    <cellStyle name="Percent 2 2 2 21 6" xfId="15943"/>
    <cellStyle name="Percent 2 2 2 21 7" xfId="27939"/>
    <cellStyle name="Percent 2 2 2 22" xfId="564"/>
    <cellStyle name="Percent 2 2 2 22 2" xfId="3037"/>
    <cellStyle name="Percent 2 2 2 22 2 2" xfId="9807"/>
    <cellStyle name="Percent 2 2 2 22 2 3" xfId="22497"/>
    <cellStyle name="Percent 2 2 2 22 2 4" xfId="15960"/>
    <cellStyle name="Percent 2 2 2 22 2 5" xfId="32281"/>
    <cellStyle name="Percent 2 2 2 22 3" xfId="5096"/>
    <cellStyle name="Percent 2 2 2 22 3 2" xfId="11866"/>
    <cellStyle name="Percent 2 2 2 22 3 3" xfId="24556"/>
    <cellStyle name="Percent 2 2 2 22 3 4" xfId="15148"/>
    <cellStyle name="Percent 2 2 2 22 3 5" xfId="29502"/>
    <cellStyle name="Percent 2 2 2 22 4" xfId="7334"/>
    <cellStyle name="Percent 2 2 2 22 5" xfId="20278"/>
    <cellStyle name="Percent 2 2 2 22 6" xfId="19982"/>
    <cellStyle name="Percent 2 2 2 22 7" xfId="30865"/>
    <cellStyle name="Percent 2 2 2 23" xfId="587"/>
    <cellStyle name="Percent 2 2 2 23 2" xfId="3060"/>
    <cellStyle name="Percent 2 2 2 23 2 2" xfId="9830"/>
    <cellStyle name="Percent 2 2 2 23 2 3" xfId="22520"/>
    <cellStyle name="Percent 2 2 2 23 2 4" xfId="19825"/>
    <cellStyle name="Percent 2 2 2 23 2 5" xfId="27191"/>
    <cellStyle name="Percent 2 2 2 23 3" xfId="5117"/>
    <cellStyle name="Percent 2 2 2 23 3 2" xfId="11887"/>
    <cellStyle name="Percent 2 2 2 23 3 3" xfId="24577"/>
    <cellStyle name="Percent 2 2 2 23 3 4" xfId="15025"/>
    <cellStyle name="Percent 2 2 2 23 3 5" xfId="27638"/>
    <cellStyle name="Percent 2 2 2 23 4" xfId="7357"/>
    <cellStyle name="Percent 2 2 2 23 5" xfId="20299"/>
    <cellStyle name="Percent 2 2 2 23 6" xfId="13849"/>
    <cellStyle name="Percent 2 2 2 23 7" xfId="28835"/>
    <cellStyle name="Percent 2 2 2 24" xfId="608"/>
    <cellStyle name="Percent 2 2 2 24 2" xfId="3081"/>
    <cellStyle name="Percent 2 2 2 24 2 2" xfId="9851"/>
    <cellStyle name="Percent 2 2 2 24 2 3" xfId="22541"/>
    <cellStyle name="Percent 2 2 2 24 2 4" xfId="19717"/>
    <cellStyle name="Percent 2 2 2 24 2 5" xfId="31301"/>
    <cellStyle name="Percent 2 2 2 24 3" xfId="5135"/>
    <cellStyle name="Percent 2 2 2 24 3 2" xfId="11905"/>
    <cellStyle name="Percent 2 2 2 24 3 3" xfId="24595"/>
    <cellStyle name="Percent 2 2 2 24 3 4" xfId="14895"/>
    <cellStyle name="Percent 2 2 2 24 3 5" xfId="27415"/>
    <cellStyle name="Percent 2 2 2 24 4" xfId="7378"/>
    <cellStyle name="Percent 2 2 2 24 5" xfId="20317"/>
    <cellStyle name="Percent 2 2 2 24 6" xfId="15814"/>
    <cellStyle name="Percent 2 2 2 24 7" xfId="29695"/>
    <cellStyle name="Percent 2 2 2 25" xfId="627"/>
    <cellStyle name="Percent 2 2 2 25 2" xfId="3100"/>
    <cellStyle name="Percent 2 2 2 25 2 2" xfId="9870"/>
    <cellStyle name="Percent 2 2 2 25 2 3" xfId="22560"/>
    <cellStyle name="Percent 2 2 2 25 2 4" xfId="17721"/>
    <cellStyle name="Percent 2 2 2 25 2 5" xfId="27519"/>
    <cellStyle name="Percent 2 2 2 25 3" xfId="5152"/>
    <cellStyle name="Percent 2 2 2 25 3 2" xfId="11922"/>
    <cellStyle name="Percent 2 2 2 25 3 3" xfId="24612"/>
    <cellStyle name="Percent 2 2 2 25 3 4" xfId="17161"/>
    <cellStyle name="Percent 2 2 2 25 3 5" xfId="32438"/>
    <cellStyle name="Percent 2 2 2 25 4" xfId="7397"/>
    <cellStyle name="Percent 2 2 2 25 5" xfId="20334"/>
    <cellStyle name="Percent 2 2 2 25 6" xfId="19937"/>
    <cellStyle name="Percent 2 2 2 25 7" xfId="26626"/>
    <cellStyle name="Percent 2 2 2 26" xfId="656"/>
    <cellStyle name="Percent 2 2 2 26 2" xfId="3129"/>
    <cellStyle name="Percent 2 2 2 26 2 2" xfId="9899"/>
    <cellStyle name="Percent 2 2 2 26 2 3" xfId="22589"/>
    <cellStyle name="Percent 2 2 2 26 2 4" xfId="19426"/>
    <cellStyle name="Percent 2 2 2 26 2 5" xfId="31232"/>
    <cellStyle name="Percent 2 2 2 26 3" xfId="5177"/>
    <cellStyle name="Percent 2 2 2 26 3 2" xfId="11947"/>
    <cellStyle name="Percent 2 2 2 26 3 3" xfId="24637"/>
    <cellStyle name="Percent 2 2 2 26 3 4" xfId="14609"/>
    <cellStyle name="Percent 2 2 2 26 3 5" xfId="29446"/>
    <cellStyle name="Percent 2 2 2 26 4" xfId="7426"/>
    <cellStyle name="Percent 2 2 2 26 5" xfId="20359"/>
    <cellStyle name="Percent 2 2 2 26 6" xfId="15190"/>
    <cellStyle name="Percent 2 2 2 26 7" xfId="29623"/>
    <cellStyle name="Percent 2 2 2 27" xfId="677"/>
    <cellStyle name="Percent 2 2 2 27 2" xfId="3149"/>
    <cellStyle name="Percent 2 2 2 27 2 2" xfId="9919"/>
    <cellStyle name="Percent 2 2 2 27 2 3" xfId="22609"/>
    <cellStyle name="Percent 2 2 2 27 2 4" xfId="15040"/>
    <cellStyle name="Percent 2 2 2 27 2 5" xfId="30053"/>
    <cellStyle name="Percent 2 2 2 27 3" xfId="5195"/>
    <cellStyle name="Percent 2 2 2 27 3 2" xfId="11965"/>
    <cellStyle name="Percent 2 2 2 27 3 3" xfId="24655"/>
    <cellStyle name="Percent 2 2 2 27 3 4" xfId="14500"/>
    <cellStyle name="Percent 2 2 2 27 3 5" xfId="29422"/>
    <cellStyle name="Percent 2 2 2 27 4" xfId="7447"/>
    <cellStyle name="Percent 2 2 2 27 5" xfId="20377"/>
    <cellStyle name="Percent 2 2 2 27 6" xfId="17422"/>
    <cellStyle name="Percent 2 2 2 27 7" xfId="28693"/>
    <cellStyle name="Percent 2 2 2 28" xfId="699"/>
    <cellStyle name="Percent 2 2 2 28 2" xfId="3171"/>
    <cellStyle name="Percent 2 2 2 28 2 2" xfId="9941"/>
    <cellStyle name="Percent 2 2 2 28 2 3" xfId="22631"/>
    <cellStyle name="Percent 2 2 2 28 2 4" xfId="18243"/>
    <cellStyle name="Percent 2 2 2 28 2 5" xfId="31168"/>
    <cellStyle name="Percent 2 2 2 28 3" xfId="5215"/>
    <cellStyle name="Percent 2 2 2 28 3 2" xfId="11985"/>
    <cellStyle name="Percent 2 2 2 28 3 3" xfId="24675"/>
    <cellStyle name="Percent 2 2 2 28 3 4" xfId="15967"/>
    <cellStyle name="Percent 2 2 2 28 3 5" xfId="28481"/>
    <cellStyle name="Percent 2 2 2 28 4" xfId="7469"/>
    <cellStyle name="Percent 2 2 2 28 5" xfId="20397"/>
    <cellStyle name="Percent 2 2 2 28 6" xfId="17268"/>
    <cellStyle name="Percent 2 2 2 28 7" xfId="26303"/>
    <cellStyle name="Percent 2 2 2 29" xfId="722"/>
    <cellStyle name="Percent 2 2 2 29 2" xfId="3194"/>
    <cellStyle name="Percent 2 2 2 29 2 2" xfId="9964"/>
    <cellStyle name="Percent 2 2 2 29 2 3" xfId="22654"/>
    <cellStyle name="Percent 2 2 2 29 2 4" xfId="14735"/>
    <cellStyle name="Percent 2 2 2 29 2 5" xfId="29100"/>
    <cellStyle name="Percent 2 2 2 29 3" xfId="5234"/>
    <cellStyle name="Percent 2 2 2 29 3 2" xfId="12004"/>
    <cellStyle name="Percent 2 2 2 29 3 3" xfId="24694"/>
    <cellStyle name="Percent 2 2 2 29 3 4" xfId="14190"/>
    <cellStyle name="Percent 2 2 2 29 3 5" xfId="26430"/>
    <cellStyle name="Percent 2 2 2 29 4" xfId="7492"/>
    <cellStyle name="Percent 2 2 2 29 5" xfId="20416"/>
    <cellStyle name="Percent 2 2 2 29 6" xfId="14738"/>
    <cellStyle name="Percent 2 2 2 29 7" xfId="29516"/>
    <cellStyle name="Percent 2 2 2 3" xfId="128"/>
    <cellStyle name="Percent 2 2 2 3 2" xfId="2612"/>
    <cellStyle name="Percent 2 2 2 3 2 2" xfId="9382"/>
    <cellStyle name="Percent 2 2 2 3 2 3" xfId="22072"/>
    <cellStyle name="Percent 2 2 2 3 2 4" xfId="13784"/>
    <cellStyle name="Percent 2 2 2 3 2 5" xfId="28922"/>
    <cellStyle name="Percent 2 2 2 3 3" xfId="4087"/>
    <cellStyle name="Percent 2 2 2 3 3 2" xfId="10857"/>
    <cellStyle name="Percent 2 2 2 3 3 3" xfId="23547"/>
    <cellStyle name="Percent 2 2 2 3 3 4" xfId="17621"/>
    <cellStyle name="Percent 2 2 2 3 3 5" xfId="27061"/>
    <cellStyle name="Percent 2 2 2 3 4" xfId="6898"/>
    <cellStyle name="Percent 2 2 2 3 5" xfId="15146"/>
    <cellStyle name="Percent 2 2 2 3 6" xfId="14775"/>
    <cellStyle name="Percent 2 2 2 3 7" xfId="29603"/>
    <cellStyle name="Percent 2 2 2 30" xfId="745"/>
    <cellStyle name="Percent 2 2 2 30 2" xfId="3216"/>
    <cellStyle name="Percent 2 2 2 30 2 2" xfId="9986"/>
    <cellStyle name="Percent 2 2 2 30 2 3" xfId="22676"/>
    <cellStyle name="Percent 2 2 2 30 2 4" xfId="18919"/>
    <cellStyle name="Percent 2 2 2 30 2 5" xfId="26944"/>
    <cellStyle name="Percent 2 2 2 30 3" xfId="5254"/>
    <cellStyle name="Percent 2 2 2 30 3 2" xfId="12024"/>
    <cellStyle name="Percent 2 2 2 30 3 3" xfId="24714"/>
    <cellStyle name="Percent 2 2 2 30 3 4" xfId="16458"/>
    <cellStyle name="Percent 2 2 2 30 3 5" xfId="30408"/>
    <cellStyle name="Percent 2 2 2 30 4" xfId="7515"/>
    <cellStyle name="Percent 2 2 2 30 5" xfId="20436"/>
    <cellStyle name="Percent 2 2 2 30 6" xfId="16917"/>
    <cellStyle name="Percent 2 2 2 30 7" xfId="27582"/>
    <cellStyle name="Percent 2 2 2 31" xfId="769"/>
    <cellStyle name="Percent 2 2 2 31 2" xfId="3240"/>
    <cellStyle name="Percent 2 2 2 31 2 2" xfId="10010"/>
    <cellStyle name="Percent 2 2 2 31 2 3" xfId="22700"/>
    <cellStyle name="Percent 2 2 2 31 2 4" xfId="18786"/>
    <cellStyle name="Percent 2 2 2 31 2 5" xfId="26911"/>
    <cellStyle name="Percent 2 2 2 31 3" xfId="5275"/>
    <cellStyle name="Percent 2 2 2 31 3 2" xfId="12045"/>
    <cellStyle name="Percent 2 2 2 31 3 3" xfId="24735"/>
    <cellStyle name="Percent 2 2 2 31 3 4" xfId="16324"/>
    <cellStyle name="Percent 2 2 2 31 3 5" xfId="27505"/>
    <cellStyle name="Percent 2 2 2 31 4" xfId="7539"/>
    <cellStyle name="Percent 2 2 2 31 5" xfId="20457"/>
    <cellStyle name="Percent 2 2 2 31 6" xfId="14346"/>
    <cellStyle name="Percent 2 2 2 31 7" xfId="28580"/>
    <cellStyle name="Percent 2 2 2 32" xfId="793"/>
    <cellStyle name="Percent 2 2 2 32 2" xfId="3261"/>
    <cellStyle name="Percent 2 2 2 32 2 2" xfId="10031"/>
    <cellStyle name="Percent 2 2 2 32 2 3" xfId="22721"/>
    <cellStyle name="Percent 2 2 2 32 2 4" xfId="18646"/>
    <cellStyle name="Percent 2 2 2 32 2 5" xfId="31019"/>
    <cellStyle name="Percent 2 2 2 32 3" xfId="5295"/>
    <cellStyle name="Percent 2 2 2 32 3 2" xfId="12065"/>
    <cellStyle name="Percent 2 2 2 32 3 3" xfId="24755"/>
    <cellStyle name="Percent 2 2 2 32 3 4" xfId="16635"/>
    <cellStyle name="Percent 2 2 2 32 3 5" xfId="16955"/>
    <cellStyle name="Percent 2 2 2 32 4" xfId="7563"/>
    <cellStyle name="Percent 2 2 2 32 5" xfId="20477"/>
    <cellStyle name="Percent 2 2 2 32 6" xfId="18525"/>
    <cellStyle name="Percent 2 2 2 32 7" xfId="28547"/>
    <cellStyle name="Percent 2 2 2 33" xfId="816"/>
    <cellStyle name="Percent 2 2 2 33 2" xfId="3284"/>
    <cellStyle name="Percent 2 2 2 33 2 2" xfId="10054"/>
    <cellStyle name="Percent 2 2 2 33 2 3" xfId="22744"/>
    <cellStyle name="Percent 2 2 2 33 2 4" xfId="14135"/>
    <cellStyle name="Percent 2 2 2 33 2 5" xfId="28967"/>
    <cellStyle name="Percent 2 2 2 33 3" xfId="5315"/>
    <cellStyle name="Percent 2 2 2 33 3 2" xfId="12085"/>
    <cellStyle name="Percent 2 2 2 33 3 3" xfId="24775"/>
    <cellStyle name="Percent 2 2 2 33 3 4" xfId="15650"/>
    <cellStyle name="Percent 2 2 2 33 3 5" xfId="18679"/>
    <cellStyle name="Percent 2 2 2 33 4" xfId="7586"/>
    <cellStyle name="Percent 2 2 2 33 5" xfId="20497"/>
    <cellStyle name="Percent 2 2 2 33 6" xfId="15598"/>
    <cellStyle name="Percent 2 2 2 33 7" xfId="31482"/>
    <cellStyle name="Percent 2 2 2 34" xfId="839"/>
    <cellStyle name="Percent 2 2 2 34 2" xfId="3305"/>
    <cellStyle name="Percent 2 2 2 34 2 2" xfId="10075"/>
    <cellStyle name="Percent 2 2 2 34 2 3" xfId="22765"/>
    <cellStyle name="Percent 2 2 2 34 2 4" xfId="14007"/>
    <cellStyle name="Percent 2 2 2 34 2 5" xfId="29836"/>
    <cellStyle name="Percent 2 2 2 34 3" xfId="5335"/>
    <cellStyle name="Percent 2 2 2 34 3 2" xfId="12105"/>
    <cellStyle name="Percent 2 2 2 34 3 3" xfId="24795"/>
    <cellStyle name="Percent 2 2 2 34 3 4" xfId="18058"/>
    <cellStyle name="Percent 2 2 2 34 3 5" xfId="19011"/>
    <cellStyle name="Percent 2 2 2 34 4" xfId="7609"/>
    <cellStyle name="Percent 2 2 2 34 5" xfId="20517"/>
    <cellStyle name="Percent 2 2 2 34 6" xfId="16076"/>
    <cellStyle name="Percent 2 2 2 34 7" xfId="28602"/>
    <cellStyle name="Percent 2 2 2 35" xfId="862"/>
    <cellStyle name="Percent 2 2 2 35 2" xfId="3327"/>
    <cellStyle name="Percent 2 2 2 35 2 2" xfId="10097"/>
    <cellStyle name="Percent 2 2 2 35 2 3" xfId="22787"/>
    <cellStyle name="Percent 2 2 2 35 2 4" xfId="16267"/>
    <cellStyle name="Percent 2 2 2 35 2 5" xfId="30910"/>
    <cellStyle name="Percent 2 2 2 35 3" xfId="5355"/>
    <cellStyle name="Percent 2 2 2 35 3 2" xfId="12125"/>
    <cellStyle name="Percent 2 2 2 35 3 3" xfId="24815"/>
    <cellStyle name="Percent 2 2 2 35 3 4" xfId="15619"/>
    <cellStyle name="Percent 2 2 2 35 3 5" xfId="18503"/>
    <cellStyle name="Percent 2 2 2 35 4" xfId="7632"/>
    <cellStyle name="Percent 2 2 2 35 5" xfId="20537"/>
    <cellStyle name="Percent 2 2 2 35 6" xfId="19565"/>
    <cellStyle name="Percent 2 2 2 35 7" xfId="31321"/>
    <cellStyle name="Percent 2 2 2 36" xfId="885"/>
    <cellStyle name="Percent 2 2 2 36 2" xfId="3350"/>
    <cellStyle name="Percent 2 2 2 36 2 2" xfId="10120"/>
    <cellStyle name="Percent 2 2 2 36 2 3" xfId="22810"/>
    <cellStyle name="Percent 2 2 2 36 2 4" xfId="15811"/>
    <cellStyle name="Percent 2 2 2 36 2 5" xfId="28871"/>
    <cellStyle name="Percent 2 2 2 36 3" xfId="5375"/>
    <cellStyle name="Percent 2 2 2 36 3 2" xfId="12145"/>
    <cellStyle name="Percent 2 2 2 36 3 3" xfId="24835"/>
    <cellStyle name="Percent 2 2 2 36 3 4" xfId="16081"/>
    <cellStyle name="Percent 2 2 2 36 3 5" xfId="18154"/>
    <cellStyle name="Percent 2 2 2 36 4" xfId="7655"/>
    <cellStyle name="Percent 2 2 2 36 5" xfId="20557"/>
    <cellStyle name="Percent 2 2 2 36 6" xfId="15164"/>
    <cellStyle name="Percent 2 2 2 36 7" xfId="27399"/>
    <cellStyle name="Percent 2 2 2 37" xfId="908"/>
    <cellStyle name="Percent 2 2 2 37 2" xfId="3372"/>
    <cellStyle name="Percent 2 2 2 37 2 2" xfId="10142"/>
    <cellStyle name="Percent 2 2 2 37 2 3" xfId="22832"/>
    <cellStyle name="Percent 2 2 2 37 2 4" xfId="19895"/>
    <cellStyle name="Percent 2 2 2 37 2 5" xfId="26707"/>
    <cellStyle name="Percent 2 2 2 37 3" xfId="5395"/>
    <cellStyle name="Percent 2 2 2 37 3 2" xfId="12165"/>
    <cellStyle name="Percent 2 2 2 37 3 3" xfId="24855"/>
    <cellStyle name="Percent 2 2 2 37 3 4" xfId="19590"/>
    <cellStyle name="Percent 2 2 2 37 3 5" xfId="15923"/>
    <cellStyle name="Percent 2 2 2 37 4" xfId="7678"/>
    <cellStyle name="Percent 2 2 2 37 5" xfId="20577"/>
    <cellStyle name="Percent 2 2 2 37 6" xfId="17397"/>
    <cellStyle name="Percent 2 2 2 37 7" xfId="30336"/>
    <cellStyle name="Percent 2 2 2 38" xfId="931"/>
    <cellStyle name="Percent 2 2 2 38 2" xfId="3395"/>
    <cellStyle name="Percent 2 2 2 38 2 2" xfId="10165"/>
    <cellStyle name="Percent 2 2 2 38 2 3" xfId="22855"/>
    <cellStyle name="Percent 2 2 2 38 2 4" xfId="13774"/>
    <cellStyle name="Percent 2 2 2 38 2 5" xfId="29699"/>
    <cellStyle name="Percent 2 2 2 38 3" xfId="5415"/>
    <cellStyle name="Percent 2 2 2 38 3 2" xfId="12185"/>
    <cellStyle name="Percent 2 2 2 38 3 3" xfId="24875"/>
    <cellStyle name="Percent 2 2 2 38 3 4" xfId="15214"/>
    <cellStyle name="Percent 2 2 2 38 3 5" xfId="20061"/>
    <cellStyle name="Percent 2 2 2 38 4" xfId="7701"/>
    <cellStyle name="Percent 2 2 2 38 5" xfId="20597"/>
    <cellStyle name="Percent 2 2 2 38 6" xfId="19154"/>
    <cellStyle name="Percent 2 2 2 38 7" xfId="28500"/>
    <cellStyle name="Percent 2 2 2 39" xfId="954"/>
    <cellStyle name="Percent 2 2 2 39 2" xfId="3418"/>
    <cellStyle name="Percent 2 2 2 39 2 2" xfId="10188"/>
    <cellStyle name="Percent 2 2 2 39 2 3" xfId="22878"/>
    <cellStyle name="Percent 2 2 2 39 2 4" xfId="17752"/>
    <cellStyle name="Percent 2 2 2 39 2 5" xfId="27793"/>
    <cellStyle name="Percent 2 2 2 39 3" xfId="5436"/>
    <cellStyle name="Percent 2 2 2 39 3 2" xfId="12206"/>
    <cellStyle name="Percent 2 2 2 39 3 3" xfId="24896"/>
    <cellStyle name="Percent 2 2 2 39 3 4" xfId="15066"/>
    <cellStyle name="Percent 2 2 2 39 3 5" xfId="17129"/>
    <cellStyle name="Percent 2 2 2 39 4" xfId="7724"/>
    <cellStyle name="Percent 2 2 2 39 5" xfId="20618"/>
    <cellStyle name="Percent 2 2 2 39 6" xfId="14712"/>
    <cellStyle name="Percent 2 2 2 39 7" xfId="31288"/>
    <cellStyle name="Percent 2 2 2 4" xfId="151"/>
    <cellStyle name="Percent 2 2 2 4 2" xfId="2635"/>
    <cellStyle name="Percent 2 2 2 4 2 2" xfId="9405"/>
    <cellStyle name="Percent 2 2 2 4 2 3" xfId="22095"/>
    <cellStyle name="Percent 2 2 2 4 2 4" xfId="18169"/>
    <cellStyle name="Percent 2 2 2 4 2 5" xfId="31854"/>
    <cellStyle name="Percent 2 2 2 4 3" xfId="3618"/>
    <cellStyle name="Percent 2 2 2 4 3 2" xfId="10388"/>
    <cellStyle name="Percent 2 2 2 4 3 3" xfId="23078"/>
    <cellStyle name="Percent 2 2 2 4 3 4" xfId="18441"/>
    <cellStyle name="Percent 2 2 2 4 3 5" xfId="26458"/>
    <cellStyle name="Percent 2 2 2 4 4" xfId="6921"/>
    <cellStyle name="Percent 2 2 2 4 5" xfId="14694"/>
    <cellStyle name="Percent 2 2 2 4 6" xfId="16007"/>
    <cellStyle name="Percent 2 2 2 4 7" xfId="27689"/>
    <cellStyle name="Percent 2 2 2 40" xfId="975"/>
    <cellStyle name="Percent 2 2 2 40 2" xfId="3439"/>
    <cellStyle name="Percent 2 2 2 40 2 2" xfId="10209"/>
    <cellStyle name="Percent 2 2 2 40 2 3" xfId="22899"/>
    <cellStyle name="Percent 2 2 2 40 2 4" xfId="17623"/>
    <cellStyle name="Percent 2 2 2 40 2 5" xfId="31708"/>
    <cellStyle name="Percent 2 2 2 40 3" xfId="5454"/>
    <cellStyle name="Percent 2 2 2 40 3 2" xfId="12224"/>
    <cellStyle name="Percent 2 2 2 40 3 3" xfId="24914"/>
    <cellStyle name="Percent 2 2 2 40 3 4" xfId="14959"/>
    <cellStyle name="Percent 2 2 2 40 3 5" xfId="14326"/>
    <cellStyle name="Percent 2 2 2 40 4" xfId="7745"/>
    <cellStyle name="Percent 2 2 2 40 5" xfId="20636"/>
    <cellStyle name="Percent 2 2 2 40 6" xfId="14580"/>
    <cellStyle name="Percent 2 2 2 40 7" xfId="27108"/>
    <cellStyle name="Percent 2 2 2 41" xfId="998"/>
    <cellStyle name="Percent 2 2 2 41 2" xfId="3462"/>
    <cellStyle name="Percent 2 2 2 41 2 2" xfId="10232"/>
    <cellStyle name="Percent 2 2 2 41 2 3" xfId="22922"/>
    <cellStyle name="Percent 2 2 2 41 2 4" xfId="16339"/>
    <cellStyle name="Percent 2 2 2 41 2 5" xfId="26546"/>
    <cellStyle name="Percent 2 2 2 41 3" xfId="5474"/>
    <cellStyle name="Percent 2 2 2 41 3 2" xfId="12244"/>
    <cellStyle name="Percent 2 2 2 41 3 3" xfId="24934"/>
    <cellStyle name="Percent 2 2 2 41 3 4" xfId="16017"/>
    <cellStyle name="Percent 2 2 2 41 3 5" xfId="19293"/>
    <cellStyle name="Percent 2 2 2 41 4" xfId="7768"/>
    <cellStyle name="Percent 2 2 2 41 5" xfId="20656"/>
    <cellStyle name="Percent 2 2 2 41 6" xfId="16782"/>
    <cellStyle name="Percent 2 2 2 41 7" xfId="17651"/>
    <cellStyle name="Percent 2 2 2 42" xfId="1022"/>
    <cellStyle name="Percent 2 2 2 42 2" xfId="3486"/>
    <cellStyle name="Percent 2 2 2 42 2 2" xfId="10256"/>
    <cellStyle name="Percent 2 2 2 42 2 3" xfId="22946"/>
    <cellStyle name="Percent 2 2 2 42 2 4" xfId="19221"/>
    <cellStyle name="Percent 2 2 2 42 2 5" xfId="26501"/>
    <cellStyle name="Percent 2 2 2 42 3" xfId="5494"/>
    <cellStyle name="Percent 2 2 2 42 3 2" xfId="12264"/>
    <cellStyle name="Percent 2 2 2 42 3 3" xfId="24954"/>
    <cellStyle name="Percent 2 2 2 42 3 4" xfId="19001"/>
    <cellStyle name="Percent 2 2 2 42 3 5" xfId="13724"/>
    <cellStyle name="Percent 2 2 2 42 4" xfId="7792"/>
    <cellStyle name="Percent 2 2 2 42 5" xfId="20676"/>
    <cellStyle name="Percent 2 2 2 42 6" xfId="16630"/>
    <cellStyle name="Percent 2 2 2 42 7" xfId="28226"/>
    <cellStyle name="Percent 2 2 2 43" xfId="1044"/>
    <cellStyle name="Percent 2 2 2 43 2" xfId="3506"/>
    <cellStyle name="Percent 2 2 2 43 2 2" xfId="10276"/>
    <cellStyle name="Percent 2 2 2 43 2 3" xfId="22966"/>
    <cellStyle name="Percent 2 2 2 43 2 4" xfId="14813"/>
    <cellStyle name="Percent 2 2 2 43 2 5" xfId="28631"/>
    <cellStyle name="Percent 2 2 2 43 3" xfId="5513"/>
    <cellStyle name="Percent 2 2 2 43 3 2" xfId="12283"/>
    <cellStyle name="Percent 2 2 2 43 3 3" xfId="24973"/>
    <cellStyle name="Percent 2 2 2 43 3 4" xfId="16941"/>
    <cellStyle name="Percent 2 2 2 43 3 5" xfId="31374"/>
    <cellStyle name="Percent 2 2 2 43 4" xfId="7814"/>
    <cellStyle name="Percent 2 2 2 43 5" xfId="20695"/>
    <cellStyle name="Percent 2 2 2 43 6" xfId="16472"/>
    <cellStyle name="Percent 2 2 2 43 7" xfId="29107"/>
    <cellStyle name="Percent 2 2 2 44" xfId="1066"/>
    <cellStyle name="Percent 2 2 2 44 2" xfId="3528"/>
    <cellStyle name="Percent 2 2 2 44 2 2" xfId="10298"/>
    <cellStyle name="Percent 2 2 2 44 2 3" xfId="22988"/>
    <cellStyle name="Percent 2 2 2 44 2 4" xfId="16830"/>
    <cellStyle name="Percent 2 2 2 44 2 5" xfId="26428"/>
    <cellStyle name="Percent 2 2 2 44 3" xfId="5532"/>
    <cellStyle name="Percent 2 2 2 44 3 2" xfId="12302"/>
    <cellStyle name="Percent 2 2 2 44 3 3" xfId="24992"/>
    <cellStyle name="Percent 2 2 2 44 3 4" xfId="14434"/>
    <cellStyle name="Percent 2 2 2 44 3 5" xfId="27489"/>
    <cellStyle name="Percent 2 2 2 44 4" xfId="7836"/>
    <cellStyle name="Percent 2 2 2 44 5" xfId="20714"/>
    <cellStyle name="Percent 2 2 2 44 6" xfId="15667"/>
    <cellStyle name="Percent 2 2 2 44 7" xfId="29969"/>
    <cellStyle name="Percent 2 2 2 45" xfId="1089"/>
    <cellStyle name="Percent 2 2 2 45 2" xfId="3550"/>
    <cellStyle name="Percent 2 2 2 45 2 2" xfId="10320"/>
    <cellStyle name="Percent 2 2 2 45 2 3" xfId="23010"/>
    <cellStyle name="Percent 2 2 2 45 2 4" xfId="16883"/>
    <cellStyle name="Percent 2 2 2 45 2 5" xfId="26397"/>
    <cellStyle name="Percent 2 2 2 45 3" xfId="5552"/>
    <cellStyle name="Percent 2 2 2 45 3 2" xfId="12322"/>
    <cellStyle name="Percent 2 2 2 45 3 3" xfId="25012"/>
    <cellStyle name="Percent 2 2 2 45 3 4" xfId="16680"/>
    <cellStyle name="Percent 2 2 2 45 3 5" xfId="28473"/>
    <cellStyle name="Percent 2 2 2 45 4" xfId="7859"/>
    <cellStyle name="Percent 2 2 2 45 5" xfId="20734"/>
    <cellStyle name="Percent 2 2 2 45 6" xfId="17889"/>
    <cellStyle name="Percent 2 2 2 45 7" xfId="28093"/>
    <cellStyle name="Percent 2 2 2 46" xfId="1112"/>
    <cellStyle name="Percent 2 2 2 46 2" xfId="3573"/>
    <cellStyle name="Percent 2 2 2 46 2 2" xfId="10343"/>
    <cellStyle name="Percent 2 2 2 46 2 3" xfId="23033"/>
    <cellStyle name="Percent 2 2 2 46 2 4" xfId="18715"/>
    <cellStyle name="Percent 2 2 2 46 2 5" xfId="31535"/>
    <cellStyle name="Percent 2 2 2 46 3" xfId="5572"/>
    <cellStyle name="Percent 2 2 2 46 3 2" xfId="12342"/>
    <cellStyle name="Percent 2 2 2 46 3 3" xfId="25032"/>
    <cellStyle name="Percent 2 2 2 46 3 4" xfId="16825"/>
    <cellStyle name="Percent 2 2 2 46 3 5" xfId="27268"/>
    <cellStyle name="Percent 2 2 2 46 4" xfId="7882"/>
    <cellStyle name="Percent 2 2 2 46 5" xfId="20754"/>
    <cellStyle name="Percent 2 2 2 46 6" xfId="19623"/>
    <cellStyle name="Percent 2 2 2 46 7" xfId="31015"/>
    <cellStyle name="Percent 2 2 2 47" xfId="1134"/>
    <cellStyle name="Percent 2 2 2 47 2" xfId="3595"/>
    <cellStyle name="Percent 2 2 2 47 2 2" xfId="10365"/>
    <cellStyle name="Percent 2 2 2 47 2 3" xfId="23055"/>
    <cellStyle name="Percent 2 2 2 47 2 4" xfId="16001"/>
    <cellStyle name="Percent 2 2 2 47 2 5" xfId="32393"/>
    <cellStyle name="Percent 2 2 2 47 3" xfId="5591"/>
    <cellStyle name="Percent 2 2 2 47 3 2" xfId="12361"/>
    <cellStyle name="Percent 2 2 2 47 3 3" xfId="25051"/>
    <cellStyle name="Percent 2 2 2 47 3 4" xfId="16413"/>
    <cellStyle name="Percent 2 2 2 47 3 5" xfId="32295"/>
    <cellStyle name="Percent 2 2 2 47 4" xfId="7904"/>
    <cellStyle name="Percent 2 2 2 47 5" xfId="20773"/>
    <cellStyle name="Percent 2 2 2 47 6" xfId="17609"/>
    <cellStyle name="Percent 2 2 2 47 7" xfId="26832"/>
    <cellStyle name="Percent 2 2 2 48" xfId="1157"/>
    <cellStyle name="Percent 2 2 2 48 2" xfId="3617"/>
    <cellStyle name="Percent 2 2 2 48 2 2" xfId="10387"/>
    <cellStyle name="Percent 2 2 2 48 2 3" xfId="23077"/>
    <cellStyle name="Percent 2 2 2 48 2 4" xfId="14062"/>
    <cellStyle name="Percent 2 2 2 48 2 5" xfId="29513"/>
    <cellStyle name="Percent 2 2 2 48 3" xfId="5612"/>
    <cellStyle name="Percent 2 2 2 48 3 2" xfId="12382"/>
    <cellStyle name="Percent 2 2 2 48 3 3" xfId="25072"/>
    <cellStyle name="Percent 2 2 2 48 3 4" xfId="16278"/>
    <cellStyle name="Percent 2 2 2 48 3 5" xfId="28389"/>
    <cellStyle name="Percent 2 2 2 48 4" xfId="7927"/>
    <cellStyle name="Percent 2 2 2 48 5" xfId="20794"/>
    <cellStyle name="Percent 2 2 2 48 6" xfId="19347"/>
    <cellStyle name="Percent 2 2 2 48 7" xfId="26263"/>
    <cellStyle name="Percent 2 2 2 49" xfId="1177"/>
    <cellStyle name="Percent 2 2 2 49 2" xfId="3637"/>
    <cellStyle name="Percent 2 2 2 49 2 2" xfId="10407"/>
    <cellStyle name="Percent 2 2 2 49 2 3" xfId="23097"/>
    <cellStyle name="Percent 2 2 2 49 2 4" xfId="16306"/>
    <cellStyle name="Percent 2 2 2 49 2 5" xfId="31559"/>
    <cellStyle name="Percent 2 2 2 49 3" xfId="5629"/>
    <cellStyle name="Percent 2 2 2 49 3 2" xfId="12399"/>
    <cellStyle name="Percent 2 2 2 49 3 3" xfId="25089"/>
    <cellStyle name="Percent 2 2 2 49 3 4" xfId="16753"/>
    <cellStyle name="Percent 2 2 2 49 3 5" xfId="31335"/>
    <cellStyle name="Percent 2 2 2 49 4" xfId="7947"/>
    <cellStyle name="Percent 2 2 2 49 5" xfId="20811"/>
    <cellStyle name="Percent 2 2 2 49 6" xfId="14951"/>
    <cellStyle name="Percent 2 2 2 49 7" xfId="27909"/>
    <cellStyle name="Percent 2 2 2 5" xfId="174"/>
    <cellStyle name="Percent 2 2 2 5 2" xfId="2657"/>
    <cellStyle name="Percent 2 2 2 5 2 2" xfId="9427"/>
    <cellStyle name="Percent 2 2 2 5 2 3" xfId="22117"/>
    <cellStyle name="Percent 2 2 2 5 2 4" xfId="14319"/>
    <cellStyle name="Percent 2 2 2 5 2 5" xfId="29753"/>
    <cellStyle name="Percent 2 2 2 5 3" xfId="2567"/>
    <cellStyle name="Percent 2 2 2 5 3 2" xfId="9337"/>
    <cellStyle name="Percent 2 2 2 5 3 3" xfId="22027"/>
    <cellStyle name="Percent 2 2 2 5 3 4" xfId="14119"/>
    <cellStyle name="Percent 2 2 2 5 3 5" xfId="29876"/>
    <cellStyle name="Percent 2 2 2 5 4" xfId="6944"/>
    <cellStyle name="Percent 2 2 2 5 5" xfId="14232"/>
    <cellStyle name="Percent 2 2 2 5 6" xfId="18799"/>
    <cellStyle name="Percent 2 2 2 5 7" xfId="30606"/>
    <cellStyle name="Percent 2 2 2 50" xfId="1196"/>
    <cellStyle name="Percent 2 2 2 50 2" xfId="3656"/>
    <cellStyle name="Percent 2 2 2 50 2 2" xfId="10426"/>
    <cellStyle name="Percent 2 2 2 50 2 3" xfId="23116"/>
    <cellStyle name="Percent 2 2 2 50 2 4" xfId="17006"/>
    <cellStyle name="Percent 2 2 2 50 2 5" xfId="28121"/>
    <cellStyle name="Percent 2 2 2 50 3" xfId="5646"/>
    <cellStyle name="Percent 2 2 2 50 3 2" xfId="12416"/>
    <cellStyle name="Percent 2 2 2 50 3 3" xfId="25106"/>
    <cellStyle name="Percent 2 2 2 50 3 4" xfId="15805"/>
    <cellStyle name="Percent 2 2 2 50 3 5" xfId="29260"/>
    <cellStyle name="Percent 2 2 2 50 4" xfId="7966"/>
    <cellStyle name="Percent 2 2 2 50 5" xfId="20828"/>
    <cellStyle name="Percent 2 2 2 50 6" xfId="17572"/>
    <cellStyle name="Percent 2 2 2 50 7" xfId="29737"/>
    <cellStyle name="Percent 2 2 2 51" xfId="1225"/>
    <cellStyle name="Percent 2 2 2 51 2" xfId="3685"/>
    <cellStyle name="Percent 2 2 2 51 2 2" xfId="10455"/>
    <cellStyle name="Percent 2 2 2 51 2 3" xfId="23145"/>
    <cellStyle name="Percent 2 2 2 51 2 4" xfId="18107"/>
    <cellStyle name="Percent 2 2 2 51 2 5" xfId="32430"/>
    <cellStyle name="Percent 2 2 2 51 3" xfId="5670"/>
    <cellStyle name="Percent 2 2 2 51 3 2" xfId="12440"/>
    <cellStyle name="Percent 2 2 2 51 3 3" xfId="25130"/>
    <cellStyle name="Percent 2 2 2 51 3 4" xfId="6794"/>
    <cellStyle name="Percent 2 2 2 51 3 5" xfId="29231"/>
    <cellStyle name="Percent 2 2 2 51 4" xfId="7995"/>
    <cellStyle name="Percent 2 2 2 51 5" xfId="20852"/>
    <cellStyle name="Percent 2 2 2 51 6" xfId="14622"/>
    <cellStyle name="Percent 2 2 2 51 7" xfId="27821"/>
    <cellStyle name="Percent 2 2 2 52" xfId="1248"/>
    <cellStyle name="Percent 2 2 2 52 2" xfId="3708"/>
    <cellStyle name="Percent 2 2 2 52 2 2" xfId="10478"/>
    <cellStyle name="Percent 2 2 2 52 2 3" xfId="23168"/>
    <cellStyle name="Percent 2 2 2 52 2 4" xfId="19816"/>
    <cellStyle name="Percent 2 2 2 52 2 5" xfId="27354"/>
    <cellStyle name="Percent 2 2 2 52 3" xfId="5690"/>
    <cellStyle name="Percent 2 2 2 52 3 2" xfId="12460"/>
    <cellStyle name="Percent 2 2 2 52 3 3" xfId="25150"/>
    <cellStyle name="Percent 2 2 2 52 3 4" xfId="19843"/>
    <cellStyle name="Percent 2 2 2 52 3 5" xfId="28277"/>
    <cellStyle name="Percent 2 2 2 52 4" xfId="8018"/>
    <cellStyle name="Percent 2 2 2 52 5" xfId="20872"/>
    <cellStyle name="Percent 2 2 2 52 6" xfId="16846"/>
    <cellStyle name="Percent 2 2 2 52 7" xfId="31730"/>
    <cellStyle name="Percent 2 2 2 53" xfId="1271"/>
    <cellStyle name="Percent 2 2 2 53 2" xfId="3730"/>
    <cellStyle name="Percent 2 2 2 53 2 2" xfId="10500"/>
    <cellStyle name="Percent 2 2 2 53 2 3" xfId="23190"/>
    <cellStyle name="Percent 2 2 2 53 2 4" xfId="17838"/>
    <cellStyle name="Percent 2 2 2 53 2 5" xfId="28493"/>
    <cellStyle name="Percent 2 2 2 53 3" xfId="5710"/>
    <cellStyle name="Percent 2 2 2 53 3 2" xfId="12480"/>
    <cellStyle name="Percent 2 2 2 53 3 3" xfId="25170"/>
    <cellStyle name="Percent 2 2 2 53 3 4" xfId="15430"/>
    <cellStyle name="Percent 2 2 2 53 3 5" xfId="27065"/>
    <cellStyle name="Percent 2 2 2 53 4" xfId="8041"/>
    <cellStyle name="Percent 2 2 2 53 5" xfId="20892"/>
    <cellStyle name="Percent 2 2 2 53 6" xfId="18684"/>
    <cellStyle name="Percent 2 2 2 53 7" xfId="26569"/>
    <cellStyle name="Percent 2 2 2 54" xfId="1294"/>
    <cellStyle name="Percent 2 2 2 54 2" xfId="3752"/>
    <cellStyle name="Percent 2 2 2 54 2 2" xfId="10522"/>
    <cellStyle name="Percent 2 2 2 54 2 3" xfId="23212"/>
    <cellStyle name="Percent 2 2 2 54 2 4" xfId="13754"/>
    <cellStyle name="Percent 2 2 2 54 2 5" xfId="28616"/>
    <cellStyle name="Percent 2 2 2 54 3" xfId="5730"/>
    <cellStyle name="Percent 2 2 2 54 3 2" xfId="12500"/>
    <cellStyle name="Percent 2 2 2 54 3 3" xfId="25190"/>
    <cellStyle name="Percent 2 2 2 54 3 4" xfId="17668"/>
    <cellStyle name="Percent 2 2 2 54 3 5" xfId="28544"/>
    <cellStyle name="Percent 2 2 2 54 4" xfId="8064"/>
    <cellStyle name="Percent 2 2 2 54 5" xfId="20912"/>
    <cellStyle name="Percent 2 2 2 54 6" xfId="15723"/>
    <cellStyle name="Percent 2 2 2 54 7" xfId="30267"/>
    <cellStyle name="Percent 2 2 2 55" xfId="1317"/>
    <cellStyle name="Percent 2 2 2 55 2" xfId="3775"/>
    <cellStyle name="Percent 2 2 2 55 2 2" xfId="10545"/>
    <cellStyle name="Percent 2 2 2 55 2 3" xfId="23235"/>
    <cellStyle name="Percent 2 2 2 55 2 4" xfId="17536"/>
    <cellStyle name="Percent 2 2 2 55 2 5" xfId="30578"/>
    <cellStyle name="Percent 2 2 2 55 3" xfId="5750"/>
    <cellStyle name="Percent 2 2 2 55 3 2" xfId="12520"/>
    <cellStyle name="Percent 2 2 2 55 3 3" xfId="25210"/>
    <cellStyle name="Percent 2 2 2 55 3 4" xfId="19438"/>
    <cellStyle name="Percent 2 2 2 55 3 5" xfId="28185"/>
    <cellStyle name="Percent 2 2 2 55 4" xfId="8087"/>
    <cellStyle name="Percent 2 2 2 55 5" xfId="20932"/>
    <cellStyle name="Percent 2 2 2 55 6" xfId="17944"/>
    <cellStyle name="Percent 2 2 2 55 7" xfId="28424"/>
    <cellStyle name="Percent 2 2 2 56" xfId="1340"/>
    <cellStyle name="Percent 2 2 2 56 2" xfId="3797"/>
    <cellStyle name="Percent 2 2 2 56 2 2" xfId="10567"/>
    <cellStyle name="Percent 2 2 2 56 2 3" xfId="23257"/>
    <cellStyle name="Percent 2 2 2 56 2 4" xfId="15029"/>
    <cellStyle name="Percent 2 2 2 56 2 5" xfId="26278"/>
    <cellStyle name="Percent 2 2 2 56 3" xfId="5770"/>
    <cellStyle name="Percent 2 2 2 56 3 2" xfId="12540"/>
    <cellStyle name="Percent 2 2 2 56 3 3" xfId="25230"/>
    <cellStyle name="Percent 2 2 2 56 3 4" xfId="15032"/>
    <cellStyle name="Percent 2 2 2 56 3 5" xfId="26972"/>
    <cellStyle name="Percent 2 2 2 56 4" xfId="8110"/>
    <cellStyle name="Percent 2 2 2 56 5" xfId="20952"/>
    <cellStyle name="Percent 2 2 2 56 6" xfId="19675"/>
    <cellStyle name="Percent 2 2 2 56 7" xfId="31361"/>
    <cellStyle name="Percent 2 2 2 57" xfId="1363"/>
    <cellStyle name="Percent 2 2 2 57 2" xfId="3820"/>
    <cellStyle name="Percent 2 2 2 57 2 2" xfId="10590"/>
    <cellStyle name="Percent 2 2 2 57 2 3" xfId="23280"/>
    <cellStyle name="Percent 2 2 2 57 2 4" xfId="16065"/>
    <cellStyle name="Percent 2 2 2 57 2 5" xfId="28563"/>
    <cellStyle name="Percent 2 2 2 57 3" xfId="5790"/>
    <cellStyle name="Percent 2 2 2 57 3 2" xfId="12560"/>
    <cellStyle name="Percent 2 2 2 57 3 3" xfId="25250"/>
    <cellStyle name="Percent 2 2 2 57 3 4" xfId="17278"/>
    <cellStyle name="Percent 2 2 2 57 3 5" xfId="29056"/>
    <cellStyle name="Percent 2 2 2 57 4" xfId="8133"/>
    <cellStyle name="Percent 2 2 2 57 5" xfId="20972"/>
    <cellStyle name="Percent 2 2 2 57 6" xfId="15287"/>
    <cellStyle name="Percent 2 2 2 57 7" xfId="29284"/>
    <cellStyle name="Percent 2 2 2 58" xfId="1386"/>
    <cellStyle name="Percent 2 2 2 58 2" xfId="3842"/>
    <cellStyle name="Percent 2 2 2 58 2 2" xfId="10612"/>
    <cellStyle name="Percent 2 2 2 58 2 3" xfId="23302"/>
    <cellStyle name="Percent 2 2 2 58 2 4" xfId="14722"/>
    <cellStyle name="Percent 2 2 2 58 2 5" xfId="29433"/>
    <cellStyle name="Percent 2 2 2 58 3" xfId="5810"/>
    <cellStyle name="Percent 2 2 2 58 3 2" xfId="12580"/>
    <cellStyle name="Percent 2 2 2 58 3 3" xfId="25270"/>
    <cellStyle name="Percent 2 2 2 58 3 4" xfId="19089"/>
    <cellStyle name="Percent 2 2 2 58 3 5" xfId="28092"/>
    <cellStyle name="Percent 2 2 2 58 4" xfId="8156"/>
    <cellStyle name="Percent 2 2 2 58 5" xfId="20992"/>
    <cellStyle name="Percent 2 2 2 58 6" xfId="17497"/>
    <cellStyle name="Percent 2 2 2 58 7" xfId="32216"/>
    <cellStyle name="Percent 2 2 2 59" xfId="1409"/>
    <cellStyle name="Percent 2 2 2 59 2" xfId="3864"/>
    <cellStyle name="Percent 2 2 2 59 2 2" xfId="10634"/>
    <cellStyle name="Percent 2 2 2 59 2 3" xfId="23324"/>
    <cellStyle name="Percent 2 2 2 59 2 4" xfId="18909"/>
    <cellStyle name="Percent 2 2 2 59 2 5" xfId="27318"/>
    <cellStyle name="Percent 2 2 2 59 3" xfId="5830"/>
    <cellStyle name="Percent 2 2 2 59 3 2" xfId="12600"/>
    <cellStyle name="Percent 2 2 2 59 3 3" xfId="25290"/>
    <cellStyle name="Percent 2 2 2 59 3 4" xfId="14465"/>
    <cellStyle name="Percent 2 2 2 59 3 5" xfId="26873"/>
    <cellStyle name="Percent 2 2 2 59 4" xfId="8179"/>
    <cellStyle name="Percent 2 2 2 59 5" xfId="21012"/>
    <cellStyle name="Percent 2 2 2 59 6" xfId="19265"/>
    <cellStyle name="Percent 2 2 2 59 7" xfId="27116"/>
    <cellStyle name="Percent 2 2 2 6" xfId="197"/>
    <cellStyle name="Percent 2 2 2 6 2" xfId="2678"/>
    <cellStyle name="Percent 2 2 2 6 2 2" xfId="9448"/>
    <cellStyle name="Percent 2 2 2 6 2 3" xfId="22138"/>
    <cellStyle name="Percent 2 2 2 6 2 4" xfId="14160"/>
    <cellStyle name="Percent 2 2 2 6 2 5" xfId="28819"/>
    <cellStyle name="Percent 2 2 2 6 3" xfId="4794"/>
    <cellStyle name="Percent 2 2 2 6 3 2" xfId="11564"/>
    <cellStyle name="Percent 2 2 2 6 3 3" xfId="24254"/>
    <cellStyle name="Percent 2 2 2 6 3 4" xfId="19297"/>
    <cellStyle name="Percent 2 2 2 6 3 5" xfId="29625"/>
    <cellStyle name="Percent 2 2 2 6 4" xfId="6967"/>
    <cellStyle name="Percent 2 2 2 6 5" xfId="15876"/>
    <cellStyle name="Percent 2 2 2 6 6" xfId="14317"/>
    <cellStyle name="Percent 2 2 2 6 7" xfId="29379"/>
    <cellStyle name="Percent 2 2 2 60" xfId="1432"/>
    <cellStyle name="Percent 2 2 2 60 2" xfId="3886"/>
    <cellStyle name="Percent 2 2 2 60 2 2" xfId="10656"/>
    <cellStyle name="Percent 2 2 2 60 2 3" xfId="23346"/>
    <cellStyle name="Percent 2 2 2 60 2 4" xfId="16022"/>
    <cellStyle name="Percent 2 2 2 60 2 5" xfId="27696"/>
    <cellStyle name="Percent 2 2 2 60 3" xfId="5850"/>
    <cellStyle name="Percent 2 2 2 60 3 2" xfId="12620"/>
    <cellStyle name="Percent 2 2 2 60 3 3" xfId="25310"/>
    <cellStyle name="Percent 2 2 2 60 3 4" xfId="16885"/>
    <cellStyle name="Percent 2 2 2 60 3 5" xfId="28972"/>
    <cellStyle name="Percent 2 2 2 60 4" xfId="8202"/>
    <cellStyle name="Percent 2 2 2 60 5" xfId="21032"/>
    <cellStyle name="Percent 2 2 2 60 6" xfId="14839"/>
    <cellStyle name="Percent 2 2 2 60 7" xfId="30086"/>
    <cellStyle name="Percent 2 2 2 61" xfId="1455"/>
    <cellStyle name="Percent 2 2 2 61 2" xfId="3909"/>
    <cellStyle name="Percent 2 2 2 61 2 2" xfId="10679"/>
    <cellStyle name="Percent 2 2 2 61 2 3" xfId="23369"/>
    <cellStyle name="Percent 2 2 2 61 2 4" xfId="18635"/>
    <cellStyle name="Percent 2 2 2 61 2 5" xfId="30613"/>
    <cellStyle name="Percent 2 2 2 61 3" xfId="5870"/>
    <cellStyle name="Percent 2 2 2 61 3 2" xfId="12640"/>
    <cellStyle name="Percent 2 2 2 61 3 3" xfId="25330"/>
    <cellStyle name="Percent 2 2 2 61 3 4" xfId="18717"/>
    <cellStyle name="Percent 2 2 2 61 3 5" xfId="27992"/>
    <cellStyle name="Percent 2 2 2 61 4" xfId="8225"/>
    <cellStyle name="Percent 2 2 2 61 5" xfId="21052"/>
    <cellStyle name="Percent 2 2 2 61 6" xfId="17036"/>
    <cellStyle name="Percent 2 2 2 61 7" xfId="28225"/>
    <cellStyle name="Percent 2 2 2 62" xfId="1478"/>
    <cellStyle name="Percent 2 2 2 62 2" xfId="3932"/>
    <cellStyle name="Percent 2 2 2 62 2 2" xfId="10702"/>
    <cellStyle name="Percent 2 2 2 62 2 3" xfId="23392"/>
    <cellStyle name="Percent 2 2 2 62 2 4" xfId="14126"/>
    <cellStyle name="Percent 2 2 2 62 2 5" xfId="31563"/>
    <cellStyle name="Percent 2 2 2 62 3" xfId="5890"/>
    <cellStyle name="Percent 2 2 2 62 3 2" xfId="12660"/>
    <cellStyle name="Percent 2 2 2 62 3 3" xfId="25350"/>
    <cellStyle name="Percent 2 2 2 62 3 4" xfId="14275"/>
    <cellStyle name="Percent 2 2 2 62 3 5" xfId="26780"/>
    <cellStyle name="Percent 2 2 2 62 4" xfId="8248"/>
    <cellStyle name="Percent 2 2 2 62 5" xfId="21072"/>
    <cellStyle name="Percent 2 2 2 62 6" xfId="18856"/>
    <cellStyle name="Percent 2 2 2 62 7" xfId="31151"/>
    <cellStyle name="Percent 2 2 2 63" xfId="1501"/>
    <cellStyle name="Percent 2 2 2 63 2" xfId="3954"/>
    <cellStyle name="Percent 2 2 2 63 2 2" xfId="10724"/>
    <cellStyle name="Percent 2 2 2 63 2 3" xfId="23414"/>
    <cellStyle name="Percent 2 2 2 63 2 4" xfId="18380"/>
    <cellStyle name="Percent 2 2 2 63 2 5" xfId="30239"/>
    <cellStyle name="Percent 2 2 2 63 3" xfId="5910"/>
    <cellStyle name="Percent 2 2 2 63 3 2" xfId="12680"/>
    <cellStyle name="Percent 2 2 2 63 3 3" xfId="25370"/>
    <cellStyle name="Percent 2 2 2 63 3 4" xfId="16511"/>
    <cellStyle name="Percent 2 2 2 63 3 5" xfId="28886"/>
    <cellStyle name="Percent 2 2 2 63 4" xfId="8271"/>
    <cellStyle name="Percent 2 2 2 63 5" xfId="21092"/>
    <cellStyle name="Percent 2 2 2 63 6" xfId="14381"/>
    <cellStyle name="Percent 2 2 2 63 7" xfId="29094"/>
    <cellStyle name="Percent 2 2 2 64" xfId="1524"/>
    <cellStyle name="Percent 2 2 2 64 2" xfId="3976"/>
    <cellStyle name="Percent 2 2 2 64 2 2" xfId="10746"/>
    <cellStyle name="Percent 2 2 2 64 2 3" xfId="23436"/>
    <cellStyle name="Percent 2 2 2 64 2 4" xfId="16195"/>
    <cellStyle name="Percent 2 2 2 64 2 5" xfId="31369"/>
    <cellStyle name="Percent 2 2 2 64 3" xfId="5930"/>
    <cellStyle name="Percent 2 2 2 64 3 2" xfId="12700"/>
    <cellStyle name="Percent 2 2 2 64 3 3" xfId="25390"/>
    <cellStyle name="Percent 2 2 2 64 3 4" xfId="18363"/>
    <cellStyle name="Percent 2 2 2 64 3 5" xfId="27479"/>
    <cellStyle name="Percent 2 2 2 64 4" xfId="8294"/>
    <cellStyle name="Percent 2 2 2 64 5" xfId="21112"/>
    <cellStyle name="Percent 2 2 2 64 6" xfId="16005"/>
    <cellStyle name="Percent 2 2 2 64 7" xfId="32022"/>
    <cellStyle name="Percent 2 2 2 65" xfId="1547"/>
    <cellStyle name="Percent 2 2 2 65 2" xfId="3998"/>
    <cellStyle name="Percent 2 2 2 65 2 2" xfId="10768"/>
    <cellStyle name="Percent 2 2 2 65 2 3" xfId="23458"/>
    <cellStyle name="Percent 2 2 2 65 2 4" xfId="15800"/>
    <cellStyle name="Percent 2 2 2 65 2 5" xfId="30788"/>
    <cellStyle name="Percent 2 2 2 65 3" xfId="5950"/>
    <cellStyle name="Percent 2 2 2 65 3 2" xfId="12720"/>
    <cellStyle name="Percent 2 2 2 65 3 3" xfId="25410"/>
    <cellStyle name="Percent 2 2 2 65 3 4" xfId="13845"/>
    <cellStyle name="Percent 2 2 2 65 3 5" xfId="26691"/>
    <cellStyle name="Percent 2 2 2 65 4" xfId="8317"/>
    <cellStyle name="Percent 2 2 2 65 5" xfId="21132"/>
    <cellStyle name="Percent 2 2 2 65 6" xfId="18445"/>
    <cellStyle name="Percent 2 2 2 65 7" xfId="26312"/>
    <cellStyle name="Percent 2 2 2 66" xfId="1570"/>
    <cellStyle name="Percent 2 2 2 66 2" xfId="4020"/>
    <cellStyle name="Percent 2 2 2 66 2 2" xfId="10790"/>
    <cellStyle name="Percent 2 2 2 66 2 3" xfId="23480"/>
    <cellStyle name="Percent 2 2 2 66 2 4" xfId="19893"/>
    <cellStyle name="Percent 2 2 2 66 2 5" xfId="30154"/>
    <cellStyle name="Percent 2 2 2 66 3" xfId="5970"/>
    <cellStyle name="Percent 2 2 2 66 3 2" xfId="12740"/>
    <cellStyle name="Percent 2 2 2 66 3 3" xfId="25430"/>
    <cellStyle name="Percent 2 2 2 66 3 4" xfId="15912"/>
    <cellStyle name="Percent 2 2 2 66 3 5" xfId="28794"/>
    <cellStyle name="Percent 2 2 2 66 4" xfId="8340"/>
    <cellStyle name="Percent 2 2 2 66 5" xfId="21152"/>
    <cellStyle name="Percent 2 2 2 66 6" xfId="13913"/>
    <cellStyle name="Percent 2 2 2 66 7" xfId="29889"/>
    <cellStyle name="Percent 2 2 2 67" xfId="1593"/>
    <cellStyle name="Percent 2 2 2 67 2" xfId="4042"/>
    <cellStyle name="Percent 2 2 2 67 2 2" xfId="10812"/>
    <cellStyle name="Percent 2 2 2 67 2 3" xfId="23502"/>
    <cellStyle name="Percent 2 2 2 67 2 4" xfId="17899"/>
    <cellStyle name="Percent 2 2 2 67 2 5" xfId="31275"/>
    <cellStyle name="Percent 2 2 2 67 3" xfId="5990"/>
    <cellStyle name="Percent 2 2 2 67 3 2" xfId="12760"/>
    <cellStyle name="Percent 2 2 2 67 3 3" xfId="25450"/>
    <cellStyle name="Percent 2 2 2 67 3 4" xfId="19915"/>
    <cellStyle name="Percent 2 2 2 67 3 5" xfId="27788"/>
    <cellStyle name="Percent 2 2 2 67 4" xfId="8363"/>
    <cellStyle name="Percent 2 2 2 67 5" xfId="21172"/>
    <cellStyle name="Percent 2 2 2 67 6" xfId="18250"/>
    <cellStyle name="Percent 2 2 2 67 7" xfId="27999"/>
    <cellStyle name="Percent 2 2 2 68" xfId="1616"/>
    <cellStyle name="Percent 2 2 2 68 2" xfId="4064"/>
    <cellStyle name="Percent 2 2 2 68 2 2" xfId="10834"/>
    <cellStyle name="Percent 2 2 2 68 2 3" xfId="23524"/>
    <cellStyle name="Percent 2 2 2 68 2 4" xfId="15385"/>
    <cellStyle name="Percent 2 2 2 68 2 5" xfId="31016"/>
    <cellStyle name="Percent 2 2 2 68 3" xfId="6010"/>
    <cellStyle name="Percent 2 2 2 68 3 2" xfId="12780"/>
    <cellStyle name="Percent 2 2 2 68 3 3" xfId="25470"/>
    <cellStyle name="Percent 2 2 2 68 3 4" xfId="15635"/>
    <cellStyle name="Percent 2 2 2 68 3 5" xfId="26590"/>
    <cellStyle name="Percent 2 2 2 68 4" xfId="8386"/>
    <cellStyle name="Percent 2 2 2 68 5" xfId="21192"/>
    <cellStyle name="Percent 2 2 2 68 6" xfId="17393"/>
    <cellStyle name="Percent 2 2 2 68 7" xfId="30421"/>
    <cellStyle name="Percent 2 2 2 69" xfId="1638"/>
    <cellStyle name="Percent 2 2 2 69 2" xfId="4086"/>
    <cellStyle name="Percent 2 2 2 69 2 2" xfId="10856"/>
    <cellStyle name="Percent 2 2 2 69 2 3" xfId="23546"/>
    <cellStyle name="Percent 2 2 2 69 2 4" xfId="19514"/>
    <cellStyle name="Percent 2 2 2 69 2 5" xfId="30065"/>
    <cellStyle name="Percent 2 2 2 69 3" xfId="6029"/>
    <cellStyle name="Percent 2 2 2 69 3 2" xfId="12799"/>
    <cellStyle name="Percent 2 2 2 69 3 3" xfId="25489"/>
    <cellStyle name="Percent 2 2 2 69 3 4" xfId="19750"/>
    <cellStyle name="Percent 2 2 2 69 3 5" xfId="31677"/>
    <cellStyle name="Percent 2 2 2 69 4" xfId="8408"/>
    <cellStyle name="Percent 2 2 2 69 5" xfId="21211"/>
    <cellStyle name="Percent 2 2 2 69 6" xfId="16384"/>
    <cellStyle name="Percent 2 2 2 69 7" xfId="31866"/>
    <cellStyle name="Percent 2 2 2 7" xfId="220"/>
    <cellStyle name="Percent 2 2 2 7 2" xfId="2699"/>
    <cellStyle name="Percent 2 2 2 7 2 2" xfId="9469"/>
    <cellStyle name="Percent 2 2 2 7 2 3" xfId="22159"/>
    <cellStyle name="Percent 2 2 2 7 2 4" xfId="16383"/>
    <cellStyle name="Percent 2 2 2 7 2 5" xfId="29680"/>
    <cellStyle name="Percent 2 2 2 7 3" xfId="4799"/>
    <cellStyle name="Percent 2 2 2 7 3 2" xfId="11569"/>
    <cellStyle name="Percent 2 2 2 7 3 3" xfId="24259"/>
    <cellStyle name="Percent 2 2 2 7 3 4" xfId="14983"/>
    <cellStyle name="Percent 2 2 2 7 3 5" xfId="27746"/>
    <cellStyle name="Percent 2 2 2 7 4" xfId="6990"/>
    <cellStyle name="Percent 2 2 2 7 5" xfId="15827"/>
    <cellStyle name="Percent 2 2 2 7 6" xfId="16535"/>
    <cellStyle name="Percent 2 2 2 7 7" xfId="32313"/>
    <cellStyle name="Percent 2 2 2 70" xfId="1659"/>
    <cellStyle name="Percent 2 2 2 70 2" xfId="4107"/>
    <cellStyle name="Percent 2 2 2 70 2 2" xfId="10877"/>
    <cellStyle name="Percent 2 2 2 70 2 3" xfId="23567"/>
    <cellStyle name="Percent 2 2 2 70 2 4" xfId="19374"/>
    <cellStyle name="Percent 2 2 2 70 2 5" xfId="29138"/>
    <cellStyle name="Percent 2 2 2 70 3" xfId="6047"/>
    <cellStyle name="Percent 2 2 2 70 3 2" xfId="12817"/>
    <cellStyle name="Percent 2 2 2 70 3 3" xfId="25507"/>
    <cellStyle name="Percent 2 2 2 70 3 4" xfId="19657"/>
    <cellStyle name="Percent 2 2 2 70 3 5" xfId="31646"/>
    <cellStyle name="Percent 2 2 2 70 4" xfId="8429"/>
    <cellStyle name="Percent 2 2 2 70 5" xfId="21229"/>
    <cellStyle name="Percent 2 2 2 70 6" xfId="18026"/>
    <cellStyle name="Percent 2 2 2 70 7" xfId="27895"/>
    <cellStyle name="Percent 2 2 2 71" xfId="1680"/>
    <cellStyle name="Percent 2 2 2 71 2" xfId="4127"/>
    <cellStyle name="Percent 2 2 2 71 2 2" xfId="10897"/>
    <cellStyle name="Percent 2 2 2 71 2 3" xfId="23587"/>
    <cellStyle name="Percent 2 2 2 71 2 4" xfId="14985"/>
    <cellStyle name="Percent 2 2 2 71 2 5" xfId="28172"/>
    <cellStyle name="Percent 2 2 2 71 3" xfId="6067"/>
    <cellStyle name="Percent 2 2 2 71 3 2" xfId="12837"/>
    <cellStyle name="Percent 2 2 2 71 3 3" xfId="25527"/>
    <cellStyle name="Percent 2 2 2 71 3 4" xfId="15289"/>
    <cellStyle name="Percent 2 2 2 71 3 5" xfId="30623"/>
    <cellStyle name="Percent 2 2 2 71 4" xfId="8450"/>
    <cellStyle name="Percent 2 2 2 71 5" xfId="21249"/>
    <cellStyle name="Percent 2 2 2 71 6" xfId="16129"/>
    <cellStyle name="Percent 2 2 2 71 7" xfId="31044"/>
    <cellStyle name="Percent 2 2 2 72" xfId="1705"/>
    <cellStyle name="Percent 2 2 2 72 2" xfId="4151"/>
    <cellStyle name="Percent 2 2 2 72 2 2" xfId="10921"/>
    <cellStyle name="Percent 2 2 2 72 2 3" xfId="23611"/>
    <cellStyle name="Percent 2 2 2 72 2 4" xfId="14833"/>
    <cellStyle name="Percent 2 2 2 72 2 5" xfId="28143"/>
    <cellStyle name="Percent 2 2 2 72 3" xfId="6088"/>
    <cellStyle name="Percent 2 2 2 72 3 2" xfId="12858"/>
    <cellStyle name="Percent 2 2 2 72 3 3" xfId="25548"/>
    <cellStyle name="Percent 2 2 2 72 3 4" xfId="15131"/>
    <cellStyle name="Percent 2 2 2 72 3 5" xfId="26449"/>
    <cellStyle name="Percent 2 2 2 72 4" xfId="8475"/>
    <cellStyle name="Percent 2 2 2 72 5" xfId="21270"/>
    <cellStyle name="Percent 2 2 2 72 6" xfId="15349"/>
    <cellStyle name="Percent 2 2 2 72 7" xfId="28793"/>
    <cellStyle name="Percent 2 2 2 73" xfId="1728"/>
    <cellStyle name="Percent 2 2 2 73 2" xfId="4173"/>
    <cellStyle name="Percent 2 2 2 73 2 2" xfId="10943"/>
    <cellStyle name="Percent 2 2 2 73 2 3" xfId="23633"/>
    <cellStyle name="Percent 2 2 2 73 2 4" xfId="18984"/>
    <cellStyle name="Percent 2 2 2 73 2 5" xfId="29043"/>
    <cellStyle name="Percent 2 2 2 73 3" xfId="6108"/>
    <cellStyle name="Percent 2 2 2 73 3 2" xfId="12878"/>
    <cellStyle name="Percent 2 2 2 73 3 3" xfId="25568"/>
    <cellStyle name="Percent 2 2 2 73 3 4" xfId="17395"/>
    <cellStyle name="Percent 2 2 2 73 3 5" xfId="27600"/>
    <cellStyle name="Percent 2 2 2 73 4" xfId="8498"/>
    <cellStyle name="Percent 2 2 2 73 5" xfId="21290"/>
    <cellStyle name="Percent 2 2 2 73 6" xfId="17582"/>
    <cellStyle name="Percent 2 2 2 73 7" xfId="31724"/>
    <cellStyle name="Percent 2 2 2 74" xfId="1751"/>
    <cellStyle name="Percent 2 2 2 74 2" xfId="4195"/>
    <cellStyle name="Percent 2 2 2 74 2 2" xfId="10965"/>
    <cellStyle name="Percent 2 2 2 74 2 3" xfId="23655"/>
    <cellStyle name="Percent 2 2 2 74 2 4" xfId="16901"/>
    <cellStyle name="Percent 2 2 2 74 2 5" xfId="26299"/>
    <cellStyle name="Percent 2 2 2 74 3" xfId="6128"/>
    <cellStyle name="Percent 2 2 2 74 3 2" xfId="12898"/>
    <cellStyle name="Percent 2 2 2 74 3 3" xfId="25588"/>
    <cellStyle name="Percent 2 2 2 74 3 4" xfId="19171"/>
    <cellStyle name="Percent 2 2 2 74 3 5" xfId="28579"/>
    <cellStyle name="Percent 2 2 2 74 4" xfId="8521"/>
    <cellStyle name="Percent 2 2 2 74 5" xfId="21310"/>
    <cellStyle name="Percent 2 2 2 74 6" xfId="19343"/>
    <cellStyle name="Percent 2 2 2 74 7" xfId="29608"/>
    <cellStyle name="Percent 2 2 2 75" xfId="1774"/>
    <cellStyle name="Percent 2 2 2 75 2" xfId="4217"/>
    <cellStyle name="Percent 2 2 2 75 2 2" xfId="10987"/>
    <cellStyle name="Percent 2 2 2 75 2 3" xfId="23677"/>
    <cellStyle name="Percent 2 2 2 75 2 4" xfId="14395"/>
    <cellStyle name="Percent 2 2 2 75 2 5" xfId="28033"/>
    <cellStyle name="Percent 2 2 2 75 3" xfId="6148"/>
    <cellStyle name="Percent 2 2 2 75 3 2" xfId="12918"/>
    <cellStyle name="Percent 2 2 2 75 3 3" xfId="25608"/>
    <cellStyle name="Percent 2 2 2 75 3 4" xfId="14753"/>
    <cellStyle name="Percent 2 2 2 75 3 5" xfId="27374"/>
    <cellStyle name="Percent 2 2 2 75 4" xfId="8544"/>
    <cellStyle name="Percent 2 2 2 75 5" xfId="21330"/>
    <cellStyle name="Percent 2 2 2 75 6" xfId="14903"/>
    <cellStyle name="Percent 2 2 2 75 7" xfId="27693"/>
    <cellStyle name="Percent 2 2 2 76" xfId="1797"/>
    <cellStyle name="Percent 2 2 2 76 2" xfId="4239"/>
    <cellStyle name="Percent 2 2 2 76 2 2" xfId="11009"/>
    <cellStyle name="Percent 2 2 2 76 2 3" xfId="23699"/>
    <cellStyle name="Percent 2 2 2 76 2 4" xfId="18593"/>
    <cellStyle name="Percent 2 2 2 76 2 5" xfId="28952"/>
    <cellStyle name="Percent 2 2 2 76 3" xfId="6168"/>
    <cellStyle name="Percent 2 2 2 76 3 2" xfId="12938"/>
    <cellStyle name="Percent 2 2 2 76 3 3" xfId="25628"/>
    <cellStyle name="Percent 2 2 2 76 3 4" xfId="16998"/>
    <cellStyle name="Percent 2 2 2 76 3 5" xfId="29425"/>
    <cellStyle name="Percent 2 2 2 76 4" xfId="8567"/>
    <cellStyle name="Percent 2 2 2 76 5" xfId="21350"/>
    <cellStyle name="Percent 2 2 2 76 6" xfId="17127"/>
    <cellStyle name="Percent 2 2 2 76 7" xfId="30610"/>
    <cellStyle name="Percent 2 2 2 77" xfId="1820"/>
    <cellStyle name="Percent 2 2 2 77 2" xfId="4262"/>
    <cellStyle name="Percent 2 2 2 77 2 2" xfId="11032"/>
    <cellStyle name="Percent 2 2 2 77 2 3" xfId="23722"/>
    <cellStyle name="Percent 2 2 2 77 2 4" xfId="14083"/>
    <cellStyle name="Percent 2 2 2 77 2 5" xfId="31012"/>
    <cellStyle name="Percent 2 2 2 77 3" xfId="6188"/>
    <cellStyle name="Percent 2 2 2 77 3 2" xfId="12958"/>
    <cellStyle name="Percent 2 2 2 77 3 3" xfId="25648"/>
    <cellStyle name="Percent 2 2 2 77 3 4" xfId="18819"/>
    <cellStyle name="Percent 2 2 2 77 3 5" xfId="28487"/>
    <cellStyle name="Percent 2 2 2 77 4" xfId="8590"/>
    <cellStyle name="Percent 2 2 2 77 5" xfId="21370"/>
    <cellStyle name="Percent 2 2 2 77 6" xfId="18931"/>
    <cellStyle name="Percent 2 2 2 77 7" xfId="29360"/>
    <cellStyle name="Percent 2 2 2 78" xfId="1843"/>
    <cellStyle name="Percent 2 2 2 78 2" xfId="4284"/>
    <cellStyle name="Percent 2 2 2 78 2 2" xfId="11054"/>
    <cellStyle name="Percent 2 2 2 78 2 3" xfId="23744"/>
    <cellStyle name="Percent 2 2 2 78 2 4" xfId="18339"/>
    <cellStyle name="Percent 2 2 2 78 2 5" xfId="29782"/>
    <cellStyle name="Percent 2 2 2 78 3" xfId="6208"/>
    <cellStyle name="Percent 2 2 2 78 3 2" xfId="12978"/>
    <cellStyle name="Percent 2 2 2 78 3 3" xfId="25668"/>
    <cellStyle name="Percent 2 2 2 78 3 4" xfId="14361"/>
    <cellStyle name="Percent 2 2 2 78 3 5" xfId="27281"/>
    <cellStyle name="Percent 2 2 2 78 4" xfId="8613"/>
    <cellStyle name="Percent 2 2 2 78 5" xfId="21390"/>
    <cellStyle name="Percent 2 2 2 78 6" xfId="13670"/>
    <cellStyle name="Percent 2 2 2 78 7" xfId="32293"/>
    <cellStyle name="Percent 2 2 2 79" xfId="1866"/>
    <cellStyle name="Percent 2 2 2 79 2" xfId="4306"/>
    <cellStyle name="Percent 2 2 2 79 2 2" xfId="11076"/>
    <cellStyle name="Percent 2 2 2 79 2 3" xfId="23766"/>
    <cellStyle name="Percent 2 2 2 79 2 4" xfId="15932"/>
    <cellStyle name="Percent 2 2 2 79 2 5" xfId="30851"/>
    <cellStyle name="Percent 2 2 2 79 3" xfId="6228"/>
    <cellStyle name="Percent 2 2 2 79 3 2" xfId="12998"/>
    <cellStyle name="Percent 2 2 2 79 3 3" xfId="25688"/>
    <cellStyle name="Percent 2 2 2 79 3 4" xfId="16581"/>
    <cellStyle name="Percent 2 2 2 79 3 5" xfId="29337"/>
    <cellStyle name="Percent 2 2 2 79 4" xfId="8636"/>
    <cellStyle name="Percent 2 2 2 79 5" xfId="21410"/>
    <cellStyle name="Percent 2 2 2 79 6" xfId="16666"/>
    <cellStyle name="Percent 2 2 2 79 7" xfId="26344"/>
    <cellStyle name="Percent 2 2 2 8" xfId="241"/>
    <cellStyle name="Percent 2 2 2 8 2" xfId="2719"/>
    <cellStyle name="Percent 2 2 2 8 2 2" xfId="9489"/>
    <cellStyle name="Percent 2 2 2 8 2 3" xfId="22179"/>
    <cellStyle name="Percent 2 2 2 8 2 4" xfId="13872"/>
    <cellStyle name="Percent 2 2 2 8 2 5" xfId="31270"/>
    <cellStyle name="Percent 2 2 2 8 3" xfId="2513"/>
    <cellStyle name="Percent 2 2 2 8 3 2" xfId="9283"/>
    <cellStyle name="Percent 2 2 2 8 3 3" xfId="21973"/>
    <cellStyle name="Percent 2 2 2 8 3 4" xfId="14420"/>
    <cellStyle name="Percent 2 2 2 8 3 5" xfId="29954"/>
    <cellStyle name="Percent 2 2 2 8 4" xfId="7011"/>
    <cellStyle name="Percent 2 2 2 8 5" xfId="13555"/>
    <cellStyle name="Percent 2 2 2 8 6" xfId="16381"/>
    <cellStyle name="Percent 2 2 2 8 7" xfId="27535"/>
    <cellStyle name="Percent 2 2 2 80" xfId="1889"/>
    <cellStyle name="Percent 2 2 2 80 2" xfId="4328"/>
    <cellStyle name="Percent 2 2 2 80 2 2" xfId="11098"/>
    <cellStyle name="Percent 2 2 2 80 2 3" xfId="23788"/>
    <cellStyle name="Percent 2 2 2 80 2 4" xfId="15760"/>
    <cellStyle name="Percent 2 2 2 80 2 5" xfId="32356"/>
    <cellStyle name="Percent 2 2 2 80 3" xfId="6248"/>
    <cellStyle name="Percent 2 2 2 80 3 2" xfId="13018"/>
    <cellStyle name="Percent 2 2 2 80 3 3" xfId="25708"/>
    <cellStyle name="Percent 2 2 2 80 3 4" xfId="18468"/>
    <cellStyle name="Percent 2 2 2 80 3 5" xfId="27530"/>
    <cellStyle name="Percent 2 2 2 80 4" xfId="8659"/>
    <cellStyle name="Percent 2 2 2 80 5" xfId="21430"/>
    <cellStyle name="Percent 2 2 2 80 6" xfId="18523"/>
    <cellStyle name="Percent 2 2 2 80 7" xfId="30164"/>
    <cellStyle name="Percent 2 2 2 81" xfId="1912"/>
    <cellStyle name="Percent 2 2 2 81 2" xfId="4350"/>
    <cellStyle name="Percent 2 2 2 81 2 2" xfId="11120"/>
    <cellStyle name="Percent 2 2 2 81 2 3" xfId="23810"/>
    <cellStyle name="Percent 2 2 2 81 2 4" xfId="19847"/>
    <cellStyle name="Percent 2 2 2 81 2 5" xfId="30261"/>
    <cellStyle name="Percent 2 2 2 81 3" xfId="6268"/>
    <cellStyle name="Percent 2 2 2 81 3 2" xfId="13038"/>
    <cellStyle name="Percent 2 2 2 81 3 3" xfId="25728"/>
    <cellStyle name="Percent 2 2 2 81 3 4" xfId="8877"/>
    <cellStyle name="Percent 2 2 2 81 3 5" xfId="27197"/>
    <cellStyle name="Percent 2 2 2 81 4" xfId="8682"/>
    <cellStyle name="Percent 2 2 2 81 5" xfId="21450"/>
    <cellStyle name="Percent 2 2 2 81 6" xfId="13999"/>
    <cellStyle name="Percent 2 2 2 81 7" xfId="28314"/>
    <cellStyle name="Percent 2 2 2 82" xfId="1934"/>
    <cellStyle name="Percent 2 2 2 82 2" xfId="4371"/>
    <cellStyle name="Percent 2 2 2 82 2 2" xfId="11141"/>
    <cellStyle name="Percent 2 2 2 82 2 3" xfId="23831"/>
    <cellStyle name="Percent 2 2 2 82 2 4" xfId="19742"/>
    <cellStyle name="Percent 2 2 2 82 2 5" xfId="29329"/>
    <cellStyle name="Percent 2 2 2 82 3" xfId="6287"/>
    <cellStyle name="Percent 2 2 2 82 3 2" xfId="13057"/>
    <cellStyle name="Percent 2 2 2 82 3 3" xfId="25747"/>
    <cellStyle name="Percent 2 2 2 82 3 4" xfId="8489"/>
    <cellStyle name="Percent 2 2 2 82 3 5" xfId="32228"/>
    <cellStyle name="Percent 2 2 2 82 4" xfId="8704"/>
    <cellStyle name="Percent 2 2 2 82 5" xfId="21469"/>
    <cellStyle name="Percent 2 2 2 82 6" xfId="16457"/>
    <cellStyle name="Percent 2 2 2 82 7" xfId="27810"/>
    <cellStyle name="Percent 2 2 2 83" xfId="1956"/>
    <cellStyle name="Percent 2 2 2 83 2" xfId="4393"/>
    <cellStyle name="Percent 2 2 2 83 2 2" xfId="11163"/>
    <cellStyle name="Percent 2 2 2 83 2 3" xfId="23853"/>
    <cellStyle name="Percent 2 2 2 83 2 4" xfId="17728"/>
    <cellStyle name="Percent 2 2 2 83 2 5" xfId="27217"/>
    <cellStyle name="Percent 2 2 2 83 3" xfId="6306"/>
    <cellStyle name="Percent 2 2 2 83 3 2" xfId="13076"/>
    <cellStyle name="Percent 2 2 2 83 3 3" xfId="25766"/>
    <cellStyle name="Percent 2 2 2 83 3 4" xfId="8101"/>
    <cellStyle name="Percent 2 2 2 83 3 5" xfId="29234"/>
    <cellStyle name="Percent 2 2 2 83 4" xfId="8726"/>
    <cellStyle name="Percent 2 2 2 83 5" xfId="21488"/>
    <cellStyle name="Percent 2 2 2 83 6" xfId="18192"/>
    <cellStyle name="Percent 2 2 2 83 7" xfId="27073"/>
    <cellStyle name="Percent 2 2 2 84" xfId="1979"/>
    <cellStyle name="Percent 2 2 2 84 2" xfId="4415"/>
    <cellStyle name="Percent 2 2 2 84 2 2" xfId="11185"/>
    <cellStyle name="Percent 2 2 2 84 2 3" xfId="23875"/>
    <cellStyle name="Percent 2 2 2 84 2 4" xfId="15217"/>
    <cellStyle name="Percent 2 2 2 84 2 5" xfId="28356"/>
    <cellStyle name="Percent 2 2 2 84 3" xfId="6326"/>
    <cellStyle name="Percent 2 2 2 84 3 2" xfId="13096"/>
    <cellStyle name="Percent 2 2 2 84 3 3" xfId="25786"/>
    <cellStyle name="Percent 2 2 2 84 3 4" xfId="7669"/>
    <cellStyle name="Percent 2 2 2 84 3 5" xfId="28288"/>
    <cellStyle name="Percent 2 2 2 84 4" xfId="8749"/>
    <cellStyle name="Percent 2 2 2 84 5" xfId="21508"/>
    <cellStyle name="Percent 2 2 2 84 6" xfId="18291"/>
    <cellStyle name="Percent 2 2 2 84 7" xfId="30038"/>
    <cellStyle name="Percent 2 2 2 85" xfId="2002"/>
    <cellStyle name="Percent 2 2 2 85 2" xfId="4438"/>
    <cellStyle name="Percent 2 2 2 85 2 2" xfId="11208"/>
    <cellStyle name="Percent 2 2 2 85 2 3" xfId="23898"/>
    <cellStyle name="Percent 2 2 2 85 2 4" xfId="17447"/>
    <cellStyle name="Percent 2 2 2 85 2 5" xfId="31290"/>
    <cellStyle name="Percent 2 2 2 85 3" xfId="6346"/>
    <cellStyle name="Percent 2 2 2 85 3 2" xfId="13116"/>
    <cellStyle name="Percent 2 2 2 85 3 3" xfId="25806"/>
    <cellStyle name="Percent 2 2 2 85 3 4" xfId="7256"/>
    <cellStyle name="Percent 2 2 2 85 3 5" xfId="27078"/>
    <cellStyle name="Percent 2 2 2 85 4" xfId="8772"/>
    <cellStyle name="Percent 2 2 2 85 5" xfId="21528"/>
    <cellStyle name="Percent 2 2 2 85 6" xfId="13762"/>
    <cellStyle name="Percent 2 2 2 85 7" xfId="27477"/>
    <cellStyle name="Percent 2 2 2 86" xfId="2024"/>
    <cellStyle name="Percent 2 2 2 86 2" xfId="4459"/>
    <cellStyle name="Percent 2 2 2 86 2 2" xfId="11229"/>
    <cellStyle name="Percent 2 2 2 86 2 3" xfId="23919"/>
    <cellStyle name="Percent 2 2 2 86 2 4" xfId="17296"/>
    <cellStyle name="Percent 2 2 2 86 2 5" xfId="27122"/>
    <cellStyle name="Percent 2 2 2 86 3" xfId="6365"/>
    <cellStyle name="Percent 2 2 2 86 3 2" xfId="13135"/>
    <cellStyle name="Percent 2 2 2 86 3 3" xfId="25825"/>
    <cellStyle name="Percent 2 2 2 86 3 4" xfId="8997"/>
    <cellStyle name="Percent 2 2 2 86 3 5" xfId="32116"/>
    <cellStyle name="Percent 2 2 2 86 4" xfId="8794"/>
    <cellStyle name="Percent 2 2 2 86 5" xfId="21547"/>
    <cellStyle name="Percent 2 2 2 86 6" xfId="19959"/>
    <cellStyle name="Percent 2 2 2 86 7" xfId="29083"/>
    <cellStyle name="Percent 2 2 2 87" xfId="2047"/>
    <cellStyle name="Percent 2 2 2 87 2" xfId="4481"/>
    <cellStyle name="Percent 2 2 2 87 2 2" xfId="11251"/>
    <cellStyle name="Percent 2 2 2 87 2 3" xfId="23941"/>
    <cellStyle name="Percent 2 2 2 87 2 4" xfId="14787"/>
    <cellStyle name="Percent 2 2 2 87 2 5" xfId="28261"/>
    <cellStyle name="Percent 2 2 2 87 3" xfId="6385"/>
    <cellStyle name="Percent 2 2 2 87 3 2" xfId="13155"/>
    <cellStyle name="Percent 2 2 2 87 3 3" xfId="25845"/>
    <cellStyle name="Percent 2 2 2 87 3 4" xfId="18289"/>
    <cellStyle name="Percent 2 2 2 87 3 5" xfId="31166"/>
    <cellStyle name="Percent 2 2 2 87 4" xfId="8817"/>
    <cellStyle name="Percent 2 2 2 87 5" xfId="21567"/>
    <cellStyle name="Percent 2 2 2 87 6" xfId="13875"/>
    <cellStyle name="Percent 2 2 2 87 7" xfId="32012"/>
    <cellStyle name="Percent 2 2 2 88" xfId="2070"/>
    <cellStyle name="Percent 2 2 2 88 2" xfId="4503"/>
    <cellStyle name="Percent 2 2 2 88 2 2" xfId="11273"/>
    <cellStyle name="Percent 2 2 2 88 2 3" xfId="23963"/>
    <cellStyle name="Percent 2 2 2 88 2 4" xfId="18964"/>
    <cellStyle name="Percent 2 2 2 88 2 5" xfId="29151"/>
    <cellStyle name="Percent 2 2 2 88 3" xfId="6405"/>
    <cellStyle name="Percent 2 2 2 88 3 2" xfId="13175"/>
    <cellStyle name="Percent 2 2 2 88 3 3" xfId="25865"/>
    <cellStyle name="Percent 2 2 2 88 3 4" xfId="15844"/>
    <cellStyle name="Percent 2 2 2 88 3 5" xfId="29998"/>
    <cellStyle name="Percent 2 2 2 88 4" xfId="8840"/>
    <cellStyle name="Percent 2 2 2 88 5" xfId="21587"/>
    <cellStyle name="Percent 2 2 2 88 6" xfId="16115"/>
    <cellStyle name="Percent 2 2 2 88 7" xfId="26892"/>
    <cellStyle name="Percent 2 2 2 89" xfId="2093"/>
    <cellStyle name="Percent 2 2 2 89 2" xfId="4524"/>
    <cellStyle name="Percent 2 2 2 89 2 2" xfId="11294"/>
    <cellStyle name="Percent 2 2 2 89 2 3" xfId="23984"/>
    <cellStyle name="Percent 2 2 2 89 2 4" xfId="18830"/>
    <cellStyle name="Percent 2 2 2 89 2 5" xfId="30025"/>
    <cellStyle name="Percent 2 2 2 89 3" xfId="6425"/>
    <cellStyle name="Percent 2 2 2 89 3 2" xfId="13195"/>
    <cellStyle name="Percent 2 2 2 89 3 3" xfId="25885"/>
    <cellStyle name="Percent 2 2 2 89 3 4" xfId="18092"/>
    <cellStyle name="Percent 2 2 2 89 3 5" xfId="32035"/>
    <cellStyle name="Percent 2 2 2 89 4" xfId="8863"/>
    <cellStyle name="Percent 2 2 2 89 5" xfId="21607"/>
    <cellStyle name="Percent 2 2 2 89 6" xfId="19941"/>
    <cellStyle name="Percent 2 2 2 89 7" xfId="29878"/>
    <cellStyle name="Percent 2 2 2 9" xfId="256"/>
    <cellStyle name="Percent 2 2 2 9 2" xfId="2734"/>
    <cellStyle name="Percent 2 2 2 9 2 2" xfId="9504"/>
    <cellStyle name="Percent 2 2 2 9 2 3" xfId="22194"/>
    <cellStyle name="Percent 2 2 2 9 2 4" xfId="13761"/>
    <cellStyle name="Percent 2 2 2 9 2 5" xfId="27759"/>
    <cellStyle name="Percent 2 2 2 9 3" xfId="4429"/>
    <cellStyle name="Percent 2 2 2 9 3 2" xfId="11199"/>
    <cellStyle name="Percent 2 2 2 9 3 3" xfId="23889"/>
    <cellStyle name="Percent 2 2 2 9 3 4" xfId="17490"/>
    <cellStyle name="Percent 2 2 2 9 3 5" xfId="27161"/>
    <cellStyle name="Percent 2 2 2 9 4" xfId="7026"/>
    <cellStyle name="Percent 2 2 2 9 5" xfId="13716"/>
    <cellStyle name="Percent 2 2 2 9 6" xfId="18055"/>
    <cellStyle name="Percent 2 2 2 9 7" xfId="32269"/>
    <cellStyle name="Percent 2 2 2 90" xfId="2116"/>
    <cellStyle name="Percent 2 2 2 90 2" xfId="4546"/>
    <cellStyle name="Percent 2 2 2 90 2 2" xfId="11316"/>
    <cellStyle name="Percent 2 2 2 90 2 3" xfId="24006"/>
    <cellStyle name="Percent 2 2 2 90 2 4" xfId="16724"/>
    <cellStyle name="Percent 2 2 2 90 2 5" xfId="31124"/>
    <cellStyle name="Percent 2 2 2 90 3" xfId="6445"/>
    <cellStyle name="Percent 2 2 2 90 3 2" xfId="13215"/>
    <cellStyle name="Percent 2 2 2 90 3 3" xfId="25905"/>
    <cellStyle name="Percent 2 2 2 90 3 4" xfId="15609"/>
    <cellStyle name="Percent 2 2 2 90 3 5" xfId="30460"/>
    <cellStyle name="Percent 2 2 2 90 4" xfId="8886"/>
    <cellStyle name="Percent 2 2 2 90 5" xfId="21627"/>
    <cellStyle name="Percent 2 2 2 90 6" xfId="13988"/>
    <cellStyle name="Percent 2 2 2 90 7" xfId="27989"/>
    <cellStyle name="Percent 2 2 2 91" xfId="2138"/>
    <cellStyle name="Percent 2 2 2 91 2" xfId="4566"/>
    <cellStyle name="Percent 2 2 2 91 2 2" xfId="11336"/>
    <cellStyle name="Percent 2 2 2 91 2 3" xfId="24026"/>
    <cellStyle name="Percent 2 2 2 91 2 4" xfId="17810"/>
    <cellStyle name="Percent 2 2 2 91 2 5" xfId="29961"/>
    <cellStyle name="Percent 2 2 2 91 3" xfId="6464"/>
    <cellStyle name="Percent 2 2 2 91 3 2" xfId="13234"/>
    <cellStyle name="Percent 2 2 2 91 3 3" xfId="25924"/>
    <cellStyle name="Percent 2 2 2 91 3 4" xfId="19755"/>
    <cellStyle name="Percent 2 2 2 91 3 5" xfId="28073"/>
    <cellStyle name="Percent 2 2 2 91 4" xfId="8908"/>
    <cellStyle name="Percent 2 2 2 91 5" xfId="21646"/>
    <cellStyle name="Percent 2 2 2 91 6" xfId="15596"/>
    <cellStyle name="Percent 2 2 2 91 7" xfId="28924"/>
    <cellStyle name="Percent 2 2 2 92" xfId="2158"/>
    <cellStyle name="Percent 2 2 2 92 2" xfId="4585"/>
    <cellStyle name="Percent 2 2 2 92 2 2" xfId="11355"/>
    <cellStyle name="Percent 2 2 2 92 2 3" xfId="24045"/>
    <cellStyle name="Percent 2 2 2 92 2 4" xfId="16460"/>
    <cellStyle name="Percent 2 2 2 92 2 5" xfId="26327"/>
    <cellStyle name="Percent 2 2 2 92 3" xfId="6482"/>
    <cellStyle name="Percent 2 2 2 92 3 2" xfId="13252"/>
    <cellStyle name="Percent 2 2 2 92 3 3" xfId="25942"/>
    <cellStyle name="Percent 2 2 2 92 3 4" xfId="19643"/>
    <cellStyle name="Percent 2 2 2 92 3 5" xfId="28040"/>
    <cellStyle name="Percent 2 2 2 92 4" xfId="8928"/>
    <cellStyle name="Percent 2 2 2 92 5" xfId="21664"/>
    <cellStyle name="Percent 2 2 2 92 6" xfId="17846"/>
    <cellStyle name="Percent 2 2 2 92 7" xfId="27925"/>
    <cellStyle name="Percent 2 2 2 93" xfId="2176"/>
    <cellStyle name="Percent 2 2 2 93 2" xfId="4602"/>
    <cellStyle name="Percent 2 2 2 93 2 2" xfId="11372"/>
    <cellStyle name="Percent 2 2 2 93 2 3" xfId="24062"/>
    <cellStyle name="Percent 2 2 2 93 2 4" xfId="18378"/>
    <cellStyle name="Percent 2 2 2 93 2 5" xfId="29913"/>
    <cellStyle name="Percent 2 2 2 93 3" xfId="6498"/>
    <cellStyle name="Percent 2 2 2 93 3 2" xfId="13268"/>
    <cellStyle name="Percent 2 2 2 93 3 3" xfId="25958"/>
    <cellStyle name="Percent 2 2 2 93 3 4" xfId="17678"/>
    <cellStyle name="Percent 2 2 2 93 3 5" xfId="28965"/>
    <cellStyle name="Percent 2 2 2 93 4" xfId="8946"/>
    <cellStyle name="Percent 2 2 2 93 5" xfId="21680"/>
    <cellStyle name="Percent 2 2 2 93 6" xfId="17739"/>
    <cellStyle name="Percent 2 2 2 93 7" xfId="27894"/>
    <cellStyle name="Percent 2 2 2 94" xfId="2186"/>
    <cellStyle name="Percent 2 2 2 94 2" xfId="4612"/>
    <cellStyle name="Percent 2 2 2 94 2 2" xfId="11382"/>
    <cellStyle name="Percent 2 2 2 94 2 3" xfId="24072"/>
    <cellStyle name="Percent 2 2 2 94 2 4" xfId="16281"/>
    <cellStyle name="Percent 2 2 2 94 2 5" xfId="31018"/>
    <cellStyle name="Percent 2 2 2 94 3" xfId="6508"/>
    <cellStyle name="Percent 2 2 2 94 3 2" xfId="13278"/>
    <cellStyle name="Percent 2 2 2 94 3 3" xfId="25968"/>
    <cellStyle name="Percent 2 2 2 94 3 4" xfId="15231"/>
    <cellStyle name="Percent 2 2 2 94 3 5" xfId="26326"/>
    <cellStyle name="Percent 2 2 2 94 4" xfId="8956"/>
    <cellStyle name="Percent 2 2 2 94 5" xfId="21690"/>
    <cellStyle name="Percent 2 2 2 94 6" xfId="15290"/>
    <cellStyle name="Percent 2 2 2 94 7" xfId="28844"/>
    <cellStyle name="Percent 2 2 2 95" xfId="2208"/>
    <cellStyle name="Percent 2 2 2 95 2" xfId="4633"/>
    <cellStyle name="Percent 2 2 2 95 2 2" xfId="11403"/>
    <cellStyle name="Percent 2 2 2 95 2 3" xfId="24093"/>
    <cellStyle name="Percent 2 2 2 95 2 4" xfId="18261"/>
    <cellStyle name="Percent 2 2 2 95 2 5" xfId="26834"/>
    <cellStyle name="Percent 2 2 2 95 3" xfId="6527"/>
    <cellStyle name="Percent 2 2 2 95 3 2" xfId="13297"/>
    <cellStyle name="Percent 2 2 2 95 3 3" xfId="25987"/>
    <cellStyle name="Percent 2 2 2 95 3 4" xfId="18177"/>
    <cellStyle name="Percent 2 2 2 95 3 5" xfId="31897"/>
    <cellStyle name="Percent 2 2 2 95 4" xfId="8978"/>
    <cellStyle name="Percent 2 2 2 95 5" xfId="21709"/>
    <cellStyle name="Percent 2 2 2 95 6" xfId="19423"/>
    <cellStyle name="Percent 2 2 2 95 7" xfId="26677"/>
    <cellStyle name="Percent 2 2 2 96" xfId="2253"/>
    <cellStyle name="Percent 2 2 2 96 2" xfId="4675"/>
    <cellStyle name="Percent 2 2 2 96 2 2" xfId="11445"/>
    <cellStyle name="Percent 2 2 2 96 2 3" xfId="24135"/>
    <cellStyle name="Percent 2 2 2 96 2 4" xfId="17852"/>
    <cellStyle name="Percent 2 2 2 96 2 5" xfId="26774"/>
    <cellStyle name="Percent 2 2 2 96 3" xfId="6562"/>
    <cellStyle name="Percent 2 2 2 96 3 2" xfId="13332"/>
    <cellStyle name="Percent 2 2 2 96 3 3" xfId="26022"/>
    <cellStyle name="Percent 2 2 2 96 3 4" xfId="14891"/>
    <cellStyle name="Percent 2 2 2 96 3 5" xfId="26737"/>
    <cellStyle name="Percent 2 2 2 96 4" xfId="9023"/>
    <cellStyle name="Percent 2 2 2 96 5" xfId="21744"/>
    <cellStyle name="Percent 2 2 2 96 6" xfId="19152"/>
    <cellStyle name="Percent 2 2 2 96 7" xfId="30727"/>
    <cellStyle name="Percent 2 2 2 97" xfId="2275"/>
    <cellStyle name="Percent 2 2 2 97 2" xfId="4696"/>
    <cellStyle name="Percent 2 2 2 97 2 2" xfId="11466"/>
    <cellStyle name="Percent 2 2 2 97 2 3" xfId="24156"/>
    <cellStyle name="Percent 2 2 2 97 2 4" xfId="18019"/>
    <cellStyle name="Percent 2 2 2 97 2 5" xfId="30878"/>
    <cellStyle name="Percent 2 2 2 97 3" xfId="6581"/>
    <cellStyle name="Percent 2 2 2 97 3 2" xfId="13351"/>
    <cellStyle name="Percent 2 2 2 97 3 3" xfId="26041"/>
    <cellStyle name="Percent 2 2 2 97 3 4" xfId="19058"/>
    <cellStyle name="Percent 2 2 2 97 3 5" xfId="31822"/>
    <cellStyle name="Percent 2 2 2 97 4" xfId="9045"/>
    <cellStyle name="Percent 2 2 2 97 5" xfId="21763"/>
    <cellStyle name="Percent 2 2 2 97 6" xfId="17088"/>
    <cellStyle name="Percent 2 2 2 97 7" xfId="32349"/>
    <cellStyle name="Percent 2 2 2 98" xfId="2297"/>
    <cellStyle name="Percent 2 2 2 98 2" xfId="4718"/>
    <cellStyle name="Percent 2 2 2 98 2 2" xfId="11488"/>
    <cellStyle name="Percent 2 2 2 98 2 3" xfId="24178"/>
    <cellStyle name="Percent 2 2 2 98 2 4" xfId="15510"/>
    <cellStyle name="Percent 2 2 2 98 2 5" xfId="31298"/>
    <cellStyle name="Percent 2 2 2 98 3" xfId="6600"/>
    <cellStyle name="Percent 2 2 2 98 3 2" xfId="13370"/>
    <cellStyle name="Percent 2 2 2 98 3 3" xfId="26060"/>
    <cellStyle name="Percent 2 2 2 98 3 4" xfId="17004"/>
    <cellStyle name="Percent 2 2 2 98 3 5" xfId="28816"/>
    <cellStyle name="Percent 2 2 2 98 4" xfId="9067"/>
    <cellStyle name="Percent 2 2 2 98 5" xfId="21782"/>
    <cellStyle name="Percent 2 2 2 98 6" xfId="14578"/>
    <cellStyle name="Percent 2 2 2 98 7" xfId="30247"/>
    <cellStyle name="Percent 2 2 2 99" xfId="2319"/>
    <cellStyle name="Percent 2 2 2 99 2" xfId="4740"/>
    <cellStyle name="Percent 2 2 2 99 2 2" xfId="11510"/>
    <cellStyle name="Percent 2 2 2 99 2 3" xfId="24200"/>
    <cellStyle name="Percent 2 2 2 99 2 4" xfId="19611"/>
    <cellStyle name="Percent 2 2 2 99 2 5" xfId="29708"/>
    <cellStyle name="Percent 2 2 2 99 3" xfId="6619"/>
    <cellStyle name="Percent 2 2 2 99 3 2" xfId="13389"/>
    <cellStyle name="Percent 2 2 2 99 3 3" xfId="26079"/>
    <cellStyle name="Percent 2 2 2 99 3 4" xfId="14494"/>
    <cellStyle name="Percent 2 2 2 99 3 5" xfId="30776"/>
    <cellStyle name="Percent 2 2 2 99 4" xfId="9089"/>
    <cellStyle name="Percent 2 2 2 99 5" xfId="21801"/>
    <cellStyle name="Percent 2 2 2 99 6" xfId="18762"/>
    <cellStyle name="Percent 2 2 2 99 7" xfId="31378"/>
    <cellStyle name="Percent 2 2 20" xfId="464"/>
    <cellStyle name="Percent 2 2 20 2" xfId="2939"/>
    <cellStyle name="Percent 2 2 20 2 2" xfId="9709"/>
    <cellStyle name="Percent 2 2 20 2 3" xfId="22399"/>
    <cellStyle name="Percent 2 2 20 2 4" xfId="8227"/>
    <cellStyle name="Percent 2 2 20 2 5" xfId="29564"/>
    <cellStyle name="Percent 2 2 20 3" xfId="5009"/>
    <cellStyle name="Percent 2 2 20 3 2" xfId="11779"/>
    <cellStyle name="Percent 2 2 20 3 3" xfId="24469"/>
    <cellStyle name="Percent 2 2 20 3 4" xfId="6805"/>
    <cellStyle name="Percent 2 2 20 3 5" xfId="27785"/>
    <cellStyle name="Percent 2 2 20 4" xfId="7234"/>
    <cellStyle name="Percent 2 2 20 5" xfId="20191"/>
    <cellStyle name="Percent 2 2 20 6" xfId="14325"/>
    <cellStyle name="Percent 2 2 20 7" xfId="29910"/>
    <cellStyle name="Percent 2 2 21" xfId="487"/>
    <cellStyle name="Percent 2 2 21 2" xfId="2962"/>
    <cellStyle name="Percent 2 2 21 2 2" xfId="9732"/>
    <cellStyle name="Percent 2 2 21 2 3" xfId="22422"/>
    <cellStyle name="Percent 2 2 21 2 4" xfId="7746"/>
    <cellStyle name="Percent 2 2 21 2 5" xfId="27641"/>
    <cellStyle name="Percent 2 2 21 3" xfId="5029"/>
    <cellStyle name="Percent 2 2 21 3 2" xfId="11799"/>
    <cellStyle name="Percent 2 2 21 3 3" xfId="24489"/>
    <cellStyle name="Percent 2 2 21 3 4" xfId="18014"/>
    <cellStyle name="Percent 2 2 21 3 5" xfId="26576"/>
    <cellStyle name="Percent 2 2 21 4" xfId="7257"/>
    <cellStyle name="Percent 2 2 21 5" xfId="20211"/>
    <cellStyle name="Percent 2 2 21 6" xfId="16543"/>
    <cellStyle name="Percent 2 2 21 7" xfId="28026"/>
    <cellStyle name="Percent 2 2 22" xfId="510"/>
    <cellStyle name="Percent 2 2 22 2" xfId="2985"/>
    <cellStyle name="Percent 2 2 22 2 2" xfId="9755"/>
    <cellStyle name="Percent 2 2 22 2 3" xfId="22445"/>
    <cellStyle name="Percent 2 2 22 2 4" xfId="7267"/>
    <cellStyle name="Percent 2 2 22 2 5" xfId="31444"/>
    <cellStyle name="Percent 2 2 22 3" xfId="5049"/>
    <cellStyle name="Percent 2 2 22 3 2" xfId="11819"/>
    <cellStyle name="Percent 2 2 22 3 3" xfId="24509"/>
    <cellStyle name="Percent 2 2 22 3 4" xfId="16181"/>
    <cellStyle name="Percent 2 2 22 3 5" xfId="31665"/>
    <cellStyle name="Percent 2 2 22 4" xfId="7280"/>
    <cellStyle name="Percent 2 2 22 5" xfId="20231"/>
    <cellStyle name="Percent 2 2 22 6" xfId="17935"/>
    <cellStyle name="Percent 2 2 22 7" xfId="30961"/>
    <cellStyle name="Percent 2 2 23" xfId="533"/>
    <cellStyle name="Percent 2 2 23 2" xfId="3007"/>
    <cellStyle name="Percent 2 2 23 2 2" xfId="9777"/>
    <cellStyle name="Percent 2 2 23 2 3" xfId="22467"/>
    <cellStyle name="Percent 2 2 23 2 4" xfId="6827"/>
    <cellStyle name="Percent 2 2 23 2 5" xfId="32316"/>
    <cellStyle name="Percent 2 2 23 3" xfId="5069"/>
    <cellStyle name="Percent 2 2 23 3 2" xfId="11839"/>
    <cellStyle name="Percent 2 2 23 3 3" xfId="24529"/>
    <cellStyle name="Percent 2 2 23 3 4" xfId="15320"/>
    <cellStyle name="Percent 2 2 23 3 5" xfId="30633"/>
    <cellStyle name="Percent 2 2 23 4" xfId="7303"/>
    <cellStyle name="Percent 2 2 23 5" xfId="20251"/>
    <cellStyle name="Percent 2 2 23 6" xfId="13857"/>
    <cellStyle name="Percent 2 2 23 7" xfId="28917"/>
    <cellStyle name="Percent 2 2 24" xfId="556"/>
    <cellStyle name="Percent 2 2 24 2" xfId="3029"/>
    <cellStyle name="Percent 2 2 24 2 2" xfId="9799"/>
    <cellStyle name="Percent 2 2 24 2 3" xfId="22489"/>
    <cellStyle name="Percent 2 2 24 2 4" xfId="13637"/>
    <cellStyle name="Percent 2 2 24 2 5" xfId="27239"/>
    <cellStyle name="Percent 2 2 24 3" xfId="5089"/>
    <cellStyle name="Percent 2 2 24 3 2" xfId="11859"/>
    <cellStyle name="Percent 2 2 24 3 3" xfId="24549"/>
    <cellStyle name="Percent 2 2 24 3 4" xfId="17574"/>
    <cellStyle name="Percent 2 2 24 3 5" xfId="29512"/>
    <cellStyle name="Percent 2 2 24 4" xfId="7326"/>
    <cellStyle name="Percent 2 2 24 5" xfId="20271"/>
    <cellStyle name="Percent 2 2 24 6" xfId="18200"/>
    <cellStyle name="Percent 2 2 24 7" xfId="31849"/>
    <cellStyle name="Percent 2 2 25" xfId="579"/>
    <cellStyle name="Percent 2 2 25 2" xfId="3052"/>
    <cellStyle name="Percent 2 2 25 2 2" xfId="9822"/>
    <cellStyle name="Percent 2 2 25 2 3" xfId="22512"/>
    <cellStyle name="Percent 2 2 25 2 4" xfId="18034"/>
    <cellStyle name="Percent 2 2 25 2 5" xfId="28373"/>
    <cellStyle name="Percent 2 2 25 3" xfId="5110"/>
    <cellStyle name="Percent 2 2 25 3 2" xfId="11880"/>
    <cellStyle name="Percent 2 2 25 3 3" xfId="24570"/>
    <cellStyle name="Percent 2 2 25 3 4" xfId="17425"/>
    <cellStyle name="Percent 2 2 25 3 5" xfId="31558"/>
    <cellStyle name="Percent 2 2 25 4" xfId="7349"/>
    <cellStyle name="Percent 2 2 25 5" xfId="20292"/>
    <cellStyle name="Percent 2 2 25 6" xfId="18307"/>
    <cellStyle name="Percent 2 2 25 7" xfId="26713"/>
    <cellStyle name="Percent 2 2 26" xfId="600"/>
    <cellStyle name="Percent 2 2 26 2" xfId="3073"/>
    <cellStyle name="Percent 2 2 26 2 2" xfId="9843"/>
    <cellStyle name="Percent 2 2 26 2 3" xfId="22533"/>
    <cellStyle name="Percent 2 2 26 2 4" xfId="16131"/>
    <cellStyle name="Percent 2 2 26 2 5" xfId="32230"/>
    <cellStyle name="Percent 2 2 26 3" xfId="5128"/>
    <cellStyle name="Percent 2 2 26 3 2" xfId="11898"/>
    <cellStyle name="Percent 2 2 26 3 3" xfId="24588"/>
    <cellStyle name="Percent 2 2 26 3 4" xfId="17317"/>
    <cellStyle name="Percent 2 2 26 3 5" xfId="31095"/>
    <cellStyle name="Percent 2 2 26 4" xfId="7370"/>
    <cellStyle name="Percent 2 2 26 5" xfId="20310"/>
    <cellStyle name="Percent 2 2 26 6" xfId="16227"/>
    <cellStyle name="Percent 2 2 26 7" xfId="30808"/>
    <cellStyle name="Percent 2 2 27" xfId="612"/>
    <cellStyle name="Percent 2 2 27 2" xfId="3085"/>
    <cellStyle name="Percent 2 2 27 2 2" xfId="9855"/>
    <cellStyle name="Percent 2 2 27 2 3" xfId="22545"/>
    <cellStyle name="Percent 2 2 27 2 4" xfId="17828"/>
    <cellStyle name="Percent 2 2 27 2 5" xfId="32213"/>
    <cellStyle name="Percent 2 2 27 3" xfId="5138"/>
    <cellStyle name="Percent 2 2 27 3 2" xfId="11908"/>
    <cellStyle name="Percent 2 2 27 3 3" xfId="24598"/>
    <cellStyle name="Percent 2 2 27 3 4" xfId="14873"/>
    <cellStyle name="Percent 2 2 27 3 5" xfId="26292"/>
    <cellStyle name="Percent 2 2 27 4" xfId="7382"/>
    <cellStyle name="Percent 2 2 27 5" xfId="20320"/>
    <cellStyle name="Percent 2 2 27 6" xfId="19972"/>
    <cellStyle name="Percent 2 2 27 7" xfId="30786"/>
    <cellStyle name="Percent 2 2 28" xfId="648"/>
    <cellStyle name="Percent 2 2 28 2" xfId="3121"/>
    <cellStyle name="Percent 2 2 28 2 2" xfId="9891"/>
    <cellStyle name="Percent 2 2 28 2 3" xfId="22581"/>
    <cellStyle name="Percent 2 2 28 2 4" xfId="17590"/>
    <cellStyle name="Percent 2 2 28 2 5" xfId="32164"/>
    <cellStyle name="Percent 2 2 28 3" xfId="5170"/>
    <cellStyle name="Percent 2 2 28 3 2" xfId="11940"/>
    <cellStyle name="Percent 2 2 28 3 3" xfId="24630"/>
    <cellStyle name="Percent 2 2 28 3 4" xfId="17007"/>
    <cellStyle name="Percent 2 2 28 3 5" xfId="32419"/>
    <cellStyle name="Percent 2 2 28 4" xfId="7418"/>
    <cellStyle name="Percent 2 2 28 5" xfId="20352"/>
    <cellStyle name="Percent 2 2 28 6" xfId="19509"/>
    <cellStyle name="Percent 2 2 28 7" xfId="30731"/>
    <cellStyle name="Percent 2 2 29" xfId="669"/>
    <cellStyle name="Percent 2 2 29 2" xfId="3141"/>
    <cellStyle name="Percent 2 2 29 2 2" xfId="9911"/>
    <cellStyle name="Percent 2 2 29 2 3" xfId="22601"/>
    <cellStyle name="Percent 2 2 29 2 4" xfId="19368"/>
    <cellStyle name="Percent 2 2 29 2 5" xfId="31210"/>
    <cellStyle name="Percent 2 2 29 3" xfId="5188"/>
    <cellStyle name="Percent 2 2 29 3 2" xfId="11958"/>
    <cellStyle name="Percent 2 2 29 3 3" xfId="24648"/>
    <cellStyle name="Percent 2 2 29 3 4" xfId="16920"/>
    <cellStyle name="Percent 2 2 29 3 5" xfId="32396"/>
    <cellStyle name="Percent 2 2 29 4" xfId="7439"/>
    <cellStyle name="Percent 2 2 29 5" xfId="20370"/>
    <cellStyle name="Percent 2 2 29 6" xfId="15139"/>
    <cellStyle name="Percent 2 2 29 7" xfId="26554"/>
    <cellStyle name="Percent 2 2 3" xfId="61"/>
    <cellStyle name="Percent 2 2 3 2" xfId="2546"/>
    <cellStyle name="Percent 2 2 3 2 2" xfId="9316"/>
    <cellStyle name="Percent 2 2 3 2 3" xfId="22006"/>
    <cellStyle name="Percent 2 2 3 2 4" xfId="14235"/>
    <cellStyle name="Percent 2 2 3 2 5" xfId="29014"/>
    <cellStyle name="Percent 2 2 3 3" xfId="3704"/>
    <cellStyle name="Percent 2 2 3 3 2" xfId="10474"/>
    <cellStyle name="Percent 2 2 3 3 3" xfId="23164"/>
    <cellStyle name="Percent 2 2 3 3 4" xfId="15604"/>
    <cellStyle name="Percent 2 2 3 3 5" xfId="29441"/>
    <cellStyle name="Percent 2 2 3 4" xfId="6831"/>
    <cellStyle name="Percent 2 2 3 5" xfId="14779"/>
    <cellStyle name="Percent 2 2 3 6" xfId="17584"/>
    <cellStyle name="Percent 2 2 3 7" xfId="27848"/>
    <cellStyle name="Percent 2 2 30" xfId="690"/>
    <cellStyle name="Percent 2 2 30 2" xfId="3162"/>
    <cellStyle name="Percent 2 2 30 2 2" xfId="9932"/>
    <cellStyle name="Percent 2 2 30 2 3" xfId="22622"/>
    <cellStyle name="Percent 2 2 30 2 4" xfId="19231"/>
    <cellStyle name="Percent 2 2 30 2 5" xfId="26353"/>
    <cellStyle name="Percent 2 2 30 3" xfId="5207"/>
    <cellStyle name="Percent 2 2 30 3 2" xfId="11977"/>
    <cellStyle name="Percent 2 2 30 3 3" xfId="24667"/>
    <cellStyle name="Percent 2 2 30 3 4" xfId="14413"/>
    <cellStyle name="Percent 2 2 30 3 5" xfId="29403"/>
    <cellStyle name="Percent 2 2 30 4" xfId="7460"/>
    <cellStyle name="Percent 2 2 30 5" xfId="20389"/>
    <cellStyle name="Percent 2 2 30 6" xfId="6819"/>
    <cellStyle name="Percent 2 2 30 7" xfId="30648"/>
    <cellStyle name="Percent 2 2 31" xfId="714"/>
    <cellStyle name="Percent 2 2 31 2" xfId="3186"/>
    <cellStyle name="Percent 2 2 31 2 2" xfId="9956"/>
    <cellStyle name="Percent 2 2 31 2 3" xfId="22646"/>
    <cellStyle name="Percent 2 2 31 2 4" xfId="19096"/>
    <cellStyle name="Percent 2 2 31 2 5" xfId="27000"/>
    <cellStyle name="Percent 2 2 31 3" xfId="5227"/>
    <cellStyle name="Percent 2 2 31 3 2" xfId="11997"/>
    <cellStyle name="Percent 2 2 31 3 3" xfId="24687"/>
    <cellStyle name="Percent 2 2 31 3 4" xfId="16658"/>
    <cellStyle name="Percent 2 2 31 3 5" xfId="28460"/>
    <cellStyle name="Percent 2 2 31 4" xfId="7484"/>
    <cellStyle name="Percent 2 2 31 5" xfId="20409"/>
    <cellStyle name="Percent 2 2 31 6" xfId="17158"/>
    <cellStyle name="Percent 2 2 31 7" xfId="30612"/>
    <cellStyle name="Percent 2 2 32" xfId="736"/>
    <cellStyle name="Percent 2 2 32 2" xfId="3207"/>
    <cellStyle name="Percent 2 2 32 2 2" xfId="9977"/>
    <cellStyle name="Percent 2 2 32 2 3" xfId="22667"/>
    <cellStyle name="Percent 2 2 32 2 4" xfId="18976"/>
    <cellStyle name="Percent 2 2 32 2 5" xfId="31105"/>
    <cellStyle name="Percent 2 2 32 3" xfId="5246"/>
    <cellStyle name="Percent 2 2 32 3 2" xfId="12016"/>
    <cellStyle name="Percent 2 2 32 3 3" xfId="24706"/>
    <cellStyle name="Percent 2 2 32 3 4" xfId="13605"/>
    <cellStyle name="Percent 2 2 32 3 5" xfId="26319"/>
    <cellStyle name="Percent 2 2 32 4" xfId="7506"/>
    <cellStyle name="Percent 2 2 32 5" xfId="20428"/>
    <cellStyle name="Percent 2 2 32 6" xfId="17039"/>
    <cellStyle name="Percent 2 2 32 7" xfId="31573"/>
    <cellStyle name="Percent 2 2 33" xfId="760"/>
    <cellStyle name="Percent 2 2 33 2" xfId="3231"/>
    <cellStyle name="Percent 2 2 33 2 2" xfId="10001"/>
    <cellStyle name="Percent 2 2 33 2 3" xfId="22691"/>
    <cellStyle name="Percent 2 2 33 2 4" xfId="18823"/>
    <cellStyle name="Percent 2 2 33 2 5" xfId="30463"/>
    <cellStyle name="Percent 2 2 33 3" xfId="5267"/>
    <cellStyle name="Percent 2 2 33 3 2" xfId="12037"/>
    <cellStyle name="Percent 2 2 33 3 3" xfId="24727"/>
    <cellStyle name="Percent 2 2 33 3 4" xfId="14013"/>
    <cellStyle name="Percent 2 2 33 3 5" xfId="28394"/>
    <cellStyle name="Percent 2 2 33 4" xfId="7530"/>
    <cellStyle name="Percent 2 2 33 5" xfId="20449"/>
    <cellStyle name="Percent 2 2 33 6" xfId="14410"/>
    <cellStyle name="Percent 2 2 33 7" xfId="30520"/>
    <cellStyle name="Percent 2 2 34" xfId="785"/>
    <cellStyle name="Percent 2 2 34 2" xfId="3254"/>
    <cellStyle name="Percent 2 2 34 2 2" xfId="10024"/>
    <cellStyle name="Percent 2 2 34 2 3" xfId="22714"/>
    <cellStyle name="Percent 2 2 34 2 4" xfId="14343"/>
    <cellStyle name="Percent 2 2 34 2 5" xfId="29013"/>
    <cellStyle name="Percent 2 2 34 3" xfId="5288"/>
    <cellStyle name="Percent 2 2 34 3 2" xfId="12058"/>
    <cellStyle name="Percent 2 2 34 3 3" xfId="24748"/>
    <cellStyle name="Percent 2 2 34 3 4" xfId="13881"/>
    <cellStyle name="Percent 2 2 34 3 5" xfId="27039"/>
    <cellStyle name="Percent 2 2 34 4" xfId="7555"/>
    <cellStyle name="Percent 2 2 34 5" xfId="20470"/>
    <cellStyle name="Percent 2 2 34 6" xfId="16611"/>
    <cellStyle name="Percent 2 2 34 7" xfId="29460"/>
    <cellStyle name="Percent 2 2 35" xfId="808"/>
    <cellStyle name="Percent 2 2 35 2" xfId="3276"/>
    <cellStyle name="Percent 2 2 35 2 2" xfId="10046"/>
    <cellStyle name="Percent 2 2 35 2 3" xfId="22736"/>
    <cellStyle name="Percent 2 2 35 2 4" xfId="18568"/>
    <cellStyle name="Percent 2 2 35 2 5" xfId="26846"/>
    <cellStyle name="Percent 2 2 35 3" xfId="5308"/>
    <cellStyle name="Percent 2 2 35 3 2" xfId="12078"/>
    <cellStyle name="Percent 2 2 35 3 3" xfId="24768"/>
    <cellStyle name="Percent 2 2 35 3 4" xfId="13782"/>
    <cellStyle name="Percent 2 2 35 3 5" xfId="15770"/>
    <cellStyle name="Percent 2 2 35 4" xfId="7578"/>
    <cellStyle name="Percent 2 2 35 5" xfId="20490"/>
    <cellStyle name="Percent 2 2 35 6" xfId="19885"/>
    <cellStyle name="Percent 2 2 35 7" xfId="32391"/>
    <cellStyle name="Percent 2 2 36" xfId="831"/>
    <cellStyle name="Percent 2 2 36 2" xfId="3298"/>
    <cellStyle name="Percent 2 2 36 2 2" xfId="10068"/>
    <cellStyle name="Percent 2 2 36 2 3" xfId="22758"/>
    <cellStyle name="Percent 2 2 36 2 4" xfId="16408"/>
    <cellStyle name="Percent 2 2 36 2 5" xfId="27485"/>
    <cellStyle name="Percent 2 2 36 3" xfId="5328"/>
    <cellStyle name="Percent 2 2 36 3 2" xfId="12098"/>
    <cellStyle name="Percent 2 2 36 3 3" xfId="24788"/>
    <cellStyle name="Percent 2 2 36 3 4" xfId="19946"/>
    <cellStyle name="Percent 2 2 36 3 5" xfId="15744"/>
    <cellStyle name="Percent 2 2 36 4" xfId="7601"/>
    <cellStyle name="Percent 2 2 36 5" xfId="20510"/>
    <cellStyle name="Percent 2 2 36 6" xfId="15502"/>
    <cellStyle name="Percent 2 2 36 7" xfId="26456"/>
    <cellStyle name="Percent 2 2 37" xfId="854"/>
    <cellStyle name="Percent 2 2 37 2" xfId="3320"/>
    <cellStyle name="Percent 2 2 37 2 2" xfId="10090"/>
    <cellStyle name="Percent 2 2 37 2 3" xfId="22780"/>
    <cellStyle name="Percent 2 2 37 2 4" xfId="13898"/>
    <cellStyle name="Percent 2 2 37 2 5" xfId="28921"/>
    <cellStyle name="Percent 2 2 37 3" xfId="5348"/>
    <cellStyle name="Percent 2 2 37 3 2" xfId="12118"/>
    <cellStyle name="Percent 2 2 37 3 3" xfId="24808"/>
    <cellStyle name="Percent 2 2 37 3 4" xfId="18017"/>
    <cellStyle name="Percent 2 2 37 3 5" xfId="17353"/>
    <cellStyle name="Percent 2 2 37 4" xfId="7624"/>
    <cellStyle name="Percent 2 2 37 5" xfId="20530"/>
    <cellStyle name="Percent 2 2 37 6" xfId="17741"/>
    <cellStyle name="Percent 2 2 37 7" xfId="26528"/>
    <cellStyle name="Percent 2 2 38" xfId="877"/>
    <cellStyle name="Percent 2 2 38 2" xfId="3342"/>
    <cellStyle name="Percent 2 2 38 2 2" xfId="10112"/>
    <cellStyle name="Percent 2 2 38 2 3" xfId="22802"/>
    <cellStyle name="Percent 2 2 38 2 4" xfId="20067"/>
    <cellStyle name="Percent 2 2 38 2 5" xfId="26748"/>
    <cellStyle name="Percent 2 2 38 3" xfId="5368"/>
    <cellStyle name="Percent 2 2 38 3 2" xfId="12138"/>
    <cellStyle name="Percent 2 2 38 3 3" xfId="24828"/>
    <cellStyle name="Percent 2 2 38 3 4" xfId="19739"/>
    <cellStyle name="Percent 2 2 38 3 5" xfId="18728"/>
    <cellStyle name="Percent 2 2 38 4" xfId="7647"/>
    <cellStyle name="Percent 2 2 38 5" xfId="20550"/>
    <cellStyle name="Percent 2 2 38 6" xfId="19485"/>
    <cellStyle name="Percent 2 2 38 7" xfId="27417"/>
    <cellStyle name="Percent 2 2 39" xfId="900"/>
    <cellStyle name="Percent 2 2 39 2" xfId="3364"/>
    <cellStyle name="Percent 2 2 39 2 2" xfId="10134"/>
    <cellStyle name="Percent 2 2 39 2 3" xfId="22824"/>
    <cellStyle name="Percent 2 2 39 2 4" xfId="16160"/>
    <cellStyle name="Percent 2 2 39 2 5" xfId="27473"/>
    <cellStyle name="Percent 2 2 39 3" xfId="5388"/>
    <cellStyle name="Percent 2 2 39 3 2" xfId="12158"/>
    <cellStyle name="Percent 2 2 39 3 3" xfId="24848"/>
    <cellStyle name="Percent 2 2 39 3 4" xfId="15381"/>
    <cellStyle name="Percent 2 2 39 3 5" xfId="17962"/>
    <cellStyle name="Percent 2 2 39 4" xfId="7670"/>
    <cellStyle name="Percent 2 2 39 5" xfId="20570"/>
    <cellStyle name="Percent 2 2 39 6" xfId="15060"/>
    <cellStyle name="Percent 2 2 39 7" xfId="31515"/>
    <cellStyle name="Percent 2 2 4" xfId="96"/>
    <cellStyle name="Percent 2 2 4 2" xfId="2580"/>
    <cellStyle name="Percent 2 2 4 2 2" xfId="9350"/>
    <cellStyle name="Percent 2 2 4 2 3" xfId="22040"/>
    <cellStyle name="Percent 2 2 4 2 4" xfId="18422"/>
    <cellStyle name="Percent 2 2 4 2 5" xfId="26825"/>
    <cellStyle name="Percent 2 2 4 3" xfId="2989"/>
    <cellStyle name="Percent 2 2 4 3 2" xfId="9759"/>
    <cellStyle name="Percent 2 2 4 3 3" xfId="22449"/>
    <cellStyle name="Percent 2 2 4 3 4" xfId="7198"/>
    <cellStyle name="Percent 2 2 4 3 5" xfId="32340"/>
    <cellStyle name="Percent 2 2 4 4" xfId="6866"/>
    <cellStyle name="Percent 2 2 4 5" xfId="14072"/>
    <cellStyle name="Percent 2 2 4 6" xfId="19266"/>
    <cellStyle name="Percent 2 2 4 7" xfId="30748"/>
    <cellStyle name="Percent 2 2 40" xfId="923"/>
    <cellStyle name="Percent 2 2 40 2" xfId="3387"/>
    <cellStyle name="Percent 2 2 40 2 2" xfId="10157"/>
    <cellStyle name="Percent 2 2 40 2 3" xfId="22847"/>
    <cellStyle name="Percent 2 2 40 2 4" xfId="19801"/>
    <cellStyle name="Percent 2 2 40 2 5" xfId="30812"/>
    <cellStyle name="Percent 2 2 40 3" xfId="5408"/>
    <cellStyle name="Percent 2 2 40 3 2" xfId="12178"/>
    <cellStyle name="Percent 2 2 40 3 3" xfId="24868"/>
    <cellStyle name="Percent 2 2 40 3 4" xfId="16060"/>
    <cellStyle name="Percent 2 2 40 3 5" xfId="19459"/>
    <cellStyle name="Percent 2 2 40 4" xfId="7693"/>
    <cellStyle name="Percent 2 2 40 5" xfId="20590"/>
    <cellStyle name="Percent 2 2 40 6" xfId="17287"/>
    <cellStyle name="Percent 2 2 40 7" xfId="29421"/>
    <cellStyle name="Percent 2 2 41" xfId="946"/>
    <cellStyle name="Percent 2 2 41 2" xfId="3410"/>
    <cellStyle name="Percent 2 2 41 2 2" xfId="10180"/>
    <cellStyle name="Percent 2 2 41 2 3" xfId="22870"/>
    <cellStyle name="Percent 2 2 41 2 4" xfId="15428"/>
    <cellStyle name="Percent 2 2 41 2 5" xfId="28778"/>
    <cellStyle name="Percent 2 2 41 3" xfId="5429"/>
    <cellStyle name="Percent 2 2 41 3 2" xfId="12199"/>
    <cellStyle name="Percent 2 2 41 3 3" xfId="24889"/>
    <cellStyle name="Percent 2 2 41 3 4" xfId="17047"/>
    <cellStyle name="Percent 2 2 41 3 5" xfId="18089"/>
    <cellStyle name="Percent 2 2 41 4" xfId="7716"/>
    <cellStyle name="Percent 2 2 41 5" xfId="20611"/>
    <cellStyle name="Percent 2 2 41 6" xfId="19076"/>
    <cellStyle name="Percent 2 2 41 7" xfId="30411"/>
    <cellStyle name="Percent 2 2 42" xfId="967"/>
    <cellStyle name="Percent 2 2 42 2" xfId="3431"/>
    <cellStyle name="Percent 2 2 42 2 2" xfId="10201"/>
    <cellStyle name="Percent 2 2 42 2 3" xfId="22891"/>
    <cellStyle name="Percent 2 2 42 2 4" xfId="15305"/>
    <cellStyle name="Percent 2 2 42 2 5" xfId="29647"/>
    <cellStyle name="Percent 2 2 42 3" xfId="5447"/>
    <cellStyle name="Percent 2 2 42 3 2" xfId="12217"/>
    <cellStyle name="Percent 2 2 42 3 3" xfId="24907"/>
    <cellStyle name="Percent 2 2 42 3 4" xfId="17382"/>
    <cellStyle name="Percent 2 2 42 3 5" xfId="14906"/>
    <cellStyle name="Percent 2 2 42 4" xfId="7737"/>
    <cellStyle name="Percent 2 2 42 5" xfId="20629"/>
    <cellStyle name="Percent 2 2 42 6" xfId="18937"/>
    <cellStyle name="Percent 2 2 42 7" xfId="28297"/>
    <cellStyle name="Percent 2 2 43" xfId="989"/>
    <cellStyle name="Percent 2 2 43 2" xfId="3453"/>
    <cellStyle name="Percent 2 2 43 2 2" xfId="10223"/>
    <cellStyle name="Percent 2 2 43 2 3" xfId="22913"/>
    <cellStyle name="Percent 2 2 43 2 4" xfId="19416"/>
    <cellStyle name="Percent 2 2 43 2 5" xfId="30702"/>
    <cellStyle name="Percent 2 2 43 3" xfId="5466"/>
    <cellStyle name="Percent 2 2 43 3 2" xfId="12236"/>
    <cellStyle name="Percent 2 2 43 3 3" xfId="24926"/>
    <cellStyle name="Percent 2 2 43 3 4" xfId="14872"/>
    <cellStyle name="Percent 2 2 43 3 5" xfId="16320"/>
    <cellStyle name="Percent 2 2 43 4" xfId="7759"/>
    <cellStyle name="Percent 2 2 43 5" xfId="20648"/>
    <cellStyle name="Percent 2 2 43 6" xfId="16848"/>
    <cellStyle name="Percent 2 2 43 7" xfId="29188"/>
    <cellStyle name="Percent 2 2 44" xfId="1014"/>
    <cellStyle name="Percent 2 2 44 2" xfId="3478"/>
    <cellStyle name="Percent 2 2 44 2 2" xfId="10248"/>
    <cellStyle name="Percent 2 2 44 2 3" xfId="22938"/>
    <cellStyle name="Percent 2 2 44 2 4" xfId="17366"/>
    <cellStyle name="Percent 2 2 44 2 5" xfId="27686"/>
    <cellStyle name="Percent 2 2 44 3" xfId="5487"/>
    <cellStyle name="Percent 2 2 44 3 2" xfId="12257"/>
    <cellStyle name="Percent 2 2 44 3 3" xfId="24947"/>
    <cellStyle name="Percent 2 2 44 3 4" xfId="14740"/>
    <cellStyle name="Percent 2 2 44 3 5" xfId="18897"/>
    <cellStyle name="Percent 2 2 44 4" xfId="7784"/>
    <cellStyle name="Percent 2 2 44 5" xfId="20669"/>
    <cellStyle name="Percent 2 2 44 6" xfId="14322"/>
    <cellStyle name="Percent 2 2 44 7" xfId="28964"/>
    <cellStyle name="Percent 2 2 45" xfId="1036"/>
    <cellStyle name="Percent 2 2 45 2" xfId="3499"/>
    <cellStyle name="Percent 2 2 45 2 2" xfId="10269"/>
    <cellStyle name="Percent 2 2 45 2 3" xfId="22959"/>
    <cellStyle name="Percent 2 2 45 2 4" xfId="17232"/>
    <cellStyle name="Percent 2 2 45 2 5" xfId="31619"/>
    <cellStyle name="Percent 2 2 45 3" xfId="5506"/>
    <cellStyle name="Percent 2 2 45 3 2" xfId="12276"/>
    <cellStyle name="Percent 2 2 45 3 3" xfId="24966"/>
    <cellStyle name="Percent 2 2 45 3 4" xfId="16099"/>
    <cellStyle name="Percent 2 2 45 3 5" xfId="19862"/>
    <cellStyle name="Percent 2 2 45 4" xfId="7806"/>
    <cellStyle name="Percent 2 2 45 5" xfId="20688"/>
    <cellStyle name="Percent 2 2 45 6" xfId="14163"/>
    <cellStyle name="Percent 2 2 45 7" xfId="27008"/>
    <cellStyle name="Percent 2 2 46" xfId="1058"/>
    <cellStyle name="Percent 2 2 46 2" xfId="3520"/>
    <cellStyle name="Percent 2 2 46 2 2" xfId="10290"/>
    <cellStyle name="Percent 2 2 46 2 3" xfId="22980"/>
    <cellStyle name="Percent 2 2 46 2 4" xfId="17080"/>
    <cellStyle name="Percent 2 2 46 2 5" xfId="27610"/>
    <cellStyle name="Percent 2 2 46 3" xfId="5525"/>
    <cellStyle name="Percent 2 2 46 3 2" xfId="12295"/>
    <cellStyle name="Percent 2 2 46 3 3" xfId="24985"/>
    <cellStyle name="Percent 2 2 46 3 4" xfId="16856"/>
    <cellStyle name="Percent 2 2 46 3 5" xfId="30904"/>
    <cellStyle name="Percent 2 2 46 4" xfId="7828"/>
    <cellStyle name="Percent 2 2 46 5" xfId="20707"/>
    <cellStyle name="Percent 2 2 46 6" xfId="18390"/>
    <cellStyle name="Percent 2 2 46 7" xfId="28147"/>
    <cellStyle name="Percent 2 2 47" xfId="1081"/>
    <cellStyle name="Percent 2 2 47 2" xfId="3543"/>
    <cellStyle name="Percent 2 2 47 2 2" xfId="10313"/>
    <cellStyle name="Percent 2 2 47 2 3" xfId="23003"/>
    <cellStyle name="Percent 2 2 47 2 4" xfId="18890"/>
    <cellStyle name="Percent 2 2 47 2 5" xfId="30526"/>
    <cellStyle name="Percent 2 2 47 3" xfId="5545"/>
    <cellStyle name="Percent 2 2 47 3 2" xfId="12315"/>
    <cellStyle name="Percent 2 2 47 3 3" xfId="25005"/>
    <cellStyle name="Percent 2 2 47 3 4" xfId="18709"/>
    <cellStyle name="Percent 2 2 47 3 5" xfId="31461"/>
    <cellStyle name="Percent 2 2 47 4" xfId="7851"/>
    <cellStyle name="Percent 2 2 47 5" xfId="20727"/>
    <cellStyle name="Percent 2 2 47 6" xfId="15563"/>
    <cellStyle name="Percent 2 2 47 7" xfId="29048"/>
    <cellStyle name="Percent 2 2 48" xfId="1104"/>
    <cellStyle name="Percent 2 2 48 2" xfId="3565"/>
    <cellStyle name="Percent 2 2 48 2 2" xfId="10335"/>
    <cellStyle name="Percent 2 2 48 2 3" xfId="23025"/>
    <cellStyle name="Percent 2 2 48 2 4" xfId="16794"/>
    <cellStyle name="Percent 2 2 48 2 5" xfId="32435"/>
    <cellStyle name="Percent 2 2 48 3" xfId="5565"/>
    <cellStyle name="Percent 2 2 48 3 2" xfId="12335"/>
    <cellStyle name="Percent 2 2 48 3 3" xfId="25025"/>
    <cellStyle name="Percent 2 2 48 3 4" xfId="14147"/>
    <cellStyle name="Percent 2 2 48 3 5" xfId="30256"/>
    <cellStyle name="Percent 2 2 48 4" xfId="7874"/>
    <cellStyle name="Percent 2 2 48 5" xfId="20747"/>
    <cellStyle name="Percent 2 2 48 6" xfId="17804"/>
    <cellStyle name="Percent 2 2 48 7" xfId="31976"/>
    <cellStyle name="Percent 2 2 49" xfId="1126"/>
    <cellStyle name="Percent 2 2 49 2" xfId="3587"/>
    <cellStyle name="Percent 2 2 49 2 2" xfId="10357"/>
    <cellStyle name="Percent 2 2 49 2 3" xfId="23047"/>
    <cellStyle name="Percent 2 2 49 2 4" xfId="14264"/>
    <cellStyle name="Percent 2 2 49 2 5" xfId="30334"/>
    <cellStyle name="Percent 2 2 49 3" xfId="5584"/>
    <cellStyle name="Percent 2 2 49 3 2" xfId="12354"/>
    <cellStyle name="Percent 2 2 49 3 3" xfId="25044"/>
    <cellStyle name="Percent 2 2 49 3 4" xfId="18510"/>
    <cellStyle name="Percent 2 2 49 3 5" xfId="27251"/>
    <cellStyle name="Percent 2 2 49 4" xfId="7896"/>
    <cellStyle name="Percent 2 2 49 5" xfId="20766"/>
    <cellStyle name="Percent 2 2 49 6" xfId="15269"/>
    <cellStyle name="Percent 2 2 49 7" xfId="28027"/>
    <cellStyle name="Percent 2 2 5" xfId="120"/>
    <cellStyle name="Percent 2 2 5 2" xfId="2604"/>
    <cellStyle name="Percent 2 2 5 2 2" xfId="9374"/>
    <cellStyle name="Percent 2 2 5 2 3" xfId="22064"/>
    <cellStyle name="Percent 2 2 5 2 4" xfId="18284"/>
    <cellStyle name="Percent 2 2 5 2 5" xfId="26797"/>
    <cellStyle name="Percent 2 2 5 3" xfId="4264"/>
    <cellStyle name="Percent 2 2 5 3 2" xfId="11034"/>
    <cellStyle name="Percent 2 2 5 3 3" xfId="23724"/>
    <cellStyle name="Percent 2 2 5 3 4" xfId="16440"/>
    <cellStyle name="Percent 2 2 5 3 5" xfId="30404"/>
    <cellStyle name="Percent 2 2 5 4" xfId="6890"/>
    <cellStyle name="Percent 2 2 5 5" xfId="15298"/>
    <cellStyle name="Percent 2 2 5 6" xfId="19130"/>
    <cellStyle name="Percent 2 2 5 7" xfId="30716"/>
    <cellStyle name="Percent 2 2 50" xfId="1149"/>
    <cellStyle name="Percent 2 2 50 2" xfId="3609"/>
    <cellStyle name="Percent 2 2 50 2 2" xfId="10379"/>
    <cellStyle name="Percent 2 2 50 2 3" xfId="23069"/>
    <cellStyle name="Percent 2 2 50 2 4" xfId="18500"/>
    <cellStyle name="Percent 2 2 50 2 5" xfId="31475"/>
    <cellStyle name="Percent 2 2 50 3" xfId="5605"/>
    <cellStyle name="Percent 2 2 50 3 2" xfId="12375"/>
    <cellStyle name="Percent 2 2 50 3 3" xfId="25065"/>
    <cellStyle name="Percent 2 2 50 3 4" xfId="16781"/>
    <cellStyle name="Percent 2 2 50 3 5" xfId="31372"/>
    <cellStyle name="Percent 2 2 50 4" xfId="7919"/>
    <cellStyle name="Percent 2 2 50 5" xfId="20787"/>
    <cellStyle name="Percent 2 2 50 6" xfId="17498"/>
    <cellStyle name="Percent 2 2 50 7" xfId="30968"/>
    <cellStyle name="Percent 2 2 51" xfId="1169"/>
    <cellStyle name="Percent 2 2 51 2" xfId="3629"/>
    <cellStyle name="Percent 2 2 51 2 2" xfId="10399"/>
    <cellStyle name="Percent 2 2 51 2 3" xfId="23089"/>
    <cellStyle name="Percent 2 2 51 2 4" xfId="13996"/>
    <cellStyle name="Percent 2 2 51 2 5" xfId="29492"/>
    <cellStyle name="Percent 2 2 51 3" xfId="5622"/>
    <cellStyle name="Percent 2 2 51 3 2" xfId="12392"/>
    <cellStyle name="Percent 2 2 51 3 3" xfId="25082"/>
    <cellStyle name="Percent 2 2 51 3 4" xfId="13837"/>
    <cellStyle name="Percent 2 2 51 3 5" xfId="29293"/>
    <cellStyle name="Percent 2 2 51 4" xfId="7939"/>
    <cellStyle name="Percent 2 2 51 5" xfId="20804"/>
    <cellStyle name="Percent 2 2 51 6" xfId="19289"/>
    <cellStyle name="Percent 2 2 51 7" xfId="27940"/>
    <cellStyle name="Percent 2 2 52" xfId="1181"/>
    <cellStyle name="Percent 2 2 52 2" xfId="3641"/>
    <cellStyle name="Percent 2 2 52 2 2" xfId="10411"/>
    <cellStyle name="Percent 2 2 52 2 3" xfId="23101"/>
    <cellStyle name="Percent 2 2 52 2 4" xfId="13909"/>
    <cellStyle name="Percent 2 2 52 2 5" xfId="26492"/>
    <cellStyle name="Percent 2 2 52 3" xfId="5632"/>
    <cellStyle name="Percent 2 2 52 3 2" xfId="12402"/>
    <cellStyle name="Percent 2 2 52 3 3" xfId="25092"/>
    <cellStyle name="Percent 2 2 52 3 4" xfId="17805"/>
    <cellStyle name="Percent 2 2 52 3 5" xfId="27186"/>
    <cellStyle name="Percent 2 2 52 4" xfId="7951"/>
    <cellStyle name="Percent 2 2 52 5" xfId="20814"/>
    <cellStyle name="Percent 2 2 52 6" xfId="19211"/>
    <cellStyle name="Percent 2 2 52 7" xfId="28853"/>
    <cellStyle name="Percent 2 2 53" xfId="1217"/>
    <cellStyle name="Percent 2 2 53 2" xfId="3677"/>
    <cellStyle name="Percent 2 2 53 2 2" xfId="10447"/>
    <cellStyle name="Percent 2 2 53 2 3" xfId="23137"/>
    <cellStyle name="Percent 2 2 53 2 4" xfId="15782"/>
    <cellStyle name="Percent 2 2 53 2 5" xfId="26269"/>
    <cellStyle name="Percent 2 2 53 3" xfId="5663"/>
    <cellStyle name="Percent 2 2 53 3 2" xfId="12433"/>
    <cellStyle name="Percent 2 2 53 3 3" xfId="25123"/>
    <cellStyle name="Percent 2 2 53 3 4" xfId="18057"/>
    <cellStyle name="Percent 2 2 53 3 5" xfId="30387"/>
    <cellStyle name="Percent 2 2 53 4" xfId="7987"/>
    <cellStyle name="Percent 2 2 53 5" xfId="20845"/>
    <cellStyle name="Percent 2 2 53 6" xfId="18987"/>
    <cellStyle name="Percent 2 2 53 7" xfId="28804"/>
    <cellStyle name="Percent 2 2 54" xfId="1240"/>
    <cellStyle name="Percent 2 2 54 2" xfId="3700"/>
    <cellStyle name="Percent 2 2 54 2 2" xfId="10470"/>
    <cellStyle name="Percent 2 2 54 2 3" xfId="23160"/>
    <cellStyle name="Percent 2 2 54 2 4" xfId="18022"/>
    <cellStyle name="Percent 2 2 54 2 5" xfId="28543"/>
    <cellStyle name="Percent 2 2 54 3" xfId="5683"/>
    <cellStyle name="Percent 2 2 54 3 2" xfId="12453"/>
    <cellStyle name="Percent 2 2 54 3 3" xfId="25143"/>
    <cellStyle name="Percent 2 2 54 3 4" xfId="15640"/>
    <cellStyle name="Percent 2 2 54 3 5" xfId="31257"/>
    <cellStyle name="Percent 2 2 54 4" xfId="8010"/>
    <cellStyle name="Percent 2 2 54 5" xfId="20865"/>
    <cellStyle name="Percent 2 2 54 6" xfId="14535"/>
    <cellStyle name="Percent 2 2 54 7" xfId="29667"/>
    <cellStyle name="Percent 2 2 55" xfId="1263"/>
    <cellStyle name="Percent 2 2 55 2" xfId="3722"/>
    <cellStyle name="Percent 2 2 55 2 2" xfId="10492"/>
    <cellStyle name="Percent 2 2 55 2 3" xfId="23182"/>
    <cellStyle name="Percent 2 2 55 2 4" xfId="15513"/>
    <cellStyle name="Percent 2 2 55 2 5" xfId="29413"/>
    <cellStyle name="Percent 2 2 55 3" xfId="5703"/>
    <cellStyle name="Percent 2 2 55 3 2" xfId="12473"/>
    <cellStyle name="Percent 2 2 55 3 3" xfId="25163"/>
    <cellStyle name="Percent 2 2 55 3 4" xfId="17841"/>
    <cellStyle name="Percent 2 2 55 3 5" xfId="30077"/>
    <cellStyle name="Percent 2 2 55 4" xfId="8033"/>
    <cellStyle name="Percent 2 2 55 5" xfId="20885"/>
    <cellStyle name="Percent 2 2 55 6" xfId="15948"/>
    <cellStyle name="Percent 2 2 55 7" xfId="27737"/>
    <cellStyle name="Percent 2 2 56" xfId="1286"/>
    <cellStyle name="Percent 2 2 56 2" xfId="3744"/>
    <cellStyle name="Percent 2 2 56 2 2" xfId="10514"/>
    <cellStyle name="Percent 2 2 56 2 3" xfId="23204"/>
    <cellStyle name="Percent 2 2 56 2 4" xfId="19614"/>
    <cellStyle name="Percent 2 2 56 2 5" xfId="26357"/>
    <cellStyle name="Percent 2 2 56 3" xfId="5723"/>
    <cellStyle name="Percent 2 2 56 3 2" xfId="12493"/>
    <cellStyle name="Percent 2 2 56 3 3" xfId="25183"/>
    <cellStyle name="Percent 2 2 56 3 4" xfId="19598"/>
    <cellStyle name="Percent 2 2 56 3 5" xfId="32113"/>
    <cellStyle name="Percent 2 2 56 4" xfId="8056"/>
    <cellStyle name="Percent 2 2 56 5" xfId="20905"/>
    <cellStyle name="Percent 2 2 56 6" xfId="18584"/>
    <cellStyle name="Percent 2 2 56 7" xfId="30695"/>
    <cellStyle name="Percent 2 2 57" xfId="1309"/>
    <cellStyle name="Percent 2 2 57 2" xfId="3767"/>
    <cellStyle name="Percent 2 2 57 2 2" xfId="10537"/>
    <cellStyle name="Percent 2 2 57 2 3" xfId="23227"/>
    <cellStyle name="Percent 2 2 57 2 4" xfId="15219"/>
    <cellStyle name="Percent 2 2 57 2 5" xfId="29483"/>
    <cellStyle name="Percent 2 2 57 3" xfId="5743"/>
    <cellStyle name="Percent 2 2 57 3 2" xfId="12513"/>
    <cellStyle name="Percent 2 2 57 3 3" xfId="25203"/>
    <cellStyle name="Percent 2 2 57 3 4" xfId="15222"/>
    <cellStyle name="Percent 2 2 57 3 5" xfId="31162"/>
    <cellStyle name="Percent 2 2 57 4" xfId="8079"/>
    <cellStyle name="Percent 2 2 57 5" xfId="20925"/>
    <cellStyle name="Percent 2 2 57 6" xfId="15607"/>
    <cellStyle name="Percent 2 2 57 7" xfId="29351"/>
    <cellStyle name="Percent 2 2 58" xfId="1332"/>
    <cellStyle name="Percent 2 2 58 2" xfId="3790"/>
    <cellStyle name="Percent 2 2 58 2 2" xfId="10560"/>
    <cellStyle name="Percent 2 2 58 2 3" xfId="23250"/>
    <cellStyle name="Percent 2 2 58 2 4" xfId="17449"/>
    <cellStyle name="Percent 2 2 58 2 5" xfId="27547"/>
    <cellStyle name="Percent 2 2 58 3" xfId="5763"/>
    <cellStyle name="Percent 2 2 58 3 2" xfId="12533"/>
    <cellStyle name="Percent 2 2 58 3 3" xfId="25223"/>
    <cellStyle name="Percent 2 2 58 3 4" xfId="17485"/>
    <cellStyle name="Percent 2 2 58 3 5" xfId="29995"/>
    <cellStyle name="Percent 2 2 58 4" xfId="8102"/>
    <cellStyle name="Percent 2 2 58 5" xfId="20945"/>
    <cellStyle name="Percent 2 2 58 6" xfId="17864"/>
    <cellStyle name="Percent 2 2 58 7" xfId="32285"/>
    <cellStyle name="Percent 2 2 59" xfId="1355"/>
    <cellStyle name="Percent 2 2 59 2" xfId="3812"/>
    <cellStyle name="Percent 2 2 59 2 2" xfId="10582"/>
    <cellStyle name="Percent 2 2 59 2 3" xfId="23272"/>
    <cellStyle name="Percent 2 2 59 2 4" xfId="14922"/>
    <cellStyle name="Percent 2 2 59 2 5" xfId="27422"/>
    <cellStyle name="Percent 2 2 59 3" xfId="5783"/>
    <cellStyle name="Percent 2 2 59 3 2" xfId="12553"/>
    <cellStyle name="Percent 2 2 59 3 3" xfId="25243"/>
    <cellStyle name="Percent 2 2 59 3 4" xfId="19243"/>
    <cellStyle name="Percent 2 2 59 3 5" xfId="32033"/>
    <cellStyle name="Percent 2 2 59 4" xfId="8125"/>
    <cellStyle name="Percent 2 2 59 5" xfId="20965"/>
    <cellStyle name="Percent 2 2 59 6" xfId="19580"/>
    <cellStyle name="Percent 2 2 59 7" xfId="27204"/>
    <cellStyle name="Percent 2 2 6" xfId="143"/>
    <cellStyle name="Percent 2 2 6 2" xfId="2627"/>
    <cellStyle name="Percent 2 2 6 2 2" xfId="9397"/>
    <cellStyle name="Percent 2 2 6 2 3" xfId="22087"/>
    <cellStyle name="Percent 2 2 6 2 4" xfId="15838"/>
    <cellStyle name="Percent 2 2 6 2 5" xfId="29789"/>
    <cellStyle name="Percent 2 2 6 3" xfId="3799"/>
    <cellStyle name="Percent 2 2 6 3 2" xfId="10569"/>
    <cellStyle name="Percent 2 2 6 3 3" xfId="23259"/>
    <cellStyle name="Percent 2 2 6 3 4" xfId="17387"/>
    <cellStyle name="Percent 2 2 6 3 5" xfId="30399"/>
    <cellStyle name="Percent 2 2 6 4" xfId="6913"/>
    <cellStyle name="Percent 2 2 6 5" xfId="13683"/>
    <cellStyle name="Percent 2 2 6 6" xfId="14660"/>
    <cellStyle name="Percent 2 2 6 7" xfId="28688"/>
    <cellStyle name="Percent 2 2 60" xfId="1378"/>
    <cellStyle name="Percent 2 2 60 2" xfId="3834"/>
    <cellStyle name="Percent 2 2 60 2 2" xfId="10604"/>
    <cellStyle name="Percent 2 2 60 2 3" xfId="23294"/>
    <cellStyle name="Percent 2 2 60 2 4" xfId="19086"/>
    <cellStyle name="Percent 2 2 60 2 5" xfId="27364"/>
    <cellStyle name="Percent 2 2 60 3" xfId="5803"/>
    <cellStyle name="Percent 2 2 60 3 2" xfId="12573"/>
    <cellStyle name="Percent 2 2 60 3 3" xfId="25263"/>
    <cellStyle name="Percent 2 2 60 3 4" xfId="14815"/>
    <cellStyle name="Percent 2 2 60 3 5" xfId="31067"/>
    <cellStyle name="Percent 2 2 60 4" xfId="8148"/>
    <cellStyle name="Percent 2 2 60 5" xfId="20985"/>
    <cellStyle name="Percent 2 2 60 6" xfId="15180"/>
    <cellStyle name="Percent 2 2 60 7" xfId="30156"/>
    <cellStyle name="Percent 2 2 61" xfId="1401"/>
    <cellStyle name="Percent 2 2 61 2" xfId="3857"/>
    <cellStyle name="Percent 2 2 61 2 2" xfId="10627"/>
    <cellStyle name="Percent 2 2 61 2 3" xfId="23317"/>
    <cellStyle name="Percent 2 2 61 2 4" xfId="14634"/>
    <cellStyle name="Percent 2 2 61 2 5" xfId="30304"/>
    <cellStyle name="Percent 2 2 61 3" xfId="5823"/>
    <cellStyle name="Percent 2 2 61 3 2" xfId="12593"/>
    <cellStyle name="Percent 2 2 61 3 3" xfId="25283"/>
    <cellStyle name="Percent 2 2 61 3 4" xfId="17059"/>
    <cellStyle name="Percent 2 2 61 3 5" xfId="29909"/>
    <cellStyle name="Percent 2 2 61 4" xfId="8171"/>
    <cellStyle name="Percent 2 2 61 5" xfId="21005"/>
    <cellStyle name="Percent 2 2 61 6" xfId="17413"/>
    <cellStyle name="Percent 2 2 61 7" xfId="28305"/>
    <cellStyle name="Percent 2 2 62" xfId="1424"/>
    <cellStyle name="Percent 2 2 62 2" xfId="3878"/>
    <cellStyle name="Percent 2 2 62 2 2" xfId="10648"/>
    <cellStyle name="Percent 2 2 62 2 3" xfId="23338"/>
    <cellStyle name="Percent 2 2 62 2 4" xfId="14481"/>
    <cellStyle name="Percent 2 2 62 2 5" xfId="28553"/>
    <cellStyle name="Percent 2 2 62 3" xfId="5843"/>
    <cellStyle name="Percent 2 2 62 3 2" xfId="12613"/>
    <cellStyle name="Percent 2 2 62 3 3" xfId="25303"/>
    <cellStyle name="Percent 2 2 62 3 4" xfId="18892"/>
    <cellStyle name="Percent 2 2 62 3 5" xfId="31947"/>
    <cellStyle name="Percent 2 2 62 4" xfId="8194"/>
    <cellStyle name="Percent 2 2 62 5" xfId="21025"/>
    <cellStyle name="Percent 2 2 62 6" xfId="16299"/>
    <cellStyle name="Percent 2 2 62 7" xfId="31246"/>
    <cellStyle name="Percent 2 2 63" xfId="1447"/>
    <cellStyle name="Percent 2 2 63 2" xfId="3901"/>
    <cellStyle name="Percent 2 2 63 2 2" xfId="10671"/>
    <cellStyle name="Percent 2 2 63 2 3" xfId="23361"/>
    <cellStyle name="Percent 2 2 63 2 4" xfId="16704"/>
    <cellStyle name="Percent 2 2 63 2 5" xfId="31627"/>
    <cellStyle name="Percent 2 2 63 3" xfId="5863"/>
    <cellStyle name="Percent 2 2 63 3 2" xfId="12633"/>
    <cellStyle name="Percent 2 2 63 3 3" xfId="25323"/>
    <cellStyle name="Percent 2 2 63 3 4" xfId="14442"/>
    <cellStyle name="Percent 2 2 63 3 5" xfId="30457"/>
    <cellStyle name="Percent 2 2 63 4" xfId="8217"/>
    <cellStyle name="Percent 2 2 63 5" xfId="21045"/>
    <cellStyle name="Percent 2 2 63 6" xfId="14727"/>
    <cellStyle name="Percent 2 2 63 7" xfId="29167"/>
    <cellStyle name="Percent 2 2 64" xfId="1470"/>
    <cellStyle name="Percent 2 2 64 2" xfId="3924"/>
    <cellStyle name="Percent 2 2 64 2 2" xfId="10694"/>
    <cellStyle name="Percent 2 2 64 2 3" xfId="23384"/>
    <cellStyle name="Percent 2 2 64 2 4" xfId="18557"/>
    <cellStyle name="Percent 2 2 64 2 5" xfId="29496"/>
    <cellStyle name="Percent 2 2 64 3" xfId="5883"/>
    <cellStyle name="Percent 2 2 64 3 2" xfId="12653"/>
    <cellStyle name="Percent 2 2 64 3 3" xfId="25343"/>
    <cellStyle name="Percent 2 2 64 3 4" xfId="16665"/>
    <cellStyle name="Percent 2 2 64 3 5" xfId="29821"/>
    <cellStyle name="Percent 2 2 64 4" xfId="8240"/>
    <cellStyle name="Percent 2 2 64 5" xfId="21065"/>
    <cellStyle name="Percent 2 2 64 6" xfId="16951"/>
    <cellStyle name="Percent 2 2 64 7" xfId="32095"/>
    <cellStyle name="Percent 2 2 65" xfId="1493"/>
    <cellStyle name="Percent 2 2 65 2" xfId="3947"/>
    <cellStyle name="Percent 2 2 65 2 2" xfId="10717"/>
    <cellStyle name="Percent 2 2 65 2 3" xfId="23407"/>
    <cellStyle name="Percent 2 2 65 2 4" xfId="14017"/>
    <cellStyle name="Percent 2 2 65 2 5" xfId="28442"/>
    <cellStyle name="Percent 2 2 65 3" xfId="5903"/>
    <cellStyle name="Percent 2 2 65 3 2" xfId="12673"/>
    <cellStyle name="Percent 2 2 65 3 3" xfId="25363"/>
    <cellStyle name="Percent 2 2 65 3 4" xfId="18553"/>
    <cellStyle name="Percent 2 2 65 3 5" xfId="31867"/>
    <cellStyle name="Percent 2 2 65 4" xfId="8263"/>
    <cellStyle name="Percent 2 2 65 5" xfId="21085"/>
    <cellStyle name="Percent 2 2 65 6" xfId="18779"/>
    <cellStyle name="Percent 2 2 65 7" xfId="26994"/>
    <cellStyle name="Percent 2 2 66" xfId="1516"/>
    <cellStyle name="Percent 2 2 66 2" xfId="3969"/>
    <cellStyle name="Percent 2 2 66 2 2" xfId="10739"/>
    <cellStyle name="Percent 2 2 66 2 3" xfId="23429"/>
    <cellStyle name="Percent 2 2 66 2 4" xfId="18282"/>
    <cellStyle name="Percent 2 2 66 2 5" xfId="29323"/>
    <cellStyle name="Percent 2 2 66 3" xfId="5923"/>
    <cellStyle name="Percent 2 2 66 3 2" xfId="12693"/>
    <cellStyle name="Percent 2 2 66 3 3" xfId="25383"/>
    <cellStyle name="Percent 2 2 66 3 4" xfId="14020"/>
    <cellStyle name="Percent 2 2 66 3 5" xfId="30864"/>
    <cellStyle name="Percent 2 2 66 4" xfId="8286"/>
    <cellStyle name="Percent 2 2 66 5" xfId="21105"/>
    <cellStyle name="Percent 2 2 66 6" xfId="14268"/>
    <cellStyle name="Percent 2 2 66 7" xfId="29966"/>
    <cellStyle name="Percent 2 2 67" xfId="1539"/>
    <cellStyle name="Percent 2 2 67 2" xfId="3991"/>
    <cellStyle name="Percent 2 2 67 2 2" xfId="10761"/>
    <cellStyle name="Percent 2 2 67 2 3" xfId="23451"/>
    <cellStyle name="Percent 2 2 67 2 4" xfId="18230"/>
    <cellStyle name="Percent 2 2 67 2 5" xfId="27202"/>
    <cellStyle name="Percent 2 2 67 3" xfId="5943"/>
    <cellStyle name="Percent 2 2 67 3 2" xfId="12713"/>
    <cellStyle name="Percent 2 2 67 3 3" xfId="25403"/>
    <cellStyle name="Percent 2 2 67 3 4" xfId="16264"/>
    <cellStyle name="Percent 2 2 67 3 5" xfId="29735"/>
    <cellStyle name="Percent 2 2 67 4" xfId="8309"/>
    <cellStyle name="Percent 2 2 67 5" xfId="21125"/>
    <cellStyle name="Percent 2 2 67 6" xfId="16488"/>
    <cellStyle name="Percent 2 2 67 7" xfId="28091"/>
    <cellStyle name="Percent 2 2 68" xfId="1562"/>
    <cellStyle name="Percent 2 2 68 2" xfId="4013"/>
    <cellStyle name="Percent 2 2 68 2 2" xfId="10783"/>
    <cellStyle name="Percent 2 2 68 2 3" xfId="23473"/>
    <cellStyle name="Percent 2 2 68 2 4" xfId="15717"/>
    <cellStyle name="Percent 2 2 68 2 5" xfId="28350"/>
    <cellStyle name="Percent 2 2 68 3" xfId="5963"/>
    <cellStyle name="Percent 2 2 68 3 2" xfId="12733"/>
    <cellStyle name="Percent 2 2 68 3 3" xfId="25423"/>
    <cellStyle name="Percent 2 2 68 3 4" xfId="17693"/>
    <cellStyle name="Percent 2 2 68 3 5" xfId="31779"/>
    <cellStyle name="Percent 2 2 68 4" xfId="8332"/>
    <cellStyle name="Percent 2 2 68 5" xfId="21145"/>
    <cellStyle name="Percent 2 2 68 6" xfId="18365"/>
    <cellStyle name="Percent 2 2 68 7" xfId="31025"/>
    <cellStyle name="Percent 2 2 69" xfId="1585"/>
    <cellStyle name="Percent 2 2 69 2" xfId="4035"/>
    <cellStyle name="Percent 2 2 69 2 2" xfId="10805"/>
    <cellStyle name="Percent 2 2 69 2 3" xfId="23495"/>
    <cellStyle name="Percent 2 2 69 2 4" xfId="19799"/>
    <cellStyle name="Percent 2 2 69 2 5" xfId="29238"/>
    <cellStyle name="Percent 2 2 69 3" xfId="5983"/>
    <cellStyle name="Percent 2 2 69 3 2" xfId="12753"/>
    <cellStyle name="Percent 2 2 69 3 3" xfId="25443"/>
    <cellStyle name="Percent 2 2 69 3 4" xfId="15742"/>
    <cellStyle name="Percent 2 2 69 3 5" xfId="30761"/>
    <cellStyle name="Percent 2 2 69 4" xfId="8355"/>
    <cellStyle name="Percent 2 2 69 5" xfId="21165"/>
    <cellStyle name="Percent 2 2 69 6" xfId="15983"/>
    <cellStyle name="Percent 2 2 69 7" xfId="28971"/>
    <cellStyle name="Percent 2 2 7" xfId="166"/>
    <cellStyle name="Percent 2 2 7 2" xfId="2649"/>
    <cellStyle name="Percent 2 2 7 2 2" xfId="9419"/>
    <cellStyle name="Percent 2 2 7 2 3" xfId="22109"/>
    <cellStyle name="Percent 2 2 7 2 4" xfId="16847"/>
    <cellStyle name="Percent 2 2 7 2 5" xfId="30860"/>
    <cellStyle name="Percent 2 2 7 3" xfId="3329"/>
    <cellStyle name="Percent 2 2 7 3 2" xfId="10099"/>
    <cellStyle name="Percent 2 2 7 3 3" xfId="22789"/>
    <cellStyle name="Percent 2 2 7 3 4" xfId="13584"/>
    <cellStyle name="Percent 2 2 7 3 5" xfId="29797"/>
    <cellStyle name="Percent 2 2 7 4" xfId="6936"/>
    <cellStyle name="Percent 2 2 7 5" xfId="14411"/>
    <cellStyle name="Percent 2 2 7 6" xfId="16888"/>
    <cellStyle name="Percent 2 2 7 7" xfId="31621"/>
    <cellStyle name="Percent 2 2 70" xfId="1608"/>
    <cellStyle name="Percent 2 2 70 2" xfId="4057"/>
    <cellStyle name="Percent 2 2 70 2 2" xfId="10827"/>
    <cellStyle name="Percent 2 2 70 2 3" xfId="23517"/>
    <cellStyle name="Percent 2 2 70 2 4" xfId="17815"/>
    <cellStyle name="Percent 2 2 70 2 5" xfId="27103"/>
    <cellStyle name="Percent 2 2 70 3" xfId="6003"/>
    <cellStyle name="Percent 2 2 70 3 2" xfId="12773"/>
    <cellStyle name="Percent 2 2 70 3 3" xfId="25463"/>
    <cellStyle name="Percent 2 2 70 3 4" xfId="18070"/>
    <cellStyle name="Percent 2 2 70 3 5" xfId="29642"/>
    <cellStyle name="Percent 2 2 70 4" xfId="8378"/>
    <cellStyle name="Percent 2 2 70 5" xfId="21185"/>
    <cellStyle name="Percent 2 2 70 6" xfId="18152"/>
    <cellStyle name="Percent 2 2 70 7" xfId="31904"/>
    <cellStyle name="Percent 2 2 71" xfId="1630"/>
    <cellStyle name="Percent 2 2 71 2" xfId="4078"/>
    <cellStyle name="Percent 2 2 71 2 2" xfId="10848"/>
    <cellStyle name="Percent 2 2 71 2 3" xfId="23538"/>
    <cellStyle name="Percent 2 2 71 2 4" xfId="16104"/>
    <cellStyle name="Percent 2 2 71 2 5" xfId="31223"/>
    <cellStyle name="Percent 2 2 71 3" xfId="6022"/>
    <cellStyle name="Percent 2 2 71 3 2" xfId="12792"/>
    <cellStyle name="Percent 2 2 71 3 3" xfId="25482"/>
    <cellStyle name="Percent 2 2 71 3 4" xfId="15561"/>
    <cellStyle name="Percent 2 2 71 3 5" xfId="26566"/>
    <cellStyle name="Percent 2 2 71 4" xfId="8400"/>
    <cellStyle name="Percent 2 2 71 5" xfId="21204"/>
    <cellStyle name="Percent 2 2 71 6" xfId="14071"/>
    <cellStyle name="Percent 2 2 71 7" xfId="29802"/>
    <cellStyle name="Percent 2 2 72" xfId="1651"/>
    <cellStyle name="Percent 2 2 72 2" xfId="4099"/>
    <cellStyle name="Percent 2 2 72 2 2" xfId="10869"/>
    <cellStyle name="Percent 2 2 72 2 3" xfId="23559"/>
    <cellStyle name="Percent 2 2 72 2 4" xfId="17535"/>
    <cellStyle name="Percent 2 2 72 2 5" xfId="27043"/>
    <cellStyle name="Percent 2 2 72 3" xfId="6040"/>
    <cellStyle name="Percent 2 2 72 3 2" xfId="12810"/>
    <cellStyle name="Percent 2 2 72 3 3" xfId="25500"/>
    <cellStyle name="Percent 2 2 72 3 4" xfId="15455"/>
    <cellStyle name="Percent 2 2 72 3 5" xfId="26531"/>
    <cellStyle name="Percent 2 2 72 4" xfId="8421"/>
    <cellStyle name="Percent 2 2 72 5" xfId="21222"/>
    <cellStyle name="Percent 2 2 72 6" xfId="15700"/>
    <cellStyle name="Percent 2 2 72 7" xfId="28875"/>
    <cellStyle name="Percent 2 2 73" xfId="1604"/>
    <cellStyle name="Percent 2 2 73 2" xfId="4053"/>
    <cellStyle name="Percent 2 2 73 2 2" xfId="10823"/>
    <cellStyle name="Percent 2 2 73 2 3" xfId="23513"/>
    <cellStyle name="Percent 2 2 73 2 4" xfId="19706"/>
    <cellStyle name="Percent 2 2 73 2 5" xfId="29211"/>
    <cellStyle name="Percent 2 2 73 3" xfId="6000"/>
    <cellStyle name="Percent 2 2 73 3 2" xfId="12770"/>
    <cellStyle name="Percent 2 2 73 3 3" xfId="25460"/>
    <cellStyle name="Percent 2 2 73 3 4" xfId="15958"/>
    <cellStyle name="Percent 2 2 73 3 5" xfId="28752"/>
    <cellStyle name="Percent 2 2 73 4" xfId="8374"/>
    <cellStyle name="Percent 2 2 73 5" xfId="21182"/>
    <cellStyle name="Percent 2 2 73 6" xfId="20006"/>
    <cellStyle name="Percent 2 2 73 7" xfId="30947"/>
    <cellStyle name="Percent 2 2 74" xfId="1697"/>
    <cellStyle name="Percent 2 2 74 2" xfId="4144"/>
    <cellStyle name="Percent 2 2 74 2 2" xfId="10914"/>
    <cellStyle name="Percent 2 2 74 2 3" xfId="23604"/>
    <cellStyle name="Percent 2 2 74 2 4" xfId="16064"/>
    <cellStyle name="Percent 2 2 74 2 5" xfId="31117"/>
    <cellStyle name="Percent 2 2 74 3" xfId="6081"/>
    <cellStyle name="Percent 2 2 74 3 2" xfId="12851"/>
    <cellStyle name="Percent 2 2 74 3 3" xfId="25541"/>
    <cellStyle name="Percent 2 2 74 3 4" xfId="17563"/>
    <cellStyle name="Percent 2 2 74 3 5" xfId="29515"/>
    <cellStyle name="Percent 2 2 74 4" xfId="8467"/>
    <cellStyle name="Percent 2 2 74 5" xfId="21263"/>
    <cellStyle name="Percent 2 2 74 6" xfId="19655"/>
    <cellStyle name="Percent 2 2 74 7" xfId="26665"/>
    <cellStyle name="Percent 2 2 75" xfId="1720"/>
    <cellStyle name="Percent 2 2 75 2" xfId="4165"/>
    <cellStyle name="Percent 2 2 75 2 2" xfId="10935"/>
    <cellStyle name="Percent 2 2 75 2 3" xfId="23625"/>
    <cellStyle name="Percent 2 2 75 2 4" xfId="17100"/>
    <cellStyle name="Percent 2 2 75 2 5" xfId="26934"/>
    <cellStyle name="Percent 2 2 75 3" xfId="6101"/>
    <cellStyle name="Percent 2 2 75 3 2" xfId="12871"/>
    <cellStyle name="Percent 2 2 75 3 3" xfId="25561"/>
    <cellStyle name="Percent 2 2 75 3 4" xfId="19345"/>
    <cellStyle name="Percent 2 2 75 3 5" xfId="31561"/>
    <cellStyle name="Percent 2 2 75 4" xfId="8490"/>
    <cellStyle name="Percent 2 2 75 5" xfId="21283"/>
    <cellStyle name="Percent 2 2 75 6" xfId="15265"/>
    <cellStyle name="Percent 2 2 75 7" xfId="29664"/>
    <cellStyle name="Percent 2 2 76" xfId="1743"/>
    <cellStyle name="Percent 2 2 76 2" xfId="4187"/>
    <cellStyle name="Percent 2 2 76 2 2" xfId="10957"/>
    <cellStyle name="Percent 2 2 76 2 3" xfId="23647"/>
    <cellStyle name="Percent 2 2 76 2 4" xfId="14590"/>
    <cellStyle name="Percent 2 2 76 2 5" xfId="28077"/>
    <cellStyle name="Percent 2 2 76 3" xfId="6121"/>
    <cellStyle name="Percent 2 2 76 3 2" xfId="12891"/>
    <cellStyle name="Percent 2 2 76 3 3" xfId="25581"/>
    <cellStyle name="Percent 2 2 76 3 4" xfId="14929"/>
    <cellStyle name="Percent 2 2 76 3 5" xfId="30400"/>
    <cellStyle name="Percent 2 2 76 4" xfId="8513"/>
    <cellStyle name="Percent 2 2 76 5" xfId="21303"/>
    <cellStyle name="Percent 2 2 76 6" xfId="17473"/>
    <cellStyle name="Percent 2 2 76 7" xfId="27753"/>
    <cellStyle name="Percent 2 2 77" xfId="1766"/>
    <cellStyle name="Percent 2 2 77 2" xfId="4209"/>
    <cellStyle name="Percent 2 2 77 2 2" xfId="10979"/>
    <cellStyle name="Percent 2 2 77 2 3" xfId="23669"/>
    <cellStyle name="Percent 2 2 77 2 4" xfId="17337"/>
    <cellStyle name="Percent 2 2 77 2 5" xfId="28997"/>
    <cellStyle name="Percent 2 2 77 3" xfId="6141"/>
    <cellStyle name="Percent 2 2 77 3 2" xfId="12911"/>
    <cellStyle name="Percent 2 2 77 3 3" xfId="25601"/>
    <cellStyle name="Percent 2 2 77 3 4" xfId="17173"/>
    <cellStyle name="Percent 2 2 77 3 5" xfId="30357"/>
    <cellStyle name="Percent 2 2 77 4" xfId="8536"/>
    <cellStyle name="Percent 2 2 77 5" xfId="21323"/>
    <cellStyle name="Percent 2 2 77 6" xfId="19244"/>
    <cellStyle name="Percent 2 2 77 7" xfId="28691"/>
    <cellStyle name="Percent 2 2 78" xfId="1789"/>
    <cellStyle name="Percent 2 2 78 2" xfId="4231"/>
    <cellStyle name="Percent 2 2 78 2 2" xfId="11001"/>
    <cellStyle name="Percent 2 2 78 2 3" xfId="23691"/>
    <cellStyle name="Percent 2 2 78 2 4" xfId="16661"/>
    <cellStyle name="Percent 2 2 78 2 5" xfId="26795"/>
    <cellStyle name="Percent 2 2 78 3" xfId="6161"/>
    <cellStyle name="Percent 2 2 78 3 2" xfId="12931"/>
    <cellStyle name="Percent 2 2 78 3 3" xfId="25621"/>
    <cellStyle name="Percent 2 2 78 3 4" xfId="18972"/>
    <cellStyle name="Percent 2 2 78 3 5" xfId="32399"/>
    <cellStyle name="Percent 2 2 78 4" xfId="8559"/>
    <cellStyle name="Percent 2 2 78 5" xfId="21343"/>
    <cellStyle name="Percent 2 2 78 6" xfId="14816"/>
    <cellStyle name="Percent 2 2 78 7" xfId="31624"/>
    <cellStyle name="Percent 2 2 79" xfId="1812"/>
    <cellStyle name="Percent 2 2 79 2" xfId="4254"/>
    <cellStyle name="Percent 2 2 79 2 2" xfId="11024"/>
    <cellStyle name="Percent 2 2 79 2 3" xfId="23714"/>
    <cellStyle name="Percent 2 2 79 2 4" xfId="18518"/>
    <cellStyle name="Percent 2 2 79 2 5" xfId="29819"/>
    <cellStyle name="Percent 2 2 79 3" xfId="6181"/>
    <cellStyle name="Percent 2 2 79 3 2" xfId="12951"/>
    <cellStyle name="Percent 2 2 79 3 3" xfId="25641"/>
    <cellStyle name="Percent 2 2 79 3 4" xfId="14533"/>
    <cellStyle name="Percent 2 2 79 3 5" xfId="30511"/>
    <cellStyle name="Percent 2 2 79 4" xfId="8582"/>
    <cellStyle name="Percent 2 2 79 5" xfId="21363"/>
    <cellStyle name="Percent 2 2 79 6" xfId="16048"/>
    <cellStyle name="Percent 2 2 79 7" xfId="27286"/>
    <cellStyle name="Percent 2 2 8" xfId="189"/>
    <cellStyle name="Percent 2 2 8 2" xfId="2671"/>
    <cellStyle name="Percent 2 2 8 2 2" xfId="9441"/>
    <cellStyle name="Percent 2 2 8 2 3" xfId="22131"/>
    <cellStyle name="Percent 2 2 8 2 4" xfId="16582"/>
    <cellStyle name="Percent 2 2 8 2 5" xfId="31804"/>
    <cellStyle name="Percent 2 2 8 3" xfId="2859"/>
    <cellStyle name="Percent 2 2 8 3 2" xfId="9629"/>
    <cellStyle name="Percent 2 2 8 3 3" xfId="22319"/>
    <cellStyle name="Percent 2 2 8 3 4" xfId="8106"/>
    <cellStyle name="Percent 2 2 8 3 5" xfId="31546"/>
    <cellStyle name="Percent 2 2 8 4" xfId="6959"/>
    <cellStyle name="Percent 2 2 8 5" xfId="13946"/>
    <cellStyle name="Percent 2 2 8 6" xfId="18720"/>
    <cellStyle name="Percent 2 2 8 7" xfId="27308"/>
    <cellStyle name="Percent 2 2 80" xfId="1835"/>
    <cellStyle name="Percent 2 2 80 2" xfId="4277"/>
    <cellStyle name="Percent 2 2 80 2 2" xfId="11047"/>
    <cellStyle name="Percent 2 2 80 2 3" xfId="23737"/>
    <cellStyle name="Percent 2 2 80 2 4" xfId="13994"/>
    <cellStyle name="Percent 2 2 80 2 5" xfId="27934"/>
    <cellStyle name="Percent 2 2 80 3" xfId="6201"/>
    <cellStyle name="Percent 2 2 80 3 2" xfId="12971"/>
    <cellStyle name="Percent 2 2 80 3 3" xfId="25661"/>
    <cellStyle name="Percent 2 2 80 3 4" xfId="16778"/>
    <cellStyle name="Percent 2 2 80 3 5" xfId="30270"/>
    <cellStyle name="Percent 2 2 80 4" xfId="8605"/>
    <cellStyle name="Percent 2 2 80 5" xfId="21383"/>
    <cellStyle name="Percent 2 2 80 6" xfId="18836"/>
    <cellStyle name="Percent 2 2 80 7" xfId="30231"/>
    <cellStyle name="Percent 2 2 81" xfId="1858"/>
    <cellStyle name="Percent 2 2 81 2" xfId="4299"/>
    <cellStyle name="Percent 2 2 81 2 2" xfId="11069"/>
    <cellStyle name="Percent 2 2 81 2 3" xfId="23759"/>
    <cellStyle name="Percent 2 2 81 2 4" xfId="16566"/>
    <cellStyle name="Percent 2 2 81 2 5" xfId="28865"/>
    <cellStyle name="Percent 2 2 81 3" xfId="6221"/>
    <cellStyle name="Percent 2 2 81 3 2" xfId="12991"/>
    <cellStyle name="Percent 2 2 81 3 3" xfId="25681"/>
    <cellStyle name="Percent 2 2 81 3 4" xfId="18621"/>
    <cellStyle name="Percent 2 2 81 3 5" xfId="32314"/>
    <cellStyle name="Percent 2 2 81 4" xfId="8628"/>
    <cellStyle name="Percent 2 2 81 5" xfId="21403"/>
    <cellStyle name="Percent 2 2 81 6" xfId="14357"/>
    <cellStyle name="Percent 2 2 81 7" xfId="28387"/>
    <cellStyle name="Percent 2 2 82" xfId="1881"/>
    <cellStyle name="Percent 2 2 82 2" xfId="4321"/>
    <cellStyle name="Percent 2 2 82 2 2" xfId="11091"/>
    <cellStyle name="Percent 2 2 82 2 3" xfId="23781"/>
    <cellStyle name="Percent 2 2 82 2 4" xfId="18187"/>
    <cellStyle name="Percent 2 2 82 2 5" xfId="26688"/>
    <cellStyle name="Percent 2 2 82 3" xfId="6241"/>
    <cellStyle name="Percent 2 2 82 3 2" xfId="13011"/>
    <cellStyle name="Percent 2 2 82 3 3" xfId="25701"/>
    <cellStyle name="Percent 2 2 82 3 4" xfId="14087"/>
    <cellStyle name="Percent 2 2 82 3 5" xfId="31375"/>
    <cellStyle name="Percent 2 2 82 4" xfId="8651"/>
    <cellStyle name="Percent 2 2 82 5" xfId="21423"/>
    <cellStyle name="Percent 2 2 82 6" xfId="16577"/>
    <cellStyle name="Percent 2 2 82 7" xfId="31333"/>
    <cellStyle name="Percent 2 2 83" xfId="1904"/>
    <cellStyle name="Percent 2 2 83 2" xfId="4343"/>
    <cellStyle name="Percent 2 2 83 2 2" xfId="11113"/>
    <cellStyle name="Percent 2 2 83 2 3" xfId="23803"/>
    <cellStyle name="Percent 2 2 83 2 4" xfId="15675"/>
    <cellStyle name="Percent 2 2 83 2 5" xfId="28456"/>
    <cellStyle name="Percent 2 2 83 3" xfId="6261"/>
    <cellStyle name="Percent 2 2 83 3 2" xfId="13031"/>
    <cellStyle name="Percent 2 2 83 3 3" xfId="25721"/>
    <cellStyle name="Percent 2 2 83 3 4" xfId="16359"/>
    <cellStyle name="Percent 2 2 83 3 5" xfId="30193"/>
    <cellStyle name="Percent 2 2 83 4" xfId="8674"/>
    <cellStyle name="Percent 2 2 83 5" xfId="21443"/>
    <cellStyle name="Percent 2 2 83 6" xfId="18424"/>
    <cellStyle name="Percent 2 2 83 7" xfId="29249"/>
    <cellStyle name="Percent 2 2 84" xfId="1926"/>
    <cellStyle name="Percent 2 2 84 2" xfId="4364"/>
    <cellStyle name="Percent 2 2 84 2 2" xfId="11134"/>
    <cellStyle name="Percent 2 2 84 2 3" xfId="23824"/>
    <cellStyle name="Percent 2 2 84 2 4" xfId="15532"/>
    <cellStyle name="Percent 2 2 84 2 5" xfId="32306"/>
    <cellStyle name="Percent 2 2 84 3" xfId="6280"/>
    <cellStyle name="Percent 2 2 84 3 2" xfId="13050"/>
    <cellStyle name="Percent 2 2 84 3 3" xfId="25740"/>
    <cellStyle name="Percent 2 2 84 3 4" xfId="8627"/>
    <cellStyle name="Percent 2 2 84 3 5" xfId="27179"/>
    <cellStyle name="Percent 2 2 84 4" xfId="8696"/>
    <cellStyle name="Percent 2 2 84 5" xfId="21462"/>
    <cellStyle name="Percent 2 2 84 6" xfId="16265"/>
    <cellStyle name="Percent 2 2 84 7" xfId="27115"/>
    <cellStyle name="Percent 2 2 85" xfId="1948"/>
    <cellStyle name="Percent 2 2 85 2" xfId="4385"/>
    <cellStyle name="Percent 2 2 85 2 2" xfId="11155"/>
    <cellStyle name="Percent 2 2 85 2 3" xfId="23845"/>
    <cellStyle name="Percent 2 2 85 2 4" xfId="15405"/>
    <cellStyle name="Percent 2 2 85 2 5" xfId="28392"/>
    <cellStyle name="Percent 2 2 85 3" xfId="6299"/>
    <cellStyle name="Percent 2 2 85 3 2" xfId="13069"/>
    <cellStyle name="Percent 2 2 85 3 3" xfId="25759"/>
    <cellStyle name="Percent 2 2 85 3 4" xfId="8239"/>
    <cellStyle name="Percent 2 2 85 3 5" xfId="32211"/>
    <cellStyle name="Percent 2 2 85 4" xfId="8718"/>
    <cellStyle name="Percent 2 2 85 5" xfId="21481"/>
    <cellStyle name="Percent 2 2 85 6" xfId="15865"/>
    <cellStyle name="Percent 2 2 85 7" xfId="28265"/>
    <cellStyle name="Percent 2 2 86" xfId="1971"/>
    <cellStyle name="Percent 2 2 86 2" xfId="4408"/>
    <cellStyle name="Percent 2 2 86 2 2" xfId="11178"/>
    <cellStyle name="Percent 2 2 86 2 3" xfId="23868"/>
    <cellStyle name="Percent 2 2 86 2 4" xfId="17643"/>
    <cellStyle name="Percent 2 2 86 2 5" xfId="31338"/>
    <cellStyle name="Percent 2 2 86 3" xfId="6319"/>
    <cellStyle name="Percent 2 2 86 3 2" xfId="13089"/>
    <cellStyle name="Percent 2 2 86 3 3" xfId="25779"/>
    <cellStyle name="Percent 2 2 86 3 4" xfId="7827"/>
    <cellStyle name="Percent 2 2 86 3 5" xfId="31271"/>
    <cellStyle name="Percent 2 2 86 4" xfId="8741"/>
    <cellStyle name="Percent 2 2 86 5" xfId="21501"/>
    <cellStyle name="Percent 2 2 86 6" xfId="16151"/>
    <cellStyle name="Percent 2 2 86 7" xfId="31192"/>
    <cellStyle name="Percent 2 2 87" xfId="1994"/>
    <cellStyle name="Percent 2 2 87 2" xfId="4430"/>
    <cellStyle name="Percent 2 2 87 2 2" xfId="11200"/>
    <cellStyle name="Percent 2 2 87 2 3" xfId="23890"/>
    <cellStyle name="Percent 2 2 87 2 4" xfId="15106"/>
    <cellStyle name="Percent 2 2 87 2 5" xfId="32220"/>
    <cellStyle name="Percent 2 2 87 3" xfId="6339"/>
    <cellStyle name="Percent 2 2 87 3 2" xfId="13109"/>
    <cellStyle name="Percent 2 2 87 3 3" xfId="25799"/>
    <cellStyle name="Percent 2 2 87 3 4" xfId="7402"/>
    <cellStyle name="Percent 2 2 87 3 5" xfId="30089"/>
    <cellStyle name="Percent 2 2 87 4" xfId="8764"/>
    <cellStyle name="Percent 2 2 87 5" xfId="21521"/>
    <cellStyle name="Percent 2 2 87 6" xfId="18028"/>
    <cellStyle name="Percent 2 2 87 7" xfId="29121"/>
    <cellStyle name="Percent 2 2 88" xfId="2016"/>
    <cellStyle name="Percent 2 2 88 2" xfId="4452"/>
    <cellStyle name="Percent 2 2 88 2 2" xfId="11222"/>
    <cellStyle name="Percent 2 2 88 2 3" xfId="23912"/>
    <cellStyle name="Percent 2 2 88 2 4" xfId="19258"/>
    <cellStyle name="Percent 2 2 88 2 5" xfId="26283"/>
    <cellStyle name="Percent 2 2 88 3" xfId="6358"/>
    <cellStyle name="Percent 2 2 88 3 2" xfId="13128"/>
    <cellStyle name="Percent 2 2 88 3 3" xfId="25818"/>
    <cellStyle name="Percent 2 2 88 3 4" xfId="13593"/>
    <cellStyle name="Percent 2 2 88 3 5" xfId="27057"/>
    <cellStyle name="Percent 2 2 88 4" xfId="8786"/>
    <cellStyle name="Percent 2 2 88 5" xfId="21540"/>
    <cellStyle name="Percent 2 2 88 6" xfId="18176"/>
    <cellStyle name="Percent 2 2 88 7" xfId="26982"/>
    <cellStyle name="Percent 2 2 89" xfId="2039"/>
    <cellStyle name="Percent 2 2 89 2" xfId="4474"/>
    <cellStyle name="Percent 2 2 89 2 2" xfId="11244"/>
    <cellStyle name="Percent 2 2 89 2 3" xfId="23934"/>
    <cellStyle name="Percent 2 2 89 2 4" xfId="17206"/>
    <cellStyle name="Percent 2 2 89 2 5" xfId="31241"/>
    <cellStyle name="Percent 2 2 89 3" xfId="6378"/>
    <cellStyle name="Percent 2 2 89 3 2" xfId="13148"/>
    <cellStyle name="Percent 2 2 89 3 3" xfId="25838"/>
    <cellStyle name="Percent 2 2 89 3 4" xfId="13939"/>
    <cellStyle name="Percent 2 2 89 3 5" xfId="27642"/>
    <cellStyle name="Percent 2 2 89 4" xfId="8809"/>
    <cellStyle name="Percent 2 2 89 5" xfId="21560"/>
    <cellStyle name="Percent 2 2 89 6" xfId="18331"/>
    <cellStyle name="Percent 2 2 89 7" xfId="29956"/>
    <cellStyle name="Percent 2 2 9" xfId="212"/>
    <cellStyle name="Percent 2 2 9 2" xfId="2692"/>
    <cellStyle name="Percent 2 2 9 2 2" xfId="9462"/>
    <cellStyle name="Percent 2 2 9 2 3" xfId="22152"/>
    <cellStyle name="Percent 2 2 9 2 4" xfId="18448"/>
    <cellStyle name="Percent 2 2 9 2 5" xfId="27826"/>
    <cellStyle name="Percent 2 2 9 3" xfId="2807"/>
    <cellStyle name="Percent 2 2 9 3 2" xfId="9577"/>
    <cellStyle name="Percent 2 2 9 3 3" xfId="22267"/>
    <cellStyle name="Percent 2 2 9 3 4" xfId="16016"/>
    <cellStyle name="Percent 2 2 9 3 5" xfId="29511"/>
    <cellStyle name="Percent 2 2 9 4" xfId="6982"/>
    <cellStyle name="Percent 2 2 9 5" xfId="13896"/>
    <cellStyle name="Percent 2 2 9 6" xfId="14200"/>
    <cellStyle name="Percent 2 2 9 7" xfId="30252"/>
    <cellStyle name="Percent 2 2 90" xfId="2062"/>
    <cellStyle name="Percent 2 2 90 2" xfId="4496"/>
    <cellStyle name="Percent 2 2 90 2 2" xfId="11266"/>
    <cellStyle name="Percent 2 2 90 2 3" xfId="23956"/>
    <cellStyle name="Percent 2 2 90 2 4" xfId="14674"/>
    <cellStyle name="Percent 2 2 90 2 5" xfId="32127"/>
    <cellStyle name="Percent 2 2 90 3" xfId="6398"/>
    <cellStyle name="Percent 2 2 90 3 2" xfId="13168"/>
    <cellStyle name="Percent 2 2 90 3 3" xfId="25858"/>
    <cellStyle name="Percent 2 2 90 3 4" xfId="16155"/>
    <cellStyle name="Percent 2 2 90 3 5" xfId="28177"/>
    <cellStyle name="Percent 2 2 90 4" xfId="8832"/>
    <cellStyle name="Percent 2 2 90 5" xfId="21580"/>
    <cellStyle name="Percent 2 2 90 6" xfId="13545"/>
    <cellStyle name="Percent 2 2 90 7" xfId="28078"/>
    <cellStyle name="Percent 2 2 91" xfId="2085"/>
    <cellStyle name="Percent 2 2 91 2" xfId="4517"/>
    <cellStyle name="Percent 2 2 91 2 2" xfId="11287"/>
    <cellStyle name="Percent 2 2 91 2 3" xfId="23977"/>
    <cellStyle name="Percent 2 2 91 2 4" xfId="14545"/>
    <cellStyle name="Percent 2 2 91 2 5" xfId="28200"/>
    <cellStyle name="Percent 2 2 91 3" xfId="6418"/>
    <cellStyle name="Percent 2 2 91 3 2" xfId="13188"/>
    <cellStyle name="Percent 2 2 91 3 3" xfId="25878"/>
    <cellStyle name="Percent 2 2 91 3 4" xfId="19976"/>
    <cellStyle name="Percent 2 2 91 3 5" xfId="26964"/>
    <cellStyle name="Percent 2 2 91 4" xfId="8855"/>
    <cellStyle name="Percent 2 2 91 5" xfId="21600"/>
    <cellStyle name="Percent 2 2 91 6" xfId="18159"/>
    <cellStyle name="Percent 2 2 91 7" xfId="31011"/>
    <cellStyle name="Percent 2 2 92" xfId="2108"/>
    <cellStyle name="Percent 2 2 92 2" xfId="4539"/>
    <cellStyle name="Percent 2 2 92 2 2" xfId="11309"/>
    <cellStyle name="Percent 2 2 92 2 3" xfId="23999"/>
    <cellStyle name="Percent 2 2 92 2 4" xfId="18752"/>
    <cellStyle name="Percent 2 2 92 2 5" xfId="29109"/>
    <cellStyle name="Percent 2 2 92 3" xfId="6438"/>
    <cellStyle name="Percent 2 2 92 3 2" xfId="13208"/>
    <cellStyle name="Percent 2 2 92 3 3" xfId="25898"/>
    <cellStyle name="Percent 2 2 92 3 4" xfId="18054"/>
    <cellStyle name="Percent 2 2 92 3 5" xfId="29049"/>
    <cellStyle name="Percent 2 2 92 4" xfId="8878"/>
    <cellStyle name="Percent 2 2 92 5" xfId="21620"/>
    <cellStyle name="Percent 2 2 92 6" xfId="18434"/>
    <cellStyle name="Percent 2 2 92 7" xfId="28958"/>
    <cellStyle name="Percent 2 2 93" xfId="2130"/>
    <cellStyle name="Percent 2 2 93 2" xfId="4559"/>
    <cellStyle name="Percent 2 2 93 2 2" xfId="11329"/>
    <cellStyle name="Percent 2 2 93 2 3" xfId="24019"/>
    <cellStyle name="Percent 2 2 93 2 4" xfId="14261"/>
    <cellStyle name="Percent 2 2 93 2 5" xfId="28140"/>
    <cellStyle name="Percent 2 2 93 3" xfId="6457"/>
    <cellStyle name="Percent 2 2 93 3 2" xfId="13227"/>
    <cellStyle name="Percent 2 2 93 3 3" xfId="25917"/>
    <cellStyle name="Percent 2 2 93 3 4" xfId="15546"/>
    <cellStyle name="Percent 2 2 93 3 5" xfId="31049"/>
    <cellStyle name="Percent 2 2 93 4" xfId="8900"/>
    <cellStyle name="Percent 2 2 93 5" xfId="21639"/>
    <cellStyle name="Percent 2 2 93 6" xfId="18276"/>
    <cellStyle name="Percent 2 2 93 7" xfId="26300"/>
    <cellStyle name="Percent 2 2 94" xfId="2150"/>
    <cellStyle name="Percent 2 2 94 2" xfId="4578"/>
    <cellStyle name="Percent 2 2 94 2 2" xfId="11348"/>
    <cellStyle name="Percent 2 2 94 2 3" xfId="24038"/>
    <cellStyle name="Percent 2 2 94 2 4" xfId="18517"/>
    <cellStyle name="Percent 2 2 94 2 5" xfId="29943"/>
    <cellStyle name="Percent 2 2 94 3" xfId="6475"/>
    <cellStyle name="Percent 2 2 94 3 2" xfId="13245"/>
    <cellStyle name="Percent 2 2 94 3 3" xfId="25935"/>
    <cellStyle name="Percent 2 2 94 3 4" xfId="15440"/>
    <cellStyle name="Percent 2 2 94 3 5" xfId="31017"/>
    <cellStyle name="Percent 2 2 94 4" xfId="8920"/>
    <cellStyle name="Percent 2 2 94 5" xfId="21657"/>
    <cellStyle name="Percent 2 2 94 6" xfId="15521"/>
    <cellStyle name="Percent 2 2 94 7" xfId="28903"/>
    <cellStyle name="Percent 2 2 95" xfId="2168"/>
    <cellStyle name="Percent 2 2 95 2" xfId="4595"/>
    <cellStyle name="Percent 2 2 95 2 2" xfId="11365"/>
    <cellStyle name="Percent 2 2 95 2 3" xfId="24055"/>
    <cellStyle name="Percent 2 2 95 2 4" xfId="14015"/>
    <cellStyle name="Percent 2 2 95 2 5" xfId="28085"/>
    <cellStyle name="Percent 2 2 95 3" xfId="6491"/>
    <cellStyle name="Percent 2 2 95 3 2" xfId="13261"/>
    <cellStyle name="Percent 2 2 95 3 3" xfId="25951"/>
    <cellStyle name="Percent 2 2 95 3 4" xfId="19587"/>
    <cellStyle name="Percent 2 2 95 3 5" xfId="31941"/>
    <cellStyle name="Percent 2 2 95 4" xfId="8938"/>
    <cellStyle name="Percent 2 2 95 5" xfId="21673"/>
    <cellStyle name="Percent 2 2 95 6" xfId="15414"/>
    <cellStyle name="Percent 2 2 95 7" xfId="28874"/>
    <cellStyle name="Percent 2 2 96" xfId="2192"/>
    <cellStyle name="Percent 2 2 96 2" xfId="4617"/>
    <cellStyle name="Percent 2 2 96 2 2" xfId="11387"/>
    <cellStyle name="Percent 2 2 96 2 3" xfId="24077"/>
    <cellStyle name="Percent 2 2 96 2 4" xfId="18280"/>
    <cellStyle name="Percent 2 2 96 2 5" xfId="28994"/>
    <cellStyle name="Percent 2 2 96 3" xfId="6513"/>
    <cellStyle name="Percent 2 2 96 3 2" xfId="13283"/>
    <cellStyle name="Percent 2 2 96 3 3" xfId="25973"/>
    <cellStyle name="Percent 2 2 96 3 4" xfId="17569"/>
    <cellStyle name="Percent 2 2 96 3 5" xfId="29843"/>
    <cellStyle name="Percent 2 2 96 4" xfId="8962"/>
    <cellStyle name="Percent 2 2 96 5" xfId="21695"/>
    <cellStyle name="Percent 2 2 96 6" xfId="15247"/>
    <cellStyle name="Percent 2 2 96 7" xfId="28832"/>
    <cellStyle name="Percent 2 2 97" xfId="2215"/>
    <cellStyle name="Percent 2 2 97 2" xfId="4639"/>
    <cellStyle name="Percent 2 2 97 2 2" xfId="11409"/>
    <cellStyle name="Percent 2 2 97 2 3" xfId="24099"/>
    <cellStyle name="Percent 2 2 97 2 4" xfId="18228"/>
    <cellStyle name="Percent 2 2 97 2 5" xfId="26820"/>
    <cellStyle name="Percent 2 2 97 3" xfId="6533"/>
    <cellStyle name="Percent 2 2 97 3 2" xfId="13303"/>
    <cellStyle name="Percent 2 2 97 3 3" xfId="25993"/>
    <cellStyle name="Percent 2 2 97 3 4" xfId="19350"/>
    <cellStyle name="Percent 2 2 97 3 5" xfId="31888"/>
    <cellStyle name="Percent 2 2 97 4" xfId="8985"/>
    <cellStyle name="Percent 2 2 97 5" xfId="21715"/>
    <cellStyle name="Percent 2 2 97 6" xfId="17478"/>
    <cellStyle name="Percent 2 2 97 7" xfId="31777"/>
    <cellStyle name="Percent 2 2 98" xfId="2245"/>
    <cellStyle name="Percent 2 2 98 2" xfId="4667"/>
    <cellStyle name="Percent 2 2 98 2 2" xfId="11437"/>
    <cellStyle name="Percent 2 2 98 2 3" xfId="24127"/>
    <cellStyle name="Percent 2 2 98 2 4" xfId="15527"/>
    <cellStyle name="Percent 2 2 98 2 5" xfId="27961"/>
    <cellStyle name="Percent 2 2 98 3" xfId="6555"/>
    <cellStyle name="Percent 2 2 98 3 2" xfId="13325"/>
    <cellStyle name="Percent 2 2 98 3 3" xfId="26015"/>
    <cellStyle name="Percent 2 2 98 3 4" xfId="17289"/>
    <cellStyle name="Percent 2 2 98 3 5" xfId="29778"/>
    <cellStyle name="Percent 2 2 98 4" xfId="9015"/>
    <cellStyle name="Percent 2 2 98 5" xfId="21737"/>
    <cellStyle name="Percent 2 2 98 6" xfId="17284"/>
    <cellStyle name="Percent 2 2 98 7" xfId="31723"/>
    <cellStyle name="Percent 2 2 99" xfId="2267"/>
    <cellStyle name="Percent 2 2 99 2" xfId="4688"/>
    <cellStyle name="Percent 2 2 99 2 2" xfId="11458"/>
    <cellStyle name="Percent 2 2 99 2 3" xfId="24148"/>
    <cellStyle name="Percent 2 2 99 2 4" xfId="15693"/>
    <cellStyle name="Percent 2 2 99 2 5" xfId="31861"/>
    <cellStyle name="Percent 2 2 99 3" xfId="6574"/>
    <cellStyle name="Percent 2 2 99 3 2" xfId="13344"/>
    <cellStyle name="Percent 2 2 99 3 3" xfId="26034"/>
    <cellStyle name="Percent 2 2 99 3 4" xfId="14803"/>
    <cellStyle name="Percent 2 2 99 3 5" xfId="26315"/>
    <cellStyle name="Percent 2 2 99 4" xfId="9037"/>
    <cellStyle name="Percent 2 2 99 5" xfId="21756"/>
    <cellStyle name="Percent 2 2 99 6" xfId="14777"/>
    <cellStyle name="Percent 2 2 99 7" xfId="30290"/>
    <cellStyle name="Percent 2 3" xfId="2501"/>
    <cellStyle name="Percent 2 3 2" xfId="9271"/>
    <cellStyle name="Percent 2 3 3" xfId="21962"/>
    <cellStyle name="Percent 2 3 4" xfId="14572"/>
    <cellStyle name="Percent 2 3 5" xfId="29973"/>
    <cellStyle name="Percent 2 4" xfId="2531"/>
    <cellStyle name="Percent 2 4 2" xfId="9301"/>
    <cellStyle name="Percent 2 4 3" xfId="21991"/>
    <cellStyle name="Percent 2 4 4" xfId="14378"/>
    <cellStyle name="Percent 2 4 5" xfId="29935"/>
    <cellStyle name="Percent 2 5" xfId="6781"/>
    <cellStyle name="Percent 2 6" xfId="13580"/>
    <cellStyle name="Percent 2 7" xfId="17926"/>
    <cellStyle name="Percent 2 8" xfId="27933"/>
    <cellStyle name="Percent 3" xfId="11"/>
    <cellStyle name="Percent 3 2" xfId="19"/>
  </cellStyles>
  <dxfs count="29">
    <dxf>
      <font>
        <color theme="1"/>
      </font>
    </dxf>
    <dxf>
      <font>
        <color theme="0"/>
      </font>
    </dxf>
    <dxf>
      <fill>
        <patternFill>
          <bgColor theme="0" tint="-0.14996795556505021"/>
        </patternFill>
      </fill>
    </dxf>
    <dxf>
      <font>
        <color theme="0"/>
      </font>
    </dxf>
    <dxf>
      <font>
        <color theme="1"/>
      </font>
    </dxf>
    <dxf>
      <font>
        <color theme="0" tint="-0.14996795556505021"/>
      </font>
    </dxf>
    <dxf>
      <font>
        <color rgb="FF9C0006"/>
      </font>
      <fill>
        <patternFill patternType="solid">
          <bgColor rgb="FFFFFFFF"/>
        </patternFill>
      </fill>
    </dxf>
    <dxf>
      <font>
        <b/>
        <i val="0"/>
        <color rgb="FFFF000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ndense val="0"/>
        <extend val="0"/>
        <color rgb="FF9C0006"/>
      </font>
      <fill>
        <patternFill>
          <bgColor rgb="FFFFC7CE"/>
        </patternFill>
      </fill>
    </dxf>
    <dxf>
      <fill>
        <patternFill>
          <bgColor theme="8" tint="0.39994506668294322"/>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FFFF99"/>
      <color rgb="FFFFE18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externalLink" Target="externalLinks/externalLink1.xml"/><Relationship Id="rId29" Type="http://schemas.openxmlformats.org/officeDocument/2006/relationships/externalLink" Target="externalLinks/externalLink2.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externalLink" Target="externalLinks/externalLink3.xml"/><Relationship Id="rId31" Type="http://schemas.openxmlformats.org/officeDocument/2006/relationships/externalLink" Target="externalLinks/externalLink4.xml"/><Relationship Id="rId32" Type="http://schemas.openxmlformats.org/officeDocument/2006/relationships/theme" Target="theme/theme1.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styles" Target="styles.xml"/><Relationship Id="rId34" Type="http://schemas.openxmlformats.org/officeDocument/2006/relationships/sharedStrings" Target="sharedStrings.xml"/><Relationship Id="rId35"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5</xdr:col>
      <xdr:colOff>676275</xdr:colOff>
      <xdr:row>19</xdr:row>
      <xdr:rowOff>104775</xdr:rowOff>
    </xdr:from>
    <xdr:to>
      <xdr:col>17</xdr:col>
      <xdr:colOff>476250</xdr:colOff>
      <xdr:row>31</xdr:row>
      <xdr:rowOff>114300</xdr:rowOff>
    </xdr:to>
    <xdr:pic>
      <xdr:nvPicPr>
        <xdr:cNvPr id="94211" name="Picture 3"/>
        <xdr:cNvPicPr>
          <a:picLocks noChangeAspect="1" noChangeArrowheads="1"/>
        </xdr:cNvPicPr>
      </xdr:nvPicPr>
      <xdr:blipFill>
        <a:blip xmlns:r="http://schemas.openxmlformats.org/officeDocument/2006/relationships" r:embed="rId1"/>
        <a:srcRect/>
        <a:stretch>
          <a:fillRect/>
        </a:stretch>
      </xdr:blipFill>
      <xdr:spPr bwMode="auto">
        <a:xfrm>
          <a:off x="6381750" y="3286125"/>
          <a:ext cx="9458325" cy="1952625"/>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371475</xdr:colOff>
      <xdr:row>32</xdr:row>
      <xdr:rowOff>76200</xdr:rowOff>
    </xdr:from>
    <xdr:to>
      <xdr:col>11</xdr:col>
      <xdr:colOff>333375</xdr:colOff>
      <xdr:row>61</xdr:row>
      <xdr:rowOff>104775</xdr:rowOff>
    </xdr:to>
    <xdr:pic>
      <xdr:nvPicPr>
        <xdr:cNvPr id="118786" name="Picture 2"/>
        <xdr:cNvPicPr>
          <a:picLocks noChangeAspect="1" noChangeArrowheads="1"/>
        </xdr:cNvPicPr>
      </xdr:nvPicPr>
      <xdr:blipFill>
        <a:blip xmlns:r="http://schemas.openxmlformats.org/officeDocument/2006/relationships" r:embed="rId1"/>
        <a:srcRect/>
        <a:stretch>
          <a:fillRect/>
        </a:stretch>
      </xdr:blipFill>
      <xdr:spPr bwMode="auto">
        <a:xfrm>
          <a:off x="371475" y="6305550"/>
          <a:ext cx="8658225" cy="55530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523875</xdr:colOff>
      <xdr:row>47</xdr:row>
      <xdr:rowOff>0</xdr:rowOff>
    </xdr:from>
    <xdr:to>
      <xdr:col>19</xdr:col>
      <xdr:colOff>441325</xdr:colOff>
      <xdr:row>70</xdr:row>
      <xdr:rowOff>174625</xdr:rowOff>
    </xdr:to>
    <xdr:pic>
      <xdr:nvPicPr>
        <xdr:cNvPr id="66699" name="Picture 139"/>
        <xdr:cNvPicPr>
          <a:picLocks noChangeAspect="1" noChangeArrowheads="1"/>
        </xdr:cNvPicPr>
      </xdr:nvPicPr>
      <xdr:blipFill>
        <a:blip xmlns:r="http://schemas.openxmlformats.org/officeDocument/2006/relationships" r:embed="rId1"/>
        <a:srcRect/>
        <a:stretch>
          <a:fillRect/>
        </a:stretch>
      </xdr:blipFill>
      <xdr:spPr bwMode="auto">
        <a:xfrm>
          <a:off x="10969625" y="11795125"/>
          <a:ext cx="7045325" cy="4810125"/>
        </a:xfrm>
        <a:prstGeom prst="rect">
          <a:avLst/>
        </a:prstGeom>
        <a:noFill/>
        <a:ln w="1">
          <a:noFill/>
          <a:miter lim="800000"/>
          <a:headEnd/>
          <a:tailEnd type="none" w="med" len="med"/>
        </a:ln>
        <a:effectLst/>
      </xdr:spPr>
    </xdr:pic>
    <xdr:clientData/>
  </xdr:twoCellAnchor>
  <xdr:twoCellAnchor editAs="oneCell">
    <xdr:from>
      <xdr:col>12</xdr:col>
      <xdr:colOff>396875</xdr:colOff>
      <xdr:row>48</xdr:row>
      <xdr:rowOff>0</xdr:rowOff>
    </xdr:from>
    <xdr:to>
      <xdr:col>18</xdr:col>
      <xdr:colOff>307975</xdr:colOff>
      <xdr:row>69</xdr:row>
      <xdr:rowOff>174625</xdr:rowOff>
    </xdr:to>
    <xdr:pic>
      <xdr:nvPicPr>
        <xdr:cNvPr id="66700" name="Picture 140"/>
        <xdr:cNvPicPr>
          <a:picLocks noChangeAspect="1" noChangeArrowheads="1"/>
        </xdr:cNvPicPr>
      </xdr:nvPicPr>
      <xdr:blipFill>
        <a:blip xmlns:r="http://schemas.openxmlformats.org/officeDocument/2006/relationships" r:embed="rId2"/>
        <a:srcRect/>
        <a:stretch>
          <a:fillRect/>
        </a:stretch>
      </xdr:blipFill>
      <xdr:spPr bwMode="auto">
        <a:xfrm>
          <a:off x="11763375" y="12001500"/>
          <a:ext cx="5149850" cy="4413250"/>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721178</xdr:colOff>
      <xdr:row>605</xdr:row>
      <xdr:rowOff>136072</xdr:rowOff>
    </xdr:from>
    <xdr:to>
      <xdr:col>21</xdr:col>
      <xdr:colOff>44223</xdr:colOff>
      <xdr:row>619</xdr:row>
      <xdr:rowOff>93891</xdr:rowOff>
    </xdr:to>
    <xdr:pic>
      <xdr:nvPicPr>
        <xdr:cNvPr id="5" name="Picture 32" hidden="1"/>
        <xdr:cNvPicPr>
          <a:picLocks noChangeAspect="1" noChangeArrowheads="1"/>
        </xdr:cNvPicPr>
      </xdr:nvPicPr>
      <xdr:blipFill>
        <a:blip xmlns:r="http://schemas.openxmlformats.org/officeDocument/2006/relationships" r:embed="rId1"/>
        <a:srcRect/>
        <a:stretch>
          <a:fillRect/>
        </a:stretch>
      </xdr:blipFill>
      <xdr:spPr bwMode="auto">
        <a:xfrm>
          <a:off x="28724678" y="114817072"/>
          <a:ext cx="605518" cy="2291444"/>
        </a:xfrm>
        <a:prstGeom prst="rect">
          <a:avLst/>
        </a:prstGeom>
        <a:noFill/>
        <a:ln w="1">
          <a:noFill/>
          <a:miter lim="800000"/>
          <a:headEnd/>
          <a:tailEnd type="none" w="med" len="med"/>
        </a:ln>
        <a:effectLst/>
      </xdr:spPr>
    </xdr:pic>
    <xdr:clientData/>
  </xdr:twoCellAnchor>
  <xdr:oneCellAnchor>
    <xdr:from>
      <xdr:col>20</xdr:col>
      <xdr:colOff>1</xdr:colOff>
      <xdr:row>0</xdr:row>
      <xdr:rowOff>0</xdr:rowOff>
    </xdr:from>
    <xdr:ext cx="1496785" cy="1074964"/>
    <xdr:pic>
      <xdr:nvPicPr>
        <xdr:cNvPr id="6" name="image00.png"/>
        <xdr:cNvPicPr preferRelativeResize="0"/>
      </xdr:nvPicPr>
      <xdr:blipFill>
        <a:blip xmlns:r="http://schemas.openxmlformats.org/officeDocument/2006/relationships" r:embed="rId2" cstate="print"/>
        <a:stretch>
          <a:fillRect/>
        </a:stretch>
      </xdr:blipFill>
      <xdr:spPr>
        <a:xfrm>
          <a:off x="1" y="0"/>
          <a:ext cx="1496785" cy="1074964"/>
        </a:xfrm>
        <a:prstGeom prst="rect">
          <a:avLst/>
        </a:prstGeom>
        <a:noFill/>
      </xdr:spPr>
    </xdr:pic>
    <xdr:clientData fLocksWithSheet="0"/>
  </xdr:oneCellAnchor>
  <xdr:twoCellAnchor>
    <xdr:from>
      <xdr:col>20</xdr:col>
      <xdr:colOff>0</xdr:colOff>
      <xdr:row>0</xdr:row>
      <xdr:rowOff>0</xdr:rowOff>
    </xdr:from>
    <xdr:to>
      <xdr:col>28</xdr:col>
      <xdr:colOff>1276350</xdr:colOff>
      <xdr:row>46</xdr:row>
      <xdr:rowOff>57150</xdr:rowOff>
    </xdr:to>
    <xdr:sp macro="" textlink="">
      <xdr:nvSpPr>
        <xdr:cNvPr id="7" name="AutoShape 5"/>
        <xdr:cNvSpPr>
          <a:spLocks noChangeArrowheads="1"/>
        </xdr:cNvSpPr>
      </xdr:nvSpPr>
      <xdr:spPr bwMode="auto">
        <a:xfrm>
          <a:off x="0" y="0"/>
          <a:ext cx="14544675" cy="9915525"/>
        </a:xfrm>
        <a:custGeom>
          <a:avLst/>
          <a:gdLst/>
          <a:ahLst/>
          <a:cxnLst/>
          <a:rect l="0" t="0" r="0" b="0"/>
          <a:pathLst/>
        </a:custGeom>
        <a:solidFill>
          <a:srgbClr val="FFFFFF"/>
        </a:solid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ruz.ma/Desktop/EDC%20DG%20Cost%20Controlling/Cost%20Monitoring/319D/14%20-%20AFE_319D_02.04.2014_DD%20new%20rates_rig%20cost_13Feb20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arlos.gcr/Downloads/WGED/_WELLS/Mt.%20Apo/Kanlas/KN1RD/KN1RD%20WO9%20IDS%20Cost%20Master_AH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l-ahmadgaidasaad/Library/Group%20Containers/3L68KQB4HG.group.com.readdle.smartemail/cache/messagesData/2/1650/SAP%20INTEGRATION/Drilling%20Inventory%20Report%20for%20AFE%2005-04-20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reguis.mu/Desktop/MARICRIS%20FOLDERS/COST%20CONTROLLER/AFE%20TEMPLATE/AFE%20DRILLING/AFE%20DIRECTIONAL%20RATES%20&amp;%20SCHEDU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IDS Input"/>
      <sheetName val="Cover Sheet"/>
      <sheetName val="DVD Input"/>
      <sheetName val="COST SUMMARY"/>
      <sheetName val="INPUT"/>
      <sheetName val="Cost Details"/>
      <sheetName val="JARSSHOCKTOOLDDT"/>
      <sheetName val="Casing Running"/>
      <sheetName val="MUD Summary"/>
      <sheetName val="CSG &amp; ACCS OTHERS"/>
      <sheetName val="CEMENT &amp; ADDITIVES"/>
      <sheetName val="ADA COSTS"/>
      <sheetName val="ALOCATED COSTS"/>
      <sheetName val="EQUIPMENT"/>
      <sheetName val="Sheet1"/>
      <sheetName val="Sheet2"/>
      <sheetName val="COST SUMMARY (2)"/>
      <sheetName val="summary Z-A"/>
      <sheetName val="TPWSI RR"/>
    </sheetNames>
    <sheetDataSet>
      <sheetData sheetId="0">
        <row r="3">
          <cell r="C3" t="str">
            <v>Barite</v>
          </cell>
          <cell r="D3" t="str">
            <v>USD</v>
          </cell>
          <cell r="E3">
            <v>7.1</v>
          </cell>
          <cell r="F3" t="str">
            <v>283 :: Mud and Chemicals</v>
          </cell>
        </row>
        <row r="4">
          <cell r="C4" t="str">
            <v>Calcium Carbonate</v>
          </cell>
          <cell r="D4" t="str">
            <v>USD</v>
          </cell>
          <cell r="E4">
            <v>7.1</v>
          </cell>
          <cell r="F4" t="str">
            <v>283 :: Mud and Chemicals</v>
          </cell>
        </row>
        <row r="5">
          <cell r="C5" t="str">
            <v>Bentonite</v>
          </cell>
          <cell r="D5" t="str">
            <v>USD</v>
          </cell>
          <cell r="E5">
            <v>22.57</v>
          </cell>
          <cell r="F5" t="str">
            <v>283 :: Mud and Chemicals</v>
          </cell>
        </row>
        <row r="6">
          <cell r="C6" t="str">
            <v>Duovis</v>
          </cell>
          <cell r="D6" t="str">
            <v>USD</v>
          </cell>
          <cell r="E6">
            <v>12.11</v>
          </cell>
          <cell r="F6" t="str">
            <v>283 :: Mud and Chemicals</v>
          </cell>
        </row>
        <row r="7">
          <cell r="C7" t="str">
            <v>Xanplex D</v>
          </cell>
          <cell r="D7" t="str">
            <v>USD</v>
          </cell>
          <cell r="E7">
            <v>188.47</v>
          </cell>
          <cell r="F7" t="str">
            <v>283 :: Mud and Chemicals</v>
          </cell>
        </row>
        <row r="8">
          <cell r="C8" t="str">
            <v>Xanplex L</v>
          </cell>
          <cell r="D8" t="str">
            <v>USD</v>
          </cell>
          <cell r="E8">
            <v>191.6</v>
          </cell>
          <cell r="F8" t="str">
            <v>283 :: Mud and Chemicals</v>
          </cell>
        </row>
        <row r="9">
          <cell r="C9" t="str">
            <v>Newdrill</v>
          </cell>
          <cell r="D9" t="str">
            <v>USD</v>
          </cell>
          <cell r="E9">
            <v>75.72</v>
          </cell>
          <cell r="F9" t="str">
            <v>283 :: Mud and Chemicals</v>
          </cell>
        </row>
        <row r="10">
          <cell r="C10" t="str">
            <v>SP 300</v>
          </cell>
          <cell r="D10" t="str">
            <v>USD</v>
          </cell>
          <cell r="E10">
            <v>346</v>
          </cell>
          <cell r="F10" t="str">
            <v>283 :: Mud and Chemicals</v>
          </cell>
        </row>
        <row r="11">
          <cell r="C11" t="str">
            <v>Resinex II</v>
          </cell>
          <cell r="D11" t="str">
            <v>USD</v>
          </cell>
          <cell r="E11">
            <v>38</v>
          </cell>
          <cell r="F11" t="str">
            <v>283 :: Mud and Chemicals</v>
          </cell>
        </row>
        <row r="12">
          <cell r="C12" t="str">
            <v>Mil-Pac R</v>
          </cell>
          <cell r="D12" t="str">
            <v>USD</v>
          </cell>
          <cell r="E12">
            <v>105.68</v>
          </cell>
          <cell r="F12" t="str">
            <v>283 :: Mud and Chemicals</v>
          </cell>
        </row>
        <row r="13">
          <cell r="C13" t="str">
            <v>Mil-Pac LV</v>
          </cell>
          <cell r="D13" t="str">
            <v>USD</v>
          </cell>
          <cell r="E13">
            <v>99.14</v>
          </cell>
          <cell r="F13" t="str">
            <v>283 :: Mud and Chemicals</v>
          </cell>
        </row>
        <row r="14">
          <cell r="C14" t="str">
            <v>Biopaq</v>
          </cell>
          <cell r="D14" t="str">
            <v>USD</v>
          </cell>
          <cell r="E14">
            <v>147.19</v>
          </cell>
          <cell r="F14" t="str">
            <v>283 :: Mud and Chemicals</v>
          </cell>
        </row>
        <row r="15">
          <cell r="C15" t="str">
            <v>Kem-Seal</v>
          </cell>
          <cell r="D15" t="str">
            <v>USD</v>
          </cell>
          <cell r="E15">
            <v>490.1</v>
          </cell>
          <cell r="F15" t="str">
            <v>283 :: Mud and Chemicals</v>
          </cell>
        </row>
        <row r="16">
          <cell r="C16" t="str">
            <v>Tannathin (Lignite)</v>
          </cell>
          <cell r="D16" t="str">
            <v>USD</v>
          </cell>
          <cell r="E16">
            <v>71.31</v>
          </cell>
          <cell r="F16" t="str">
            <v>283 :: Mud and Chemicals</v>
          </cell>
        </row>
        <row r="17">
          <cell r="C17" t="str">
            <v>Tessolig (Lignite)</v>
          </cell>
          <cell r="D17" t="str">
            <v>USD</v>
          </cell>
          <cell r="E17">
            <v>71.31</v>
          </cell>
          <cell r="F17" t="str">
            <v>283 :: Mud and Chemicals</v>
          </cell>
        </row>
        <row r="18">
          <cell r="C18" t="str">
            <v>Tessodril BS 1304 (Lignite)</v>
          </cell>
          <cell r="D18" t="str">
            <v>USD</v>
          </cell>
          <cell r="E18">
            <v>83.3</v>
          </cell>
          <cell r="F18" t="str">
            <v>283 :: Mud and Chemicals</v>
          </cell>
        </row>
        <row r="19">
          <cell r="C19" t="str">
            <v>All Temp</v>
          </cell>
          <cell r="D19" t="str">
            <v>USD</v>
          </cell>
          <cell r="E19">
            <v>226.55</v>
          </cell>
          <cell r="F19" t="str">
            <v>283 :: Mud and Chemicals</v>
          </cell>
        </row>
        <row r="20">
          <cell r="C20" t="str">
            <v>Amitec</v>
          </cell>
          <cell r="D20" t="str">
            <v>USD</v>
          </cell>
          <cell r="E20">
            <v>1598.84</v>
          </cell>
          <cell r="F20" t="str">
            <v>283 :: Mud and Chemicals</v>
          </cell>
        </row>
        <row r="21">
          <cell r="C21" t="str">
            <v>Conqor 303</v>
          </cell>
          <cell r="D21" t="str">
            <v>USD</v>
          </cell>
          <cell r="E21">
            <v>1082.7</v>
          </cell>
          <cell r="F21" t="str">
            <v>283 :: Mud and Chemicals</v>
          </cell>
        </row>
        <row r="22">
          <cell r="C22" t="str">
            <v>Noxygen</v>
          </cell>
          <cell r="D22" t="str">
            <v>USD</v>
          </cell>
          <cell r="E22">
            <v>750.54</v>
          </cell>
          <cell r="F22" t="str">
            <v>283 :: Mud and Chemicals</v>
          </cell>
        </row>
        <row r="23">
          <cell r="C23" t="str">
            <v>OS-1</v>
          </cell>
          <cell r="D23" t="str">
            <v>USD</v>
          </cell>
          <cell r="E23">
            <v>368.48</v>
          </cell>
          <cell r="F23" t="str">
            <v>283 :: Mud and Chemicals</v>
          </cell>
        </row>
        <row r="24">
          <cell r="C24" t="str">
            <v>OS-1L</v>
          </cell>
          <cell r="D24" t="str">
            <v>USD</v>
          </cell>
          <cell r="E24">
            <v>368.48</v>
          </cell>
          <cell r="F24" t="str">
            <v>283 :: Mud and Chemicals</v>
          </cell>
        </row>
        <row r="25">
          <cell r="C25" t="str">
            <v>Zinc Carbonate</v>
          </cell>
          <cell r="D25" t="str">
            <v>USD</v>
          </cell>
          <cell r="E25">
            <v>152.16999999999999</v>
          </cell>
          <cell r="F25" t="str">
            <v>283 :: Mud and Chemicals</v>
          </cell>
        </row>
        <row r="26">
          <cell r="C26" t="str">
            <v>Mil-Gard L</v>
          </cell>
          <cell r="D26" t="str">
            <v>USD</v>
          </cell>
          <cell r="E26">
            <v>848.56</v>
          </cell>
          <cell r="F26" t="str">
            <v>283 :: Mud and Chemicals</v>
          </cell>
        </row>
        <row r="27">
          <cell r="C27" t="str">
            <v>KD-40</v>
          </cell>
          <cell r="D27" t="str">
            <v>USD</v>
          </cell>
          <cell r="E27">
            <v>1773.72</v>
          </cell>
          <cell r="F27" t="str">
            <v>283 :: Mud and Chemicals</v>
          </cell>
        </row>
        <row r="28">
          <cell r="C28" t="str">
            <v>Product 2077</v>
          </cell>
          <cell r="D28" t="str">
            <v>USD</v>
          </cell>
          <cell r="E28">
            <v>1082.7</v>
          </cell>
          <cell r="F28" t="str">
            <v>283 :: Mud and Chemicals</v>
          </cell>
        </row>
        <row r="29">
          <cell r="C29" t="str">
            <v>Corrosion Ring</v>
          </cell>
          <cell r="D29" t="str">
            <v>USD</v>
          </cell>
          <cell r="E29">
            <v>100</v>
          </cell>
          <cell r="F29" t="str">
            <v>283 :: Mud and Chemicals</v>
          </cell>
        </row>
        <row r="30">
          <cell r="C30" t="str">
            <v>BS 1901</v>
          </cell>
          <cell r="D30" t="str">
            <v>USD</v>
          </cell>
          <cell r="E30">
            <v>78</v>
          </cell>
          <cell r="F30" t="str">
            <v>283 :: Mud and Chemicals</v>
          </cell>
        </row>
        <row r="31">
          <cell r="C31" t="str">
            <v>CX 601L</v>
          </cell>
          <cell r="D31" t="str">
            <v>USD</v>
          </cell>
          <cell r="E31">
            <v>78</v>
          </cell>
          <cell r="F31" t="str">
            <v>283 :: Mud and Chemicals</v>
          </cell>
        </row>
        <row r="32">
          <cell r="C32" t="str">
            <v>WO Defoam</v>
          </cell>
          <cell r="D32" t="str">
            <v>USD</v>
          </cell>
          <cell r="E32">
            <v>78</v>
          </cell>
          <cell r="F32" t="str">
            <v>283 :: Mud and Chemicals</v>
          </cell>
        </row>
        <row r="33">
          <cell r="C33" t="str">
            <v>LD-10</v>
          </cell>
          <cell r="D33" t="str">
            <v>USD</v>
          </cell>
          <cell r="E33">
            <v>126.38</v>
          </cell>
          <cell r="F33" t="str">
            <v>283 :: Mud and Chemicals</v>
          </cell>
        </row>
        <row r="34">
          <cell r="C34" t="str">
            <v>Aluminum Stearate</v>
          </cell>
          <cell r="D34" t="str">
            <v>USD</v>
          </cell>
          <cell r="E34">
            <v>78</v>
          </cell>
          <cell r="F34" t="str">
            <v>283 :: Mud and Chemicals</v>
          </cell>
        </row>
        <row r="35">
          <cell r="C35" t="str">
            <v>Sodium Bicarbonate</v>
          </cell>
          <cell r="D35" t="str">
            <v>USD</v>
          </cell>
          <cell r="E35">
            <v>21.55</v>
          </cell>
          <cell r="F35" t="str">
            <v>283 :: Mud and Chemicals</v>
          </cell>
        </row>
        <row r="36">
          <cell r="C36" t="str">
            <v>Soda Ash</v>
          </cell>
          <cell r="D36" t="str">
            <v>USD</v>
          </cell>
          <cell r="E36">
            <v>10.5</v>
          </cell>
          <cell r="F36" t="str">
            <v>283 :: Mud and Chemicals</v>
          </cell>
        </row>
        <row r="37">
          <cell r="C37" t="str">
            <v>Lime</v>
          </cell>
          <cell r="D37" t="str">
            <v>USD</v>
          </cell>
          <cell r="E37">
            <v>18.920000000000002</v>
          </cell>
          <cell r="F37" t="str">
            <v>283 :: Mud and Chemicals</v>
          </cell>
        </row>
        <row r="38">
          <cell r="C38" t="str">
            <v>Caustic Soda (pH Control)</v>
          </cell>
          <cell r="D38" t="str">
            <v>USD</v>
          </cell>
          <cell r="E38">
            <v>31.35</v>
          </cell>
          <cell r="F38" t="str">
            <v>283 :: Mud and Chemicals</v>
          </cell>
        </row>
        <row r="39">
          <cell r="C39" t="str">
            <v>Claytrol</v>
          </cell>
          <cell r="D39" t="str">
            <v>USD</v>
          </cell>
          <cell r="E39">
            <v>1372.05</v>
          </cell>
          <cell r="F39" t="str">
            <v>283 :: Mud and Chemicals</v>
          </cell>
        </row>
        <row r="40">
          <cell r="C40" t="str">
            <v>Penetrex</v>
          </cell>
          <cell r="D40" t="str">
            <v>USD</v>
          </cell>
          <cell r="E40">
            <v>1770.73</v>
          </cell>
          <cell r="F40" t="str">
            <v>283 :: Mud and Chemicals</v>
          </cell>
        </row>
        <row r="41">
          <cell r="C41" t="str">
            <v>Asphasol</v>
          </cell>
          <cell r="D41" t="str">
            <v>USD</v>
          </cell>
          <cell r="E41">
            <v>1080.8</v>
          </cell>
          <cell r="F41" t="str">
            <v>283 :: Mud and Chemicals</v>
          </cell>
        </row>
        <row r="42">
          <cell r="C42" t="str">
            <v>Hole Coat</v>
          </cell>
          <cell r="D42" t="str">
            <v>USD</v>
          </cell>
          <cell r="E42">
            <v>1080.8</v>
          </cell>
          <cell r="F42" t="str">
            <v>283 :: Mud and Chemicals</v>
          </cell>
        </row>
        <row r="43">
          <cell r="C43" t="str">
            <v>BS2101 - PF Solution</v>
          </cell>
          <cell r="D43" t="str">
            <v>USD</v>
          </cell>
          <cell r="E43">
            <v>1080.8</v>
          </cell>
          <cell r="F43" t="str">
            <v>283 :: Mud and Chemicals</v>
          </cell>
        </row>
        <row r="44">
          <cell r="C44" t="str">
            <v>BS 2305 - Lubricant</v>
          </cell>
          <cell r="D44" t="str">
            <v>USD</v>
          </cell>
          <cell r="E44">
            <v>1080.8</v>
          </cell>
          <cell r="F44" t="str">
            <v>283 :: Mud and Chemicals</v>
          </cell>
        </row>
        <row r="45">
          <cell r="C45" t="str">
            <v>Euro LCM</v>
          </cell>
          <cell r="D45" t="str">
            <v>USD</v>
          </cell>
          <cell r="E45">
            <v>47.45</v>
          </cell>
          <cell r="F45" t="str">
            <v>283 :: Mud and Chemicals</v>
          </cell>
        </row>
        <row r="46">
          <cell r="C46" t="str">
            <v>NFS Super Squeeze</v>
          </cell>
          <cell r="D46" t="str">
            <v>USD</v>
          </cell>
          <cell r="E46">
            <v>50</v>
          </cell>
          <cell r="F46" t="str">
            <v>283 :: Mud and Chemicals</v>
          </cell>
        </row>
        <row r="47">
          <cell r="C47" t="str">
            <v>X-Link</v>
          </cell>
          <cell r="D47" t="str">
            <v>USD</v>
          </cell>
          <cell r="E47">
            <v>242.8</v>
          </cell>
          <cell r="F47" t="str">
            <v>283 :: Mud and Chemicals</v>
          </cell>
        </row>
        <row r="48">
          <cell r="C48" t="str">
            <v>X-Link ACR</v>
          </cell>
          <cell r="D48" t="str">
            <v>USD</v>
          </cell>
          <cell r="E48">
            <v>32.69</v>
          </cell>
          <cell r="F48" t="str">
            <v>283 :: Mud and Chemicals</v>
          </cell>
        </row>
        <row r="49">
          <cell r="C49" t="str">
            <v>X-Link ATR</v>
          </cell>
          <cell r="D49" t="str">
            <v>USD</v>
          </cell>
          <cell r="E49">
            <v>50</v>
          </cell>
          <cell r="F49" t="str">
            <v>283 :: Mud and Chemicals</v>
          </cell>
        </row>
        <row r="50">
          <cell r="C50" t="str">
            <v>Glute 16</v>
          </cell>
          <cell r="D50" t="str">
            <v>USD</v>
          </cell>
          <cell r="E50">
            <v>250</v>
          </cell>
          <cell r="F50" t="str">
            <v>283 :: Mud and Chemicals</v>
          </cell>
        </row>
        <row r="51">
          <cell r="C51" t="str">
            <v>Glutaraldehyde</v>
          </cell>
          <cell r="D51" t="str">
            <v>USD</v>
          </cell>
          <cell r="E51">
            <v>250</v>
          </cell>
          <cell r="F51" t="str">
            <v>283 :: Mud and Chemicals</v>
          </cell>
        </row>
        <row r="52">
          <cell r="C52" t="str">
            <v>26'' Tricone Bit</v>
          </cell>
          <cell r="D52" t="str">
            <v>USD</v>
          </cell>
          <cell r="E52">
            <v>42741</v>
          </cell>
          <cell r="F52" t="str">
            <v>286 :: Rockbits</v>
          </cell>
        </row>
        <row r="53">
          <cell r="C53" t="str">
            <v>23" Tricone Bit</v>
          </cell>
          <cell r="D53" t="str">
            <v>USD</v>
          </cell>
          <cell r="E53">
            <v>48166</v>
          </cell>
          <cell r="F53" t="str">
            <v>286 :: Rockbits</v>
          </cell>
        </row>
        <row r="54">
          <cell r="C54" t="str">
            <v>17-1/2" Tricone Bit</v>
          </cell>
          <cell r="D54" t="str">
            <v>USD</v>
          </cell>
          <cell r="E54">
            <v>14953.32</v>
          </cell>
          <cell r="F54" t="str">
            <v>286 :: Rockbits</v>
          </cell>
        </row>
        <row r="55">
          <cell r="C55" t="str">
            <v>17" Tricone Bit</v>
          </cell>
          <cell r="D55" t="str">
            <v>USD</v>
          </cell>
          <cell r="E55">
            <v>35040</v>
          </cell>
          <cell r="F55" t="str">
            <v>286 :: Rockbits</v>
          </cell>
        </row>
        <row r="56">
          <cell r="C56" t="str">
            <v>12-1/4" Tricone Bit</v>
          </cell>
          <cell r="D56" t="str">
            <v>USD</v>
          </cell>
          <cell r="E56">
            <v>41411</v>
          </cell>
          <cell r="F56" t="str">
            <v>286 :: Rockbits</v>
          </cell>
        </row>
        <row r="57">
          <cell r="C57" t="str">
            <v>12-1/4" PDC Bit</v>
          </cell>
          <cell r="D57" t="str">
            <v>USD</v>
          </cell>
          <cell r="E57">
            <v>85879</v>
          </cell>
          <cell r="F57" t="str">
            <v>286 :: Rockbits</v>
          </cell>
        </row>
        <row r="58">
          <cell r="C58" t="str">
            <v>9-7/8" Tricone Bit</v>
          </cell>
          <cell r="D58" t="str">
            <v>USD</v>
          </cell>
          <cell r="E58">
            <v>32219</v>
          </cell>
          <cell r="F58" t="str">
            <v>286 :: Rockbits</v>
          </cell>
        </row>
        <row r="59">
          <cell r="C59" t="str">
            <v>9-7/8" PDC Bit</v>
          </cell>
          <cell r="D59" t="str">
            <v>USD</v>
          </cell>
          <cell r="E59">
            <v>64554</v>
          </cell>
          <cell r="F59" t="str">
            <v>286 :: Rockbits</v>
          </cell>
        </row>
        <row r="60">
          <cell r="C60" t="str">
            <v>8-1/2'' Tricone Bit</v>
          </cell>
          <cell r="D60" t="str">
            <v>USD</v>
          </cell>
          <cell r="E60">
            <v>27903</v>
          </cell>
          <cell r="F60" t="str">
            <v>286 :: Rockbits</v>
          </cell>
        </row>
        <row r="61">
          <cell r="C61" t="str">
            <v>8-1/2'' PDC Bit</v>
          </cell>
          <cell r="D61" t="str">
            <v>USD</v>
          </cell>
          <cell r="E61">
            <v>51591</v>
          </cell>
          <cell r="F61" t="str">
            <v>286 :: Rockbits</v>
          </cell>
        </row>
        <row r="62">
          <cell r="C62" t="str">
            <v>7-7/8" Tricone Bit</v>
          </cell>
          <cell r="D62" t="str">
            <v>USD</v>
          </cell>
          <cell r="E62">
            <v>25671</v>
          </cell>
          <cell r="F62" t="str">
            <v>286 :: Rockbits</v>
          </cell>
        </row>
        <row r="63">
          <cell r="C63" t="str">
            <v>6" Tricone Bit</v>
          </cell>
          <cell r="D63" t="str">
            <v>USD</v>
          </cell>
          <cell r="E63">
            <v>19247</v>
          </cell>
          <cell r="F63" t="str">
            <v>286 :: Rockbits</v>
          </cell>
        </row>
        <row r="64">
          <cell r="C64" t="str">
            <v>Shale Shaker Screens</v>
          </cell>
          <cell r="D64" t="str">
            <v>PHP</v>
          </cell>
          <cell r="E64">
            <v>3253.4374999999995</v>
          </cell>
          <cell r="F64" t="str">
            <v>287 :: Drilling Supplies</v>
          </cell>
        </row>
        <row r="65">
          <cell r="C65" t="str">
            <v>32" TCI Cutters</v>
          </cell>
          <cell r="D65" t="str">
            <v>PHP</v>
          </cell>
          <cell r="E65">
            <v>1412980.92</v>
          </cell>
          <cell r="F65" t="str">
            <v>287 :: Drilling Supplies</v>
          </cell>
        </row>
        <row r="66">
          <cell r="C66" t="str">
            <v>CONDUCTOR PIPE, 36" OD</v>
          </cell>
          <cell r="D66" t="str">
            <v>PHP</v>
          </cell>
          <cell r="E66">
            <v>113584.01</v>
          </cell>
          <cell r="F66" t="str">
            <v>288 :: Casings and Wellhead</v>
          </cell>
        </row>
        <row r="67">
          <cell r="C67" t="str">
            <v>DEEP CONDUCTOR PIPE (BAUER)</v>
          </cell>
          <cell r="D67" t="str">
            <v>PHP</v>
          </cell>
          <cell r="E67">
            <v>2983787.81</v>
          </cell>
          <cell r="F67" t="str">
            <v>288 :: Casings and Wellhead</v>
          </cell>
        </row>
        <row r="68">
          <cell r="C68" t="str">
            <v>26" CASING (X56, 203 ppf, LEOPARD SD)</v>
          </cell>
          <cell r="D68" t="str">
            <v>PHP</v>
          </cell>
          <cell r="E68">
            <v>393340</v>
          </cell>
          <cell r="F68" t="str">
            <v>288 :: Casings and Wellhead</v>
          </cell>
        </row>
        <row r="69">
          <cell r="C69" t="str">
            <v>26" FLOAT SHOE (Stab-In/Latch-In, Butt-Weld)</v>
          </cell>
          <cell r="D69" t="str">
            <v>PHP</v>
          </cell>
          <cell r="E69">
            <v>146612.5</v>
          </cell>
          <cell r="F69" t="str">
            <v>288 :: Casings and Wellhead</v>
          </cell>
        </row>
        <row r="70">
          <cell r="C70" t="str">
            <v>26" CENTRALIZER (26" x 32")</v>
          </cell>
          <cell r="D70" t="str">
            <v>PHP</v>
          </cell>
          <cell r="E70">
            <v>5274</v>
          </cell>
          <cell r="F70" t="str">
            <v>288 :: Casings and Wellhead</v>
          </cell>
        </row>
        <row r="71">
          <cell r="C71" t="str">
            <v>18-5/8" CASING (K55, 117 ppf, BTC)</v>
          </cell>
          <cell r="D71" t="str">
            <v>PHP</v>
          </cell>
          <cell r="E71">
            <v>139200</v>
          </cell>
          <cell r="F71" t="str">
            <v>288 :: Casings and Wellhead</v>
          </cell>
        </row>
        <row r="72">
          <cell r="C72" t="str">
            <v>18-5/8" FLOAT SHOE</v>
          </cell>
          <cell r="D72" t="str">
            <v>PHP</v>
          </cell>
          <cell r="E72">
            <v>69600</v>
          </cell>
          <cell r="F72" t="str">
            <v>288 :: Casings and Wellhead</v>
          </cell>
        </row>
        <row r="73">
          <cell r="C73" t="str">
            <v>18-5/8" FLOAT COLLAR</v>
          </cell>
          <cell r="D73" t="str">
            <v>PHP</v>
          </cell>
          <cell r="E73">
            <v>70252.5</v>
          </cell>
          <cell r="F73" t="str">
            <v>288 :: Casings and Wellhead</v>
          </cell>
        </row>
        <row r="74">
          <cell r="C74" t="str">
            <v>18-5/8" CENTRALIZER (18-5/8" x 23")</v>
          </cell>
          <cell r="D74" t="str">
            <v>PHP</v>
          </cell>
          <cell r="E74">
            <v>3559.95</v>
          </cell>
          <cell r="F74" t="str">
            <v>288 :: Casings and Wellhead</v>
          </cell>
        </row>
        <row r="75">
          <cell r="C75" t="str">
            <v>18-5/8" CEMENT BASKET (18-5/8" x 23")</v>
          </cell>
          <cell r="D75" t="str">
            <v>PHP</v>
          </cell>
          <cell r="E75">
            <v>10548</v>
          </cell>
          <cell r="F75" t="str">
            <v>288 :: Casings and Wellhead</v>
          </cell>
        </row>
        <row r="76">
          <cell r="C76" t="str">
            <v>18-5/8" DV COLLAR</v>
          </cell>
          <cell r="D76" t="str">
            <v>PHP</v>
          </cell>
          <cell r="E76">
            <v>769540</v>
          </cell>
          <cell r="F76" t="str">
            <v>288 :: Casings and Wellhead</v>
          </cell>
        </row>
        <row r="77">
          <cell r="C77" t="str">
            <v>13-3/8" CASING (L80, 68 ppf, SL Boss)</v>
          </cell>
          <cell r="D77" t="str">
            <v>PHP</v>
          </cell>
          <cell r="E77">
            <v>84243.12</v>
          </cell>
          <cell r="F77" t="str">
            <v>288 :: Casings and Wellhead</v>
          </cell>
        </row>
        <row r="78">
          <cell r="C78" t="str">
            <v>13-3/8" FLOAT SHOE</v>
          </cell>
          <cell r="D78" t="str">
            <v>PHP</v>
          </cell>
          <cell r="E78">
            <v>114804.7</v>
          </cell>
          <cell r="F78" t="str">
            <v>288 :: Casings and Wellhead</v>
          </cell>
        </row>
        <row r="79">
          <cell r="C79" t="str">
            <v>13-3/8" FLOAT COLLAR</v>
          </cell>
          <cell r="D79" t="str">
            <v>PHP</v>
          </cell>
          <cell r="E79">
            <v>177075.49</v>
          </cell>
          <cell r="F79" t="str">
            <v>288 :: Casings and Wellhead</v>
          </cell>
        </row>
        <row r="80">
          <cell r="C80" t="str">
            <v>13-3/8" CENTRALIZER (13-3/8" x 17")</v>
          </cell>
          <cell r="D80" t="str">
            <v>PHP</v>
          </cell>
          <cell r="E80">
            <v>2944.65</v>
          </cell>
          <cell r="F80" t="str">
            <v>288 :: Casings and Wellhead</v>
          </cell>
        </row>
        <row r="81">
          <cell r="C81" t="str">
            <v>13-3/8" CEMENT BASKET (13-3/8" x 17")</v>
          </cell>
          <cell r="D81" t="str">
            <v>PHP</v>
          </cell>
          <cell r="E81">
            <v>0</v>
          </cell>
          <cell r="F81" t="str">
            <v>288 :: Casings and Wellhead</v>
          </cell>
        </row>
        <row r="82">
          <cell r="C82" t="str">
            <v>13-3/8" TIE-BACK, LINER HANGER SET (13-3/8" x 18-5/8")</v>
          </cell>
          <cell r="D82" t="str">
            <v>PHP</v>
          </cell>
          <cell r="E82">
            <v>1839826.3</v>
          </cell>
          <cell r="F82" t="str">
            <v>288 :: Casings and Wellhead</v>
          </cell>
        </row>
        <row r="83">
          <cell r="C83" t="str">
            <v>13-3/8" MODIFIED RUBBER PLUG</v>
          </cell>
          <cell r="D83" t="str">
            <v>PHP</v>
          </cell>
          <cell r="E83">
            <v>15885.75</v>
          </cell>
          <cell r="F83" t="str">
            <v>288 :: Casings and Wellhead</v>
          </cell>
        </row>
        <row r="84">
          <cell r="C84" t="str">
            <v>10-3/4" CASING (K55, 40.5 ppf, BTC)</v>
          </cell>
          <cell r="D84" t="str">
            <v>PHP</v>
          </cell>
          <cell r="E84">
            <v>36783.599999999999</v>
          </cell>
          <cell r="F84" t="str">
            <v>288 :: Casings and Wellhead</v>
          </cell>
        </row>
        <row r="85">
          <cell r="C85" t="str">
            <v>10-3/4" PERFORATED CASING (K55, 40.5 ppf, BTC)</v>
          </cell>
          <cell r="D85" t="str">
            <v>PHP</v>
          </cell>
          <cell r="E85">
            <v>36783.599999999999</v>
          </cell>
          <cell r="F85" t="str">
            <v>288 :: Casings and Wellhead</v>
          </cell>
        </row>
        <row r="86">
          <cell r="C86" t="str">
            <v>10-3/4" GUIDE SHOE</v>
          </cell>
          <cell r="D86" t="str">
            <v>PHP</v>
          </cell>
          <cell r="E86">
            <v>22185</v>
          </cell>
          <cell r="F86" t="str">
            <v>288 :: Casings and Wellhead</v>
          </cell>
        </row>
        <row r="87">
          <cell r="C87" t="str">
            <v>10-3/4" LINER HANGER (10-3/4" x 13-3/8")</v>
          </cell>
          <cell r="D87" t="str">
            <v>PHP</v>
          </cell>
          <cell r="E87">
            <v>319377</v>
          </cell>
          <cell r="F87" t="str">
            <v>288 :: Casings and Wellhead</v>
          </cell>
        </row>
        <row r="88">
          <cell r="C88" t="str">
            <v>8-5/8" PERFORATED CASING (K55, 24 ppf, BTC SC)</v>
          </cell>
          <cell r="D88" t="str">
            <v>PHP</v>
          </cell>
          <cell r="E88">
            <v>28222.799999999999</v>
          </cell>
          <cell r="F88" t="str">
            <v>288 :: Casings and Wellhead</v>
          </cell>
        </row>
        <row r="89">
          <cell r="C89" t="str">
            <v>8-5/8" GUIDE SHOE</v>
          </cell>
          <cell r="D89" t="str">
            <v>PHP</v>
          </cell>
          <cell r="E89">
            <v>15616.8</v>
          </cell>
          <cell r="F89" t="str">
            <v>288 :: Casings and Wellhead</v>
          </cell>
        </row>
        <row r="90">
          <cell r="C90" t="str">
            <v>8-5/8" LINER HANGER (8-5/8" x 10-3/4")</v>
          </cell>
          <cell r="D90" t="str">
            <v>PHP</v>
          </cell>
          <cell r="E90">
            <v>233421</v>
          </cell>
          <cell r="F90" t="str">
            <v>288 :: Casings and Wellhead</v>
          </cell>
        </row>
        <row r="91">
          <cell r="C91" t="str">
            <v>20-3/4" x 3M (900S) CASING HEAD FLANGE</v>
          </cell>
          <cell r="D91" t="str">
            <v>PHP</v>
          </cell>
          <cell r="E91">
            <v>555067.94999999995</v>
          </cell>
          <cell r="F91" t="str">
            <v>288 :: Casings and Wellhead</v>
          </cell>
        </row>
        <row r="92">
          <cell r="C92" t="str">
            <v>20-3/4" x 3M x 13-5/8" x 3M EXPANSION SPOOL</v>
          </cell>
          <cell r="D92" t="str">
            <v>PHP</v>
          </cell>
          <cell r="E92">
            <v>843889.76</v>
          </cell>
          <cell r="F92" t="str">
            <v>288 :: Casings and Wellhead</v>
          </cell>
        </row>
        <row r="93">
          <cell r="C93" t="str">
            <v>12" x 900S MASTER VALVE</v>
          </cell>
          <cell r="D93" t="str">
            <v>PHP</v>
          </cell>
          <cell r="E93">
            <v>1682125.9</v>
          </cell>
          <cell r="F93" t="str">
            <v>288 :: Casings and Wellhead</v>
          </cell>
        </row>
        <row r="94">
          <cell r="C94" t="str">
            <v>3-1/8" x 3m WING VALVES</v>
          </cell>
          <cell r="D94" t="str">
            <v>PHP</v>
          </cell>
          <cell r="E94">
            <v>232012.79999999999</v>
          </cell>
          <cell r="F94" t="str">
            <v>288 :: Casings and Wellhead</v>
          </cell>
        </row>
        <row r="95">
          <cell r="C95" t="str">
            <v>CONDUCTOR PIPE, 30" OD</v>
          </cell>
          <cell r="D95" t="str">
            <v>PHP</v>
          </cell>
          <cell r="E95">
            <v>113584.01</v>
          </cell>
          <cell r="F95" t="str">
            <v>288 :: Casings and Wellhead</v>
          </cell>
        </row>
        <row r="96">
          <cell r="C96" t="str">
            <v>DEEP CONDUCTOR PIPE (BAUER)</v>
          </cell>
          <cell r="D96" t="str">
            <v>PHP</v>
          </cell>
          <cell r="E96">
            <v>2983787.81</v>
          </cell>
          <cell r="F96" t="str">
            <v>288 :: Casings and Wellhead</v>
          </cell>
        </row>
        <row r="97">
          <cell r="C97" t="str">
            <v>20" CASING (K55, 133 ppf, BTC)</v>
          </cell>
          <cell r="D97" t="str">
            <v>PHP</v>
          </cell>
          <cell r="E97">
            <v>145873.26</v>
          </cell>
          <cell r="F97" t="str">
            <v>288 :: Casings and Wellhead</v>
          </cell>
        </row>
        <row r="98">
          <cell r="C98" t="str">
            <v>20" FLOAT SHOE</v>
          </cell>
          <cell r="D98" t="str">
            <v>PHP</v>
          </cell>
          <cell r="E98">
            <v>142165.95000000001</v>
          </cell>
          <cell r="F98" t="str">
            <v>288 :: Casings and Wellhead</v>
          </cell>
        </row>
        <row r="99">
          <cell r="C99" t="str">
            <v>20" FLOAT SHOE (Stab-In/Latch-In)</v>
          </cell>
          <cell r="D99" t="str">
            <v>PHP</v>
          </cell>
          <cell r="E99">
            <v>142165.95000000001</v>
          </cell>
          <cell r="F99" t="str">
            <v>288 :: Casings and Wellhead</v>
          </cell>
        </row>
        <row r="100">
          <cell r="C100" t="str">
            <v>20" FLOAT COLLAR (Stab-In/Latch-In)</v>
          </cell>
          <cell r="D100" t="str">
            <v>PHP</v>
          </cell>
          <cell r="E100">
            <v>142165.95000000001</v>
          </cell>
          <cell r="F100" t="str">
            <v>288 :: Casings and Wellhead</v>
          </cell>
        </row>
        <row r="101">
          <cell r="C101" t="str">
            <v>20" CENTRALIZER (20" x 26")</v>
          </cell>
          <cell r="D101" t="str">
            <v>PHP</v>
          </cell>
          <cell r="E101">
            <v>3039.43</v>
          </cell>
          <cell r="F101" t="str">
            <v>288 :: Casings and Wellhead</v>
          </cell>
        </row>
        <row r="102">
          <cell r="C102" t="str">
            <v>13-3/8" CASING (L80, 68 ppf, SL Boss)</v>
          </cell>
          <cell r="D102" t="str">
            <v>PHP</v>
          </cell>
          <cell r="E102">
            <v>84243.12</v>
          </cell>
          <cell r="F102" t="str">
            <v>288 :: Casings and Wellhead</v>
          </cell>
        </row>
        <row r="103">
          <cell r="C103" t="str">
            <v>13-3/8" FLOAT SHOE (SL Boss)</v>
          </cell>
          <cell r="D103" t="str">
            <v>PHP</v>
          </cell>
          <cell r="E103">
            <v>114804.7</v>
          </cell>
          <cell r="F103" t="str">
            <v>288 :: Casings and Wellhead</v>
          </cell>
        </row>
        <row r="104">
          <cell r="C104" t="str">
            <v>13-3/8" FLOAT COLLAR (SL Boss)</v>
          </cell>
          <cell r="D104" t="str">
            <v>PHP</v>
          </cell>
          <cell r="E104">
            <v>177075.49</v>
          </cell>
          <cell r="F104" t="str">
            <v>288 :: Casings and Wellhead</v>
          </cell>
        </row>
        <row r="105">
          <cell r="C105" t="str">
            <v>13-3/8" CENTRALIZER (13-3/8" x 17-1/2")</v>
          </cell>
          <cell r="D105" t="str">
            <v>PHP</v>
          </cell>
          <cell r="E105">
            <v>2795.05</v>
          </cell>
          <cell r="F105" t="str">
            <v>288 :: Casings and Wellhead</v>
          </cell>
        </row>
        <row r="106">
          <cell r="C106" t="str">
            <v>13-3/8" STAND-OFF CENTRALIZER (13-3/8" x 18-1/4")</v>
          </cell>
          <cell r="D106" t="str">
            <v>PHP</v>
          </cell>
          <cell r="E106">
            <v>11030.8</v>
          </cell>
          <cell r="F106" t="str">
            <v>288 :: Casings and Wellhead</v>
          </cell>
        </row>
        <row r="107">
          <cell r="C107" t="str">
            <v>13-3/8" CEMENT BASKET (13-3/8" x 17-1/2")</v>
          </cell>
          <cell r="D107" t="str">
            <v>PHP</v>
          </cell>
          <cell r="E107">
            <v>0</v>
          </cell>
          <cell r="F107" t="str">
            <v>288 :: Casings and Wellhead</v>
          </cell>
        </row>
        <row r="108">
          <cell r="C108" t="str">
            <v>13-3/8" DV COLLAR</v>
          </cell>
          <cell r="D108" t="str">
            <v>PHP</v>
          </cell>
          <cell r="E108">
            <v>538543.04</v>
          </cell>
          <cell r="F108" t="str">
            <v>288 :: Casings and Wellhead</v>
          </cell>
        </row>
        <row r="109">
          <cell r="C109" t="str">
            <v>9-5/8" CASING (L80, 47 ppf, SL Boss)</v>
          </cell>
          <cell r="D109" t="str">
            <v>PHP</v>
          </cell>
          <cell r="E109">
            <v>44043.95</v>
          </cell>
          <cell r="F109" t="str">
            <v>288 :: Casings and Wellhead</v>
          </cell>
        </row>
        <row r="110">
          <cell r="C110" t="str">
            <v>9-5/8" FLOAT SHOE ( SL Boss)</v>
          </cell>
          <cell r="D110" t="str">
            <v>PHP</v>
          </cell>
          <cell r="E110">
            <v>31399.24</v>
          </cell>
          <cell r="F110" t="str">
            <v>288 :: Casings and Wellhead</v>
          </cell>
        </row>
        <row r="111">
          <cell r="C111" t="str">
            <v>9-5/8" FLOAT COLLAR ( SL Boss)</v>
          </cell>
          <cell r="D111" t="str">
            <v>PHP</v>
          </cell>
          <cell r="E111">
            <v>37535.9</v>
          </cell>
          <cell r="F111" t="str">
            <v>288 :: Casings and Wellhead</v>
          </cell>
        </row>
        <row r="112">
          <cell r="C112" t="str">
            <v>9-5/8" CENTRALIZER (9-5/8" x 12-1/4")</v>
          </cell>
          <cell r="D112" t="str">
            <v>PHP</v>
          </cell>
          <cell r="E112">
            <v>730.86</v>
          </cell>
          <cell r="F112" t="str">
            <v>288 :: Casings and Wellhead</v>
          </cell>
        </row>
        <row r="113">
          <cell r="C113" t="str">
            <v>9-5/8" STAND-OFF CENTRALIZER (9-5/8" x 12")</v>
          </cell>
          <cell r="D113" t="str">
            <v>PHP</v>
          </cell>
          <cell r="E113">
            <v>0</v>
          </cell>
          <cell r="F113" t="str">
            <v>288 :: Casings and Wellhead</v>
          </cell>
        </row>
        <row r="114">
          <cell r="C114" t="str">
            <v>9-5/8" CEMENT BASKET (9-5/8" x 12-1/4")</v>
          </cell>
          <cell r="D114" t="str">
            <v>PHP</v>
          </cell>
          <cell r="E114">
            <v>0</v>
          </cell>
          <cell r="F114" t="str">
            <v>288 :: Casings and Wellhead</v>
          </cell>
        </row>
        <row r="115">
          <cell r="C115" t="str">
            <v>9-5/8" TIE-BACK, LINER HANGER (9-5/8" X 13-3/8")</v>
          </cell>
          <cell r="D115" t="str">
            <v>PHP</v>
          </cell>
          <cell r="E115">
            <v>784050.12</v>
          </cell>
          <cell r="F115" t="str">
            <v>288 :: Casings and Wellhead</v>
          </cell>
        </row>
        <row r="116">
          <cell r="C116" t="str">
            <v>9-5/8" MODIFIED RUBBER PLUG</v>
          </cell>
          <cell r="D116" t="str">
            <v>PHP</v>
          </cell>
          <cell r="E116">
            <v>0</v>
          </cell>
          <cell r="F116" t="str">
            <v>288 :: Casings and Wellhead</v>
          </cell>
        </row>
        <row r="117">
          <cell r="C117" t="str">
            <v>7" CASING (K55, 26 ppf, BTC)</v>
          </cell>
          <cell r="D117" t="str">
            <v>PHP</v>
          </cell>
          <cell r="E117">
            <v>8722.19</v>
          </cell>
          <cell r="F117" t="str">
            <v>288 :: Casings and Wellhead</v>
          </cell>
        </row>
        <row r="118">
          <cell r="C118" t="str">
            <v>7" PERFORATED CASING (K55, 26 ppf, BTC)</v>
          </cell>
          <cell r="D118" t="str">
            <v>PHP</v>
          </cell>
          <cell r="E118">
            <v>8722.19</v>
          </cell>
          <cell r="F118" t="str">
            <v>288 :: Casings and Wellhead</v>
          </cell>
        </row>
        <row r="119">
          <cell r="C119" t="str">
            <v>7" LINER HANGER (7" x 9-5/8")</v>
          </cell>
          <cell r="D119" t="str">
            <v>PHP</v>
          </cell>
          <cell r="E119">
            <v>0</v>
          </cell>
          <cell r="F119" t="str">
            <v>288 :: Casings and Wellhead</v>
          </cell>
        </row>
        <row r="120">
          <cell r="C120" t="str">
            <v>7" TOP SUB (7" x 9-5/8")</v>
          </cell>
          <cell r="D120" t="str">
            <v>PHP</v>
          </cell>
          <cell r="E120">
            <v>81377.37</v>
          </cell>
          <cell r="F120" t="str">
            <v>288 :: Casings and Wellhead</v>
          </cell>
        </row>
        <row r="121">
          <cell r="C121" t="str">
            <v>13-5/8" x 3M (900S) CASING HEAD FLANGE)</v>
          </cell>
          <cell r="D121" t="str">
            <v>PHP</v>
          </cell>
          <cell r="E121">
            <v>395449.59999999998</v>
          </cell>
          <cell r="F121" t="str">
            <v>288 :: Casings and Wellhead</v>
          </cell>
        </row>
        <row r="122">
          <cell r="C122" t="str">
            <v>13-5/8" x 3M x 11" x 3M EXPANSION SPOOL</v>
          </cell>
          <cell r="D122" t="str">
            <v>PHP</v>
          </cell>
          <cell r="E122">
            <v>563500</v>
          </cell>
          <cell r="F122" t="str">
            <v>288 :: Casings and Wellhead</v>
          </cell>
        </row>
        <row r="123">
          <cell r="C123" t="str">
            <v>10" x 900S MASTER VALVE</v>
          </cell>
          <cell r="D123" t="str">
            <v>PHP</v>
          </cell>
          <cell r="E123">
            <v>1251264</v>
          </cell>
          <cell r="F123" t="str">
            <v>288 :: Casings and Wellhead</v>
          </cell>
        </row>
        <row r="124">
          <cell r="C124" t="str">
            <v>3-1/8" x 3M WING VALVES</v>
          </cell>
          <cell r="D124" t="str">
            <v>PHP</v>
          </cell>
          <cell r="E124">
            <v>232012.79999999999</v>
          </cell>
          <cell r="F124" t="str">
            <v>288 :: Casings and Wellhead</v>
          </cell>
        </row>
        <row r="125">
          <cell r="C125" t="str">
            <v>Oxygen</v>
          </cell>
          <cell r="D125" t="str">
            <v>PHP</v>
          </cell>
          <cell r="E125">
            <v>486.19</v>
          </cell>
          <cell r="F125" t="str">
            <v>295 :: Other Materials and Supplies</v>
          </cell>
        </row>
        <row r="126">
          <cell r="C126" t="str">
            <v>Acetylene</v>
          </cell>
          <cell r="D126" t="str">
            <v>PHP</v>
          </cell>
          <cell r="E126">
            <v>1189.98</v>
          </cell>
          <cell r="F126" t="str">
            <v>295 :: Other Materials and Supplies</v>
          </cell>
        </row>
        <row r="127">
          <cell r="C127" t="str">
            <v>Welding Rod</v>
          </cell>
          <cell r="D127" t="str">
            <v>PHP</v>
          </cell>
          <cell r="E127">
            <v>122.85</v>
          </cell>
          <cell r="F127" t="str">
            <v>295 :: Other Materials and Supplies</v>
          </cell>
        </row>
        <row r="128">
          <cell r="C128" t="str">
            <v>Thread Locking Compound</v>
          </cell>
          <cell r="D128" t="str">
            <v>PHP</v>
          </cell>
          <cell r="E128">
            <v>1022.78</v>
          </cell>
          <cell r="F128" t="str">
            <v>295 :: Other Materials and Supplies</v>
          </cell>
        </row>
        <row r="129">
          <cell r="C129" t="str">
            <v>Thread Sealant</v>
          </cell>
          <cell r="D129" t="str">
            <v>PHP</v>
          </cell>
          <cell r="E129">
            <v>5829.83</v>
          </cell>
          <cell r="F129" t="str">
            <v>295 :: Other Materials and Supplies</v>
          </cell>
        </row>
        <row r="130">
          <cell r="C130" t="str">
            <v>Waste Cloth</v>
          </cell>
          <cell r="D130" t="str">
            <v>PHP</v>
          </cell>
          <cell r="E130">
            <v>52.06</v>
          </cell>
          <cell r="F130" t="str">
            <v>295 :: Other Materials and Supplies</v>
          </cell>
        </row>
        <row r="131">
          <cell r="C131" t="str">
            <v>Polka Dot Gloves</v>
          </cell>
          <cell r="D131" t="str">
            <v>PHP</v>
          </cell>
          <cell r="E131">
            <v>46.85</v>
          </cell>
          <cell r="F131" t="str">
            <v>295 :: Other Materials and Supplies</v>
          </cell>
        </row>
        <row r="132">
          <cell r="C132" t="str">
            <v>Allotment for Emergency Purchases</v>
          </cell>
          <cell r="D132" t="str">
            <v>PHP</v>
          </cell>
          <cell r="E132">
            <v>0</v>
          </cell>
          <cell r="F132" t="str">
            <v>295 :: Other Materials and Supplies</v>
          </cell>
        </row>
        <row r="133">
          <cell r="C133" t="str">
            <v>Casing-Cementing</v>
          </cell>
          <cell r="D133" t="str">
            <v>USD</v>
          </cell>
          <cell r="E133">
            <v>250</v>
          </cell>
          <cell r="F133" t="str">
            <v>410 A :: Cementing Services</v>
          </cell>
        </row>
        <row r="134">
          <cell r="C134" t="str">
            <v>Top Job</v>
          </cell>
          <cell r="D134" t="str">
            <v>USD</v>
          </cell>
          <cell r="E134">
            <v>0</v>
          </cell>
          <cell r="F134" t="str">
            <v>410 A :: Cementing Services</v>
          </cell>
        </row>
        <row r="135">
          <cell r="C135" t="str">
            <v>Cement Plug</v>
          </cell>
          <cell r="D135" t="str">
            <v>USD</v>
          </cell>
          <cell r="E135">
            <v>250</v>
          </cell>
          <cell r="F135" t="str">
            <v>410 A :: Cementing Services</v>
          </cell>
        </row>
        <row r="136">
          <cell r="C136" t="str">
            <v>Cementing Engineer</v>
          </cell>
          <cell r="D136" t="str">
            <v>USD</v>
          </cell>
          <cell r="E136">
            <v>480</v>
          </cell>
          <cell r="F136" t="str">
            <v>410 A :: Cementing Services</v>
          </cell>
        </row>
        <row r="137">
          <cell r="C137" t="str">
            <v>Batch Mixer Operator</v>
          </cell>
          <cell r="D137" t="str">
            <v>USD</v>
          </cell>
          <cell r="E137">
            <v>180</v>
          </cell>
          <cell r="F137" t="str">
            <v>410 A :: Cementing Services</v>
          </cell>
        </row>
        <row r="138">
          <cell r="C138" t="str">
            <v>Cementing Equipment Operator</v>
          </cell>
          <cell r="D138" t="str">
            <v>USD</v>
          </cell>
          <cell r="E138">
            <v>180</v>
          </cell>
          <cell r="F138" t="str">
            <v>410 A :: Cementing Services</v>
          </cell>
        </row>
        <row r="139">
          <cell r="C139" t="str">
            <v>18.625 Casing Swage</v>
          </cell>
          <cell r="D139" t="str">
            <v>USD</v>
          </cell>
          <cell r="E139">
            <v>18.8</v>
          </cell>
          <cell r="F139" t="str">
            <v>410 A :: Cementing Services</v>
          </cell>
        </row>
        <row r="140">
          <cell r="C140" t="str">
            <v>Faslok Cement Head</v>
          </cell>
          <cell r="D140" t="str">
            <v>USD</v>
          </cell>
          <cell r="E140">
            <v>65.7</v>
          </cell>
          <cell r="F140" t="str">
            <v>410 A :: Cementing Services</v>
          </cell>
        </row>
        <row r="141">
          <cell r="C141" t="str">
            <v>Vertical Silo</v>
          </cell>
          <cell r="D141" t="str">
            <v>USD</v>
          </cell>
          <cell r="E141">
            <v>609</v>
          </cell>
          <cell r="F141" t="str">
            <v>410 A :: Cementing Services</v>
          </cell>
        </row>
        <row r="142">
          <cell r="C142" t="str">
            <v>Air Compressor</v>
          </cell>
          <cell r="D142" t="str">
            <v>USD</v>
          </cell>
          <cell r="E142">
            <v>271.89999999999998</v>
          </cell>
          <cell r="F142" t="str">
            <v>410 A :: Cementing Services</v>
          </cell>
        </row>
        <row r="143">
          <cell r="C143" t="str">
            <v>Cutting Bottle</v>
          </cell>
          <cell r="D143" t="str">
            <v>USD</v>
          </cell>
          <cell r="E143">
            <v>162.5</v>
          </cell>
          <cell r="F143" t="str">
            <v>410 A :: Cementing Services</v>
          </cell>
        </row>
        <row r="144">
          <cell r="C144" t="str">
            <v>Blender</v>
          </cell>
          <cell r="D144" t="str">
            <v>USD</v>
          </cell>
          <cell r="E144">
            <v>362.5</v>
          </cell>
          <cell r="F144" t="str">
            <v>410 A :: Cementing Services</v>
          </cell>
        </row>
        <row r="145">
          <cell r="C145" t="str">
            <v>Equipment Rental</v>
          </cell>
          <cell r="D145" t="str">
            <v>USD</v>
          </cell>
          <cell r="E145">
            <v>835.8</v>
          </cell>
          <cell r="F145" t="str">
            <v>410 A :: Cementing Services</v>
          </cell>
        </row>
        <row r="146">
          <cell r="C146" t="str">
            <v>Directional Engineer</v>
          </cell>
          <cell r="D146" t="str">
            <v>USD</v>
          </cell>
          <cell r="E146">
            <v>1000</v>
          </cell>
          <cell r="F146" t="str">
            <v>410 B :: Directional Drilling Services</v>
          </cell>
        </row>
        <row r="147">
          <cell r="C147" t="str">
            <v>MWD Engineer</v>
          </cell>
          <cell r="D147" t="str">
            <v>USD</v>
          </cell>
          <cell r="E147">
            <v>700</v>
          </cell>
          <cell r="F147" t="str">
            <v>410 B :: Directional Drilling Services</v>
          </cell>
        </row>
        <row r="148">
          <cell r="C148" t="str">
            <v>9-5/8" Mud Motor, rental</v>
          </cell>
          <cell r="D148" t="str">
            <v>USD</v>
          </cell>
          <cell r="E148">
            <v>160</v>
          </cell>
          <cell r="F148" t="str">
            <v>410 B :: Directional Drilling Services</v>
          </cell>
        </row>
        <row r="149">
          <cell r="C149" t="str">
            <v>9-5/8" Mud Motor, run charge</v>
          </cell>
          <cell r="D149" t="str">
            <v>USD</v>
          </cell>
          <cell r="E149">
            <v>75</v>
          </cell>
          <cell r="F149" t="str">
            <v>410 B :: Directional Drilling Services</v>
          </cell>
        </row>
        <row r="150">
          <cell r="C150" t="str">
            <v>9-5/8" Mud Motor, redress</v>
          </cell>
          <cell r="D150" t="str">
            <v>USD</v>
          </cell>
          <cell r="E150">
            <v>6500</v>
          </cell>
          <cell r="F150" t="str">
            <v>410 B :: Directional Drilling Services</v>
          </cell>
        </row>
        <row r="151">
          <cell r="C151" t="str">
            <v>8" Mud Motor, rental</v>
          </cell>
          <cell r="D151" t="str">
            <v>USD</v>
          </cell>
          <cell r="E151">
            <v>140</v>
          </cell>
          <cell r="F151" t="str">
            <v>410 B :: Directional Drilling Services</v>
          </cell>
        </row>
        <row r="152">
          <cell r="C152" t="str">
            <v>8" Mud Motor, run charge</v>
          </cell>
          <cell r="D152" t="str">
            <v>USD</v>
          </cell>
          <cell r="E152">
            <v>70</v>
          </cell>
          <cell r="F152" t="str">
            <v>410 B :: Directional Drilling Services</v>
          </cell>
        </row>
        <row r="153">
          <cell r="C153" t="str">
            <v>8" Mud Motor, redress</v>
          </cell>
          <cell r="D153" t="str">
            <v>USD</v>
          </cell>
          <cell r="E153">
            <v>6500</v>
          </cell>
          <cell r="F153" t="str">
            <v>410 B :: Directional Drilling Services</v>
          </cell>
        </row>
        <row r="154">
          <cell r="C154" t="str">
            <v>6-1/2" Mud Motor, rental</v>
          </cell>
          <cell r="D154" t="str">
            <v>USD</v>
          </cell>
          <cell r="E154">
            <v>130</v>
          </cell>
          <cell r="F154" t="str">
            <v>410 B :: Directional Drilling Services</v>
          </cell>
        </row>
        <row r="155">
          <cell r="C155" t="str">
            <v>6-1/2" Mud Motor, run charge</v>
          </cell>
          <cell r="D155" t="str">
            <v>USD</v>
          </cell>
          <cell r="E155">
            <v>55</v>
          </cell>
          <cell r="F155" t="str">
            <v>410 B :: Directional Drilling Services</v>
          </cell>
        </row>
        <row r="156">
          <cell r="C156" t="str">
            <v>6-1/2" Mud Motor, redress</v>
          </cell>
          <cell r="D156" t="str">
            <v>USD</v>
          </cell>
          <cell r="E156">
            <v>6500</v>
          </cell>
          <cell r="F156" t="str">
            <v>410 B :: Directional Drilling Services</v>
          </cell>
        </row>
        <row r="157">
          <cell r="C157" t="str">
            <v>MWD, operating</v>
          </cell>
          <cell r="D157" t="str">
            <v>USD</v>
          </cell>
          <cell r="E157">
            <v>65</v>
          </cell>
          <cell r="F157" t="str">
            <v>410 B :: Directional Drilling Services</v>
          </cell>
        </row>
        <row r="158">
          <cell r="C158" t="str">
            <v>MWD, rental</v>
          </cell>
          <cell r="D158" t="str">
            <v>USD</v>
          </cell>
          <cell r="E158">
            <v>900</v>
          </cell>
          <cell r="F158" t="str">
            <v>410 B :: Directional Drilling Services</v>
          </cell>
        </row>
        <row r="159">
          <cell r="C159" t="str">
            <v>EMS, rental</v>
          </cell>
          <cell r="D159" t="str">
            <v>USD</v>
          </cell>
          <cell r="E159">
            <v>100</v>
          </cell>
          <cell r="F159" t="str">
            <v>410 B :: Directional Drilling Services</v>
          </cell>
        </row>
        <row r="160">
          <cell r="C160" t="str">
            <v>EMS, redress</v>
          </cell>
          <cell r="D160" t="str">
            <v>USD</v>
          </cell>
          <cell r="E160">
            <v>1000</v>
          </cell>
          <cell r="F160" t="str">
            <v>410 B :: Directional Drilling Services</v>
          </cell>
        </row>
        <row r="161">
          <cell r="C161" t="str">
            <v>8" Pony NMDC</v>
          </cell>
          <cell r="D161" t="str">
            <v>USD</v>
          </cell>
          <cell r="E161">
            <v>70</v>
          </cell>
          <cell r="F161" t="str">
            <v>410 B :: Directional Drilling Services</v>
          </cell>
        </row>
        <row r="162">
          <cell r="C162" t="str">
            <v>8" NMDC</v>
          </cell>
          <cell r="D162" t="str">
            <v>USD</v>
          </cell>
          <cell r="E162">
            <v>70</v>
          </cell>
          <cell r="F162" t="str">
            <v>410 B :: Directional Drilling Services</v>
          </cell>
        </row>
        <row r="163">
          <cell r="C163" t="str">
            <v>6-1/2" Pony NMDC</v>
          </cell>
          <cell r="D163" t="str">
            <v>USD</v>
          </cell>
          <cell r="E163">
            <v>60</v>
          </cell>
          <cell r="F163" t="str">
            <v>410 B :: Directional Drilling Services</v>
          </cell>
        </row>
        <row r="164">
          <cell r="C164" t="str">
            <v>6-1/2" NMDC</v>
          </cell>
          <cell r="D164" t="str">
            <v>USD</v>
          </cell>
          <cell r="E164">
            <v>60</v>
          </cell>
          <cell r="F164" t="str">
            <v>410 B :: Directional Drilling Services</v>
          </cell>
        </row>
        <row r="165">
          <cell r="C165" t="str">
            <v>26" Roller Reamer</v>
          </cell>
          <cell r="D165" t="str">
            <v>USD</v>
          </cell>
          <cell r="E165">
            <v>75</v>
          </cell>
          <cell r="F165" t="str">
            <v>410 B :: Directional Drilling Services</v>
          </cell>
        </row>
        <row r="166">
          <cell r="C166" t="str">
            <v>26" Donut Stabilizer</v>
          </cell>
          <cell r="D166" t="str">
            <v>USD</v>
          </cell>
          <cell r="E166">
            <v>92</v>
          </cell>
          <cell r="F166" t="str">
            <v>410 B :: Directional Drilling Services</v>
          </cell>
        </row>
        <row r="167">
          <cell r="C167" t="str">
            <v>26" Roller Reamer Redress</v>
          </cell>
          <cell r="D167" t="str">
            <v>USD</v>
          </cell>
          <cell r="E167">
            <v>14950</v>
          </cell>
          <cell r="F167" t="str">
            <v>410 B :: Directional Drilling Services</v>
          </cell>
        </row>
        <row r="168">
          <cell r="C168" t="str">
            <v>26" Donut Stabilizer Redress</v>
          </cell>
          <cell r="D168" t="str">
            <v>USD</v>
          </cell>
          <cell r="E168">
            <v>6000</v>
          </cell>
          <cell r="F168" t="str">
            <v>410 B :: Directional Drilling Services</v>
          </cell>
        </row>
        <row r="169">
          <cell r="C169" t="str">
            <v>26" Motor Sleeve Redress</v>
          </cell>
          <cell r="D169" t="str">
            <v>USD</v>
          </cell>
          <cell r="E169">
            <v>2750</v>
          </cell>
          <cell r="F169" t="str">
            <v>410 B :: Directional Drilling Services</v>
          </cell>
        </row>
        <row r="170">
          <cell r="C170" t="str">
            <v>8" Motor Sleeve Redress</v>
          </cell>
          <cell r="D170" t="str">
            <v>USD</v>
          </cell>
          <cell r="E170">
            <v>2100</v>
          </cell>
          <cell r="F170" t="str">
            <v>410 B :: Directional Drilling Services</v>
          </cell>
        </row>
        <row r="171">
          <cell r="C171" t="str">
            <v>6-1/2" Motor Sleeve Redress</v>
          </cell>
          <cell r="D171" t="str">
            <v>USD</v>
          </cell>
          <cell r="E171">
            <v>2100</v>
          </cell>
          <cell r="F171" t="str">
            <v>410 B :: Directional Drilling Services</v>
          </cell>
        </row>
        <row r="172">
          <cell r="C172" t="str">
            <v>MWD Battery Charge</v>
          </cell>
          <cell r="D172" t="str">
            <v>USD</v>
          </cell>
          <cell r="E172">
            <v>1200</v>
          </cell>
          <cell r="F172" t="str">
            <v>410 B :: Directional Drilling Services</v>
          </cell>
        </row>
        <row r="173">
          <cell r="C173" t="str">
            <v>LIH INSURANCE CHARGE SURFACE</v>
          </cell>
          <cell r="D173" t="str">
            <v>USD</v>
          </cell>
          <cell r="E173">
            <v>670</v>
          </cell>
          <cell r="F173" t="str">
            <v>410 B :: Directional Drilling Services</v>
          </cell>
        </row>
        <row r="174">
          <cell r="C174" t="str">
            <v>LIH INSURANCE CHARGE INTERMEDIATE</v>
          </cell>
          <cell r="D174" t="str">
            <v>USD</v>
          </cell>
          <cell r="E174">
            <v>670</v>
          </cell>
          <cell r="F174" t="str">
            <v>410 B :: Directional Drilling Services</v>
          </cell>
        </row>
        <row r="175">
          <cell r="C175" t="str">
            <v>LIH INSURANCE CHARGE PRODUCTION</v>
          </cell>
          <cell r="D175" t="str">
            <v>USD</v>
          </cell>
          <cell r="E175">
            <v>662</v>
          </cell>
          <cell r="F175" t="str">
            <v>410 B :: Directional Drilling Services</v>
          </cell>
        </row>
        <row r="176">
          <cell r="C176" t="str">
            <v>LIH INSURANCE CHARGE LINERS</v>
          </cell>
          <cell r="D176" t="str">
            <v>USD</v>
          </cell>
          <cell r="E176">
            <v>656</v>
          </cell>
          <cell r="F176" t="str">
            <v>410 B :: Directional Drilling Services</v>
          </cell>
        </row>
        <row r="177">
          <cell r="C177" t="str">
            <v>17-3/8" Motor Sleeve Redress</v>
          </cell>
          <cell r="D177" t="str">
            <v>USD</v>
          </cell>
          <cell r="E177">
            <v>2750</v>
          </cell>
          <cell r="F177" t="str">
            <v>410 B :: Directional Drilling Services</v>
          </cell>
        </row>
        <row r="178">
          <cell r="C178" t="str">
            <v>MUD ENGINEER</v>
          </cell>
          <cell r="D178" t="str">
            <v>USD</v>
          </cell>
          <cell r="E178">
            <v>400</v>
          </cell>
          <cell r="F178" t="str">
            <v>410 C :: Mud Engineering Services</v>
          </cell>
        </row>
        <row r="179">
          <cell r="C179" t="str">
            <v>FLUIDS COORDINATOR</v>
          </cell>
          <cell r="D179" t="str">
            <v>USD</v>
          </cell>
          <cell r="E179">
            <v>250</v>
          </cell>
          <cell r="F179" t="str">
            <v>410 C :: Mud Engineering Services</v>
          </cell>
        </row>
        <row r="180">
          <cell r="C180" t="str">
            <v>Equipment Operating Rate</v>
          </cell>
          <cell r="D180" t="str">
            <v>USD</v>
          </cell>
          <cell r="E180">
            <v>3725</v>
          </cell>
          <cell r="F180" t="str">
            <v>410 D :: Aerated Services</v>
          </cell>
        </row>
        <row r="181">
          <cell r="C181" t="str">
            <v>Equipment Standby Rate</v>
          </cell>
          <cell r="D181" t="str">
            <v>USD</v>
          </cell>
          <cell r="E181">
            <v>2575</v>
          </cell>
          <cell r="F181" t="str">
            <v>410 D :: Aerated Services</v>
          </cell>
        </row>
        <row r="182">
          <cell r="C182" t="str">
            <v>Supervisor (2 pax)</v>
          </cell>
          <cell r="D182" t="str">
            <v>USD</v>
          </cell>
          <cell r="E182">
            <v>2145</v>
          </cell>
          <cell r="F182" t="str">
            <v>410 D :: Aerated Services</v>
          </cell>
        </row>
        <row r="183">
          <cell r="C183" t="str">
            <v>Operator (4 pax)</v>
          </cell>
          <cell r="D183" t="str">
            <v>USD</v>
          </cell>
          <cell r="E183">
            <v>1365</v>
          </cell>
          <cell r="F183" t="str">
            <v>410 D :: Aerated Services</v>
          </cell>
        </row>
        <row r="184">
          <cell r="C184" t="str">
            <v>Spare Backup Booster Standby (Optional)</v>
          </cell>
          <cell r="D184" t="str">
            <v>USD</v>
          </cell>
          <cell r="E184">
            <v>1023</v>
          </cell>
          <cell r="F184" t="str">
            <v>410 D :: Aerated Services</v>
          </cell>
        </row>
        <row r="185">
          <cell r="C185" t="str">
            <v>20" Rotating Head Standby (Optional)</v>
          </cell>
          <cell r="D185" t="str">
            <v>USD</v>
          </cell>
          <cell r="E185">
            <v>300</v>
          </cell>
          <cell r="F185" t="str">
            <v>410 D :: Aerated Services</v>
          </cell>
        </row>
        <row r="186">
          <cell r="C186" t="str">
            <v>Mist Pump Standby (Optional)</v>
          </cell>
          <cell r="D186" t="str">
            <v>USD</v>
          </cell>
          <cell r="E186">
            <v>284</v>
          </cell>
          <cell r="F186" t="str">
            <v>410 D :: Aerated Services</v>
          </cell>
        </row>
        <row r="187">
          <cell r="C187" t="str">
            <v>20" Banjo Box (Optional)</v>
          </cell>
          <cell r="D187" t="str">
            <v>USD</v>
          </cell>
          <cell r="E187">
            <v>275</v>
          </cell>
          <cell r="F187" t="str">
            <v>410 D :: Aerated Services</v>
          </cell>
        </row>
        <row r="188">
          <cell r="C188" t="str">
            <v>30" Rotating Head</v>
          </cell>
          <cell r="D188" t="str">
            <v>USD</v>
          </cell>
          <cell r="E188">
            <v>341</v>
          </cell>
          <cell r="F188" t="str">
            <v>410 D :: Aerated Services</v>
          </cell>
        </row>
        <row r="189">
          <cell r="C189" t="str">
            <v>Spare Backup Booster Operating (Optional)</v>
          </cell>
          <cell r="D189" t="str">
            <v>USD</v>
          </cell>
          <cell r="E189">
            <v>1364</v>
          </cell>
          <cell r="F189" t="str">
            <v>410 D :: Aerated Services</v>
          </cell>
        </row>
        <row r="190">
          <cell r="C190" t="str">
            <v>20" Rotating Head Operating (Optional)</v>
          </cell>
          <cell r="D190" t="str">
            <v>USD</v>
          </cell>
          <cell r="E190">
            <v>341</v>
          </cell>
          <cell r="F190" t="str">
            <v>410 D :: Aerated Services</v>
          </cell>
        </row>
        <row r="191">
          <cell r="C191" t="str">
            <v>Mist Pump Operating (Optional)</v>
          </cell>
          <cell r="D191" t="str">
            <v>USD</v>
          </cell>
          <cell r="E191">
            <v>455</v>
          </cell>
          <cell r="F191" t="str">
            <v>410 D :: Aerated Services</v>
          </cell>
        </row>
        <row r="192">
          <cell r="C192" t="str">
            <v>Rotating Rubber Head</v>
          </cell>
          <cell r="D192" t="str">
            <v>USD</v>
          </cell>
          <cell r="E192">
            <v>1450</v>
          </cell>
          <cell r="F192" t="str">
            <v>410 D :: Aerated Services</v>
          </cell>
        </row>
        <row r="193">
          <cell r="C193" t="str">
            <v>Corrosion Inhibitor</v>
          </cell>
          <cell r="D193" t="str">
            <v>USD</v>
          </cell>
          <cell r="E193">
            <v>1050</v>
          </cell>
          <cell r="F193" t="str">
            <v>410 D :: Aerated Services</v>
          </cell>
        </row>
        <row r="194">
          <cell r="C194" t="str">
            <v>Defoamer</v>
          </cell>
          <cell r="D194" t="str">
            <v>USD</v>
          </cell>
          <cell r="E194">
            <v>950</v>
          </cell>
          <cell r="F194" t="str">
            <v>410 D :: Aerated Services</v>
          </cell>
        </row>
        <row r="195">
          <cell r="C195" t="str">
            <v>Surfactant</v>
          </cell>
          <cell r="D195" t="str">
            <v>USD</v>
          </cell>
          <cell r="E195">
            <v>950</v>
          </cell>
          <cell r="F195" t="str">
            <v>410 D :: Aerated Services</v>
          </cell>
        </row>
        <row r="196">
          <cell r="C196" t="str">
            <v>Rotating Head Refurbishment</v>
          </cell>
          <cell r="D196" t="str">
            <v>USD</v>
          </cell>
          <cell r="E196">
            <v>7500</v>
          </cell>
          <cell r="F196" t="str">
            <v>410 D :: Aerated Services</v>
          </cell>
        </row>
        <row r="197">
          <cell r="C197" t="str">
            <v>FV and Sub Inspection and Refurbishment</v>
          </cell>
          <cell r="D197" t="str">
            <v>USD</v>
          </cell>
          <cell r="E197">
            <v>0</v>
          </cell>
          <cell r="F197" t="str">
            <v>410 D :: Aerated Services</v>
          </cell>
        </row>
        <row r="198">
          <cell r="C198" t="str">
            <v>SHOCKTOOL</v>
          </cell>
          <cell r="D198" t="str">
            <v>USD</v>
          </cell>
          <cell r="E198">
            <v>121.87499999999999</v>
          </cell>
          <cell r="F198" t="str">
            <v>410 E :: Jars and Shock Tools</v>
          </cell>
        </row>
        <row r="199">
          <cell r="C199" t="str">
            <v>7¾" DNT JAR</v>
          </cell>
          <cell r="D199" t="str">
            <v>USD</v>
          </cell>
          <cell r="E199">
            <v>116.07142857142856</v>
          </cell>
          <cell r="F199" t="str">
            <v>411 E :: Jars and Shock Tools</v>
          </cell>
        </row>
        <row r="200">
          <cell r="C200" t="str">
            <v>6½" DNT JAR</v>
          </cell>
          <cell r="D200" t="str">
            <v>USD</v>
          </cell>
          <cell r="E200">
            <v>116.07142857142856</v>
          </cell>
          <cell r="F200" t="str">
            <v>412 E :: Jars and Shock Tools</v>
          </cell>
        </row>
        <row r="201">
          <cell r="C201" t="str">
            <v>4¾" DNT JAR</v>
          </cell>
          <cell r="D201" t="str">
            <v>USD</v>
          </cell>
          <cell r="E201">
            <v>116.07142857142856</v>
          </cell>
          <cell r="F201" t="str">
            <v>413 E :: Jars and Shock Tools</v>
          </cell>
        </row>
        <row r="202">
          <cell r="C202" t="str">
            <v>REDRESS</v>
          </cell>
          <cell r="D202" t="str">
            <v>USD</v>
          </cell>
          <cell r="E202">
            <v>2678.6</v>
          </cell>
          <cell r="F202" t="str">
            <v>414 E :: Jars and Shock Tools</v>
          </cell>
        </row>
        <row r="203">
          <cell r="C203" t="str">
            <v>CHF WELDING</v>
          </cell>
          <cell r="D203" t="str">
            <v>PHP</v>
          </cell>
          <cell r="E203">
            <v>1300000</v>
          </cell>
          <cell r="F203" t="str">
            <v>410 F :: Welding Services</v>
          </cell>
        </row>
        <row r="204">
          <cell r="C204" t="str">
            <v>WELDING INSPECTION</v>
          </cell>
          <cell r="D204" t="str">
            <v>PHP</v>
          </cell>
          <cell r="E204">
            <v>100000</v>
          </cell>
          <cell r="F204" t="str">
            <v>410 F :: Welding Services</v>
          </cell>
        </row>
        <row r="205">
          <cell r="C205" t="str">
            <v>Pipe Inspection</v>
          </cell>
          <cell r="D205" t="str">
            <v>USD</v>
          </cell>
          <cell r="E205">
            <v>11803.54</v>
          </cell>
          <cell r="F205" t="str">
            <v>410 I :: Tubular Inspection and Hardbanding</v>
          </cell>
        </row>
        <row r="206">
          <cell r="C206" t="str">
            <v>Harbanding</v>
          </cell>
          <cell r="D206" t="str">
            <v>USD</v>
          </cell>
          <cell r="E206">
            <v>9419.4599999999991</v>
          </cell>
          <cell r="F206" t="str">
            <v>410 I :: Tubular Inspection and Hardbanding</v>
          </cell>
        </row>
        <row r="207">
          <cell r="C207" t="str">
            <v>RUNNING SERVICE</v>
          </cell>
          <cell r="D207" t="str">
            <v>USD</v>
          </cell>
          <cell r="E207">
            <v>2800</v>
          </cell>
          <cell r="F207" t="str">
            <v>410 H :: Casing Running Services</v>
          </cell>
        </row>
        <row r="208">
          <cell r="C208" t="str">
            <v>PUMP TENDER (BASE PAY)</v>
          </cell>
          <cell r="D208" t="str">
            <v>PHP</v>
          </cell>
          <cell r="E208">
            <v>1600</v>
          </cell>
          <cell r="F208" t="str">
            <v>411 :: Contractual Employees - Base Pay</v>
          </cell>
        </row>
        <row r="209">
          <cell r="C209" t="str">
            <v>MUD/CEMENT CUTTERS (BASE PAY)</v>
          </cell>
          <cell r="D209" t="str">
            <v>PHP</v>
          </cell>
          <cell r="E209">
            <v>4200</v>
          </cell>
          <cell r="F209" t="str">
            <v>411 :: Contractual Employees - Base Pay</v>
          </cell>
        </row>
        <row r="210">
          <cell r="C210" t="str">
            <v>PUMP TENDER (OT)</v>
          </cell>
          <cell r="D210" t="str">
            <v>PHP</v>
          </cell>
          <cell r="E210">
            <v>400</v>
          </cell>
          <cell r="F210" t="str">
            <v>412 :: Contractual Employees - Overtime</v>
          </cell>
        </row>
        <row r="211">
          <cell r="C211" t="str">
            <v>MUD/CEMENT CUTTERS (OT)</v>
          </cell>
          <cell r="D211" t="str">
            <v>PHP</v>
          </cell>
          <cell r="E211">
            <v>1050</v>
          </cell>
          <cell r="F211" t="str">
            <v>412 :: Contractual Employees - Overtime</v>
          </cell>
        </row>
        <row r="212">
          <cell r="C212" t="str">
            <v>40-FT HBT (MLA-BGP)</v>
          </cell>
          <cell r="D212" t="str">
            <v>PHP</v>
          </cell>
          <cell r="E212">
            <v>80000</v>
          </cell>
          <cell r="F212" t="str">
            <v>415 :: Handling, Hauling, Towing &amp; Del.</v>
          </cell>
        </row>
        <row r="213">
          <cell r="C213" t="str">
            <v>40-FT HBT (LGP-BGP)</v>
          </cell>
          <cell r="D213" t="str">
            <v>PHP</v>
          </cell>
          <cell r="E213">
            <v>117000</v>
          </cell>
          <cell r="F213" t="str">
            <v>415 :: Handling, Hauling, Towing &amp; Del.</v>
          </cell>
        </row>
        <row r="214">
          <cell r="C214" t="str">
            <v>40 FT HI-BED TRAILER</v>
          </cell>
          <cell r="D214" t="str">
            <v>PHP</v>
          </cell>
          <cell r="E214">
            <v>8300</v>
          </cell>
          <cell r="F214" t="str">
            <v>426 :: Rig Mobilization Charges</v>
          </cell>
        </row>
        <row r="215">
          <cell r="C215" t="str">
            <v>40 FT SEMI-LOW BED TRAILER (35T)</v>
          </cell>
          <cell r="D215" t="str">
            <v>PHP</v>
          </cell>
          <cell r="E215">
            <v>16000</v>
          </cell>
          <cell r="F215" t="str">
            <v>426 :: Rig Mobilization Charges</v>
          </cell>
        </row>
        <row r="216">
          <cell r="C216" t="str">
            <v>35 FT LOW BED TRAILER (60T)</v>
          </cell>
          <cell r="D216" t="str">
            <v>PHP</v>
          </cell>
          <cell r="E216">
            <v>25000</v>
          </cell>
          <cell r="F216" t="str">
            <v>426 :: Rig Mobilization Charges</v>
          </cell>
        </row>
        <row r="217">
          <cell r="C217" t="str">
            <v>160-T CRANE</v>
          </cell>
          <cell r="D217" t="str">
            <v>PHP</v>
          </cell>
          <cell r="E217">
            <v>15000</v>
          </cell>
          <cell r="F217" t="str">
            <v>426 :: Rig Mobilization Charges</v>
          </cell>
        </row>
        <row r="218">
          <cell r="C218" t="str">
            <v>70-T CRANE</v>
          </cell>
          <cell r="D218" t="str">
            <v>PHP</v>
          </cell>
          <cell r="E218">
            <v>4888</v>
          </cell>
          <cell r="F218" t="str">
            <v>426 :: Rig Mobilization Charges</v>
          </cell>
        </row>
        <row r="219">
          <cell r="C219" t="str">
            <v>50-T CRANE</v>
          </cell>
          <cell r="D219" t="str">
            <v>PHP</v>
          </cell>
          <cell r="E219">
            <v>2388</v>
          </cell>
          <cell r="F219" t="str">
            <v>426 :: Rig Mobilization Charges</v>
          </cell>
        </row>
        <row r="220">
          <cell r="C220" t="str">
            <v>50T CRANE</v>
          </cell>
          <cell r="D220" t="str">
            <v>PHP</v>
          </cell>
          <cell r="E220">
            <v>52536</v>
          </cell>
          <cell r="F220" t="str">
            <v>522 :: Equipment Rental</v>
          </cell>
        </row>
        <row r="221">
          <cell r="C221" t="str">
            <v>70T CRANE</v>
          </cell>
          <cell r="D221" t="str">
            <v>PHP</v>
          </cell>
          <cell r="E221">
            <v>19552</v>
          </cell>
          <cell r="F221" t="str">
            <v>522 :: Equipment Rental</v>
          </cell>
        </row>
        <row r="222">
          <cell r="C222" t="str">
            <v>FORKLOADER</v>
          </cell>
          <cell r="D222" t="str">
            <v>PHP</v>
          </cell>
          <cell r="E222">
            <v>36000</v>
          </cell>
          <cell r="F222" t="str">
            <v>522 :: Equipment Rental</v>
          </cell>
        </row>
        <row r="223">
          <cell r="C223" t="str">
            <v>VSAT</v>
          </cell>
          <cell r="D223" t="str">
            <v>PHP</v>
          </cell>
          <cell r="E223">
            <v>4700</v>
          </cell>
          <cell r="F223" t="str">
            <v>522 :: Equipment Rental</v>
          </cell>
        </row>
        <row r="224">
          <cell r="C224" t="str">
            <v>RIG 16 COST</v>
          </cell>
          <cell r="D224" t="str">
            <v>PHP</v>
          </cell>
          <cell r="E224">
            <v>293049.45</v>
          </cell>
          <cell r="F224" t="str">
            <v>523 :: Allocated Charges</v>
          </cell>
        </row>
        <row r="225">
          <cell r="C225" t="str">
            <v>TPWSI</v>
          </cell>
          <cell r="D225" t="str">
            <v>PHP</v>
          </cell>
          <cell r="E225">
            <v>499726.03</v>
          </cell>
          <cell r="F225" t="str">
            <v>523 :: Allocated Charges</v>
          </cell>
        </row>
        <row r="226">
          <cell r="C226" t="str">
            <v>DRILLING GROUP</v>
          </cell>
          <cell r="D226" t="str">
            <v>PHP</v>
          </cell>
          <cell r="E226">
            <v>34359.4</v>
          </cell>
          <cell r="F226" t="str">
            <v>523 :: Allocated Charges</v>
          </cell>
        </row>
        <row r="227">
          <cell r="C227" t="str">
            <v>LGBU GENEX</v>
          </cell>
          <cell r="D227" t="str">
            <v>PHP</v>
          </cell>
          <cell r="E227">
            <v>129789.99</v>
          </cell>
          <cell r="F227" t="str">
            <v>523 :: Allocated Charges</v>
          </cell>
        </row>
        <row r="228">
          <cell r="C228">
            <v>0</v>
          </cell>
          <cell r="D228">
            <v>0</v>
          </cell>
          <cell r="E228">
            <v>0</v>
          </cell>
          <cell r="F228">
            <v>0</v>
          </cell>
        </row>
        <row r="229">
          <cell r="C229">
            <v>0</v>
          </cell>
          <cell r="D229">
            <v>0</v>
          </cell>
          <cell r="E229">
            <v>0</v>
          </cell>
          <cell r="F229">
            <v>0</v>
          </cell>
        </row>
        <row r="230">
          <cell r="C230">
            <v>0</v>
          </cell>
          <cell r="D230">
            <v>0</v>
          </cell>
          <cell r="E230">
            <v>0</v>
          </cell>
          <cell r="F230">
            <v>0</v>
          </cell>
        </row>
        <row r="231">
          <cell r="C231">
            <v>0</v>
          </cell>
          <cell r="D231">
            <v>0</v>
          </cell>
          <cell r="E231">
            <v>0</v>
          </cell>
          <cell r="F231">
            <v>0</v>
          </cell>
        </row>
        <row r="232">
          <cell r="C232">
            <v>0</v>
          </cell>
          <cell r="D232">
            <v>0</v>
          </cell>
          <cell r="E232">
            <v>0</v>
          </cell>
          <cell r="F232">
            <v>0</v>
          </cell>
        </row>
        <row r="233">
          <cell r="C233">
            <v>0</v>
          </cell>
          <cell r="D233">
            <v>0</v>
          </cell>
          <cell r="E233">
            <v>0</v>
          </cell>
          <cell r="F233">
            <v>0</v>
          </cell>
        </row>
        <row r="234">
          <cell r="C234">
            <v>0</v>
          </cell>
          <cell r="D234">
            <v>0</v>
          </cell>
          <cell r="E234">
            <v>0</v>
          </cell>
          <cell r="F234">
            <v>0</v>
          </cell>
        </row>
        <row r="235">
          <cell r="C235">
            <v>0</v>
          </cell>
          <cell r="D235">
            <v>0</v>
          </cell>
          <cell r="E235">
            <v>0</v>
          </cell>
          <cell r="F235">
            <v>0</v>
          </cell>
        </row>
        <row r="236">
          <cell r="C236">
            <v>0</v>
          </cell>
          <cell r="D236">
            <v>0</v>
          </cell>
          <cell r="E236">
            <v>0</v>
          </cell>
          <cell r="F236">
            <v>0</v>
          </cell>
        </row>
        <row r="237">
          <cell r="C237">
            <v>0</v>
          </cell>
          <cell r="D237">
            <v>0</v>
          </cell>
          <cell r="E237">
            <v>0</v>
          </cell>
          <cell r="F237">
            <v>0</v>
          </cell>
        </row>
        <row r="238">
          <cell r="C238">
            <v>0</v>
          </cell>
          <cell r="D238">
            <v>0</v>
          </cell>
          <cell r="E238">
            <v>0</v>
          </cell>
          <cell r="F238">
            <v>0</v>
          </cell>
        </row>
        <row r="239">
          <cell r="C239">
            <v>0</v>
          </cell>
          <cell r="D239">
            <v>0</v>
          </cell>
          <cell r="E239">
            <v>0</v>
          </cell>
          <cell r="F239">
            <v>0</v>
          </cell>
        </row>
        <row r="240">
          <cell r="C240">
            <v>0</v>
          </cell>
          <cell r="D240">
            <v>0</v>
          </cell>
          <cell r="E240">
            <v>0</v>
          </cell>
          <cell r="F240">
            <v>0</v>
          </cell>
        </row>
        <row r="241">
          <cell r="C241">
            <v>0</v>
          </cell>
          <cell r="D241">
            <v>0</v>
          </cell>
          <cell r="E241">
            <v>0</v>
          </cell>
          <cell r="F241">
            <v>0</v>
          </cell>
        </row>
        <row r="242">
          <cell r="C242">
            <v>0</v>
          </cell>
          <cell r="D242">
            <v>0</v>
          </cell>
          <cell r="E242">
            <v>0</v>
          </cell>
          <cell r="F242">
            <v>0</v>
          </cell>
        </row>
        <row r="243">
          <cell r="C243">
            <v>0</v>
          </cell>
          <cell r="D243">
            <v>0</v>
          </cell>
          <cell r="E243">
            <v>0</v>
          </cell>
          <cell r="F243">
            <v>0</v>
          </cell>
        </row>
        <row r="244">
          <cell r="C244">
            <v>0</v>
          </cell>
          <cell r="D244">
            <v>0</v>
          </cell>
          <cell r="E244">
            <v>0</v>
          </cell>
          <cell r="F244">
            <v>0</v>
          </cell>
        </row>
        <row r="245">
          <cell r="C245">
            <v>0</v>
          </cell>
          <cell r="D245">
            <v>0</v>
          </cell>
          <cell r="E245">
            <v>0</v>
          </cell>
          <cell r="F245">
            <v>0</v>
          </cell>
        </row>
        <row r="246">
          <cell r="C246">
            <v>0</v>
          </cell>
          <cell r="D246">
            <v>0</v>
          </cell>
          <cell r="E246">
            <v>0</v>
          </cell>
          <cell r="F246">
            <v>0</v>
          </cell>
        </row>
        <row r="247">
          <cell r="C247">
            <v>0</v>
          </cell>
          <cell r="D247">
            <v>0</v>
          </cell>
          <cell r="E247">
            <v>0</v>
          </cell>
          <cell r="F247">
            <v>0</v>
          </cell>
        </row>
        <row r="248">
          <cell r="C248">
            <v>0</v>
          </cell>
          <cell r="D248">
            <v>0</v>
          </cell>
          <cell r="E248">
            <v>0</v>
          </cell>
          <cell r="F248">
            <v>0</v>
          </cell>
        </row>
        <row r="249">
          <cell r="C249">
            <v>0</v>
          </cell>
          <cell r="D249">
            <v>0</v>
          </cell>
          <cell r="E249">
            <v>0</v>
          </cell>
          <cell r="F249">
            <v>0</v>
          </cell>
        </row>
        <row r="250">
          <cell r="C250">
            <v>0</v>
          </cell>
          <cell r="D250">
            <v>0</v>
          </cell>
          <cell r="E250">
            <v>0</v>
          </cell>
          <cell r="F250">
            <v>0</v>
          </cell>
        </row>
        <row r="251">
          <cell r="C251">
            <v>0</v>
          </cell>
          <cell r="D251">
            <v>0</v>
          </cell>
          <cell r="E251">
            <v>0</v>
          </cell>
          <cell r="F251">
            <v>0</v>
          </cell>
        </row>
        <row r="252">
          <cell r="C252">
            <v>0</v>
          </cell>
          <cell r="D252">
            <v>0</v>
          </cell>
          <cell r="E252">
            <v>0</v>
          </cell>
          <cell r="F252">
            <v>0</v>
          </cell>
        </row>
        <row r="253">
          <cell r="C253">
            <v>0</v>
          </cell>
          <cell r="D253">
            <v>0</v>
          </cell>
          <cell r="E253">
            <v>0</v>
          </cell>
          <cell r="F253">
            <v>0</v>
          </cell>
        </row>
        <row r="254">
          <cell r="C254">
            <v>0</v>
          </cell>
          <cell r="D254">
            <v>0</v>
          </cell>
          <cell r="E254">
            <v>0</v>
          </cell>
          <cell r="F254">
            <v>0</v>
          </cell>
        </row>
        <row r="255">
          <cell r="C255">
            <v>0</v>
          </cell>
          <cell r="D255">
            <v>0</v>
          </cell>
          <cell r="E255">
            <v>0</v>
          </cell>
          <cell r="F255">
            <v>0</v>
          </cell>
        </row>
        <row r="256">
          <cell r="C256">
            <v>0</v>
          </cell>
          <cell r="D256">
            <v>0</v>
          </cell>
          <cell r="E256">
            <v>0</v>
          </cell>
          <cell r="F256">
            <v>0</v>
          </cell>
        </row>
        <row r="257">
          <cell r="C257">
            <v>0</v>
          </cell>
          <cell r="D257">
            <v>0</v>
          </cell>
          <cell r="E257">
            <v>0</v>
          </cell>
          <cell r="F257">
            <v>0</v>
          </cell>
        </row>
        <row r="258">
          <cell r="C258">
            <v>0</v>
          </cell>
          <cell r="D258">
            <v>0</v>
          </cell>
          <cell r="E258">
            <v>0</v>
          </cell>
          <cell r="F258">
            <v>0</v>
          </cell>
        </row>
        <row r="259">
          <cell r="C259">
            <v>0</v>
          </cell>
          <cell r="D259">
            <v>0</v>
          </cell>
          <cell r="E259">
            <v>0</v>
          </cell>
          <cell r="F259">
            <v>0</v>
          </cell>
        </row>
        <row r="260">
          <cell r="C260">
            <v>0</v>
          </cell>
          <cell r="D260">
            <v>0</v>
          </cell>
          <cell r="E260">
            <v>0</v>
          </cell>
          <cell r="F260">
            <v>0</v>
          </cell>
        </row>
        <row r="261">
          <cell r="C261">
            <v>0</v>
          </cell>
          <cell r="D261">
            <v>0</v>
          </cell>
          <cell r="E261">
            <v>0</v>
          </cell>
          <cell r="F261">
            <v>0</v>
          </cell>
        </row>
        <row r="262">
          <cell r="C262">
            <v>0</v>
          </cell>
          <cell r="D262">
            <v>0</v>
          </cell>
          <cell r="E262">
            <v>0</v>
          </cell>
          <cell r="F262">
            <v>0</v>
          </cell>
        </row>
        <row r="263">
          <cell r="C263">
            <v>0</v>
          </cell>
          <cell r="D263">
            <v>0</v>
          </cell>
          <cell r="E263">
            <v>0</v>
          </cell>
          <cell r="F263">
            <v>0</v>
          </cell>
        </row>
        <row r="264">
          <cell r="C264">
            <v>0</v>
          </cell>
          <cell r="D264">
            <v>0</v>
          </cell>
          <cell r="E264">
            <v>0</v>
          </cell>
          <cell r="F264">
            <v>0</v>
          </cell>
        </row>
        <row r="265">
          <cell r="C265">
            <v>0</v>
          </cell>
          <cell r="D265">
            <v>0</v>
          </cell>
          <cell r="E265">
            <v>0</v>
          </cell>
          <cell r="F265">
            <v>0</v>
          </cell>
        </row>
        <row r="266">
          <cell r="C266">
            <v>0</v>
          </cell>
          <cell r="D266">
            <v>0</v>
          </cell>
          <cell r="E266">
            <v>0</v>
          </cell>
          <cell r="F266">
            <v>0</v>
          </cell>
        </row>
        <row r="267">
          <cell r="C267">
            <v>0</v>
          </cell>
          <cell r="D267">
            <v>0</v>
          </cell>
          <cell r="E267">
            <v>0</v>
          </cell>
          <cell r="F267">
            <v>0</v>
          </cell>
        </row>
        <row r="268">
          <cell r="C268">
            <v>0</v>
          </cell>
          <cell r="D268">
            <v>0</v>
          </cell>
          <cell r="E268">
            <v>0</v>
          </cell>
          <cell r="F268">
            <v>0</v>
          </cell>
        </row>
        <row r="269">
          <cell r="C269">
            <v>0</v>
          </cell>
          <cell r="D269">
            <v>0</v>
          </cell>
          <cell r="E269">
            <v>0</v>
          </cell>
          <cell r="F269">
            <v>0</v>
          </cell>
        </row>
        <row r="270">
          <cell r="C270">
            <v>0</v>
          </cell>
          <cell r="D270">
            <v>0</v>
          </cell>
          <cell r="E270">
            <v>0</v>
          </cell>
          <cell r="F270">
            <v>0</v>
          </cell>
        </row>
        <row r="271">
          <cell r="C271">
            <v>0</v>
          </cell>
          <cell r="D271">
            <v>0</v>
          </cell>
          <cell r="E271">
            <v>0</v>
          </cell>
          <cell r="F271">
            <v>0</v>
          </cell>
        </row>
        <row r="272">
          <cell r="C272">
            <v>0</v>
          </cell>
          <cell r="D272">
            <v>0</v>
          </cell>
          <cell r="E272">
            <v>0</v>
          </cell>
          <cell r="F272">
            <v>0</v>
          </cell>
        </row>
        <row r="273">
          <cell r="C273">
            <v>0</v>
          </cell>
          <cell r="D273">
            <v>0</v>
          </cell>
          <cell r="E273">
            <v>0</v>
          </cell>
          <cell r="F273">
            <v>0</v>
          </cell>
        </row>
        <row r="274">
          <cell r="C274">
            <v>0</v>
          </cell>
          <cell r="D274">
            <v>0</v>
          </cell>
          <cell r="E274">
            <v>0</v>
          </cell>
          <cell r="F274">
            <v>0</v>
          </cell>
        </row>
        <row r="275">
          <cell r="C275">
            <v>0</v>
          </cell>
          <cell r="D275">
            <v>0</v>
          </cell>
          <cell r="E275">
            <v>0</v>
          </cell>
          <cell r="F275">
            <v>0</v>
          </cell>
        </row>
        <row r="276">
          <cell r="C276">
            <v>0</v>
          </cell>
          <cell r="D276">
            <v>0</v>
          </cell>
          <cell r="E276">
            <v>0</v>
          </cell>
          <cell r="F276">
            <v>0</v>
          </cell>
        </row>
        <row r="277">
          <cell r="C277">
            <v>0</v>
          </cell>
          <cell r="D277">
            <v>0</v>
          </cell>
          <cell r="E277">
            <v>0</v>
          </cell>
          <cell r="F277">
            <v>0</v>
          </cell>
        </row>
        <row r="278">
          <cell r="C278">
            <v>0</v>
          </cell>
          <cell r="D278">
            <v>0</v>
          </cell>
          <cell r="E278">
            <v>0</v>
          </cell>
          <cell r="F278">
            <v>0</v>
          </cell>
        </row>
        <row r="279">
          <cell r="C279">
            <v>0</v>
          </cell>
          <cell r="D279">
            <v>0</v>
          </cell>
          <cell r="E279">
            <v>0</v>
          </cell>
          <cell r="F279">
            <v>0</v>
          </cell>
        </row>
        <row r="280">
          <cell r="C280">
            <v>0</v>
          </cell>
          <cell r="D280">
            <v>0</v>
          </cell>
          <cell r="E280">
            <v>0</v>
          </cell>
          <cell r="F280">
            <v>0</v>
          </cell>
        </row>
        <row r="281">
          <cell r="C281">
            <v>0</v>
          </cell>
          <cell r="D281">
            <v>0</v>
          </cell>
          <cell r="E281">
            <v>0</v>
          </cell>
          <cell r="F281">
            <v>0</v>
          </cell>
        </row>
        <row r="282">
          <cell r="C282">
            <v>0</v>
          </cell>
          <cell r="D282">
            <v>0</v>
          </cell>
          <cell r="E282">
            <v>0</v>
          </cell>
          <cell r="F282">
            <v>0</v>
          </cell>
        </row>
        <row r="283">
          <cell r="C283">
            <v>0</v>
          </cell>
          <cell r="D283">
            <v>0</v>
          </cell>
          <cell r="E283">
            <v>0</v>
          </cell>
          <cell r="F283">
            <v>0</v>
          </cell>
        </row>
        <row r="284">
          <cell r="C284">
            <v>0</v>
          </cell>
          <cell r="D284">
            <v>0</v>
          </cell>
          <cell r="E284">
            <v>0</v>
          </cell>
          <cell r="F284">
            <v>0</v>
          </cell>
        </row>
        <row r="285">
          <cell r="C285">
            <v>0</v>
          </cell>
          <cell r="D285">
            <v>0</v>
          </cell>
          <cell r="E285">
            <v>0</v>
          </cell>
          <cell r="F285">
            <v>0</v>
          </cell>
        </row>
        <row r="286">
          <cell r="C286">
            <v>0</v>
          </cell>
          <cell r="D286">
            <v>0</v>
          </cell>
          <cell r="E286">
            <v>0</v>
          </cell>
          <cell r="F286">
            <v>0</v>
          </cell>
        </row>
        <row r="287">
          <cell r="C287">
            <v>0</v>
          </cell>
          <cell r="D287">
            <v>0</v>
          </cell>
          <cell r="E287">
            <v>0</v>
          </cell>
          <cell r="F287">
            <v>0</v>
          </cell>
        </row>
        <row r="288">
          <cell r="C288">
            <v>0</v>
          </cell>
          <cell r="D288">
            <v>0</v>
          </cell>
          <cell r="E288">
            <v>0</v>
          </cell>
          <cell r="F288">
            <v>0</v>
          </cell>
        </row>
        <row r="289">
          <cell r="C289">
            <v>0</v>
          </cell>
          <cell r="D289">
            <v>0</v>
          </cell>
          <cell r="E289">
            <v>0</v>
          </cell>
          <cell r="F289">
            <v>0</v>
          </cell>
        </row>
        <row r="290">
          <cell r="C290">
            <v>0</v>
          </cell>
          <cell r="D290">
            <v>0</v>
          </cell>
          <cell r="E290">
            <v>0</v>
          </cell>
          <cell r="F290">
            <v>0</v>
          </cell>
        </row>
        <row r="291">
          <cell r="C291">
            <v>0</v>
          </cell>
          <cell r="D291">
            <v>0</v>
          </cell>
          <cell r="E291">
            <v>0</v>
          </cell>
          <cell r="F291">
            <v>0</v>
          </cell>
        </row>
        <row r="292">
          <cell r="C292">
            <v>0</v>
          </cell>
          <cell r="D292">
            <v>0</v>
          </cell>
          <cell r="E292">
            <v>0</v>
          </cell>
          <cell r="F292">
            <v>0</v>
          </cell>
        </row>
        <row r="293">
          <cell r="C293">
            <v>0</v>
          </cell>
          <cell r="D293">
            <v>0</v>
          </cell>
          <cell r="E293">
            <v>0</v>
          </cell>
          <cell r="F293">
            <v>0</v>
          </cell>
        </row>
        <row r="294">
          <cell r="C294">
            <v>0</v>
          </cell>
          <cell r="D294">
            <v>0</v>
          </cell>
          <cell r="E294">
            <v>0</v>
          </cell>
          <cell r="F294">
            <v>0</v>
          </cell>
        </row>
        <row r="295">
          <cell r="C295">
            <v>0</v>
          </cell>
          <cell r="D295">
            <v>0</v>
          </cell>
          <cell r="E295">
            <v>0</v>
          </cell>
          <cell r="F295">
            <v>0</v>
          </cell>
        </row>
        <row r="296">
          <cell r="C296">
            <v>0</v>
          </cell>
          <cell r="D296">
            <v>0</v>
          </cell>
          <cell r="E296">
            <v>0</v>
          </cell>
          <cell r="F296">
            <v>0</v>
          </cell>
        </row>
        <row r="297">
          <cell r="C297">
            <v>0</v>
          </cell>
          <cell r="D297">
            <v>0</v>
          </cell>
          <cell r="E297">
            <v>0</v>
          </cell>
          <cell r="F297">
            <v>0</v>
          </cell>
        </row>
        <row r="298">
          <cell r="C298">
            <v>0</v>
          </cell>
          <cell r="D298">
            <v>0</v>
          </cell>
          <cell r="E298">
            <v>0</v>
          </cell>
          <cell r="F298">
            <v>0</v>
          </cell>
        </row>
        <row r="299">
          <cell r="C299">
            <v>0</v>
          </cell>
          <cell r="D299">
            <v>0</v>
          </cell>
          <cell r="E299">
            <v>0</v>
          </cell>
          <cell r="F299">
            <v>0</v>
          </cell>
        </row>
        <row r="300">
          <cell r="C300">
            <v>0</v>
          </cell>
          <cell r="D300">
            <v>0</v>
          </cell>
          <cell r="E300">
            <v>0</v>
          </cell>
          <cell r="F300">
            <v>0</v>
          </cell>
        </row>
        <row r="301">
          <cell r="C301">
            <v>0</v>
          </cell>
          <cell r="D301">
            <v>0</v>
          </cell>
          <cell r="E301">
            <v>0</v>
          </cell>
          <cell r="F301">
            <v>0</v>
          </cell>
        </row>
        <row r="302">
          <cell r="C302">
            <v>0</v>
          </cell>
          <cell r="D302">
            <v>0</v>
          </cell>
          <cell r="E302">
            <v>0</v>
          </cell>
          <cell r="F302">
            <v>0</v>
          </cell>
        </row>
        <row r="303">
          <cell r="C303">
            <v>0</v>
          </cell>
          <cell r="D303">
            <v>0</v>
          </cell>
          <cell r="E303">
            <v>0</v>
          </cell>
          <cell r="F303">
            <v>0</v>
          </cell>
        </row>
        <row r="304">
          <cell r="C304">
            <v>0</v>
          </cell>
          <cell r="D304">
            <v>0</v>
          </cell>
          <cell r="E304">
            <v>0</v>
          </cell>
          <cell r="F304">
            <v>0</v>
          </cell>
        </row>
        <row r="305">
          <cell r="C305">
            <v>0</v>
          </cell>
          <cell r="D305">
            <v>0</v>
          </cell>
          <cell r="E305">
            <v>0</v>
          </cell>
          <cell r="F305">
            <v>0</v>
          </cell>
        </row>
        <row r="306">
          <cell r="C306">
            <v>0</v>
          </cell>
          <cell r="D306">
            <v>0</v>
          </cell>
          <cell r="E306">
            <v>0</v>
          </cell>
          <cell r="F306">
            <v>0</v>
          </cell>
        </row>
        <row r="307">
          <cell r="C307">
            <v>0</v>
          </cell>
          <cell r="D307">
            <v>0</v>
          </cell>
          <cell r="E307">
            <v>0</v>
          </cell>
          <cell r="F307">
            <v>0</v>
          </cell>
        </row>
        <row r="308">
          <cell r="C308">
            <v>0</v>
          </cell>
          <cell r="D308">
            <v>0</v>
          </cell>
          <cell r="E308">
            <v>0</v>
          </cell>
          <cell r="F308">
            <v>0</v>
          </cell>
        </row>
        <row r="309">
          <cell r="C309">
            <v>0</v>
          </cell>
          <cell r="D309">
            <v>0</v>
          </cell>
          <cell r="E309">
            <v>0</v>
          </cell>
          <cell r="F309">
            <v>0</v>
          </cell>
        </row>
        <row r="310">
          <cell r="C310">
            <v>0</v>
          </cell>
          <cell r="D310">
            <v>0</v>
          </cell>
          <cell r="E310">
            <v>0</v>
          </cell>
          <cell r="F310">
            <v>0</v>
          </cell>
        </row>
        <row r="311">
          <cell r="C311">
            <v>0</v>
          </cell>
          <cell r="D311">
            <v>0</v>
          </cell>
          <cell r="E311">
            <v>0</v>
          </cell>
          <cell r="F311">
            <v>0</v>
          </cell>
        </row>
        <row r="312">
          <cell r="C312">
            <v>0</v>
          </cell>
          <cell r="D312">
            <v>0</v>
          </cell>
          <cell r="E312">
            <v>0</v>
          </cell>
          <cell r="F312">
            <v>0</v>
          </cell>
        </row>
        <row r="313">
          <cell r="C313">
            <v>0</v>
          </cell>
          <cell r="D313">
            <v>0</v>
          </cell>
          <cell r="E313">
            <v>0</v>
          </cell>
          <cell r="F313">
            <v>0</v>
          </cell>
        </row>
        <row r="314">
          <cell r="C314">
            <v>0</v>
          </cell>
          <cell r="D314">
            <v>0</v>
          </cell>
          <cell r="E314">
            <v>0</v>
          </cell>
          <cell r="F314">
            <v>0</v>
          </cell>
        </row>
        <row r="315">
          <cell r="C315">
            <v>0</v>
          </cell>
          <cell r="D315">
            <v>0</v>
          </cell>
          <cell r="E315">
            <v>0</v>
          </cell>
          <cell r="F315">
            <v>0</v>
          </cell>
        </row>
        <row r="316">
          <cell r="C316">
            <v>0</v>
          </cell>
          <cell r="D316">
            <v>0</v>
          </cell>
          <cell r="E316">
            <v>0</v>
          </cell>
          <cell r="F316">
            <v>0</v>
          </cell>
        </row>
        <row r="317">
          <cell r="C317">
            <v>0</v>
          </cell>
          <cell r="D317">
            <v>0</v>
          </cell>
          <cell r="E317">
            <v>0</v>
          </cell>
          <cell r="F317">
            <v>0</v>
          </cell>
        </row>
        <row r="318">
          <cell r="C318">
            <v>0</v>
          </cell>
          <cell r="D318">
            <v>0</v>
          </cell>
          <cell r="E318">
            <v>0</v>
          </cell>
          <cell r="F318">
            <v>0</v>
          </cell>
        </row>
        <row r="319">
          <cell r="C319">
            <v>0</v>
          </cell>
          <cell r="D319">
            <v>0</v>
          </cell>
          <cell r="E319">
            <v>0</v>
          </cell>
          <cell r="F319">
            <v>0</v>
          </cell>
        </row>
        <row r="320">
          <cell r="C320">
            <v>0</v>
          </cell>
          <cell r="D320">
            <v>0</v>
          </cell>
          <cell r="E320">
            <v>0</v>
          </cell>
          <cell r="F320">
            <v>0</v>
          </cell>
        </row>
        <row r="321">
          <cell r="C321">
            <v>0</v>
          </cell>
          <cell r="D321">
            <v>0</v>
          </cell>
          <cell r="E321">
            <v>0</v>
          </cell>
          <cell r="F321">
            <v>0</v>
          </cell>
        </row>
        <row r="322">
          <cell r="C322">
            <v>0</v>
          </cell>
          <cell r="D322">
            <v>0</v>
          </cell>
          <cell r="E322">
            <v>0</v>
          </cell>
          <cell r="F322">
            <v>0</v>
          </cell>
        </row>
        <row r="323">
          <cell r="C323">
            <v>0</v>
          </cell>
          <cell r="D323">
            <v>0</v>
          </cell>
          <cell r="E323">
            <v>0</v>
          </cell>
          <cell r="F323">
            <v>0</v>
          </cell>
        </row>
        <row r="324">
          <cell r="C324">
            <v>0</v>
          </cell>
          <cell r="D324">
            <v>0</v>
          </cell>
          <cell r="E324">
            <v>0</v>
          </cell>
          <cell r="F324">
            <v>0</v>
          </cell>
        </row>
        <row r="325">
          <cell r="C325">
            <v>0</v>
          </cell>
          <cell r="D325">
            <v>0</v>
          </cell>
          <cell r="E325">
            <v>0</v>
          </cell>
          <cell r="F325">
            <v>0</v>
          </cell>
        </row>
        <row r="326">
          <cell r="C326">
            <v>0</v>
          </cell>
          <cell r="D326">
            <v>0</v>
          </cell>
          <cell r="E326">
            <v>0</v>
          </cell>
          <cell r="F326">
            <v>0</v>
          </cell>
        </row>
        <row r="327">
          <cell r="C327">
            <v>0</v>
          </cell>
          <cell r="D327">
            <v>0</v>
          </cell>
          <cell r="E327">
            <v>0</v>
          </cell>
          <cell r="F327">
            <v>0</v>
          </cell>
        </row>
        <row r="328">
          <cell r="C328">
            <v>0</v>
          </cell>
          <cell r="D328">
            <v>0</v>
          </cell>
          <cell r="E328">
            <v>0</v>
          </cell>
          <cell r="F328">
            <v>0</v>
          </cell>
        </row>
        <row r="329">
          <cell r="C329">
            <v>0</v>
          </cell>
          <cell r="D329">
            <v>0</v>
          </cell>
          <cell r="E329">
            <v>0</v>
          </cell>
          <cell r="F329">
            <v>0</v>
          </cell>
        </row>
        <row r="330">
          <cell r="C330">
            <v>0</v>
          </cell>
          <cell r="D330">
            <v>0</v>
          </cell>
          <cell r="E330">
            <v>0</v>
          </cell>
          <cell r="F330">
            <v>0</v>
          </cell>
        </row>
        <row r="331">
          <cell r="C331">
            <v>0</v>
          </cell>
          <cell r="D331">
            <v>0</v>
          </cell>
          <cell r="E331">
            <v>0</v>
          </cell>
          <cell r="F331">
            <v>0</v>
          </cell>
        </row>
        <row r="332">
          <cell r="C332">
            <v>0</v>
          </cell>
          <cell r="D332">
            <v>0</v>
          </cell>
          <cell r="E332">
            <v>0</v>
          </cell>
          <cell r="F332">
            <v>0</v>
          </cell>
        </row>
        <row r="333">
          <cell r="C333">
            <v>0</v>
          </cell>
          <cell r="D333">
            <v>0</v>
          </cell>
          <cell r="E333">
            <v>0</v>
          </cell>
          <cell r="F333">
            <v>0</v>
          </cell>
        </row>
        <row r="334">
          <cell r="C334">
            <v>0</v>
          </cell>
          <cell r="D334">
            <v>0</v>
          </cell>
          <cell r="E334">
            <v>0</v>
          </cell>
          <cell r="F334">
            <v>0</v>
          </cell>
        </row>
        <row r="335">
          <cell r="C335">
            <v>0</v>
          </cell>
          <cell r="D335">
            <v>0</v>
          </cell>
          <cell r="E335">
            <v>0</v>
          </cell>
          <cell r="F335">
            <v>0</v>
          </cell>
        </row>
        <row r="336">
          <cell r="C336">
            <v>0</v>
          </cell>
          <cell r="D336">
            <v>0</v>
          </cell>
          <cell r="E336">
            <v>0</v>
          </cell>
          <cell r="F336">
            <v>0</v>
          </cell>
        </row>
        <row r="337">
          <cell r="C337">
            <v>0</v>
          </cell>
          <cell r="D337">
            <v>0</v>
          </cell>
          <cell r="E337">
            <v>0</v>
          </cell>
          <cell r="F337">
            <v>0</v>
          </cell>
        </row>
        <row r="338">
          <cell r="C338">
            <v>0</v>
          </cell>
          <cell r="D338">
            <v>0</v>
          </cell>
          <cell r="E338">
            <v>0</v>
          </cell>
          <cell r="F338">
            <v>0</v>
          </cell>
        </row>
        <row r="339">
          <cell r="C339" t="str">
            <v>Class G Cement</v>
          </cell>
          <cell r="D339" t="str">
            <v>USD</v>
          </cell>
          <cell r="E339">
            <v>33.799999999999997</v>
          </cell>
          <cell r="F339" t="str">
            <v>285 :: Cement and Additives</v>
          </cell>
        </row>
        <row r="340">
          <cell r="C340" t="str">
            <v>Silica Flour</v>
          </cell>
          <cell r="D340" t="str">
            <v>USD</v>
          </cell>
          <cell r="E340">
            <v>29.9</v>
          </cell>
          <cell r="F340" t="str">
            <v>285 :: Cement and Additives</v>
          </cell>
        </row>
        <row r="341">
          <cell r="C341" t="str">
            <v>Bentonite</v>
          </cell>
          <cell r="D341" t="str">
            <v>USD</v>
          </cell>
          <cell r="E341">
            <v>0.32</v>
          </cell>
          <cell r="F341" t="str">
            <v>285 :: Cement and Additives</v>
          </cell>
        </row>
        <row r="342">
          <cell r="C342" t="str">
            <v>BA-58D (Silica Fumes)</v>
          </cell>
          <cell r="D342" t="str">
            <v>USD</v>
          </cell>
          <cell r="E342">
            <v>3</v>
          </cell>
          <cell r="F342" t="str">
            <v>285 :: Cement and Additives</v>
          </cell>
        </row>
        <row r="343">
          <cell r="C343" t="str">
            <v>FL-25 (Fluid Loss Additive)</v>
          </cell>
          <cell r="D343" t="str">
            <v>USD</v>
          </cell>
          <cell r="E343">
            <v>9.5</v>
          </cell>
          <cell r="F343" t="str">
            <v>285 :: Cement and Additives</v>
          </cell>
        </row>
        <row r="344">
          <cell r="C344" t="str">
            <v>CD-32 (Dispersant)</v>
          </cell>
          <cell r="D344" t="str">
            <v>USD</v>
          </cell>
          <cell r="E344">
            <v>7.8</v>
          </cell>
          <cell r="F344" t="str">
            <v>285 :: Cement and Additives</v>
          </cell>
        </row>
        <row r="345">
          <cell r="C345" t="str">
            <v>A-3L (Extender)</v>
          </cell>
          <cell r="D345" t="str">
            <v>USD</v>
          </cell>
          <cell r="E345">
            <v>13.4</v>
          </cell>
          <cell r="F345" t="str">
            <v>285 :: Cement and Additives</v>
          </cell>
        </row>
        <row r="346">
          <cell r="C346" t="str">
            <v>R-15LS (Retarder)</v>
          </cell>
          <cell r="D346" t="str">
            <v>USD</v>
          </cell>
          <cell r="E346">
            <v>14.2</v>
          </cell>
          <cell r="F346" t="str">
            <v>285 :: Cement and Additives</v>
          </cell>
        </row>
        <row r="347">
          <cell r="C347" t="str">
            <v>FP-9LS (Defoamer)</v>
          </cell>
          <cell r="D347" t="str">
            <v>USD</v>
          </cell>
          <cell r="E347">
            <v>36</v>
          </cell>
          <cell r="F347" t="str">
            <v>285 :: Cement and Additives</v>
          </cell>
        </row>
        <row r="348">
          <cell r="C348" t="str">
            <v>A-7 (Calcium Chloride, Accelerator)</v>
          </cell>
          <cell r="D348" t="str">
            <v>USD</v>
          </cell>
          <cell r="E348">
            <v>1.6</v>
          </cell>
          <cell r="F348" t="str">
            <v>285 :: Cement and Additives</v>
          </cell>
        </row>
        <row r="349">
          <cell r="C349" t="str">
            <v>BJ Ultra, Multipurpose Additive (Liquid)</v>
          </cell>
          <cell r="D349" t="str">
            <v>USD</v>
          </cell>
          <cell r="E349">
            <v>26</v>
          </cell>
          <cell r="F349" t="str">
            <v>285 :: Cement and Additives</v>
          </cell>
        </row>
      </sheetData>
      <sheetData sheetId="1" refreshError="1"/>
      <sheetData sheetId="2" refreshError="1"/>
      <sheetData sheetId="3">
        <row r="8">
          <cell r="B8" t="str">
            <v>RIG MOVE</v>
          </cell>
          <cell r="C8">
            <v>0</v>
          </cell>
          <cell r="D8">
            <v>10</v>
          </cell>
          <cell r="E8">
            <v>10</v>
          </cell>
          <cell r="F8">
            <v>0</v>
          </cell>
          <cell r="G8">
            <v>0</v>
          </cell>
        </row>
        <row r="9">
          <cell r="B9" t="str">
            <v>DRILL 26 in. HOLE TO 155m</v>
          </cell>
          <cell r="C9">
            <v>155</v>
          </cell>
          <cell r="D9">
            <v>2</v>
          </cell>
          <cell r="E9">
            <v>2</v>
          </cell>
          <cell r="F9">
            <v>13946722.621176191</v>
          </cell>
          <cell r="G9">
            <v>13946722.621176191</v>
          </cell>
        </row>
        <row r="10">
          <cell r="B10" t="str">
            <v>20 in. CASING-CEMENTING AND BOP OPERATIONS</v>
          </cell>
          <cell r="C10">
            <v>155</v>
          </cell>
          <cell r="D10">
            <v>1</v>
          </cell>
          <cell r="E10">
            <v>3</v>
          </cell>
          <cell r="F10">
            <v>5719907.3547200002</v>
          </cell>
          <cell r="G10">
            <v>19666629.975896191</v>
          </cell>
        </row>
        <row r="11">
          <cell r="B11" t="str">
            <v>DRILL 17 in. HOLE TO 435m</v>
          </cell>
          <cell r="C11">
            <v>435</v>
          </cell>
          <cell r="D11">
            <v>3</v>
          </cell>
          <cell r="E11">
            <v>6</v>
          </cell>
          <cell r="F11">
            <v>24608370.411414292</v>
          </cell>
          <cell r="G11">
            <v>44275000.387310483</v>
          </cell>
        </row>
        <row r="12">
          <cell r="B12" t="str">
            <v>13.375 in. CASING-CEMENTING AND BOP OPERATIONS</v>
          </cell>
          <cell r="C12">
            <v>435</v>
          </cell>
          <cell r="D12">
            <v>3</v>
          </cell>
          <cell r="E12">
            <v>9</v>
          </cell>
          <cell r="F12">
            <v>11114673.536947999</v>
          </cell>
          <cell r="G12">
            <v>55389673.924258485</v>
          </cell>
        </row>
        <row r="13">
          <cell r="B13" t="str">
            <v>DRILL 12.25 in. HOLE TO 1005m</v>
          </cell>
          <cell r="C13">
            <v>1005</v>
          </cell>
          <cell r="D13">
            <v>9</v>
          </cell>
          <cell r="E13">
            <v>18</v>
          </cell>
          <cell r="F13">
            <v>49049770.201242857</v>
          </cell>
          <cell r="G13">
            <v>104439444.12550133</v>
          </cell>
        </row>
        <row r="14">
          <cell r="B14" t="str">
            <v>9.625 in. CASING-CEMENTING AND BOP OPERATIONS</v>
          </cell>
          <cell r="C14">
            <v>1005</v>
          </cell>
          <cell r="D14">
            <v>3</v>
          </cell>
          <cell r="E14">
            <v>21</v>
          </cell>
          <cell r="F14">
            <v>10143334.749755999</v>
          </cell>
          <cell r="G14">
            <v>114582778.87525733</v>
          </cell>
        </row>
        <row r="15">
          <cell r="B15" t="str">
            <v>DRILL 8.5 in. HOLE TO 2200m</v>
          </cell>
          <cell r="C15">
            <v>2200</v>
          </cell>
          <cell r="D15">
            <v>24</v>
          </cell>
          <cell r="E15">
            <v>45</v>
          </cell>
          <cell r="F15">
            <v>109692116.41294762</v>
          </cell>
          <cell r="G15">
            <v>224274895.28820497</v>
          </cell>
        </row>
        <row r="16">
          <cell r="B16" t="str">
            <v>RIH/SET 7 in. LINERSAND COMPLETION TESTS / LAY DOWN TUBULARS / RIG RELEASE</v>
          </cell>
          <cell r="C16">
            <v>2200</v>
          </cell>
          <cell r="D16">
            <v>7</v>
          </cell>
          <cell r="E16">
            <v>52</v>
          </cell>
          <cell r="F16">
            <v>7372983.243755999</v>
          </cell>
          <cell r="G16">
            <v>231647878.53196096</v>
          </cell>
        </row>
        <row r="17">
          <cell r="B17">
            <v>0</v>
          </cell>
          <cell r="C17">
            <v>0</v>
          </cell>
          <cell r="D17">
            <v>0</v>
          </cell>
          <cell r="E17">
            <v>52</v>
          </cell>
          <cell r="F17">
            <v>0</v>
          </cell>
          <cell r="G17">
            <v>231647878.53196096</v>
          </cell>
        </row>
        <row r="18">
          <cell r="B18">
            <v>0</v>
          </cell>
          <cell r="C18">
            <v>0</v>
          </cell>
          <cell r="D18">
            <v>0</v>
          </cell>
          <cell r="E18">
            <v>52</v>
          </cell>
          <cell r="F18">
            <v>0</v>
          </cell>
          <cell r="G18">
            <v>231647878.53196096</v>
          </cell>
        </row>
        <row r="19">
          <cell r="B19">
            <v>0</v>
          </cell>
          <cell r="C19">
            <v>0</v>
          </cell>
          <cell r="D19">
            <v>0</v>
          </cell>
          <cell r="E19">
            <v>52</v>
          </cell>
          <cell r="F19">
            <v>0</v>
          </cell>
          <cell r="G19">
            <v>231647878.53196096</v>
          </cell>
        </row>
      </sheetData>
      <sheetData sheetId="4" refreshError="1"/>
      <sheetData sheetId="5">
        <row r="20">
          <cell r="C20">
            <v>44.46</v>
          </cell>
        </row>
        <row r="21">
          <cell r="C21">
            <v>46.2</v>
          </cell>
        </row>
        <row r="22">
          <cell r="C22">
            <v>7</v>
          </cell>
        </row>
        <row r="29">
          <cell r="J29">
            <v>2</v>
          </cell>
        </row>
        <row r="30">
          <cell r="J30">
            <v>3</v>
          </cell>
        </row>
      </sheetData>
      <sheetData sheetId="6">
        <row r="19">
          <cell r="E19">
            <v>2</v>
          </cell>
          <cell r="F19">
            <v>3</v>
          </cell>
          <cell r="G19">
            <v>9</v>
          </cell>
          <cell r="H19">
            <v>24</v>
          </cell>
          <cell r="I19">
            <v>0</v>
          </cell>
        </row>
        <row r="20">
          <cell r="D20">
            <v>10</v>
          </cell>
          <cell r="E20">
            <v>1</v>
          </cell>
          <cell r="F20">
            <v>3</v>
          </cell>
          <cell r="G20">
            <v>3</v>
          </cell>
          <cell r="H20">
            <v>7</v>
          </cell>
          <cell r="I20" t="str">
            <v/>
          </cell>
        </row>
      </sheetData>
      <sheetData sheetId="7">
        <row r="3">
          <cell r="A3">
            <v>0</v>
          </cell>
          <cell r="B3" t="str">
            <v>Regular Hole</v>
          </cell>
          <cell r="C3">
            <v>0</v>
          </cell>
          <cell r="D3" t="str">
            <v>Big Hole</v>
          </cell>
          <cell r="E3">
            <v>0</v>
          </cell>
        </row>
        <row r="4">
          <cell r="A4">
            <v>0</v>
          </cell>
          <cell r="B4" t="str">
            <v>QTY</v>
          </cell>
          <cell r="C4" t="str">
            <v>RATE</v>
          </cell>
          <cell r="D4" t="str">
            <v>QTY</v>
          </cell>
          <cell r="E4" t="str">
            <v>RATE</v>
          </cell>
        </row>
        <row r="5">
          <cell r="A5" t="str">
            <v>SHOCKTOOL</v>
          </cell>
          <cell r="B5">
            <v>1</v>
          </cell>
          <cell r="C5">
            <v>121.87499999999999</v>
          </cell>
          <cell r="D5">
            <v>1</v>
          </cell>
          <cell r="E5">
            <v>121.87499999999999</v>
          </cell>
        </row>
        <row r="6">
          <cell r="A6" t="str">
            <v>7¾" DNT JAR</v>
          </cell>
          <cell r="B6">
            <v>2</v>
          </cell>
          <cell r="C6">
            <v>116.07142857142856</v>
          </cell>
          <cell r="D6">
            <v>2</v>
          </cell>
          <cell r="E6">
            <v>116.07142857142856</v>
          </cell>
        </row>
        <row r="7">
          <cell r="A7" t="str">
            <v>6½" DNT JAR</v>
          </cell>
          <cell r="B7">
            <v>3</v>
          </cell>
          <cell r="C7">
            <v>116.07142857142856</v>
          </cell>
          <cell r="D7">
            <v>2</v>
          </cell>
          <cell r="E7">
            <v>116.07142857142856</v>
          </cell>
        </row>
        <row r="8">
          <cell r="A8" t="str">
            <v>4¾" DNT JAR</v>
          </cell>
          <cell r="B8">
            <v>0</v>
          </cell>
          <cell r="C8">
            <v>116.07142857142856</v>
          </cell>
          <cell r="D8">
            <v>0</v>
          </cell>
          <cell r="E8">
            <v>116.07142857142856</v>
          </cell>
        </row>
        <row r="9">
          <cell r="A9" t="str">
            <v>REDRESS</v>
          </cell>
          <cell r="B9">
            <v>6</v>
          </cell>
          <cell r="C9">
            <v>2678.6</v>
          </cell>
          <cell r="D9">
            <v>6</v>
          </cell>
          <cell r="E9">
            <v>2678.6</v>
          </cell>
        </row>
        <row r="12">
          <cell r="A12">
            <v>0</v>
          </cell>
          <cell r="B12" t="str">
            <v>Regular Hole</v>
          </cell>
          <cell r="C12">
            <v>0</v>
          </cell>
          <cell r="D12" t="str">
            <v>Big Hole</v>
          </cell>
          <cell r="E12">
            <v>0</v>
          </cell>
          <cell r="G12">
            <v>0</v>
          </cell>
          <cell r="H12" t="str">
            <v>Regular Hole</v>
          </cell>
          <cell r="I12">
            <v>0</v>
          </cell>
          <cell r="J12" t="str">
            <v>Big Hole</v>
          </cell>
          <cell r="K12">
            <v>0</v>
          </cell>
        </row>
        <row r="13">
          <cell r="A13">
            <v>0</v>
          </cell>
          <cell r="B13" t="str">
            <v>QTY</v>
          </cell>
          <cell r="C13" t="str">
            <v>RATE</v>
          </cell>
          <cell r="D13" t="str">
            <v>QTY</v>
          </cell>
          <cell r="E13" t="str">
            <v>RATE</v>
          </cell>
          <cell r="G13">
            <v>0</v>
          </cell>
          <cell r="H13" t="str">
            <v>QTY</v>
          </cell>
          <cell r="I13" t="str">
            <v>RATE</v>
          </cell>
          <cell r="J13" t="str">
            <v>QTY</v>
          </cell>
          <cell r="K13" t="str">
            <v>RATE</v>
          </cell>
        </row>
        <row r="14">
          <cell r="A14" t="str">
            <v>Directional Engineer</v>
          </cell>
          <cell r="B14">
            <v>2</v>
          </cell>
          <cell r="C14">
            <v>1000</v>
          </cell>
          <cell r="D14">
            <v>2</v>
          </cell>
          <cell r="E14">
            <v>1000</v>
          </cell>
          <cell r="G14" t="str">
            <v>Directional Engineer</v>
          </cell>
          <cell r="H14">
            <v>2</v>
          </cell>
          <cell r="I14">
            <v>1000</v>
          </cell>
          <cell r="J14">
            <v>2</v>
          </cell>
          <cell r="K14">
            <v>1000</v>
          </cell>
        </row>
        <row r="15">
          <cell r="A15" t="str">
            <v>MWD Engineer</v>
          </cell>
          <cell r="B15">
            <v>2</v>
          </cell>
          <cell r="C15">
            <v>700</v>
          </cell>
          <cell r="D15">
            <v>2</v>
          </cell>
          <cell r="E15">
            <v>700</v>
          </cell>
          <cell r="G15" t="str">
            <v>MWD Engineer</v>
          </cell>
          <cell r="H15">
            <v>2</v>
          </cell>
          <cell r="I15">
            <v>1280</v>
          </cell>
          <cell r="J15">
            <v>2</v>
          </cell>
          <cell r="K15">
            <v>1280</v>
          </cell>
        </row>
        <row r="16">
          <cell r="A16" t="str">
            <v>9-5/8" Mud Motor, rental</v>
          </cell>
          <cell r="B16">
            <v>2</v>
          </cell>
          <cell r="C16">
            <v>160</v>
          </cell>
          <cell r="D16">
            <v>3</v>
          </cell>
          <cell r="E16">
            <v>160</v>
          </cell>
          <cell r="G16" t="str">
            <v>9-5/8" Mud Motor, rental</v>
          </cell>
          <cell r="H16">
            <v>2</v>
          </cell>
          <cell r="I16">
            <v>500</v>
          </cell>
          <cell r="J16">
            <v>3</v>
          </cell>
          <cell r="K16">
            <v>500</v>
          </cell>
        </row>
        <row r="17">
          <cell r="A17" t="str">
            <v>9-5/8" Mud Motor, run charge</v>
          </cell>
          <cell r="B17">
            <v>1</v>
          </cell>
          <cell r="C17">
            <v>75</v>
          </cell>
          <cell r="D17">
            <v>1</v>
          </cell>
          <cell r="E17">
            <v>75</v>
          </cell>
          <cell r="G17" t="str">
            <v>9-5/8" Mud Motor, run charge</v>
          </cell>
          <cell r="H17">
            <v>1</v>
          </cell>
          <cell r="I17">
            <v>5</v>
          </cell>
          <cell r="J17">
            <v>1</v>
          </cell>
          <cell r="K17">
            <v>5</v>
          </cell>
        </row>
        <row r="18">
          <cell r="A18" t="str">
            <v>9-5/8" Mud Motor, redress</v>
          </cell>
          <cell r="B18">
            <v>2</v>
          </cell>
          <cell r="C18">
            <v>6500</v>
          </cell>
          <cell r="D18">
            <v>3</v>
          </cell>
          <cell r="E18">
            <v>6500</v>
          </cell>
          <cell r="G18" t="str">
            <v>9-5/8" Mud Motor, redress</v>
          </cell>
          <cell r="H18">
            <v>2</v>
          </cell>
          <cell r="I18">
            <v>19000</v>
          </cell>
          <cell r="J18">
            <v>3</v>
          </cell>
          <cell r="K18">
            <v>19000</v>
          </cell>
        </row>
        <row r="19">
          <cell r="A19" t="str">
            <v>8" Mud Motor, rental</v>
          </cell>
          <cell r="B19">
            <v>2</v>
          </cell>
          <cell r="C19">
            <v>140</v>
          </cell>
          <cell r="D19">
            <v>3</v>
          </cell>
          <cell r="E19">
            <v>140</v>
          </cell>
          <cell r="G19" t="str">
            <v>8" Mud Motor, rental</v>
          </cell>
          <cell r="H19">
            <v>2</v>
          </cell>
          <cell r="I19">
            <v>440</v>
          </cell>
          <cell r="J19">
            <v>3</v>
          </cell>
          <cell r="K19">
            <v>440</v>
          </cell>
        </row>
        <row r="20">
          <cell r="A20" t="str">
            <v>8" Mud Motor, run charge</v>
          </cell>
          <cell r="B20">
            <v>1</v>
          </cell>
          <cell r="C20">
            <v>70</v>
          </cell>
          <cell r="D20">
            <v>1</v>
          </cell>
          <cell r="E20">
            <v>70</v>
          </cell>
          <cell r="G20" t="str">
            <v>8" Mud Motor, run charge</v>
          </cell>
          <cell r="H20">
            <v>1</v>
          </cell>
          <cell r="I20">
            <v>5</v>
          </cell>
          <cell r="J20">
            <v>1</v>
          </cell>
          <cell r="K20">
            <v>5</v>
          </cell>
        </row>
        <row r="21">
          <cell r="A21" t="str">
            <v>8" Mud Motor, redress</v>
          </cell>
          <cell r="B21">
            <v>2</v>
          </cell>
          <cell r="C21">
            <v>6500</v>
          </cell>
          <cell r="D21">
            <v>3</v>
          </cell>
          <cell r="E21">
            <v>6500</v>
          </cell>
          <cell r="G21" t="str">
            <v>8" Mud Motor, redress</v>
          </cell>
          <cell r="H21">
            <v>2</v>
          </cell>
          <cell r="I21">
            <v>19000</v>
          </cell>
          <cell r="J21">
            <v>3</v>
          </cell>
          <cell r="K21">
            <v>19000</v>
          </cell>
        </row>
        <row r="22">
          <cell r="A22" t="str">
            <v>6-1/2" Mud Motor, rental</v>
          </cell>
          <cell r="B22">
            <v>3</v>
          </cell>
          <cell r="C22">
            <v>130</v>
          </cell>
          <cell r="D22">
            <v>3</v>
          </cell>
          <cell r="E22">
            <v>130</v>
          </cell>
          <cell r="G22" t="str">
            <v>6-3/4" Mud Motor, rental</v>
          </cell>
          <cell r="H22">
            <v>3</v>
          </cell>
          <cell r="I22">
            <v>160</v>
          </cell>
          <cell r="J22">
            <v>3</v>
          </cell>
          <cell r="K22">
            <v>160</v>
          </cell>
        </row>
        <row r="23">
          <cell r="A23" t="str">
            <v>6-1/2" Mud Motor, run charge</v>
          </cell>
          <cell r="B23">
            <v>1</v>
          </cell>
          <cell r="C23">
            <v>55</v>
          </cell>
          <cell r="D23">
            <v>1</v>
          </cell>
          <cell r="E23">
            <v>55</v>
          </cell>
          <cell r="G23" t="str">
            <v>6-3/4" Mud Motor, run charge</v>
          </cell>
          <cell r="H23">
            <v>1</v>
          </cell>
          <cell r="I23">
            <v>5</v>
          </cell>
          <cell r="J23">
            <v>1</v>
          </cell>
          <cell r="K23">
            <v>5</v>
          </cell>
        </row>
        <row r="24">
          <cell r="A24" t="str">
            <v>6-1/2" Mud Motor, redress</v>
          </cell>
          <cell r="B24">
            <v>3</v>
          </cell>
          <cell r="C24">
            <v>6500</v>
          </cell>
          <cell r="D24">
            <v>3</v>
          </cell>
          <cell r="E24">
            <v>6500</v>
          </cell>
          <cell r="G24" t="str">
            <v>6-3/4" Mud Motor, redress</v>
          </cell>
          <cell r="H24">
            <v>3</v>
          </cell>
          <cell r="I24">
            <v>19000</v>
          </cell>
          <cell r="J24">
            <v>3</v>
          </cell>
          <cell r="K24">
            <v>19000</v>
          </cell>
        </row>
        <row r="25">
          <cell r="A25" t="str">
            <v>MWD, operating</v>
          </cell>
          <cell r="B25">
            <v>1</v>
          </cell>
          <cell r="C25">
            <v>65</v>
          </cell>
          <cell r="D25">
            <v>1</v>
          </cell>
          <cell r="E25">
            <v>65</v>
          </cell>
          <cell r="G25" t="str">
            <v>MWD, operating</v>
          </cell>
          <cell r="H25">
            <v>1</v>
          </cell>
          <cell r="I25">
            <v>5</v>
          </cell>
          <cell r="J25">
            <v>1</v>
          </cell>
          <cell r="K25">
            <v>5</v>
          </cell>
        </row>
        <row r="26">
          <cell r="A26" t="str">
            <v>MWD, rental</v>
          </cell>
          <cell r="B26">
            <v>1</v>
          </cell>
          <cell r="C26">
            <v>900</v>
          </cell>
          <cell r="D26">
            <v>1</v>
          </cell>
          <cell r="E26">
            <v>900</v>
          </cell>
          <cell r="G26" t="str">
            <v>MWD, rental</v>
          </cell>
          <cell r="H26">
            <v>1</v>
          </cell>
          <cell r="I26">
            <v>2000</v>
          </cell>
          <cell r="J26">
            <v>1</v>
          </cell>
          <cell r="K26">
            <v>2000</v>
          </cell>
        </row>
        <row r="27">
          <cell r="A27" t="str">
            <v>EMS, rental</v>
          </cell>
          <cell r="B27">
            <v>0</v>
          </cell>
          <cell r="C27">
            <v>100</v>
          </cell>
          <cell r="D27">
            <v>0</v>
          </cell>
          <cell r="E27">
            <v>100</v>
          </cell>
          <cell r="G27" t="str">
            <v>Single Shot/ Multi-shot, rental</v>
          </cell>
          <cell r="H27">
            <v>0</v>
          </cell>
          <cell r="I27">
            <v>400</v>
          </cell>
          <cell r="J27">
            <v>0</v>
          </cell>
          <cell r="K27">
            <v>400</v>
          </cell>
        </row>
        <row r="28">
          <cell r="A28" t="str">
            <v>EMS, redress</v>
          </cell>
          <cell r="B28">
            <v>0</v>
          </cell>
          <cell r="C28">
            <v>1000</v>
          </cell>
          <cell r="D28">
            <v>0</v>
          </cell>
          <cell r="E28">
            <v>1000</v>
          </cell>
          <cell r="G28" t="str">
            <v>Single Shot/ Multi-shot, redress</v>
          </cell>
          <cell r="H28">
            <v>0</v>
          </cell>
          <cell r="I28">
            <v>4000</v>
          </cell>
          <cell r="J28">
            <v>0</v>
          </cell>
          <cell r="K28">
            <v>4000</v>
          </cell>
        </row>
        <row r="29">
          <cell r="A29" t="str">
            <v>8" Pony NMDC</v>
          </cell>
          <cell r="B29">
            <v>2</v>
          </cell>
          <cell r="C29">
            <v>70</v>
          </cell>
          <cell r="D29">
            <v>3</v>
          </cell>
          <cell r="E29">
            <v>70</v>
          </cell>
          <cell r="G29" t="str">
            <v>8" Pony NMDC</v>
          </cell>
          <cell r="H29">
            <v>2</v>
          </cell>
          <cell r="I29">
            <v>360</v>
          </cell>
          <cell r="J29">
            <v>3</v>
          </cell>
          <cell r="K29">
            <v>360</v>
          </cell>
        </row>
        <row r="30">
          <cell r="A30" t="str">
            <v>8" NMDC</v>
          </cell>
          <cell r="B30">
            <v>2</v>
          </cell>
          <cell r="C30">
            <v>70</v>
          </cell>
          <cell r="D30">
            <v>3</v>
          </cell>
          <cell r="E30">
            <v>70</v>
          </cell>
          <cell r="G30" t="str">
            <v>8" NMDC</v>
          </cell>
          <cell r="H30">
            <v>2</v>
          </cell>
          <cell r="I30">
            <v>360</v>
          </cell>
          <cell r="J30">
            <v>3</v>
          </cell>
          <cell r="K30">
            <v>360</v>
          </cell>
        </row>
        <row r="31">
          <cell r="A31" t="str">
            <v>6-1/2" Pony NMDC</v>
          </cell>
          <cell r="B31">
            <v>2</v>
          </cell>
          <cell r="C31">
            <v>60</v>
          </cell>
          <cell r="D31">
            <v>2</v>
          </cell>
          <cell r="E31">
            <v>60</v>
          </cell>
          <cell r="G31" t="str">
            <v>6-1/2" Pony NMDC</v>
          </cell>
          <cell r="H31">
            <v>2</v>
          </cell>
          <cell r="I31">
            <v>360</v>
          </cell>
          <cell r="J31">
            <v>2</v>
          </cell>
          <cell r="K31">
            <v>360</v>
          </cell>
        </row>
        <row r="32">
          <cell r="A32" t="str">
            <v>6-1/2" NMDC</v>
          </cell>
          <cell r="B32">
            <v>2</v>
          </cell>
          <cell r="C32">
            <v>60</v>
          </cell>
          <cell r="D32">
            <v>2</v>
          </cell>
          <cell r="E32">
            <v>60</v>
          </cell>
          <cell r="G32" t="str">
            <v>6-1/2" NMDC</v>
          </cell>
          <cell r="H32">
            <v>2</v>
          </cell>
          <cell r="I32">
            <v>360</v>
          </cell>
          <cell r="J32">
            <v>2</v>
          </cell>
          <cell r="K32">
            <v>360</v>
          </cell>
        </row>
        <row r="33">
          <cell r="A33" t="str">
            <v>26" Roller Reamer</v>
          </cell>
          <cell r="B33">
            <v>1</v>
          </cell>
          <cell r="C33">
            <v>75</v>
          </cell>
          <cell r="D33">
            <v>1</v>
          </cell>
          <cell r="E33">
            <v>75</v>
          </cell>
          <cell r="G33" t="str">
            <v>8" UBHO</v>
          </cell>
          <cell r="H33">
            <v>0</v>
          </cell>
          <cell r="I33">
            <v>180</v>
          </cell>
          <cell r="J33">
            <v>0</v>
          </cell>
          <cell r="K33">
            <v>180</v>
          </cell>
        </row>
        <row r="34">
          <cell r="A34" t="str">
            <v>26" Donut Stabilizer</v>
          </cell>
          <cell r="B34">
            <v>1</v>
          </cell>
          <cell r="C34">
            <v>92</v>
          </cell>
          <cell r="D34">
            <v>1</v>
          </cell>
          <cell r="E34">
            <v>92</v>
          </cell>
          <cell r="G34" t="str">
            <v>6-3/4" UBHO</v>
          </cell>
          <cell r="H34">
            <v>0</v>
          </cell>
          <cell r="I34">
            <v>180</v>
          </cell>
          <cell r="J34">
            <v>0</v>
          </cell>
          <cell r="K34">
            <v>180</v>
          </cell>
        </row>
        <row r="35">
          <cell r="A35" t="str">
            <v>26" Roller Reamer Redress</v>
          </cell>
          <cell r="B35">
            <v>1</v>
          </cell>
          <cell r="C35">
            <v>14950</v>
          </cell>
          <cell r="D35">
            <v>1</v>
          </cell>
          <cell r="E35">
            <v>14950</v>
          </cell>
          <cell r="G35">
            <v>0</v>
          </cell>
          <cell r="H35">
            <v>0</v>
          </cell>
          <cell r="I35">
            <v>0</v>
          </cell>
          <cell r="J35">
            <v>0</v>
          </cell>
          <cell r="K35">
            <v>0</v>
          </cell>
        </row>
        <row r="36">
          <cell r="A36" t="str">
            <v>26" Donut Stabilizer Redress</v>
          </cell>
          <cell r="B36">
            <v>1</v>
          </cell>
          <cell r="C36">
            <v>6000</v>
          </cell>
          <cell r="D36">
            <v>1</v>
          </cell>
          <cell r="E36">
            <v>6000</v>
          </cell>
          <cell r="G36">
            <v>0</v>
          </cell>
          <cell r="H36">
            <v>0</v>
          </cell>
          <cell r="I36">
            <v>0</v>
          </cell>
          <cell r="J36">
            <v>0</v>
          </cell>
          <cell r="K36">
            <v>0</v>
          </cell>
        </row>
        <row r="37">
          <cell r="A37" t="str">
            <v>26" Motor Sleeve Redress</v>
          </cell>
          <cell r="B37">
            <v>2</v>
          </cell>
          <cell r="C37">
            <v>2750</v>
          </cell>
          <cell r="D37">
            <v>2</v>
          </cell>
          <cell r="E37">
            <v>2750</v>
          </cell>
          <cell r="G37">
            <v>0</v>
          </cell>
          <cell r="H37">
            <v>0</v>
          </cell>
          <cell r="I37">
            <v>0</v>
          </cell>
          <cell r="J37">
            <v>0</v>
          </cell>
          <cell r="K37">
            <v>0</v>
          </cell>
        </row>
        <row r="38">
          <cell r="A38" t="str">
            <v>8" Motor Sleeve Redress</v>
          </cell>
          <cell r="B38">
            <v>2</v>
          </cell>
          <cell r="C38">
            <v>2100</v>
          </cell>
          <cell r="D38">
            <v>2</v>
          </cell>
          <cell r="E38">
            <v>2100</v>
          </cell>
          <cell r="G38">
            <v>0</v>
          </cell>
          <cell r="H38">
            <v>0</v>
          </cell>
          <cell r="I38">
            <v>0</v>
          </cell>
          <cell r="J38">
            <v>0</v>
          </cell>
          <cell r="K38">
            <v>0</v>
          </cell>
        </row>
        <row r="39">
          <cell r="A39" t="str">
            <v>6-1/2" Motor Sleeve Redress</v>
          </cell>
          <cell r="B39">
            <v>2</v>
          </cell>
          <cell r="C39">
            <v>2100</v>
          </cell>
          <cell r="D39">
            <v>2</v>
          </cell>
          <cell r="E39">
            <v>2100</v>
          </cell>
          <cell r="G39">
            <v>0</v>
          </cell>
          <cell r="H39">
            <v>0</v>
          </cell>
          <cell r="I39">
            <v>0</v>
          </cell>
          <cell r="J39">
            <v>0</v>
          </cell>
          <cell r="K39">
            <v>0</v>
          </cell>
        </row>
        <row r="40">
          <cell r="A40" t="str">
            <v>MWD Battery Charge</v>
          </cell>
          <cell r="B40">
            <v>18</v>
          </cell>
          <cell r="C40">
            <v>1200</v>
          </cell>
          <cell r="D40">
            <v>12</v>
          </cell>
          <cell r="E40">
            <v>1200</v>
          </cell>
          <cell r="G40">
            <v>0</v>
          </cell>
          <cell r="H40">
            <v>0</v>
          </cell>
          <cell r="I40">
            <v>0</v>
          </cell>
          <cell r="J40">
            <v>0</v>
          </cell>
          <cell r="K40">
            <v>0</v>
          </cell>
        </row>
        <row r="41">
          <cell r="A41" t="str">
            <v>LIH INSURANCE CHARGE SURFACE</v>
          </cell>
          <cell r="B41">
            <v>1</v>
          </cell>
          <cell r="C41">
            <v>670</v>
          </cell>
          <cell r="D41">
            <v>1</v>
          </cell>
          <cell r="E41">
            <v>670</v>
          </cell>
          <cell r="G41">
            <v>0</v>
          </cell>
          <cell r="H41">
            <v>0</v>
          </cell>
          <cell r="I41">
            <v>0</v>
          </cell>
          <cell r="J41">
            <v>0</v>
          </cell>
          <cell r="K41">
            <v>0</v>
          </cell>
        </row>
        <row r="42">
          <cell r="A42" t="str">
            <v>LIH INSURANCE CHARGE INTERMEDIATE</v>
          </cell>
          <cell r="B42">
            <v>1</v>
          </cell>
          <cell r="C42">
            <v>670</v>
          </cell>
          <cell r="D42">
            <v>1</v>
          </cell>
          <cell r="E42">
            <v>670</v>
          </cell>
          <cell r="G42">
            <v>0</v>
          </cell>
          <cell r="H42">
            <v>0</v>
          </cell>
          <cell r="I42">
            <v>0</v>
          </cell>
          <cell r="J42">
            <v>0</v>
          </cell>
          <cell r="K42">
            <v>0</v>
          </cell>
        </row>
        <row r="43">
          <cell r="A43" t="str">
            <v>LIH INSURANCE CHARGE PRODUCTION</v>
          </cell>
          <cell r="B43">
            <v>1</v>
          </cell>
          <cell r="C43">
            <v>662</v>
          </cell>
          <cell r="D43">
            <v>1</v>
          </cell>
          <cell r="E43">
            <v>662</v>
          </cell>
          <cell r="G43">
            <v>0</v>
          </cell>
          <cell r="H43">
            <v>0</v>
          </cell>
          <cell r="I43">
            <v>0</v>
          </cell>
          <cell r="J43">
            <v>0</v>
          </cell>
          <cell r="K43">
            <v>0</v>
          </cell>
        </row>
        <row r="44">
          <cell r="A44" t="str">
            <v>LIH INSURANCE CHARGE LINERS</v>
          </cell>
          <cell r="B44">
            <v>1</v>
          </cell>
          <cell r="C44">
            <v>656</v>
          </cell>
          <cell r="D44">
            <v>1</v>
          </cell>
          <cell r="E44">
            <v>656</v>
          </cell>
          <cell r="G44">
            <v>0</v>
          </cell>
          <cell r="H44">
            <v>0</v>
          </cell>
          <cell r="I44">
            <v>0</v>
          </cell>
          <cell r="J44">
            <v>0</v>
          </cell>
          <cell r="K44">
            <v>0</v>
          </cell>
        </row>
        <row r="45">
          <cell r="A45" t="str">
            <v>17-3/8" Motor Sleeve Redress</v>
          </cell>
          <cell r="B45">
            <v>2</v>
          </cell>
          <cell r="C45">
            <v>2750</v>
          </cell>
          <cell r="D45">
            <v>2</v>
          </cell>
          <cell r="E45">
            <v>2750</v>
          </cell>
          <cell r="G45">
            <v>0</v>
          </cell>
          <cell r="H45">
            <v>0</v>
          </cell>
          <cell r="I45">
            <v>0</v>
          </cell>
          <cell r="J45">
            <v>0</v>
          </cell>
          <cell r="K45">
            <v>0</v>
          </cell>
        </row>
        <row r="46">
          <cell r="A46">
            <v>0</v>
          </cell>
          <cell r="B46">
            <v>0</v>
          </cell>
          <cell r="C46">
            <v>0</v>
          </cell>
          <cell r="D46">
            <v>0</v>
          </cell>
          <cell r="E46">
            <v>0</v>
          </cell>
          <cell r="G46">
            <v>0</v>
          </cell>
          <cell r="H46">
            <v>0</v>
          </cell>
          <cell r="I46">
            <v>0</v>
          </cell>
          <cell r="J46">
            <v>0</v>
          </cell>
          <cell r="K46">
            <v>0</v>
          </cell>
        </row>
        <row r="47">
          <cell r="A47">
            <v>0</v>
          </cell>
          <cell r="B47">
            <v>0</v>
          </cell>
          <cell r="C47">
            <v>0</v>
          </cell>
          <cell r="D47">
            <v>0</v>
          </cell>
          <cell r="E47">
            <v>0</v>
          </cell>
          <cell r="G47">
            <v>0</v>
          </cell>
          <cell r="H47">
            <v>0</v>
          </cell>
          <cell r="I47">
            <v>0</v>
          </cell>
          <cell r="J47">
            <v>0</v>
          </cell>
          <cell r="K47">
            <v>0</v>
          </cell>
        </row>
        <row r="48">
          <cell r="A48">
            <v>0</v>
          </cell>
          <cell r="B48">
            <v>0</v>
          </cell>
          <cell r="C48">
            <v>0</v>
          </cell>
          <cell r="D48">
            <v>0</v>
          </cell>
          <cell r="E48">
            <v>0</v>
          </cell>
          <cell r="G48">
            <v>0</v>
          </cell>
          <cell r="H48">
            <v>0</v>
          </cell>
          <cell r="I48">
            <v>0</v>
          </cell>
          <cell r="J48">
            <v>0</v>
          </cell>
          <cell r="K48">
            <v>0</v>
          </cell>
        </row>
        <row r="49">
          <cell r="A49">
            <v>0</v>
          </cell>
          <cell r="B49">
            <v>0</v>
          </cell>
          <cell r="C49">
            <v>0</v>
          </cell>
          <cell r="D49">
            <v>0</v>
          </cell>
          <cell r="E49">
            <v>0</v>
          </cell>
          <cell r="G49">
            <v>0</v>
          </cell>
          <cell r="H49">
            <v>0</v>
          </cell>
          <cell r="I49">
            <v>0</v>
          </cell>
          <cell r="J49">
            <v>0</v>
          </cell>
          <cell r="K49">
            <v>0</v>
          </cell>
        </row>
        <row r="50">
          <cell r="A50">
            <v>0</v>
          </cell>
          <cell r="B50">
            <v>0</v>
          </cell>
          <cell r="C50">
            <v>0</v>
          </cell>
          <cell r="D50">
            <v>0</v>
          </cell>
          <cell r="E50">
            <v>0</v>
          </cell>
          <cell r="G50">
            <v>0</v>
          </cell>
          <cell r="H50">
            <v>0</v>
          </cell>
          <cell r="I50">
            <v>0</v>
          </cell>
          <cell r="J50">
            <v>0</v>
          </cell>
          <cell r="K50">
            <v>0</v>
          </cell>
        </row>
      </sheetData>
      <sheetData sheetId="8" refreshError="1"/>
      <sheetData sheetId="9" refreshError="1"/>
      <sheetData sheetId="10">
        <row r="2">
          <cell r="A2" t="str">
            <v>BIG HOLE</v>
          </cell>
          <cell r="B2">
            <v>0</v>
          </cell>
          <cell r="C2" t="str">
            <v>QTY</v>
          </cell>
          <cell r="D2" t="str">
            <v>COST</v>
          </cell>
          <cell r="E2" t="str">
            <v>REGULAR HOLE</v>
          </cell>
          <cell r="F2">
            <v>0</v>
          </cell>
          <cell r="G2" t="str">
            <v>QTY</v>
          </cell>
          <cell r="H2" t="str">
            <v>COST</v>
          </cell>
        </row>
        <row r="3">
          <cell r="A3" t="str">
            <v>CONDUCTOR PIPE, 36" OD</v>
          </cell>
          <cell r="B3" t="str">
            <v>SURFACE</v>
          </cell>
          <cell r="C3">
            <v>1</v>
          </cell>
          <cell r="D3">
            <v>113584.01</v>
          </cell>
          <cell r="E3" t="str">
            <v>CONDUCTOR PIPE, 30" OD</v>
          </cell>
          <cell r="F3" t="str">
            <v>SURFACE</v>
          </cell>
          <cell r="G3">
            <v>1</v>
          </cell>
          <cell r="H3">
            <v>113584.01</v>
          </cell>
        </row>
        <row r="4">
          <cell r="A4" t="str">
            <v>DEEP CONDUCTOR PIPE (BAUER)</v>
          </cell>
          <cell r="B4" t="str">
            <v>SURFACE</v>
          </cell>
          <cell r="C4">
            <v>0</v>
          </cell>
          <cell r="D4">
            <v>2983787.81</v>
          </cell>
          <cell r="E4" t="str">
            <v>DEEP CONDUCTOR PIPE (BAUER)</v>
          </cell>
          <cell r="F4" t="str">
            <v>SURFACE</v>
          </cell>
          <cell r="G4">
            <v>0</v>
          </cell>
          <cell r="H4">
            <v>2983787.81</v>
          </cell>
        </row>
        <row r="5">
          <cell r="A5" t="str">
            <v>26" CASING (X56, 203 ppf, LEOPARD SD)</v>
          </cell>
          <cell r="B5" t="str">
            <v>SURFACE</v>
          </cell>
          <cell r="C5">
            <v>14</v>
          </cell>
          <cell r="D5">
            <v>393340</v>
          </cell>
          <cell r="E5" t="str">
            <v>20" CASING (K55, 133 ppf, BTC)</v>
          </cell>
          <cell r="F5" t="str">
            <v>SURFACE</v>
          </cell>
          <cell r="G5">
            <v>14</v>
          </cell>
          <cell r="H5">
            <v>145873.26</v>
          </cell>
        </row>
        <row r="6">
          <cell r="A6" t="str">
            <v>26" FLOAT SHOE (Stab-In/Latch-In, Butt-Weld)</v>
          </cell>
          <cell r="B6" t="str">
            <v>SURFACE</v>
          </cell>
          <cell r="C6">
            <v>1</v>
          </cell>
          <cell r="D6">
            <v>146612.5</v>
          </cell>
          <cell r="E6" t="str">
            <v>20" FLOAT SHOE</v>
          </cell>
          <cell r="F6" t="str">
            <v>SURFACE</v>
          </cell>
          <cell r="G6">
            <v>1</v>
          </cell>
          <cell r="H6">
            <v>142165.95000000001</v>
          </cell>
        </row>
        <row r="7">
          <cell r="A7" t="str">
            <v>26" CENTRALIZER (26" x 32")</v>
          </cell>
          <cell r="B7" t="str">
            <v>SURFACE</v>
          </cell>
          <cell r="C7">
            <v>4</v>
          </cell>
          <cell r="D7">
            <v>5274</v>
          </cell>
          <cell r="E7" t="str">
            <v>20" FLOAT SHOE (Stab-In/Latch-In)</v>
          </cell>
          <cell r="F7" t="str">
            <v>SURFACE</v>
          </cell>
          <cell r="G7">
            <v>0</v>
          </cell>
          <cell r="H7">
            <v>142165.95000000001</v>
          </cell>
        </row>
        <row r="8">
          <cell r="A8" t="str">
            <v>18-5/8" CASING (K55, 117 ppf, BTC)</v>
          </cell>
          <cell r="B8" t="str">
            <v>INTERMEDIATE</v>
          </cell>
          <cell r="C8">
            <v>36</v>
          </cell>
          <cell r="D8">
            <v>139200</v>
          </cell>
          <cell r="E8" t="str">
            <v>20" FLOAT COLLAR (Stab-In/Latch-In)</v>
          </cell>
          <cell r="F8" t="str">
            <v>SURFACE</v>
          </cell>
          <cell r="G8">
            <v>1</v>
          </cell>
          <cell r="H8">
            <v>142165.95000000001</v>
          </cell>
        </row>
        <row r="9">
          <cell r="A9" t="str">
            <v>18-5/8" FLOAT SHOE</v>
          </cell>
          <cell r="B9" t="str">
            <v>INTERMEDIATE</v>
          </cell>
          <cell r="C9">
            <v>1</v>
          </cell>
          <cell r="D9">
            <v>69600</v>
          </cell>
          <cell r="E9" t="str">
            <v>20" CENTRALIZER (20" x 26")</v>
          </cell>
          <cell r="F9" t="str">
            <v>SURFACE</v>
          </cell>
          <cell r="G9">
            <v>4</v>
          </cell>
          <cell r="H9">
            <v>3039.43</v>
          </cell>
        </row>
        <row r="10">
          <cell r="A10" t="str">
            <v>18-5/8" FLOAT COLLAR</v>
          </cell>
          <cell r="B10" t="str">
            <v>INTERMEDIATE</v>
          </cell>
          <cell r="C10">
            <v>1</v>
          </cell>
          <cell r="D10">
            <v>70252.5</v>
          </cell>
          <cell r="E10" t="str">
            <v>13-3/8" CASING (L80, 68 ppf, SL Boss)</v>
          </cell>
          <cell r="F10" t="str">
            <v>INTERMEDIATE</v>
          </cell>
          <cell r="G10">
            <v>36</v>
          </cell>
          <cell r="H10">
            <v>84243.12</v>
          </cell>
        </row>
        <row r="11">
          <cell r="A11" t="str">
            <v>18-5/8" CENTRALIZER (18-5/8" x 23")</v>
          </cell>
          <cell r="B11" t="str">
            <v>INTERMEDIATE</v>
          </cell>
          <cell r="C11">
            <v>12</v>
          </cell>
          <cell r="D11">
            <v>3559.95</v>
          </cell>
          <cell r="E11" t="str">
            <v>13-3/8" FLOAT SHOE (SL Boss)</v>
          </cell>
          <cell r="F11" t="str">
            <v>INTERMEDIATE</v>
          </cell>
          <cell r="G11">
            <v>1</v>
          </cell>
          <cell r="H11">
            <v>114804.7</v>
          </cell>
        </row>
        <row r="12">
          <cell r="A12" t="str">
            <v>18-5/8" CEMENT BASKET (18-5/8" x 23")</v>
          </cell>
          <cell r="B12" t="str">
            <v>INTERMEDIATE</v>
          </cell>
          <cell r="C12">
            <v>1</v>
          </cell>
          <cell r="D12">
            <v>10548</v>
          </cell>
          <cell r="E12" t="str">
            <v>13-3/8" FLOAT COLLAR (SL Boss)</v>
          </cell>
          <cell r="F12" t="str">
            <v>INTERMEDIATE</v>
          </cell>
          <cell r="G12">
            <v>1</v>
          </cell>
          <cell r="H12">
            <v>177075.49</v>
          </cell>
        </row>
        <row r="13">
          <cell r="A13" t="str">
            <v>18-5/8" DV COLLAR</v>
          </cell>
          <cell r="B13" t="str">
            <v>INTERMEDIATE</v>
          </cell>
          <cell r="C13">
            <v>1</v>
          </cell>
          <cell r="D13">
            <v>769540</v>
          </cell>
          <cell r="E13" t="str">
            <v>13-3/8" CENTRALIZER (13-3/8" x 17-1/2")</v>
          </cell>
          <cell r="F13" t="str">
            <v>INTERMEDIATE</v>
          </cell>
          <cell r="G13">
            <v>8</v>
          </cell>
          <cell r="H13">
            <v>2795.05</v>
          </cell>
        </row>
        <row r="14">
          <cell r="A14" t="str">
            <v>13-3/8" CASING (L80, 68 ppf, SL Boss)</v>
          </cell>
          <cell r="B14" t="str">
            <v>PRODUCTION</v>
          </cell>
          <cell r="C14">
            <v>80</v>
          </cell>
          <cell r="D14">
            <v>84243.12</v>
          </cell>
          <cell r="E14" t="str">
            <v>13-3/8" STAND-OFF CENTRALIZER (13-3/8" x 18-1/4")</v>
          </cell>
          <cell r="F14" t="str">
            <v>INTERMEDIATE</v>
          </cell>
          <cell r="G14">
            <v>4</v>
          </cell>
          <cell r="H14">
            <v>11030.8</v>
          </cell>
        </row>
        <row r="15">
          <cell r="A15" t="str">
            <v>13-3/8" FLOAT SHOE</v>
          </cell>
          <cell r="B15" t="str">
            <v>PRODUCTION</v>
          </cell>
          <cell r="C15">
            <v>1</v>
          </cell>
          <cell r="D15">
            <v>114804.7</v>
          </cell>
          <cell r="E15" t="str">
            <v>13-3/8" CEMENT BASKET (13-3/8" x 17-1/2")</v>
          </cell>
          <cell r="F15" t="str">
            <v>INTERMEDIATE</v>
          </cell>
          <cell r="G15">
            <v>1</v>
          </cell>
          <cell r="H15">
            <v>0</v>
          </cell>
        </row>
        <row r="16">
          <cell r="A16" t="str">
            <v>13-3/8" FLOAT COLLAR</v>
          </cell>
          <cell r="B16" t="str">
            <v>PRODUCTION</v>
          </cell>
          <cell r="C16">
            <v>2</v>
          </cell>
          <cell r="D16">
            <v>177075.49</v>
          </cell>
          <cell r="E16" t="str">
            <v>13-3/8" DV COLLAR</v>
          </cell>
          <cell r="F16" t="str">
            <v>INTERMEDIATE</v>
          </cell>
          <cell r="G16">
            <v>1</v>
          </cell>
          <cell r="H16">
            <v>538543.04</v>
          </cell>
        </row>
        <row r="17">
          <cell r="A17" t="str">
            <v>13-3/8" CENTRALIZER (13-3/8" x 17")</v>
          </cell>
          <cell r="B17" t="str">
            <v>PRODUCTION</v>
          </cell>
          <cell r="C17">
            <v>26</v>
          </cell>
          <cell r="D17">
            <v>2944.65</v>
          </cell>
          <cell r="E17" t="str">
            <v>9-5/8" CASING (L80, 47 ppf, SL Boss)</v>
          </cell>
          <cell r="F17" t="str">
            <v>PRODUCTION</v>
          </cell>
          <cell r="G17">
            <v>80</v>
          </cell>
          <cell r="H17">
            <v>44043.95</v>
          </cell>
        </row>
        <row r="18">
          <cell r="A18" t="str">
            <v>13-3/8" CEMENT BASKET (13-3/8" x 17")</v>
          </cell>
          <cell r="B18" t="str">
            <v>PRODUCTION</v>
          </cell>
          <cell r="C18">
            <v>1</v>
          </cell>
          <cell r="D18">
            <v>0</v>
          </cell>
          <cell r="E18" t="str">
            <v>9-5/8" FLOAT SHOE ( SL Boss)</v>
          </cell>
          <cell r="F18" t="str">
            <v>PRODUCTION</v>
          </cell>
          <cell r="G18">
            <v>1</v>
          </cell>
          <cell r="H18">
            <v>31399.24</v>
          </cell>
        </row>
        <row r="19">
          <cell r="A19" t="str">
            <v>13-3/8" TIE-BACK, LINER HANGER SET (13-3/8" x 18-5/8")</v>
          </cell>
          <cell r="B19" t="str">
            <v>PRODUCTION</v>
          </cell>
          <cell r="C19">
            <v>1</v>
          </cell>
          <cell r="D19">
            <v>1839826.3</v>
          </cell>
          <cell r="E19" t="str">
            <v>9-5/8" FLOAT COLLAR ( SL Boss)</v>
          </cell>
          <cell r="F19" t="str">
            <v>PRODUCTION</v>
          </cell>
          <cell r="G19">
            <v>2</v>
          </cell>
          <cell r="H19">
            <v>37535.9</v>
          </cell>
        </row>
        <row r="20">
          <cell r="A20" t="str">
            <v>13-3/8" MODIFIED RUBBER PLUG</v>
          </cell>
          <cell r="B20" t="str">
            <v>PRODUCTION</v>
          </cell>
          <cell r="C20">
            <v>1</v>
          </cell>
          <cell r="D20">
            <v>15885.75</v>
          </cell>
          <cell r="E20" t="str">
            <v>9-5/8" CENTRALIZER (9-5/8" x 12-1/4")</v>
          </cell>
          <cell r="F20" t="str">
            <v>PRODUCTION</v>
          </cell>
          <cell r="G20">
            <v>18</v>
          </cell>
          <cell r="H20">
            <v>730.86</v>
          </cell>
        </row>
        <row r="21">
          <cell r="A21" t="str">
            <v>10-3/4" CASING (K55, 40.5 ppf, BTC)</v>
          </cell>
          <cell r="B21" t="str">
            <v>LINER 1</v>
          </cell>
          <cell r="C21">
            <v>3</v>
          </cell>
          <cell r="D21">
            <v>36783.599999999999</v>
          </cell>
          <cell r="E21" t="str">
            <v>9-5/8" STAND-OFF CENTRALIZER (9-5/8" x 12")</v>
          </cell>
          <cell r="F21" t="str">
            <v>PRODUCTION</v>
          </cell>
          <cell r="G21">
            <v>8</v>
          </cell>
          <cell r="H21">
            <v>0</v>
          </cell>
        </row>
        <row r="22">
          <cell r="A22" t="str">
            <v>10-3/4" PERFORATED CASING (K55, 40.5 ppf, BTC)</v>
          </cell>
          <cell r="B22" t="str">
            <v>LINER 1</v>
          </cell>
          <cell r="C22">
            <v>102</v>
          </cell>
          <cell r="D22">
            <v>36783.599999999999</v>
          </cell>
          <cell r="E22" t="str">
            <v>9-5/8" CEMENT BASKET (9-5/8" x 12-1/4")</v>
          </cell>
          <cell r="F22" t="str">
            <v>PRODUCTION</v>
          </cell>
          <cell r="G22">
            <v>1</v>
          </cell>
          <cell r="H22">
            <v>0</v>
          </cell>
        </row>
        <row r="23">
          <cell r="A23" t="str">
            <v>10-3/4" GUIDE SHOE</v>
          </cell>
          <cell r="B23" t="str">
            <v>LINER 1</v>
          </cell>
          <cell r="C23">
            <v>1</v>
          </cell>
          <cell r="D23">
            <v>22185</v>
          </cell>
          <cell r="E23" t="str">
            <v>9-5/8" TIE-BACK, LINER HANGER (9-5/8" X 13-3/8")</v>
          </cell>
          <cell r="F23" t="str">
            <v>PRODUCTION</v>
          </cell>
          <cell r="G23">
            <v>1</v>
          </cell>
          <cell r="H23">
            <v>784050.12</v>
          </cell>
        </row>
        <row r="24">
          <cell r="A24" t="str">
            <v>10-3/4" LINER HANGER (10-3/4" x 13-3/8")</v>
          </cell>
          <cell r="B24" t="str">
            <v>LINER 1</v>
          </cell>
          <cell r="C24">
            <v>1</v>
          </cell>
          <cell r="D24">
            <v>319377</v>
          </cell>
          <cell r="E24" t="str">
            <v>9-5/8" MODIFIED RUBBER PLUG</v>
          </cell>
          <cell r="F24" t="str">
            <v>PRODUCTION</v>
          </cell>
          <cell r="G24">
            <v>1</v>
          </cell>
          <cell r="H24">
            <v>0</v>
          </cell>
        </row>
        <row r="25">
          <cell r="A25" t="str">
            <v>8-5/8" PERFORATED CASING (K55, 24 ppf, BTC SC)</v>
          </cell>
          <cell r="B25" t="str">
            <v>LINER 2</v>
          </cell>
          <cell r="C25">
            <v>-180</v>
          </cell>
          <cell r="D25">
            <v>28222.799999999999</v>
          </cell>
          <cell r="E25" t="str">
            <v>7" Perforated CASING (K55, 26 ppf, BTC)</v>
          </cell>
          <cell r="F25" t="str">
            <v>LINER 1</v>
          </cell>
          <cell r="G25">
            <v>102</v>
          </cell>
          <cell r="H25">
            <v>8722.19</v>
          </cell>
        </row>
        <row r="26">
          <cell r="A26" t="str">
            <v>8-5/8" GUIDE SHOE</v>
          </cell>
          <cell r="B26" t="str">
            <v>LINER 2</v>
          </cell>
          <cell r="C26">
            <v>0</v>
          </cell>
          <cell r="D26">
            <v>15616.8</v>
          </cell>
          <cell r="E26" t="str">
            <v>7" Blank CASING (K55, 26 ppf, BTC)</v>
          </cell>
          <cell r="F26" t="str">
            <v>LINER 1</v>
          </cell>
          <cell r="G26">
            <v>3</v>
          </cell>
          <cell r="H26">
            <v>8722.19</v>
          </cell>
        </row>
        <row r="27">
          <cell r="A27" t="str">
            <v>8-5/8" LINER HANGER (8-5/8" x 10-3/4")</v>
          </cell>
          <cell r="B27" t="str">
            <v>LINER 2</v>
          </cell>
          <cell r="C27">
            <v>0</v>
          </cell>
          <cell r="D27">
            <v>233421</v>
          </cell>
          <cell r="E27" t="str">
            <v>7" LINER HANGER (7" x 9-5/8")</v>
          </cell>
          <cell r="F27" t="str">
            <v>LINER 1</v>
          </cell>
          <cell r="G27">
            <v>1</v>
          </cell>
          <cell r="H27">
            <v>0</v>
          </cell>
        </row>
        <row r="28">
          <cell r="A28">
            <v>0</v>
          </cell>
          <cell r="B28">
            <v>0</v>
          </cell>
          <cell r="C28">
            <v>0</v>
          </cell>
          <cell r="D28">
            <v>0</v>
          </cell>
          <cell r="E28" t="str">
            <v>7" TOP SUB (7" x 9-5/8")</v>
          </cell>
          <cell r="F28" t="str">
            <v>LINER 1</v>
          </cell>
          <cell r="G28">
            <v>0</v>
          </cell>
          <cell r="H28">
            <v>81377.37</v>
          </cell>
        </row>
        <row r="29">
          <cell r="A29" t="str">
            <v>20-3/4" x 3M (900S) CASING HEAD FLANGE</v>
          </cell>
          <cell r="B29" t="str">
            <v>INTERMEDIATE</v>
          </cell>
          <cell r="C29">
            <v>1</v>
          </cell>
          <cell r="D29">
            <v>555067.94999999995</v>
          </cell>
          <cell r="E29">
            <v>0</v>
          </cell>
          <cell r="F29">
            <v>0</v>
          </cell>
          <cell r="G29">
            <v>0</v>
          </cell>
          <cell r="H29">
            <v>0</v>
          </cell>
        </row>
        <row r="30">
          <cell r="A30" t="str">
            <v>20-3/4" x 3M x 13-5/8" x 3M EXPANSION SPOOL</v>
          </cell>
          <cell r="B30" t="str">
            <v>INTERMEDIATE</v>
          </cell>
          <cell r="C30">
            <v>1</v>
          </cell>
          <cell r="D30">
            <v>843889.76</v>
          </cell>
          <cell r="E30" t="str">
            <v>13-5/8" x 3M (900S) CASING HEAD FLANGE)</v>
          </cell>
          <cell r="F30" t="str">
            <v>INTERMEDIATE</v>
          </cell>
          <cell r="G30">
            <v>1</v>
          </cell>
          <cell r="H30">
            <v>395449.59999999998</v>
          </cell>
        </row>
        <row r="31">
          <cell r="A31" t="str">
            <v>12" x 900S MASTER VALVE</v>
          </cell>
          <cell r="B31" t="str">
            <v>INTERMEDIATE</v>
          </cell>
          <cell r="C31">
            <v>1</v>
          </cell>
          <cell r="D31">
            <v>1682125.9</v>
          </cell>
          <cell r="E31" t="str">
            <v>13-5/8" x 3M x 11" x 3M EXPANSION SPOOL</v>
          </cell>
          <cell r="F31" t="str">
            <v>INTERMEDIATE</v>
          </cell>
          <cell r="G31">
            <v>1</v>
          </cell>
          <cell r="H31">
            <v>563500</v>
          </cell>
        </row>
        <row r="32">
          <cell r="A32" t="str">
            <v>3-1/8" x 3m WING VALVES</v>
          </cell>
          <cell r="B32" t="str">
            <v>INTERMEDIATE</v>
          </cell>
          <cell r="C32">
            <v>2</v>
          </cell>
          <cell r="D32">
            <v>232012.79999999999</v>
          </cell>
          <cell r="E32" t="str">
            <v>10" x 900S MASTER VALVE</v>
          </cell>
          <cell r="F32" t="str">
            <v>INTERMEDIATE</v>
          </cell>
          <cell r="G32">
            <v>1</v>
          </cell>
          <cell r="H32">
            <v>1251264</v>
          </cell>
        </row>
        <row r="33">
          <cell r="A33">
            <v>0</v>
          </cell>
          <cell r="B33">
            <v>0</v>
          </cell>
          <cell r="C33">
            <v>0</v>
          </cell>
          <cell r="D33">
            <v>0</v>
          </cell>
          <cell r="E33" t="str">
            <v>3-1/8" x 3M WING VALVES</v>
          </cell>
          <cell r="F33" t="str">
            <v>INTERMEDIATE</v>
          </cell>
          <cell r="G33">
            <v>2</v>
          </cell>
          <cell r="H33">
            <v>232012.79999999999</v>
          </cell>
        </row>
        <row r="34">
          <cell r="A34">
            <v>0</v>
          </cell>
          <cell r="B34">
            <v>0</v>
          </cell>
          <cell r="C34">
            <v>0</v>
          </cell>
          <cell r="D34">
            <v>0</v>
          </cell>
          <cell r="E34">
            <v>0</v>
          </cell>
          <cell r="F34">
            <v>0</v>
          </cell>
          <cell r="G34">
            <v>0</v>
          </cell>
          <cell r="H34">
            <v>0</v>
          </cell>
        </row>
        <row r="35">
          <cell r="A35">
            <v>0</v>
          </cell>
          <cell r="B35">
            <v>0</v>
          </cell>
          <cell r="C35">
            <v>0</v>
          </cell>
          <cell r="D35">
            <v>0</v>
          </cell>
          <cell r="E35">
            <v>0</v>
          </cell>
          <cell r="F35">
            <v>0</v>
          </cell>
          <cell r="G35">
            <v>0</v>
          </cell>
          <cell r="H35">
            <v>0</v>
          </cell>
        </row>
        <row r="36">
          <cell r="A36">
            <v>0</v>
          </cell>
          <cell r="B36">
            <v>0</v>
          </cell>
          <cell r="C36">
            <v>0</v>
          </cell>
          <cell r="D36">
            <v>0</v>
          </cell>
          <cell r="E36">
            <v>0</v>
          </cell>
          <cell r="F36">
            <v>0</v>
          </cell>
          <cell r="G36">
            <v>0</v>
          </cell>
          <cell r="H36">
            <v>0</v>
          </cell>
        </row>
        <row r="37">
          <cell r="A37">
            <v>0</v>
          </cell>
          <cell r="B37">
            <v>0</v>
          </cell>
          <cell r="C37">
            <v>0</v>
          </cell>
          <cell r="D37">
            <v>0</v>
          </cell>
          <cell r="E37">
            <v>0</v>
          </cell>
          <cell r="F37">
            <v>0</v>
          </cell>
          <cell r="G37">
            <v>0</v>
          </cell>
          <cell r="H37">
            <v>0</v>
          </cell>
        </row>
        <row r="38">
          <cell r="A38">
            <v>0</v>
          </cell>
          <cell r="B38">
            <v>0</v>
          </cell>
          <cell r="C38">
            <v>0</v>
          </cell>
          <cell r="D38">
            <v>0</v>
          </cell>
          <cell r="E38">
            <v>0</v>
          </cell>
          <cell r="F38">
            <v>0</v>
          </cell>
          <cell r="G38">
            <v>0</v>
          </cell>
          <cell r="H38">
            <v>0</v>
          </cell>
        </row>
        <row r="39">
          <cell r="A39">
            <v>0</v>
          </cell>
          <cell r="B39">
            <v>0</v>
          </cell>
          <cell r="C39">
            <v>0</v>
          </cell>
          <cell r="D39">
            <v>0</v>
          </cell>
          <cell r="E39">
            <v>0</v>
          </cell>
          <cell r="F39">
            <v>0</v>
          </cell>
          <cell r="G39">
            <v>0</v>
          </cell>
          <cell r="H39">
            <v>0</v>
          </cell>
        </row>
        <row r="40">
          <cell r="A40">
            <v>0</v>
          </cell>
          <cell r="B40">
            <v>0</v>
          </cell>
          <cell r="C40">
            <v>0</v>
          </cell>
          <cell r="D40">
            <v>0</v>
          </cell>
          <cell r="E40">
            <v>0</v>
          </cell>
          <cell r="F40">
            <v>0</v>
          </cell>
          <cell r="G40">
            <v>0</v>
          </cell>
          <cell r="H40">
            <v>0</v>
          </cell>
        </row>
        <row r="41">
          <cell r="A41">
            <v>0</v>
          </cell>
          <cell r="B41">
            <v>0</v>
          </cell>
          <cell r="C41">
            <v>0</v>
          </cell>
          <cell r="D41">
            <v>0</v>
          </cell>
          <cell r="E41">
            <v>0</v>
          </cell>
          <cell r="F41">
            <v>0</v>
          </cell>
          <cell r="G41">
            <v>0</v>
          </cell>
          <cell r="H41">
            <v>0</v>
          </cell>
        </row>
        <row r="42">
          <cell r="A42">
            <v>0</v>
          </cell>
          <cell r="B42">
            <v>0</v>
          </cell>
          <cell r="C42">
            <v>0</v>
          </cell>
          <cell r="D42">
            <v>0</v>
          </cell>
          <cell r="E42">
            <v>0</v>
          </cell>
          <cell r="F42">
            <v>0</v>
          </cell>
          <cell r="G42">
            <v>0</v>
          </cell>
          <cell r="H42">
            <v>0</v>
          </cell>
        </row>
        <row r="43">
          <cell r="A43">
            <v>0</v>
          </cell>
          <cell r="B43">
            <v>0</v>
          </cell>
          <cell r="C43">
            <v>0</v>
          </cell>
          <cell r="D43">
            <v>0</v>
          </cell>
          <cell r="E43">
            <v>0</v>
          </cell>
          <cell r="F43">
            <v>0</v>
          </cell>
          <cell r="G43">
            <v>0</v>
          </cell>
          <cell r="H43">
            <v>0</v>
          </cell>
        </row>
      </sheetData>
      <sheetData sheetId="11" refreshError="1"/>
      <sheetData sheetId="12" refreshError="1"/>
      <sheetData sheetId="13" refreshError="1"/>
      <sheetData sheetId="14" refreshError="1"/>
      <sheetData sheetId="15" refreshError="1"/>
      <sheetData sheetId="16" refreshError="1"/>
      <sheetData sheetId="17">
        <row r="15">
          <cell r="H15">
            <v>17858148</v>
          </cell>
        </row>
      </sheetData>
      <sheetData sheetId="18" refreshError="1"/>
      <sheetData sheetId="1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HoleSize"/>
      <sheetName val="Sheet3"/>
      <sheetName val="Sheet2"/>
      <sheetName val="KN1RD WO9 IDS Cost Master_AHA"/>
    </sheetNames>
    <sheetDataSet>
      <sheetData sheetId="0"/>
      <sheetData sheetId="1">
        <row r="1">
          <cell r="A1" t="str">
            <v>3 3/4"</v>
          </cell>
        </row>
        <row r="2">
          <cell r="A2" t="str">
            <v>3 5/8"</v>
          </cell>
        </row>
        <row r="3">
          <cell r="A3" t="str">
            <v>3 7/8"</v>
          </cell>
        </row>
        <row r="4">
          <cell r="A4" t="str">
            <v>4 1/8"</v>
          </cell>
        </row>
        <row r="5">
          <cell r="A5" t="str">
            <v>4 1/2"</v>
          </cell>
        </row>
        <row r="6">
          <cell r="A6" t="str">
            <v>4 5/8"</v>
          </cell>
        </row>
        <row r="7">
          <cell r="A7" t="str">
            <v>4 3/4"</v>
          </cell>
        </row>
        <row r="8">
          <cell r="A8" t="str">
            <v>4 7/8"</v>
          </cell>
        </row>
        <row r="9">
          <cell r="A9" t="str">
            <v>5"</v>
          </cell>
        </row>
        <row r="10">
          <cell r="A10" t="str">
            <v>5 1/4"</v>
          </cell>
        </row>
        <row r="11">
          <cell r="A11" t="str">
            <v>5 1/2"</v>
          </cell>
        </row>
        <row r="12">
          <cell r="A12" t="str">
            <v>5 5/8"</v>
          </cell>
        </row>
        <row r="13">
          <cell r="A13" t="str">
            <v>5 3/4"</v>
          </cell>
        </row>
        <row r="14">
          <cell r="A14" t="str">
            <v>5 7/8"</v>
          </cell>
        </row>
        <row r="15">
          <cell r="A15" t="str">
            <v>6"</v>
          </cell>
        </row>
        <row r="16">
          <cell r="A16" t="str">
            <v>6 1/8"</v>
          </cell>
        </row>
        <row r="17">
          <cell r="A17" t="str">
            <v>6 1/5"</v>
          </cell>
        </row>
        <row r="18">
          <cell r="A18" t="str">
            <v>6 1/4"</v>
          </cell>
        </row>
        <row r="19">
          <cell r="A19" t="str">
            <v>6 1/2"</v>
          </cell>
        </row>
        <row r="20">
          <cell r="A20" t="str">
            <v>6 5/8"</v>
          </cell>
        </row>
        <row r="21">
          <cell r="A21" t="str">
            <v>6 3/4"</v>
          </cell>
        </row>
        <row r="22">
          <cell r="A22" t="str">
            <v>7"</v>
          </cell>
        </row>
        <row r="23">
          <cell r="A23" t="str">
            <v>7 1/2"</v>
          </cell>
        </row>
        <row r="24">
          <cell r="A24" t="str">
            <v>7 5/8"</v>
          </cell>
        </row>
        <row r="25">
          <cell r="A25" t="str">
            <v>7 4/5"</v>
          </cell>
        </row>
        <row r="26">
          <cell r="A26" t="str">
            <v>7 7/8"</v>
          </cell>
        </row>
        <row r="27">
          <cell r="A27" t="str">
            <v>8 1/4"</v>
          </cell>
        </row>
        <row r="28">
          <cell r="A28" t="str">
            <v>8 3/8"</v>
          </cell>
        </row>
        <row r="29">
          <cell r="A29" t="str">
            <v>8 1/2"</v>
          </cell>
        </row>
        <row r="30">
          <cell r="A30" t="str">
            <v>8 5/8"</v>
          </cell>
        </row>
        <row r="31">
          <cell r="A31" t="str">
            <v>8 3/4"</v>
          </cell>
        </row>
        <row r="32">
          <cell r="A32" t="str">
            <v>8 7/8"</v>
          </cell>
        </row>
        <row r="33">
          <cell r="A33" t="str">
            <v>9"</v>
          </cell>
        </row>
        <row r="34">
          <cell r="A34" t="str">
            <v>9 1/4"</v>
          </cell>
        </row>
        <row r="35">
          <cell r="A35" t="str">
            <v>9 1/2"</v>
          </cell>
        </row>
        <row r="36">
          <cell r="A36" t="str">
            <v>9 4/5"</v>
          </cell>
        </row>
        <row r="37">
          <cell r="A37" t="str">
            <v>9 5/8"</v>
          </cell>
        </row>
        <row r="38">
          <cell r="A38" t="str">
            <v>9 27/40"</v>
          </cell>
        </row>
        <row r="39">
          <cell r="A39" t="str">
            <v>9 7/8"</v>
          </cell>
        </row>
        <row r="40">
          <cell r="A40" t="str">
            <v>10"</v>
          </cell>
        </row>
        <row r="41">
          <cell r="A41" t="str">
            <v>10 1/2"</v>
          </cell>
        </row>
        <row r="42">
          <cell r="A42" t="str">
            <v>10 5/8"</v>
          </cell>
        </row>
        <row r="43">
          <cell r="A43" t="str">
            <v>11"</v>
          </cell>
        </row>
        <row r="44">
          <cell r="A44" t="str">
            <v>11 5/8"</v>
          </cell>
        </row>
        <row r="45">
          <cell r="A45" t="str">
            <v>11 7/8"</v>
          </cell>
        </row>
        <row r="46">
          <cell r="A46" t="str">
            <v>12"</v>
          </cell>
        </row>
        <row r="47">
          <cell r="A47" t="str">
            <v>12 1/8"</v>
          </cell>
        </row>
        <row r="48">
          <cell r="A48" t="str">
            <v>12 1/4"</v>
          </cell>
        </row>
        <row r="49">
          <cell r="A49" t="str">
            <v>12 1/2"</v>
          </cell>
        </row>
        <row r="50">
          <cell r="A50" t="str">
            <v>13 13/40"</v>
          </cell>
        </row>
        <row r="51">
          <cell r="A51" t="str">
            <v>13 3/8"</v>
          </cell>
        </row>
        <row r="52">
          <cell r="A52" t="str">
            <v>13 5/8"</v>
          </cell>
        </row>
        <row r="53">
          <cell r="A53" t="str">
            <v>13 1/2"</v>
          </cell>
        </row>
        <row r="54">
          <cell r="A54" t="str">
            <v>13 3/4"</v>
          </cell>
        </row>
        <row r="55">
          <cell r="A55" t="str">
            <v>14"</v>
          </cell>
        </row>
        <row r="56">
          <cell r="A56" t="str">
            <v>14 1/2"</v>
          </cell>
        </row>
        <row r="57">
          <cell r="A57" t="str">
            <v>14 3/4"</v>
          </cell>
        </row>
        <row r="58">
          <cell r="A58" t="str">
            <v>15 1/2"</v>
          </cell>
        </row>
        <row r="59">
          <cell r="A59" t="str">
            <v>16"</v>
          </cell>
        </row>
        <row r="60">
          <cell r="A60" t="str">
            <v>17"</v>
          </cell>
        </row>
        <row r="61">
          <cell r="A61" t="str">
            <v>17 1/2"</v>
          </cell>
        </row>
        <row r="62">
          <cell r="A62" t="str">
            <v>18 1/2"</v>
          </cell>
        </row>
        <row r="63">
          <cell r="A63" t="str">
            <v>18 5/8"</v>
          </cell>
        </row>
        <row r="64">
          <cell r="A64" t="str">
            <v>19"</v>
          </cell>
        </row>
        <row r="65">
          <cell r="A65" t="str">
            <v>20"</v>
          </cell>
        </row>
        <row r="66">
          <cell r="A66" t="str">
            <v>21"</v>
          </cell>
        </row>
        <row r="67">
          <cell r="A67" t="str">
            <v>21 1/2"</v>
          </cell>
        </row>
        <row r="68">
          <cell r="A68" t="str">
            <v>22"</v>
          </cell>
        </row>
        <row r="69">
          <cell r="A69" t="str">
            <v>22 3/8"</v>
          </cell>
        </row>
        <row r="70">
          <cell r="A70" t="str">
            <v>23"</v>
          </cell>
        </row>
        <row r="71">
          <cell r="A71" t="str">
            <v>23 1/2"</v>
          </cell>
        </row>
        <row r="72">
          <cell r="A72" t="str">
            <v>23 3/4"</v>
          </cell>
        </row>
        <row r="73">
          <cell r="A73" t="str">
            <v>24"</v>
          </cell>
        </row>
        <row r="74">
          <cell r="A74" t="str">
            <v>26"</v>
          </cell>
        </row>
        <row r="75">
          <cell r="A75" t="str">
            <v>28"</v>
          </cell>
        </row>
        <row r="76">
          <cell r="A76" t="str">
            <v>30"</v>
          </cell>
        </row>
        <row r="77">
          <cell r="A77" t="str">
            <v>32"</v>
          </cell>
        </row>
        <row r="78">
          <cell r="A78" t="str">
            <v>45"</v>
          </cell>
        </row>
        <row r="79">
          <cell r="A79" t="str">
            <v>55"</v>
          </cell>
        </row>
      </sheetData>
      <sheetData sheetId="2"/>
      <sheetData sheetId="3"/>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MAY-2017"/>
      <sheetName val="1001"/>
      <sheetName val="1002"/>
      <sheetName val="1003"/>
      <sheetName val="1004"/>
      <sheetName val="1006"/>
    </sheetNames>
    <sheetDataSet>
      <sheetData sheetId="0"/>
      <sheetData sheetId="1">
        <row r="6">
          <cell r="B6">
            <v>18</v>
          </cell>
          <cell r="C6">
            <v>56849.77</v>
          </cell>
          <cell r="D6" t="str">
            <v>PHP</v>
          </cell>
          <cell r="E6">
            <v>1</v>
          </cell>
          <cell r="F6" t="str">
            <v>PC</v>
          </cell>
          <cell r="G6">
            <v>0</v>
          </cell>
        </row>
        <row r="7">
          <cell r="B7">
            <v>19</v>
          </cell>
          <cell r="C7">
            <v>430301.82</v>
          </cell>
          <cell r="D7" t="str">
            <v>PHP</v>
          </cell>
          <cell r="E7">
            <v>1</v>
          </cell>
          <cell r="F7" t="str">
            <v>PC</v>
          </cell>
          <cell r="G7">
            <v>0</v>
          </cell>
        </row>
        <row r="8">
          <cell r="B8">
            <v>21</v>
          </cell>
          <cell r="C8">
            <v>589795.07999999996</v>
          </cell>
          <cell r="D8" t="str">
            <v>PHP</v>
          </cell>
          <cell r="E8">
            <v>2</v>
          </cell>
          <cell r="F8" t="str">
            <v>PC</v>
          </cell>
          <cell r="G8">
            <v>0</v>
          </cell>
        </row>
        <row r="9">
          <cell r="B9">
            <v>22</v>
          </cell>
          <cell r="C9">
            <v>104380.06</v>
          </cell>
          <cell r="D9" t="str">
            <v>PHP</v>
          </cell>
          <cell r="E9">
            <v>4</v>
          </cell>
          <cell r="F9" t="str">
            <v>PC</v>
          </cell>
          <cell r="G9">
            <v>0</v>
          </cell>
        </row>
        <row r="10">
          <cell r="B10">
            <v>23</v>
          </cell>
          <cell r="C10">
            <v>0</v>
          </cell>
          <cell r="D10" t="str">
            <v>PHP</v>
          </cell>
          <cell r="E10">
            <v>0</v>
          </cell>
          <cell r="F10" t="str">
            <v>PC</v>
          </cell>
          <cell r="G10">
            <v>0</v>
          </cell>
        </row>
        <row r="11">
          <cell r="B11">
            <v>25</v>
          </cell>
          <cell r="C11">
            <v>74658.2</v>
          </cell>
          <cell r="D11" t="str">
            <v>PHP</v>
          </cell>
          <cell r="E11">
            <v>20</v>
          </cell>
          <cell r="F11" t="str">
            <v>PC</v>
          </cell>
          <cell r="G11">
            <v>0</v>
          </cell>
        </row>
        <row r="12">
          <cell r="B12">
            <v>37</v>
          </cell>
          <cell r="C12">
            <v>166176.91</v>
          </cell>
          <cell r="D12" t="str">
            <v>PHP</v>
          </cell>
          <cell r="E12">
            <v>3</v>
          </cell>
          <cell r="F12" t="str">
            <v>PC</v>
          </cell>
          <cell r="G12">
            <v>0</v>
          </cell>
        </row>
        <row r="13">
          <cell r="B13">
            <v>38</v>
          </cell>
          <cell r="C13">
            <v>1792</v>
          </cell>
          <cell r="D13" t="str">
            <v>PHP</v>
          </cell>
          <cell r="E13">
            <v>2</v>
          </cell>
          <cell r="F13" t="str">
            <v>PC</v>
          </cell>
          <cell r="G13">
            <v>0</v>
          </cell>
        </row>
        <row r="14">
          <cell r="B14">
            <v>39</v>
          </cell>
          <cell r="C14">
            <v>17199.5</v>
          </cell>
          <cell r="D14" t="str">
            <v>PHP</v>
          </cell>
          <cell r="E14">
            <v>1</v>
          </cell>
          <cell r="F14" t="str">
            <v>PC</v>
          </cell>
          <cell r="G14">
            <v>0</v>
          </cell>
        </row>
        <row r="15">
          <cell r="B15">
            <v>40</v>
          </cell>
          <cell r="C15">
            <v>167899.05</v>
          </cell>
          <cell r="D15" t="str">
            <v>PHP</v>
          </cell>
          <cell r="E15">
            <v>3</v>
          </cell>
          <cell r="F15" t="str">
            <v>PC</v>
          </cell>
          <cell r="G15">
            <v>0</v>
          </cell>
        </row>
        <row r="16">
          <cell r="B16">
            <v>41</v>
          </cell>
          <cell r="C16">
            <v>121703.14</v>
          </cell>
          <cell r="D16" t="str">
            <v>PHP</v>
          </cell>
          <cell r="E16">
            <v>6</v>
          </cell>
          <cell r="F16" t="str">
            <v>PC</v>
          </cell>
          <cell r="G16">
            <v>0</v>
          </cell>
        </row>
        <row r="17">
          <cell r="B17">
            <v>44</v>
          </cell>
          <cell r="C17">
            <v>0</v>
          </cell>
          <cell r="D17" t="str">
            <v>PHP</v>
          </cell>
          <cell r="E17">
            <v>0</v>
          </cell>
          <cell r="F17" t="str">
            <v>PC</v>
          </cell>
          <cell r="G17">
            <v>0</v>
          </cell>
        </row>
        <row r="18">
          <cell r="B18">
            <v>45</v>
          </cell>
          <cell r="C18">
            <v>742016.18</v>
          </cell>
          <cell r="D18" t="str">
            <v>PHP</v>
          </cell>
          <cell r="E18">
            <v>3</v>
          </cell>
          <cell r="F18" t="str">
            <v>PC</v>
          </cell>
          <cell r="G18">
            <v>0</v>
          </cell>
        </row>
        <row r="19">
          <cell r="B19">
            <v>46</v>
          </cell>
          <cell r="C19">
            <v>87802.08</v>
          </cell>
          <cell r="D19" t="str">
            <v>PHP</v>
          </cell>
          <cell r="E19">
            <v>1</v>
          </cell>
          <cell r="F19" t="str">
            <v>PC</v>
          </cell>
          <cell r="G19">
            <v>0</v>
          </cell>
        </row>
        <row r="20">
          <cell r="B20">
            <v>47</v>
          </cell>
          <cell r="C20">
            <v>0</v>
          </cell>
          <cell r="D20" t="str">
            <v>PHP</v>
          </cell>
          <cell r="E20">
            <v>0</v>
          </cell>
          <cell r="F20" t="str">
            <v>PC</v>
          </cell>
          <cell r="G20">
            <v>0</v>
          </cell>
        </row>
        <row r="21">
          <cell r="B21">
            <v>48</v>
          </cell>
          <cell r="C21">
            <v>0</v>
          </cell>
          <cell r="D21" t="str">
            <v>PHP</v>
          </cell>
          <cell r="E21">
            <v>0</v>
          </cell>
          <cell r="F21" t="str">
            <v>PC</v>
          </cell>
          <cell r="G21">
            <v>0</v>
          </cell>
        </row>
        <row r="22">
          <cell r="B22">
            <v>49</v>
          </cell>
          <cell r="C22">
            <v>0</v>
          </cell>
          <cell r="D22" t="str">
            <v>PHP</v>
          </cell>
          <cell r="E22">
            <v>0</v>
          </cell>
          <cell r="F22" t="str">
            <v>PC</v>
          </cell>
          <cell r="G22">
            <v>0</v>
          </cell>
        </row>
        <row r="23">
          <cell r="B23">
            <v>51</v>
          </cell>
          <cell r="C23">
            <v>166849.39000000001</v>
          </cell>
          <cell r="D23" t="str">
            <v>PHP</v>
          </cell>
          <cell r="E23">
            <v>2</v>
          </cell>
          <cell r="F23" t="str">
            <v>PC</v>
          </cell>
          <cell r="G23">
            <v>0</v>
          </cell>
        </row>
        <row r="24">
          <cell r="B24">
            <v>52</v>
          </cell>
          <cell r="C24">
            <v>12768.66</v>
          </cell>
          <cell r="D24" t="str">
            <v>PHP</v>
          </cell>
          <cell r="E24">
            <v>12</v>
          </cell>
          <cell r="F24" t="str">
            <v>PC</v>
          </cell>
          <cell r="G24">
            <v>0</v>
          </cell>
        </row>
        <row r="25">
          <cell r="B25">
            <v>53</v>
          </cell>
          <cell r="C25">
            <v>17048.189999999999</v>
          </cell>
          <cell r="D25" t="str">
            <v>PHP</v>
          </cell>
          <cell r="E25">
            <v>3</v>
          </cell>
          <cell r="F25" t="str">
            <v>PC</v>
          </cell>
          <cell r="G25">
            <v>0</v>
          </cell>
        </row>
        <row r="26">
          <cell r="B26">
            <v>54</v>
          </cell>
          <cell r="C26">
            <v>71965.039999999994</v>
          </cell>
          <cell r="D26" t="str">
            <v>PHP</v>
          </cell>
          <cell r="E26">
            <v>6</v>
          </cell>
          <cell r="F26" t="str">
            <v>PC</v>
          </cell>
          <cell r="G26">
            <v>0</v>
          </cell>
        </row>
        <row r="27">
          <cell r="B27">
            <v>55</v>
          </cell>
          <cell r="C27">
            <v>143724.57999999999</v>
          </cell>
          <cell r="D27" t="str">
            <v>PHP</v>
          </cell>
          <cell r="E27">
            <v>5</v>
          </cell>
          <cell r="F27" t="str">
            <v>PC</v>
          </cell>
          <cell r="G27">
            <v>0</v>
          </cell>
        </row>
        <row r="28">
          <cell r="B28">
            <v>56</v>
          </cell>
          <cell r="C28">
            <v>46953.599999999999</v>
          </cell>
          <cell r="D28" t="str">
            <v>PHP</v>
          </cell>
          <cell r="E28">
            <v>2</v>
          </cell>
          <cell r="F28" t="str">
            <v>PC</v>
          </cell>
          <cell r="G28">
            <v>0</v>
          </cell>
        </row>
        <row r="29">
          <cell r="B29">
            <v>57</v>
          </cell>
          <cell r="C29">
            <v>99851.12</v>
          </cell>
          <cell r="D29" t="str">
            <v>PHP</v>
          </cell>
          <cell r="E29">
            <v>1</v>
          </cell>
          <cell r="F29" t="str">
            <v>PC</v>
          </cell>
          <cell r="G29">
            <v>0</v>
          </cell>
        </row>
        <row r="30">
          <cell r="B30">
            <v>58</v>
          </cell>
          <cell r="C30">
            <v>431389.72</v>
          </cell>
          <cell r="D30" t="str">
            <v>PHP</v>
          </cell>
          <cell r="E30">
            <v>1</v>
          </cell>
          <cell r="F30" t="str">
            <v>PC</v>
          </cell>
          <cell r="G30">
            <v>0</v>
          </cell>
        </row>
        <row r="31">
          <cell r="B31">
            <v>62</v>
          </cell>
          <cell r="C31">
            <v>166175</v>
          </cell>
          <cell r="D31" t="str">
            <v>PHP</v>
          </cell>
          <cell r="E31">
            <v>1</v>
          </cell>
          <cell r="F31" t="str">
            <v>ASY</v>
          </cell>
          <cell r="G31">
            <v>0</v>
          </cell>
        </row>
        <row r="32">
          <cell r="B32">
            <v>63</v>
          </cell>
          <cell r="C32">
            <v>7254.2</v>
          </cell>
          <cell r="D32" t="str">
            <v>PHP</v>
          </cell>
          <cell r="E32">
            <v>2</v>
          </cell>
          <cell r="F32" t="str">
            <v>PC</v>
          </cell>
          <cell r="G32">
            <v>0</v>
          </cell>
        </row>
        <row r="33">
          <cell r="B33">
            <v>64</v>
          </cell>
          <cell r="C33">
            <v>7254.2</v>
          </cell>
          <cell r="D33" t="str">
            <v>PHP</v>
          </cell>
          <cell r="E33">
            <v>2</v>
          </cell>
          <cell r="F33" t="str">
            <v>PC</v>
          </cell>
          <cell r="G33">
            <v>0</v>
          </cell>
        </row>
        <row r="34">
          <cell r="B34">
            <v>65</v>
          </cell>
          <cell r="C34">
            <v>28629.98</v>
          </cell>
          <cell r="D34" t="str">
            <v>PHP</v>
          </cell>
          <cell r="E34">
            <v>5</v>
          </cell>
          <cell r="F34" t="str">
            <v>PC</v>
          </cell>
          <cell r="G34">
            <v>0</v>
          </cell>
        </row>
        <row r="35">
          <cell r="B35">
            <v>66</v>
          </cell>
          <cell r="C35">
            <v>21172.65</v>
          </cell>
          <cell r="D35" t="str">
            <v>PHP</v>
          </cell>
          <cell r="E35">
            <v>3</v>
          </cell>
          <cell r="F35" t="str">
            <v>PC</v>
          </cell>
          <cell r="G35">
            <v>0</v>
          </cell>
        </row>
        <row r="36">
          <cell r="B36">
            <v>67</v>
          </cell>
          <cell r="C36">
            <v>10750.2</v>
          </cell>
          <cell r="D36" t="str">
            <v>PHP</v>
          </cell>
          <cell r="E36">
            <v>4</v>
          </cell>
          <cell r="F36" t="str">
            <v>PC</v>
          </cell>
          <cell r="G36">
            <v>0</v>
          </cell>
        </row>
        <row r="37">
          <cell r="B37">
            <v>69</v>
          </cell>
          <cell r="C37">
            <v>25870.400000000001</v>
          </cell>
          <cell r="D37" t="str">
            <v>PHP</v>
          </cell>
          <cell r="E37">
            <v>4</v>
          </cell>
          <cell r="F37" t="str">
            <v>PC</v>
          </cell>
          <cell r="G37">
            <v>0</v>
          </cell>
        </row>
        <row r="38">
          <cell r="B38">
            <v>70</v>
          </cell>
          <cell r="C38">
            <v>361358.08000000002</v>
          </cell>
          <cell r="D38" t="str">
            <v>PHP</v>
          </cell>
          <cell r="E38">
            <v>23</v>
          </cell>
          <cell r="F38" t="str">
            <v>PC</v>
          </cell>
          <cell r="G38">
            <v>0</v>
          </cell>
        </row>
        <row r="39">
          <cell r="B39">
            <v>76</v>
          </cell>
          <cell r="C39">
            <v>50288.06</v>
          </cell>
          <cell r="D39" t="str">
            <v>PHP</v>
          </cell>
          <cell r="E39">
            <v>2</v>
          </cell>
          <cell r="F39" t="str">
            <v>PC</v>
          </cell>
          <cell r="G39">
            <v>0</v>
          </cell>
        </row>
        <row r="40">
          <cell r="B40">
            <v>77</v>
          </cell>
          <cell r="C40">
            <v>22625.599999999999</v>
          </cell>
          <cell r="D40" t="str">
            <v>PHP</v>
          </cell>
          <cell r="E40">
            <v>2</v>
          </cell>
          <cell r="F40" t="str">
            <v>PC</v>
          </cell>
          <cell r="G40">
            <v>0</v>
          </cell>
        </row>
        <row r="41">
          <cell r="B41">
            <v>83</v>
          </cell>
          <cell r="C41">
            <v>38954.93</v>
          </cell>
          <cell r="D41" t="str">
            <v>PHP</v>
          </cell>
          <cell r="E41">
            <v>17</v>
          </cell>
          <cell r="F41" t="str">
            <v>PC</v>
          </cell>
          <cell r="G41">
            <v>0</v>
          </cell>
        </row>
        <row r="42">
          <cell r="B42">
            <v>87</v>
          </cell>
          <cell r="C42">
            <v>2</v>
          </cell>
          <cell r="D42" t="str">
            <v>PHP</v>
          </cell>
          <cell r="E42">
            <v>2</v>
          </cell>
          <cell r="F42" t="str">
            <v>PC</v>
          </cell>
          <cell r="G42">
            <v>0</v>
          </cell>
        </row>
        <row r="43">
          <cell r="B43">
            <v>88</v>
          </cell>
          <cell r="C43">
            <v>2024.14</v>
          </cell>
          <cell r="D43" t="str">
            <v>PHP</v>
          </cell>
          <cell r="E43">
            <v>1</v>
          </cell>
          <cell r="F43" t="str">
            <v>PC</v>
          </cell>
          <cell r="G43">
            <v>0</v>
          </cell>
        </row>
        <row r="44">
          <cell r="B44">
            <v>89</v>
          </cell>
          <cell r="C44">
            <v>39938.959999999999</v>
          </cell>
          <cell r="D44" t="str">
            <v>PHP</v>
          </cell>
          <cell r="E44">
            <v>4</v>
          </cell>
          <cell r="F44" t="str">
            <v>PC</v>
          </cell>
          <cell r="G44">
            <v>0</v>
          </cell>
        </row>
        <row r="45">
          <cell r="B45">
            <v>90</v>
          </cell>
          <cell r="C45">
            <v>68193.960000000006</v>
          </cell>
          <cell r="D45" t="str">
            <v>PHP</v>
          </cell>
          <cell r="E45">
            <v>4</v>
          </cell>
          <cell r="F45" t="str">
            <v>PC</v>
          </cell>
          <cell r="G45">
            <v>0</v>
          </cell>
        </row>
        <row r="46">
          <cell r="B46">
            <v>91</v>
          </cell>
          <cell r="C46">
            <v>5109.09</v>
          </cell>
          <cell r="D46" t="str">
            <v>PHP</v>
          </cell>
          <cell r="E46">
            <v>2</v>
          </cell>
          <cell r="F46" t="str">
            <v>PC</v>
          </cell>
          <cell r="G46">
            <v>0</v>
          </cell>
        </row>
        <row r="47">
          <cell r="B47">
            <v>92</v>
          </cell>
          <cell r="C47">
            <v>19572.63</v>
          </cell>
          <cell r="D47" t="str">
            <v>PHP</v>
          </cell>
          <cell r="E47">
            <v>3</v>
          </cell>
          <cell r="F47" t="str">
            <v>PC</v>
          </cell>
          <cell r="G47">
            <v>0</v>
          </cell>
        </row>
        <row r="48">
          <cell r="B48">
            <v>94</v>
          </cell>
          <cell r="C48">
            <v>7429</v>
          </cell>
          <cell r="D48" t="str">
            <v>PHP</v>
          </cell>
          <cell r="E48">
            <v>4</v>
          </cell>
          <cell r="F48" t="str">
            <v>PC</v>
          </cell>
          <cell r="G48">
            <v>0</v>
          </cell>
        </row>
        <row r="49">
          <cell r="B49">
            <v>108</v>
          </cell>
          <cell r="C49">
            <v>0</v>
          </cell>
          <cell r="D49" t="str">
            <v>PHP</v>
          </cell>
          <cell r="E49">
            <v>0</v>
          </cell>
          <cell r="F49" t="str">
            <v>SET</v>
          </cell>
          <cell r="G49">
            <v>0</v>
          </cell>
        </row>
        <row r="50">
          <cell r="B50">
            <v>152</v>
          </cell>
          <cell r="C50">
            <v>0</v>
          </cell>
          <cell r="D50" t="str">
            <v>PHP</v>
          </cell>
          <cell r="E50">
            <v>0</v>
          </cell>
          <cell r="F50" t="str">
            <v>PC</v>
          </cell>
          <cell r="G50">
            <v>0</v>
          </cell>
        </row>
        <row r="51">
          <cell r="B51">
            <v>153</v>
          </cell>
          <cell r="C51">
            <v>83304</v>
          </cell>
          <cell r="D51" t="str">
            <v>PHP</v>
          </cell>
          <cell r="E51">
            <v>36</v>
          </cell>
          <cell r="F51" t="str">
            <v>PC</v>
          </cell>
          <cell r="G51">
            <v>0</v>
          </cell>
        </row>
        <row r="52">
          <cell r="B52">
            <v>164</v>
          </cell>
          <cell r="C52">
            <v>28695.1</v>
          </cell>
          <cell r="D52" t="str">
            <v>PHP</v>
          </cell>
          <cell r="E52">
            <v>1</v>
          </cell>
          <cell r="F52" t="str">
            <v>PC</v>
          </cell>
          <cell r="G52">
            <v>0</v>
          </cell>
        </row>
        <row r="53">
          <cell r="B53">
            <v>170</v>
          </cell>
          <cell r="C53">
            <v>0</v>
          </cell>
          <cell r="D53" t="str">
            <v>PHP</v>
          </cell>
          <cell r="E53">
            <v>0</v>
          </cell>
          <cell r="F53" t="str">
            <v>SET</v>
          </cell>
          <cell r="G53">
            <v>0</v>
          </cell>
        </row>
        <row r="54">
          <cell r="B54">
            <v>173</v>
          </cell>
          <cell r="C54">
            <v>291696.42</v>
          </cell>
          <cell r="D54" t="str">
            <v>PHP</v>
          </cell>
          <cell r="E54">
            <v>2</v>
          </cell>
          <cell r="F54" t="str">
            <v>PC</v>
          </cell>
          <cell r="G54">
            <v>0</v>
          </cell>
        </row>
        <row r="55">
          <cell r="B55">
            <v>176</v>
          </cell>
          <cell r="C55">
            <v>524268.67</v>
          </cell>
          <cell r="D55" t="str">
            <v>PHP</v>
          </cell>
          <cell r="E55">
            <v>1</v>
          </cell>
          <cell r="F55" t="str">
            <v>PC</v>
          </cell>
          <cell r="G55">
            <v>0</v>
          </cell>
        </row>
        <row r="56">
          <cell r="B56">
            <v>178</v>
          </cell>
          <cell r="C56">
            <v>360652</v>
          </cell>
          <cell r="D56" t="str">
            <v>PHP</v>
          </cell>
          <cell r="E56">
            <v>1</v>
          </cell>
          <cell r="F56" t="str">
            <v>PC</v>
          </cell>
          <cell r="G56">
            <v>0</v>
          </cell>
        </row>
        <row r="57">
          <cell r="B57">
            <v>179</v>
          </cell>
          <cell r="C57">
            <v>0</v>
          </cell>
          <cell r="D57" t="str">
            <v>PHP</v>
          </cell>
          <cell r="E57">
            <v>0</v>
          </cell>
          <cell r="F57" t="str">
            <v>PC</v>
          </cell>
          <cell r="G57">
            <v>0</v>
          </cell>
        </row>
        <row r="58">
          <cell r="B58">
            <v>180</v>
          </cell>
          <cell r="C58">
            <v>0</v>
          </cell>
          <cell r="D58" t="str">
            <v>PHP</v>
          </cell>
          <cell r="E58">
            <v>0</v>
          </cell>
          <cell r="F58" t="str">
            <v>PC</v>
          </cell>
          <cell r="G58">
            <v>0</v>
          </cell>
        </row>
        <row r="59">
          <cell r="B59">
            <v>182</v>
          </cell>
          <cell r="C59">
            <v>90803.82</v>
          </cell>
          <cell r="D59" t="str">
            <v>PHP</v>
          </cell>
          <cell r="E59">
            <v>1</v>
          </cell>
          <cell r="F59" t="str">
            <v>PC</v>
          </cell>
          <cell r="G59">
            <v>0</v>
          </cell>
        </row>
        <row r="60">
          <cell r="B60">
            <v>183</v>
          </cell>
          <cell r="C60">
            <v>0</v>
          </cell>
          <cell r="D60" t="str">
            <v>PHP</v>
          </cell>
          <cell r="E60">
            <v>0</v>
          </cell>
          <cell r="F60" t="str">
            <v>PC</v>
          </cell>
          <cell r="G60">
            <v>0</v>
          </cell>
        </row>
        <row r="61">
          <cell r="B61">
            <v>193</v>
          </cell>
          <cell r="C61">
            <v>5365</v>
          </cell>
          <cell r="D61" t="str">
            <v>PHP</v>
          </cell>
          <cell r="E61">
            <v>1</v>
          </cell>
          <cell r="F61" t="str">
            <v>PC</v>
          </cell>
          <cell r="G61">
            <v>0</v>
          </cell>
        </row>
        <row r="62">
          <cell r="B62">
            <v>194</v>
          </cell>
          <cell r="C62">
            <v>25822.400000000001</v>
          </cell>
          <cell r="D62" t="str">
            <v>PHP</v>
          </cell>
          <cell r="E62">
            <v>8</v>
          </cell>
          <cell r="F62" t="str">
            <v>PC</v>
          </cell>
          <cell r="G62">
            <v>0</v>
          </cell>
        </row>
        <row r="63">
          <cell r="B63">
            <v>196</v>
          </cell>
          <cell r="C63">
            <v>1808.64</v>
          </cell>
          <cell r="D63" t="str">
            <v>PHP</v>
          </cell>
          <cell r="E63">
            <v>11</v>
          </cell>
          <cell r="F63" t="str">
            <v>PC</v>
          </cell>
          <cell r="G63">
            <v>0</v>
          </cell>
        </row>
        <row r="64">
          <cell r="B64">
            <v>205</v>
          </cell>
          <cell r="C64">
            <v>78794.240000000005</v>
          </cell>
          <cell r="D64" t="str">
            <v>PHP</v>
          </cell>
          <cell r="E64">
            <v>32</v>
          </cell>
          <cell r="F64" t="str">
            <v>PC</v>
          </cell>
          <cell r="G64">
            <v>0</v>
          </cell>
        </row>
        <row r="65">
          <cell r="B65">
            <v>206</v>
          </cell>
          <cell r="C65">
            <v>106234.24000000001</v>
          </cell>
          <cell r="D65" t="str">
            <v>PHP</v>
          </cell>
          <cell r="E65">
            <v>32</v>
          </cell>
          <cell r="F65" t="str">
            <v>PC</v>
          </cell>
          <cell r="G65">
            <v>0</v>
          </cell>
        </row>
        <row r="66">
          <cell r="B66">
            <v>207</v>
          </cell>
          <cell r="C66">
            <v>24374.16</v>
          </cell>
          <cell r="D66" t="str">
            <v>PHP</v>
          </cell>
          <cell r="E66">
            <v>24</v>
          </cell>
          <cell r="F66" t="str">
            <v>PC</v>
          </cell>
          <cell r="G66">
            <v>0</v>
          </cell>
        </row>
        <row r="67">
          <cell r="B67">
            <v>210</v>
          </cell>
          <cell r="C67">
            <v>0</v>
          </cell>
          <cell r="D67" t="str">
            <v>PHP</v>
          </cell>
          <cell r="E67">
            <v>0</v>
          </cell>
          <cell r="F67" t="str">
            <v>ASY</v>
          </cell>
          <cell r="G67">
            <v>0</v>
          </cell>
        </row>
        <row r="68">
          <cell r="B68">
            <v>214</v>
          </cell>
          <cell r="C68">
            <v>907543.33</v>
          </cell>
          <cell r="D68" t="str">
            <v>PHP</v>
          </cell>
          <cell r="E68">
            <v>16</v>
          </cell>
          <cell r="F68" t="str">
            <v>PC</v>
          </cell>
          <cell r="G68">
            <v>0</v>
          </cell>
        </row>
        <row r="69">
          <cell r="B69">
            <v>215</v>
          </cell>
          <cell r="C69">
            <v>119638.04</v>
          </cell>
          <cell r="D69" t="str">
            <v>PHP</v>
          </cell>
          <cell r="E69">
            <v>10</v>
          </cell>
          <cell r="F69" t="str">
            <v>PC</v>
          </cell>
          <cell r="G69">
            <v>0</v>
          </cell>
        </row>
        <row r="70">
          <cell r="B70">
            <v>232</v>
          </cell>
          <cell r="C70">
            <v>63936</v>
          </cell>
          <cell r="D70" t="str">
            <v>PHP</v>
          </cell>
          <cell r="E70">
            <v>6</v>
          </cell>
          <cell r="F70" t="str">
            <v>PC</v>
          </cell>
          <cell r="G70">
            <v>0</v>
          </cell>
        </row>
        <row r="71">
          <cell r="B71">
            <v>233</v>
          </cell>
          <cell r="C71">
            <v>17244.25</v>
          </cell>
          <cell r="D71" t="str">
            <v>PHP</v>
          </cell>
          <cell r="E71">
            <v>16</v>
          </cell>
          <cell r="F71" t="str">
            <v>PC</v>
          </cell>
          <cell r="G71">
            <v>0</v>
          </cell>
        </row>
        <row r="72">
          <cell r="B72">
            <v>234</v>
          </cell>
          <cell r="C72">
            <v>21977.22</v>
          </cell>
          <cell r="D72" t="str">
            <v>PHP</v>
          </cell>
          <cell r="E72">
            <v>12</v>
          </cell>
          <cell r="F72" t="str">
            <v>PC</v>
          </cell>
          <cell r="G72">
            <v>0</v>
          </cell>
        </row>
        <row r="73">
          <cell r="B73">
            <v>247</v>
          </cell>
          <cell r="C73">
            <v>12807.98</v>
          </cell>
          <cell r="D73" t="str">
            <v>PHP</v>
          </cell>
          <cell r="E73">
            <v>2</v>
          </cell>
          <cell r="F73" t="str">
            <v>PC</v>
          </cell>
          <cell r="G73">
            <v>0</v>
          </cell>
        </row>
        <row r="74">
          <cell r="B74">
            <v>248</v>
          </cell>
          <cell r="C74">
            <v>31124.75</v>
          </cell>
          <cell r="D74" t="str">
            <v>PHP</v>
          </cell>
          <cell r="E74">
            <v>2</v>
          </cell>
          <cell r="F74" t="str">
            <v>PC</v>
          </cell>
          <cell r="G74">
            <v>0</v>
          </cell>
        </row>
        <row r="75">
          <cell r="B75">
            <v>252</v>
          </cell>
          <cell r="C75">
            <v>269.56</v>
          </cell>
          <cell r="D75" t="str">
            <v>PHP</v>
          </cell>
          <cell r="E75">
            <v>2</v>
          </cell>
          <cell r="F75" t="str">
            <v>PC</v>
          </cell>
          <cell r="G75">
            <v>0</v>
          </cell>
        </row>
        <row r="76">
          <cell r="B76">
            <v>256</v>
          </cell>
          <cell r="C76">
            <v>102912.42</v>
          </cell>
          <cell r="D76" t="str">
            <v>PHP</v>
          </cell>
          <cell r="E76">
            <v>2</v>
          </cell>
          <cell r="F76" t="str">
            <v>PC</v>
          </cell>
          <cell r="G76">
            <v>0</v>
          </cell>
        </row>
        <row r="77">
          <cell r="B77">
            <v>263</v>
          </cell>
          <cell r="C77">
            <v>680</v>
          </cell>
          <cell r="D77" t="str">
            <v>PHP</v>
          </cell>
          <cell r="E77">
            <v>1</v>
          </cell>
          <cell r="F77" t="str">
            <v>PC</v>
          </cell>
          <cell r="G77">
            <v>0</v>
          </cell>
        </row>
        <row r="78">
          <cell r="B78">
            <v>267</v>
          </cell>
          <cell r="C78">
            <v>27647.74</v>
          </cell>
          <cell r="D78" t="str">
            <v>PHP</v>
          </cell>
          <cell r="E78">
            <v>10</v>
          </cell>
          <cell r="F78" t="str">
            <v>PC</v>
          </cell>
          <cell r="G78">
            <v>0</v>
          </cell>
        </row>
        <row r="79">
          <cell r="B79">
            <v>268</v>
          </cell>
          <cell r="C79">
            <v>19715.759999999998</v>
          </cell>
          <cell r="D79" t="str">
            <v>PHP</v>
          </cell>
          <cell r="E79">
            <v>10</v>
          </cell>
          <cell r="F79" t="str">
            <v>PC</v>
          </cell>
          <cell r="G79">
            <v>0</v>
          </cell>
        </row>
        <row r="80">
          <cell r="B80">
            <v>277</v>
          </cell>
          <cell r="C80">
            <v>590209.02</v>
          </cell>
          <cell r="D80" t="str">
            <v>PHP</v>
          </cell>
          <cell r="E80">
            <v>30</v>
          </cell>
          <cell r="F80" t="str">
            <v>PC</v>
          </cell>
          <cell r="G80">
            <v>0</v>
          </cell>
        </row>
        <row r="81">
          <cell r="B81">
            <v>278</v>
          </cell>
          <cell r="C81">
            <v>87393.13</v>
          </cell>
          <cell r="D81" t="str">
            <v>PHP</v>
          </cell>
          <cell r="E81">
            <v>32</v>
          </cell>
          <cell r="F81" t="str">
            <v>PC</v>
          </cell>
          <cell r="G81">
            <v>0</v>
          </cell>
        </row>
        <row r="82">
          <cell r="B82">
            <v>279</v>
          </cell>
          <cell r="C82">
            <v>1016951.68</v>
          </cell>
          <cell r="D82" t="str">
            <v>PHP</v>
          </cell>
          <cell r="E82">
            <v>64</v>
          </cell>
          <cell r="F82" t="str">
            <v>PC</v>
          </cell>
          <cell r="G82">
            <v>0</v>
          </cell>
        </row>
        <row r="83">
          <cell r="B83">
            <v>285</v>
          </cell>
          <cell r="C83">
            <v>26932.5</v>
          </cell>
          <cell r="D83" t="str">
            <v>PHP</v>
          </cell>
          <cell r="E83">
            <v>1</v>
          </cell>
          <cell r="F83" t="str">
            <v>PC</v>
          </cell>
          <cell r="G83">
            <v>0</v>
          </cell>
        </row>
        <row r="84">
          <cell r="B84">
            <v>286</v>
          </cell>
          <cell r="C84">
            <v>10103.31</v>
          </cell>
          <cell r="D84" t="str">
            <v>PHP</v>
          </cell>
          <cell r="E84">
            <v>1</v>
          </cell>
          <cell r="F84" t="str">
            <v>PC</v>
          </cell>
          <cell r="G84">
            <v>0</v>
          </cell>
        </row>
        <row r="85">
          <cell r="B85">
            <v>288</v>
          </cell>
          <cell r="C85">
            <v>13719.2</v>
          </cell>
          <cell r="D85" t="str">
            <v>PHP</v>
          </cell>
          <cell r="E85">
            <v>1</v>
          </cell>
          <cell r="F85" t="str">
            <v>PC</v>
          </cell>
          <cell r="G85">
            <v>0</v>
          </cell>
        </row>
        <row r="86">
          <cell r="B86">
            <v>292</v>
          </cell>
          <cell r="C86">
            <v>45373.71</v>
          </cell>
          <cell r="D86" t="str">
            <v>PHP</v>
          </cell>
          <cell r="E86">
            <v>3</v>
          </cell>
          <cell r="F86" t="str">
            <v>PC</v>
          </cell>
          <cell r="G86">
            <v>0</v>
          </cell>
        </row>
        <row r="87">
          <cell r="B87">
            <v>295</v>
          </cell>
          <cell r="C87">
            <v>255638.84</v>
          </cell>
          <cell r="D87" t="str">
            <v>PHP</v>
          </cell>
          <cell r="E87">
            <v>109</v>
          </cell>
          <cell r="F87" t="str">
            <v>FT</v>
          </cell>
          <cell r="G87">
            <v>0</v>
          </cell>
        </row>
        <row r="88">
          <cell r="B88">
            <v>296</v>
          </cell>
          <cell r="C88">
            <v>326807.75</v>
          </cell>
          <cell r="D88" t="str">
            <v>PHP</v>
          </cell>
          <cell r="E88">
            <v>177</v>
          </cell>
          <cell r="F88" t="str">
            <v>FT</v>
          </cell>
          <cell r="G88">
            <v>0</v>
          </cell>
        </row>
        <row r="89">
          <cell r="B89">
            <v>298</v>
          </cell>
          <cell r="C89">
            <v>528143.81999999995</v>
          </cell>
          <cell r="D89" t="str">
            <v>PHP</v>
          </cell>
          <cell r="E89">
            <v>80</v>
          </cell>
          <cell r="F89" t="str">
            <v>FT</v>
          </cell>
          <cell r="G89">
            <v>0</v>
          </cell>
        </row>
        <row r="90">
          <cell r="B90">
            <v>299</v>
          </cell>
          <cell r="C90">
            <v>871941.51</v>
          </cell>
          <cell r="D90" t="str">
            <v>PHP</v>
          </cell>
          <cell r="E90">
            <v>81</v>
          </cell>
          <cell r="F90" t="str">
            <v>FT</v>
          </cell>
          <cell r="G90">
            <v>0</v>
          </cell>
        </row>
        <row r="91">
          <cell r="B91">
            <v>300</v>
          </cell>
          <cell r="C91">
            <v>187744.32</v>
          </cell>
          <cell r="D91" t="str">
            <v>PHP</v>
          </cell>
          <cell r="E91">
            <v>150</v>
          </cell>
          <cell r="F91" t="str">
            <v>FT</v>
          </cell>
          <cell r="G91">
            <v>0</v>
          </cell>
        </row>
        <row r="92">
          <cell r="B92">
            <v>301</v>
          </cell>
          <cell r="C92">
            <v>411466.81</v>
          </cell>
          <cell r="D92" t="str">
            <v>PHP</v>
          </cell>
          <cell r="E92">
            <v>110</v>
          </cell>
          <cell r="F92" t="str">
            <v>FT</v>
          </cell>
          <cell r="G92">
            <v>0</v>
          </cell>
        </row>
        <row r="93">
          <cell r="B93">
            <v>302</v>
          </cell>
          <cell r="C93">
            <v>441464.36</v>
          </cell>
          <cell r="D93" t="str">
            <v>PHP</v>
          </cell>
          <cell r="E93">
            <v>82</v>
          </cell>
          <cell r="F93" t="str">
            <v>FT</v>
          </cell>
          <cell r="G93">
            <v>0</v>
          </cell>
        </row>
        <row r="94">
          <cell r="B94">
            <v>331</v>
          </cell>
          <cell r="C94">
            <v>3742.56</v>
          </cell>
          <cell r="D94" t="str">
            <v>PHP</v>
          </cell>
          <cell r="E94">
            <v>2</v>
          </cell>
          <cell r="F94" t="str">
            <v>PC</v>
          </cell>
          <cell r="G94">
            <v>0</v>
          </cell>
        </row>
        <row r="95">
          <cell r="B95">
            <v>339</v>
          </cell>
          <cell r="C95">
            <v>958.48</v>
          </cell>
          <cell r="D95" t="str">
            <v>PHP</v>
          </cell>
          <cell r="E95">
            <v>10</v>
          </cell>
          <cell r="F95" t="str">
            <v>PC</v>
          </cell>
          <cell r="G95">
            <v>0</v>
          </cell>
        </row>
        <row r="96">
          <cell r="B96">
            <v>342</v>
          </cell>
          <cell r="C96">
            <v>124</v>
          </cell>
          <cell r="D96" t="str">
            <v>PHP</v>
          </cell>
          <cell r="E96">
            <v>2</v>
          </cell>
          <cell r="F96" t="str">
            <v>PC</v>
          </cell>
          <cell r="G96">
            <v>0</v>
          </cell>
        </row>
        <row r="97">
          <cell r="B97">
            <v>347</v>
          </cell>
          <cell r="C97">
            <v>369636.89</v>
          </cell>
          <cell r="D97" t="str">
            <v>PHP</v>
          </cell>
          <cell r="E97">
            <v>3</v>
          </cell>
          <cell r="F97" t="str">
            <v>PC</v>
          </cell>
          <cell r="G97">
            <v>0</v>
          </cell>
        </row>
        <row r="98">
          <cell r="B98">
            <v>351</v>
          </cell>
          <cell r="C98">
            <v>138.08000000000001</v>
          </cell>
          <cell r="D98" t="str">
            <v>PHP</v>
          </cell>
          <cell r="E98">
            <v>2</v>
          </cell>
          <cell r="F98" t="str">
            <v>PC</v>
          </cell>
          <cell r="G98">
            <v>0</v>
          </cell>
        </row>
        <row r="99">
          <cell r="B99">
            <v>360</v>
          </cell>
          <cell r="C99">
            <v>40296.04</v>
          </cell>
          <cell r="D99" t="str">
            <v>PHP</v>
          </cell>
          <cell r="E99">
            <v>2</v>
          </cell>
          <cell r="F99" t="str">
            <v>PC</v>
          </cell>
          <cell r="G99">
            <v>0</v>
          </cell>
        </row>
        <row r="100">
          <cell r="B100">
            <v>361</v>
          </cell>
          <cell r="C100">
            <v>171232.39</v>
          </cell>
          <cell r="D100" t="str">
            <v>PHP</v>
          </cell>
          <cell r="E100">
            <v>9</v>
          </cell>
          <cell r="F100" t="str">
            <v>PC</v>
          </cell>
          <cell r="G100">
            <v>0</v>
          </cell>
        </row>
        <row r="101">
          <cell r="B101">
            <v>372</v>
          </cell>
          <cell r="C101">
            <v>1308.24</v>
          </cell>
          <cell r="D101" t="str">
            <v>PHP</v>
          </cell>
          <cell r="E101">
            <v>1</v>
          </cell>
          <cell r="F101" t="str">
            <v>PC</v>
          </cell>
          <cell r="G101">
            <v>0</v>
          </cell>
        </row>
        <row r="102">
          <cell r="B102">
            <v>373</v>
          </cell>
          <cell r="C102">
            <v>26980</v>
          </cell>
          <cell r="D102" t="str">
            <v>PHP</v>
          </cell>
          <cell r="E102">
            <v>1</v>
          </cell>
          <cell r="F102" t="str">
            <v>PC</v>
          </cell>
          <cell r="G102">
            <v>0</v>
          </cell>
        </row>
        <row r="103">
          <cell r="B103">
            <v>375</v>
          </cell>
          <cell r="C103">
            <v>0</v>
          </cell>
          <cell r="D103" t="str">
            <v>PHP</v>
          </cell>
          <cell r="E103">
            <v>0</v>
          </cell>
          <cell r="F103" t="str">
            <v>PC</v>
          </cell>
          <cell r="G103">
            <v>0</v>
          </cell>
        </row>
        <row r="104">
          <cell r="B104">
            <v>376</v>
          </cell>
          <cell r="C104">
            <v>3646871.27</v>
          </cell>
          <cell r="D104" t="str">
            <v>PHP</v>
          </cell>
          <cell r="E104">
            <v>1</v>
          </cell>
          <cell r="F104" t="str">
            <v>ASY</v>
          </cell>
          <cell r="G104">
            <v>0</v>
          </cell>
        </row>
        <row r="105">
          <cell r="B105">
            <v>377</v>
          </cell>
          <cell r="C105">
            <v>2463305.09</v>
          </cell>
          <cell r="D105" t="str">
            <v>PHP</v>
          </cell>
          <cell r="E105">
            <v>1</v>
          </cell>
          <cell r="F105" t="str">
            <v>ASY</v>
          </cell>
          <cell r="G105">
            <v>0</v>
          </cell>
        </row>
        <row r="106">
          <cell r="B106">
            <v>378</v>
          </cell>
          <cell r="C106">
            <v>6662917.6600000001</v>
          </cell>
          <cell r="D106" t="str">
            <v>PHP</v>
          </cell>
          <cell r="E106">
            <v>2</v>
          </cell>
          <cell r="F106" t="str">
            <v>PC</v>
          </cell>
          <cell r="G106">
            <v>0</v>
          </cell>
        </row>
        <row r="107">
          <cell r="B107">
            <v>379</v>
          </cell>
          <cell r="C107">
            <v>0</v>
          </cell>
          <cell r="D107" t="str">
            <v>PHP</v>
          </cell>
          <cell r="E107">
            <v>0</v>
          </cell>
          <cell r="F107" t="str">
            <v>PC</v>
          </cell>
          <cell r="G107">
            <v>0</v>
          </cell>
        </row>
        <row r="108">
          <cell r="B108">
            <v>380</v>
          </cell>
          <cell r="C108">
            <v>1375944.99</v>
          </cell>
          <cell r="D108" t="str">
            <v>PHP</v>
          </cell>
          <cell r="E108">
            <v>1</v>
          </cell>
          <cell r="F108" t="str">
            <v>PC</v>
          </cell>
          <cell r="G108">
            <v>0</v>
          </cell>
        </row>
        <row r="109">
          <cell r="B109">
            <v>382</v>
          </cell>
          <cell r="C109">
            <v>592227.16</v>
          </cell>
          <cell r="D109" t="str">
            <v>PHP</v>
          </cell>
          <cell r="E109">
            <v>3</v>
          </cell>
          <cell r="F109" t="str">
            <v>PC</v>
          </cell>
          <cell r="G109">
            <v>0</v>
          </cell>
        </row>
        <row r="110">
          <cell r="B110">
            <v>383</v>
          </cell>
          <cell r="C110">
            <v>446548.42</v>
          </cell>
          <cell r="D110" t="str">
            <v>PHP</v>
          </cell>
          <cell r="E110">
            <v>3</v>
          </cell>
          <cell r="F110" t="str">
            <v>PC</v>
          </cell>
          <cell r="G110">
            <v>0</v>
          </cell>
        </row>
        <row r="111">
          <cell r="B111">
            <v>391</v>
          </cell>
          <cell r="C111">
            <v>0</v>
          </cell>
          <cell r="D111" t="str">
            <v>PHP</v>
          </cell>
          <cell r="E111">
            <v>0</v>
          </cell>
          <cell r="F111" t="str">
            <v>PC</v>
          </cell>
          <cell r="G111">
            <v>0</v>
          </cell>
        </row>
        <row r="112">
          <cell r="B112">
            <v>394</v>
          </cell>
          <cell r="C112">
            <v>3059.52</v>
          </cell>
          <cell r="D112" t="str">
            <v>PHP</v>
          </cell>
          <cell r="E112">
            <v>1</v>
          </cell>
          <cell r="F112" t="str">
            <v>PC</v>
          </cell>
          <cell r="G112">
            <v>0</v>
          </cell>
        </row>
        <row r="113">
          <cell r="B113">
            <v>397</v>
          </cell>
          <cell r="C113">
            <v>3839.1</v>
          </cell>
          <cell r="D113" t="str">
            <v>PHP</v>
          </cell>
          <cell r="E113">
            <v>2</v>
          </cell>
          <cell r="F113" t="str">
            <v>PC</v>
          </cell>
          <cell r="G113">
            <v>0</v>
          </cell>
        </row>
        <row r="114">
          <cell r="B114">
            <v>398</v>
          </cell>
          <cell r="C114">
            <v>0</v>
          </cell>
          <cell r="D114" t="str">
            <v>PHP</v>
          </cell>
          <cell r="E114">
            <v>0</v>
          </cell>
          <cell r="F114" t="str">
            <v>PC</v>
          </cell>
          <cell r="G114">
            <v>0</v>
          </cell>
        </row>
        <row r="115">
          <cell r="B115">
            <v>399</v>
          </cell>
          <cell r="C115">
            <v>109363.37</v>
          </cell>
          <cell r="D115" t="str">
            <v>PHP</v>
          </cell>
          <cell r="E115">
            <v>24</v>
          </cell>
          <cell r="F115" t="str">
            <v>PC</v>
          </cell>
          <cell r="G115">
            <v>0</v>
          </cell>
        </row>
        <row r="116">
          <cell r="B116">
            <v>400</v>
          </cell>
          <cell r="C116">
            <v>13770</v>
          </cell>
          <cell r="D116" t="str">
            <v>PHP</v>
          </cell>
          <cell r="E116">
            <v>4</v>
          </cell>
          <cell r="F116" t="str">
            <v>PC</v>
          </cell>
          <cell r="G116">
            <v>0</v>
          </cell>
        </row>
        <row r="117">
          <cell r="B117">
            <v>403</v>
          </cell>
          <cell r="C117">
            <v>0</v>
          </cell>
          <cell r="D117" t="str">
            <v>PHP</v>
          </cell>
          <cell r="E117">
            <v>0</v>
          </cell>
          <cell r="F117" t="str">
            <v>PC</v>
          </cell>
          <cell r="G117">
            <v>0</v>
          </cell>
        </row>
        <row r="118">
          <cell r="B118">
            <v>407</v>
          </cell>
          <cell r="C118">
            <v>29507.56</v>
          </cell>
          <cell r="D118" t="str">
            <v>PHP</v>
          </cell>
          <cell r="E118">
            <v>48</v>
          </cell>
          <cell r="F118" t="str">
            <v>PC</v>
          </cell>
          <cell r="G118">
            <v>0</v>
          </cell>
        </row>
        <row r="119">
          <cell r="B119">
            <v>408</v>
          </cell>
          <cell r="C119">
            <v>29481.48</v>
          </cell>
          <cell r="D119" t="str">
            <v>PHP</v>
          </cell>
          <cell r="E119">
            <v>48</v>
          </cell>
          <cell r="F119" t="str">
            <v>PC</v>
          </cell>
          <cell r="G119">
            <v>0</v>
          </cell>
        </row>
        <row r="120">
          <cell r="B120">
            <v>409</v>
          </cell>
          <cell r="C120">
            <v>7673.57</v>
          </cell>
          <cell r="D120" t="str">
            <v>PHP</v>
          </cell>
          <cell r="E120">
            <v>24</v>
          </cell>
          <cell r="F120" t="str">
            <v>PC</v>
          </cell>
          <cell r="G120">
            <v>0</v>
          </cell>
        </row>
        <row r="121">
          <cell r="B121">
            <v>410</v>
          </cell>
          <cell r="C121">
            <v>0</v>
          </cell>
          <cell r="D121" t="str">
            <v>PHP</v>
          </cell>
          <cell r="E121">
            <v>0</v>
          </cell>
          <cell r="F121" t="str">
            <v>PC</v>
          </cell>
          <cell r="G121">
            <v>0</v>
          </cell>
        </row>
        <row r="122">
          <cell r="B122">
            <v>411</v>
          </cell>
          <cell r="C122">
            <v>13524.31</v>
          </cell>
          <cell r="D122" t="str">
            <v>PHP</v>
          </cell>
          <cell r="E122">
            <v>22</v>
          </cell>
          <cell r="F122" t="str">
            <v>PC</v>
          </cell>
          <cell r="G122">
            <v>0</v>
          </cell>
        </row>
        <row r="123">
          <cell r="B123">
            <v>413</v>
          </cell>
          <cell r="C123">
            <v>0</v>
          </cell>
          <cell r="D123" t="str">
            <v>PHP</v>
          </cell>
          <cell r="E123">
            <v>0</v>
          </cell>
          <cell r="F123" t="str">
            <v>PC</v>
          </cell>
          <cell r="G123">
            <v>0</v>
          </cell>
        </row>
        <row r="124">
          <cell r="B124">
            <v>414</v>
          </cell>
          <cell r="C124">
            <v>0</v>
          </cell>
          <cell r="D124" t="str">
            <v>PHP</v>
          </cell>
          <cell r="E124">
            <v>0</v>
          </cell>
          <cell r="F124" t="str">
            <v>PC</v>
          </cell>
          <cell r="G124">
            <v>0</v>
          </cell>
        </row>
        <row r="125">
          <cell r="B125">
            <v>416</v>
          </cell>
          <cell r="C125">
            <v>0</v>
          </cell>
          <cell r="D125" t="str">
            <v>PHP</v>
          </cell>
          <cell r="E125">
            <v>0</v>
          </cell>
          <cell r="F125" t="str">
            <v>PC</v>
          </cell>
          <cell r="G125">
            <v>0</v>
          </cell>
        </row>
        <row r="126">
          <cell r="B126">
            <v>417</v>
          </cell>
          <cell r="C126">
            <v>100216.12</v>
          </cell>
          <cell r="D126" t="str">
            <v>PHP</v>
          </cell>
          <cell r="E126">
            <v>2</v>
          </cell>
          <cell r="F126" t="str">
            <v>ASY</v>
          </cell>
          <cell r="G126">
            <v>0</v>
          </cell>
        </row>
        <row r="127">
          <cell r="B127">
            <v>418</v>
          </cell>
          <cell r="C127">
            <v>66321.87</v>
          </cell>
          <cell r="D127" t="str">
            <v>PHP</v>
          </cell>
          <cell r="E127">
            <v>2</v>
          </cell>
          <cell r="F127" t="str">
            <v>PC</v>
          </cell>
          <cell r="G127">
            <v>0</v>
          </cell>
        </row>
        <row r="128">
          <cell r="B128">
            <v>419</v>
          </cell>
          <cell r="C128">
            <v>334256.38</v>
          </cell>
          <cell r="D128" t="str">
            <v>PHP</v>
          </cell>
          <cell r="E128">
            <v>1</v>
          </cell>
          <cell r="F128" t="str">
            <v>PC</v>
          </cell>
          <cell r="G128">
            <v>0</v>
          </cell>
        </row>
        <row r="129">
          <cell r="B129">
            <v>420</v>
          </cell>
          <cell r="C129">
            <v>235936</v>
          </cell>
          <cell r="D129" t="str">
            <v>PHP</v>
          </cell>
          <cell r="E129">
            <v>1</v>
          </cell>
          <cell r="F129" t="str">
            <v>PC</v>
          </cell>
          <cell r="G129">
            <v>0</v>
          </cell>
        </row>
        <row r="130">
          <cell r="B130">
            <v>421</v>
          </cell>
          <cell r="C130">
            <v>900600</v>
          </cell>
          <cell r="D130" t="str">
            <v>PHP</v>
          </cell>
          <cell r="E130">
            <v>1</v>
          </cell>
          <cell r="F130" t="str">
            <v>PC</v>
          </cell>
          <cell r="G130">
            <v>0</v>
          </cell>
        </row>
        <row r="131">
          <cell r="B131">
            <v>422</v>
          </cell>
          <cell r="C131">
            <v>0</v>
          </cell>
          <cell r="D131" t="str">
            <v>PHP</v>
          </cell>
          <cell r="E131">
            <v>0</v>
          </cell>
          <cell r="F131" t="str">
            <v>PC</v>
          </cell>
          <cell r="G131">
            <v>0</v>
          </cell>
        </row>
        <row r="132">
          <cell r="B132">
            <v>424</v>
          </cell>
          <cell r="C132">
            <v>0</v>
          </cell>
          <cell r="D132" t="str">
            <v>PHP</v>
          </cell>
          <cell r="E132">
            <v>0</v>
          </cell>
          <cell r="F132" t="str">
            <v>SET</v>
          </cell>
          <cell r="G132">
            <v>0</v>
          </cell>
        </row>
        <row r="133">
          <cell r="B133">
            <v>426</v>
          </cell>
          <cell r="C133">
            <v>22457.24</v>
          </cell>
          <cell r="D133" t="str">
            <v>PHP</v>
          </cell>
          <cell r="E133">
            <v>18</v>
          </cell>
          <cell r="F133" t="str">
            <v>PC</v>
          </cell>
          <cell r="G133">
            <v>0</v>
          </cell>
        </row>
        <row r="134">
          <cell r="B134">
            <v>427</v>
          </cell>
          <cell r="C134">
            <v>78705</v>
          </cell>
          <cell r="D134" t="str">
            <v>PHP</v>
          </cell>
          <cell r="E134">
            <v>20</v>
          </cell>
          <cell r="F134" t="str">
            <v>PC</v>
          </cell>
          <cell r="G134">
            <v>0</v>
          </cell>
        </row>
        <row r="135">
          <cell r="B135">
            <v>428</v>
          </cell>
          <cell r="C135">
            <v>111633.41</v>
          </cell>
          <cell r="D135" t="str">
            <v>PHP</v>
          </cell>
          <cell r="E135">
            <v>20</v>
          </cell>
          <cell r="F135" t="str">
            <v>PC</v>
          </cell>
          <cell r="G135">
            <v>0</v>
          </cell>
        </row>
        <row r="136">
          <cell r="B136">
            <v>429</v>
          </cell>
          <cell r="C136">
            <v>61015.09</v>
          </cell>
          <cell r="D136" t="str">
            <v>PHP</v>
          </cell>
          <cell r="E136">
            <v>20</v>
          </cell>
          <cell r="F136" t="str">
            <v>SET</v>
          </cell>
          <cell r="G136">
            <v>0</v>
          </cell>
        </row>
        <row r="137">
          <cell r="B137">
            <v>431</v>
          </cell>
          <cell r="C137">
            <v>508760.9</v>
          </cell>
          <cell r="D137" t="str">
            <v>PHP</v>
          </cell>
          <cell r="E137">
            <v>6</v>
          </cell>
          <cell r="F137" t="str">
            <v>PC</v>
          </cell>
          <cell r="G137">
            <v>0</v>
          </cell>
        </row>
        <row r="138">
          <cell r="B138">
            <v>432</v>
          </cell>
          <cell r="C138">
            <v>1152</v>
          </cell>
          <cell r="D138" t="str">
            <v>PHP</v>
          </cell>
          <cell r="E138">
            <v>4</v>
          </cell>
          <cell r="F138" t="str">
            <v>PC</v>
          </cell>
          <cell r="G138">
            <v>0</v>
          </cell>
        </row>
        <row r="139">
          <cell r="B139">
            <v>433</v>
          </cell>
          <cell r="C139">
            <v>26619.49</v>
          </cell>
          <cell r="D139" t="str">
            <v>PHP</v>
          </cell>
          <cell r="E139">
            <v>20</v>
          </cell>
          <cell r="F139" t="str">
            <v>PC</v>
          </cell>
          <cell r="G139">
            <v>0</v>
          </cell>
        </row>
        <row r="140">
          <cell r="B140">
            <v>434</v>
          </cell>
          <cell r="C140">
            <v>152741.01999999999</v>
          </cell>
          <cell r="D140" t="str">
            <v>PHP</v>
          </cell>
          <cell r="E140">
            <v>25</v>
          </cell>
          <cell r="F140" t="str">
            <v>PC</v>
          </cell>
          <cell r="G140">
            <v>0</v>
          </cell>
        </row>
        <row r="141">
          <cell r="B141">
            <v>438</v>
          </cell>
          <cell r="C141">
            <v>0</v>
          </cell>
          <cell r="D141" t="str">
            <v>PHP</v>
          </cell>
          <cell r="E141">
            <v>0</v>
          </cell>
          <cell r="F141" t="str">
            <v>PC</v>
          </cell>
          <cell r="G141">
            <v>0</v>
          </cell>
        </row>
        <row r="142">
          <cell r="B142">
            <v>447</v>
          </cell>
          <cell r="C142">
            <v>17040</v>
          </cell>
          <cell r="D142" t="str">
            <v>PHP</v>
          </cell>
          <cell r="E142">
            <v>16</v>
          </cell>
          <cell r="F142" t="str">
            <v>PC</v>
          </cell>
          <cell r="G142">
            <v>0</v>
          </cell>
        </row>
        <row r="143">
          <cell r="B143">
            <v>465</v>
          </cell>
          <cell r="C143">
            <v>20608.939999999999</v>
          </cell>
          <cell r="D143" t="str">
            <v>PHP</v>
          </cell>
          <cell r="E143">
            <v>1</v>
          </cell>
          <cell r="F143" t="str">
            <v>PC</v>
          </cell>
          <cell r="G143">
            <v>0</v>
          </cell>
        </row>
        <row r="144">
          <cell r="B144">
            <v>468</v>
          </cell>
          <cell r="C144">
            <v>8571.44</v>
          </cell>
          <cell r="D144" t="str">
            <v>PHP</v>
          </cell>
          <cell r="E144">
            <v>8</v>
          </cell>
          <cell r="F144" t="str">
            <v>PC</v>
          </cell>
          <cell r="G144">
            <v>0</v>
          </cell>
        </row>
        <row r="145">
          <cell r="B145">
            <v>469</v>
          </cell>
          <cell r="C145">
            <v>33555.15</v>
          </cell>
          <cell r="D145" t="str">
            <v>PHP</v>
          </cell>
          <cell r="E145">
            <v>58</v>
          </cell>
          <cell r="F145" t="str">
            <v>PC</v>
          </cell>
          <cell r="G145">
            <v>0</v>
          </cell>
        </row>
        <row r="146">
          <cell r="B146">
            <v>470</v>
          </cell>
          <cell r="C146">
            <v>31283.200000000001</v>
          </cell>
          <cell r="D146" t="str">
            <v>PHP</v>
          </cell>
          <cell r="E146">
            <v>29</v>
          </cell>
          <cell r="F146" t="str">
            <v>PC</v>
          </cell>
          <cell r="G146">
            <v>0</v>
          </cell>
        </row>
        <row r="147">
          <cell r="B147">
            <v>501</v>
          </cell>
          <cell r="C147">
            <v>0</v>
          </cell>
          <cell r="D147" t="str">
            <v>PHP</v>
          </cell>
          <cell r="E147">
            <v>0</v>
          </cell>
          <cell r="F147" t="str">
            <v>PC</v>
          </cell>
          <cell r="G147">
            <v>0</v>
          </cell>
        </row>
        <row r="148">
          <cell r="B148">
            <v>503</v>
          </cell>
          <cell r="C148">
            <v>987.78</v>
          </cell>
          <cell r="D148" t="str">
            <v>PHP</v>
          </cell>
          <cell r="E148">
            <v>6</v>
          </cell>
          <cell r="F148" t="str">
            <v>PC</v>
          </cell>
          <cell r="G148">
            <v>0</v>
          </cell>
        </row>
        <row r="149">
          <cell r="B149">
            <v>506</v>
          </cell>
          <cell r="C149">
            <v>0</v>
          </cell>
          <cell r="D149" t="str">
            <v>PHP</v>
          </cell>
          <cell r="E149">
            <v>0</v>
          </cell>
          <cell r="F149" t="str">
            <v>PC</v>
          </cell>
          <cell r="G149">
            <v>0</v>
          </cell>
        </row>
        <row r="150">
          <cell r="B150">
            <v>515</v>
          </cell>
          <cell r="C150">
            <v>141756.07999999999</v>
          </cell>
          <cell r="D150" t="str">
            <v>PHP</v>
          </cell>
          <cell r="E150">
            <v>36</v>
          </cell>
          <cell r="F150" t="str">
            <v>PC</v>
          </cell>
          <cell r="G150">
            <v>0</v>
          </cell>
        </row>
        <row r="151">
          <cell r="B151">
            <v>522</v>
          </cell>
          <cell r="C151">
            <v>1734.2</v>
          </cell>
          <cell r="D151" t="str">
            <v>PHP</v>
          </cell>
          <cell r="E151">
            <v>2</v>
          </cell>
          <cell r="F151" t="str">
            <v>PC</v>
          </cell>
          <cell r="G151">
            <v>0</v>
          </cell>
        </row>
        <row r="152">
          <cell r="B152">
            <v>526</v>
          </cell>
          <cell r="C152">
            <v>1721.32</v>
          </cell>
          <cell r="D152" t="str">
            <v>PHP</v>
          </cell>
          <cell r="E152">
            <v>2</v>
          </cell>
          <cell r="F152" t="str">
            <v>ASY</v>
          </cell>
          <cell r="G152">
            <v>0</v>
          </cell>
        </row>
        <row r="153">
          <cell r="B153">
            <v>532</v>
          </cell>
          <cell r="C153">
            <v>216011.8</v>
          </cell>
          <cell r="D153" t="str">
            <v>PHP</v>
          </cell>
          <cell r="E153">
            <v>5</v>
          </cell>
          <cell r="F153" t="str">
            <v>ASY</v>
          </cell>
          <cell r="G153">
            <v>0</v>
          </cell>
        </row>
        <row r="154">
          <cell r="B154">
            <v>534</v>
          </cell>
          <cell r="C154">
            <v>5301.32</v>
          </cell>
          <cell r="D154" t="str">
            <v>PHP</v>
          </cell>
          <cell r="E154">
            <v>20</v>
          </cell>
          <cell r="F154" t="str">
            <v>PC</v>
          </cell>
          <cell r="G154">
            <v>0</v>
          </cell>
        </row>
        <row r="155">
          <cell r="B155">
            <v>565</v>
          </cell>
          <cell r="C155">
            <v>452512.54</v>
          </cell>
          <cell r="D155" t="str">
            <v>PHP</v>
          </cell>
          <cell r="E155">
            <v>1</v>
          </cell>
          <cell r="F155" t="str">
            <v>PC</v>
          </cell>
          <cell r="G155">
            <v>0</v>
          </cell>
        </row>
        <row r="156">
          <cell r="B156">
            <v>566</v>
          </cell>
          <cell r="C156">
            <v>405085.6</v>
          </cell>
          <cell r="D156" t="str">
            <v>PHP</v>
          </cell>
          <cell r="E156">
            <v>3</v>
          </cell>
          <cell r="F156" t="str">
            <v>ASY</v>
          </cell>
          <cell r="G156">
            <v>0</v>
          </cell>
        </row>
        <row r="157">
          <cell r="B157">
            <v>567</v>
          </cell>
          <cell r="C157">
            <v>46840.08</v>
          </cell>
          <cell r="D157" t="str">
            <v>PHP</v>
          </cell>
          <cell r="E157">
            <v>8</v>
          </cell>
          <cell r="F157" t="str">
            <v>PC</v>
          </cell>
          <cell r="G157">
            <v>0</v>
          </cell>
        </row>
        <row r="158">
          <cell r="B158">
            <v>573</v>
          </cell>
          <cell r="C158">
            <v>7953.58</v>
          </cell>
          <cell r="D158" t="str">
            <v>PHP</v>
          </cell>
          <cell r="E158">
            <v>1</v>
          </cell>
          <cell r="F158" t="str">
            <v>PC</v>
          </cell>
          <cell r="G158">
            <v>0</v>
          </cell>
        </row>
        <row r="159">
          <cell r="B159">
            <v>574</v>
          </cell>
          <cell r="C159">
            <v>49393.63</v>
          </cell>
          <cell r="D159" t="str">
            <v>PHP</v>
          </cell>
          <cell r="E159">
            <v>5</v>
          </cell>
          <cell r="F159" t="str">
            <v>BOX</v>
          </cell>
          <cell r="G159">
            <v>0</v>
          </cell>
        </row>
        <row r="160">
          <cell r="B160">
            <v>576</v>
          </cell>
          <cell r="C160">
            <v>0</v>
          </cell>
          <cell r="D160" t="str">
            <v>PHP</v>
          </cell>
          <cell r="E160">
            <v>0</v>
          </cell>
          <cell r="F160" t="str">
            <v>PC</v>
          </cell>
          <cell r="G160">
            <v>0</v>
          </cell>
        </row>
        <row r="161">
          <cell r="B161">
            <v>577</v>
          </cell>
          <cell r="C161">
            <v>144950</v>
          </cell>
          <cell r="D161" t="str">
            <v>PHP</v>
          </cell>
          <cell r="E161">
            <v>1</v>
          </cell>
          <cell r="F161" t="str">
            <v>PC</v>
          </cell>
          <cell r="G161">
            <v>0</v>
          </cell>
        </row>
        <row r="162">
          <cell r="B162">
            <v>590</v>
          </cell>
          <cell r="C162">
            <v>28655.200000000001</v>
          </cell>
          <cell r="D162" t="str">
            <v>PHP</v>
          </cell>
          <cell r="E162">
            <v>4</v>
          </cell>
          <cell r="F162" t="str">
            <v>PC</v>
          </cell>
          <cell r="G162">
            <v>0</v>
          </cell>
        </row>
        <row r="163">
          <cell r="B163">
            <v>596</v>
          </cell>
          <cell r="C163">
            <v>5407.02</v>
          </cell>
          <cell r="D163" t="str">
            <v>PHP</v>
          </cell>
          <cell r="E163">
            <v>102</v>
          </cell>
          <cell r="F163" t="str">
            <v>SET</v>
          </cell>
          <cell r="G163">
            <v>0</v>
          </cell>
        </row>
        <row r="164">
          <cell r="B164">
            <v>602</v>
          </cell>
          <cell r="C164">
            <v>3055.58</v>
          </cell>
          <cell r="D164" t="str">
            <v>PHP</v>
          </cell>
          <cell r="E164">
            <v>1</v>
          </cell>
          <cell r="F164" t="str">
            <v>SET</v>
          </cell>
          <cell r="G164">
            <v>0</v>
          </cell>
        </row>
        <row r="165">
          <cell r="B165">
            <v>603</v>
          </cell>
          <cell r="C165">
            <v>58124.3</v>
          </cell>
          <cell r="D165" t="str">
            <v>PHP</v>
          </cell>
          <cell r="E165">
            <v>4</v>
          </cell>
          <cell r="F165" t="str">
            <v>SET</v>
          </cell>
          <cell r="G165">
            <v>0</v>
          </cell>
        </row>
        <row r="166">
          <cell r="B166">
            <v>604</v>
          </cell>
          <cell r="C166">
            <v>70234.53</v>
          </cell>
          <cell r="D166" t="str">
            <v>PHP</v>
          </cell>
          <cell r="E166">
            <v>5</v>
          </cell>
          <cell r="F166" t="str">
            <v>SET</v>
          </cell>
          <cell r="G166">
            <v>0</v>
          </cell>
        </row>
        <row r="167">
          <cell r="B167">
            <v>605</v>
          </cell>
          <cell r="C167">
            <v>81389.600000000006</v>
          </cell>
          <cell r="D167" t="str">
            <v>PHP</v>
          </cell>
          <cell r="E167">
            <v>10</v>
          </cell>
          <cell r="F167" t="str">
            <v>PC</v>
          </cell>
          <cell r="G167">
            <v>0</v>
          </cell>
        </row>
        <row r="168">
          <cell r="B168">
            <v>615</v>
          </cell>
          <cell r="C168">
            <v>58638.04</v>
          </cell>
          <cell r="D168" t="str">
            <v>PHP</v>
          </cell>
          <cell r="E168">
            <v>4</v>
          </cell>
          <cell r="F168" t="str">
            <v>SET</v>
          </cell>
          <cell r="G168">
            <v>0</v>
          </cell>
        </row>
        <row r="169">
          <cell r="B169">
            <v>616</v>
          </cell>
          <cell r="C169">
            <v>11094.98</v>
          </cell>
          <cell r="D169" t="str">
            <v>PHP</v>
          </cell>
          <cell r="E169">
            <v>10</v>
          </cell>
          <cell r="F169" t="str">
            <v>SET</v>
          </cell>
          <cell r="G169">
            <v>0</v>
          </cell>
        </row>
        <row r="170">
          <cell r="B170">
            <v>617</v>
          </cell>
          <cell r="C170">
            <v>108702</v>
          </cell>
          <cell r="D170" t="str">
            <v>PHP</v>
          </cell>
          <cell r="E170">
            <v>3</v>
          </cell>
          <cell r="F170" t="str">
            <v>SET</v>
          </cell>
          <cell r="G170">
            <v>0</v>
          </cell>
        </row>
        <row r="171">
          <cell r="B171">
            <v>619</v>
          </cell>
          <cell r="C171">
            <v>146675.5</v>
          </cell>
          <cell r="D171" t="str">
            <v>PHP</v>
          </cell>
          <cell r="E171">
            <v>4</v>
          </cell>
          <cell r="F171" t="str">
            <v>PC</v>
          </cell>
          <cell r="G171">
            <v>0</v>
          </cell>
        </row>
        <row r="172">
          <cell r="B172">
            <v>620</v>
          </cell>
          <cell r="C172">
            <v>17600</v>
          </cell>
          <cell r="D172" t="str">
            <v>PHP</v>
          </cell>
          <cell r="E172">
            <v>4</v>
          </cell>
          <cell r="F172" t="str">
            <v>SET</v>
          </cell>
          <cell r="G172">
            <v>0</v>
          </cell>
        </row>
        <row r="173">
          <cell r="B173">
            <v>621</v>
          </cell>
          <cell r="C173">
            <v>119784.53</v>
          </cell>
          <cell r="D173" t="str">
            <v>PHP</v>
          </cell>
          <cell r="E173">
            <v>7</v>
          </cell>
          <cell r="F173" t="str">
            <v>PC</v>
          </cell>
          <cell r="G173">
            <v>0</v>
          </cell>
        </row>
        <row r="174">
          <cell r="B174">
            <v>622</v>
          </cell>
          <cell r="C174">
            <v>6748.11</v>
          </cell>
          <cell r="D174" t="str">
            <v>PHP</v>
          </cell>
          <cell r="E174">
            <v>1</v>
          </cell>
          <cell r="F174" t="str">
            <v>PC</v>
          </cell>
          <cell r="G174">
            <v>0</v>
          </cell>
        </row>
        <row r="175">
          <cell r="B175">
            <v>623</v>
          </cell>
          <cell r="C175">
            <v>1437.63</v>
          </cell>
          <cell r="D175" t="str">
            <v>PHP</v>
          </cell>
          <cell r="E175">
            <v>4</v>
          </cell>
          <cell r="F175" t="str">
            <v>SET</v>
          </cell>
          <cell r="G175">
            <v>0</v>
          </cell>
        </row>
        <row r="176">
          <cell r="B176">
            <v>624</v>
          </cell>
          <cell r="C176">
            <v>28483.54</v>
          </cell>
          <cell r="D176" t="str">
            <v>PHP</v>
          </cell>
          <cell r="E176">
            <v>6</v>
          </cell>
          <cell r="F176" t="str">
            <v>SET</v>
          </cell>
          <cell r="G176">
            <v>0</v>
          </cell>
        </row>
        <row r="177">
          <cell r="B177">
            <v>625</v>
          </cell>
          <cell r="C177">
            <v>0</v>
          </cell>
          <cell r="D177" t="str">
            <v>PHP</v>
          </cell>
          <cell r="E177">
            <v>0</v>
          </cell>
          <cell r="F177" t="str">
            <v>PC</v>
          </cell>
          <cell r="G177">
            <v>0</v>
          </cell>
        </row>
        <row r="178">
          <cell r="B178">
            <v>627</v>
          </cell>
          <cell r="C178">
            <v>148065.28</v>
          </cell>
          <cell r="D178" t="str">
            <v>PHP</v>
          </cell>
          <cell r="E178">
            <v>4</v>
          </cell>
          <cell r="F178" t="str">
            <v>PC</v>
          </cell>
          <cell r="G178">
            <v>0</v>
          </cell>
        </row>
        <row r="179">
          <cell r="B179">
            <v>628</v>
          </cell>
          <cell r="C179">
            <v>8509.31</v>
          </cell>
          <cell r="D179" t="str">
            <v>PHP</v>
          </cell>
          <cell r="E179">
            <v>4</v>
          </cell>
          <cell r="F179" t="str">
            <v>KIT</v>
          </cell>
          <cell r="G179">
            <v>0</v>
          </cell>
        </row>
        <row r="180">
          <cell r="B180">
            <v>630</v>
          </cell>
          <cell r="C180">
            <v>0</v>
          </cell>
          <cell r="D180" t="str">
            <v>PHP</v>
          </cell>
          <cell r="E180">
            <v>0</v>
          </cell>
          <cell r="F180" t="str">
            <v>SET</v>
          </cell>
          <cell r="G180">
            <v>0</v>
          </cell>
        </row>
        <row r="181">
          <cell r="B181">
            <v>631</v>
          </cell>
          <cell r="C181">
            <v>15328.24</v>
          </cell>
          <cell r="D181" t="str">
            <v>PHP</v>
          </cell>
          <cell r="E181">
            <v>12</v>
          </cell>
          <cell r="F181" t="str">
            <v>SET</v>
          </cell>
          <cell r="G181">
            <v>0</v>
          </cell>
        </row>
        <row r="182">
          <cell r="B182">
            <v>638</v>
          </cell>
          <cell r="C182">
            <v>0</v>
          </cell>
          <cell r="D182" t="str">
            <v>PHP</v>
          </cell>
          <cell r="E182">
            <v>0</v>
          </cell>
          <cell r="F182" t="str">
            <v>PC</v>
          </cell>
          <cell r="G182">
            <v>0</v>
          </cell>
        </row>
        <row r="183">
          <cell r="B183">
            <v>639</v>
          </cell>
          <cell r="C183">
            <v>2521.98</v>
          </cell>
          <cell r="D183" t="str">
            <v>PHP</v>
          </cell>
          <cell r="E183">
            <v>1</v>
          </cell>
          <cell r="F183" t="str">
            <v>PC</v>
          </cell>
          <cell r="G183">
            <v>0</v>
          </cell>
        </row>
        <row r="184">
          <cell r="B184">
            <v>645</v>
          </cell>
          <cell r="C184">
            <v>494450.56</v>
          </cell>
          <cell r="D184" t="str">
            <v>PHP</v>
          </cell>
          <cell r="E184">
            <v>2</v>
          </cell>
          <cell r="F184" t="str">
            <v>ASY</v>
          </cell>
          <cell r="G184">
            <v>0</v>
          </cell>
        </row>
        <row r="185">
          <cell r="B185">
            <v>646</v>
          </cell>
          <cell r="C185">
            <v>494450.56</v>
          </cell>
          <cell r="D185" t="str">
            <v>PHP</v>
          </cell>
          <cell r="E185">
            <v>2</v>
          </cell>
          <cell r="F185" t="str">
            <v>ASY</v>
          </cell>
          <cell r="G185">
            <v>0</v>
          </cell>
        </row>
        <row r="186">
          <cell r="B186">
            <v>649</v>
          </cell>
          <cell r="C186">
            <v>387861.3</v>
          </cell>
          <cell r="D186" t="str">
            <v>PHP</v>
          </cell>
          <cell r="E186">
            <v>5</v>
          </cell>
          <cell r="F186" t="str">
            <v>PC</v>
          </cell>
          <cell r="G186">
            <v>0</v>
          </cell>
        </row>
        <row r="187">
          <cell r="B187">
            <v>650</v>
          </cell>
          <cell r="C187">
            <v>9676</v>
          </cell>
          <cell r="D187" t="str">
            <v>PHP</v>
          </cell>
          <cell r="E187">
            <v>1</v>
          </cell>
          <cell r="F187" t="str">
            <v>PC</v>
          </cell>
          <cell r="G187">
            <v>0</v>
          </cell>
        </row>
        <row r="188">
          <cell r="B188">
            <v>651</v>
          </cell>
          <cell r="C188">
            <v>131965</v>
          </cell>
          <cell r="D188" t="str">
            <v>PHP</v>
          </cell>
          <cell r="E188">
            <v>2</v>
          </cell>
          <cell r="F188" t="str">
            <v>PC</v>
          </cell>
          <cell r="G188">
            <v>0</v>
          </cell>
        </row>
        <row r="189">
          <cell r="B189">
            <v>652</v>
          </cell>
          <cell r="C189">
            <v>28965.93</v>
          </cell>
          <cell r="D189" t="str">
            <v>PHP</v>
          </cell>
          <cell r="E189">
            <v>16</v>
          </cell>
          <cell r="F189" t="str">
            <v>PC</v>
          </cell>
          <cell r="G189">
            <v>0</v>
          </cell>
        </row>
        <row r="190">
          <cell r="B190">
            <v>656</v>
          </cell>
          <cell r="C190">
            <v>0</v>
          </cell>
          <cell r="D190" t="str">
            <v>PHP</v>
          </cell>
          <cell r="E190">
            <v>0</v>
          </cell>
          <cell r="F190" t="str">
            <v>PC</v>
          </cell>
          <cell r="G190">
            <v>0</v>
          </cell>
        </row>
        <row r="191">
          <cell r="B191">
            <v>657</v>
          </cell>
          <cell r="C191">
            <v>10949</v>
          </cell>
          <cell r="D191" t="str">
            <v>PHP</v>
          </cell>
          <cell r="E191">
            <v>4</v>
          </cell>
          <cell r="F191" t="str">
            <v>PC</v>
          </cell>
          <cell r="G191">
            <v>0</v>
          </cell>
        </row>
        <row r="192">
          <cell r="B192">
            <v>669</v>
          </cell>
          <cell r="C192">
            <v>33162.160000000003</v>
          </cell>
          <cell r="D192" t="str">
            <v>PHP</v>
          </cell>
          <cell r="E192">
            <v>2</v>
          </cell>
          <cell r="F192" t="str">
            <v>PC</v>
          </cell>
          <cell r="G192">
            <v>0</v>
          </cell>
        </row>
        <row r="193">
          <cell r="B193">
            <v>670</v>
          </cell>
          <cell r="C193">
            <v>33162.160000000003</v>
          </cell>
          <cell r="D193" t="str">
            <v>PHP</v>
          </cell>
          <cell r="E193">
            <v>2</v>
          </cell>
          <cell r="F193" t="str">
            <v>ASY</v>
          </cell>
          <cell r="G193">
            <v>0</v>
          </cell>
        </row>
        <row r="194">
          <cell r="B194">
            <v>671</v>
          </cell>
          <cell r="C194">
            <v>33162.160000000003</v>
          </cell>
          <cell r="D194" t="str">
            <v>PHP</v>
          </cell>
          <cell r="E194">
            <v>2</v>
          </cell>
          <cell r="F194" t="str">
            <v>ASY</v>
          </cell>
          <cell r="G194">
            <v>0</v>
          </cell>
        </row>
        <row r="195">
          <cell r="B195">
            <v>673</v>
          </cell>
          <cell r="C195">
            <v>0</v>
          </cell>
          <cell r="D195" t="str">
            <v>PHP</v>
          </cell>
          <cell r="E195">
            <v>0</v>
          </cell>
          <cell r="F195" t="str">
            <v>PC</v>
          </cell>
          <cell r="G195">
            <v>0</v>
          </cell>
        </row>
        <row r="196">
          <cell r="B196">
            <v>675</v>
          </cell>
          <cell r="C196">
            <v>187203.05</v>
          </cell>
          <cell r="D196" t="str">
            <v>PHP</v>
          </cell>
          <cell r="E196">
            <v>1</v>
          </cell>
          <cell r="F196" t="str">
            <v>PC</v>
          </cell>
          <cell r="G196">
            <v>0</v>
          </cell>
        </row>
        <row r="197">
          <cell r="B197">
            <v>676</v>
          </cell>
          <cell r="C197">
            <v>240</v>
          </cell>
          <cell r="D197" t="str">
            <v>PHP</v>
          </cell>
          <cell r="E197">
            <v>2</v>
          </cell>
          <cell r="F197" t="str">
            <v>PC</v>
          </cell>
          <cell r="G197">
            <v>0</v>
          </cell>
        </row>
        <row r="198">
          <cell r="B198">
            <v>680</v>
          </cell>
          <cell r="C198">
            <v>132445.04</v>
          </cell>
          <cell r="D198" t="str">
            <v>PHP</v>
          </cell>
          <cell r="E198">
            <v>28</v>
          </cell>
          <cell r="F198" t="str">
            <v>PC</v>
          </cell>
          <cell r="G198">
            <v>0</v>
          </cell>
        </row>
        <row r="199">
          <cell r="B199">
            <v>685</v>
          </cell>
          <cell r="C199">
            <v>30997.8</v>
          </cell>
          <cell r="D199" t="str">
            <v>PHP</v>
          </cell>
          <cell r="E199">
            <v>3</v>
          </cell>
          <cell r="F199" t="str">
            <v>PC</v>
          </cell>
          <cell r="G199">
            <v>0</v>
          </cell>
        </row>
        <row r="200">
          <cell r="B200">
            <v>686</v>
          </cell>
          <cell r="C200">
            <v>31579.54</v>
          </cell>
          <cell r="D200" t="str">
            <v>PHP</v>
          </cell>
          <cell r="E200">
            <v>4</v>
          </cell>
          <cell r="F200" t="str">
            <v>PC</v>
          </cell>
          <cell r="G200">
            <v>0</v>
          </cell>
        </row>
        <row r="201">
          <cell r="B201">
            <v>688</v>
          </cell>
          <cell r="C201">
            <v>42312.3</v>
          </cell>
          <cell r="D201" t="str">
            <v>PHP</v>
          </cell>
          <cell r="E201">
            <v>8</v>
          </cell>
          <cell r="F201" t="str">
            <v>PC</v>
          </cell>
          <cell r="G201">
            <v>0</v>
          </cell>
        </row>
        <row r="202">
          <cell r="B202">
            <v>689</v>
          </cell>
          <cell r="C202">
            <v>19653.78</v>
          </cell>
          <cell r="D202" t="str">
            <v>PHP</v>
          </cell>
          <cell r="E202">
            <v>12</v>
          </cell>
          <cell r="F202" t="str">
            <v>PC</v>
          </cell>
          <cell r="G202">
            <v>0</v>
          </cell>
        </row>
        <row r="203">
          <cell r="B203">
            <v>690</v>
          </cell>
          <cell r="C203">
            <v>514768</v>
          </cell>
          <cell r="D203" t="str">
            <v>PHP</v>
          </cell>
          <cell r="E203">
            <v>1</v>
          </cell>
          <cell r="F203" t="str">
            <v>PC</v>
          </cell>
          <cell r="G203">
            <v>0</v>
          </cell>
        </row>
        <row r="204">
          <cell r="B204">
            <v>691</v>
          </cell>
          <cell r="C204">
            <v>29856.89</v>
          </cell>
          <cell r="D204" t="str">
            <v>PHP</v>
          </cell>
          <cell r="E204">
            <v>2</v>
          </cell>
          <cell r="F204" t="str">
            <v>PC</v>
          </cell>
          <cell r="G204">
            <v>0</v>
          </cell>
        </row>
        <row r="205">
          <cell r="B205">
            <v>692</v>
          </cell>
          <cell r="C205">
            <v>4768.2</v>
          </cell>
          <cell r="D205" t="str">
            <v>PHP</v>
          </cell>
          <cell r="E205">
            <v>3</v>
          </cell>
          <cell r="F205" t="str">
            <v>PC</v>
          </cell>
          <cell r="G205">
            <v>0</v>
          </cell>
        </row>
        <row r="206">
          <cell r="B206">
            <v>693</v>
          </cell>
          <cell r="C206">
            <v>84122.5</v>
          </cell>
          <cell r="D206" t="str">
            <v>PHP</v>
          </cell>
          <cell r="E206">
            <v>7</v>
          </cell>
          <cell r="F206" t="str">
            <v>PC</v>
          </cell>
          <cell r="G206">
            <v>0</v>
          </cell>
        </row>
        <row r="207">
          <cell r="B207">
            <v>696</v>
          </cell>
          <cell r="C207">
            <v>0</v>
          </cell>
          <cell r="D207" t="str">
            <v>PHP</v>
          </cell>
          <cell r="E207">
            <v>0</v>
          </cell>
          <cell r="F207" t="str">
            <v>PC</v>
          </cell>
          <cell r="G207">
            <v>0</v>
          </cell>
        </row>
        <row r="208">
          <cell r="B208">
            <v>697</v>
          </cell>
          <cell r="C208">
            <v>1550338.06</v>
          </cell>
          <cell r="D208" t="str">
            <v>PHP</v>
          </cell>
          <cell r="E208">
            <v>4</v>
          </cell>
          <cell r="F208" t="str">
            <v>PC</v>
          </cell>
          <cell r="G208">
            <v>0</v>
          </cell>
        </row>
        <row r="209">
          <cell r="B209">
            <v>698</v>
          </cell>
          <cell r="C209">
            <v>0</v>
          </cell>
          <cell r="D209" t="str">
            <v>PHP</v>
          </cell>
          <cell r="E209">
            <v>0</v>
          </cell>
          <cell r="F209" t="str">
            <v>PC</v>
          </cell>
          <cell r="G209">
            <v>0</v>
          </cell>
        </row>
        <row r="210">
          <cell r="B210">
            <v>706</v>
          </cell>
          <cell r="C210">
            <v>288795.7</v>
          </cell>
          <cell r="D210" t="str">
            <v>PHP</v>
          </cell>
          <cell r="E210">
            <v>4</v>
          </cell>
          <cell r="F210" t="str">
            <v>SET</v>
          </cell>
          <cell r="G210">
            <v>0</v>
          </cell>
        </row>
        <row r="211">
          <cell r="B211">
            <v>710</v>
          </cell>
          <cell r="C211">
            <v>0</v>
          </cell>
          <cell r="D211" t="str">
            <v>PHP</v>
          </cell>
          <cell r="E211">
            <v>0</v>
          </cell>
          <cell r="F211" t="str">
            <v>PC</v>
          </cell>
          <cell r="G211">
            <v>0</v>
          </cell>
        </row>
        <row r="212">
          <cell r="B212">
            <v>714</v>
          </cell>
          <cell r="C212">
            <v>330681.19</v>
          </cell>
          <cell r="D212" t="str">
            <v>PHP</v>
          </cell>
          <cell r="E212">
            <v>4</v>
          </cell>
          <cell r="F212" t="str">
            <v>ASY</v>
          </cell>
          <cell r="G212">
            <v>0</v>
          </cell>
        </row>
        <row r="213">
          <cell r="B213">
            <v>728</v>
          </cell>
          <cell r="C213">
            <v>25056</v>
          </cell>
          <cell r="D213" t="str">
            <v>PHP</v>
          </cell>
          <cell r="E213">
            <v>16</v>
          </cell>
          <cell r="F213" t="str">
            <v>PC</v>
          </cell>
          <cell r="G213">
            <v>0</v>
          </cell>
        </row>
        <row r="214">
          <cell r="B214">
            <v>738</v>
          </cell>
          <cell r="C214">
            <v>7937.16</v>
          </cell>
          <cell r="D214" t="str">
            <v>PHP</v>
          </cell>
          <cell r="E214">
            <v>2</v>
          </cell>
          <cell r="F214" t="str">
            <v>PC</v>
          </cell>
          <cell r="G214">
            <v>0</v>
          </cell>
        </row>
        <row r="215">
          <cell r="B215">
            <v>740</v>
          </cell>
          <cell r="C215">
            <v>6913.6</v>
          </cell>
          <cell r="D215" t="str">
            <v>PHP</v>
          </cell>
          <cell r="E215">
            <v>32</v>
          </cell>
          <cell r="F215" t="str">
            <v>PC</v>
          </cell>
          <cell r="G215">
            <v>0</v>
          </cell>
        </row>
        <row r="216">
          <cell r="B216">
            <v>741</v>
          </cell>
          <cell r="C216">
            <v>115</v>
          </cell>
          <cell r="D216" t="str">
            <v>PHP</v>
          </cell>
          <cell r="E216">
            <v>25</v>
          </cell>
          <cell r="F216" t="str">
            <v>PC</v>
          </cell>
          <cell r="G216">
            <v>0</v>
          </cell>
        </row>
        <row r="217">
          <cell r="B217">
            <v>746</v>
          </cell>
          <cell r="C217">
            <v>22987.16</v>
          </cell>
          <cell r="D217" t="str">
            <v>PHP</v>
          </cell>
          <cell r="E217">
            <v>24</v>
          </cell>
          <cell r="F217" t="str">
            <v>PC</v>
          </cell>
          <cell r="G217">
            <v>0</v>
          </cell>
        </row>
        <row r="218">
          <cell r="B218">
            <v>747</v>
          </cell>
          <cell r="C218">
            <v>46875.040000000001</v>
          </cell>
          <cell r="D218" t="str">
            <v>PHP</v>
          </cell>
          <cell r="E218">
            <v>16</v>
          </cell>
          <cell r="F218" t="str">
            <v>PC</v>
          </cell>
          <cell r="G218">
            <v>0</v>
          </cell>
        </row>
        <row r="219">
          <cell r="B219">
            <v>748</v>
          </cell>
          <cell r="C219">
            <v>4536.29</v>
          </cell>
          <cell r="D219" t="str">
            <v>PHP</v>
          </cell>
          <cell r="E219">
            <v>4</v>
          </cell>
          <cell r="F219" t="str">
            <v>PC</v>
          </cell>
          <cell r="G219">
            <v>0</v>
          </cell>
        </row>
        <row r="220">
          <cell r="B220">
            <v>773</v>
          </cell>
          <cell r="C220">
            <v>14295.49</v>
          </cell>
          <cell r="D220" t="str">
            <v>PHP</v>
          </cell>
          <cell r="E220">
            <v>4</v>
          </cell>
          <cell r="F220" t="str">
            <v>ASY</v>
          </cell>
          <cell r="G220">
            <v>0</v>
          </cell>
        </row>
        <row r="221">
          <cell r="B221">
            <v>774</v>
          </cell>
          <cell r="C221">
            <v>2616.48</v>
          </cell>
          <cell r="D221" t="str">
            <v>PHP</v>
          </cell>
          <cell r="E221">
            <v>2</v>
          </cell>
          <cell r="F221" t="str">
            <v>PC</v>
          </cell>
          <cell r="G221">
            <v>0</v>
          </cell>
        </row>
        <row r="222">
          <cell r="B222">
            <v>779</v>
          </cell>
          <cell r="C222">
            <v>5964</v>
          </cell>
          <cell r="D222" t="str">
            <v>PHP</v>
          </cell>
          <cell r="E222">
            <v>4</v>
          </cell>
          <cell r="F222" t="str">
            <v>PC</v>
          </cell>
          <cell r="G222">
            <v>0</v>
          </cell>
        </row>
        <row r="223">
          <cell r="B223">
            <v>780</v>
          </cell>
          <cell r="C223">
            <v>8688</v>
          </cell>
          <cell r="D223" t="str">
            <v>PHP</v>
          </cell>
          <cell r="E223">
            <v>6</v>
          </cell>
          <cell r="F223" t="str">
            <v>PC</v>
          </cell>
          <cell r="G223">
            <v>0</v>
          </cell>
        </row>
        <row r="224">
          <cell r="B224">
            <v>790</v>
          </cell>
          <cell r="C224">
            <v>6</v>
          </cell>
          <cell r="D224" t="str">
            <v>PHP</v>
          </cell>
          <cell r="E224">
            <v>6</v>
          </cell>
          <cell r="F224" t="str">
            <v>PC</v>
          </cell>
          <cell r="G224">
            <v>0</v>
          </cell>
        </row>
        <row r="225">
          <cell r="B225">
            <v>791</v>
          </cell>
          <cell r="C225">
            <v>1688</v>
          </cell>
          <cell r="D225" t="str">
            <v>PHP</v>
          </cell>
          <cell r="E225">
            <v>4</v>
          </cell>
          <cell r="F225" t="str">
            <v>PC</v>
          </cell>
          <cell r="G225">
            <v>0</v>
          </cell>
        </row>
        <row r="226">
          <cell r="B226">
            <v>792</v>
          </cell>
          <cell r="C226">
            <v>0</v>
          </cell>
          <cell r="D226" t="str">
            <v>PHP</v>
          </cell>
          <cell r="E226">
            <v>0</v>
          </cell>
          <cell r="F226" t="str">
            <v>PC</v>
          </cell>
          <cell r="G226">
            <v>0</v>
          </cell>
        </row>
        <row r="227">
          <cell r="B227">
            <v>793</v>
          </cell>
          <cell r="C227">
            <v>5422.65</v>
          </cell>
          <cell r="D227" t="str">
            <v>PHP</v>
          </cell>
          <cell r="E227">
            <v>2</v>
          </cell>
          <cell r="F227" t="str">
            <v>PC</v>
          </cell>
          <cell r="G227">
            <v>0</v>
          </cell>
        </row>
        <row r="228">
          <cell r="B228">
            <v>800</v>
          </cell>
          <cell r="C228">
            <v>6529</v>
          </cell>
          <cell r="D228" t="str">
            <v>PHP</v>
          </cell>
          <cell r="E228">
            <v>10</v>
          </cell>
          <cell r="F228" t="str">
            <v>PC</v>
          </cell>
          <cell r="G228">
            <v>0</v>
          </cell>
        </row>
        <row r="229">
          <cell r="B229">
            <v>801</v>
          </cell>
          <cell r="C229">
            <v>234.6</v>
          </cell>
          <cell r="D229" t="str">
            <v>PHP</v>
          </cell>
          <cell r="E229">
            <v>5</v>
          </cell>
          <cell r="F229" t="str">
            <v>PC</v>
          </cell>
          <cell r="G229">
            <v>0</v>
          </cell>
        </row>
        <row r="230">
          <cell r="B230">
            <v>804</v>
          </cell>
          <cell r="C230">
            <v>0</v>
          </cell>
          <cell r="D230" t="str">
            <v>PHP</v>
          </cell>
          <cell r="E230">
            <v>0</v>
          </cell>
          <cell r="F230" t="str">
            <v>PC</v>
          </cell>
          <cell r="G230">
            <v>0</v>
          </cell>
        </row>
        <row r="231">
          <cell r="B231">
            <v>805</v>
          </cell>
          <cell r="C231">
            <v>0</v>
          </cell>
          <cell r="D231" t="str">
            <v>PHP</v>
          </cell>
          <cell r="E231">
            <v>0</v>
          </cell>
          <cell r="F231" t="str">
            <v>PC</v>
          </cell>
          <cell r="G231">
            <v>0</v>
          </cell>
        </row>
        <row r="232">
          <cell r="B232">
            <v>806</v>
          </cell>
          <cell r="C232">
            <v>1786.06</v>
          </cell>
          <cell r="D232" t="str">
            <v>PHP</v>
          </cell>
          <cell r="E232">
            <v>36</v>
          </cell>
          <cell r="F232" t="str">
            <v>PC</v>
          </cell>
          <cell r="G232">
            <v>0</v>
          </cell>
        </row>
        <row r="233">
          <cell r="B233">
            <v>808</v>
          </cell>
          <cell r="C233">
            <v>3051.2</v>
          </cell>
          <cell r="D233" t="str">
            <v>PHP</v>
          </cell>
          <cell r="E233">
            <v>6</v>
          </cell>
          <cell r="F233" t="str">
            <v>PC</v>
          </cell>
          <cell r="G233">
            <v>0</v>
          </cell>
        </row>
        <row r="234">
          <cell r="B234">
            <v>809</v>
          </cell>
          <cell r="C234">
            <v>1336.82</v>
          </cell>
          <cell r="D234" t="str">
            <v>PHP</v>
          </cell>
          <cell r="E234">
            <v>5</v>
          </cell>
          <cell r="F234" t="str">
            <v>PC</v>
          </cell>
          <cell r="G234">
            <v>0</v>
          </cell>
        </row>
        <row r="235">
          <cell r="B235">
            <v>812</v>
          </cell>
          <cell r="C235">
            <v>3855.36</v>
          </cell>
          <cell r="D235" t="str">
            <v>PHP</v>
          </cell>
          <cell r="E235">
            <v>16</v>
          </cell>
          <cell r="F235" t="str">
            <v>PC</v>
          </cell>
          <cell r="G235">
            <v>0</v>
          </cell>
        </row>
        <row r="236">
          <cell r="B236">
            <v>813</v>
          </cell>
          <cell r="C236">
            <v>503.19</v>
          </cell>
          <cell r="D236" t="str">
            <v>PHP</v>
          </cell>
          <cell r="E236">
            <v>2</v>
          </cell>
          <cell r="F236" t="str">
            <v>PC</v>
          </cell>
          <cell r="G236">
            <v>0</v>
          </cell>
        </row>
        <row r="237">
          <cell r="B237">
            <v>814</v>
          </cell>
          <cell r="C237">
            <v>2079.94</v>
          </cell>
          <cell r="D237" t="str">
            <v>PHP</v>
          </cell>
          <cell r="E237">
            <v>2</v>
          </cell>
          <cell r="F237" t="str">
            <v>PC</v>
          </cell>
          <cell r="G237">
            <v>0</v>
          </cell>
        </row>
        <row r="238">
          <cell r="B238">
            <v>815</v>
          </cell>
          <cell r="C238">
            <v>1762.45</v>
          </cell>
          <cell r="D238" t="str">
            <v>PHP</v>
          </cell>
          <cell r="E238">
            <v>5</v>
          </cell>
          <cell r="F238" t="str">
            <v>PC</v>
          </cell>
          <cell r="G238">
            <v>0</v>
          </cell>
        </row>
        <row r="239">
          <cell r="B239">
            <v>816</v>
          </cell>
          <cell r="C239">
            <v>423.96</v>
          </cell>
          <cell r="D239" t="str">
            <v>PHP</v>
          </cell>
          <cell r="E239">
            <v>3</v>
          </cell>
          <cell r="F239" t="str">
            <v>PC</v>
          </cell>
          <cell r="G239">
            <v>0</v>
          </cell>
        </row>
        <row r="240">
          <cell r="B240">
            <v>818</v>
          </cell>
          <cell r="C240">
            <v>1704</v>
          </cell>
          <cell r="D240" t="str">
            <v>PHP</v>
          </cell>
          <cell r="E240">
            <v>6</v>
          </cell>
          <cell r="F240" t="str">
            <v>PC</v>
          </cell>
          <cell r="G240">
            <v>0</v>
          </cell>
        </row>
        <row r="241">
          <cell r="B241">
            <v>819</v>
          </cell>
          <cell r="C241">
            <v>8021.84</v>
          </cell>
          <cell r="D241" t="str">
            <v>PHP</v>
          </cell>
          <cell r="E241">
            <v>24</v>
          </cell>
          <cell r="F241" t="str">
            <v>PC</v>
          </cell>
          <cell r="G241">
            <v>0</v>
          </cell>
        </row>
        <row r="242">
          <cell r="B242">
            <v>820</v>
          </cell>
          <cell r="C242">
            <v>0</v>
          </cell>
          <cell r="D242" t="str">
            <v>PHP</v>
          </cell>
          <cell r="E242">
            <v>0</v>
          </cell>
          <cell r="F242" t="str">
            <v>PC</v>
          </cell>
          <cell r="G242">
            <v>0</v>
          </cell>
        </row>
        <row r="243">
          <cell r="B243">
            <v>821</v>
          </cell>
          <cell r="C243">
            <v>15375.84</v>
          </cell>
          <cell r="D243" t="str">
            <v>PHP</v>
          </cell>
          <cell r="E243">
            <v>48</v>
          </cell>
          <cell r="F243" t="str">
            <v>PC</v>
          </cell>
          <cell r="G243">
            <v>0</v>
          </cell>
        </row>
        <row r="244">
          <cell r="B244">
            <v>822</v>
          </cell>
          <cell r="C244">
            <v>11437.9</v>
          </cell>
          <cell r="D244" t="str">
            <v>PHP</v>
          </cell>
          <cell r="E244">
            <v>10</v>
          </cell>
          <cell r="F244" t="str">
            <v>PC</v>
          </cell>
          <cell r="G244">
            <v>0</v>
          </cell>
        </row>
        <row r="245">
          <cell r="B245">
            <v>823</v>
          </cell>
          <cell r="C245">
            <v>15599.46</v>
          </cell>
          <cell r="D245" t="str">
            <v>PHP</v>
          </cell>
          <cell r="E245">
            <v>10</v>
          </cell>
          <cell r="F245" t="str">
            <v>PC</v>
          </cell>
          <cell r="G245">
            <v>0</v>
          </cell>
        </row>
        <row r="246">
          <cell r="B246">
            <v>824</v>
          </cell>
          <cell r="C246">
            <v>4190.16</v>
          </cell>
          <cell r="D246" t="str">
            <v>PHP</v>
          </cell>
          <cell r="E246">
            <v>4</v>
          </cell>
          <cell r="F246" t="str">
            <v>PC</v>
          </cell>
          <cell r="G246">
            <v>0</v>
          </cell>
        </row>
        <row r="247">
          <cell r="B247">
            <v>825</v>
          </cell>
          <cell r="C247">
            <v>38455.54</v>
          </cell>
          <cell r="D247" t="str">
            <v>PHP</v>
          </cell>
          <cell r="E247">
            <v>7</v>
          </cell>
          <cell r="F247" t="str">
            <v>PC</v>
          </cell>
          <cell r="G247">
            <v>0</v>
          </cell>
        </row>
        <row r="248">
          <cell r="B248">
            <v>826</v>
          </cell>
          <cell r="C248">
            <v>501.35</v>
          </cell>
          <cell r="D248" t="str">
            <v>PHP</v>
          </cell>
          <cell r="E248">
            <v>11</v>
          </cell>
          <cell r="F248" t="str">
            <v>PC</v>
          </cell>
          <cell r="G248">
            <v>0</v>
          </cell>
        </row>
        <row r="249">
          <cell r="B249">
            <v>827</v>
          </cell>
          <cell r="C249">
            <v>174.16</v>
          </cell>
          <cell r="D249" t="str">
            <v>PHP</v>
          </cell>
          <cell r="E249">
            <v>8</v>
          </cell>
          <cell r="F249" t="str">
            <v>PC</v>
          </cell>
          <cell r="G249">
            <v>0</v>
          </cell>
        </row>
        <row r="250">
          <cell r="B250">
            <v>828</v>
          </cell>
          <cell r="C250">
            <v>2107.27</v>
          </cell>
          <cell r="D250" t="str">
            <v>PHP</v>
          </cell>
          <cell r="E250">
            <v>16</v>
          </cell>
          <cell r="F250" t="str">
            <v>PC</v>
          </cell>
          <cell r="G250">
            <v>0</v>
          </cell>
        </row>
        <row r="251">
          <cell r="B251">
            <v>829</v>
          </cell>
          <cell r="C251">
            <v>1327.7</v>
          </cell>
          <cell r="D251" t="str">
            <v>PHP</v>
          </cell>
          <cell r="E251">
            <v>20</v>
          </cell>
          <cell r="F251" t="str">
            <v>PC</v>
          </cell>
          <cell r="G251">
            <v>0</v>
          </cell>
        </row>
        <row r="252">
          <cell r="B252">
            <v>830</v>
          </cell>
          <cell r="C252">
            <v>33782.31</v>
          </cell>
          <cell r="D252" t="str">
            <v>PHP</v>
          </cell>
          <cell r="E252">
            <v>34</v>
          </cell>
          <cell r="F252" t="str">
            <v>PC</v>
          </cell>
          <cell r="G252">
            <v>0</v>
          </cell>
        </row>
        <row r="253">
          <cell r="B253">
            <v>838</v>
          </cell>
          <cell r="C253">
            <v>277.54000000000002</v>
          </cell>
          <cell r="D253" t="str">
            <v>PHP</v>
          </cell>
          <cell r="E253">
            <v>2</v>
          </cell>
          <cell r="F253" t="str">
            <v>PC</v>
          </cell>
          <cell r="G253">
            <v>0</v>
          </cell>
        </row>
        <row r="254">
          <cell r="B254">
            <v>852</v>
          </cell>
          <cell r="C254">
            <v>953.4</v>
          </cell>
          <cell r="D254" t="str">
            <v>PHP</v>
          </cell>
          <cell r="E254">
            <v>15</v>
          </cell>
          <cell r="F254" t="str">
            <v>PC</v>
          </cell>
          <cell r="G254">
            <v>0</v>
          </cell>
        </row>
        <row r="255">
          <cell r="B255">
            <v>853</v>
          </cell>
          <cell r="C255">
            <v>209.26</v>
          </cell>
          <cell r="D255" t="str">
            <v>PHP</v>
          </cell>
          <cell r="E255">
            <v>2</v>
          </cell>
          <cell r="F255" t="str">
            <v>PC</v>
          </cell>
          <cell r="G255">
            <v>0</v>
          </cell>
        </row>
        <row r="256">
          <cell r="B256">
            <v>854</v>
          </cell>
          <cell r="C256">
            <v>1906.68</v>
          </cell>
          <cell r="D256" t="str">
            <v>PHP</v>
          </cell>
          <cell r="E256">
            <v>12</v>
          </cell>
          <cell r="F256" t="str">
            <v>PC</v>
          </cell>
          <cell r="G256">
            <v>0</v>
          </cell>
        </row>
        <row r="257">
          <cell r="B257">
            <v>856</v>
          </cell>
          <cell r="C257">
            <v>7880.4</v>
          </cell>
          <cell r="D257" t="str">
            <v>PHP</v>
          </cell>
          <cell r="E257">
            <v>24</v>
          </cell>
          <cell r="F257" t="str">
            <v>PC</v>
          </cell>
          <cell r="G257">
            <v>0</v>
          </cell>
        </row>
        <row r="258">
          <cell r="B258">
            <v>864</v>
          </cell>
          <cell r="C258">
            <v>731.28</v>
          </cell>
          <cell r="D258" t="str">
            <v>PHP</v>
          </cell>
          <cell r="E258">
            <v>2</v>
          </cell>
          <cell r="F258" t="str">
            <v>PC</v>
          </cell>
          <cell r="G258">
            <v>0</v>
          </cell>
        </row>
        <row r="259">
          <cell r="B259">
            <v>880</v>
          </cell>
          <cell r="C259">
            <v>0</v>
          </cell>
          <cell r="D259" t="str">
            <v>PHP</v>
          </cell>
          <cell r="E259">
            <v>0</v>
          </cell>
          <cell r="F259" t="str">
            <v>PC</v>
          </cell>
          <cell r="G259">
            <v>0</v>
          </cell>
        </row>
        <row r="260">
          <cell r="B260">
            <v>881</v>
          </cell>
          <cell r="C260">
            <v>8670.32</v>
          </cell>
          <cell r="D260" t="str">
            <v>PHP</v>
          </cell>
          <cell r="E260">
            <v>28</v>
          </cell>
          <cell r="F260" t="str">
            <v>PC</v>
          </cell>
          <cell r="G260">
            <v>0</v>
          </cell>
        </row>
        <row r="261">
          <cell r="B261">
            <v>883</v>
          </cell>
          <cell r="C261">
            <v>2730</v>
          </cell>
          <cell r="D261" t="str">
            <v>PHP</v>
          </cell>
          <cell r="E261">
            <v>2</v>
          </cell>
          <cell r="F261" t="str">
            <v>PC</v>
          </cell>
          <cell r="G261">
            <v>0</v>
          </cell>
        </row>
        <row r="262">
          <cell r="B262">
            <v>885</v>
          </cell>
          <cell r="C262">
            <v>3369.12</v>
          </cell>
          <cell r="D262" t="str">
            <v>PHP</v>
          </cell>
          <cell r="E262">
            <v>4</v>
          </cell>
          <cell r="F262" t="str">
            <v>PC</v>
          </cell>
          <cell r="G262">
            <v>0</v>
          </cell>
        </row>
        <row r="263">
          <cell r="B263">
            <v>886</v>
          </cell>
          <cell r="C263">
            <v>0</v>
          </cell>
          <cell r="D263" t="str">
            <v>PHP</v>
          </cell>
          <cell r="E263">
            <v>0</v>
          </cell>
          <cell r="F263" t="str">
            <v>PC</v>
          </cell>
          <cell r="G263">
            <v>0</v>
          </cell>
        </row>
        <row r="264">
          <cell r="B264">
            <v>901</v>
          </cell>
          <cell r="C264">
            <v>0</v>
          </cell>
          <cell r="D264" t="str">
            <v>PHP</v>
          </cell>
          <cell r="E264">
            <v>0</v>
          </cell>
          <cell r="F264" t="str">
            <v>PC</v>
          </cell>
          <cell r="G264">
            <v>0</v>
          </cell>
        </row>
        <row r="265">
          <cell r="B265">
            <v>907</v>
          </cell>
          <cell r="C265">
            <v>0</v>
          </cell>
          <cell r="D265" t="str">
            <v>PHP</v>
          </cell>
          <cell r="E265">
            <v>0</v>
          </cell>
          <cell r="F265" t="str">
            <v>PC</v>
          </cell>
          <cell r="G265">
            <v>0</v>
          </cell>
        </row>
        <row r="266">
          <cell r="B266">
            <v>908</v>
          </cell>
          <cell r="C266">
            <v>0</v>
          </cell>
          <cell r="D266" t="str">
            <v>PHP</v>
          </cell>
          <cell r="E266">
            <v>0</v>
          </cell>
          <cell r="F266" t="str">
            <v>PC</v>
          </cell>
          <cell r="G266">
            <v>0</v>
          </cell>
        </row>
        <row r="267">
          <cell r="B267">
            <v>909</v>
          </cell>
          <cell r="C267">
            <v>30546.97</v>
          </cell>
          <cell r="D267" t="str">
            <v>PHP</v>
          </cell>
          <cell r="E267">
            <v>7</v>
          </cell>
          <cell r="F267" t="str">
            <v>PC</v>
          </cell>
          <cell r="G267">
            <v>0</v>
          </cell>
        </row>
        <row r="268">
          <cell r="B268">
            <v>911</v>
          </cell>
          <cell r="C268">
            <v>0</v>
          </cell>
          <cell r="D268" t="str">
            <v>PHP</v>
          </cell>
          <cell r="E268">
            <v>0</v>
          </cell>
          <cell r="F268" t="str">
            <v>PC</v>
          </cell>
          <cell r="G268">
            <v>0</v>
          </cell>
        </row>
        <row r="269">
          <cell r="B269">
            <v>931</v>
          </cell>
          <cell r="C269">
            <v>50113.49</v>
          </cell>
          <cell r="D269" t="str">
            <v>PHP</v>
          </cell>
          <cell r="E269">
            <v>22</v>
          </cell>
          <cell r="F269" t="str">
            <v>PC</v>
          </cell>
          <cell r="G269">
            <v>0</v>
          </cell>
        </row>
        <row r="270">
          <cell r="B270">
            <v>932</v>
          </cell>
          <cell r="C270">
            <v>34832.160000000003</v>
          </cell>
          <cell r="D270" t="str">
            <v>PHP</v>
          </cell>
          <cell r="E270">
            <v>6</v>
          </cell>
          <cell r="F270" t="str">
            <v>PC</v>
          </cell>
          <cell r="G270">
            <v>0</v>
          </cell>
        </row>
        <row r="271">
          <cell r="B271">
            <v>933</v>
          </cell>
          <cell r="C271">
            <v>31500.639999999999</v>
          </cell>
          <cell r="D271" t="str">
            <v>PHP</v>
          </cell>
          <cell r="E271">
            <v>6</v>
          </cell>
          <cell r="F271" t="str">
            <v>PC</v>
          </cell>
          <cell r="G271">
            <v>0</v>
          </cell>
        </row>
        <row r="272">
          <cell r="B272">
            <v>934</v>
          </cell>
          <cell r="C272">
            <v>2268.88</v>
          </cell>
          <cell r="D272" t="str">
            <v>PHP</v>
          </cell>
          <cell r="E272">
            <v>2</v>
          </cell>
          <cell r="F272" t="str">
            <v>PC</v>
          </cell>
          <cell r="G272">
            <v>0</v>
          </cell>
        </row>
        <row r="273">
          <cell r="B273">
            <v>935</v>
          </cell>
          <cell r="C273">
            <v>35956.44</v>
          </cell>
          <cell r="D273" t="str">
            <v>PHP</v>
          </cell>
          <cell r="E273">
            <v>48</v>
          </cell>
          <cell r="F273" t="str">
            <v>PC</v>
          </cell>
          <cell r="G273">
            <v>0</v>
          </cell>
        </row>
        <row r="274">
          <cell r="B274">
            <v>936</v>
          </cell>
          <cell r="C274">
            <v>52518.6</v>
          </cell>
          <cell r="D274" t="str">
            <v>PHP</v>
          </cell>
          <cell r="E274">
            <v>29</v>
          </cell>
          <cell r="F274" t="str">
            <v>PC</v>
          </cell>
          <cell r="G274">
            <v>0</v>
          </cell>
        </row>
        <row r="275">
          <cell r="B275">
            <v>937</v>
          </cell>
          <cell r="C275">
            <v>30159</v>
          </cell>
          <cell r="D275" t="str">
            <v>PHP</v>
          </cell>
          <cell r="E275">
            <v>20</v>
          </cell>
          <cell r="F275" t="str">
            <v>PC</v>
          </cell>
          <cell r="G275">
            <v>0</v>
          </cell>
        </row>
        <row r="276">
          <cell r="B276">
            <v>938</v>
          </cell>
          <cell r="C276">
            <v>39569.35</v>
          </cell>
          <cell r="D276" t="str">
            <v>PHP</v>
          </cell>
          <cell r="E276">
            <v>16</v>
          </cell>
          <cell r="F276" t="str">
            <v>PC</v>
          </cell>
          <cell r="G276">
            <v>0</v>
          </cell>
        </row>
        <row r="277">
          <cell r="B277">
            <v>959</v>
          </cell>
          <cell r="C277">
            <v>3648.12</v>
          </cell>
          <cell r="D277" t="str">
            <v>PHP</v>
          </cell>
          <cell r="E277">
            <v>4</v>
          </cell>
          <cell r="F277" t="str">
            <v>PC</v>
          </cell>
          <cell r="G277">
            <v>0</v>
          </cell>
        </row>
        <row r="278">
          <cell r="B278">
            <v>960</v>
          </cell>
          <cell r="C278">
            <v>4343</v>
          </cell>
          <cell r="D278" t="str">
            <v>PHP</v>
          </cell>
          <cell r="E278">
            <v>4</v>
          </cell>
          <cell r="F278" t="str">
            <v>PC</v>
          </cell>
          <cell r="G278">
            <v>0</v>
          </cell>
        </row>
        <row r="279">
          <cell r="B279">
            <v>961</v>
          </cell>
          <cell r="C279">
            <v>3040.12</v>
          </cell>
          <cell r="D279" t="str">
            <v>PHP</v>
          </cell>
          <cell r="E279">
            <v>4</v>
          </cell>
          <cell r="F279" t="str">
            <v>PC</v>
          </cell>
          <cell r="G279">
            <v>0</v>
          </cell>
        </row>
        <row r="280">
          <cell r="B280">
            <v>966</v>
          </cell>
          <cell r="C280">
            <v>1834</v>
          </cell>
          <cell r="D280" t="str">
            <v>PHP</v>
          </cell>
          <cell r="E280">
            <v>1</v>
          </cell>
          <cell r="F280" t="str">
            <v>PC</v>
          </cell>
          <cell r="G280">
            <v>0</v>
          </cell>
        </row>
        <row r="281">
          <cell r="B281">
            <v>973</v>
          </cell>
          <cell r="C281">
            <v>0</v>
          </cell>
          <cell r="D281" t="str">
            <v>PHP</v>
          </cell>
          <cell r="E281">
            <v>0</v>
          </cell>
          <cell r="F281" t="str">
            <v>PC</v>
          </cell>
          <cell r="G281">
            <v>0</v>
          </cell>
        </row>
        <row r="282">
          <cell r="B282">
            <v>978</v>
          </cell>
          <cell r="C282">
            <v>8495.6299999999992</v>
          </cell>
          <cell r="D282" t="str">
            <v>PHP</v>
          </cell>
          <cell r="E282">
            <v>126</v>
          </cell>
          <cell r="F282" t="str">
            <v>PC</v>
          </cell>
          <cell r="G282">
            <v>0</v>
          </cell>
        </row>
        <row r="283">
          <cell r="B283">
            <v>979</v>
          </cell>
          <cell r="C283">
            <v>353.45</v>
          </cell>
          <cell r="D283" t="str">
            <v>PHP</v>
          </cell>
          <cell r="E283">
            <v>5</v>
          </cell>
          <cell r="F283" t="str">
            <v>PC</v>
          </cell>
          <cell r="G283">
            <v>0</v>
          </cell>
        </row>
        <row r="284">
          <cell r="B284">
            <v>980</v>
          </cell>
          <cell r="C284">
            <v>180</v>
          </cell>
          <cell r="D284" t="str">
            <v>PHP</v>
          </cell>
          <cell r="E284">
            <v>16</v>
          </cell>
          <cell r="F284" t="str">
            <v>PC</v>
          </cell>
          <cell r="G284">
            <v>0</v>
          </cell>
        </row>
        <row r="285">
          <cell r="B285">
            <v>981</v>
          </cell>
          <cell r="C285">
            <v>1583.27</v>
          </cell>
          <cell r="D285" t="str">
            <v>PHP</v>
          </cell>
          <cell r="E285">
            <v>19</v>
          </cell>
          <cell r="F285" t="str">
            <v>PC</v>
          </cell>
          <cell r="G285">
            <v>0</v>
          </cell>
        </row>
        <row r="286">
          <cell r="B286">
            <v>982</v>
          </cell>
          <cell r="C286">
            <v>15065.86</v>
          </cell>
          <cell r="D286" t="str">
            <v>PHP</v>
          </cell>
          <cell r="E286">
            <v>2</v>
          </cell>
          <cell r="F286" t="str">
            <v>PC</v>
          </cell>
          <cell r="G286">
            <v>0</v>
          </cell>
        </row>
        <row r="287">
          <cell r="B287">
            <v>983</v>
          </cell>
          <cell r="C287">
            <v>151100</v>
          </cell>
          <cell r="D287" t="str">
            <v>PHP</v>
          </cell>
          <cell r="E287">
            <v>2</v>
          </cell>
          <cell r="F287" t="str">
            <v>PC</v>
          </cell>
          <cell r="G287">
            <v>0</v>
          </cell>
        </row>
        <row r="288">
          <cell r="B288">
            <v>985</v>
          </cell>
          <cell r="C288">
            <v>94430.07</v>
          </cell>
          <cell r="D288" t="str">
            <v>PHP</v>
          </cell>
          <cell r="E288">
            <v>1</v>
          </cell>
          <cell r="F288" t="str">
            <v>PC</v>
          </cell>
          <cell r="G288">
            <v>0</v>
          </cell>
        </row>
        <row r="289">
          <cell r="B289">
            <v>986</v>
          </cell>
          <cell r="C289">
            <v>0</v>
          </cell>
          <cell r="D289" t="str">
            <v>PHP</v>
          </cell>
          <cell r="E289">
            <v>0</v>
          </cell>
          <cell r="F289" t="str">
            <v>PC</v>
          </cell>
          <cell r="G289">
            <v>0</v>
          </cell>
        </row>
        <row r="290">
          <cell r="B290">
            <v>987</v>
          </cell>
          <cell r="C290">
            <v>6100.12</v>
          </cell>
          <cell r="D290" t="str">
            <v>PHP</v>
          </cell>
          <cell r="E290">
            <v>2</v>
          </cell>
          <cell r="F290" t="str">
            <v>PC</v>
          </cell>
          <cell r="G290">
            <v>0</v>
          </cell>
        </row>
        <row r="291">
          <cell r="B291">
            <v>988</v>
          </cell>
          <cell r="C291">
            <v>17250</v>
          </cell>
          <cell r="D291" t="str">
            <v>PHP</v>
          </cell>
          <cell r="E291">
            <v>3</v>
          </cell>
          <cell r="F291" t="str">
            <v>PC</v>
          </cell>
          <cell r="G291">
            <v>0</v>
          </cell>
        </row>
        <row r="292">
          <cell r="B292">
            <v>989</v>
          </cell>
          <cell r="C292">
            <v>566.98</v>
          </cell>
          <cell r="D292" t="str">
            <v>PHP</v>
          </cell>
          <cell r="E292">
            <v>1</v>
          </cell>
          <cell r="F292" t="str">
            <v>PC</v>
          </cell>
          <cell r="G292">
            <v>0</v>
          </cell>
        </row>
        <row r="293">
          <cell r="B293">
            <v>990</v>
          </cell>
          <cell r="C293">
            <v>0</v>
          </cell>
          <cell r="D293" t="str">
            <v>PHP</v>
          </cell>
          <cell r="E293">
            <v>0</v>
          </cell>
          <cell r="F293" t="str">
            <v>PC</v>
          </cell>
          <cell r="G293">
            <v>0</v>
          </cell>
        </row>
        <row r="294">
          <cell r="B294">
            <v>991</v>
          </cell>
          <cell r="C294">
            <v>183149.76</v>
          </cell>
          <cell r="D294" t="str">
            <v>PHP</v>
          </cell>
          <cell r="E294">
            <v>96</v>
          </cell>
          <cell r="F294" t="str">
            <v>PC</v>
          </cell>
          <cell r="G294">
            <v>0</v>
          </cell>
        </row>
        <row r="295">
          <cell r="B295">
            <v>992</v>
          </cell>
          <cell r="C295">
            <v>4608.6499999999996</v>
          </cell>
          <cell r="D295" t="str">
            <v>PHP</v>
          </cell>
          <cell r="E295">
            <v>1</v>
          </cell>
          <cell r="F295" t="str">
            <v>PC</v>
          </cell>
          <cell r="G295">
            <v>0</v>
          </cell>
        </row>
        <row r="296">
          <cell r="B296">
            <v>993</v>
          </cell>
          <cell r="C296">
            <v>0</v>
          </cell>
          <cell r="D296" t="str">
            <v>PHP</v>
          </cell>
          <cell r="E296">
            <v>0</v>
          </cell>
          <cell r="F296" t="str">
            <v>PC</v>
          </cell>
          <cell r="G296">
            <v>0</v>
          </cell>
        </row>
        <row r="297">
          <cell r="B297">
            <v>994</v>
          </cell>
          <cell r="C297">
            <v>0</v>
          </cell>
          <cell r="D297" t="str">
            <v>PHP</v>
          </cell>
          <cell r="E297">
            <v>0</v>
          </cell>
          <cell r="F297" t="str">
            <v>PC</v>
          </cell>
          <cell r="G297">
            <v>0</v>
          </cell>
        </row>
        <row r="298">
          <cell r="B298">
            <v>995</v>
          </cell>
          <cell r="C298">
            <v>572.54999999999995</v>
          </cell>
          <cell r="D298" t="str">
            <v>PHP</v>
          </cell>
          <cell r="E298">
            <v>33</v>
          </cell>
          <cell r="F298" t="str">
            <v>PC</v>
          </cell>
          <cell r="G298">
            <v>0</v>
          </cell>
        </row>
        <row r="299">
          <cell r="B299">
            <v>996</v>
          </cell>
          <cell r="C299">
            <v>1655.28</v>
          </cell>
          <cell r="D299" t="str">
            <v>PHP</v>
          </cell>
          <cell r="E299">
            <v>33</v>
          </cell>
          <cell r="F299" t="str">
            <v>PC</v>
          </cell>
          <cell r="G299">
            <v>0</v>
          </cell>
        </row>
        <row r="300">
          <cell r="B300">
            <v>998</v>
          </cell>
          <cell r="C300">
            <v>30030.98</v>
          </cell>
          <cell r="D300" t="str">
            <v>PHP</v>
          </cell>
          <cell r="E300">
            <v>3</v>
          </cell>
          <cell r="F300" t="str">
            <v>PC</v>
          </cell>
          <cell r="G300">
            <v>0</v>
          </cell>
        </row>
        <row r="301">
          <cell r="B301">
            <v>1002</v>
          </cell>
          <cell r="C301">
            <v>0</v>
          </cell>
          <cell r="D301" t="str">
            <v>PHP</v>
          </cell>
          <cell r="E301">
            <v>0</v>
          </cell>
          <cell r="F301" t="str">
            <v>PC</v>
          </cell>
          <cell r="G301">
            <v>0</v>
          </cell>
        </row>
        <row r="302">
          <cell r="B302">
            <v>1004</v>
          </cell>
          <cell r="C302">
            <v>754</v>
          </cell>
          <cell r="D302" t="str">
            <v>PHP</v>
          </cell>
          <cell r="E302">
            <v>1</v>
          </cell>
          <cell r="F302" t="str">
            <v>PC</v>
          </cell>
          <cell r="G302">
            <v>0</v>
          </cell>
        </row>
        <row r="303">
          <cell r="B303">
            <v>1009</v>
          </cell>
          <cell r="C303">
            <v>15992.89</v>
          </cell>
          <cell r="D303" t="str">
            <v>PHP</v>
          </cell>
          <cell r="E303">
            <v>12</v>
          </cell>
          <cell r="F303" t="str">
            <v>PC</v>
          </cell>
          <cell r="G303">
            <v>0</v>
          </cell>
        </row>
        <row r="304">
          <cell r="B304">
            <v>1010</v>
          </cell>
          <cell r="C304">
            <v>224.86</v>
          </cell>
          <cell r="D304" t="str">
            <v>PHP</v>
          </cell>
          <cell r="E304">
            <v>14</v>
          </cell>
          <cell r="F304" t="str">
            <v>PC</v>
          </cell>
          <cell r="G304">
            <v>0</v>
          </cell>
        </row>
        <row r="305">
          <cell r="B305">
            <v>1012</v>
          </cell>
          <cell r="C305">
            <v>0</v>
          </cell>
          <cell r="D305" t="str">
            <v>PHP</v>
          </cell>
          <cell r="E305">
            <v>0</v>
          </cell>
          <cell r="F305" t="str">
            <v>PC</v>
          </cell>
          <cell r="G305">
            <v>0</v>
          </cell>
        </row>
        <row r="306">
          <cell r="B306">
            <v>1013</v>
          </cell>
          <cell r="C306">
            <v>0</v>
          </cell>
          <cell r="D306" t="str">
            <v>PHP</v>
          </cell>
          <cell r="E306">
            <v>0</v>
          </cell>
          <cell r="F306" t="str">
            <v>PC</v>
          </cell>
          <cell r="G306">
            <v>0</v>
          </cell>
        </row>
        <row r="307">
          <cell r="B307">
            <v>1014</v>
          </cell>
          <cell r="C307">
            <v>179586.2</v>
          </cell>
          <cell r="D307" t="str">
            <v>PHP</v>
          </cell>
          <cell r="E307">
            <v>2</v>
          </cell>
          <cell r="F307" t="str">
            <v>PC</v>
          </cell>
          <cell r="G307">
            <v>0</v>
          </cell>
        </row>
        <row r="308">
          <cell r="B308">
            <v>1015</v>
          </cell>
          <cell r="C308">
            <v>3968.81</v>
          </cell>
          <cell r="D308" t="str">
            <v>PHP</v>
          </cell>
          <cell r="E308">
            <v>1</v>
          </cell>
          <cell r="F308" t="str">
            <v>PC</v>
          </cell>
          <cell r="G308">
            <v>0</v>
          </cell>
        </row>
        <row r="309">
          <cell r="B309">
            <v>1023</v>
          </cell>
          <cell r="C309">
            <v>969597.2</v>
          </cell>
          <cell r="D309" t="str">
            <v>PHP</v>
          </cell>
          <cell r="E309">
            <v>2</v>
          </cell>
          <cell r="F309" t="str">
            <v>PC</v>
          </cell>
          <cell r="G309">
            <v>0</v>
          </cell>
        </row>
        <row r="310">
          <cell r="B310">
            <v>1026</v>
          </cell>
          <cell r="C310">
            <v>93480.46</v>
          </cell>
          <cell r="D310" t="str">
            <v>PHP</v>
          </cell>
          <cell r="E310">
            <v>4</v>
          </cell>
          <cell r="F310" t="str">
            <v>PC</v>
          </cell>
          <cell r="G310">
            <v>0</v>
          </cell>
        </row>
        <row r="311">
          <cell r="B311">
            <v>1029</v>
          </cell>
          <cell r="C311">
            <v>55981.77</v>
          </cell>
          <cell r="D311" t="str">
            <v>PHP</v>
          </cell>
          <cell r="E311">
            <v>8</v>
          </cell>
          <cell r="F311" t="str">
            <v>PC</v>
          </cell>
          <cell r="G311">
            <v>0</v>
          </cell>
        </row>
        <row r="312">
          <cell r="B312">
            <v>1035</v>
          </cell>
          <cell r="C312">
            <v>28328.17</v>
          </cell>
          <cell r="D312" t="str">
            <v>PHP</v>
          </cell>
          <cell r="E312">
            <v>9</v>
          </cell>
          <cell r="F312" t="str">
            <v>PC</v>
          </cell>
          <cell r="G312">
            <v>0</v>
          </cell>
        </row>
        <row r="313">
          <cell r="B313">
            <v>1036</v>
          </cell>
          <cell r="C313">
            <v>3964.28</v>
          </cell>
          <cell r="D313" t="str">
            <v>PHP</v>
          </cell>
          <cell r="E313">
            <v>1</v>
          </cell>
          <cell r="F313" t="str">
            <v>PC</v>
          </cell>
          <cell r="G313">
            <v>0</v>
          </cell>
        </row>
        <row r="314">
          <cell r="B314">
            <v>1037</v>
          </cell>
          <cell r="C314">
            <v>2485.77</v>
          </cell>
          <cell r="D314" t="str">
            <v>PHP</v>
          </cell>
          <cell r="E314">
            <v>1</v>
          </cell>
          <cell r="F314" t="str">
            <v>PC</v>
          </cell>
          <cell r="G314">
            <v>0</v>
          </cell>
        </row>
        <row r="315">
          <cell r="B315">
            <v>1039</v>
          </cell>
          <cell r="C315">
            <v>381323.8</v>
          </cell>
          <cell r="D315" t="str">
            <v>PHP</v>
          </cell>
          <cell r="E315">
            <v>2</v>
          </cell>
          <cell r="F315" t="str">
            <v>PC</v>
          </cell>
          <cell r="G315">
            <v>0</v>
          </cell>
        </row>
        <row r="316">
          <cell r="B316">
            <v>1040</v>
          </cell>
          <cell r="C316">
            <v>382619.43</v>
          </cell>
          <cell r="D316" t="str">
            <v>PHP</v>
          </cell>
          <cell r="E316">
            <v>15</v>
          </cell>
          <cell r="F316" t="str">
            <v>PC</v>
          </cell>
          <cell r="G316">
            <v>0</v>
          </cell>
        </row>
        <row r="317">
          <cell r="B317">
            <v>1041</v>
          </cell>
          <cell r="C317">
            <v>31913.68</v>
          </cell>
          <cell r="D317" t="str">
            <v>PHP</v>
          </cell>
          <cell r="E317">
            <v>8</v>
          </cell>
          <cell r="F317" t="str">
            <v>PC</v>
          </cell>
          <cell r="G317">
            <v>0</v>
          </cell>
        </row>
        <row r="318">
          <cell r="B318">
            <v>1042</v>
          </cell>
          <cell r="C318">
            <v>90189.05</v>
          </cell>
          <cell r="D318" t="str">
            <v>PHP</v>
          </cell>
          <cell r="E318">
            <v>7</v>
          </cell>
          <cell r="F318" t="str">
            <v>PC</v>
          </cell>
          <cell r="G318">
            <v>0</v>
          </cell>
        </row>
        <row r="319">
          <cell r="B319">
            <v>1050</v>
          </cell>
          <cell r="C319">
            <v>11380.43</v>
          </cell>
          <cell r="D319" t="str">
            <v>PHP</v>
          </cell>
          <cell r="E319">
            <v>19</v>
          </cell>
          <cell r="F319" t="str">
            <v>PC</v>
          </cell>
          <cell r="G319">
            <v>0</v>
          </cell>
        </row>
        <row r="320">
          <cell r="B320">
            <v>1051</v>
          </cell>
          <cell r="C320">
            <v>37302.36</v>
          </cell>
          <cell r="D320" t="str">
            <v>PHP</v>
          </cell>
          <cell r="E320">
            <v>41</v>
          </cell>
          <cell r="F320" t="str">
            <v>PC</v>
          </cell>
          <cell r="G320">
            <v>0</v>
          </cell>
        </row>
        <row r="321">
          <cell r="B321">
            <v>1055</v>
          </cell>
          <cell r="C321">
            <v>1748.79</v>
          </cell>
          <cell r="D321" t="str">
            <v>PHP</v>
          </cell>
          <cell r="E321">
            <v>3</v>
          </cell>
          <cell r="F321" t="str">
            <v>PC</v>
          </cell>
          <cell r="G321">
            <v>0</v>
          </cell>
        </row>
        <row r="322">
          <cell r="B322">
            <v>1056</v>
          </cell>
          <cell r="C322">
            <v>2853.93</v>
          </cell>
          <cell r="D322" t="str">
            <v>PHP</v>
          </cell>
          <cell r="E322">
            <v>3</v>
          </cell>
          <cell r="F322" t="str">
            <v>PC</v>
          </cell>
          <cell r="G322">
            <v>0</v>
          </cell>
        </row>
        <row r="323">
          <cell r="B323">
            <v>1057</v>
          </cell>
          <cell r="C323">
            <v>4027.86</v>
          </cell>
          <cell r="D323" t="str">
            <v>PHP</v>
          </cell>
          <cell r="E323">
            <v>3</v>
          </cell>
          <cell r="F323" t="str">
            <v>PC</v>
          </cell>
          <cell r="G323">
            <v>0</v>
          </cell>
        </row>
        <row r="324">
          <cell r="B324">
            <v>1063</v>
          </cell>
          <cell r="C324">
            <v>0</v>
          </cell>
          <cell r="D324" t="str">
            <v>PHP</v>
          </cell>
          <cell r="E324">
            <v>0</v>
          </cell>
          <cell r="F324" t="str">
            <v>PC</v>
          </cell>
          <cell r="G324">
            <v>0</v>
          </cell>
        </row>
        <row r="325">
          <cell r="B325">
            <v>1067</v>
          </cell>
          <cell r="C325">
            <v>39639.93</v>
          </cell>
          <cell r="D325" t="str">
            <v>PHP</v>
          </cell>
          <cell r="E325">
            <v>8</v>
          </cell>
          <cell r="F325" t="str">
            <v>PC</v>
          </cell>
          <cell r="G325">
            <v>0</v>
          </cell>
        </row>
        <row r="326">
          <cell r="B326">
            <v>1068</v>
          </cell>
          <cell r="C326">
            <v>21433.82</v>
          </cell>
          <cell r="D326" t="str">
            <v>PHP</v>
          </cell>
          <cell r="E326">
            <v>1</v>
          </cell>
          <cell r="F326" t="str">
            <v>PC</v>
          </cell>
          <cell r="G326">
            <v>0</v>
          </cell>
        </row>
        <row r="327">
          <cell r="B327">
            <v>1069</v>
          </cell>
          <cell r="C327">
            <v>53536.9</v>
          </cell>
          <cell r="D327" t="str">
            <v>PHP</v>
          </cell>
          <cell r="E327">
            <v>2</v>
          </cell>
          <cell r="F327" t="str">
            <v>PC</v>
          </cell>
          <cell r="G327">
            <v>0</v>
          </cell>
        </row>
        <row r="328">
          <cell r="B328">
            <v>1072</v>
          </cell>
          <cell r="C328">
            <v>0</v>
          </cell>
          <cell r="D328" t="str">
            <v>PHP</v>
          </cell>
          <cell r="E328">
            <v>0</v>
          </cell>
          <cell r="F328" t="str">
            <v>PC</v>
          </cell>
          <cell r="G328">
            <v>0</v>
          </cell>
        </row>
        <row r="329">
          <cell r="B329">
            <v>1073</v>
          </cell>
          <cell r="C329">
            <v>218730.68</v>
          </cell>
          <cell r="D329" t="str">
            <v>PHP</v>
          </cell>
          <cell r="E329">
            <v>9</v>
          </cell>
          <cell r="F329" t="str">
            <v>PC</v>
          </cell>
          <cell r="G329">
            <v>0</v>
          </cell>
        </row>
        <row r="330">
          <cell r="B330">
            <v>1074</v>
          </cell>
          <cell r="C330">
            <v>44710.559999999998</v>
          </cell>
          <cell r="D330" t="str">
            <v>PHP</v>
          </cell>
          <cell r="E330">
            <v>1</v>
          </cell>
          <cell r="F330" t="str">
            <v>PC</v>
          </cell>
          <cell r="G330">
            <v>0</v>
          </cell>
        </row>
        <row r="331">
          <cell r="B331">
            <v>1080</v>
          </cell>
          <cell r="C331">
            <v>0</v>
          </cell>
          <cell r="D331" t="str">
            <v>PHP</v>
          </cell>
          <cell r="E331">
            <v>0</v>
          </cell>
          <cell r="F331" t="str">
            <v>ASY</v>
          </cell>
          <cell r="G331">
            <v>0</v>
          </cell>
        </row>
        <row r="332">
          <cell r="B332">
            <v>1087</v>
          </cell>
          <cell r="C332">
            <v>926635.8</v>
          </cell>
          <cell r="D332" t="str">
            <v>PHP</v>
          </cell>
          <cell r="E332">
            <v>2</v>
          </cell>
          <cell r="F332" t="str">
            <v>PC</v>
          </cell>
          <cell r="G332">
            <v>0</v>
          </cell>
        </row>
        <row r="333">
          <cell r="B333">
            <v>1089</v>
          </cell>
          <cell r="C333">
            <v>64483.72</v>
          </cell>
          <cell r="D333" t="str">
            <v>PHP</v>
          </cell>
          <cell r="E333">
            <v>1</v>
          </cell>
          <cell r="F333" t="str">
            <v>PC</v>
          </cell>
          <cell r="G333">
            <v>0</v>
          </cell>
        </row>
        <row r="334">
          <cell r="B334">
            <v>1091</v>
          </cell>
          <cell r="C334">
            <v>26267.67</v>
          </cell>
          <cell r="D334" t="str">
            <v>PHP</v>
          </cell>
          <cell r="E334">
            <v>3</v>
          </cell>
          <cell r="F334" t="str">
            <v>PC</v>
          </cell>
          <cell r="G334">
            <v>0</v>
          </cell>
        </row>
        <row r="335">
          <cell r="B335">
            <v>1099</v>
          </cell>
          <cell r="C335">
            <v>0</v>
          </cell>
          <cell r="D335" t="str">
            <v>PHP</v>
          </cell>
          <cell r="E335">
            <v>0</v>
          </cell>
          <cell r="F335" t="str">
            <v>PC</v>
          </cell>
          <cell r="G335">
            <v>0</v>
          </cell>
        </row>
        <row r="336">
          <cell r="B336">
            <v>1101</v>
          </cell>
          <cell r="C336">
            <v>76765.62</v>
          </cell>
          <cell r="D336" t="str">
            <v>PHP</v>
          </cell>
          <cell r="E336">
            <v>73</v>
          </cell>
          <cell r="F336" t="str">
            <v>PC</v>
          </cell>
          <cell r="G336">
            <v>0</v>
          </cell>
        </row>
        <row r="337">
          <cell r="B337">
            <v>1102</v>
          </cell>
          <cell r="C337">
            <v>0</v>
          </cell>
          <cell r="D337" t="str">
            <v>PHP</v>
          </cell>
          <cell r="E337">
            <v>0</v>
          </cell>
          <cell r="F337" t="str">
            <v>PC</v>
          </cell>
          <cell r="G337">
            <v>0</v>
          </cell>
        </row>
        <row r="338">
          <cell r="B338">
            <v>1109</v>
          </cell>
          <cell r="C338">
            <v>48902.48</v>
          </cell>
          <cell r="D338" t="str">
            <v>PHP</v>
          </cell>
          <cell r="E338">
            <v>4</v>
          </cell>
          <cell r="F338" t="str">
            <v>PC</v>
          </cell>
          <cell r="G338">
            <v>0</v>
          </cell>
        </row>
        <row r="339">
          <cell r="B339">
            <v>1114</v>
          </cell>
          <cell r="C339">
            <v>4401.6000000000004</v>
          </cell>
          <cell r="D339" t="str">
            <v>PHP</v>
          </cell>
          <cell r="E339">
            <v>6</v>
          </cell>
          <cell r="F339" t="str">
            <v>PC</v>
          </cell>
          <cell r="G339">
            <v>0</v>
          </cell>
        </row>
        <row r="340">
          <cell r="B340">
            <v>1122</v>
          </cell>
          <cell r="C340">
            <v>367.2</v>
          </cell>
          <cell r="D340" t="str">
            <v>PHP</v>
          </cell>
          <cell r="E340">
            <v>6</v>
          </cell>
          <cell r="F340" t="str">
            <v>PC</v>
          </cell>
          <cell r="G340">
            <v>0</v>
          </cell>
        </row>
        <row r="341">
          <cell r="B341">
            <v>1125</v>
          </cell>
          <cell r="C341">
            <v>0</v>
          </cell>
          <cell r="D341" t="str">
            <v>PHP</v>
          </cell>
          <cell r="E341">
            <v>0</v>
          </cell>
          <cell r="F341" t="str">
            <v>PC</v>
          </cell>
          <cell r="G341">
            <v>0</v>
          </cell>
        </row>
        <row r="342">
          <cell r="B342">
            <v>1127</v>
          </cell>
          <cell r="C342">
            <v>0</v>
          </cell>
          <cell r="D342" t="str">
            <v>PHP</v>
          </cell>
          <cell r="E342">
            <v>0</v>
          </cell>
          <cell r="F342" t="str">
            <v>PC</v>
          </cell>
          <cell r="G342">
            <v>0</v>
          </cell>
        </row>
        <row r="343">
          <cell r="B343">
            <v>1128</v>
          </cell>
          <cell r="C343">
            <v>0</v>
          </cell>
          <cell r="D343" t="str">
            <v>PHP</v>
          </cell>
          <cell r="E343">
            <v>0</v>
          </cell>
          <cell r="F343" t="str">
            <v>PC</v>
          </cell>
          <cell r="G343">
            <v>0</v>
          </cell>
        </row>
        <row r="344">
          <cell r="B344">
            <v>1135</v>
          </cell>
          <cell r="C344">
            <v>0</v>
          </cell>
          <cell r="D344" t="str">
            <v>PHP</v>
          </cell>
          <cell r="E344">
            <v>0</v>
          </cell>
          <cell r="F344" t="str">
            <v>PC</v>
          </cell>
          <cell r="G344">
            <v>0</v>
          </cell>
        </row>
        <row r="345">
          <cell r="B345">
            <v>1136</v>
          </cell>
          <cell r="C345">
            <v>0</v>
          </cell>
          <cell r="D345" t="str">
            <v>PHP</v>
          </cell>
          <cell r="E345">
            <v>0</v>
          </cell>
          <cell r="F345" t="str">
            <v>PC</v>
          </cell>
          <cell r="G345">
            <v>0</v>
          </cell>
        </row>
        <row r="346">
          <cell r="B346">
            <v>1139</v>
          </cell>
          <cell r="C346">
            <v>1825.65</v>
          </cell>
          <cell r="D346" t="str">
            <v>PHP</v>
          </cell>
          <cell r="E346">
            <v>3</v>
          </cell>
          <cell r="F346" t="str">
            <v>PC</v>
          </cell>
          <cell r="G346">
            <v>0</v>
          </cell>
        </row>
        <row r="347">
          <cell r="B347">
            <v>1140</v>
          </cell>
          <cell r="C347">
            <v>7516.4</v>
          </cell>
          <cell r="D347" t="str">
            <v>PHP</v>
          </cell>
          <cell r="E347">
            <v>2</v>
          </cell>
          <cell r="F347" t="str">
            <v>PC</v>
          </cell>
          <cell r="G347">
            <v>0</v>
          </cell>
        </row>
        <row r="348">
          <cell r="B348">
            <v>1141</v>
          </cell>
          <cell r="C348">
            <v>1693.4</v>
          </cell>
          <cell r="D348" t="str">
            <v>PHP</v>
          </cell>
          <cell r="E348">
            <v>5</v>
          </cell>
          <cell r="F348" t="str">
            <v>PC</v>
          </cell>
          <cell r="G348">
            <v>0</v>
          </cell>
        </row>
        <row r="349">
          <cell r="B349">
            <v>1142</v>
          </cell>
          <cell r="C349">
            <v>1048.8</v>
          </cell>
          <cell r="D349" t="str">
            <v>PHP</v>
          </cell>
          <cell r="E349">
            <v>3</v>
          </cell>
          <cell r="F349" t="str">
            <v>PC</v>
          </cell>
          <cell r="G349">
            <v>0</v>
          </cell>
        </row>
        <row r="350">
          <cell r="B350">
            <v>1143</v>
          </cell>
          <cell r="C350">
            <v>4970.8999999999996</v>
          </cell>
          <cell r="D350" t="str">
            <v>PHP</v>
          </cell>
          <cell r="E350">
            <v>5</v>
          </cell>
          <cell r="F350" t="str">
            <v>PC</v>
          </cell>
          <cell r="G350">
            <v>0</v>
          </cell>
        </row>
        <row r="351">
          <cell r="B351">
            <v>1144</v>
          </cell>
          <cell r="C351">
            <v>1966.52</v>
          </cell>
          <cell r="D351" t="str">
            <v>PHP</v>
          </cell>
          <cell r="E351">
            <v>4</v>
          </cell>
          <cell r="F351" t="str">
            <v>PC</v>
          </cell>
          <cell r="G351">
            <v>0</v>
          </cell>
        </row>
        <row r="352">
          <cell r="B352">
            <v>1145</v>
          </cell>
          <cell r="C352">
            <v>891.48</v>
          </cell>
          <cell r="D352" t="str">
            <v>PHP</v>
          </cell>
          <cell r="E352">
            <v>4</v>
          </cell>
          <cell r="F352" t="str">
            <v>PC</v>
          </cell>
          <cell r="G352">
            <v>0</v>
          </cell>
        </row>
        <row r="353">
          <cell r="B353">
            <v>1146</v>
          </cell>
          <cell r="C353">
            <v>1671.54</v>
          </cell>
          <cell r="D353" t="str">
            <v>PHP</v>
          </cell>
          <cell r="E353">
            <v>3</v>
          </cell>
          <cell r="F353" t="str">
            <v>PC</v>
          </cell>
          <cell r="G353">
            <v>0</v>
          </cell>
        </row>
        <row r="354">
          <cell r="B354">
            <v>1147</v>
          </cell>
          <cell r="C354">
            <v>1966.52</v>
          </cell>
          <cell r="D354" t="str">
            <v>PHP</v>
          </cell>
          <cell r="E354">
            <v>4</v>
          </cell>
          <cell r="F354" t="str">
            <v>PC</v>
          </cell>
          <cell r="G354">
            <v>0</v>
          </cell>
        </row>
        <row r="355">
          <cell r="B355">
            <v>1148</v>
          </cell>
          <cell r="C355">
            <v>0</v>
          </cell>
          <cell r="D355" t="str">
            <v>PHP</v>
          </cell>
          <cell r="E355">
            <v>0</v>
          </cell>
          <cell r="F355" t="str">
            <v>PC</v>
          </cell>
          <cell r="G355">
            <v>0</v>
          </cell>
        </row>
        <row r="356">
          <cell r="B356">
            <v>1149</v>
          </cell>
          <cell r="C356">
            <v>10060.200000000001</v>
          </cell>
          <cell r="D356" t="str">
            <v>PHP</v>
          </cell>
          <cell r="E356">
            <v>3</v>
          </cell>
          <cell r="F356" t="str">
            <v>PC</v>
          </cell>
          <cell r="G356">
            <v>0</v>
          </cell>
        </row>
        <row r="357">
          <cell r="B357">
            <v>1150</v>
          </cell>
          <cell r="C357">
            <v>102.36</v>
          </cell>
          <cell r="D357" t="str">
            <v>PHP</v>
          </cell>
          <cell r="E357">
            <v>10</v>
          </cell>
          <cell r="F357" t="str">
            <v>PC</v>
          </cell>
          <cell r="G357">
            <v>0</v>
          </cell>
        </row>
        <row r="358">
          <cell r="B358">
            <v>1156</v>
          </cell>
          <cell r="C358">
            <v>1126.08</v>
          </cell>
          <cell r="D358" t="str">
            <v>PHP</v>
          </cell>
          <cell r="E358">
            <v>48</v>
          </cell>
          <cell r="F358" t="str">
            <v>PC</v>
          </cell>
          <cell r="G358">
            <v>0</v>
          </cell>
        </row>
        <row r="359">
          <cell r="B359">
            <v>1161</v>
          </cell>
          <cell r="C359">
            <v>434.24</v>
          </cell>
          <cell r="D359" t="str">
            <v>PHP</v>
          </cell>
          <cell r="E359">
            <v>2</v>
          </cell>
          <cell r="F359" t="str">
            <v>PC</v>
          </cell>
          <cell r="G359">
            <v>0</v>
          </cell>
        </row>
        <row r="360">
          <cell r="B360">
            <v>1171</v>
          </cell>
          <cell r="C360">
            <v>0</v>
          </cell>
          <cell r="D360" t="str">
            <v>PHP</v>
          </cell>
          <cell r="E360">
            <v>0</v>
          </cell>
          <cell r="F360" t="str">
            <v>PC</v>
          </cell>
          <cell r="G360">
            <v>0</v>
          </cell>
        </row>
        <row r="361">
          <cell r="B361">
            <v>1175</v>
          </cell>
          <cell r="C361">
            <v>0</v>
          </cell>
          <cell r="D361" t="str">
            <v>PHP</v>
          </cell>
          <cell r="E361">
            <v>0</v>
          </cell>
          <cell r="F361" t="str">
            <v>PC</v>
          </cell>
          <cell r="G361">
            <v>0</v>
          </cell>
        </row>
        <row r="362">
          <cell r="B362">
            <v>1176</v>
          </cell>
          <cell r="C362">
            <v>0</v>
          </cell>
          <cell r="D362" t="str">
            <v>PHP</v>
          </cell>
          <cell r="E362">
            <v>0</v>
          </cell>
          <cell r="F362" t="str">
            <v>PC</v>
          </cell>
          <cell r="G362">
            <v>0</v>
          </cell>
        </row>
        <row r="363">
          <cell r="B363">
            <v>1179</v>
          </cell>
          <cell r="C363">
            <v>16220</v>
          </cell>
          <cell r="D363" t="str">
            <v>PHP</v>
          </cell>
          <cell r="E363">
            <v>2</v>
          </cell>
          <cell r="F363" t="str">
            <v>PC</v>
          </cell>
          <cell r="G363">
            <v>0</v>
          </cell>
        </row>
        <row r="364">
          <cell r="B364">
            <v>1180</v>
          </cell>
          <cell r="C364">
            <v>4374</v>
          </cell>
          <cell r="D364" t="str">
            <v>PHP</v>
          </cell>
          <cell r="E364">
            <v>2</v>
          </cell>
          <cell r="F364" t="str">
            <v>PC</v>
          </cell>
          <cell r="G364">
            <v>0</v>
          </cell>
        </row>
        <row r="365">
          <cell r="B365">
            <v>1181</v>
          </cell>
          <cell r="C365">
            <v>2310</v>
          </cell>
          <cell r="D365" t="str">
            <v>PHP</v>
          </cell>
          <cell r="E365">
            <v>1</v>
          </cell>
          <cell r="F365" t="str">
            <v>PC</v>
          </cell>
          <cell r="G365">
            <v>0</v>
          </cell>
        </row>
        <row r="366">
          <cell r="B366">
            <v>1182</v>
          </cell>
          <cell r="C366">
            <v>2100</v>
          </cell>
          <cell r="D366" t="str">
            <v>PHP</v>
          </cell>
          <cell r="E366">
            <v>1</v>
          </cell>
          <cell r="F366" t="str">
            <v>PC</v>
          </cell>
          <cell r="G366">
            <v>0</v>
          </cell>
        </row>
        <row r="367">
          <cell r="B367">
            <v>1183</v>
          </cell>
          <cell r="C367">
            <v>16705.87</v>
          </cell>
          <cell r="D367" t="str">
            <v>PHP</v>
          </cell>
          <cell r="E367">
            <v>8</v>
          </cell>
          <cell r="F367" t="str">
            <v>PC</v>
          </cell>
          <cell r="G367">
            <v>0</v>
          </cell>
        </row>
        <row r="368">
          <cell r="B368">
            <v>1184</v>
          </cell>
          <cell r="C368">
            <v>847.99</v>
          </cell>
          <cell r="D368" t="str">
            <v>PHP</v>
          </cell>
          <cell r="E368">
            <v>2</v>
          </cell>
          <cell r="F368" t="str">
            <v>PC</v>
          </cell>
          <cell r="G368">
            <v>0</v>
          </cell>
        </row>
        <row r="369">
          <cell r="B369">
            <v>1191</v>
          </cell>
          <cell r="C369">
            <v>4210.26</v>
          </cell>
          <cell r="D369" t="str">
            <v>PHP</v>
          </cell>
          <cell r="E369">
            <v>22</v>
          </cell>
          <cell r="F369" t="str">
            <v>PC</v>
          </cell>
          <cell r="G369">
            <v>0</v>
          </cell>
        </row>
        <row r="370">
          <cell r="B370">
            <v>1192</v>
          </cell>
          <cell r="C370">
            <v>10913.64</v>
          </cell>
          <cell r="D370" t="str">
            <v>PHP</v>
          </cell>
          <cell r="E370">
            <v>2</v>
          </cell>
          <cell r="F370" t="str">
            <v>PC</v>
          </cell>
          <cell r="G370">
            <v>0</v>
          </cell>
        </row>
        <row r="371">
          <cell r="B371">
            <v>1194</v>
          </cell>
          <cell r="C371">
            <v>0</v>
          </cell>
          <cell r="D371" t="str">
            <v>PHP</v>
          </cell>
          <cell r="E371">
            <v>0</v>
          </cell>
          <cell r="F371" t="str">
            <v>PC</v>
          </cell>
          <cell r="G371">
            <v>0</v>
          </cell>
        </row>
        <row r="372">
          <cell r="B372">
            <v>1212</v>
          </cell>
          <cell r="C372">
            <v>0</v>
          </cell>
          <cell r="D372" t="str">
            <v>PHP</v>
          </cell>
          <cell r="E372">
            <v>0</v>
          </cell>
          <cell r="F372" t="str">
            <v>PC</v>
          </cell>
          <cell r="G372">
            <v>0</v>
          </cell>
        </row>
        <row r="373">
          <cell r="B373">
            <v>1213</v>
          </cell>
          <cell r="C373">
            <v>0</v>
          </cell>
          <cell r="D373" t="str">
            <v>PHP</v>
          </cell>
          <cell r="E373">
            <v>0</v>
          </cell>
          <cell r="F373" t="str">
            <v>PC</v>
          </cell>
          <cell r="G373">
            <v>0</v>
          </cell>
        </row>
        <row r="374">
          <cell r="B374">
            <v>1228</v>
          </cell>
          <cell r="C374">
            <v>0</v>
          </cell>
          <cell r="D374" t="str">
            <v>PHP</v>
          </cell>
          <cell r="E374">
            <v>0</v>
          </cell>
          <cell r="F374" t="str">
            <v>PC</v>
          </cell>
          <cell r="G374">
            <v>0</v>
          </cell>
        </row>
        <row r="375">
          <cell r="B375">
            <v>1229</v>
          </cell>
          <cell r="C375">
            <v>0</v>
          </cell>
          <cell r="D375" t="str">
            <v>PHP</v>
          </cell>
          <cell r="E375">
            <v>0</v>
          </cell>
          <cell r="F375" t="str">
            <v>PC</v>
          </cell>
          <cell r="G375">
            <v>0</v>
          </cell>
        </row>
        <row r="376">
          <cell r="B376">
            <v>1237</v>
          </cell>
          <cell r="C376">
            <v>19040.16</v>
          </cell>
          <cell r="D376" t="str">
            <v>PHP</v>
          </cell>
          <cell r="E376">
            <v>4</v>
          </cell>
          <cell r="F376" t="str">
            <v>PC</v>
          </cell>
          <cell r="G376">
            <v>0</v>
          </cell>
        </row>
        <row r="377">
          <cell r="B377">
            <v>1238</v>
          </cell>
          <cell r="C377">
            <v>41839.65</v>
          </cell>
          <cell r="D377" t="str">
            <v>PHP</v>
          </cell>
          <cell r="E377">
            <v>1</v>
          </cell>
          <cell r="F377" t="str">
            <v>PC</v>
          </cell>
          <cell r="G377">
            <v>0</v>
          </cell>
        </row>
        <row r="378">
          <cell r="B378">
            <v>1239</v>
          </cell>
          <cell r="C378">
            <v>38400.769999999997</v>
          </cell>
          <cell r="D378" t="str">
            <v>PHP</v>
          </cell>
          <cell r="E378">
            <v>1</v>
          </cell>
          <cell r="F378" t="str">
            <v>PC</v>
          </cell>
          <cell r="G378">
            <v>0</v>
          </cell>
        </row>
        <row r="379">
          <cell r="B379">
            <v>1240</v>
          </cell>
          <cell r="C379">
            <v>19621.759999999998</v>
          </cell>
          <cell r="D379" t="str">
            <v>PHP</v>
          </cell>
          <cell r="E379">
            <v>32</v>
          </cell>
          <cell r="F379" t="str">
            <v>PC</v>
          </cell>
          <cell r="G379">
            <v>0</v>
          </cell>
        </row>
        <row r="380">
          <cell r="B380">
            <v>1241</v>
          </cell>
          <cell r="C380">
            <v>975.74</v>
          </cell>
          <cell r="D380" t="str">
            <v>PHP</v>
          </cell>
          <cell r="E380">
            <v>2</v>
          </cell>
          <cell r="F380" t="str">
            <v>PC</v>
          </cell>
          <cell r="G380">
            <v>0</v>
          </cell>
        </row>
        <row r="381">
          <cell r="B381">
            <v>1242</v>
          </cell>
          <cell r="C381">
            <v>48693.21</v>
          </cell>
          <cell r="D381" t="str">
            <v>PHP</v>
          </cell>
          <cell r="E381">
            <v>3</v>
          </cell>
          <cell r="F381" t="str">
            <v>PC</v>
          </cell>
          <cell r="G381">
            <v>0</v>
          </cell>
        </row>
        <row r="382">
          <cell r="B382">
            <v>1243</v>
          </cell>
          <cell r="C382">
            <v>2945.04</v>
          </cell>
          <cell r="D382" t="str">
            <v>PHP</v>
          </cell>
          <cell r="E382">
            <v>3</v>
          </cell>
          <cell r="F382" t="str">
            <v>PC</v>
          </cell>
          <cell r="G382">
            <v>0</v>
          </cell>
        </row>
        <row r="383">
          <cell r="B383">
            <v>1244</v>
          </cell>
          <cell r="C383">
            <v>866.19</v>
          </cell>
          <cell r="D383" t="str">
            <v>PHP</v>
          </cell>
          <cell r="E383">
            <v>3</v>
          </cell>
          <cell r="F383" t="str">
            <v>PC</v>
          </cell>
          <cell r="G383">
            <v>0</v>
          </cell>
        </row>
        <row r="384">
          <cell r="B384">
            <v>1245</v>
          </cell>
          <cell r="C384">
            <v>1102.3599999999999</v>
          </cell>
          <cell r="D384" t="str">
            <v>PHP</v>
          </cell>
          <cell r="E384">
            <v>4</v>
          </cell>
          <cell r="F384" t="str">
            <v>PC</v>
          </cell>
          <cell r="G384">
            <v>0</v>
          </cell>
        </row>
        <row r="385">
          <cell r="B385">
            <v>1246</v>
          </cell>
          <cell r="C385">
            <v>6508.83</v>
          </cell>
          <cell r="D385" t="str">
            <v>PHP</v>
          </cell>
          <cell r="E385">
            <v>20</v>
          </cell>
          <cell r="F385" t="str">
            <v>PC</v>
          </cell>
          <cell r="G385">
            <v>0</v>
          </cell>
        </row>
        <row r="386">
          <cell r="B386">
            <v>1247</v>
          </cell>
          <cell r="C386">
            <v>2774.95</v>
          </cell>
          <cell r="D386" t="str">
            <v>PHP</v>
          </cell>
          <cell r="E386">
            <v>2</v>
          </cell>
          <cell r="F386" t="str">
            <v>PC</v>
          </cell>
          <cell r="G386">
            <v>0</v>
          </cell>
        </row>
        <row r="387">
          <cell r="B387">
            <v>1248</v>
          </cell>
          <cell r="C387">
            <v>28924.69</v>
          </cell>
          <cell r="D387" t="str">
            <v>PHP</v>
          </cell>
          <cell r="E387">
            <v>6</v>
          </cell>
          <cell r="F387" t="str">
            <v>PC</v>
          </cell>
          <cell r="G387">
            <v>0</v>
          </cell>
        </row>
        <row r="388">
          <cell r="B388">
            <v>1249</v>
          </cell>
          <cell r="C388">
            <v>33952.949999999997</v>
          </cell>
          <cell r="D388" t="str">
            <v>PHP</v>
          </cell>
          <cell r="E388">
            <v>6</v>
          </cell>
          <cell r="F388" t="str">
            <v>PC</v>
          </cell>
          <cell r="G388">
            <v>0</v>
          </cell>
        </row>
        <row r="389">
          <cell r="B389">
            <v>1272</v>
          </cell>
          <cell r="C389">
            <v>0</v>
          </cell>
          <cell r="D389" t="str">
            <v>PHP</v>
          </cell>
          <cell r="E389">
            <v>0</v>
          </cell>
          <cell r="F389" t="str">
            <v>PC</v>
          </cell>
          <cell r="G389">
            <v>0</v>
          </cell>
        </row>
        <row r="390">
          <cell r="B390">
            <v>1276</v>
          </cell>
          <cell r="C390">
            <v>179.13</v>
          </cell>
          <cell r="D390" t="str">
            <v>PHP</v>
          </cell>
          <cell r="E390">
            <v>10</v>
          </cell>
          <cell r="F390" t="str">
            <v>PC</v>
          </cell>
          <cell r="G390">
            <v>0</v>
          </cell>
        </row>
        <row r="391">
          <cell r="B391">
            <v>1282</v>
          </cell>
          <cell r="C391">
            <v>81113.34</v>
          </cell>
          <cell r="D391" t="str">
            <v>PHP</v>
          </cell>
          <cell r="E391">
            <v>20</v>
          </cell>
          <cell r="F391" t="str">
            <v>PC</v>
          </cell>
          <cell r="G391">
            <v>0</v>
          </cell>
        </row>
        <row r="392">
          <cell r="B392">
            <v>1286</v>
          </cell>
          <cell r="C392">
            <v>7745.4</v>
          </cell>
          <cell r="D392" t="str">
            <v>PHP</v>
          </cell>
          <cell r="E392">
            <v>4</v>
          </cell>
          <cell r="F392" t="str">
            <v>PC</v>
          </cell>
          <cell r="G392">
            <v>0</v>
          </cell>
        </row>
        <row r="393">
          <cell r="B393">
            <v>1293</v>
          </cell>
          <cell r="C393">
            <v>5268.03</v>
          </cell>
          <cell r="D393" t="str">
            <v>PHP</v>
          </cell>
          <cell r="E393">
            <v>2</v>
          </cell>
          <cell r="F393" t="str">
            <v>PC</v>
          </cell>
          <cell r="G393">
            <v>0</v>
          </cell>
        </row>
        <row r="394">
          <cell r="B394">
            <v>1294</v>
          </cell>
          <cell r="C394">
            <v>30347.84</v>
          </cell>
          <cell r="D394" t="str">
            <v>PHP</v>
          </cell>
          <cell r="E394">
            <v>10</v>
          </cell>
          <cell r="F394" t="str">
            <v>PC</v>
          </cell>
          <cell r="G394">
            <v>0</v>
          </cell>
        </row>
        <row r="395">
          <cell r="B395">
            <v>1306</v>
          </cell>
          <cell r="C395">
            <v>980.72</v>
          </cell>
          <cell r="D395" t="str">
            <v>PHP</v>
          </cell>
          <cell r="E395">
            <v>2</v>
          </cell>
          <cell r="F395" t="str">
            <v>PC</v>
          </cell>
          <cell r="G395">
            <v>0</v>
          </cell>
        </row>
        <row r="396">
          <cell r="B396">
            <v>1313</v>
          </cell>
          <cell r="C396">
            <v>0</v>
          </cell>
          <cell r="D396" t="str">
            <v>PHP</v>
          </cell>
          <cell r="E396">
            <v>0</v>
          </cell>
          <cell r="F396" t="str">
            <v>PC</v>
          </cell>
          <cell r="G396">
            <v>0</v>
          </cell>
        </row>
        <row r="397">
          <cell r="B397">
            <v>1316</v>
          </cell>
          <cell r="C397">
            <v>0</v>
          </cell>
          <cell r="D397" t="str">
            <v>PHP</v>
          </cell>
          <cell r="E397">
            <v>0</v>
          </cell>
          <cell r="F397" t="str">
            <v>PC</v>
          </cell>
          <cell r="G397">
            <v>0</v>
          </cell>
        </row>
        <row r="398">
          <cell r="B398">
            <v>1317</v>
          </cell>
          <cell r="C398">
            <v>112571.45</v>
          </cell>
          <cell r="D398" t="str">
            <v>PHP</v>
          </cell>
          <cell r="E398">
            <v>6</v>
          </cell>
          <cell r="F398" t="str">
            <v>PC</v>
          </cell>
          <cell r="G398">
            <v>0</v>
          </cell>
        </row>
        <row r="399">
          <cell r="B399">
            <v>1318</v>
          </cell>
          <cell r="C399">
            <v>31637.57</v>
          </cell>
          <cell r="D399" t="str">
            <v>PHP</v>
          </cell>
          <cell r="E399">
            <v>6</v>
          </cell>
          <cell r="F399" t="str">
            <v>PC</v>
          </cell>
          <cell r="G399">
            <v>0</v>
          </cell>
        </row>
        <row r="400">
          <cell r="B400">
            <v>1320</v>
          </cell>
          <cell r="C400">
            <v>0</v>
          </cell>
          <cell r="D400" t="str">
            <v>PHP</v>
          </cell>
          <cell r="E400">
            <v>0</v>
          </cell>
          <cell r="F400" t="str">
            <v>PC</v>
          </cell>
          <cell r="G400">
            <v>0</v>
          </cell>
        </row>
        <row r="401">
          <cell r="B401">
            <v>1322</v>
          </cell>
          <cell r="C401">
            <v>283660.02</v>
          </cell>
          <cell r="D401" t="str">
            <v>PHP</v>
          </cell>
          <cell r="E401">
            <v>11</v>
          </cell>
          <cell r="F401" t="str">
            <v>PC</v>
          </cell>
          <cell r="G401">
            <v>0</v>
          </cell>
        </row>
        <row r="402">
          <cell r="B402">
            <v>1329</v>
          </cell>
          <cell r="C402">
            <v>0</v>
          </cell>
          <cell r="D402" t="str">
            <v>PHP</v>
          </cell>
          <cell r="E402">
            <v>0</v>
          </cell>
          <cell r="F402" t="str">
            <v>PC</v>
          </cell>
          <cell r="G402">
            <v>0</v>
          </cell>
        </row>
        <row r="403">
          <cell r="B403">
            <v>1330</v>
          </cell>
          <cell r="C403">
            <v>0</v>
          </cell>
          <cell r="D403" t="str">
            <v>PHP</v>
          </cell>
          <cell r="E403">
            <v>0</v>
          </cell>
          <cell r="F403" t="str">
            <v>PC</v>
          </cell>
          <cell r="G403">
            <v>0</v>
          </cell>
        </row>
        <row r="404">
          <cell r="B404">
            <v>1332</v>
          </cell>
          <cell r="C404">
            <v>51411.16</v>
          </cell>
          <cell r="D404" t="str">
            <v>PHP</v>
          </cell>
          <cell r="E404">
            <v>12</v>
          </cell>
          <cell r="F404" t="str">
            <v>PC</v>
          </cell>
          <cell r="G404">
            <v>0</v>
          </cell>
        </row>
        <row r="405">
          <cell r="B405">
            <v>1339</v>
          </cell>
          <cell r="C405">
            <v>0</v>
          </cell>
          <cell r="D405" t="str">
            <v>PHP</v>
          </cell>
          <cell r="E405">
            <v>0</v>
          </cell>
          <cell r="F405" t="str">
            <v>PC</v>
          </cell>
          <cell r="G405">
            <v>0</v>
          </cell>
        </row>
        <row r="406">
          <cell r="B406">
            <v>1353</v>
          </cell>
          <cell r="C406">
            <v>929.8</v>
          </cell>
          <cell r="D406" t="str">
            <v>PHP</v>
          </cell>
          <cell r="E406">
            <v>8</v>
          </cell>
          <cell r="F406" t="str">
            <v>PC</v>
          </cell>
          <cell r="G406">
            <v>0</v>
          </cell>
        </row>
        <row r="407">
          <cell r="B407">
            <v>1354</v>
          </cell>
          <cell r="C407">
            <v>1154</v>
          </cell>
          <cell r="D407" t="str">
            <v>PHP</v>
          </cell>
          <cell r="E407">
            <v>1</v>
          </cell>
          <cell r="F407" t="str">
            <v>PC</v>
          </cell>
          <cell r="G407">
            <v>0</v>
          </cell>
        </row>
        <row r="408">
          <cell r="B408">
            <v>1367</v>
          </cell>
          <cell r="C408">
            <v>19296.169999999998</v>
          </cell>
          <cell r="D408" t="str">
            <v>PHP</v>
          </cell>
          <cell r="E408">
            <v>9</v>
          </cell>
          <cell r="F408" t="str">
            <v>PC</v>
          </cell>
          <cell r="G408">
            <v>0</v>
          </cell>
        </row>
        <row r="409">
          <cell r="B409">
            <v>1368</v>
          </cell>
          <cell r="C409">
            <v>7687.22</v>
          </cell>
          <cell r="D409" t="str">
            <v>PHP</v>
          </cell>
          <cell r="E409">
            <v>4</v>
          </cell>
          <cell r="F409" t="str">
            <v>PC</v>
          </cell>
          <cell r="G409">
            <v>0</v>
          </cell>
        </row>
        <row r="410">
          <cell r="B410">
            <v>1369</v>
          </cell>
          <cell r="C410">
            <v>4735.3900000000003</v>
          </cell>
          <cell r="D410" t="str">
            <v>PHP</v>
          </cell>
          <cell r="E410">
            <v>3</v>
          </cell>
          <cell r="F410" t="str">
            <v>PC</v>
          </cell>
          <cell r="G410">
            <v>0</v>
          </cell>
        </row>
        <row r="411">
          <cell r="B411">
            <v>1370</v>
          </cell>
          <cell r="C411">
            <v>26000</v>
          </cell>
          <cell r="D411" t="str">
            <v>PHP</v>
          </cell>
          <cell r="E411">
            <v>10</v>
          </cell>
          <cell r="F411" t="str">
            <v>PC</v>
          </cell>
          <cell r="G411">
            <v>0</v>
          </cell>
        </row>
        <row r="412">
          <cell r="B412">
            <v>1371</v>
          </cell>
          <cell r="C412">
            <v>3926.17</v>
          </cell>
          <cell r="D412" t="str">
            <v>PHP</v>
          </cell>
          <cell r="E412">
            <v>4</v>
          </cell>
          <cell r="F412" t="str">
            <v>PC</v>
          </cell>
          <cell r="G412">
            <v>0</v>
          </cell>
        </row>
        <row r="413">
          <cell r="B413">
            <v>1372</v>
          </cell>
          <cell r="C413">
            <v>11861.61</v>
          </cell>
          <cell r="D413" t="str">
            <v>PHP</v>
          </cell>
          <cell r="E413">
            <v>8</v>
          </cell>
          <cell r="F413" t="str">
            <v>PC</v>
          </cell>
          <cell r="G413">
            <v>0</v>
          </cell>
        </row>
        <row r="414">
          <cell r="B414">
            <v>1373</v>
          </cell>
          <cell r="C414">
            <v>11739.76</v>
          </cell>
          <cell r="D414" t="str">
            <v>PHP</v>
          </cell>
          <cell r="E414">
            <v>2</v>
          </cell>
          <cell r="F414" t="str">
            <v>PC</v>
          </cell>
          <cell r="G414">
            <v>0</v>
          </cell>
        </row>
        <row r="415">
          <cell r="B415">
            <v>1374</v>
          </cell>
          <cell r="C415">
            <v>19235.72</v>
          </cell>
          <cell r="D415" t="str">
            <v>PHP</v>
          </cell>
          <cell r="E415">
            <v>4</v>
          </cell>
          <cell r="F415" t="str">
            <v>PC</v>
          </cell>
          <cell r="G415">
            <v>0</v>
          </cell>
        </row>
        <row r="416">
          <cell r="B416">
            <v>1386</v>
          </cell>
          <cell r="C416">
            <v>0</v>
          </cell>
          <cell r="D416" t="str">
            <v>PHP</v>
          </cell>
          <cell r="E416">
            <v>0</v>
          </cell>
          <cell r="F416" t="str">
            <v>PC</v>
          </cell>
          <cell r="G416">
            <v>0</v>
          </cell>
        </row>
        <row r="417">
          <cell r="B417">
            <v>1387</v>
          </cell>
          <cell r="C417">
            <v>75388.460000000006</v>
          </cell>
          <cell r="D417" t="str">
            <v>PHP</v>
          </cell>
          <cell r="E417">
            <v>6</v>
          </cell>
          <cell r="F417" t="str">
            <v>PC</v>
          </cell>
          <cell r="G417">
            <v>0</v>
          </cell>
        </row>
        <row r="418">
          <cell r="B418">
            <v>1388</v>
          </cell>
          <cell r="C418">
            <v>145000.49</v>
          </cell>
          <cell r="D418" t="str">
            <v>PHP</v>
          </cell>
          <cell r="E418">
            <v>6</v>
          </cell>
          <cell r="F418" t="str">
            <v>PC</v>
          </cell>
          <cell r="G418">
            <v>0</v>
          </cell>
        </row>
        <row r="419">
          <cell r="B419">
            <v>1401</v>
          </cell>
          <cell r="C419">
            <v>28280.7</v>
          </cell>
          <cell r="D419" t="str">
            <v>PHP</v>
          </cell>
          <cell r="E419">
            <v>2</v>
          </cell>
          <cell r="F419" t="str">
            <v>PC</v>
          </cell>
          <cell r="G419">
            <v>0</v>
          </cell>
        </row>
        <row r="420">
          <cell r="B420">
            <v>1402</v>
          </cell>
          <cell r="C420">
            <v>8610</v>
          </cell>
          <cell r="D420" t="str">
            <v>PHP</v>
          </cell>
          <cell r="E420">
            <v>7</v>
          </cell>
          <cell r="F420" t="str">
            <v>PC</v>
          </cell>
          <cell r="G420">
            <v>0</v>
          </cell>
        </row>
        <row r="421">
          <cell r="B421">
            <v>1403</v>
          </cell>
          <cell r="C421">
            <v>0</v>
          </cell>
          <cell r="D421" t="str">
            <v>PHP</v>
          </cell>
          <cell r="E421">
            <v>0</v>
          </cell>
          <cell r="F421" t="str">
            <v>PC</v>
          </cell>
          <cell r="G421">
            <v>0</v>
          </cell>
        </row>
        <row r="422">
          <cell r="B422">
            <v>1404</v>
          </cell>
          <cell r="C422">
            <v>0</v>
          </cell>
          <cell r="D422" t="str">
            <v>PHP</v>
          </cell>
          <cell r="E422">
            <v>0</v>
          </cell>
          <cell r="F422" t="str">
            <v>PC</v>
          </cell>
          <cell r="G422">
            <v>0</v>
          </cell>
        </row>
        <row r="423">
          <cell r="B423">
            <v>1405</v>
          </cell>
          <cell r="C423">
            <v>0</v>
          </cell>
          <cell r="D423" t="str">
            <v>PHP</v>
          </cell>
          <cell r="E423">
            <v>0</v>
          </cell>
          <cell r="F423" t="str">
            <v>PC</v>
          </cell>
          <cell r="G423">
            <v>0</v>
          </cell>
        </row>
        <row r="424">
          <cell r="B424">
            <v>1406</v>
          </cell>
          <cell r="C424">
            <v>577896.69999999995</v>
          </cell>
          <cell r="D424" t="str">
            <v>PHP</v>
          </cell>
          <cell r="E424">
            <v>2</v>
          </cell>
          <cell r="F424" t="str">
            <v>PC</v>
          </cell>
          <cell r="G424">
            <v>0</v>
          </cell>
        </row>
        <row r="425">
          <cell r="B425">
            <v>1407</v>
          </cell>
          <cell r="C425">
            <v>34563.199999999997</v>
          </cell>
          <cell r="D425" t="str">
            <v>PHP</v>
          </cell>
          <cell r="E425">
            <v>4</v>
          </cell>
          <cell r="F425" t="str">
            <v>PC</v>
          </cell>
          <cell r="G425">
            <v>0</v>
          </cell>
        </row>
        <row r="426">
          <cell r="B426">
            <v>1408</v>
          </cell>
          <cell r="C426">
            <v>7768.3</v>
          </cell>
          <cell r="D426" t="str">
            <v>PHP</v>
          </cell>
          <cell r="E426">
            <v>8</v>
          </cell>
          <cell r="F426" t="str">
            <v>PC</v>
          </cell>
          <cell r="G426">
            <v>0</v>
          </cell>
        </row>
        <row r="427">
          <cell r="B427">
            <v>1409</v>
          </cell>
          <cell r="C427">
            <v>8404.2199999999993</v>
          </cell>
          <cell r="D427" t="str">
            <v>PHP</v>
          </cell>
          <cell r="E427">
            <v>6</v>
          </cell>
          <cell r="F427" t="str">
            <v>PC</v>
          </cell>
          <cell r="G427">
            <v>0</v>
          </cell>
        </row>
        <row r="428">
          <cell r="B428">
            <v>1410</v>
          </cell>
          <cell r="C428">
            <v>18147.61</v>
          </cell>
          <cell r="D428" t="str">
            <v>PHP</v>
          </cell>
          <cell r="E428">
            <v>6</v>
          </cell>
          <cell r="F428" t="str">
            <v>PC</v>
          </cell>
          <cell r="G428">
            <v>0</v>
          </cell>
        </row>
        <row r="429">
          <cell r="B429">
            <v>1411</v>
          </cell>
          <cell r="C429">
            <v>13246.05</v>
          </cell>
          <cell r="D429" t="str">
            <v>PHP</v>
          </cell>
          <cell r="E429">
            <v>4</v>
          </cell>
          <cell r="F429" t="str">
            <v>PC</v>
          </cell>
          <cell r="G429">
            <v>0</v>
          </cell>
        </row>
        <row r="430">
          <cell r="B430">
            <v>1415</v>
          </cell>
          <cell r="C430">
            <v>15840</v>
          </cell>
          <cell r="D430" t="str">
            <v>PHP</v>
          </cell>
          <cell r="E430">
            <v>9</v>
          </cell>
          <cell r="F430" t="str">
            <v>PC</v>
          </cell>
          <cell r="G430">
            <v>0</v>
          </cell>
        </row>
        <row r="431">
          <cell r="B431">
            <v>1416</v>
          </cell>
          <cell r="C431">
            <v>0</v>
          </cell>
          <cell r="D431" t="str">
            <v>PHP</v>
          </cell>
          <cell r="E431">
            <v>0</v>
          </cell>
          <cell r="F431" t="str">
            <v>PC</v>
          </cell>
          <cell r="G431">
            <v>0</v>
          </cell>
        </row>
        <row r="432">
          <cell r="B432">
            <v>1417</v>
          </cell>
          <cell r="C432">
            <v>35231.199999999997</v>
          </cell>
          <cell r="D432" t="str">
            <v>PHP</v>
          </cell>
          <cell r="E432">
            <v>8</v>
          </cell>
          <cell r="F432" t="str">
            <v>PC</v>
          </cell>
          <cell r="G432">
            <v>0</v>
          </cell>
        </row>
        <row r="433">
          <cell r="B433">
            <v>1418</v>
          </cell>
          <cell r="C433">
            <v>10015.06</v>
          </cell>
          <cell r="D433" t="str">
            <v>PHP</v>
          </cell>
          <cell r="E433">
            <v>2</v>
          </cell>
          <cell r="F433" t="str">
            <v>PC</v>
          </cell>
          <cell r="G433">
            <v>0</v>
          </cell>
        </row>
        <row r="434">
          <cell r="B434">
            <v>1420</v>
          </cell>
          <cell r="C434">
            <v>0</v>
          </cell>
          <cell r="D434" t="str">
            <v>PHP</v>
          </cell>
          <cell r="E434">
            <v>0</v>
          </cell>
          <cell r="F434" t="str">
            <v>PC</v>
          </cell>
          <cell r="G434">
            <v>0</v>
          </cell>
        </row>
        <row r="435">
          <cell r="B435">
            <v>1421</v>
          </cell>
          <cell r="C435">
            <v>0</v>
          </cell>
          <cell r="D435" t="str">
            <v>PHP</v>
          </cell>
          <cell r="E435">
            <v>0</v>
          </cell>
          <cell r="F435" t="str">
            <v>PC</v>
          </cell>
          <cell r="G435">
            <v>0</v>
          </cell>
        </row>
        <row r="436">
          <cell r="B436">
            <v>1422</v>
          </cell>
          <cell r="C436">
            <v>0</v>
          </cell>
          <cell r="D436" t="str">
            <v>PHP</v>
          </cell>
          <cell r="E436">
            <v>0</v>
          </cell>
          <cell r="F436" t="str">
            <v>PC</v>
          </cell>
          <cell r="G436">
            <v>0</v>
          </cell>
        </row>
        <row r="437">
          <cell r="B437">
            <v>1423</v>
          </cell>
          <cell r="C437">
            <v>927.3</v>
          </cell>
          <cell r="D437" t="str">
            <v>PHP</v>
          </cell>
          <cell r="E437">
            <v>3</v>
          </cell>
          <cell r="F437" t="str">
            <v>PC</v>
          </cell>
          <cell r="G437">
            <v>0</v>
          </cell>
        </row>
        <row r="438">
          <cell r="B438">
            <v>1426</v>
          </cell>
          <cell r="C438">
            <v>93714.4</v>
          </cell>
          <cell r="D438" t="str">
            <v>PHP</v>
          </cell>
          <cell r="E438">
            <v>2</v>
          </cell>
          <cell r="F438" t="str">
            <v>PC</v>
          </cell>
          <cell r="G438">
            <v>0</v>
          </cell>
        </row>
        <row r="439">
          <cell r="B439">
            <v>1427</v>
          </cell>
          <cell r="C439">
            <v>8185.2</v>
          </cell>
          <cell r="D439" t="str">
            <v>PHP</v>
          </cell>
          <cell r="E439">
            <v>12</v>
          </cell>
          <cell r="F439" t="str">
            <v>PC</v>
          </cell>
          <cell r="G439">
            <v>0</v>
          </cell>
        </row>
        <row r="440">
          <cell r="B440">
            <v>1428</v>
          </cell>
          <cell r="C440">
            <v>55935.5</v>
          </cell>
          <cell r="D440" t="str">
            <v>PHP</v>
          </cell>
          <cell r="E440">
            <v>1</v>
          </cell>
          <cell r="F440" t="str">
            <v>PC</v>
          </cell>
          <cell r="G440">
            <v>0</v>
          </cell>
        </row>
        <row r="441">
          <cell r="B441">
            <v>1429</v>
          </cell>
          <cell r="C441">
            <v>14843.04</v>
          </cell>
          <cell r="D441" t="str">
            <v>PHP</v>
          </cell>
          <cell r="E441">
            <v>6</v>
          </cell>
          <cell r="F441" t="str">
            <v>PC</v>
          </cell>
          <cell r="G441">
            <v>0</v>
          </cell>
        </row>
        <row r="442">
          <cell r="B442">
            <v>1430</v>
          </cell>
          <cell r="C442">
            <v>10279.16</v>
          </cell>
          <cell r="D442" t="str">
            <v>PHP</v>
          </cell>
          <cell r="E442">
            <v>2</v>
          </cell>
          <cell r="F442" t="str">
            <v>PC</v>
          </cell>
          <cell r="G442">
            <v>0</v>
          </cell>
        </row>
        <row r="443">
          <cell r="B443">
            <v>1431</v>
          </cell>
          <cell r="C443">
            <v>0</v>
          </cell>
          <cell r="D443" t="str">
            <v>PHP</v>
          </cell>
          <cell r="E443">
            <v>0</v>
          </cell>
          <cell r="F443" t="str">
            <v>PC</v>
          </cell>
          <cell r="G443">
            <v>0</v>
          </cell>
        </row>
        <row r="444">
          <cell r="B444">
            <v>1432</v>
          </cell>
          <cell r="C444">
            <v>56358.22</v>
          </cell>
          <cell r="D444" t="str">
            <v>PHP</v>
          </cell>
          <cell r="E444">
            <v>4</v>
          </cell>
          <cell r="F444" t="str">
            <v>PC</v>
          </cell>
          <cell r="G444">
            <v>0</v>
          </cell>
        </row>
        <row r="445">
          <cell r="B445">
            <v>1433</v>
          </cell>
          <cell r="C445">
            <v>7525.25</v>
          </cell>
          <cell r="D445" t="str">
            <v>PHP</v>
          </cell>
          <cell r="E445">
            <v>1</v>
          </cell>
          <cell r="F445" t="str">
            <v>PC</v>
          </cell>
          <cell r="G445">
            <v>0</v>
          </cell>
        </row>
        <row r="446">
          <cell r="B446">
            <v>1434</v>
          </cell>
          <cell r="C446">
            <v>24226.86</v>
          </cell>
          <cell r="D446" t="str">
            <v>PHP</v>
          </cell>
          <cell r="E446">
            <v>42</v>
          </cell>
          <cell r="F446" t="str">
            <v>PC</v>
          </cell>
          <cell r="G446">
            <v>0</v>
          </cell>
        </row>
        <row r="447">
          <cell r="B447">
            <v>1444</v>
          </cell>
          <cell r="C447">
            <v>1718.29</v>
          </cell>
          <cell r="D447" t="str">
            <v>PHP</v>
          </cell>
          <cell r="E447">
            <v>10</v>
          </cell>
          <cell r="F447" t="str">
            <v>PC</v>
          </cell>
          <cell r="G447">
            <v>0</v>
          </cell>
        </row>
        <row r="448">
          <cell r="B448">
            <v>1447</v>
          </cell>
          <cell r="C448">
            <v>7828</v>
          </cell>
          <cell r="D448" t="str">
            <v>PHP</v>
          </cell>
          <cell r="E448">
            <v>25</v>
          </cell>
          <cell r="F448" t="str">
            <v>PC</v>
          </cell>
          <cell r="G448">
            <v>0</v>
          </cell>
        </row>
        <row r="449">
          <cell r="B449">
            <v>1454</v>
          </cell>
          <cell r="C449">
            <v>309.12</v>
          </cell>
          <cell r="D449" t="str">
            <v>PHP</v>
          </cell>
          <cell r="E449">
            <v>1</v>
          </cell>
          <cell r="F449" t="str">
            <v>PC</v>
          </cell>
          <cell r="G449">
            <v>0</v>
          </cell>
        </row>
        <row r="450">
          <cell r="B450">
            <v>1464</v>
          </cell>
          <cell r="C450">
            <v>16800</v>
          </cell>
          <cell r="D450" t="str">
            <v>PHP</v>
          </cell>
          <cell r="E450">
            <v>2</v>
          </cell>
          <cell r="F450" t="str">
            <v>PC</v>
          </cell>
          <cell r="G450">
            <v>0</v>
          </cell>
        </row>
        <row r="451">
          <cell r="B451">
            <v>1465</v>
          </cell>
          <cell r="C451">
            <v>45000</v>
          </cell>
          <cell r="D451" t="str">
            <v>PHP</v>
          </cell>
          <cell r="E451">
            <v>3</v>
          </cell>
          <cell r="F451" t="str">
            <v>PC</v>
          </cell>
          <cell r="G451">
            <v>0</v>
          </cell>
        </row>
        <row r="452">
          <cell r="B452">
            <v>1466</v>
          </cell>
          <cell r="C452">
            <v>92247.03</v>
          </cell>
          <cell r="D452" t="str">
            <v>PHP</v>
          </cell>
          <cell r="E452">
            <v>3</v>
          </cell>
          <cell r="F452" t="str">
            <v>SET</v>
          </cell>
          <cell r="G452">
            <v>0</v>
          </cell>
        </row>
        <row r="453">
          <cell r="B453">
            <v>1469</v>
          </cell>
          <cell r="C453">
            <v>187371.76</v>
          </cell>
          <cell r="D453" t="str">
            <v>PHP</v>
          </cell>
          <cell r="E453">
            <v>6</v>
          </cell>
          <cell r="F453" t="str">
            <v>PC</v>
          </cell>
          <cell r="G453">
            <v>0</v>
          </cell>
        </row>
        <row r="454">
          <cell r="B454">
            <v>1476</v>
          </cell>
          <cell r="C454">
            <v>10946.96</v>
          </cell>
          <cell r="D454" t="str">
            <v>PHP</v>
          </cell>
          <cell r="E454">
            <v>2</v>
          </cell>
          <cell r="F454" t="str">
            <v>PC</v>
          </cell>
          <cell r="G454">
            <v>0</v>
          </cell>
        </row>
        <row r="455">
          <cell r="B455">
            <v>1477</v>
          </cell>
          <cell r="C455">
            <v>0</v>
          </cell>
          <cell r="D455" t="str">
            <v>PHP</v>
          </cell>
          <cell r="E455">
            <v>0</v>
          </cell>
          <cell r="F455" t="str">
            <v>PC</v>
          </cell>
          <cell r="G455">
            <v>0</v>
          </cell>
        </row>
        <row r="456">
          <cell r="B456">
            <v>1478</v>
          </cell>
          <cell r="C456">
            <v>27577.94</v>
          </cell>
          <cell r="D456" t="str">
            <v>PHP</v>
          </cell>
          <cell r="E456">
            <v>3</v>
          </cell>
          <cell r="F456" t="str">
            <v>PC</v>
          </cell>
          <cell r="G456">
            <v>0</v>
          </cell>
        </row>
        <row r="457">
          <cell r="B457">
            <v>1479</v>
          </cell>
          <cell r="C457">
            <v>17397.240000000002</v>
          </cell>
          <cell r="D457" t="str">
            <v>PHP</v>
          </cell>
          <cell r="E457">
            <v>1</v>
          </cell>
          <cell r="F457" t="str">
            <v>PC</v>
          </cell>
          <cell r="G457">
            <v>0</v>
          </cell>
        </row>
        <row r="458">
          <cell r="B458">
            <v>1480</v>
          </cell>
          <cell r="C458">
            <v>2447.1999999999998</v>
          </cell>
          <cell r="D458" t="str">
            <v>PHP</v>
          </cell>
          <cell r="E458">
            <v>4</v>
          </cell>
          <cell r="F458" t="str">
            <v>PC</v>
          </cell>
          <cell r="G458">
            <v>0</v>
          </cell>
        </row>
        <row r="459">
          <cell r="B459">
            <v>1484</v>
          </cell>
          <cell r="C459">
            <v>263850.02</v>
          </cell>
          <cell r="D459" t="str">
            <v>PHP</v>
          </cell>
          <cell r="E459">
            <v>12</v>
          </cell>
          <cell r="F459" t="str">
            <v>PC</v>
          </cell>
          <cell r="G459">
            <v>0</v>
          </cell>
        </row>
        <row r="460">
          <cell r="B460">
            <v>1493</v>
          </cell>
          <cell r="C460">
            <v>25119.86</v>
          </cell>
          <cell r="D460" t="str">
            <v>PHP</v>
          </cell>
          <cell r="E460">
            <v>42</v>
          </cell>
          <cell r="F460" t="str">
            <v>PC</v>
          </cell>
          <cell r="G460">
            <v>0</v>
          </cell>
        </row>
        <row r="461">
          <cell r="B461">
            <v>1494</v>
          </cell>
          <cell r="C461">
            <v>48372.04</v>
          </cell>
          <cell r="D461" t="str">
            <v>PHP</v>
          </cell>
          <cell r="E461">
            <v>45</v>
          </cell>
          <cell r="F461" t="str">
            <v>PC</v>
          </cell>
          <cell r="G461">
            <v>0</v>
          </cell>
        </row>
        <row r="462">
          <cell r="B462">
            <v>1495</v>
          </cell>
          <cell r="C462">
            <v>8795.2199999999993</v>
          </cell>
          <cell r="D462" t="str">
            <v>PHP</v>
          </cell>
          <cell r="E462">
            <v>6</v>
          </cell>
          <cell r="F462" t="str">
            <v>PC</v>
          </cell>
          <cell r="G462">
            <v>0</v>
          </cell>
        </row>
        <row r="463">
          <cell r="B463">
            <v>1496</v>
          </cell>
          <cell r="C463">
            <v>319988.94</v>
          </cell>
          <cell r="D463" t="str">
            <v>PHP</v>
          </cell>
          <cell r="E463">
            <v>4</v>
          </cell>
          <cell r="F463" t="str">
            <v>PC</v>
          </cell>
          <cell r="G463">
            <v>0</v>
          </cell>
        </row>
        <row r="464">
          <cell r="B464">
            <v>1497</v>
          </cell>
          <cell r="C464">
            <v>79442.95</v>
          </cell>
          <cell r="D464" t="str">
            <v>PHP</v>
          </cell>
          <cell r="E464">
            <v>1</v>
          </cell>
          <cell r="F464" t="str">
            <v>PC</v>
          </cell>
          <cell r="G464">
            <v>0</v>
          </cell>
        </row>
        <row r="465">
          <cell r="B465">
            <v>1499</v>
          </cell>
          <cell r="C465">
            <v>0</v>
          </cell>
          <cell r="D465" t="str">
            <v>PHP</v>
          </cell>
          <cell r="E465">
            <v>0</v>
          </cell>
          <cell r="F465" t="str">
            <v>SET</v>
          </cell>
          <cell r="G465">
            <v>0</v>
          </cell>
        </row>
        <row r="466">
          <cell r="B466">
            <v>1514</v>
          </cell>
          <cell r="C466">
            <v>0</v>
          </cell>
          <cell r="D466" t="str">
            <v>PHP</v>
          </cell>
          <cell r="E466">
            <v>0</v>
          </cell>
          <cell r="F466" t="str">
            <v>PC</v>
          </cell>
          <cell r="G466">
            <v>0</v>
          </cell>
        </row>
        <row r="467">
          <cell r="B467">
            <v>1554</v>
          </cell>
          <cell r="C467">
            <v>618224.84</v>
          </cell>
          <cell r="D467" t="str">
            <v>PHP</v>
          </cell>
          <cell r="E467">
            <v>83</v>
          </cell>
          <cell r="F467" t="str">
            <v>PC</v>
          </cell>
          <cell r="G467">
            <v>0</v>
          </cell>
        </row>
        <row r="468">
          <cell r="B468">
            <v>1561</v>
          </cell>
          <cell r="C468">
            <v>0</v>
          </cell>
          <cell r="D468" t="str">
            <v>PHP</v>
          </cell>
          <cell r="E468">
            <v>0</v>
          </cell>
          <cell r="F468" t="str">
            <v>PC</v>
          </cell>
          <cell r="G468">
            <v>0</v>
          </cell>
        </row>
        <row r="469">
          <cell r="B469">
            <v>1567</v>
          </cell>
          <cell r="C469">
            <v>4417</v>
          </cell>
          <cell r="D469" t="str">
            <v>PHP</v>
          </cell>
          <cell r="E469">
            <v>1</v>
          </cell>
          <cell r="F469" t="str">
            <v>PC</v>
          </cell>
          <cell r="G469">
            <v>0</v>
          </cell>
        </row>
        <row r="470">
          <cell r="B470">
            <v>1569</v>
          </cell>
          <cell r="C470">
            <v>0</v>
          </cell>
          <cell r="D470" t="str">
            <v>PHP</v>
          </cell>
          <cell r="E470">
            <v>0</v>
          </cell>
          <cell r="F470" t="str">
            <v>PC</v>
          </cell>
          <cell r="G470">
            <v>0</v>
          </cell>
        </row>
        <row r="471">
          <cell r="B471">
            <v>1570</v>
          </cell>
          <cell r="C471">
            <v>0</v>
          </cell>
          <cell r="D471" t="str">
            <v>PHP</v>
          </cell>
          <cell r="E471">
            <v>0</v>
          </cell>
          <cell r="F471" t="str">
            <v>PC</v>
          </cell>
          <cell r="G471">
            <v>0</v>
          </cell>
        </row>
        <row r="472">
          <cell r="B472">
            <v>1571</v>
          </cell>
          <cell r="C472">
            <v>111334.27</v>
          </cell>
          <cell r="D472" t="str">
            <v>PHP</v>
          </cell>
          <cell r="E472">
            <v>1</v>
          </cell>
          <cell r="F472" t="str">
            <v>PC</v>
          </cell>
          <cell r="G472">
            <v>0</v>
          </cell>
        </row>
        <row r="473">
          <cell r="B473">
            <v>1572</v>
          </cell>
          <cell r="C473">
            <v>289444.13</v>
          </cell>
          <cell r="D473" t="str">
            <v>PHP</v>
          </cell>
          <cell r="E473">
            <v>2</v>
          </cell>
          <cell r="F473" t="str">
            <v>PC</v>
          </cell>
          <cell r="G473">
            <v>0</v>
          </cell>
        </row>
        <row r="474">
          <cell r="B474">
            <v>1573</v>
          </cell>
          <cell r="C474">
            <v>20659.68</v>
          </cell>
          <cell r="D474" t="str">
            <v>PHP</v>
          </cell>
          <cell r="E474">
            <v>8</v>
          </cell>
          <cell r="F474" t="str">
            <v>PC</v>
          </cell>
          <cell r="G474">
            <v>0</v>
          </cell>
        </row>
        <row r="475">
          <cell r="B475">
            <v>1576</v>
          </cell>
          <cell r="C475">
            <v>0</v>
          </cell>
          <cell r="D475" t="str">
            <v>PHP</v>
          </cell>
          <cell r="E475">
            <v>0</v>
          </cell>
          <cell r="F475" t="str">
            <v>PC</v>
          </cell>
          <cell r="G475">
            <v>0</v>
          </cell>
        </row>
        <row r="476">
          <cell r="B476">
            <v>1578</v>
          </cell>
          <cell r="C476">
            <v>1231950.75</v>
          </cell>
          <cell r="D476" t="str">
            <v>PHP</v>
          </cell>
          <cell r="E476">
            <v>1</v>
          </cell>
          <cell r="F476" t="str">
            <v>PC</v>
          </cell>
          <cell r="G476">
            <v>0</v>
          </cell>
        </row>
        <row r="477">
          <cell r="B477">
            <v>1581</v>
          </cell>
          <cell r="C477">
            <v>5400</v>
          </cell>
          <cell r="D477" t="str">
            <v>PHP</v>
          </cell>
          <cell r="E477">
            <v>12</v>
          </cell>
          <cell r="F477" t="str">
            <v>PC</v>
          </cell>
          <cell r="G477">
            <v>0</v>
          </cell>
        </row>
        <row r="478">
          <cell r="B478">
            <v>1582</v>
          </cell>
          <cell r="C478">
            <v>149721.64000000001</v>
          </cell>
          <cell r="D478" t="str">
            <v>PHP</v>
          </cell>
          <cell r="E478">
            <v>45</v>
          </cell>
          <cell r="F478" t="str">
            <v>PC</v>
          </cell>
          <cell r="G478">
            <v>0</v>
          </cell>
        </row>
        <row r="479">
          <cell r="B479">
            <v>1597</v>
          </cell>
          <cell r="C479">
            <v>0</v>
          </cell>
          <cell r="D479" t="str">
            <v>PHP</v>
          </cell>
          <cell r="E479">
            <v>0</v>
          </cell>
          <cell r="F479" t="str">
            <v>PC</v>
          </cell>
          <cell r="G479">
            <v>0</v>
          </cell>
        </row>
        <row r="480">
          <cell r="B480">
            <v>1598</v>
          </cell>
          <cell r="C480">
            <v>186349.69</v>
          </cell>
          <cell r="D480" t="str">
            <v>PHP</v>
          </cell>
          <cell r="E480">
            <v>6</v>
          </cell>
          <cell r="F480" t="str">
            <v>PC</v>
          </cell>
          <cell r="G480">
            <v>0</v>
          </cell>
        </row>
        <row r="481">
          <cell r="B481">
            <v>1599</v>
          </cell>
          <cell r="C481">
            <v>0</v>
          </cell>
          <cell r="D481" t="str">
            <v>PHP</v>
          </cell>
          <cell r="E481">
            <v>0</v>
          </cell>
          <cell r="F481" t="str">
            <v>PC</v>
          </cell>
          <cell r="G481">
            <v>0</v>
          </cell>
        </row>
        <row r="482">
          <cell r="B482">
            <v>1601</v>
          </cell>
          <cell r="C482">
            <v>9581.98</v>
          </cell>
          <cell r="D482" t="str">
            <v>PHP</v>
          </cell>
          <cell r="E482">
            <v>12</v>
          </cell>
          <cell r="F482" t="str">
            <v>PC</v>
          </cell>
          <cell r="G482">
            <v>0</v>
          </cell>
        </row>
        <row r="483">
          <cell r="B483">
            <v>1602</v>
          </cell>
          <cell r="C483">
            <v>0</v>
          </cell>
          <cell r="D483" t="str">
            <v>PHP</v>
          </cell>
          <cell r="E483">
            <v>0</v>
          </cell>
          <cell r="F483" t="str">
            <v>PC</v>
          </cell>
          <cell r="G483">
            <v>0</v>
          </cell>
        </row>
        <row r="484">
          <cell r="B484">
            <v>1605</v>
          </cell>
          <cell r="C484">
            <v>20003.45</v>
          </cell>
          <cell r="D484" t="str">
            <v>PHP</v>
          </cell>
          <cell r="E484">
            <v>1</v>
          </cell>
          <cell r="F484" t="str">
            <v>PC</v>
          </cell>
          <cell r="G484">
            <v>0</v>
          </cell>
        </row>
        <row r="485">
          <cell r="B485">
            <v>1610</v>
          </cell>
          <cell r="C485">
            <v>724.99</v>
          </cell>
          <cell r="D485" t="str">
            <v>PHP</v>
          </cell>
          <cell r="E485">
            <v>1</v>
          </cell>
          <cell r="F485" t="str">
            <v>SET</v>
          </cell>
          <cell r="G485">
            <v>0</v>
          </cell>
        </row>
        <row r="486">
          <cell r="B486">
            <v>1611</v>
          </cell>
          <cell r="C486">
            <v>1006.41</v>
          </cell>
          <cell r="D486" t="str">
            <v>PHP</v>
          </cell>
          <cell r="E486">
            <v>1</v>
          </cell>
          <cell r="F486" t="str">
            <v>SET</v>
          </cell>
          <cell r="G486">
            <v>0</v>
          </cell>
        </row>
        <row r="487">
          <cell r="B487">
            <v>1613</v>
          </cell>
          <cell r="C487">
            <v>24642.66</v>
          </cell>
          <cell r="D487" t="str">
            <v>PHP</v>
          </cell>
          <cell r="E487">
            <v>5</v>
          </cell>
          <cell r="F487" t="str">
            <v>PC</v>
          </cell>
          <cell r="G487">
            <v>0</v>
          </cell>
        </row>
        <row r="488">
          <cell r="B488">
            <v>1617</v>
          </cell>
          <cell r="C488">
            <v>17548.080000000002</v>
          </cell>
          <cell r="D488" t="str">
            <v>PHP</v>
          </cell>
          <cell r="E488">
            <v>18</v>
          </cell>
          <cell r="F488" t="str">
            <v>PC</v>
          </cell>
          <cell r="G488">
            <v>0</v>
          </cell>
        </row>
        <row r="489">
          <cell r="B489">
            <v>1619</v>
          </cell>
          <cell r="C489">
            <v>21071.19</v>
          </cell>
          <cell r="D489" t="str">
            <v>PHP</v>
          </cell>
          <cell r="E489">
            <v>18</v>
          </cell>
          <cell r="F489" t="str">
            <v>PC</v>
          </cell>
          <cell r="G489">
            <v>0</v>
          </cell>
        </row>
        <row r="490">
          <cell r="B490">
            <v>1620</v>
          </cell>
          <cell r="C490">
            <v>28024.51</v>
          </cell>
          <cell r="D490" t="str">
            <v>PHP</v>
          </cell>
          <cell r="E490">
            <v>6</v>
          </cell>
          <cell r="F490" t="str">
            <v>PC</v>
          </cell>
          <cell r="G490">
            <v>0</v>
          </cell>
        </row>
        <row r="491">
          <cell r="B491">
            <v>1621</v>
          </cell>
          <cell r="C491">
            <v>0</v>
          </cell>
          <cell r="D491" t="str">
            <v>PHP</v>
          </cell>
          <cell r="E491">
            <v>0</v>
          </cell>
          <cell r="F491" t="str">
            <v>PC</v>
          </cell>
          <cell r="G491">
            <v>0</v>
          </cell>
        </row>
        <row r="492">
          <cell r="B492">
            <v>1622</v>
          </cell>
          <cell r="C492">
            <v>0</v>
          </cell>
          <cell r="D492" t="str">
            <v>PHP</v>
          </cell>
          <cell r="E492">
            <v>0</v>
          </cell>
          <cell r="F492" t="str">
            <v>PC</v>
          </cell>
          <cell r="G492">
            <v>0</v>
          </cell>
        </row>
        <row r="493">
          <cell r="B493">
            <v>1623</v>
          </cell>
          <cell r="C493">
            <v>0</v>
          </cell>
          <cell r="D493" t="str">
            <v>PHP</v>
          </cell>
          <cell r="E493">
            <v>0</v>
          </cell>
          <cell r="F493" t="str">
            <v>PC</v>
          </cell>
          <cell r="G493">
            <v>0</v>
          </cell>
        </row>
        <row r="494">
          <cell r="B494">
            <v>1624</v>
          </cell>
          <cell r="C494">
            <v>0</v>
          </cell>
          <cell r="D494" t="str">
            <v>PHP</v>
          </cell>
          <cell r="E494">
            <v>0</v>
          </cell>
          <cell r="F494" t="str">
            <v>PC</v>
          </cell>
          <cell r="G494">
            <v>0</v>
          </cell>
        </row>
        <row r="495">
          <cell r="B495">
            <v>1625</v>
          </cell>
          <cell r="C495">
            <v>0</v>
          </cell>
          <cell r="D495" t="str">
            <v>PHP</v>
          </cell>
          <cell r="E495">
            <v>0</v>
          </cell>
          <cell r="F495" t="str">
            <v>PC</v>
          </cell>
          <cell r="G495">
            <v>0</v>
          </cell>
        </row>
        <row r="496">
          <cell r="B496">
            <v>1626</v>
          </cell>
          <cell r="C496">
            <v>0</v>
          </cell>
          <cell r="D496" t="str">
            <v>PHP</v>
          </cell>
          <cell r="E496">
            <v>0</v>
          </cell>
          <cell r="F496" t="str">
            <v>PC</v>
          </cell>
          <cell r="G496">
            <v>0</v>
          </cell>
        </row>
        <row r="497">
          <cell r="B497">
            <v>1627</v>
          </cell>
          <cell r="C497">
            <v>0</v>
          </cell>
          <cell r="D497" t="str">
            <v>PHP</v>
          </cell>
          <cell r="E497">
            <v>0</v>
          </cell>
          <cell r="F497" t="str">
            <v>PC</v>
          </cell>
          <cell r="G497">
            <v>0</v>
          </cell>
        </row>
        <row r="498">
          <cell r="B498">
            <v>1628</v>
          </cell>
          <cell r="C498">
            <v>13300</v>
          </cell>
          <cell r="D498" t="str">
            <v>PHP</v>
          </cell>
          <cell r="E498">
            <v>2</v>
          </cell>
          <cell r="F498" t="str">
            <v>PC</v>
          </cell>
          <cell r="G498">
            <v>0</v>
          </cell>
        </row>
        <row r="499">
          <cell r="B499">
            <v>1635</v>
          </cell>
          <cell r="C499">
            <v>134550.93</v>
          </cell>
          <cell r="D499" t="str">
            <v>PHP</v>
          </cell>
          <cell r="E499">
            <v>1</v>
          </cell>
          <cell r="F499" t="str">
            <v>PC</v>
          </cell>
          <cell r="G499">
            <v>0</v>
          </cell>
        </row>
        <row r="500">
          <cell r="B500">
            <v>1636</v>
          </cell>
          <cell r="C500">
            <v>2634493.4500000002</v>
          </cell>
          <cell r="D500" t="str">
            <v>PHP</v>
          </cell>
          <cell r="E500">
            <v>2</v>
          </cell>
          <cell r="F500" t="str">
            <v>PC</v>
          </cell>
          <cell r="G500">
            <v>0</v>
          </cell>
        </row>
        <row r="501">
          <cell r="B501">
            <v>1637</v>
          </cell>
          <cell r="C501">
            <v>70855.83</v>
          </cell>
          <cell r="D501" t="str">
            <v>PHP</v>
          </cell>
          <cell r="E501">
            <v>27</v>
          </cell>
          <cell r="F501" t="str">
            <v>PC</v>
          </cell>
          <cell r="G501">
            <v>0</v>
          </cell>
        </row>
        <row r="502">
          <cell r="B502">
            <v>1638</v>
          </cell>
          <cell r="C502">
            <v>99558.61</v>
          </cell>
          <cell r="D502" t="str">
            <v>PHP</v>
          </cell>
          <cell r="E502">
            <v>32</v>
          </cell>
          <cell r="F502" t="str">
            <v>PC</v>
          </cell>
          <cell r="G502">
            <v>0</v>
          </cell>
        </row>
        <row r="503">
          <cell r="B503">
            <v>1642</v>
          </cell>
          <cell r="C503">
            <v>196091.03</v>
          </cell>
          <cell r="D503" t="str">
            <v>PHP</v>
          </cell>
          <cell r="E503">
            <v>27</v>
          </cell>
          <cell r="F503" t="str">
            <v>PC</v>
          </cell>
          <cell r="G503">
            <v>0</v>
          </cell>
        </row>
        <row r="504">
          <cell r="B504">
            <v>1661</v>
          </cell>
          <cell r="C504">
            <v>54573.599999999999</v>
          </cell>
          <cell r="D504" t="str">
            <v>PHP</v>
          </cell>
          <cell r="E504">
            <v>2</v>
          </cell>
          <cell r="F504" t="str">
            <v>PC</v>
          </cell>
          <cell r="G504">
            <v>0</v>
          </cell>
        </row>
        <row r="505">
          <cell r="B505">
            <v>1662</v>
          </cell>
          <cell r="C505">
            <v>96453.79</v>
          </cell>
          <cell r="D505" t="str">
            <v>PHP</v>
          </cell>
          <cell r="E505">
            <v>3</v>
          </cell>
          <cell r="F505" t="str">
            <v>PC</v>
          </cell>
          <cell r="G505">
            <v>0</v>
          </cell>
        </row>
        <row r="506">
          <cell r="B506">
            <v>1668</v>
          </cell>
          <cell r="C506">
            <v>4116.3500000000004</v>
          </cell>
          <cell r="D506" t="str">
            <v>PHP</v>
          </cell>
          <cell r="E506">
            <v>1</v>
          </cell>
          <cell r="F506" t="str">
            <v>PC</v>
          </cell>
          <cell r="G506">
            <v>0</v>
          </cell>
        </row>
        <row r="507">
          <cell r="B507">
            <v>1673</v>
          </cell>
          <cell r="C507">
            <v>0</v>
          </cell>
          <cell r="D507" t="str">
            <v>PHP</v>
          </cell>
          <cell r="E507">
            <v>0</v>
          </cell>
          <cell r="F507" t="str">
            <v>PC</v>
          </cell>
          <cell r="G507">
            <v>0</v>
          </cell>
        </row>
        <row r="508">
          <cell r="B508">
            <v>1677</v>
          </cell>
          <cell r="C508">
            <v>68579.539999999994</v>
          </cell>
          <cell r="D508" t="str">
            <v>PHP</v>
          </cell>
          <cell r="E508">
            <v>1</v>
          </cell>
          <cell r="F508" t="str">
            <v>PC</v>
          </cell>
          <cell r="G508">
            <v>0</v>
          </cell>
        </row>
        <row r="509">
          <cell r="B509">
            <v>1680</v>
          </cell>
          <cell r="C509">
            <v>7315.35</v>
          </cell>
          <cell r="D509" t="str">
            <v>PHP</v>
          </cell>
          <cell r="E509">
            <v>3</v>
          </cell>
          <cell r="F509" t="str">
            <v>PC</v>
          </cell>
          <cell r="G509">
            <v>0</v>
          </cell>
        </row>
        <row r="510">
          <cell r="B510">
            <v>1691</v>
          </cell>
          <cell r="C510">
            <v>14138.48</v>
          </cell>
          <cell r="D510" t="str">
            <v>PHP</v>
          </cell>
          <cell r="E510">
            <v>8</v>
          </cell>
          <cell r="F510" t="str">
            <v>PC</v>
          </cell>
          <cell r="G510">
            <v>0</v>
          </cell>
        </row>
        <row r="511">
          <cell r="B511">
            <v>1692</v>
          </cell>
          <cell r="C511">
            <v>673</v>
          </cell>
          <cell r="D511" t="str">
            <v>PHP</v>
          </cell>
          <cell r="E511">
            <v>2</v>
          </cell>
          <cell r="F511" t="str">
            <v>PC</v>
          </cell>
          <cell r="G511">
            <v>0</v>
          </cell>
        </row>
        <row r="512">
          <cell r="B512">
            <v>1698</v>
          </cell>
          <cell r="C512">
            <v>4640.6400000000003</v>
          </cell>
          <cell r="D512" t="str">
            <v>PHP</v>
          </cell>
          <cell r="E512">
            <v>3</v>
          </cell>
          <cell r="F512" t="str">
            <v>PC</v>
          </cell>
          <cell r="G512">
            <v>0</v>
          </cell>
        </row>
        <row r="513">
          <cell r="B513">
            <v>1699</v>
          </cell>
          <cell r="C513">
            <v>2346.34</v>
          </cell>
          <cell r="D513" t="str">
            <v>PHP</v>
          </cell>
          <cell r="E513">
            <v>4</v>
          </cell>
          <cell r="F513" t="str">
            <v>PC</v>
          </cell>
          <cell r="G513">
            <v>0</v>
          </cell>
        </row>
        <row r="514">
          <cell r="B514">
            <v>1700</v>
          </cell>
          <cell r="C514">
            <v>124.48</v>
          </cell>
          <cell r="D514" t="str">
            <v>PHP</v>
          </cell>
          <cell r="E514">
            <v>4</v>
          </cell>
          <cell r="F514" t="str">
            <v>PC</v>
          </cell>
          <cell r="G514">
            <v>0</v>
          </cell>
        </row>
        <row r="515">
          <cell r="B515">
            <v>1701</v>
          </cell>
          <cell r="C515">
            <v>2387.59</v>
          </cell>
          <cell r="D515" t="str">
            <v>PHP</v>
          </cell>
          <cell r="E515">
            <v>5</v>
          </cell>
          <cell r="F515" t="str">
            <v>PC</v>
          </cell>
          <cell r="G515">
            <v>0</v>
          </cell>
        </row>
        <row r="516">
          <cell r="B516">
            <v>1702</v>
          </cell>
          <cell r="C516">
            <v>8296.74</v>
          </cell>
          <cell r="D516" t="str">
            <v>PHP</v>
          </cell>
          <cell r="E516">
            <v>11</v>
          </cell>
          <cell r="F516" t="str">
            <v>PC</v>
          </cell>
          <cell r="G516">
            <v>0</v>
          </cell>
        </row>
        <row r="517">
          <cell r="B517">
            <v>1703</v>
          </cell>
          <cell r="C517">
            <v>14344.47</v>
          </cell>
          <cell r="D517" t="str">
            <v>PHP</v>
          </cell>
          <cell r="E517">
            <v>28</v>
          </cell>
          <cell r="F517" t="str">
            <v>PC</v>
          </cell>
          <cell r="G517">
            <v>0</v>
          </cell>
        </row>
        <row r="518">
          <cell r="B518">
            <v>1711</v>
          </cell>
          <cell r="C518">
            <v>29384.46</v>
          </cell>
          <cell r="D518" t="str">
            <v>PHP</v>
          </cell>
          <cell r="E518">
            <v>8</v>
          </cell>
          <cell r="F518" t="str">
            <v>PC</v>
          </cell>
          <cell r="G518">
            <v>0</v>
          </cell>
        </row>
        <row r="519">
          <cell r="B519">
            <v>1713</v>
          </cell>
          <cell r="C519">
            <v>41423.5</v>
          </cell>
          <cell r="D519" t="str">
            <v>PHP</v>
          </cell>
          <cell r="E519">
            <v>54</v>
          </cell>
          <cell r="F519" t="str">
            <v>PC</v>
          </cell>
          <cell r="G519">
            <v>0</v>
          </cell>
        </row>
        <row r="520">
          <cell r="B520">
            <v>1714</v>
          </cell>
          <cell r="C520">
            <v>126397</v>
          </cell>
          <cell r="D520" t="str">
            <v>PHP</v>
          </cell>
          <cell r="E520">
            <v>154</v>
          </cell>
          <cell r="F520" t="str">
            <v>PC</v>
          </cell>
          <cell r="G520">
            <v>0</v>
          </cell>
        </row>
        <row r="521">
          <cell r="B521">
            <v>1715</v>
          </cell>
          <cell r="C521">
            <v>117343.15</v>
          </cell>
          <cell r="D521" t="str">
            <v>PHP</v>
          </cell>
          <cell r="E521">
            <v>99</v>
          </cell>
          <cell r="F521" t="str">
            <v>PC</v>
          </cell>
          <cell r="G521">
            <v>0</v>
          </cell>
        </row>
        <row r="522">
          <cell r="B522">
            <v>1716</v>
          </cell>
          <cell r="C522">
            <v>0</v>
          </cell>
          <cell r="D522" t="str">
            <v>PHP</v>
          </cell>
          <cell r="E522">
            <v>0</v>
          </cell>
          <cell r="F522" t="str">
            <v>PC</v>
          </cell>
          <cell r="G522">
            <v>0</v>
          </cell>
        </row>
        <row r="523">
          <cell r="B523">
            <v>1717</v>
          </cell>
          <cell r="C523">
            <v>74987.39</v>
          </cell>
          <cell r="D523" t="str">
            <v>PHP</v>
          </cell>
          <cell r="E523">
            <v>90</v>
          </cell>
          <cell r="F523" t="str">
            <v>PC</v>
          </cell>
          <cell r="G523">
            <v>0</v>
          </cell>
        </row>
        <row r="524">
          <cell r="B524">
            <v>1719</v>
          </cell>
          <cell r="C524">
            <v>100975.39</v>
          </cell>
          <cell r="D524" t="str">
            <v>PHP</v>
          </cell>
          <cell r="E524">
            <v>187</v>
          </cell>
          <cell r="F524" t="str">
            <v>PC</v>
          </cell>
          <cell r="G524">
            <v>0</v>
          </cell>
        </row>
        <row r="525">
          <cell r="B525">
            <v>1720</v>
          </cell>
          <cell r="C525">
            <v>23292.51</v>
          </cell>
          <cell r="D525" t="str">
            <v>PHP</v>
          </cell>
          <cell r="E525">
            <v>27</v>
          </cell>
          <cell r="F525" t="str">
            <v>PC</v>
          </cell>
          <cell r="G525">
            <v>0</v>
          </cell>
        </row>
        <row r="526">
          <cell r="B526">
            <v>1724</v>
          </cell>
          <cell r="C526">
            <v>231827.88</v>
          </cell>
          <cell r="D526" t="str">
            <v>PHP</v>
          </cell>
          <cell r="E526">
            <v>1</v>
          </cell>
          <cell r="F526" t="str">
            <v>PC</v>
          </cell>
          <cell r="G526">
            <v>0</v>
          </cell>
        </row>
        <row r="527">
          <cell r="B527">
            <v>1725</v>
          </cell>
          <cell r="C527">
            <v>0</v>
          </cell>
          <cell r="D527" t="str">
            <v>PHP</v>
          </cell>
          <cell r="E527">
            <v>0</v>
          </cell>
          <cell r="F527" t="str">
            <v>PC</v>
          </cell>
          <cell r="G527">
            <v>0</v>
          </cell>
        </row>
        <row r="528">
          <cell r="B528">
            <v>1726</v>
          </cell>
          <cell r="C528">
            <v>0</v>
          </cell>
          <cell r="D528" t="str">
            <v>PHP</v>
          </cell>
          <cell r="E528">
            <v>0</v>
          </cell>
          <cell r="F528" t="str">
            <v>PC</v>
          </cell>
          <cell r="G528">
            <v>0</v>
          </cell>
        </row>
        <row r="529">
          <cell r="B529">
            <v>1727</v>
          </cell>
          <cell r="C529">
            <v>0</v>
          </cell>
          <cell r="D529" t="str">
            <v>PHP</v>
          </cell>
          <cell r="E529">
            <v>0</v>
          </cell>
          <cell r="F529" t="str">
            <v>PC</v>
          </cell>
          <cell r="G529">
            <v>0</v>
          </cell>
        </row>
        <row r="530">
          <cell r="B530">
            <v>1729</v>
          </cell>
          <cell r="C530">
            <v>18726.400000000001</v>
          </cell>
          <cell r="D530" t="str">
            <v>PHP</v>
          </cell>
          <cell r="E530">
            <v>1</v>
          </cell>
          <cell r="F530" t="str">
            <v>PC</v>
          </cell>
          <cell r="G530">
            <v>0</v>
          </cell>
        </row>
        <row r="531">
          <cell r="B531">
            <v>1730</v>
          </cell>
          <cell r="C531">
            <v>281492.03000000003</v>
          </cell>
          <cell r="D531" t="str">
            <v>PHP</v>
          </cell>
          <cell r="E531">
            <v>1</v>
          </cell>
          <cell r="F531" t="str">
            <v>PC</v>
          </cell>
          <cell r="G531">
            <v>0</v>
          </cell>
        </row>
        <row r="532">
          <cell r="B532">
            <v>1731</v>
          </cell>
          <cell r="C532">
            <v>51942.59</v>
          </cell>
          <cell r="D532" t="str">
            <v>PHP</v>
          </cell>
          <cell r="E532">
            <v>2</v>
          </cell>
          <cell r="F532" t="str">
            <v>PC</v>
          </cell>
          <cell r="G532">
            <v>0</v>
          </cell>
        </row>
        <row r="533">
          <cell r="B533">
            <v>1732</v>
          </cell>
          <cell r="C533">
            <v>407369.32</v>
          </cell>
          <cell r="D533" t="str">
            <v>PHP</v>
          </cell>
          <cell r="E533">
            <v>1</v>
          </cell>
          <cell r="F533" t="str">
            <v>PC</v>
          </cell>
          <cell r="G533">
            <v>0</v>
          </cell>
        </row>
        <row r="534">
          <cell r="B534">
            <v>1733</v>
          </cell>
          <cell r="C534">
            <v>7198</v>
          </cell>
          <cell r="D534" t="str">
            <v>PHP</v>
          </cell>
          <cell r="E534">
            <v>2</v>
          </cell>
          <cell r="F534" t="str">
            <v>PC</v>
          </cell>
          <cell r="G534">
            <v>0</v>
          </cell>
        </row>
        <row r="535">
          <cell r="B535">
            <v>1737</v>
          </cell>
          <cell r="C535">
            <v>273249.45</v>
          </cell>
          <cell r="D535" t="str">
            <v>PHP</v>
          </cell>
          <cell r="E535">
            <v>1</v>
          </cell>
          <cell r="F535" t="str">
            <v>PC</v>
          </cell>
          <cell r="G535">
            <v>0</v>
          </cell>
        </row>
        <row r="536">
          <cell r="B536">
            <v>1739</v>
          </cell>
          <cell r="C536">
            <v>288406.25</v>
          </cell>
          <cell r="D536" t="str">
            <v>PHP</v>
          </cell>
          <cell r="E536">
            <v>1</v>
          </cell>
          <cell r="F536" t="str">
            <v>PC</v>
          </cell>
          <cell r="G536">
            <v>0</v>
          </cell>
        </row>
        <row r="537">
          <cell r="B537">
            <v>1740</v>
          </cell>
          <cell r="C537">
            <v>236407.5</v>
          </cell>
          <cell r="D537" t="str">
            <v>PHP</v>
          </cell>
          <cell r="E537">
            <v>1</v>
          </cell>
          <cell r="F537" t="str">
            <v>PC</v>
          </cell>
          <cell r="G537">
            <v>0</v>
          </cell>
        </row>
        <row r="538">
          <cell r="B538">
            <v>1751</v>
          </cell>
          <cell r="C538">
            <v>0</v>
          </cell>
          <cell r="D538" t="str">
            <v>PHP</v>
          </cell>
          <cell r="E538">
            <v>0</v>
          </cell>
          <cell r="F538" t="str">
            <v>PC</v>
          </cell>
          <cell r="G538">
            <v>0</v>
          </cell>
        </row>
        <row r="539">
          <cell r="B539">
            <v>1753</v>
          </cell>
          <cell r="C539">
            <v>45250</v>
          </cell>
          <cell r="D539" t="str">
            <v>PHP</v>
          </cell>
          <cell r="E539">
            <v>5</v>
          </cell>
          <cell r="F539" t="str">
            <v>PC</v>
          </cell>
          <cell r="G539">
            <v>0</v>
          </cell>
        </row>
        <row r="540">
          <cell r="B540">
            <v>1757</v>
          </cell>
          <cell r="C540">
            <v>48476.78</v>
          </cell>
          <cell r="D540" t="str">
            <v>PHP</v>
          </cell>
          <cell r="E540">
            <v>2</v>
          </cell>
          <cell r="F540" t="str">
            <v>PC</v>
          </cell>
          <cell r="G540">
            <v>0</v>
          </cell>
        </row>
        <row r="541">
          <cell r="B541">
            <v>1758</v>
          </cell>
          <cell r="C541">
            <v>79399.509999999995</v>
          </cell>
          <cell r="D541" t="str">
            <v>PHP</v>
          </cell>
          <cell r="E541">
            <v>2</v>
          </cell>
          <cell r="F541" t="str">
            <v>PC</v>
          </cell>
          <cell r="G541">
            <v>0</v>
          </cell>
        </row>
        <row r="542">
          <cell r="B542">
            <v>1762</v>
          </cell>
          <cell r="C542">
            <v>3968.71</v>
          </cell>
          <cell r="D542" t="str">
            <v>PHP</v>
          </cell>
          <cell r="E542">
            <v>3</v>
          </cell>
          <cell r="F542" t="str">
            <v>PC</v>
          </cell>
          <cell r="G542">
            <v>0</v>
          </cell>
        </row>
        <row r="543">
          <cell r="B543">
            <v>1763</v>
          </cell>
          <cell r="C543">
            <v>17181.509999999998</v>
          </cell>
          <cell r="D543" t="str">
            <v>PHP</v>
          </cell>
          <cell r="E543">
            <v>5</v>
          </cell>
          <cell r="F543" t="str">
            <v>PC</v>
          </cell>
          <cell r="G543">
            <v>0</v>
          </cell>
        </row>
        <row r="544">
          <cell r="B544">
            <v>1770</v>
          </cell>
          <cell r="C544">
            <v>0</v>
          </cell>
          <cell r="D544" t="str">
            <v>PHP</v>
          </cell>
          <cell r="E544">
            <v>0</v>
          </cell>
          <cell r="F544" t="str">
            <v>SET</v>
          </cell>
          <cell r="G544">
            <v>0</v>
          </cell>
        </row>
        <row r="545">
          <cell r="B545">
            <v>1777</v>
          </cell>
          <cell r="C545">
            <v>0</v>
          </cell>
          <cell r="D545" t="str">
            <v>PHP</v>
          </cell>
          <cell r="E545">
            <v>0</v>
          </cell>
          <cell r="F545" t="str">
            <v>SET</v>
          </cell>
          <cell r="G545">
            <v>0</v>
          </cell>
        </row>
        <row r="546">
          <cell r="B546">
            <v>1781</v>
          </cell>
          <cell r="C546">
            <v>0</v>
          </cell>
          <cell r="D546" t="str">
            <v>PHP</v>
          </cell>
          <cell r="E546">
            <v>0</v>
          </cell>
          <cell r="F546" t="str">
            <v>PC</v>
          </cell>
          <cell r="G546">
            <v>0</v>
          </cell>
        </row>
        <row r="547">
          <cell r="B547">
            <v>1782</v>
          </cell>
          <cell r="C547">
            <v>0</v>
          </cell>
          <cell r="D547" t="str">
            <v>PHP</v>
          </cell>
          <cell r="E547">
            <v>0</v>
          </cell>
          <cell r="F547" t="str">
            <v>ASY</v>
          </cell>
          <cell r="G547">
            <v>0</v>
          </cell>
        </row>
        <row r="548">
          <cell r="B548">
            <v>1790</v>
          </cell>
          <cell r="C548">
            <v>768059.77</v>
          </cell>
          <cell r="D548" t="str">
            <v>PHP</v>
          </cell>
          <cell r="E548">
            <v>116</v>
          </cell>
          <cell r="F548" t="str">
            <v>ASY</v>
          </cell>
          <cell r="G548">
            <v>0</v>
          </cell>
        </row>
        <row r="549">
          <cell r="B549">
            <v>1791</v>
          </cell>
          <cell r="C549">
            <v>0</v>
          </cell>
          <cell r="D549" t="str">
            <v>PHP</v>
          </cell>
          <cell r="E549">
            <v>0</v>
          </cell>
          <cell r="F549" t="str">
            <v>PC</v>
          </cell>
          <cell r="G549">
            <v>0</v>
          </cell>
        </row>
        <row r="550">
          <cell r="B550">
            <v>1798</v>
          </cell>
          <cell r="C550">
            <v>0</v>
          </cell>
          <cell r="D550" t="str">
            <v>PHP</v>
          </cell>
          <cell r="E550">
            <v>0</v>
          </cell>
          <cell r="F550" t="str">
            <v>PC</v>
          </cell>
          <cell r="G550">
            <v>0</v>
          </cell>
        </row>
        <row r="551">
          <cell r="B551">
            <v>1801</v>
          </cell>
          <cell r="C551">
            <v>0</v>
          </cell>
          <cell r="D551" t="str">
            <v>PHP</v>
          </cell>
          <cell r="E551">
            <v>0</v>
          </cell>
          <cell r="F551" t="str">
            <v>PC</v>
          </cell>
          <cell r="G551">
            <v>0</v>
          </cell>
        </row>
        <row r="552">
          <cell r="B552">
            <v>1815</v>
          </cell>
          <cell r="C552">
            <v>57135.72</v>
          </cell>
          <cell r="D552" t="str">
            <v>PHP</v>
          </cell>
          <cell r="E552">
            <v>2</v>
          </cell>
          <cell r="F552" t="str">
            <v>PC</v>
          </cell>
          <cell r="G552">
            <v>0</v>
          </cell>
        </row>
        <row r="553">
          <cell r="B553">
            <v>1858</v>
          </cell>
          <cell r="C553">
            <v>54954</v>
          </cell>
          <cell r="D553" t="str">
            <v>PHP</v>
          </cell>
          <cell r="E553">
            <v>1</v>
          </cell>
          <cell r="F553" t="str">
            <v>PC</v>
          </cell>
          <cell r="G553">
            <v>0</v>
          </cell>
        </row>
        <row r="554">
          <cell r="B554">
            <v>1859</v>
          </cell>
          <cell r="C554">
            <v>15592.5</v>
          </cell>
          <cell r="D554" t="str">
            <v>PHP</v>
          </cell>
          <cell r="E554">
            <v>2</v>
          </cell>
          <cell r="F554" t="str">
            <v>PC</v>
          </cell>
          <cell r="G554">
            <v>0</v>
          </cell>
        </row>
        <row r="555">
          <cell r="B555">
            <v>1860</v>
          </cell>
          <cell r="C555">
            <v>1064</v>
          </cell>
          <cell r="D555" t="str">
            <v>PHP</v>
          </cell>
          <cell r="E555">
            <v>4</v>
          </cell>
          <cell r="F555" t="str">
            <v>PC</v>
          </cell>
          <cell r="G555">
            <v>0</v>
          </cell>
        </row>
        <row r="556">
          <cell r="B556">
            <v>1868</v>
          </cell>
          <cell r="C556">
            <v>16825.22</v>
          </cell>
          <cell r="D556" t="str">
            <v>PHP</v>
          </cell>
          <cell r="E556">
            <v>1</v>
          </cell>
          <cell r="F556" t="str">
            <v>PC</v>
          </cell>
          <cell r="G556">
            <v>0</v>
          </cell>
        </row>
        <row r="557">
          <cell r="B557">
            <v>1869</v>
          </cell>
          <cell r="C557">
            <v>80577.72</v>
          </cell>
          <cell r="D557" t="str">
            <v>PHP</v>
          </cell>
          <cell r="E557">
            <v>9</v>
          </cell>
          <cell r="F557" t="str">
            <v>PC</v>
          </cell>
          <cell r="G557">
            <v>0</v>
          </cell>
        </row>
        <row r="558">
          <cell r="B558">
            <v>1909</v>
          </cell>
          <cell r="C558">
            <v>124962</v>
          </cell>
          <cell r="D558" t="str">
            <v>PHP</v>
          </cell>
          <cell r="E558">
            <v>1</v>
          </cell>
          <cell r="F558" t="str">
            <v>PC</v>
          </cell>
          <cell r="G558">
            <v>0</v>
          </cell>
        </row>
        <row r="559">
          <cell r="B559">
            <v>1913</v>
          </cell>
          <cell r="C559">
            <v>0</v>
          </cell>
          <cell r="D559" t="str">
            <v>PHP</v>
          </cell>
          <cell r="E559">
            <v>0</v>
          </cell>
          <cell r="F559" t="str">
            <v>PC</v>
          </cell>
          <cell r="G559">
            <v>0</v>
          </cell>
        </row>
        <row r="560">
          <cell r="B560">
            <v>1914</v>
          </cell>
          <cell r="C560">
            <v>74051.25</v>
          </cell>
          <cell r="D560" t="str">
            <v>PHP</v>
          </cell>
          <cell r="E560">
            <v>22</v>
          </cell>
          <cell r="F560" t="str">
            <v>PC</v>
          </cell>
          <cell r="G560">
            <v>0</v>
          </cell>
        </row>
        <row r="561">
          <cell r="B561">
            <v>1919</v>
          </cell>
          <cell r="C561">
            <v>0</v>
          </cell>
          <cell r="D561" t="str">
            <v>PHP</v>
          </cell>
          <cell r="E561">
            <v>0</v>
          </cell>
          <cell r="F561" t="str">
            <v>SET</v>
          </cell>
          <cell r="G561">
            <v>0</v>
          </cell>
        </row>
        <row r="562">
          <cell r="B562">
            <v>1921</v>
          </cell>
          <cell r="C562">
            <v>3005.12</v>
          </cell>
          <cell r="D562" t="str">
            <v>PHP</v>
          </cell>
          <cell r="E562">
            <v>2</v>
          </cell>
          <cell r="F562" t="str">
            <v>PC</v>
          </cell>
          <cell r="G562">
            <v>0</v>
          </cell>
        </row>
        <row r="563">
          <cell r="B563">
            <v>1922</v>
          </cell>
          <cell r="C563">
            <v>14511.99</v>
          </cell>
          <cell r="D563" t="str">
            <v>PHP</v>
          </cell>
          <cell r="E563">
            <v>4</v>
          </cell>
          <cell r="F563" t="str">
            <v>PC</v>
          </cell>
          <cell r="G563">
            <v>0</v>
          </cell>
        </row>
        <row r="564">
          <cell r="B564">
            <v>1923</v>
          </cell>
          <cell r="C564">
            <v>13677.42</v>
          </cell>
          <cell r="D564" t="str">
            <v>PHP</v>
          </cell>
          <cell r="E564">
            <v>5</v>
          </cell>
          <cell r="F564" t="str">
            <v>PC</v>
          </cell>
          <cell r="G564">
            <v>0</v>
          </cell>
        </row>
        <row r="565">
          <cell r="B565">
            <v>1925</v>
          </cell>
          <cell r="C565">
            <v>285600</v>
          </cell>
          <cell r="D565" t="str">
            <v>PHP</v>
          </cell>
          <cell r="E565">
            <v>12</v>
          </cell>
          <cell r="F565" t="str">
            <v>PC</v>
          </cell>
          <cell r="G565">
            <v>0</v>
          </cell>
        </row>
        <row r="566">
          <cell r="B566">
            <v>1934</v>
          </cell>
          <cell r="C566">
            <v>0</v>
          </cell>
          <cell r="D566" t="str">
            <v>PHP</v>
          </cell>
          <cell r="E566">
            <v>0</v>
          </cell>
          <cell r="F566" t="str">
            <v>ROL</v>
          </cell>
          <cell r="G566">
            <v>0</v>
          </cell>
        </row>
        <row r="567">
          <cell r="B567">
            <v>1935</v>
          </cell>
          <cell r="C567">
            <v>0</v>
          </cell>
          <cell r="D567" t="str">
            <v>PHP</v>
          </cell>
          <cell r="E567">
            <v>0</v>
          </cell>
          <cell r="F567" t="str">
            <v>ROL</v>
          </cell>
          <cell r="G567">
            <v>0</v>
          </cell>
        </row>
        <row r="568">
          <cell r="B568">
            <v>1936</v>
          </cell>
          <cell r="C568">
            <v>815800</v>
          </cell>
          <cell r="D568" t="str">
            <v>PHP</v>
          </cell>
          <cell r="E568">
            <v>2</v>
          </cell>
          <cell r="F568" t="str">
            <v>PC</v>
          </cell>
          <cell r="G568">
            <v>0</v>
          </cell>
        </row>
        <row r="569">
          <cell r="B569">
            <v>1937</v>
          </cell>
          <cell r="C569">
            <v>0</v>
          </cell>
          <cell r="D569" t="str">
            <v>PHP</v>
          </cell>
          <cell r="E569">
            <v>0</v>
          </cell>
          <cell r="F569" t="str">
            <v>PC</v>
          </cell>
          <cell r="G569">
            <v>0</v>
          </cell>
        </row>
        <row r="570">
          <cell r="B570">
            <v>1938</v>
          </cell>
          <cell r="C570">
            <v>0</v>
          </cell>
          <cell r="D570" t="str">
            <v>PHP</v>
          </cell>
          <cell r="E570">
            <v>0</v>
          </cell>
          <cell r="F570" t="str">
            <v>PC</v>
          </cell>
          <cell r="G570">
            <v>0</v>
          </cell>
        </row>
        <row r="571">
          <cell r="B571">
            <v>1939</v>
          </cell>
          <cell r="C571">
            <v>39311.699999999997</v>
          </cell>
          <cell r="D571" t="str">
            <v>PHP</v>
          </cell>
          <cell r="E571">
            <v>3</v>
          </cell>
          <cell r="F571" t="str">
            <v>PC</v>
          </cell>
          <cell r="G571">
            <v>0</v>
          </cell>
        </row>
        <row r="572">
          <cell r="B572">
            <v>1940</v>
          </cell>
          <cell r="C572">
            <v>40911</v>
          </cell>
          <cell r="D572" t="str">
            <v>PHP</v>
          </cell>
          <cell r="E572">
            <v>4</v>
          </cell>
          <cell r="F572" t="str">
            <v>PC</v>
          </cell>
          <cell r="G572">
            <v>0</v>
          </cell>
        </row>
        <row r="573">
          <cell r="B573">
            <v>1941</v>
          </cell>
          <cell r="C573">
            <v>539050.75</v>
          </cell>
          <cell r="D573" t="str">
            <v>PHP</v>
          </cell>
          <cell r="E573">
            <v>2</v>
          </cell>
          <cell r="F573" t="str">
            <v>PC</v>
          </cell>
          <cell r="G573">
            <v>0</v>
          </cell>
        </row>
        <row r="574">
          <cell r="B574">
            <v>1944</v>
          </cell>
          <cell r="C574">
            <v>1945.14</v>
          </cell>
          <cell r="D574" t="str">
            <v>PHP</v>
          </cell>
          <cell r="E574">
            <v>2</v>
          </cell>
          <cell r="F574" t="str">
            <v>PC</v>
          </cell>
          <cell r="G574">
            <v>0</v>
          </cell>
        </row>
        <row r="575">
          <cell r="B575">
            <v>1945</v>
          </cell>
          <cell r="C575">
            <v>140086.07999999999</v>
          </cell>
          <cell r="D575" t="str">
            <v>PHP</v>
          </cell>
          <cell r="E575">
            <v>4</v>
          </cell>
          <cell r="F575" t="str">
            <v>PC</v>
          </cell>
          <cell r="G575">
            <v>0</v>
          </cell>
        </row>
        <row r="576">
          <cell r="B576">
            <v>1946</v>
          </cell>
          <cell r="C576">
            <v>0</v>
          </cell>
          <cell r="D576" t="str">
            <v>PHP</v>
          </cell>
          <cell r="E576">
            <v>0</v>
          </cell>
          <cell r="F576" t="str">
            <v>PC</v>
          </cell>
          <cell r="G576">
            <v>0</v>
          </cell>
        </row>
        <row r="577">
          <cell r="B577">
            <v>1947</v>
          </cell>
          <cell r="C577">
            <v>79953.740000000005</v>
          </cell>
          <cell r="D577" t="str">
            <v>PHP</v>
          </cell>
          <cell r="E577">
            <v>12</v>
          </cell>
          <cell r="F577" t="str">
            <v>PC</v>
          </cell>
          <cell r="G577">
            <v>0</v>
          </cell>
        </row>
        <row r="578">
          <cell r="B578">
            <v>1952</v>
          </cell>
          <cell r="C578">
            <v>7560</v>
          </cell>
          <cell r="D578" t="str">
            <v>PHP</v>
          </cell>
          <cell r="E578">
            <v>1</v>
          </cell>
          <cell r="F578" t="str">
            <v>PC</v>
          </cell>
          <cell r="G578">
            <v>0</v>
          </cell>
        </row>
        <row r="579">
          <cell r="B579">
            <v>1953</v>
          </cell>
          <cell r="C579">
            <v>116496.48</v>
          </cell>
          <cell r="D579" t="str">
            <v>PHP</v>
          </cell>
          <cell r="E579">
            <v>6</v>
          </cell>
          <cell r="F579" t="str">
            <v>PC</v>
          </cell>
          <cell r="G579">
            <v>0</v>
          </cell>
        </row>
        <row r="580">
          <cell r="B580">
            <v>1954</v>
          </cell>
          <cell r="C580">
            <v>0</v>
          </cell>
          <cell r="D580" t="str">
            <v>PHP</v>
          </cell>
          <cell r="E580">
            <v>0</v>
          </cell>
          <cell r="F580" t="str">
            <v>PC</v>
          </cell>
          <cell r="G580">
            <v>0</v>
          </cell>
        </row>
        <row r="581">
          <cell r="B581">
            <v>1957</v>
          </cell>
          <cell r="C581">
            <v>0</v>
          </cell>
          <cell r="D581" t="str">
            <v>PHP</v>
          </cell>
          <cell r="E581">
            <v>0</v>
          </cell>
          <cell r="F581" t="str">
            <v>PC</v>
          </cell>
          <cell r="G581">
            <v>0</v>
          </cell>
        </row>
        <row r="582">
          <cell r="B582">
            <v>1958</v>
          </cell>
          <cell r="C582">
            <v>45644.73</v>
          </cell>
          <cell r="D582" t="str">
            <v>PHP</v>
          </cell>
          <cell r="E582">
            <v>3</v>
          </cell>
          <cell r="F582" t="str">
            <v>PC</v>
          </cell>
          <cell r="G582">
            <v>0</v>
          </cell>
        </row>
        <row r="583">
          <cell r="B583">
            <v>1959</v>
          </cell>
          <cell r="C583">
            <v>42665.599999999999</v>
          </cell>
          <cell r="D583" t="str">
            <v>PHP</v>
          </cell>
          <cell r="E583">
            <v>2</v>
          </cell>
          <cell r="F583" t="str">
            <v>PC</v>
          </cell>
          <cell r="G583">
            <v>0</v>
          </cell>
        </row>
        <row r="584">
          <cell r="B584">
            <v>1961</v>
          </cell>
          <cell r="C584">
            <v>4712.54</v>
          </cell>
          <cell r="D584" t="str">
            <v>PHP</v>
          </cell>
          <cell r="E584">
            <v>2</v>
          </cell>
          <cell r="F584" t="str">
            <v>ASY</v>
          </cell>
          <cell r="G584">
            <v>0</v>
          </cell>
        </row>
        <row r="585">
          <cell r="B585">
            <v>1962</v>
          </cell>
          <cell r="C585">
            <v>20955.189999999999</v>
          </cell>
          <cell r="D585" t="str">
            <v>PHP</v>
          </cell>
          <cell r="E585">
            <v>3</v>
          </cell>
          <cell r="F585" t="str">
            <v>PC</v>
          </cell>
          <cell r="G585">
            <v>0</v>
          </cell>
        </row>
        <row r="586">
          <cell r="B586">
            <v>1968</v>
          </cell>
          <cell r="C586">
            <v>0</v>
          </cell>
          <cell r="D586" t="str">
            <v>PHP</v>
          </cell>
          <cell r="E586">
            <v>0</v>
          </cell>
          <cell r="F586" t="str">
            <v>PC</v>
          </cell>
          <cell r="G586">
            <v>0</v>
          </cell>
        </row>
        <row r="587">
          <cell r="B587">
            <v>1993</v>
          </cell>
          <cell r="C587">
            <v>0</v>
          </cell>
          <cell r="D587" t="str">
            <v>PHP</v>
          </cell>
          <cell r="E587">
            <v>0</v>
          </cell>
          <cell r="F587" t="str">
            <v>PC</v>
          </cell>
          <cell r="G587">
            <v>0</v>
          </cell>
        </row>
        <row r="588">
          <cell r="B588">
            <v>1997</v>
          </cell>
          <cell r="C588">
            <v>290867.15000000002</v>
          </cell>
          <cell r="D588" t="str">
            <v>PHP</v>
          </cell>
          <cell r="E588">
            <v>2</v>
          </cell>
          <cell r="F588" t="str">
            <v>PC</v>
          </cell>
          <cell r="G588">
            <v>0</v>
          </cell>
        </row>
        <row r="589">
          <cell r="B589">
            <v>1998</v>
          </cell>
          <cell r="C589">
            <v>272586.52</v>
          </cell>
          <cell r="D589" t="str">
            <v>PHP</v>
          </cell>
          <cell r="E589">
            <v>2</v>
          </cell>
          <cell r="F589" t="str">
            <v>PC</v>
          </cell>
          <cell r="G589">
            <v>0</v>
          </cell>
        </row>
        <row r="590">
          <cell r="B590">
            <v>1999</v>
          </cell>
          <cell r="C590">
            <v>7588</v>
          </cell>
          <cell r="D590" t="str">
            <v>PHP</v>
          </cell>
          <cell r="E590">
            <v>1</v>
          </cell>
          <cell r="F590" t="str">
            <v>PC</v>
          </cell>
          <cell r="G590">
            <v>0</v>
          </cell>
        </row>
        <row r="591">
          <cell r="B591">
            <v>2002</v>
          </cell>
          <cell r="C591">
            <v>49327.8</v>
          </cell>
          <cell r="D591" t="str">
            <v>PHP</v>
          </cell>
          <cell r="E591">
            <v>12</v>
          </cell>
          <cell r="F591" t="str">
            <v>PC</v>
          </cell>
          <cell r="G591">
            <v>0</v>
          </cell>
        </row>
        <row r="592">
          <cell r="B592">
            <v>2003</v>
          </cell>
          <cell r="C592">
            <v>9649.25</v>
          </cell>
          <cell r="D592" t="str">
            <v>PHP</v>
          </cell>
          <cell r="E592">
            <v>1</v>
          </cell>
          <cell r="F592" t="str">
            <v>PC</v>
          </cell>
          <cell r="G592">
            <v>0</v>
          </cell>
        </row>
        <row r="593">
          <cell r="B593">
            <v>2004</v>
          </cell>
          <cell r="C593">
            <v>14877.35</v>
          </cell>
          <cell r="D593" t="str">
            <v>PHP</v>
          </cell>
          <cell r="E593">
            <v>10</v>
          </cell>
          <cell r="F593" t="str">
            <v>PC</v>
          </cell>
          <cell r="G593">
            <v>0</v>
          </cell>
        </row>
        <row r="594">
          <cell r="B594">
            <v>2008</v>
          </cell>
          <cell r="C594">
            <v>57600</v>
          </cell>
          <cell r="D594" t="str">
            <v>PHP</v>
          </cell>
          <cell r="E594">
            <v>16</v>
          </cell>
          <cell r="F594" t="str">
            <v>PC</v>
          </cell>
          <cell r="G594">
            <v>0</v>
          </cell>
        </row>
        <row r="595">
          <cell r="B595">
            <v>2030</v>
          </cell>
          <cell r="C595">
            <v>8008.72</v>
          </cell>
          <cell r="D595" t="str">
            <v>PHP</v>
          </cell>
          <cell r="E595">
            <v>1</v>
          </cell>
          <cell r="F595" t="str">
            <v>PC</v>
          </cell>
          <cell r="G595">
            <v>0</v>
          </cell>
        </row>
        <row r="596">
          <cell r="B596">
            <v>2047</v>
          </cell>
          <cell r="C596">
            <v>30278.38</v>
          </cell>
          <cell r="D596" t="str">
            <v>PHP</v>
          </cell>
          <cell r="E596">
            <v>4</v>
          </cell>
          <cell r="F596" t="str">
            <v>PC</v>
          </cell>
          <cell r="G596">
            <v>0</v>
          </cell>
        </row>
        <row r="597">
          <cell r="B597">
            <v>2053</v>
          </cell>
          <cell r="C597">
            <v>69127.710000000006</v>
          </cell>
          <cell r="D597" t="str">
            <v>PHP</v>
          </cell>
          <cell r="E597">
            <v>3</v>
          </cell>
          <cell r="F597" t="str">
            <v>PC</v>
          </cell>
          <cell r="G597">
            <v>0</v>
          </cell>
        </row>
        <row r="598">
          <cell r="B598">
            <v>2056</v>
          </cell>
          <cell r="C598">
            <v>5940</v>
          </cell>
          <cell r="D598" t="str">
            <v>PHP</v>
          </cell>
          <cell r="E598">
            <v>6</v>
          </cell>
          <cell r="F598" t="str">
            <v>PC</v>
          </cell>
          <cell r="G598">
            <v>0</v>
          </cell>
        </row>
        <row r="599">
          <cell r="B599">
            <v>2067</v>
          </cell>
          <cell r="C599">
            <v>7166.8</v>
          </cell>
          <cell r="D599" t="str">
            <v>PHP</v>
          </cell>
          <cell r="E599">
            <v>8</v>
          </cell>
          <cell r="F599" t="str">
            <v>PC</v>
          </cell>
          <cell r="G599">
            <v>0</v>
          </cell>
        </row>
        <row r="600">
          <cell r="B600">
            <v>2070</v>
          </cell>
          <cell r="C600">
            <v>9668.65</v>
          </cell>
          <cell r="D600" t="str">
            <v>PHP</v>
          </cell>
          <cell r="E600">
            <v>5</v>
          </cell>
          <cell r="F600" t="str">
            <v>PC</v>
          </cell>
          <cell r="G600">
            <v>0</v>
          </cell>
        </row>
        <row r="601">
          <cell r="B601">
            <v>2071</v>
          </cell>
          <cell r="C601">
            <v>8560.17</v>
          </cell>
          <cell r="D601" t="str">
            <v>PHP</v>
          </cell>
          <cell r="E601">
            <v>8</v>
          </cell>
          <cell r="F601" t="str">
            <v>PC</v>
          </cell>
          <cell r="G601">
            <v>0</v>
          </cell>
        </row>
        <row r="602">
          <cell r="B602">
            <v>2081</v>
          </cell>
          <cell r="C602">
            <v>1296141.54</v>
          </cell>
          <cell r="D602" t="str">
            <v>PHP</v>
          </cell>
          <cell r="E602">
            <v>6</v>
          </cell>
          <cell r="F602" t="str">
            <v>PC</v>
          </cell>
          <cell r="G602">
            <v>0</v>
          </cell>
        </row>
        <row r="603">
          <cell r="B603">
            <v>2089</v>
          </cell>
          <cell r="C603">
            <v>660379.34</v>
          </cell>
          <cell r="D603" t="str">
            <v>PHP</v>
          </cell>
          <cell r="E603">
            <v>6</v>
          </cell>
          <cell r="F603" t="str">
            <v>PC</v>
          </cell>
          <cell r="G603">
            <v>0</v>
          </cell>
        </row>
        <row r="604">
          <cell r="B604">
            <v>2090</v>
          </cell>
          <cell r="C604">
            <v>399678.3</v>
          </cell>
          <cell r="D604" t="str">
            <v>PHP</v>
          </cell>
          <cell r="E604">
            <v>3</v>
          </cell>
          <cell r="F604" t="str">
            <v>PC</v>
          </cell>
          <cell r="G604">
            <v>0</v>
          </cell>
        </row>
        <row r="605">
          <cell r="B605">
            <v>2091</v>
          </cell>
          <cell r="C605">
            <v>681071.03</v>
          </cell>
          <cell r="D605" t="str">
            <v>PHP</v>
          </cell>
          <cell r="E605">
            <v>6</v>
          </cell>
          <cell r="F605" t="str">
            <v>PC</v>
          </cell>
          <cell r="G605">
            <v>0</v>
          </cell>
        </row>
        <row r="606">
          <cell r="B606">
            <v>2092</v>
          </cell>
          <cell r="C606">
            <v>1567.24</v>
          </cell>
          <cell r="D606" t="str">
            <v>PHP</v>
          </cell>
          <cell r="E606">
            <v>2</v>
          </cell>
          <cell r="F606" t="str">
            <v>PC</v>
          </cell>
          <cell r="G606">
            <v>0</v>
          </cell>
        </row>
        <row r="607">
          <cell r="B607">
            <v>2096</v>
          </cell>
          <cell r="C607">
            <v>59273.03</v>
          </cell>
          <cell r="D607" t="str">
            <v>PHP</v>
          </cell>
          <cell r="E607">
            <v>48</v>
          </cell>
          <cell r="F607" t="str">
            <v>PC</v>
          </cell>
          <cell r="G607">
            <v>0</v>
          </cell>
        </row>
        <row r="608">
          <cell r="B608">
            <v>2098</v>
          </cell>
          <cell r="C608">
            <v>22028.9</v>
          </cell>
          <cell r="D608" t="str">
            <v>PHP</v>
          </cell>
          <cell r="E608">
            <v>2</v>
          </cell>
          <cell r="F608" t="str">
            <v>PC</v>
          </cell>
          <cell r="G608">
            <v>0</v>
          </cell>
        </row>
        <row r="609">
          <cell r="B609">
            <v>2104</v>
          </cell>
          <cell r="C609">
            <v>7876.96</v>
          </cell>
          <cell r="D609" t="str">
            <v>PHP</v>
          </cell>
          <cell r="E609">
            <v>1</v>
          </cell>
          <cell r="F609" t="str">
            <v>PC</v>
          </cell>
          <cell r="G609">
            <v>0</v>
          </cell>
        </row>
        <row r="610">
          <cell r="B610">
            <v>2105</v>
          </cell>
          <cell r="C610">
            <v>27698</v>
          </cell>
          <cell r="D610" t="str">
            <v>PHP</v>
          </cell>
          <cell r="E610">
            <v>2</v>
          </cell>
          <cell r="F610" t="str">
            <v>PC</v>
          </cell>
          <cell r="G610">
            <v>0</v>
          </cell>
        </row>
        <row r="611">
          <cell r="B611">
            <v>2106</v>
          </cell>
          <cell r="C611">
            <v>7878</v>
          </cell>
          <cell r="D611" t="str">
            <v>PHP</v>
          </cell>
          <cell r="E611">
            <v>2</v>
          </cell>
          <cell r="F611" t="str">
            <v>PC</v>
          </cell>
          <cell r="G611">
            <v>0</v>
          </cell>
        </row>
        <row r="612">
          <cell r="B612">
            <v>2112</v>
          </cell>
          <cell r="C612">
            <v>220875.34</v>
          </cell>
          <cell r="D612" t="str">
            <v>PHP</v>
          </cell>
          <cell r="E612">
            <v>20</v>
          </cell>
          <cell r="F612" t="str">
            <v>PC</v>
          </cell>
          <cell r="G612">
            <v>0</v>
          </cell>
        </row>
        <row r="613">
          <cell r="B613">
            <v>2114</v>
          </cell>
          <cell r="C613">
            <v>10523.21</v>
          </cell>
          <cell r="D613" t="str">
            <v>PHP</v>
          </cell>
          <cell r="E613">
            <v>6</v>
          </cell>
          <cell r="F613" t="str">
            <v>PC</v>
          </cell>
          <cell r="G613">
            <v>0</v>
          </cell>
        </row>
        <row r="614">
          <cell r="B614">
            <v>2115</v>
          </cell>
          <cell r="C614">
            <v>748328.85</v>
          </cell>
          <cell r="D614" t="str">
            <v>PHP</v>
          </cell>
          <cell r="E614">
            <v>3</v>
          </cell>
          <cell r="F614" t="str">
            <v>PC</v>
          </cell>
          <cell r="G614">
            <v>0</v>
          </cell>
        </row>
        <row r="615">
          <cell r="B615">
            <v>2116</v>
          </cell>
          <cell r="C615">
            <v>1352295</v>
          </cell>
          <cell r="D615" t="str">
            <v>PHP</v>
          </cell>
          <cell r="E615">
            <v>3</v>
          </cell>
          <cell r="F615" t="str">
            <v>PC</v>
          </cell>
          <cell r="G615">
            <v>0</v>
          </cell>
        </row>
        <row r="616">
          <cell r="B616">
            <v>2128</v>
          </cell>
          <cell r="C616">
            <v>15120</v>
          </cell>
          <cell r="D616" t="str">
            <v>PHP</v>
          </cell>
          <cell r="E616">
            <v>1</v>
          </cell>
          <cell r="F616" t="str">
            <v>PC</v>
          </cell>
          <cell r="G616">
            <v>0</v>
          </cell>
        </row>
        <row r="617">
          <cell r="B617">
            <v>2129</v>
          </cell>
          <cell r="C617">
            <v>52791.4</v>
          </cell>
          <cell r="D617" t="str">
            <v>PHP</v>
          </cell>
          <cell r="E617">
            <v>20</v>
          </cell>
          <cell r="F617" t="str">
            <v>PC</v>
          </cell>
          <cell r="G617">
            <v>0</v>
          </cell>
        </row>
        <row r="618">
          <cell r="B618">
            <v>2132</v>
          </cell>
          <cell r="C618">
            <v>213476.36</v>
          </cell>
          <cell r="D618" t="str">
            <v>PHP</v>
          </cell>
          <cell r="E618">
            <v>20</v>
          </cell>
          <cell r="F618" t="str">
            <v>PC</v>
          </cell>
          <cell r="G618">
            <v>0</v>
          </cell>
        </row>
        <row r="619">
          <cell r="B619">
            <v>2133</v>
          </cell>
          <cell r="C619">
            <v>17045.52</v>
          </cell>
          <cell r="D619" t="str">
            <v>PHP</v>
          </cell>
          <cell r="E619">
            <v>4</v>
          </cell>
          <cell r="F619" t="str">
            <v>PC</v>
          </cell>
          <cell r="G619">
            <v>0</v>
          </cell>
        </row>
        <row r="620">
          <cell r="B620">
            <v>2134</v>
          </cell>
          <cell r="C620">
            <v>7900</v>
          </cell>
          <cell r="D620" t="str">
            <v>PHP</v>
          </cell>
          <cell r="E620">
            <v>1</v>
          </cell>
          <cell r="F620" t="str">
            <v>PC</v>
          </cell>
          <cell r="G620">
            <v>0</v>
          </cell>
        </row>
        <row r="621">
          <cell r="B621">
            <v>2135</v>
          </cell>
          <cell r="C621">
            <v>7900</v>
          </cell>
          <cell r="D621" t="str">
            <v>PHP</v>
          </cell>
          <cell r="E621">
            <v>1</v>
          </cell>
          <cell r="F621" t="str">
            <v>PC</v>
          </cell>
          <cell r="G621">
            <v>0</v>
          </cell>
        </row>
        <row r="622">
          <cell r="B622">
            <v>2136</v>
          </cell>
          <cell r="C622">
            <v>5764.94</v>
          </cell>
          <cell r="D622" t="str">
            <v>PHP</v>
          </cell>
          <cell r="E622">
            <v>6</v>
          </cell>
          <cell r="F622" t="str">
            <v>PC</v>
          </cell>
          <cell r="G622">
            <v>0</v>
          </cell>
        </row>
        <row r="623">
          <cell r="B623">
            <v>2144</v>
          </cell>
          <cell r="C623">
            <v>302130.99</v>
          </cell>
          <cell r="D623" t="str">
            <v>PHP</v>
          </cell>
          <cell r="E623">
            <v>2</v>
          </cell>
          <cell r="F623" t="str">
            <v>PC</v>
          </cell>
          <cell r="G623">
            <v>0</v>
          </cell>
        </row>
        <row r="624">
          <cell r="B624">
            <v>2146</v>
          </cell>
          <cell r="C624">
            <v>127712</v>
          </cell>
          <cell r="D624" t="str">
            <v>PHP</v>
          </cell>
          <cell r="E624">
            <v>2</v>
          </cell>
          <cell r="F624" t="str">
            <v>PC</v>
          </cell>
          <cell r="G624">
            <v>0</v>
          </cell>
        </row>
        <row r="625">
          <cell r="B625">
            <v>2149</v>
          </cell>
          <cell r="C625">
            <v>0</v>
          </cell>
          <cell r="D625" t="str">
            <v>PHP</v>
          </cell>
          <cell r="E625">
            <v>0</v>
          </cell>
          <cell r="F625" t="str">
            <v>PC</v>
          </cell>
          <cell r="G625">
            <v>0</v>
          </cell>
        </row>
        <row r="626">
          <cell r="B626">
            <v>2172</v>
          </cell>
          <cell r="C626">
            <v>212004.92</v>
          </cell>
          <cell r="D626" t="str">
            <v>PHP</v>
          </cell>
          <cell r="E626">
            <v>2</v>
          </cell>
          <cell r="F626" t="str">
            <v>PC</v>
          </cell>
          <cell r="G626">
            <v>0</v>
          </cell>
        </row>
        <row r="627">
          <cell r="B627">
            <v>2175</v>
          </cell>
          <cell r="C627">
            <v>598206.19999999995</v>
          </cell>
          <cell r="D627" t="str">
            <v>PHP</v>
          </cell>
          <cell r="E627">
            <v>2</v>
          </cell>
          <cell r="F627" t="str">
            <v>PC</v>
          </cell>
          <cell r="G627">
            <v>0</v>
          </cell>
        </row>
        <row r="628">
          <cell r="B628">
            <v>2176</v>
          </cell>
          <cell r="C628">
            <v>794013.34</v>
          </cell>
          <cell r="D628" t="str">
            <v>PHP</v>
          </cell>
          <cell r="E628">
            <v>4</v>
          </cell>
          <cell r="F628" t="str">
            <v>PC</v>
          </cell>
          <cell r="G628">
            <v>0</v>
          </cell>
        </row>
        <row r="629">
          <cell r="B629">
            <v>2177</v>
          </cell>
          <cell r="C629">
            <v>160000</v>
          </cell>
          <cell r="D629" t="str">
            <v>PHP</v>
          </cell>
          <cell r="E629">
            <v>2</v>
          </cell>
          <cell r="F629" t="str">
            <v>PC</v>
          </cell>
          <cell r="G629">
            <v>0</v>
          </cell>
        </row>
        <row r="630">
          <cell r="B630">
            <v>2178</v>
          </cell>
          <cell r="C630">
            <v>313672.17</v>
          </cell>
          <cell r="D630" t="str">
            <v>PHP</v>
          </cell>
          <cell r="E630">
            <v>6</v>
          </cell>
          <cell r="F630" t="str">
            <v>PC</v>
          </cell>
          <cell r="G630">
            <v>0</v>
          </cell>
        </row>
        <row r="631">
          <cell r="B631">
            <v>2179</v>
          </cell>
          <cell r="C631">
            <v>30007.49</v>
          </cell>
          <cell r="D631" t="str">
            <v>PHP</v>
          </cell>
          <cell r="E631">
            <v>20</v>
          </cell>
          <cell r="F631" t="str">
            <v>PC</v>
          </cell>
          <cell r="G631">
            <v>0</v>
          </cell>
        </row>
        <row r="632">
          <cell r="B632">
            <v>2180</v>
          </cell>
          <cell r="C632">
            <v>40422.370000000003</v>
          </cell>
          <cell r="D632" t="str">
            <v>PHP</v>
          </cell>
          <cell r="E632">
            <v>3</v>
          </cell>
          <cell r="F632" t="str">
            <v>PC</v>
          </cell>
          <cell r="G632">
            <v>0</v>
          </cell>
        </row>
        <row r="633">
          <cell r="B633">
            <v>2191</v>
          </cell>
          <cell r="C633">
            <v>16468.3</v>
          </cell>
          <cell r="D633" t="str">
            <v>PHP</v>
          </cell>
          <cell r="E633">
            <v>4</v>
          </cell>
          <cell r="F633" t="str">
            <v>PC</v>
          </cell>
          <cell r="G633">
            <v>0</v>
          </cell>
        </row>
        <row r="634">
          <cell r="B634">
            <v>2192</v>
          </cell>
          <cell r="C634">
            <v>0</v>
          </cell>
          <cell r="D634" t="str">
            <v>PHP</v>
          </cell>
          <cell r="E634">
            <v>0</v>
          </cell>
          <cell r="F634" t="str">
            <v>PC</v>
          </cell>
          <cell r="G634">
            <v>0</v>
          </cell>
        </row>
        <row r="635">
          <cell r="B635">
            <v>2198</v>
          </cell>
          <cell r="C635">
            <v>46780.83</v>
          </cell>
          <cell r="D635" t="str">
            <v>PHP</v>
          </cell>
          <cell r="E635">
            <v>19</v>
          </cell>
          <cell r="F635" t="str">
            <v>PC</v>
          </cell>
          <cell r="G635">
            <v>0</v>
          </cell>
        </row>
        <row r="636">
          <cell r="B636">
            <v>2199</v>
          </cell>
          <cell r="C636">
            <v>50427.38</v>
          </cell>
          <cell r="D636" t="str">
            <v>PHP</v>
          </cell>
          <cell r="E636">
            <v>20</v>
          </cell>
          <cell r="F636" t="str">
            <v>PC</v>
          </cell>
          <cell r="G636">
            <v>0</v>
          </cell>
        </row>
        <row r="637">
          <cell r="B637">
            <v>2204</v>
          </cell>
          <cell r="C637">
            <v>3519.2</v>
          </cell>
          <cell r="D637" t="str">
            <v>PHP</v>
          </cell>
          <cell r="E637">
            <v>2</v>
          </cell>
          <cell r="F637" t="str">
            <v>PC</v>
          </cell>
          <cell r="G637">
            <v>0</v>
          </cell>
        </row>
        <row r="638">
          <cell r="B638">
            <v>2205</v>
          </cell>
          <cell r="C638">
            <v>3910.08</v>
          </cell>
          <cell r="D638" t="str">
            <v>PHP</v>
          </cell>
          <cell r="E638">
            <v>4</v>
          </cell>
          <cell r="F638" t="str">
            <v>PC</v>
          </cell>
          <cell r="G638">
            <v>0</v>
          </cell>
        </row>
        <row r="639">
          <cell r="B639">
            <v>2206</v>
          </cell>
          <cell r="C639">
            <v>23860</v>
          </cell>
          <cell r="D639" t="str">
            <v>PHP</v>
          </cell>
          <cell r="E639">
            <v>3</v>
          </cell>
          <cell r="F639" t="str">
            <v>PC</v>
          </cell>
          <cell r="G639">
            <v>0</v>
          </cell>
        </row>
        <row r="640">
          <cell r="B640">
            <v>2207</v>
          </cell>
          <cell r="C640">
            <v>0</v>
          </cell>
          <cell r="D640" t="str">
            <v>PHP</v>
          </cell>
          <cell r="E640">
            <v>0</v>
          </cell>
          <cell r="F640" t="str">
            <v>PC</v>
          </cell>
          <cell r="G640">
            <v>0</v>
          </cell>
        </row>
        <row r="641">
          <cell r="B641">
            <v>2209</v>
          </cell>
          <cell r="C641">
            <v>92843.64</v>
          </cell>
          <cell r="D641" t="str">
            <v>PHP</v>
          </cell>
          <cell r="E641">
            <v>20</v>
          </cell>
          <cell r="F641" t="str">
            <v>PC</v>
          </cell>
          <cell r="G641">
            <v>0</v>
          </cell>
        </row>
        <row r="642">
          <cell r="B642">
            <v>2213</v>
          </cell>
          <cell r="C642">
            <v>37580</v>
          </cell>
          <cell r="D642" t="str">
            <v>PHP</v>
          </cell>
          <cell r="E642">
            <v>10</v>
          </cell>
          <cell r="F642" t="str">
            <v>PC</v>
          </cell>
          <cell r="G642">
            <v>0</v>
          </cell>
        </row>
        <row r="643">
          <cell r="B643">
            <v>2214</v>
          </cell>
          <cell r="C643">
            <v>75998.64</v>
          </cell>
          <cell r="D643" t="str">
            <v>PHP</v>
          </cell>
          <cell r="E643">
            <v>4</v>
          </cell>
          <cell r="F643" t="str">
            <v>PC</v>
          </cell>
          <cell r="G643">
            <v>0</v>
          </cell>
        </row>
        <row r="644">
          <cell r="B644">
            <v>2217</v>
          </cell>
          <cell r="C644">
            <v>0</v>
          </cell>
          <cell r="D644" t="str">
            <v>PHP</v>
          </cell>
          <cell r="E644">
            <v>0</v>
          </cell>
          <cell r="F644" t="str">
            <v>PC</v>
          </cell>
          <cell r="G644">
            <v>0</v>
          </cell>
        </row>
        <row r="645">
          <cell r="B645">
            <v>2218</v>
          </cell>
          <cell r="C645">
            <v>34092.9</v>
          </cell>
          <cell r="D645" t="str">
            <v>PHP</v>
          </cell>
          <cell r="E645">
            <v>12</v>
          </cell>
          <cell r="F645" t="str">
            <v>PC</v>
          </cell>
          <cell r="G645">
            <v>0</v>
          </cell>
        </row>
        <row r="646">
          <cell r="B646">
            <v>2219</v>
          </cell>
          <cell r="C646">
            <v>351744.75</v>
          </cell>
          <cell r="D646" t="str">
            <v>PHP</v>
          </cell>
          <cell r="E646">
            <v>4</v>
          </cell>
          <cell r="F646" t="str">
            <v>PC</v>
          </cell>
          <cell r="G646">
            <v>0</v>
          </cell>
        </row>
        <row r="647">
          <cell r="B647">
            <v>2220</v>
          </cell>
          <cell r="C647">
            <v>73746</v>
          </cell>
          <cell r="D647" t="str">
            <v>PHP</v>
          </cell>
          <cell r="E647">
            <v>1</v>
          </cell>
          <cell r="F647" t="str">
            <v>PC</v>
          </cell>
          <cell r="G647">
            <v>0</v>
          </cell>
        </row>
        <row r="648">
          <cell r="B648">
            <v>2222</v>
          </cell>
          <cell r="C648">
            <v>46366.39</v>
          </cell>
          <cell r="D648" t="str">
            <v>PHP</v>
          </cell>
          <cell r="E648">
            <v>2</v>
          </cell>
          <cell r="F648" t="str">
            <v>PC</v>
          </cell>
          <cell r="G648">
            <v>0</v>
          </cell>
        </row>
        <row r="649">
          <cell r="B649">
            <v>2230</v>
          </cell>
          <cell r="C649">
            <v>34990</v>
          </cell>
          <cell r="D649" t="str">
            <v>PHP</v>
          </cell>
          <cell r="E649">
            <v>1</v>
          </cell>
          <cell r="F649" t="str">
            <v>PC</v>
          </cell>
          <cell r="G649">
            <v>0</v>
          </cell>
        </row>
        <row r="650">
          <cell r="B650">
            <v>2232</v>
          </cell>
          <cell r="C650">
            <v>113704.64</v>
          </cell>
          <cell r="D650" t="str">
            <v>PHP</v>
          </cell>
          <cell r="E650">
            <v>14</v>
          </cell>
          <cell r="F650" t="str">
            <v>PC</v>
          </cell>
          <cell r="G650">
            <v>0</v>
          </cell>
        </row>
        <row r="651">
          <cell r="B651">
            <v>2233</v>
          </cell>
          <cell r="C651">
            <v>55837.1</v>
          </cell>
          <cell r="D651" t="str">
            <v>PHP</v>
          </cell>
          <cell r="E651">
            <v>10</v>
          </cell>
          <cell r="F651" t="str">
            <v>PC</v>
          </cell>
          <cell r="G651">
            <v>0</v>
          </cell>
        </row>
        <row r="652">
          <cell r="B652">
            <v>2234</v>
          </cell>
          <cell r="C652">
            <v>100506.78</v>
          </cell>
          <cell r="D652" t="str">
            <v>PHP</v>
          </cell>
          <cell r="E652">
            <v>18</v>
          </cell>
          <cell r="F652" t="str">
            <v>PC</v>
          </cell>
          <cell r="G652">
            <v>0</v>
          </cell>
        </row>
        <row r="653">
          <cell r="B653">
            <v>2242</v>
          </cell>
          <cell r="C653">
            <v>101530.4</v>
          </cell>
          <cell r="D653" t="str">
            <v>PHP</v>
          </cell>
          <cell r="E653">
            <v>6</v>
          </cell>
          <cell r="F653" t="str">
            <v>PC</v>
          </cell>
          <cell r="G653">
            <v>0</v>
          </cell>
        </row>
        <row r="654">
          <cell r="B654">
            <v>2244</v>
          </cell>
          <cell r="C654">
            <v>156805.87</v>
          </cell>
          <cell r="D654" t="str">
            <v>PHP</v>
          </cell>
          <cell r="E654">
            <v>2</v>
          </cell>
          <cell r="F654" t="str">
            <v>PC</v>
          </cell>
          <cell r="G654">
            <v>0</v>
          </cell>
        </row>
        <row r="655">
          <cell r="B655">
            <v>2251</v>
          </cell>
          <cell r="C655">
            <v>28529.82</v>
          </cell>
          <cell r="D655" t="str">
            <v>PHP</v>
          </cell>
          <cell r="E655">
            <v>1</v>
          </cell>
          <cell r="F655" t="str">
            <v>PC</v>
          </cell>
          <cell r="G655">
            <v>0</v>
          </cell>
        </row>
        <row r="656">
          <cell r="B656">
            <v>2252</v>
          </cell>
          <cell r="C656">
            <v>46322.75</v>
          </cell>
          <cell r="D656" t="str">
            <v>PHP</v>
          </cell>
          <cell r="E656">
            <v>4</v>
          </cell>
          <cell r="F656" t="str">
            <v>PC</v>
          </cell>
          <cell r="G656">
            <v>0</v>
          </cell>
        </row>
        <row r="657">
          <cell r="B657">
            <v>2253</v>
          </cell>
          <cell r="C657">
            <v>166560</v>
          </cell>
          <cell r="D657" t="str">
            <v>PHP</v>
          </cell>
          <cell r="E657">
            <v>2</v>
          </cell>
          <cell r="F657" t="str">
            <v>PC</v>
          </cell>
          <cell r="G657">
            <v>0</v>
          </cell>
        </row>
        <row r="658">
          <cell r="B658">
            <v>2254</v>
          </cell>
          <cell r="C658">
            <v>65813.25</v>
          </cell>
          <cell r="D658" t="str">
            <v>PHP</v>
          </cell>
          <cell r="E658">
            <v>4</v>
          </cell>
          <cell r="F658" t="str">
            <v>PC</v>
          </cell>
          <cell r="G658">
            <v>0</v>
          </cell>
        </row>
        <row r="659">
          <cell r="B659">
            <v>2255</v>
          </cell>
          <cell r="C659">
            <v>39708.54</v>
          </cell>
          <cell r="D659" t="str">
            <v>PHP</v>
          </cell>
          <cell r="E659">
            <v>2</v>
          </cell>
          <cell r="F659" t="str">
            <v>PC</v>
          </cell>
          <cell r="G659">
            <v>0</v>
          </cell>
        </row>
        <row r="660">
          <cell r="B660">
            <v>2256</v>
          </cell>
          <cell r="C660">
            <v>2640.5</v>
          </cell>
          <cell r="D660" t="str">
            <v>PHP</v>
          </cell>
          <cell r="E660">
            <v>2</v>
          </cell>
          <cell r="F660" t="str">
            <v>PC</v>
          </cell>
          <cell r="G660">
            <v>0</v>
          </cell>
        </row>
        <row r="661">
          <cell r="B661">
            <v>2258</v>
          </cell>
          <cell r="C661">
            <v>40323.06</v>
          </cell>
          <cell r="D661" t="str">
            <v>PHP</v>
          </cell>
          <cell r="E661">
            <v>1</v>
          </cell>
          <cell r="F661" t="str">
            <v>PC</v>
          </cell>
          <cell r="G661">
            <v>0</v>
          </cell>
        </row>
        <row r="662">
          <cell r="B662">
            <v>2259</v>
          </cell>
          <cell r="C662">
            <v>18437.72</v>
          </cell>
          <cell r="D662" t="str">
            <v>PHP</v>
          </cell>
          <cell r="E662">
            <v>2</v>
          </cell>
          <cell r="F662" t="str">
            <v>PC</v>
          </cell>
          <cell r="G662">
            <v>0</v>
          </cell>
        </row>
        <row r="663">
          <cell r="B663">
            <v>2265</v>
          </cell>
          <cell r="C663">
            <v>1443655.89</v>
          </cell>
          <cell r="D663" t="str">
            <v>PHP</v>
          </cell>
          <cell r="E663">
            <v>6</v>
          </cell>
          <cell r="F663" t="str">
            <v>PC</v>
          </cell>
          <cell r="G663">
            <v>0</v>
          </cell>
        </row>
        <row r="664">
          <cell r="B664">
            <v>2266</v>
          </cell>
          <cell r="C664">
            <v>197791.2</v>
          </cell>
          <cell r="D664" t="str">
            <v>PHP</v>
          </cell>
          <cell r="E664">
            <v>8</v>
          </cell>
          <cell r="F664" t="str">
            <v>PC</v>
          </cell>
          <cell r="G664">
            <v>0</v>
          </cell>
        </row>
        <row r="665">
          <cell r="B665">
            <v>2267</v>
          </cell>
          <cell r="C665">
            <v>61236.12</v>
          </cell>
          <cell r="D665" t="str">
            <v>PHP</v>
          </cell>
          <cell r="E665">
            <v>8</v>
          </cell>
          <cell r="F665" t="str">
            <v>PC</v>
          </cell>
          <cell r="G665">
            <v>0</v>
          </cell>
        </row>
        <row r="666">
          <cell r="B666">
            <v>2268</v>
          </cell>
          <cell r="C666">
            <v>60120.47</v>
          </cell>
          <cell r="D666" t="str">
            <v>PHP</v>
          </cell>
          <cell r="E666">
            <v>24</v>
          </cell>
          <cell r="F666" t="str">
            <v>PC</v>
          </cell>
          <cell r="G666">
            <v>0</v>
          </cell>
        </row>
        <row r="667">
          <cell r="B667">
            <v>2269</v>
          </cell>
          <cell r="C667">
            <v>324549.98</v>
          </cell>
          <cell r="D667" t="str">
            <v>PHP</v>
          </cell>
          <cell r="E667">
            <v>2</v>
          </cell>
          <cell r="F667" t="str">
            <v>PC</v>
          </cell>
          <cell r="G667">
            <v>0</v>
          </cell>
        </row>
        <row r="668">
          <cell r="B668">
            <v>2270</v>
          </cell>
          <cell r="C668">
            <v>64370.1</v>
          </cell>
          <cell r="D668" t="str">
            <v>PHP</v>
          </cell>
          <cell r="E668">
            <v>30</v>
          </cell>
          <cell r="F668" t="str">
            <v>PC</v>
          </cell>
          <cell r="G668">
            <v>0</v>
          </cell>
        </row>
        <row r="669">
          <cell r="B669">
            <v>2271</v>
          </cell>
          <cell r="C669">
            <v>31369.84</v>
          </cell>
          <cell r="D669" t="str">
            <v>PHP</v>
          </cell>
          <cell r="E669">
            <v>2</v>
          </cell>
          <cell r="F669" t="str">
            <v>PC</v>
          </cell>
          <cell r="G669">
            <v>0</v>
          </cell>
        </row>
        <row r="670">
          <cell r="B670">
            <v>2272</v>
          </cell>
          <cell r="C670">
            <v>12552.46</v>
          </cell>
          <cell r="D670" t="str">
            <v>PHP</v>
          </cell>
          <cell r="E670">
            <v>1</v>
          </cell>
          <cell r="F670" t="str">
            <v>PC</v>
          </cell>
          <cell r="G670">
            <v>0</v>
          </cell>
        </row>
        <row r="671">
          <cell r="B671">
            <v>2274</v>
          </cell>
          <cell r="C671">
            <v>11218.36</v>
          </cell>
          <cell r="D671" t="str">
            <v>PHP</v>
          </cell>
          <cell r="E671">
            <v>2</v>
          </cell>
          <cell r="F671" t="str">
            <v>PC</v>
          </cell>
          <cell r="G671">
            <v>0</v>
          </cell>
        </row>
        <row r="672">
          <cell r="B672">
            <v>2275</v>
          </cell>
          <cell r="C672">
            <v>6162.41</v>
          </cell>
          <cell r="D672" t="str">
            <v>PHP</v>
          </cell>
          <cell r="E672">
            <v>2</v>
          </cell>
          <cell r="F672" t="str">
            <v>PC</v>
          </cell>
          <cell r="G672">
            <v>0</v>
          </cell>
        </row>
        <row r="673">
          <cell r="B673">
            <v>2284</v>
          </cell>
          <cell r="C673">
            <v>92020.62</v>
          </cell>
          <cell r="D673" t="str">
            <v>PHP</v>
          </cell>
          <cell r="E673">
            <v>2</v>
          </cell>
          <cell r="F673" t="str">
            <v>PC</v>
          </cell>
          <cell r="G673">
            <v>0</v>
          </cell>
        </row>
        <row r="674">
          <cell r="B674">
            <v>2289</v>
          </cell>
          <cell r="C674">
            <v>0</v>
          </cell>
          <cell r="D674" t="str">
            <v>PHP</v>
          </cell>
          <cell r="E674">
            <v>0</v>
          </cell>
          <cell r="F674" t="str">
            <v>PC</v>
          </cell>
          <cell r="G674">
            <v>0</v>
          </cell>
        </row>
        <row r="675">
          <cell r="B675">
            <v>2290</v>
          </cell>
          <cell r="C675">
            <v>0</v>
          </cell>
          <cell r="D675" t="str">
            <v>PHP</v>
          </cell>
          <cell r="E675">
            <v>0</v>
          </cell>
          <cell r="F675" t="str">
            <v>PC</v>
          </cell>
          <cell r="G675">
            <v>0</v>
          </cell>
        </row>
        <row r="676">
          <cell r="B676">
            <v>2291</v>
          </cell>
          <cell r="C676">
            <v>370680.1</v>
          </cell>
          <cell r="D676" t="str">
            <v>PHP</v>
          </cell>
          <cell r="E676">
            <v>8</v>
          </cell>
          <cell r="F676" t="str">
            <v>PC</v>
          </cell>
          <cell r="G676">
            <v>0</v>
          </cell>
        </row>
        <row r="677">
          <cell r="B677">
            <v>2298</v>
          </cell>
          <cell r="C677">
            <v>23795.200000000001</v>
          </cell>
          <cell r="D677" t="str">
            <v>PHP</v>
          </cell>
          <cell r="E677">
            <v>8</v>
          </cell>
          <cell r="F677" t="str">
            <v>PC</v>
          </cell>
          <cell r="G677">
            <v>0</v>
          </cell>
        </row>
        <row r="678">
          <cell r="B678">
            <v>2299</v>
          </cell>
          <cell r="C678">
            <v>3628.8</v>
          </cell>
          <cell r="D678" t="str">
            <v>PHP</v>
          </cell>
          <cell r="E678">
            <v>12</v>
          </cell>
          <cell r="F678" t="str">
            <v>PC</v>
          </cell>
          <cell r="G678">
            <v>0</v>
          </cell>
        </row>
        <row r="679">
          <cell r="B679">
            <v>2300</v>
          </cell>
          <cell r="C679">
            <v>2704.36</v>
          </cell>
          <cell r="D679" t="str">
            <v>PHP</v>
          </cell>
          <cell r="E679">
            <v>8</v>
          </cell>
          <cell r="F679" t="str">
            <v>PC</v>
          </cell>
          <cell r="G679">
            <v>0</v>
          </cell>
        </row>
        <row r="680">
          <cell r="B680">
            <v>2302</v>
          </cell>
          <cell r="C680">
            <v>0</v>
          </cell>
          <cell r="D680" t="str">
            <v>PHP</v>
          </cell>
          <cell r="E680">
            <v>0</v>
          </cell>
          <cell r="F680" t="str">
            <v>PC</v>
          </cell>
          <cell r="G680">
            <v>0</v>
          </cell>
        </row>
        <row r="681">
          <cell r="B681">
            <v>2304</v>
          </cell>
          <cell r="C681">
            <v>0</v>
          </cell>
          <cell r="D681" t="str">
            <v>PHP</v>
          </cell>
          <cell r="E681">
            <v>0</v>
          </cell>
          <cell r="F681" t="str">
            <v>PC</v>
          </cell>
          <cell r="G681">
            <v>0</v>
          </cell>
        </row>
        <row r="682">
          <cell r="B682">
            <v>2307</v>
          </cell>
          <cell r="C682">
            <v>0</v>
          </cell>
          <cell r="D682" t="str">
            <v>PHP</v>
          </cell>
          <cell r="E682">
            <v>0</v>
          </cell>
          <cell r="F682" t="str">
            <v>PC</v>
          </cell>
          <cell r="G682">
            <v>0</v>
          </cell>
        </row>
        <row r="683">
          <cell r="B683">
            <v>2308</v>
          </cell>
          <cell r="C683">
            <v>64820</v>
          </cell>
          <cell r="D683" t="str">
            <v>PHP</v>
          </cell>
          <cell r="E683">
            <v>2</v>
          </cell>
          <cell r="F683" t="str">
            <v>PC</v>
          </cell>
          <cell r="G683">
            <v>0</v>
          </cell>
        </row>
        <row r="684">
          <cell r="B684">
            <v>2309</v>
          </cell>
          <cell r="C684">
            <v>55795.32</v>
          </cell>
          <cell r="D684" t="str">
            <v>PHP</v>
          </cell>
          <cell r="E684">
            <v>2</v>
          </cell>
          <cell r="F684" t="str">
            <v>PC</v>
          </cell>
          <cell r="G684">
            <v>0</v>
          </cell>
        </row>
        <row r="685">
          <cell r="B685">
            <v>2311</v>
          </cell>
          <cell r="C685">
            <v>0</v>
          </cell>
          <cell r="D685" t="str">
            <v>PHP</v>
          </cell>
          <cell r="E685">
            <v>0</v>
          </cell>
          <cell r="F685" t="str">
            <v>PC</v>
          </cell>
          <cell r="G685">
            <v>0</v>
          </cell>
        </row>
        <row r="686">
          <cell r="B686">
            <v>2312</v>
          </cell>
          <cell r="C686">
            <v>0</v>
          </cell>
          <cell r="D686" t="str">
            <v>PHP</v>
          </cell>
          <cell r="E686">
            <v>0</v>
          </cell>
          <cell r="F686" t="str">
            <v>PC</v>
          </cell>
          <cell r="G686">
            <v>0</v>
          </cell>
        </row>
        <row r="687">
          <cell r="B687">
            <v>2313</v>
          </cell>
          <cell r="C687">
            <v>13110</v>
          </cell>
          <cell r="D687" t="str">
            <v>PHP</v>
          </cell>
          <cell r="E687">
            <v>1</v>
          </cell>
          <cell r="F687" t="str">
            <v>PC</v>
          </cell>
          <cell r="G687">
            <v>0</v>
          </cell>
        </row>
        <row r="688">
          <cell r="B688">
            <v>2314</v>
          </cell>
          <cell r="C688">
            <v>63817.599999999999</v>
          </cell>
          <cell r="D688" t="str">
            <v>PHP</v>
          </cell>
          <cell r="E688">
            <v>2</v>
          </cell>
          <cell r="F688" t="str">
            <v>PC</v>
          </cell>
          <cell r="G688">
            <v>0</v>
          </cell>
        </row>
        <row r="689">
          <cell r="B689">
            <v>2317</v>
          </cell>
          <cell r="C689">
            <v>6672.93</v>
          </cell>
          <cell r="D689" t="str">
            <v>PHP</v>
          </cell>
          <cell r="E689">
            <v>2</v>
          </cell>
          <cell r="F689" t="str">
            <v>PC</v>
          </cell>
          <cell r="G689">
            <v>0</v>
          </cell>
        </row>
        <row r="690">
          <cell r="B690">
            <v>2321</v>
          </cell>
          <cell r="C690">
            <v>0</v>
          </cell>
          <cell r="D690" t="str">
            <v>PHP</v>
          </cell>
          <cell r="E690">
            <v>0</v>
          </cell>
          <cell r="F690" t="str">
            <v>PC</v>
          </cell>
          <cell r="G690">
            <v>0</v>
          </cell>
        </row>
        <row r="691">
          <cell r="B691">
            <v>2322</v>
          </cell>
          <cell r="C691">
            <v>69912</v>
          </cell>
          <cell r="D691" t="str">
            <v>PHP</v>
          </cell>
          <cell r="E691">
            <v>2</v>
          </cell>
          <cell r="F691" t="str">
            <v>PC</v>
          </cell>
          <cell r="G691">
            <v>0</v>
          </cell>
        </row>
        <row r="692">
          <cell r="B692">
            <v>2323</v>
          </cell>
          <cell r="C692">
            <v>119806</v>
          </cell>
          <cell r="D692" t="str">
            <v>PHP</v>
          </cell>
          <cell r="E692">
            <v>2</v>
          </cell>
          <cell r="F692" t="str">
            <v>PC</v>
          </cell>
          <cell r="G692">
            <v>0</v>
          </cell>
        </row>
        <row r="693">
          <cell r="B693">
            <v>2325</v>
          </cell>
          <cell r="C693">
            <v>26940</v>
          </cell>
          <cell r="D693" t="str">
            <v>PHP</v>
          </cell>
          <cell r="E693">
            <v>2</v>
          </cell>
          <cell r="F693" t="str">
            <v>PC</v>
          </cell>
          <cell r="G693">
            <v>0</v>
          </cell>
        </row>
        <row r="694">
          <cell r="B694">
            <v>2330</v>
          </cell>
          <cell r="C694">
            <v>30965</v>
          </cell>
          <cell r="D694" t="str">
            <v>PHP</v>
          </cell>
          <cell r="E694">
            <v>2</v>
          </cell>
          <cell r="F694" t="str">
            <v>PC</v>
          </cell>
          <cell r="G694">
            <v>0</v>
          </cell>
        </row>
        <row r="695">
          <cell r="B695">
            <v>2331</v>
          </cell>
          <cell r="C695">
            <v>24281.41</v>
          </cell>
          <cell r="D695" t="str">
            <v>PHP</v>
          </cell>
          <cell r="E695">
            <v>3</v>
          </cell>
          <cell r="F695" t="str">
            <v>PC</v>
          </cell>
          <cell r="G695">
            <v>0</v>
          </cell>
        </row>
        <row r="696">
          <cell r="B696">
            <v>2333</v>
          </cell>
          <cell r="C696">
            <v>45545.79</v>
          </cell>
          <cell r="D696" t="str">
            <v>PHP</v>
          </cell>
          <cell r="E696">
            <v>8</v>
          </cell>
          <cell r="F696" t="str">
            <v>PC</v>
          </cell>
          <cell r="G696">
            <v>0</v>
          </cell>
        </row>
        <row r="697">
          <cell r="B697">
            <v>2335</v>
          </cell>
          <cell r="C697">
            <v>117984</v>
          </cell>
          <cell r="D697" t="str">
            <v>PHP</v>
          </cell>
          <cell r="E697">
            <v>2</v>
          </cell>
          <cell r="F697" t="str">
            <v>PC</v>
          </cell>
          <cell r="G697">
            <v>0</v>
          </cell>
        </row>
        <row r="698">
          <cell r="B698">
            <v>2337</v>
          </cell>
          <cell r="C698">
            <v>52279.64</v>
          </cell>
          <cell r="D698" t="str">
            <v>PHP</v>
          </cell>
          <cell r="E698">
            <v>4</v>
          </cell>
          <cell r="F698" t="str">
            <v>PC</v>
          </cell>
          <cell r="G698">
            <v>0</v>
          </cell>
        </row>
        <row r="699">
          <cell r="B699">
            <v>2338</v>
          </cell>
          <cell r="C699">
            <v>264065.33</v>
          </cell>
          <cell r="D699" t="str">
            <v>PHP</v>
          </cell>
          <cell r="E699">
            <v>40</v>
          </cell>
          <cell r="F699" t="str">
            <v>PC</v>
          </cell>
          <cell r="G699">
            <v>0</v>
          </cell>
        </row>
        <row r="700">
          <cell r="B700">
            <v>2343</v>
          </cell>
          <cell r="C700">
            <v>146498.03</v>
          </cell>
          <cell r="D700" t="str">
            <v>PHP</v>
          </cell>
          <cell r="E700">
            <v>40</v>
          </cell>
          <cell r="F700" t="str">
            <v>PC</v>
          </cell>
          <cell r="G700">
            <v>0</v>
          </cell>
        </row>
        <row r="701">
          <cell r="B701">
            <v>2344</v>
          </cell>
          <cell r="C701">
            <v>1304984.3999999999</v>
          </cell>
          <cell r="D701" t="str">
            <v>PHP</v>
          </cell>
          <cell r="E701">
            <v>2</v>
          </cell>
          <cell r="F701" t="str">
            <v>PC</v>
          </cell>
          <cell r="G701">
            <v>0</v>
          </cell>
        </row>
        <row r="702">
          <cell r="B702">
            <v>2350</v>
          </cell>
          <cell r="C702">
            <v>29543.27</v>
          </cell>
          <cell r="D702" t="str">
            <v>PHP</v>
          </cell>
          <cell r="E702">
            <v>2</v>
          </cell>
          <cell r="F702" t="str">
            <v>PC</v>
          </cell>
          <cell r="G702">
            <v>0</v>
          </cell>
        </row>
        <row r="703">
          <cell r="B703">
            <v>2352</v>
          </cell>
          <cell r="C703">
            <v>412743</v>
          </cell>
          <cell r="D703" t="str">
            <v>PHP</v>
          </cell>
          <cell r="E703">
            <v>1</v>
          </cell>
          <cell r="F703" t="str">
            <v>PC</v>
          </cell>
          <cell r="G703">
            <v>0</v>
          </cell>
        </row>
        <row r="704">
          <cell r="B704">
            <v>2363</v>
          </cell>
          <cell r="C704">
            <v>46653.34</v>
          </cell>
          <cell r="D704" t="str">
            <v>PHP</v>
          </cell>
          <cell r="E704">
            <v>4</v>
          </cell>
          <cell r="F704" t="str">
            <v>PC</v>
          </cell>
          <cell r="G704">
            <v>0</v>
          </cell>
        </row>
        <row r="705">
          <cell r="B705">
            <v>2378</v>
          </cell>
          <cell r="C705">
            <v>145996.07999999999</v>
          </cell>
          <cell r="D705" t="str">
            <v>PHP</v>
          </cell>
          <cell r="E705">
            <v>2</v>
          </cell>
          <cell r="F705" t="str">
            <v>PC</v>
          </cell>
          <cell r="G705">
            <v>0</v>
          </cell>
        </row>
        <row r="706">
          <cell r="B706">
            <v>2384</v>
          </cell>
          <cell r="C706">
            <v>0</v>
          </cell>
          <cell r="D706" t="str">
            <v>PHP</v>
          </cell>
          <cell r="E706">
            <v>0</v>
          </cell>
          <cell r="F706" t="str">
            <v>PC</v>
          </cell>
          <cell r="G706">
            <v>0</v>
          </cell>
        </row>
        <row r="707">
          <cell r="B707">
            <v>2389</v>
          </cell>
          <cell r="C707">
            <v>3188.21</v>
          </cell>
          <cell r="D707" t="str">
            <v>PHP</v>
          </cell>
          <cell r="E707">
            <v>4</v>
          </cell>
          <cell r="F707" t="str">
            <v>PC</v>
          </cell>
          <cell r="G707">
            <v>0</v>
          </cell>
        </row>
        <row r="708">
          <cell r="B708">
            <v>2390</v>
          </cell>
          <cell r="C708">
            <v>0</v>
          </cell>
          <cell r="D708" t="str">
            <v>PHP</v>
          </cell>
          <cell r="E708">
            <v>0</v>
          </cell>
          <cell r="F708" t="str">
            <v>PC</v>
          </cell>
          <cell r="G708">
            <v>0</v>
          </cell>
        </row>
        <row r="709">
          <cell r="B709">
            <v>2394</v>
          </cell>
          <cell r="C709">
            <v>0</v>
          </cell>
          <cell r="D709" t="str">
            <v>PHP</v>
          </cell>
          <cell r="E709">
            <v>0</v>
          </cell>
          <cell r="F709" t="str">
            <v>PC</v>
          </cell>
          <cell r="G709">
            <v>0</v>
          </cell>
        </row>
        <row r="710">
          <cell r="B710">
            <v>2400</v>
          </cell>
          <cell r="C710">
            <v>0</v>
          </cell>
          <cell r="D710" t="str">
            <v>PHP</v>
          </cell>
          <cell r="E710">
            <v>0</v>
          </cell>
          <cell r="F710" t="str">
            <v>PC</v>
          </cell>
          <cell r="G710">
            <v>0</v>
          </cell>
        </row>
        <row r="711">
          <cell r="B711">
            <v>2401</v>
          </cell>
          <cell r="C711">
            <v>0</v>
          </cell>
          <cell r="D711" t="str">
            <v>PHP</v>
          </cell>
          <cell r="E711">
            <v>0</v>
          </cell>
          <cell r="F711" t="str">
            <v>PC</v>
          </cell>
          <cell r="G711">
            <v>0</v>
          </cell>
        </row>
        <row r="712">
          <cell r="B712">
            <v>2403</v>
          </cell>
          <cell r="C712">
            <v>0</v>
          </cell>
          <cell r="D712" t="str">
            <v>PHP</v>
          </cell>
          <cell r="E712">
            <v>0</v>
          </cell>
          <cell r="F712" t="str">
            <v>PC</v>
          </cell>
          <cell r="G712">
            <v>0</v>
          </cell>
        </row>
        <row r="713">
          <cell r="B713">
            <v>2409</v>
          </cell>
          <cell r="C713">
            <v>3525.14</v>
          </cell>
          <cell r="D713" t="str">
            <v>PHP</v>
          </cell>
          <cell r="E713">
            <v>2</v>
          </cell>
          <cell r="F713" t="str">
            <v>PC</v>
          </cell>
          <cell r="G713">
            <v>0</v>
          </cell>
        </row>
        <row r="714">
          <cell r="B714">
            <v>2418</v>
          </cell>
          <cell r="C714">
            <v>47335.68</v>
          </cell>
          <cell r="D714" t="str">
            <v>PHP</v>
          </cell>
          <cell r="E714">
            <v>24</v>
          </cell>
          <cell r="F714" t="str">
            <v>PC</v>
          </cell>
          <cell r="G714">
            <v>0</v>
          </cell>
        </row>
        <row r="715">
          <cell r="B715">
            <v>2423</v>
          </cell>
          <cell r="C715">
            <v>2092.6799999999998</v>
          </cell>
          <cell r="D715" t="str">
            <v>PHP</v>
          </cell>
          <cell r="E715">
            <v>6</v>
          </cell>
          <cell r="F715" t="str">
            <v>PC</v>
          </cell>
          <cell r="G715">
            <v>0</v>
          </cell>
        </row>
        <row r="716">
          <cell r="B716">
            <v>2425</v>
          </cell>
          <cell r="C716">
            <v>4212.72</v>
          </cell>
          <cell r="D716" t="str">
            <v>PHP</v>
          </cell>
          <cell r="E716">
            <v>2</v>
          </cell>
          <cell r="F716" t="str">
            <v>PC</v>
          </cell>
          <cell r="G716">
            <v>0</v>
          </cell>
        </row>
        <row r="717">
          <cell r="B717">
            <v>2432</v>
          </cell>
          <cell r="C717">
            <v>40800</v>
          </cell>
          <cell r="D717" t="str">
            <v>PHP</v>
          </cell>
          <cell r="E717">
            <v>2</v>
          </cell>
          <cell r="F717" t="str">
            <v>PC</v>
          </cell>
          <cell r="G717">
            <v>0</v>
          </cell>
        </row>
        <row r="718">
          <cell r="B718">
            <v>2433</v>
          </cell>
          <cell r="C718">
            <v>2320</v>
          </cell>
          <cell r="D718" t="str">
            <v>PHP</v>
          </cell>
          <cell r="E718">
            <v>8</v>
          </cell>
          <cell r="F718" t="str">
            <v>PC</v>
          </cell>
          <cell r="G718">
            <v>0</v>
          </cell>
        </row>
        <row r="719">
          <cell r="B719">
            <v>2435</v>
          </cell>
          <cell r="C719">
            <v>6888.28</v>
          </cell>
          <cell r="D719" t="str">
            <v>PHP</v>
          </cell>
          <cell r="E719">
            <v>2</v>
          </cell>
          <cell r="F719" t="str">
            <v>PC</v>
          </cell>
          <cell r="G719">
            <v>0</v>
          </cell>
        </row>
        <row r="720">
          <cell r="B720">
            <v>2438</v>
          </cell>
          <cell r="C720">
            <v>16000</v>
          </cell>
          <cell r="D720" t="str">
            <v>PHP</v>
          </cell>
          <cell r="E720">
            <v>16</v>
          </cell>
          <cell r="F720" t="str">
            <v>PC</v>
          </cell>
          <cell r="G720">
            <v>0</v>
          </cell>
        </row>
        <row r="721">
          <cell r="B721">
            <v>2460</v>
          </cell>
          <cell r="C721">
            <v>20108.66</v>
          </cell>
          <cell r="D721" t="str">
            <v>PHP</v>
          </cell>
          <cell r="E721">
            <v>1</v>
          </cell>
          <cell r="F721" t="str">
            <v>PC</v>
          </cell>
          <cell r="G721">
            <v>0</v>
          </cell>
        </row>
        <row r="722">
          <cell r="B722">
            <v>2465</v>
          </cell>
          <cell r="C722">
            <v>25133.37</v>
          </cell>
          <cell r="D722" t="str">
            <v>PHP</v>
          </cell>
          <cell r="E722">
            <v>3</v>
          </cell>
          <cell r="F722" t="str">
            <v>PC</v>
          </cell>
          <cell r="G722">
            <v>0</v>
          </cell>
        </row>
        <row r="723">
          <cell r="B723">
            <v>2467</v>
          </cell>
          <cell r="C723">
            <v>0</v>
          </cell>
          <cell r="D723" t="str">
            <v>PHP</v>
          </cell>
          <cell r="E723">
            <v>0</v>
          </cell>
          <cell r="F723" t="str">
            <v>SET</v>
          </cell>
          <cell r="G723">
            <v>0</v>
          </cell>
        </row>
        <row r="724">
          <cell r="B724">
            <v>2468</v>
          </cell>
          <cell r="C724">
            <v>0</v>
          </cell>
          <cell r="D724" t="str">
            <v>PHP</v>
          </cell>
          <cell r="E724">
            <v>0</v>
          </cell>
          <cell r="F724" t="str">
            <v>PC</v>
          </cell>
          <cell r="G724">
            <v>0</v>
          </cell>
        </row>
        <row r="725">
          <cell r="B725">
            <v>2469</v>
          </cell>
          <cell r="C725">
            <v>0</v>
          </cell>
          <cell r="D725" t="str">
            <v>PHP</v>
          </cell>
          <cell r="E725">
            <v>0</v>
          </cell>
          <cell r="F725" t="str">
            <v>SET</v>
          </cell>
          <cell r="G725">
            <v>0</v>
          </cell>
        </row>
        <row r="726">
          <cell r="B726">
            <v>2470</v>
          </cell>
          <cell r="C726">
            <v>23550</v>
          </cell>
          <cell r="D726" t="str">
            <v>PHP</v>
          </cell>
          <cell r="E726">
            <v>1</v>
          </cell>
          <cell r="F726" t="str">
            <v>SET</v>
          </cell>
          <cell r="G726">
            <v>0</v>
          </cell>
        </row>
        <row r="727">
          <cell r="B727">
            <v>2473</v>
          </cell>
          <cell r="C727">
            <v>3725.45</v>
          </cell>
          <cell r="D727" t="str">
            <v>PHP</v>
          </cell>
          <cell r="E727">
            <v>2</v>
          </cell>
          <cell r="F727" t="str">
            <v>PC</v>
          </cell>
          <cell r="G727">
            <v>0</v>
          </cell>
        </row>
        <row r="728">
          <cell r="B728">
            <v>2478</v>
          </cell>
          <cell r="C728">
            <v>0</v>
          </cell>
          <cell r="D728" t="str">
            <v>PHP</v>
          </cell>
          <cell r="E728">
            <v>0</v>
          </cell>
          <cell r="F728" t="str">
            <v>PC</v>
          </cell>
          <cell r="G728">
            <v>0</v>
          </cell>
        </row>
        <row r="729">
          <cell r="B729">
            <v>2480</v>
          </cell>
          <cell r="C729">
            <v>56891.03</v>
          </cell>
          <cell r="D729" t="str">
            <v>PHP</v>
          </cell>
          <cell r="E729">
            <v>17</v>
          </cell>
          <cell r="F729" t="str">
            <v>PC</v>
          </cell>
          <cell r="G729">
            <v>0</v>
          </cell>
        </row>
        <row r="730">
          <cell r="B730">
            <v>2484</v>
          </cell>
          <cell r="C730">
            <v>12873</v>
          </cell>
          <cell r="D730" t="str">
            <v>PHP</v>
          </cell>
          <cell r="E730">
            <v>3</v>
          </cell>
          <cell r="F730" t="str">
            <v>PC</v>
          </cell>
          <cell r="G730">
            <v>0</v>
          </cell>
        </row>
        <row r="731">
          <cell r="B731">
            <v>2487</v>
          </cell>
          <cell r="C731">
            <v>247422.39</v>
          </cell>
          <cell r="D731" t="str">
            <v>PHP</v>
          </cell>
          <cell r="E731">
            <v>6</v>
          </cell>
          <cell r="F731" t="str">
            <v>PC</v>
          </cell>
          <cell r="G731">
            <v>0</v>
          </cell>
        </row>
        <row r="732">
          <cell r="B732">
            <v>2496</v>
          </cell>
          <cell r="C732">
            <v>15849.06</v>
          </cell>
          <cell r="D732" t="str">
            <v>PHP</v>
          </cell>
          <cell r="E732">
            <v>4</v>
          </cell>
          <cell r="F732" t="str">
            <v>PC</v>
          </cell>
          <cell r="G732">
            <v>0</v>
          </cell>
        </row>
        <row r="733">
          <cell r="B733">
            <v>2499</v>
          </cell>
          <cell r="C733">
            <v>1194.01</v>
          </cell>
          <cell r="D733" t="str">
            <v>PHP</v>
          </cell>
          <cell r="E733">
            <v>14</v>
          </cell>
          <cell r="F733" t="str">
            <v>PC</v>
          </cell>
          <cell r="G733">
            <v>0</v>
          </cell>
        </row>
        <row r="734">
          <cell r="B734">
            <v>2511</v>
          </cell>
          <cell r="C734">
            <v>0</v>
          </cell>
          <cell r="D734" t="str">
            <v>PHP</v>
          </cell>
          <cell r="E734">
            <v>0</v>
          </cell>
          <cell r="F734" t="str">
            <v>PC</v>
          </cell>
          <cell r="G734">
            <v>0</v>
          </cell>
        </row>
        <row r="735">
          <cell r="B735">
            <v>2516</v>
          </cell>
          <cell r="C735">
            <v>0</v>
          </cell>
          <cell r="D735" t="str">
            <v>PHP</v>
          </cell>
          <cell r="E735">
            <v>0</v>
          </cell>
          <cell r="F735" t="str">
            <v>PC</v>
          </cell>
          <cell r="G735">
            <v>0</v>
          </cell>
        </row>
        <row r="736">
          <cell r="B736">
            <v>2518</v>
          </cell>
          <cell r="C736">
            <v>22102.959999999999</v>
          </cell>
          <cell r="D736" t="str">
            <v>PHP</v>
          </cell>
          <cell r="E736">
            <v>8</v>
          </cell>
          <cell r="F736" t="str">
            <v>PC</v>
          </cell>
          <cell r="G736">
            <v>0</v>
          </cell>
        </row>
        <row r="737">
          <cell r="B737">
            <v>2519</v>
          </cell>
          <cell r="C737">
            <v>0</v>
          </cell>
          <cell r="D737" t="str">
            <v>PHP</v>
          </cell>
          <cell r="E737">
            <v>0</v>
          </cell>
          <cell r="F737" t="str">
            <v>PC</v>
          </cell>
          <cell r="G737">
            <v>0</v>
          </cell>
        </row>
        <row r="738">
          <cell r="B738">
            <v>2520</v>
          </cell>
          <cell r="C738">
            <v>0</v>
          </cell>
          <cell r="D738" t="str">
            <v>PHP</v>
          </cell>
          <cell r="E738">
            <v>0</v>
          </cell>
          <cell r="F738" t="str">
            <v>PC</v>
          </cell>
          <cell r="G738">
            <v>0</v>
          </cell>
        </row>
        <row r="739">
          <cell r="B739">
            <v>2521</v>
          </cell>
          <cell r="C739">
            <v>0</v>
          </cell>
          <cell r="D739" t="str">
            <v>PHP</v>
          </cell>
          <cell r="E739">
            <v>0</v>
          </cell>
          <cell r="F739" t="str">
            <v>PC</v>
          </cell>
          <cell r="G739">
            <v>0</v>
          </cell>
        </row>
        <row r="740">
          <cell r="B740">
            <v>2522</v>
          </cell>
          <cell r="C740">
            <v>152467.65</v>
          </cell>
          <cell r="D740" t="str">
            <v>PHP</v>
          </cell>
          <cell r="E740">
            <v>1</v>
          </cell>
          <cell r="F740" t="str">
            <v>PC</v>
          </cell>
          <cell r="G740">
            <v>0</v>
          </cell>
        </row>
        <row r="741">
          <cell r="B741">
            <v>2525</v>
          </cell>
          <cell r="C741">
            <v>0</v>
          </cell>
          <cell r="D741" t="str">
            <v>PHP</v>
          </cell>
          <cell r="E741">
            <v>0</v>
          </cell>
          <cell r="F741" t="str">
            <v>PC</v>
          </cell>
          <cell r="G741">
            <v>0</v>
          </cell>
        </row>
        <row r="742">
          <cell r="B742">
            <v>2527</v>
          </cell>
          <cell r="C742">
            <v>299320.40000000002</v>
          </cell>
          <cell r="D742" t="str">
            <v>PHP</v>
          </cell>
          <cell r="E742">
            <v>1</v>
          </cell>
          <cell r="F742" t="str">
            <v>PC</v>
          </cell>
          <cell r="G742">
            <v>0</v>
          </cell>
        </row>
        <row r="743">
          <cell r="B743">
            <v>2528</v>
          </cell>
          <cell r="C743">
            <v>52808.6</v>
          </cell>
          <cell r="D743" t="str">
            <v>PHP</v>
          </cell>
          <cell r="E743">
            <v>1</v>
          </cell>
          <cell r="F743" t="str">
            <v>PC</v>
          </cell>
          <cell r="G743">
            <v>0</v>
          </cell>
        </row>
        <row r="744">
          <cell r="B744">
            <v>2536</v>
          </cell>
          <cell r="C744">
            <v>13396.96</v>
          </cell>
          <cell r="D744" t="str">
            <v>PHP</v>
          </cell>
          <cell r="E744">
            <v>1</v>
          </cell>
          <cell r="F744" t="str">
            <v>PC</v>
          </cell>
          <cell r="G744">
            <v>0</v>
          </cell>
        </row>
        <row r="745">
          <cell r="B745">
            <v>2538</v>
          </cell>
          <cell r="C745">
            <v>1192.8800000000001</v>
          </cell>
          <cell r="D745" t="str">
            <v>PHP</v>
          </cell>
          <cell r="E745">
            <v>1</v>
          </cell>
          <cell r="F745" t="str">
            <v>PC</v>
          </cell>
          <cell r="G745">
            <v>0</v>
          </cell>
        </row>
        <row r="746">
          <cell r="B746">
            <v>2541</v>
          </cell>
          <cell r="C746">
            <v>600107.82999999996</v>
          </cell>
          <cell r="D746" t="str">
            <v>PHP</v>
          </cell>
          <cell r="E746">
            <v>15</v>
          </cell>
          <cell r="F746" t="str">
            <v>PC</v>
          </cell>
          <cell r="G746">
            <v>0</v>
          </cell>
        </row>
        <row r="747">
          <cell r="B747">
            <v>2542</v>
          </cell>
          <cell r="C747">
            <v>0</v>
          </cell>
          <cell r="D747" t="str">
            <v>PHP</v>
          </cell>
          <cell r="E747">
            <v>0</v>
          </cell>
          <cell r="F747" t="str">
            <v>PC</v>
          </cell>
          <cell r="G747">
            <v>0</v>
          </cell>
        </row>
        <row r="748">
          <cell r="B748">
            <v>2544</v>
          </cell>
          <cell r="C748">
            <v>1731.02</v>
          </cell>
          <cell r="D748" t="str">
            <v>PHP</v>
          </cell>
          <cell r="E748">
            <v>2</v>
          </cell>
          <cell r="F748" t="str">
            <v>PC</v>
          </cell>
          <cell r="G748">
            <v>0</v>
          </cell>
        </row>
        <row r="749">
          <cell r="B749">
            <v>2549</v>
          </cell>
          <cell r="C749">
            <v>69274.13</v>
          </cell>
          <cell r="D749" t="str">
            <v>PHP</v>
          </cell>
          <cell r="E749">
            <v>2</v>
          </cell>
          <cell r="F749" t="str">
            <v>SET</v>
          </cell>
          <cell r="G749">
            <v>0</v>
          </cell>
        </row>
        <row r="750">
          <cell r="B750">
            <v>2551</v>
          </cell>
          <cell r="C750">
            <v>0</v>
          </cell>
          <cell r="D750" t="str">
            <v>PHP</v>
          </cell>
          <cell r="E750">
            <v>0</v>
          </cell>
          <cell r="F750" t="str">
            <v>PC</v>
          </cell>
          <cell r="G750">
            <v>0</v>
          </cell>
        </row>
        <row r="751">
          <cell r="B751">
            <v>2552</v>
          </cell>
          <cell r="C751">
            <v>132836.70000000001</v>
          </cell>
          <cell r="D751" t="str">
            <v>PHP</v>
          </cell>
          <cell r="E751">
            <v>2</v>
          </cell>
          <cell r="F751" t="str">
            <v>PC</v>
          </cell>
          <cell r="G751">
            <v>0</v>
          </cell>
        </row>
        <row r="752">
          <cell r="B752">
            <v>2555</v>
          </cell>
          <cell r="C752">
            <v>43893.41</v>
          </cell>
          <cell r="D752" t="str">
            <v>PHP</v>
          </cell>
          <cell r="E752">
            <v>19</v>
          </cell>
          <cell r="F752" t="str">
            <v>PC</v>
          </cell>
          <cell r="G752">
            <v>0</v>
          </cell>
        </row>
        <row r="753">
          <cell r="B753">
            <v>2556</v>
          </cell>
          <cell r="C753">
            <v>5173.68</v>
          </cell>
          <cell r="D753" t="str">
            <v>PHP</v>
          </cell>
          <cell r="E753">
            <v>24</v>
          </cell>
          <cell r="F753" t="str">
            <v>ASY</v>
          </cell>
          <cell r="G753">
            <v>0</v>
          </cell>
        </row>
        <row r="754">
          <cell r="B754">
            <v>2557</v>
          </cell>
          <cell r="C754">
            <v>5156.3100000000004</v>
          </cell>
          <cell r="D754" t="str">
            <v>PHP</v>
          </cell>
          <cell r="E754">
            <v>3</v>
          </cell>
          <cell r="F754" t="str">
            <v>PC</v>
          </cell>
          <cell r="G754">
            <v>0</v>
          </cell>
        </row>
        <row r="755">
          <cell r="B755">
            <v>2558</v>
          </cell>
          <cell r="C755">
            <v>0</v>
          </cell>
          <cell r="D755" t="str">
            <v>PHP</v>
          </cell>
          <cell r="E755">
            <v>0</v>
          </cell>
          <cell r="F755" t="str">
            <v>PC</v>
          </cell>
          <cell r="G755">
            <v>0</v>
          </cell>
        </row>
        <row r="756">
          <cell r="B756">
            <v>2561</v>
          </cell>
          <cell r="C756">
            <v>2690.4</v>
          </cell>
          <cell r="D756" t="str">
            <v>PHP</v>
          </cell>
          <cell r="E756">
            <v>60</v>
          </cell>
          <cell r="F756" t="str">
            <v>PC</v>
          </cell>
          <cell r="G756">
            <v>0</v>
          </cell>
        </row>
        <row r="757">
          <cell r="B757">
            <v>2562</v>
          </cell>
          <cell r="C757">
            <v>1715.93</v>
          </cell>
          <cell r="D757" t="str">
            <v>PHP</v>
          </cell>
          <cell r="E757">
            <v>6</v>
          </cell>
          <cell r="F757" t="str">
            <v>PC</v>
          </cell>
          <cell r="G757">
            <v>0</v>
          </cell>
        </row>
        <row r="758">
          <cell r="B758">
            <v>2568</v>
          </cell>
          <cell r="C758">
            <v>0</v>
          </cell>
          <cell r="D758" t="str">
            <v>PHP</v>
          </cell>
          <cell r="E758">
            <v>0</v>
          </cell>
          <cell r="F758" t="str">
            <v>PC</v>
          </cell>
          <cell r="G758">
            <v>0</v>
          </cell>
        </row>
        <row r="759">
          <cell r="B759">
            <v>2574</v>
          </cell>
          <cell r="C759">
            <v>1165.26</v>
          </cell>
          <cell r="D759" t="str">
            <v>PHP</v>
          </cell>
          <cell r="E759">
            <v>2</v>
          </cell>
          <cell r="F759" t="str">
            <v>ASY</v>
          </cell>
          <cell r="G759">
            <v>0</v>
          </cell>
        </row>
        <row r="760">
          <cell r="B760">
            <v>2575</v>
          </cell>
          <cell r="C760">
            <v>14190</v>
          </cell>
          <cell r="D760" t="str">
            <v>PHP</v>
          </cell>
          <cell r="E760">
            <v>24</v>
          </cell>
          <cell r="F760" t="str">
            <v>PC</v>
          </cell>
          <cell r="G760">
            <v>0</v>
          </cell>
        </row>
        <row r="761">
          <cell r="B761">
            <v>2576</v>
          </cell>
          <cell r="C761">
            <v>4125.04</v>
          </cell>
          <cell r="D761" t="str">
            <v>PHP</v>
          </cell>
          <cell r="E761">
            <v>8</v>
          </cell>
          <cell r="F761" t="str">
            <v>PC</v>
          </cell>
          <cell r="G761">
            <v>0</v>
          </cell>
        </row>
        <row r="762">
          <cell r="B762">
            <v>2580</v>
          </cell>
          <cell r="C762">
            <v>14668.07</v>
          </cell>
          <cell r="D762" t="str">
            <v>PHP</v>
          </cell>
          <cell r="E762">
            <v>9</v>
          </cell>
          <cell r="F762" t="str">
            <v>PC</v>
          </cell>
          <cell r="G762">
            <v>0</v>
          </cell>
        </row>
        <row r="763">
          <cell r="B763">
            <v>2582</v>
          </cell>
          <cell r="C763">
            <v>996.48</v>
          </cell>
          <cell r="D763" t="str">
            <v>PHP</v>
          </cell>
          <cell r="E763">
            <v>16</v>
          </cell>
          <cell r="F763" t="str">
            <v>PC</v>
          </cell>
          <cell r="G763">
            <v>0</v>
          </cell>
        </row>
        <row r="764">
          <cell r="B764">
            <v>2584</v>
          </cell>
          <cell r="C764">
            <v>618240</v>
          </cell>
          <cell r="D764" t="str">
            <v>PHP</v>
          </cell>
          <cell r="E764">
            <v>4</v>
          </cell>
          <cell r="F764" t="str">
            <v>PC</v>
          </cell>
          <cell r="G764">
            <v>0</v>
          </cell>
        </row>
        <row r="765">
          <cell r="B765">
            <v>2585</v>
          </cell>
          <cell r="C765">
            <v>53795.519999999997</v>
          </cell>
          <cell r="D765" t="str">
            <v>PHP</v>
          </cell>
          <cell r="E765">
            <v>24</v>
          </cell>
          <cell r="F765" t="str">
            <v>ASY</v>
          </cell>
          <cell r="G765">
            <v>0</v>
          </cell>
        </row>
        <row r="766">
          <cell r="B766">
            <v>2586</v>
          </cell>
          <cell r="C766">
            <v>405.28</v>
          </cell>
          <cell r="D766" t="str">
            <v>PHP</v>
          </cell>
          <cell r="E766">
            <v>4</v>
          </cell>
          <cell r="F766" t="str">
            <v>PC</v>
          </cell>
          <cell r="G766">
            <v>0</v>
          </cell>
        </row>
        <row r="767">
          <cell r="B767">
            <v>2587</v>
          </cell>
          <cell r="C767">
            <v>405.28</v>
          </cell>
          <cell r="D767" t="str">
            <v>PHP</v>
          </cell>
          <cell r="E767">
            <v>4</v>
          </cell>
          <cell r="F767" t="str">
            <v>PC</v>
          </cell>
          <cell r="G767">
            <v>0</v>
          </cell>
        </row>
        <row r="768">
          <cell r="B768">
            <v>2588</v>
          </cell>
          <cell r="C768">
            <v>1897.92</v>
          </cell>
          <cell r="D768" t="str">
            <v>PHP</v>
          </cell>
          <cell r="E768">
            <v>72</v>
          </cell>
          <cell r="F768" t="str">
            <v>PC</v>
          </cell>
          <cell r="G768">
            <v>0</v>
          </cell>
        </row>
        <row r="769">
          <cell r="B769">
            <v>2591</v>
          </cell>
          <cell r="C769">
            <v>2511.6</v>
          </cell>
          <cell r="D769" t="str">
            <v>PHP</v>
          </cell>
          <cell r="E769">
            <v>1</v>
          </cell>
          <cell r="F769" t="str">
            <v>PC</v>
          </cell>
          <cell r="G769">
            <v>0</v>
          </cell>
        </row>
        <row r="770">
          <cell r="B770">
            <v>2596</v>
          </cell>
          <cell r="C770">
            <v>100621.22</v>
          </cell>
          <cell r="D770" t="str">
            <v>PHP</v>
          </cell>
          <cell r="E770">
            <v>24</v>
          </cell>
          <cell r="F770" t="str">
            <v>PC</v>
          </cell>
          <cell r="G770">
            <v>0</v>
          </cell>
        </row>
        <row r="771">
          <cell r="B771">
            <v>2598</v>
          </cell>
          <cell r="C771">
            <v>405.28</v>
          </cell>
          <cell r="D771" t="str">
            <v>PHP</v>
          </cell>
          <cell r="E771">
            <v>4</v>
          </cell>
          <cell r="F771" t="str">
            <v>PC</v>
          </cell>
          <cell r="G771">
            <v>0</v>
          </cell>
        </row>
        <row r="772">
          <cell r="B772">
            <v>2614</v>
          </cell>
          <cell r="C772">
            <v>8859.48</v>
          </cell>
          <cell r="D772" t="str">
            <v>PHP</v>
          </cell>
          <cell r="E772">
            <v>21</v>
          </cell>
          <cell r="F772" t="str">
            <v>PC</v>
          </cell>
          <cell r="G772">
            <v>0</v>
          </cell>
        </row>
        <row r="773">
          <cell r="B773">
            <v>2616</v>
          </cell>
          <cell r="C773">
            <v>74730.48</v>
          </cell>
          <cell r="D773" t="str">
            <v>PHP</v>
          </cell>
          <cell r="E773">
            <v>24</v>
          </cell>
          <cell r="F773" t="str">
            <v>PC</v>
          </cell>
          <cell r="G773">
            <v>0</v>
          </cell>
        </row>
        <row r="774">
          <cell r="B774">
            <v>2620</v>
          </cell>
          <cell r="C774">
            <v>5696.28</v>
          </cell>
          <cell r="D774" t="str">
            <v>PHP</v>
          </cell>
          <cell r="E774">
            <v>8</v>
          </cell>
          <cell r="F774" t="str">
            <v>PC</v>
          </cell>
          <cell r="G774">
            <v>0</v>
          </cell>
        </row>
        <row r="775">
          <cell r="B775">
            <v>2628</v>
          </cell>
          <cell r="C775">
            <v>0</v>
          </cell>
          <cell r="D775" t="str">
            <v>PHP</v>
          </cell>
          <cell r="E775">
            <v>0</v>
          </cell>
          <cell r="F775" t="str">
            <v>PC</v>
          </cell>
          <cell r="G775">
            <v>0</v>
          </cell>
        </row>
        <row r="776">
          <cell r="B776">
            <v>2633</v>
          </cell>
          <cell r="C776">
            <v>0</v>
          </cell>
          <cell r="D776" t="str">
            <v>PHP</v>
          </cell>
          <cell r="E776">
            <v>0</v>
          </cell>
          <cell r="F776" t="str">
            <v>PC</v>
          </cell>
          <cell r="G776">
            <v>0</v>
          </cell>
        </row>
        <row r="777">
          <cell r="B777">
            <v>2634</v>
          </cell>
          <cell r="C777">
            <v>1714.71</v>
          </cell>
          <cell r="D777" t="str">
            <v>PHP</v>
          </cell>
          <cell r="E777">
            <v>1</v>
          </cell>
          <cell r="F777" t="str">
            <v>PC</v>
          </cell>
          <cell r="G777">
            <v>0</v>
          </cell>
        </row>
        <row r="778">
          <cell r="B778">
            <v>2640</v>
          </cell>
          <cell r="C778">
            <v>410619</v>
          </cell>
          <cell r="D778" t="str">
            <v>PHP</v>
          </cell>
          <cell r="E778">
            <v>11</v>
          </cell>
          <cell r="F778" t="str">
            <v>PC</v>
          </cell>
          <cell r="G778">
            <v>0</v>
          </cell>
        </row>
        <row r="779">
          <cell r="B779">
            <v>2652</v>
          </cell>
          <cell r="C779">
            <v>133233.13</v>
          </cell>
          <cell r="D779" t="str">
            <v>PHP</v>
          </cell>
          <cell r="E779">
            <v>1</v>
          </cell>
          <cell r="F779" t="str">
            <v>ASY</v>
          </cell>
          <cell r="G779">
            <v>0</v>
          </cell>
        </row>
        <row r="780">
          <cell r="B780">
            <v>2655</v>
          </cell>
          <cell r="C780">
            <v>492294.89</v>
          </cell>
          <cell r="D780" t="str">
            <v>PHP</v>
          </cell>
          <cell r="E780">
            <v>2</v>
          </cell>
          <cell r="F780" t="str">
            <v>ASY</v>
          </cell>
          <cell r="G780">
            <v>0</v>
          </cell>
        </row>
        <row r="781">
          <cell r="B781">
            <v>2660</v>
          </cell>
          <cell r="C781">
            <v>0</v>
          </cell>
          <cell r="D781" t="str">
            <v>PHP</v>
          </cell>
          <cell r="E781">
            <v>0</v>
          </cell>
          <cell r="F781" t="str">
            <v>PC</v>
          </cell>
          <cell r="G781">
            <v>0</v>
          </cell>
        </row>
        <row r="782">
          <cell r="B782">
            <v>2661</v>
          </cell>
          <cell r="C782">
            <v>0</v>
          </cell>
          <cell r="D782" t="str">
            <v>PHP</v>
          </cell>
          <cell r="E782">
            <v>0</v>
          </cell>
          <cell r="F782" t="str">
            <v>PC</v>
          </cell>
          <cell r="G782">
            <v>0</v>
          </cell>
        </row>
        <row r="783">
          <cell r="B783">
            <v>2662</v>
          </cell>
          <cell r="C783">
            <v>36382.65</v>
          </cell>
          <cell r="D783" t="str">
            <v>PHP</v>
          </cell>
          <cell r="E783">
            <v>6</v>
          </cell>
          <cell r="F783" t="str">
            <v>PC</v>
          </cell>
          <cell r="G783">
            <v>0</v>
          </cell>
        </row>
        <row r="784">
          <cell r="B784">
            <v>2663</v>
          </cell>
          <cell r="C784">
            <v>0</v>
          </cell>
          <cell r="D784" t="str">
            <v>PHP</v>
          </cell>
          <cell r="E784">
            <v>0</v>
          </cell>
          <cell r="F784" t="str">
            <v>PC</v>
          </cell>
          <cell r="G784">
            <v>0</v>
          </cell>
        </row>
        <row r="785">
          <cell r="B785">
            <v>2664</v>
          </cell>
          <cell r="C785">
            <v>266975.28999999998</v>
          </cell>
          <cell r="D785" t="str">
            <v>PHP</v>
          </cell>
          <cell r="E785">
            <v>12</v>
          </cell>
          <cell r="F785" t="str">
            <v>PC</v>
          </cell>
          <cell r="G785">
            <v>0</v>
          </cell>
        </row>
        <row r="786">
          <cell r="B786">
            <v>2666</v>
          </cell>
          <cell r="C786">
            <v>538561.23</v>
          </cell>
          <cell r="D786" t="str">
            <v>PHP</v>
          </cell>
          <cell r="E786">
            <v>6</v>
          </cell>
          <cell r="F786" t="str">
            <v>PC</v>
          </cell>
          <cell r="G786">
            <v>0</v>
          </cell>
        </row>
        <row r="787">
          <cell r="B787">
            <v>2685</v>
          </cell>
          <cell r="C787">
            <v>11309</v>
          </cell>
          <cell r="D787" t="str">
            <v>PHP</v>
          </cell>
          <cell r="E787">
            <v>2</v>
          </cell>
          <cell r="F787" t="str">
            <v>PC</v>
          </cell>
          <cell r="G787">
            <v>0</v>
          </cell>
        </row>
        <row r="788">
          <cell r="B788">
            <v>2688</v>
          </cell>
          <cell r="C788">
            <v>111080.28</v>
          </cell>
          <cell r="D788" t="str">
            <v>PHP</v>
          </cell>
          <cell r="E788">
            <v>6</v>
          </cell>
          <cell r="F788" t="str">
            <v>UT</v>
          </cell>
          <cell r="G788">
            <v>0</v>
          </cell>
        </row>
        <row r="789">
          <cell r="B789">
            <v>2699</v>
          </cell>
          <cell r="C789">
            <v>256791.28</v>
          </cell>
          <cell r="D789" t="str">
            <v>PHP</v>
          </cell>
          <cell r="E789">
            <v>1</v>
          </cell>
          <cell r="F789" t="str">
            <v>PC</v>
          </cell>
          <cell r="G789">
            <v>0</v>
          </cell>
        </row>
        <row r="790">
          <cell r="B790">
            <v>2701</v>
          </cell>
          <cell r="C790">
            <v>0</v>
          </cell>
          <cell r="D790" t="str">
            <v>PHP</v>
          </cell>
          <cell r="E790">
            <v>0</v>
          </cell>
          <cell r="F790" t="str">
            <v>PC</v>
          </cell>
          <cell r="G790">
            <v>0</v>
          </cell>
        </row>
        <row r="791">
          <cell r="B791">
            <v>2709</v>
          </cell>
          <cell r="C791">
            <v>5654.36</v>
          </cell>
          <cell r="D791" t="str">
            <v>PHP</v>
          </cell>
          <cell r="E791">
            <v>2</v>
          </cell>
          <cell r="F791" t="str">
            <v>PC</v>
          </cell>
          <cell r="G791">
            <v>0</v>
          </cell>
        </row>
        <row r="792">
          <cell r="B792">
            <v>2710</v>
          </cell>
          <cell r="C792">
            <v>47268</v>
          </cell>
          <cell r="D792" t="str">
            <v>PHP</v>
          </cell>
          <cell r="E792">
            <v>52</v>
          </cell>
          <cell r="F792" t="str">
            <v>PC</v>
          </cell>
          <cell r="G792">
            <v>0</v>
          </cell>
        </row>
        <row r="793">
          <cell r="B793">
            <v>2711</v>
          </cell>
          <cell r="C793">
            <v>23772</v>
          </cell>
          <cell r="D793" t="str">
            <v>PHP</v>
          </cell>
          <cell r="E793">
            <v>14</v>
          </cell>
          <cell r="F793" t="str">
            <v>PC</v>
          </cell>
          <cell r="G793">
            <v>0</v>
          </cell>
        </row>
        <row r="794">
          <cell r="B794">
            <v>2712</v>
          </cell>
          <cell r="C794">
            <v>0</v>
          </cell>
          <cell r="D794" t="str">
            <v>PHP</v>
          </cell>
          <cell r="E794">
            <v>0</v>
          </cell>
          <cell r="F794" t="str">
            <v>UT</v>
          </cell>
          <cell r="G794">
            <v>0</v>
          </cell>
        </row>
        <row r="795">
          <cell r="B795">
            <v>2713</v>
          </cell>
          <cell r="C795">
            <v>0</v>
          </cell>
          <cell r="D795" t="str">
            <v>PHP</v>
          </cell>
          <cell r="E795">
            <v>0</v>
          </cell>
          <cell r="F795" t="str">
            <v>ASY</v>
          </cell>
          <cell r="G795">
            <v>0</v>
          </cell>
        </row>
        <row r="796">
          <cell r="B796">
            <v>2715</v>
          </cell>
          <cell r="C796">
            <v>0</v>
          </cell>
          <cell r="D796" t="str">
            <v>PHP</v>
          </cell>
          <cell r="E796">
            <v>0</v>
          </cell>
          <cell r="F796" t="str">
            <v>ASY</v>
          </cell>
          <cell r="G796">
            <v>0</v>
          </cell>
        </row>
        <row r="797">
          <cell r="B797">
            <v>2718</v>
          </cell>
          <cell r="C797">
            <v>0</v>
          </cell>
          <cell r="D797" t="str">
            <v>PHP</v>
          </cell>
          <cell r="E797">
            <v>0</v>
          </cell>
          <cell r="F797" t="str">
            <v>PC</v>
          </cell>
          <cell r="G797">
            <v>0</v>
          </cell>
        </row>
        <row r="798">
          <cell r="B798">
            <v>2722</v>
          </cell>
          <cell r="C798">
            <v>2443.16</v>
          </cell>
          <cell r="D798" t="str">
            <v>PHP</v>
          </cell>
          <cell r="E798">
            <v>1</v>
          </cell>
          <cell r="F798" t="str">
            <v>PC</v>
          </cell>
          <cell r="G798">
            <v>0</v>
          </cell>
        </row>
        <row r="799">
          <cell r="B799">
            <v>2726</v>
          </cell>
          <cell r="C799">
            <v>11084.87</v>
          </cell>
          <cell r="D799" t="str">
            <v>PHP</v>
          </cell>
          <cell r="E799">
            <v>1</v>
          </cell>
          <cell r="F799" t="str">
            <v>PC</v>
          </cell>
          <cell r="G799">
            <v>0</v>
          </cell>
        </row>
        <row r="800">
          <cell r="B800">
            <v>2737</v>
          </cell>
          <cell r="C800">
            <v>13577.57</v>
          </cell>
          <cell r="D800" t="str">
            <v>PHP</v>
          </cell>
          <cell r="E800">
            <v>1</v>
          </cell>
          <cell r="F800" t="str">
            <v>PC</v>
          </cell>
          <cell r="G800">
            <v>0</v>
          </cell>
        </row>
        <row r="801">
          <cell r="B801">
            <v>2739</v>
          </cell>
          <cell r="C801">
            <v>9232.7800000000007</v>
          </cell>
          <cell r="D801" t="str">
            <v>PHP</v>
          </cell>
          <cell r="E801">
            <v>6</v>
          </cell>
          <cell r="F801" t="str">
            <v>PC</v>
          </cell>
          <cell r="G801">
            <v>0</v>
          </cell>
        </row>
        <row r="802">
          <cell r="B802">
            <v>2740</v>
          </cell>
          <cell r="C802">
            <v>6580</v>
          </cell>
          <cell r="D802" t="str">
            <v>PHP</v>
          </cell>
          <cell r="E802">
            <v>14</v>
          </cell>
          <cell r="F802" t="str">
            <v>PC</v>
          </cell>
          <cell r="G802">
            <v>0</v>
          </cell>
        </row>
        <row r="803">
          <cell r="B803">
            <v>2744</v>
          </cell>
          <cell r="C803">
            <v>13128</v>
          </cell>
          <cell r="D803" t="str">
            <v>PHP</v>
          </cell>
          <cell r="E803">
            <v>6</v>
          </cell>
          <cell r="F803" t="str">
            <v>PC</v>
          </cell>
          <cell r="G803">
            <v>0</v>
          </cell>
        </row>
        <row r="804">
          <cell r="B804">
            <v>2745</v>
          </cell>
          <cell r="C804">
            <v>697.24</v>
          </cell>
          <cell r="D804" t="str">
            <v>PHP</v>
          </cell>
          <cell r="E804">
            <v>2</v>
          </cell>
          <cell r="F804" t="str">
            <v>PC</v>
          </cell>
          <cell r="G804">
            <v>0</v>
          </cell>
        </row>
        <row r="805">
          <cell r="B805">
            <v>2748</v>
          </cell>
          <cell r="C805">
            <v>4609.92</v>
          </cell>
          <cell r="D805" t="str">
            <v>PHP</v>
          </cell>
          <cell r="E805">
            <v>2</v>
          </cell>
          <cell r="F805" t="str">
            <v>PC</v>
          </cell>
          <cell r="G805">
            <v>0</v>
          </cell>
        </row>
        <row r="806">
          <cell r="B806">
            <v>2749</v>
          </cell>
          <cell r="C806">
            <v>3378.24</v>
          </cell>
          <cell r="D806" t="str">
            <v>PHP</v>
          </cell>
          <cell r="E806">
            <v>2</v>
          </cell>
          <cell r="F806" t="str">
            <v>PC</v>
          </cell>
          <cell r="G806">
            <v>0</v>
          </cell>
        </row>
        <row r="807">
          <cell r="B807">
            <v>2754</v>
          </cell>
          <cell r="C807">
            <v>1073.98</v>
          </cell>
          <cell r="D807" t="str">
            <v>PHP</v>
          </cell>
          <cell r="E807">
            <v>1</v>
          </cell>
          <cell r="F807" t="str">
            <v>PC</v>
          </cell>
          <cell r="G807">
            <v>0</v>
          </cell>
        </row>
        <row r="808">
          <cell r="B808">
            <v>2755</v>
          </cell>
          <cell r="C808">
            <v>42184.83</v>
          </cell>
          <cell r="D808" t="str">
            <v>PHP</v>
          </cell>
          <cell r="E808">
            <v>1</v>
          </cell>
          <cell r="F808" t="str">
            <v>PC</v>
          </cell>
          <cell r="G808">
            <v>0</v>
          </cell>
        </row>
        <row r="809">
          <cell r="B809">
            <v>2759</v>
          </cell>
          <cell r="C809">
            <v>3156.97</v>
          </cell>
          <cell r="D809" t="str">
            <v>PHP</v>
          </cell>
          <cell r="E809">
            <v>4</v>
          </cell>
          <cell r="F809" t="str">
            <v>PC</v>
          </cell>
          <cell r="G809">
            <v>0</v>
          </cell>
        </row>
        <row r="810">
          <cell r="B810">
            <v>2761</v>
          </cell>
          <cell r="C810">
            <v>0</v>
          </cell>
          <cell r="D810" t="str">
            <v>PHP</v>
          </cell>
          <cell r="E810">
            <v>0</v>
          </cell>
          <cell r="F810" t="str">
            <v>PC</v>
          </cell>
          <cell r="G810">
            <v>0</v>
          </cell>
        </row>
        <row r="811">
          <cell r="B811">
            <v>2762</v>
          </cell>
          <cell r="C811">
            <v>0</v>
          </cell>
          <cell r="D811" t="str">
            <v>PHP</v>
          </cell>
          <cell r="E811">
            <v>0</v>
          </cell>
          <cell r="F811" t="str">
            <v>PC</v>
          </cell>
          <cell r="G811">
            <v>0</v>
          </cell>
        </row>
        <row r="812">
          <cell r="B812">
            <v>2763</v>
          </cell>
          <cell r="C812">
            <v>5586.43</v>
          </cell>
          <cell r="D812" t="str">
            <v>PHP</v>
          </cell>
          <cell r="E812">
            <v>2</v>
          </cell>
          <cell r="F812" t="str">
            <v>PC</v>
          </cell>
          <cell r="G812">
            <v>0</v>
          </cell>
        </row>
        <row r="813">
          <cell r="B813">
            <v>2764</v>
          </cell>
          <cell r="C813">
            <v>0</v>
          </cell>
          <cell r="D813" t="str">
            <v>PHP</v>
          </cell>
          <cell r="E813">
            <v>0</v>
          </cell>
          <cell r="F813" t="str">
            <v>PC</v>
          </cell>
          <cell r="G813">
            <v>0</v>
          </cell>
        </row>
        <row r="814">
          <cell r="B814">
            <v>2765</v>
          </cell>
          <cell r="C814">
            <v>0</v>
          </cell>
          <cell r="D814" t="str">
            <v>PHP</v>
          </cell>
          <cell r="E814">
            <v>0</v>
          </cell>
          <cell r="F814" t="str">
            <v>PC</v>
          </cell>
          <cell r="G814">
            <v>0</v>
          </cell>
        </row>
        <row r="815">
          <cell r="B815">
            <v>2767</v>
          </cell>
          <cell r="C815">
            <v>0</v>
          </cell>
          <cell r="D815" t="str">
            <v>PHP</v>
          </cell>
          <cell r="E815">
            <v>0</v>
          </cell>
          <cell r="F815" t="str">
            <v>PC</v>
          </cell>
          <cell r="G815">
            <v>0</v>
          </cell>
        </row>
        <row r="816">
          <cell r="B816">
            <v>2769</v>
          </cell>
          <cell r="C816">
            <v>1663.09</v>
          </cell>
          <cell r="D816" t="str">
            <v>PHP</v>
          </cell>
          <cell r="E816">
            <v>43</v>
          </cell>
          <cell r="F816" t="str">
            <v>PC</v>
          </cell>
          <cell r="G816">
            <v>0</v>
          </cell>
        </row>
        <row r="817">
          <cell r="B817">
            <v>2770</v>
          </cell>
          <cell r="C817">
            <v>0</v>
          </cell>
          <cell r="D817" t="str">
            <v>PHP</v>
          </cell>
          <cell r="E817">
            <v>0</v>
          </cell>
          <cell r="F817" t="str">
            <v>PC</v>
          </cell>
          <cell r="G817">
            <v>0</v>
          </cell>
        </row>
        <row r="818">
          <cell r="B818">
            <v>2771</v>
          </cell>
          <cell r="C818">
            <v>1321.2</v>
          </cell>
          <cell r="D818" t="str">
            <v>PHP</v>
          </cell>
          <cell r="E818">
            <v>10</v>
          </cell>
          <cell r="F818" t="str">
            <v>PC</v>
          </cell>
          <cell r="G818">
            <v>0</v>
          </cell>
        </row>
        <row r="819">
          <cell r="B819">
            <v>2777</v>
          </cell>
          <cell r="C819">
            <v>5189.32</v>
          </cell>
          <cell r="D819" t="str">
            <v>PHP</v>
          </cell>
          <cell r="E819">
            <v>6</v>
          </cell>
          <cell r="F819" t="str">
            <v>PC</v>
          </cell>
          <cell r="G819">
            <v>0</v>
          </cell>
        </row>
        <row r="820">
          <cell r="B820">
            <v>2778</v>
          </cell>
          <cell r="C820">
            <v>0</v>
          </cell>
          <cell r="D820" t="str">
            <v>PHP</v>
          </cell>
          <cell r="E820">
            <v>0</v>
          </cell>
          <cell r="F820" t="str">
            <v>PC</v>
          </cell>
          <cell r="G820">
            <v>0</v>
          </cell>
        </row>
        <row r="821">
          <cell r="B821">
            <v>2780</v>
          </cell>
          <cell r="C821">
            <v>262.88</v>
          </cell>
          <cell r="D821" t="str">
            <v>PHP</v>
          </cell>
          <cell r="E821">
            <v>4</v>
          </cell>
          <cell r="F821" t="str">
            <v>PC</v>
          </cell>
          <cell r="G821">
            <v>0</v>
          </cell>
        </row>
        <row r="822">
          <cell r="B822">
            <v>2781</v>
          </cell>
          <cell r="C822">
            <v>245.24</v>
          </cell>
          <cell r="D822" t="str">
            <v>PHP</v>
          </cell>
          <cell r="E822">
            <v>4</v>
          </cell>
          <cell r="F822" t="str">
            <v>PC</v>
          </cell>
          <cell r="G822">
            <v>0</v>
          </cell>
        </row>
        <row r="823">
          <cell r="B823">
            <v>2782</v>
          </cell>
          <cell r="C823">
            <v>0</v>
          </cell>
          <cell r="D823" t="str">
            <v>PHP</v>
          </cell>
          <cell r="E823">
            <v>0</v>
          </cell>
          <cell r="F823" t="str">
            <v>PC</v>
          </cell>
          <cell r="G823">
            <v>0</v>
          </cell>
        </row>
        <row r="824">
          <cell r="B824">
            <v>2787</v>
          </cell>
          <cell r="C824">
            <v>143025.28</v>
          </cell>
          <cell r="D824" t="str">
            <v>PHP</v>
          </cell>
          <cell r="E824">
            <v>32</v>
          </cell>
          <cell r="F824" t="str">
            <v>PC</v>
          </cell>
          <cell r="G824">
            <v>0</v>
          </cell>
        </row>
        <row r="825">
          <cell r="B825">
            <v>2788</v>
          </cell>
          <cell r="C825">
            <v>50035.94</v>
          </cell>
          <cell r="D825" t="str">
            <v>PHP</v>
          </cell>
          <cell r="E825">
            <v>3</v>
          </cell>
          <cell r="F825" t="str">
            <v>PC</v>
          </cell>
          <cell r="G825">
            <v>0</v>
          </cell>
        </row>
        <row r="826">
          <cell r="B826">
            <v>2792</v>
          </cell>
          <cell r="C826">
            <v>3222.24</v>
          </cell>
          <cell r="D826" t="str">
            <v>PHP</v>
          </cell>
          <cell r="E826">
            <v>1</v>
          </cell>
          <cell r="F826" t="str">
            <v>PC</v>
          </cell>
          <cell r="G826">
            <v>0</v>
          </cell>
        </row>
        <row r="827">
          <cell r="B827">
            <v>2793</v>
          </cell>
          <cell r="C827">
            <v>1022.04</v>
          </cell>
          <cell r="D827" t="str">
            <v>PHP</v>
          </cell>
          <cell r="E827">
            <v>6</v>
          </cell>
          <cell r="F827" t="str">
            <v>PC</v>
          </cell>
          <cell r="G827">
            <v>0</v>
          </cell>
        </row>
        <row r="828">
          <cell r="B828">
            <v>2795</v>
          </cell>
          <cell r="C828">
            <v>25705.56</v>
          </cell>
          <cell r="D828" t="str">
            <v>PHP</v>
          </cell>
          <cell r="E828">
            <v>74</v>
          </cell>
          <cell r="F828" t="str">
            <v>PC</v>
          </cell>
          <cell r="G828">
            <v>0</v>
          </cell>
        </row>
        <row r="829">
          <cell r="B829">
            <v>2796</v>
          </cell>
          <cell r="C829">
            <v>253990.28</v>
          </cell>
          <cell r="D829" t="str">
            <v>PHP</v>
          </cell>
          <cell r="E829">
            <v>24</v>
          </cell>
          <cell r="F829" t="str">
            <v>PC</v>
          </cell>
          <cell r="G829">
            <v>0</v>
          </cell>
        </row>
        <row r="830">
          <cell r="B830">
            <v>2797</v>
          </cell>
          <cell r="C830">
            <v>96193.279999999999</v>
          </cell>
          <cell r="D830" t="str">
            <v>PHP</v>
          </cell>
          <cell r="E830">
            <v>8</v>
          </cell>
          <cell r="F830" t="str">
            <v>PC</v>
          </cell>
          <cell r="G830">
            <v>0</v>
          </cell>
        </row>
        <row r="831">
          <cell r="B831">
            <v>2808</v>
          </cell>
          <cell r="C831">
            <v>1006029.27</v>
          </cell>
          <cell r="D831" t="str">
            <v>PHP</v>
          </cell>
          <cell r="E831">
            <v>9</v>
          </cell>
          <cell r="F831" t="str">
            <v>PC</v>
          </cell>
          <cell r="G831">
            <v>0</v>
          </cell>
        </row>
        <row r="832">
          <cell r="B832">
            <v>2809</v>
          </cell>
          <cell r="C832">
            <v>6898.56</v>
          </cell>
          <cell r="D832" t="str">
            <v>PHP</v>
          </cell>
          <cell r="E832">
            <v>48</v>
          </cell>
          <cell r="F832" t="str">
            <v>PC</v>
          </cell>
          <cell r="G832">
            <v>0</v>
          </cell>
        </row>
        <row r="833">
          <cell r="B833">
            <v>2812</v>
          </cell>
          <cell r="C833">
            <v>171691.51999999999</v>
          </cell>
          <cell r="D833" t="str">
            <v>PHP</v>
          </cell>
          <cell r="E833">
            <v>32</v>
          </cell>
          <cell r="F833" t="str">
            <v>PC</v>
          </cell>
          <cell r="G833">
            <v>0</v>
          </cell>
        </row>
        <row r="834">
          <cell r="B834">
            <v>2813</v>
          </cell>
          <cell r="C834">
            <v>52657.120000000003</v>
          </cell>
          <cell r="D834" t="str">
            <v>PHP</v>
          </cell>
          <cell r="E834">
            <v>16</v>
          </cell>
          <cell r="F834" t="str">
            <v>PC</v>
          </cell>
          <cell r="G834">
            <v>0</v>
          </cell>
        </row>
        <row r="835">
          <cell r="B835">
            <v>2823</v>
          </cell>
          <cell r="C835">
            <v>0</v>
          </cell>
          <cell r="D835" t="str">
            <v>PHP</v>
          </cell>
          <cell r="E835">
            <v>0</v>
          </cell>
          <cell r="F835" t="str">
            <v>PC</v>
          </cell>
          <cell r="G835">
            <v>0</v>
          </cell>
        </row>
        <row r="836">
          <cell r="B836">
            <v>2826</v>
          </cell>
          <cell r="C836">
            <v>0</v>
          </cell>
          <cell r="D836" t="str">
            <v>PHP</v>
          </cell>
          <cell r="E836">
            <v>0</v>
          </cell>
          <cell r="F836" t="str">
            <v>PC</v>
          </cell>
          <cell r="G836">
            <v>0</v>
          </cell>
        </row>
        <row r="837">
          <cell r="B837">
            <v>2827</v>
          </cell>
          <cell r="C837">
            <v>0</v>
          </cell>
          <cell r="D837" t="str">
            <v>PHP</v>
          </cell>
          <cell r="E837">
            <v>0</v>
          </cell>
          <cell r="F837" t="str">
            <v>PC</v>
          </cell>
          <cell r="G837">
            <v>0</v>
          </cell>
        </row>
        <row r="838">
          <cell r="B838">
            <v>2830</v>
          </cell>
          <cell r="C838">
            <v>16021.07</v>
          </cell>
          <cell r="D838" t="str">
            <v>PHP</v>
          </cell>
          <cell r="E838">
            <v>5</v>
          </cell>
          <cell r="F838" t="str">
            <v>PC</v>
          </cell>
          <cell r="G838">
            <v>0</v>
          </cell>
        </row>
        <row r="839">
          <cell r="B839">
            <v>2831</v>
          </cell>
          <cell r="C839">
            <v>8262.06</v>
          </cell>
          <cell r="D839" t="str">
            <v>PHP</v>
          </cell>
          <cell r="E839">
            <v>2</v>
          </cell>
          <cell r="F839" t="str">
            <v>PC</v>
          </cell>
          <cell r="G839">
            <v>0</v>
          </cell>
        </row>
        <row r="840">
          <cell r="B840">
            <v>2833</v>
          </cell>
          <cell r="C840">
            <v>168625.6</v>
          </cell>
          <cell r="D840" t="str">
            <v>PHP</v>
          </cell>
          <cell r="E840">
            <v>32</v>
          </cell>
          <cell r="F840" t="str">
            <v>PC</v>
          </cell>
          <cell r="G840">
            <v>0</v>
          </cell>
        </row>
        <row r="841">
          <cell r="B841">
            <v>2837</v>
          </cell>
          <cell r="C841">
            <v>49552.4</v>
          </cell>
          <cell r="D841" t="str">
            <v>PHP</v>
          </cell>
          <cell r="E841">
            <v>6</v>
          </cell>
          <cell r="F841" t="str">
            <v>PC</v>
          </cell>
          <cell r="G841">
            <v>0</v>
          </cell>
        </row>
        <row r="842">
          <cell r="B842">
            <v>2838</v>
          </cell>
          <cell r="C842">
            <v>4777.5600000000004</v>
          </cell>
          <cell r="D842" t="str">
            <v>PHP</v>
          </cell>
          <cell r="E842">
            <v>6</v>
          </cell>
          <cell r="F842" t="str">
            <v>PC</v>
          </cell>
          <cell r="G842">
            <v>0</v>
          </cell>
        </row>
        <row r="843">
          <cell r="B843">
            <v>2839</v>
          </cell>
          <cell r="C843">
            <v>0</v>
          </cell>
          <cell r="D843" t="str">
            <v>PHP</v>
          </cell>
          <cell r="E843">
            <v>0</v>
          </cell>
          <cell r="F843" t="str">
            <v>PC</v>
          </cell>
          <cell r="G843">
            <v>0</v>
          </cell>
        </row>
        <row r="844">
          <cell r="B844">
            <v>2843</v>
          </cell>
          <cell r="C844">
            <v>179407.25</v>
          </cell>
          <cell r="D844" t="str">
            <v>PHP</v>
          </cell>
          <cell r="E844">
            <v>3</v>
          </cell>
          <cell r="F844" t="str">
            <v>BOX</v>
          </cell>
          <cell r="G844">
            <v>0</v>
          </cell>
        </row>
        <row r="845">
          <cell r="B845">
            <v>2844</v>
          </cell>
          <cell r="C845">
            <v>34591.39</v>
          </cell>
          <cell r="D845" t="str">
            <v>PHP</v>
          </cell>
          <cell r="E845">
            <v>1</v>
          </cell>
          <cell r="F845" t="str">
            <v>BOX</v>
          </cell>
          <cell r="G845">
            <v>0</v>
          </cell>
        </row>
        <row r="846">
          <cell r="B846">
            <v>2846</v>
          </cell>
          <cell r="C846">
            <v>0</v>
          </cell>
          <cell r="D846" t="str">
            <v>PHP</v>
          </cell>
          <cell r="E846">
            <v>0</v>
          </cell>
          <cell r="F846" t="str">
            <v>BOX</v>
          </cell>
          <cell r="G846">
            <v>0</v>
          </cell>
        </row>
        <row r="847">
          <cell r="B847">
            <v>2847</v>
          </cell>
          <cell r="C847">
            <v>127167.25</v>
          </cell>
          <cell r="D847" t="str">
            <v>PHP</v>
          </cell>
          <cell r="E847">
            <v>6</v>
          </cell>
          <cell r="F847" t="str">
            <v>BOX</v>
          </cell>
          <cell r="G847">
            <v>0</v>
          </cell>
        </row>
        <row r="848">
          <cell r="B848">
            <v>2848</v>
          </cell>
          <cell r="C848">
            <v>55014</v>
          </cell>
          <cell r="D848" t="str">
            <v>PHP</v>
          </cell>
          <cell r="E848">
            <v>3</v>
          </cell>
          <cell r="F848" t="str">
            <v>BOX</v>
          </cell>
          <cell r="G848">
            <v>0</v>
          </cell>
        </row>
        <row r="849">
          <cell r="B849">
            <v>2849</v>
          </cell>
          <cell r="C849">
            <v>423021.26</v>
          </cell>
          <cell r="D849" t="str">
            <v>PHP</v>
          </cell>
          <cell r="E849">
            <v>8</v>
          </cell>
          <cell r="F849" t="str">
            <v>BOX</v>
          </cell>
          <cell r="G849">
            <v>0</v>
          </cell>
        </row>
        <row r="850">
          <cell r="B850">
            <v>2868</v>
          </cell>
          <cell r="C850">
            <v>143997.29999999999</v>
          </cell>
          <cell r="D850" t="str">
            <v>PHP</v>
          </cell>
          <cell r="E850">
            <v>1</v>
          </cell>
          <cell r="F850" t="str">
            <v>LEN</v>
          </cell>
          <cell r="G850">
            <v>0</v>
          </cell>
        </row>
        <row r="851">
          <cell r="B851">
            <v>2886</v>
          </cell>
          <cell r="C851">
            <v>27238</v>
          </cell>
          <cell r="D851" t="str">
            <v>PHP</v>
          </cell>
          <cell r="E851">
            <v>100</v>
          </cell>
          <cell r="F851" t="str">
            <v>PC</v>
          </cell>
          <cell r="G851">
            <v>0</v>
          </cell>
        </row>
        <row r="852">
          <cell r="B852">
            <v>2890</v>
          </cell>
          <cell r="C852">
            <v>1721.61</v>
          </cell>
          <cell r="D852" t="str">
            <v>PHP</v>
          </cell>
          <cell r="E852">
            <v>9</v>
          </cell>
          <cell r="F852" t="str">
            <v>PC</v>
          </cell>
          <cell r="G852">
            <v>0</v>
          </cell>
        </row>
        <row r="853">
          <cell r="B853">
            <v>2891</v>
          </cell>
          <cell r="C853">
            <v>106458.91</v>
          </cell>
          <cell r="D853" t="str">
            <v>PHP</v>
          </cell>
          <cell r="E853">
            <v>3</v>
          </cell>
          <cell r="F853" t="str">
            <v>PC</v>
          </cell>
          <cell r="G853">
            <v>0</v>
          </cell>
        </row>
        <row r="854">
          <cell r="B854">
            <v>2892</v>
          </cell>
          <cell r="C854">
            <v>85726.35</v>
          </cell>
          <cell r="D854" t="str">
            <v>PHP</v>
          </cell>
          <cell r="E854">
            <v>3</v>
          </cell>
          <cell r="F854" t="str">
            <v>PC</v>
          </cell>
          <cell r="G854">
            <v>0</v>
          </cell>
        </row>
        <row r="855">
          <cell r="B855">
            <v>2895</v>
          </cell>
          <cell r="C855">
            <v>39386.199999999997</v>
          </cell>
          <cell r="D855" t="str">
            <v>PHP</v>
          </cell>
          <cell r="E855">
            <v>6</v>
          </cell>
          <cell r="F855" t="str">
            <v>PC</v>
          </cell>
          <cell r="G855">
            <v>0</v>
          </cell>
        </row>
        <row r="856">
          <cell r="B856">
            <v>2897</v>
          </cell>
          <cell r="C856">
            <v>944.46</v>
          </cell>
          <cell r="D856" t="str">
            <v>PHP</v>
          </cell>
          <cell r="E856">
            <v>6</v>
          </cell>
          <cell r="F856" t="str">
            <v>PC</v>
          </cell>
          <cell r="G856">
            <v>0</v>
          </cell>
        </row>
        <row r="857">
          <cell r="B857">
            <v>2905</v>
          </cell>
          <cell r="C857">
            <v>55298.66</v>
          </cell>
          <cell r="D857" t="str">
            <v>PHP</v>
          </cell>
          <cell r="E857">
            <v>87</v>
          </cell>
          <cell r="F857" t="str">
            <v>PC</v>
          </cell>
          <cell r="G857">
            <v>0</v>
          </cell>
        </row>
        <row r="858">
          <cell r="B858">
            <v>2915</v>
          </cell>
          <cell r="C858">
            <v>24500</v>
          </cell>
          <cell r="D858" t="str">
            <v>PHP</v>
          </cell>
          <cell r="E858">
            <v>14</v>
          </cell>
          <cell r="F858" t="str">
            <v>PC</v>
          </cell>
          <cell r="G858">
            <v>0</v>
          </cell>
        </row>
        <row r="859">
          <cell r="B859">
            <v>2916</v>
          </cell>
          <cell r="C859">
            <v>18120</v>
          </cell>
          <cell r="D859" t="str">
            <v>PHP</v>
          </cell>
          <cell r="E859">
            <v>10</v>
          </cell>
          <cell r="F859" t="str">
            <v>PC</v>
          </cell>
          <cell r="G859">
            <v>0</v>
          </cell>
        </row>
        <row r="860">
          <cell r="B860">
            <v>2917</v>
          </cell>
          <cell r="C860">
            <v>27870</v>
          </cell>
          <cell r="D860" t="str">
            <v>PHP</v>
          </cell>
          <cell r="E860">
            <v>10</v>
          </cell>
          <cell r="F860" t="str">
            <v>PC</v>
          </cell>
          <cell r="G860">
            <v>0</v>
          </cell>
        </row>
        <row r="861">
          <cell r="B861">
            <v>2923</v>
          </cell>
          <cell r="C861">
            <v>194870.88</v>
          </cell>
          <cell r="D861" t="str">
            <v>PHP</v>
          </cell>
          <cell r="E861">
            <v>6</v>
          </cell>
          <cell r="F861" t="str">
            <v>PC</v>
          </cell>
          <cell r="G861">
            <v>0</v>
          </cell>
        </row>
        <row r="862">
          <cell r="B862">
            <v>2924</v>
          </cell>
          <cell r="C862">
            <v>0</v>
          </cell>
          <cell r="D862" t="str">
            <v>PHP</v>
          </cell>
          <cell r="E862">
            <v>0</v>
          </cell>
          <cell r="F862" t="str">
            <v>PC</v>
          </cell>
          <cell r="G862">
            <v>0</v>
          </cell>
        </row>
        <row r="863">
          <cell r="B863">
            <v>2925</v>
          </cell>
          <cell r="C863">
            <v>22420</v>
          </cell>
          <cell r="D863" t="str">
            <v>PHP</v>
          </cell>
          <cell r="E863">
            <v>1</v>
          </cell>
          <cell r="F863" t="str">
            <v>PC</v>
          </cell>
          <cell r="G863">
            <v>0</v>
          </cell>
        </row>
        <row r="864">
          <cell r="B864">
            <v>2928</v>
          </cell>
          <cell r="C864">
            <v>15320.52</v>
          </cell>
          <cell r="D864" t="str">
            <v>PHP</v>
          </cell>
          <cell r="E864">
            <v>4</v>
          </cell>
          <cell r="F864" t="str">
            <v>PC</v>
          </cell>
          <cell r="G864">
            <v>0</v>
          </cell>
        </row>
        <row r="865">
          <cell r="B865">
            <v>2931</v>
          </cell>
          <cell r="C865">
            <v>89271.78</v>
          </cell>
          <cell r="D865" t="str">
            <v>PHP</v>
          </cell>
          <cell r="E865">
            <v>3</v>
          </cell>
          <cell r="F865" t="str">
            <v>PC</v>
          </cell>
          <cell r="G865">
            <v>0</v>
          </cell>
        </row>
        <row r="866">
          <cell r="B866">
            <v>2935</v>
          </cell>
          <cell r="C866">
            <v>0</v>
          </cell>
          <cell r="D866" t="str">
            <v>PHP</v>
          </cell>
          <cell r="E866">
            <v>0</v>
          </cell>
          <cell r="F866" t="str">
            <v>PC</v>
          </cell>
          <cell r="G866">
            <v>0</v>
          </cell>
        </row>
        <row r="867">
          <cell r="B867">
            <v>2937</v>
          </cell>
          <cell r="C867">
            <v>328.94</v>
          </cell>
          <cell r="D867" t="str">
            <v>PHP</v>
          </cell>
          <cell r="E867">
            <v>1</v>
          </cell>
          <cell r="F867" t="str">
            <v>UT</v>
          </cell>
          <cell r="G867">
            <v>0</v>
          </cell>
        </row>
        <row r="868">
          <cell r="B868">
            <v>2939</v>
          </cell>
          <cell r="C868">
            <v>1290.9000000000001</v>
          </cell>
          <cell r="D868" t="str">
            <v>PHP</v>
          </cell>
          <cell r="E868">
            <v>6</v>
          </cell>
          <cell r="F868" t="str">
            <v>PC</v>
          </cell>
          <cell r="G868">
            <v>0</v>
          </cell>
        </row>
        <row r="869">
          <cell r="B869">
            <v>2941</v>
          </cell>
          <cell r="C869">
            <v>67834.58</v>
          </cell>
          <cell r="D869" t="str">
            <v>PHP</v>
          </cell>
          <cell r="E869">
            <v>1</v>
          </cell>
          <cell r="F869" t="str">
            <v>PC</v>
          </cell>
          <cell r="G869">
            <v>0</v>
          </cell>
        </row>
        <row r="870">
          <cell r="B870">
            <v>2943</v>
          </cell>
          <cell r="C870">
            <v>20957.52</v>
          </cell>
          <cell r="D870" t="str">
            <v>PHP</v>
          </cell>
          <cell r="E870">
            <v>4</v>
          </cell>
          <cell r="F870" t="str">
            <v>PC</v>
          </cell>
          <cell r="G870">
            <v>0</v>
          </cell>
        </row>
        <row r="871">
          <cell r="B871">
            <v>2944</v>
          </cell>
          <cell r="C871">
            <v>2391.1999999999998</v>
          </cell>
          <cell r="D871" t="str">
            <v>PHP</v>
          </cell>
          <cell r="E871">
            <v>8</v>
          </cell>
          <cell r="F871" t="str">
            <v>PC</v>
          </cell>
          <cell r="G871">
            <v>0</v>
          </cell>
        </row>
        <row r="872">
          <cell r="B872">
            <v>2945</v>
          </cell>
          <cell r="C872">
            <v>6365.75</v>
          </cell>
          <cell r="D872" t="str">
            <v>PHP</v>
          </cell>
          <cell r="E872">
            <v>3</v>
          </cell>
          <cell r="F872" t="str">
            <v>PC</v>
          </cell>
          <cell r="G872">
            <v>0</v>
          </cell>
        </row>
        <row r="873">
          <cell r="B873">
            <v>2946</v>
          </cell>
          <cell r="C873">
            <v>17981.95</v>
          </cell>
          <cell r="D873" t="str">
            <v>PHP</v>
          </cell>
          <cell r="E873">
            <v>1</v>
          </cell>
          <cell r="F873" t="str">
            <v>PC</v>
          </cell>
          <cell r="G873">
            <v>0</v>
          </cell>
        </row>
        <row r="874">
          <cell r="B874">
            <v>2947</v>
          </cell>
          <cell r="C874">
            <v>86740.160000000003</v>
          </cell>
          <cell r="D874" t="str">
            <v>PHP</v>
          </cell>
          <cell r="E874">
            <v>4</v>
          </cell>
          <cell r="F874" t="str">
            <v>PC</v>
          </cell>
          <cell r="G874">
            <v>0</v>
          </cell>
        </row>
        <row r="875">
          <cell r="B875">
            <v>2949</v>
          </cell>
          <cell r="C875">
            <v>0</v>
          </cell>
          <cell r="D875" t="str">
            <v>PHP</v>
          </cell>
          <cell r="E875">
            <v>0</v>
          </cell>
          <cell r="F875" t="str">
            <v>PC</v>
          </cell>
          <cell r="G875">
            <v>0</v>
          </cell>
        </row>
        <row r="876">
          <cell r="B876">
            <v>2958</v>
          </cell>
          <cell r="C876">
            <v>0</v>
          </cell>
          <cell r="D876" t="str">
            <v>PHP</v>
          </cell>
          <cell r="E876">
            <v>0</v>
          </cell>
          <cell r="F876" t="str">
            <v>PC</v>
          </cell>
          <cell r="G876">
            <v>0</v>
          </cell>
        </row>
        <row r="877">
          <cell r="B877">
            <v>2961</v>
          </cell>
          <cell r="C877">
            <v>76800</v>
          </cell>
          <cell r="D877" t="str">
            <v>PHP</v>
          </cell>
          <cell r="E877">
            <v>12</v>
          </cell>
          <cell r="F877" t="str">
            <v>PC</v>
          </cell>
          <cell r="G877">
            <v>0</v>
          </cell>
        </row>
        <row r="878">
          <cell r="B878">
            <v>2966</v>
          </cell>
          <cell r="C878">
            <v>9368.23</v>
          </cell>
          <cell r="D878" t="str">
            <v>PHP</v>
          </cell>
          <cell r="E878">
            <v>6</v>
          </cell>
          <cell r="F878" t="str">
            <v>PC</v>
          </cell>
          <cell r="G878">
            <v>0</v>
          </cell>
        </row>
        <row r="879">
          <cell r="B879">
            <v>2967</v>
          </cell>
          <cell r="C879">
            <v>11349.41</v>
          </cell>
          <cell r="D879" t="str">
            <v>PHP</v>
          </cell>
          <cell r="E879">
            <v>9</v>
          </cell>
          <cell r="F879" t="str">
            <v>PC</v>
          </cell>
          <cell r="G879">
            <v>0</v>
          </cell>
        </row>
        <row r="880">
          <cell r="B880">
            <v>2968</v>
          </cell>
          <cell r="C880">
            <v>0</v>
          </cell>
          <cell r="D880" t="str">
            <v>PHP</v>
          </cell>
          <cell r="E880">
            <v>0</v>
          </cell>
          <cell r="F880" t="str">
            <v>PC</v>
          </cell>
          <cell r="G880">
            <v>0</v>
          </cell>
        </row>
        <row r="881">
          <cell r="B881">
            <v>2983</v>
          </cell>
          <cell r="C881">
            <v>58258.35</v>
          </cell>
          <cell r="D881" t="str">
            <v>PHP</v>
          </cell>
          <cell r="E881">
            <v>22</v>
          </cell>
          <cell r="F881" t="str">
            <v>PC</v>
          </cell>
          <cell r="G881">
            <v>0</v>
          </cell>
        </row>
        <row r="882">
          <cell r="B882">
            <v>2984</v>
          </cell>
          <cell r="C882">
            <v>90968.82</v>
          </cell>
          <cell r="D882" t="str">
            <v>PHP</v>
          </cell>
          <cell r="E882">
            <v>16</v>
          </cell>
          <cell r="F882" t="str">
            <v>PC</v>
          </cell>
          <cell r="G882">
            <v>0</v>
          </cell>
        </row>
        <row r="883">
          <cell r="B883">
            <v>2985</v>
          </cell>
          <cell r="C883">
            <v>20855.27</v>
          </cell>
          <cell r="D883" t="str">
            <v>PHP</v>
          </cell>
          <cell r="E883">
            <v>64</v>
          </cell>
          <cell r="F883" t="str">
            <v>PC</v>
          </cell>
          <cell r="G883">
            <v>0</v>
          </cell>
        </row>
        <row r="884">
          <cell r="B884">
            <v>2987</v>
          </cell>
          <cell r="C884">
            <v>6435.03</v>
          </cell>
          <cell r="D884" t="str">
            <v>PHP</v>
          </cell>
          <cell r="E884">
            <v>16</v>
          </cell>
          <cell r="F884" t="str">
            <v>PC</v>
          </cell>
          <cell r="G884">
            <v>0</v>
          </cell>
        </row>
        <row r="885">
          <cell r="B885">
            <v>2989</v>
          </cell>
          <cell r="C885">
            <v>880.69</v>
          </cell>
          <cell r="D885" t="str">
            <v>PHP</v>
          </cell>
          <cell r="E885">
            <v>2</v>
          </cell>
          <cell r="F885" t="str">
            <v>PC</v>
          </cell>
          <cell r="G885">
            <v>0</v>
          </cell>
        </row>
        <row r="886">
          <cell r="B886">
            <v>2990</v>
          </cell>
          <cell r="C886">
            <v>2388</v>
          </cell>
          <cell r="D886" t="str">
            <v>PHP</v>
          </cell>
          <cell r="E886">
            <v>16</v>
          </cell>
          <cell r="F886" t="str">
            <v>PC</v>
          </cell>
          <cell r="G886">
            <v>0</v>
          </cell>
        </row>
        <row r="887">
          <cell r="B887">
            <v>2991</v>
          </cell>
          <cell r="C887">
            <v>2259.6</v>
          </cell>
          <cell r="D887" t="str">
            <v>PHP</v>
          </cell>
          <cell r="E887">
            <v>16</v>
          </cell>
          <cell r="F887" t="str">
            <v>PC</v>
          </cell>
          <cell r="G887">
            <v>0</v>
          </cell>
        </row>
        <row r="888">
          <cell r="B888">
            <v>2995</v>
          </cell>
          <cell r="C888">
            <v>0</v>
          </cell>
          <cell r="D888" t="str">
            <v>PHP</v>
          </cell>
          <cell r="E888">
            <v>0</v>
          </cell>
          <cell r="F888" t="str">
            <v>PC</v>
          </cell>
          <cell r="G888">
            <v>0</v>
          </cell>
        </row>
        <row r="889">
          <cell r="B889">
            <v>2996</v>
          </cell>
          <cell r="C889">
            <v>88564.37</v>
          </cell>
          <cell r="D889" t="str">
            <v>PHP</v>
          </cell>
          <cell r="E889">
            <v>1</v>
          </cell>
          <cell r="F889" t="str">
            <v>PC</v>
          </cell>
          <cell r="G889">
            <v>0</v>
          </cell>
        </row>
        <row r="890">
          <cell r="B890">
            <v>2998</v>
          </cell>
          <cell r="C890">
            <v>26752.55</v>
          </cell>
          <cell r="D890" t="str">
            <v>PHP</v>
          </cell>
          <cell r="E890">
            <v>1</v>
          </cell>
          <cell r="F890" t="str">
            <v>PC</v>
          </cell>
          <cell r="G890">
            <v>0</v>
          </cell>
        </row>
        <row r="891">
          <cell r="B891">
            <v>3005</v>
          </cell>
          <cell r="C891">
            <v>35806.33</v>
          </cell>
          <cell r="D891" t="str">
            <v>PHP</v>
          </cell>
          <cell r="E891">
            <v>1</v>
          </cell>
          <cell r="F891" t="str">
            <v>PC</v>
          </cell>
          <cell r="G891">
            <v>0</v>
          </cell>
        </row>
        <row r="892">
          <cell r="B892">
            <v>3006</v>
          </cell>
          <cell r="C892">
            <v>70600.52</v>
          </cell>
          <cell r="D892" t="str">
            <v>PHP</v>
          </cell>
          <cell r="E892">
            <v>3</v>
          </cell>
          <cell r="F892" t="str">
            <v>PC</v>
          </cell>
          <cell r="G892">
            <v>0</v>
          </cell>
        </row>
        <row r="893">
          <cell r="B893">
            <v>3007</v>
          </cell>
          <cell r="C893">
            <v>0</v>
          </cell>
          <cell r="D893" t="str">
            <v>PHP</v>
          </cell>
          <cell r="E893">
            <v>0</v>
          </cell>
          <cell r="F893" t="str">
            <v>PC</v>
          </cell>
          <cell r="G893">
            <v>0</v>
          </cell>
        </row>
        <row r="894">
          <cell r="B894">
            <v>3008</v>
          </cell>
          <cell r="C894">
            <v>25695.119999999999</v>
          </cell>
          <cell r="D894" t="str">
            <v>PHP</v>
          </cell>
          <cell r="E894">
            <v>1</v>
          </cell>
          <cell r="F894" t="str">
            <v>PC</v>
          </cell>
          <cell r="G894">
            <v>0</v>
          </cell>
        </row>
        <row r="895">
          <cell r="B895">
            <v>3009</v>
          </cell>
          <cell r="C895">
            <v>9522.6200000000008</v>
          </cell>
          <cell r="D895" t="str">
            <v>PHP</v>
          </cell>
          <cell r="E895">
            <v>1</v>
          </cell>
          <cell r="F895" t="str">
            <v>PC</v>
          </cell>
          <cell r="G895">
            <v>0</v>
          </cell>
        </row>
        <row r="896">
          <cell r="B896">
            <v>3010</v>
          </cell>
          <cell r="C896">
            <v>20854</v>
          </cell>
          <cell r="D896" t="str">
            <v>PHP</v>
          </cell>
          <cell r="E896">
            <v>2</v>
          </cell>
          <cell r="F896" t="str">
            <v>PC</v>
          </cell>
          <cell r="G896">
            <v>0</v>
          </cell>
        </row>
        <row r="897">
          <cell r="B897">
            <v>3011</v>
          </cell>
          <cell r="C897">
            <v>0</v>
          </cell>
          <cell r="D897" t="str">
            <v>PHP</v>
          </cell>
          <cell r="E897">
            <v>0</v>
          </cell>
          <cell r="F897" t="str">
            <v>PC</v>
          </cell>
          <cell r="G897">
            <v>0</v>
          </cell>
        </row>
        <row r="898">
          <cell r="B898">
            <v>3040</v>
          </cell>
          <cell r="C898">
            <v>65211.65</v>
          </cell>
          <cell r="D898" t="str">
            <v>PHP</v>
          </cell>
          <cell r="E898">
            <v>1</v>
          </cell>
          <cell r="F898" t="str">
            <v>PC</v>
          </cell>
          <cell r="G898">
            <v>0</v>
          </cell>
        </row>
        <row r="899">
          <cell r="B899">
            <v>3041</v>
          </cell>
          <cell r="C899">
            <v>60012.05</v>
          </cell>
          <cell r="D899" t="str">
            <v>PHP</v>
          </cell>
          <cell r="E899">
            <v>1</v>
          </cell>
          <cell r="F899" t="str">
            <v>PC</v>
          </cell>
          <cell r="G899">
            <v>0</v>
          </cell>
        </row>
        <row r="900">
          <cell r="B900">
            <v>3042</v>
          </cell>
          <cell r="C900">
            <v>12417.53</v>
          </cell>
          <cell r="D900" t="str">
            <v>PHP</v>
          </cell>
          <cell r="E900">
            <v>4</v>
          </cell>
          <cell r="F900" t="str">
            <v>PC</v>
          </cell>
          <cell r="G900">
            <v>0</v>
          </cell>
        </row>
        <row r="901">
          <cell r="B901">
            <v>3087</v>
          </cell>
          <cell r="C901">
            <v>2156631.54</v>
          </cell>
          <cell r="D901" t="str">
            <v>PHP</v>
          </cell>
          <cell r="E901">
            <v>48</v>
          </cell>
          <cell r="F901" t="str">
            <v>LEN</v>
          </cell>
          <cell r="G901">
            <v>0</v>
          </cell>
        </row>
        <row r="902">
          <cell r="B902">
            <v>3091</v>
          </cell>
          <cell r="C902">
            <v>0</v>
          </cell>
          <cell r="D902" t="str">
            <v>PHP</v>
          </cell>
          <cell r="E902">
            <v>0</v>
          </cell>
          <cell r="F902" t="str">
            <v>PC</v>
          </cell>
          <cell r="G902">
            <v>0</v>
          </cell>
        </row>
        <row r="903">
          <cell r="B903">
            <v>3095</v>
          </cell>
          <cell r="C903">
            <v>0</v>
          </cell>
          <cell r="D903" t="str">
            <v>PHP</v>
          </cell>
          <cell r="E903">
            <v>0</v>
          </cell>
          <cell r="F903" t="str">
            <v>PC</v>
          </cell>
          <cell r="G903">
            <v>0</v>
          </cell>
        </row>
        <row r="904">
          <cell r="B904">
            <v>3096</v>
          </cell>
          <cell r="C904">
            <v>0</v>
          </cell>
          <cell r="D904" t="str">
            <v>PHP</v>
          </cell>
          <cell r="E904">
            <v>0</v>
          </cell>
          <cell r="F904" t="str">
            <v>PC</v>
          </cell>
          <cell r="G904">
            <v>0</v>
          </cell>
        </row>
        <row r="905">
          <cell r="B905">
            <v>3097</v>
          </cell>
          <cell r="C905">
            <v>347472.21</v>
          </cell>
          <cell r="D905" t="str">
            <v>PHP</v>
          </cell>
          <cell r="E905">
            <v>3</v>
          </cell>
          <cell r="F905" t="str">
            <v>PC</v>
          </cell>
          <cell r="G905">
            <v>0</v>
          </cell>
        </row>
        <row r="906">
          <cell r="B906">
            <v>3098</v>
          </cell>
          <cell r="C906">
            <v>77707.179999999993</v>
          </cell>
          <cell r="D906" t="str">
            <v>PHP</v>
          </cell>
          <cell r="E906">
            <v>2</v>
          </cell>
          <cell r="F906" t="str">
            <v>PC</v>
          </cell>
          <cell r="G906">
            <v>0</v>
          </cell>
        </row>
        <row r="907">
          <cell r="B907">
            <v>3099</v>
          </cell>
          <cell r="C907">
            <v>799163.04</v>
          </cell>
          <cell r="D907" t="str">
            <v>PHP</v>
          </cell>
          <cell r="E907">
            <v>3</v>
          </cell>
          <cell r="F907" t="str">
            <v>PC</v>
          </cell>
          <cell r="G907">
            <v>0</v>
          </cell>
        </row>
        <row r="908">
          <cell r="B908">
            <v>3100</v>
          </cell>
          <cell r="C908">
            <v>0</v>
          </cell>
          <cell r="D908" t="str">
            <v>PHP</v>
          </cell>
          <cell r="E908">
            <v>0</v>
          </cell>
          <cell r="F908" t="str">
            <v>PC</v>
          </cell>
          <cell r="G908">
            <v>0</v>
          </cell>
        </row>
        <row r="909">
          <cell r="B909">
            <v>3101</v>
          </cell>
          <cell r="C909">
            <v>89419.37</v>
          </cell>
          <cell r="D909" t="str">
            <v>PHP</v>
          </cell>
          <cell r="E909">
            <v>1</v>
          </cell>
          <cell r="F909" t="str">
            <v>PC</v>
          </cell>
          <cell r="G909">
            <v>0</v>
          </cell>
        </row>
        <row r="910">
          <cell r="B910">
            <v>3102</v>
          </cell>
          <cell r="C910">
            <v>0</v>
          </cell>
          <cell r="D910" t="str">
            <v>PHP</v>
          </cell>
          <cell r="E910">
            <v>0</v>
          </cell>
          <cell r="F910" t="str">
            <v>PC</v>
          </cell>
          <cell r="G910">
            <v>0</v>
          </cell>
        </row>
        <row r="911">
          <cell r="B911">
            <v>3103</v>
          </cell>
          <cell r="C911">
            <v>45527.29</v>
          </cell>
          <cell r="D911" t="str">
            <v>PHP</v>
          </cell>
          <cell r="E911">
            <v>1</v>
          </cell>
          <cell r="F911" t="str">
            <v>PC</v>
          </cell>
          <cell r="G911">
            <v>0</v>
          </cell>
        </row>
        <row r="912">
          <cell r="B912">
            <v>3104</v>
          </cell>
          <cell r="C912">
            <v>0</v>
          </cell>
          <cell r="D912" t="str">
            <v>PHP</v>
          </cell>
          <cell r="E912">
            <v>0</v>
          </cell>
          <cell r="F912" t="str">
            <v>PC</v>
          </cell>
          <cell r="G912">
            <v>0</v>
          </cell>
        </row>
        <row r="913">
          <cell r="B913">
            <v>3109</v>
          </cell>
          <cell r="C913">
            <v>0</v>
          </cell>
          <cell r="D913" t="str">
            <v>PHP</v>
          </cell>
          <cell r="E913">
            <v>0</v>
          </cell>
          <cell r="F913" t="str">
            <v>PC</v>
          </cell>
          <cell r="G913">
            <v>0</v>
          </cell>
        </row>
        <row r="914">
          <cell r="B914">
            <v>3110</v>
          </cell>
          <cell r="C914">
            <v>301084.27</v>
          </cell>
          <cell r="D914" t="str">
            <v>PHP</v>
          </cell>
          <cell r="E914">
            <v>8</v>
          </cell>
          <cell r="F914" t="str">
            <v>LEN</v>
          </cell>
          <cell r="G914">
            <v>0</v>
          </cell>
        </row>
        <row r="915">
          <cell r="B915">
            <v>3111</v>
          </cell>
          <cell r="C915">
            <v>159000</v>
          </cell>
          <cell r="D915" t="str">
            <v>PHP</v>
          </cell>
          <cell r="E915">
            <v>5</v>
          </cell>
          <cell r="F915" t="str">
            <v>LEN</v>
          </cell>
          <cell r="G915">
            <v>0</v>
          </cell>
        </row>
        <row r="916">
          <cell r="B916">
            <v>3112</v>
          </cell>
          <cell r="C916">
            <v>242196.43</v>
          </cell>
          <cell r="D916" t="str">
            <v>PHP</v>
          </cell>
          <cell r="E916">
            <v>6</v>
          </cell>
          <cell r="F916" t="str">
            <v>LEN</v>
          </cell>
          <cell r="G916">
            <v>0</v>
          </cell>
        </row>
        <row r="917">
          <cell r="B917">
            <v>3114</v>
          </cell>
          <cell r="C917">
            <v>0</v>
          </cell>
          <cell r="D917" t="str">
            <v>PHP</v>
          </cell>
          <cell r="E917">
            <v>0</v>
          </cell>
          <cell r="F917" t="str">
            <v>FT</v>
          </cell>
          <cell r="G917">
            <v>0</v>
          </cell>
        </row>
        <row r="918">
          <cell r="B918">
            <v>3115</v>
          </cell>
          <cell r="C918">
            <v>23904</v>
          </cell>
          <cell r="D918" t="str">
            <v>PHP</v>
          </cell>
          <cell r="E918">
            <v>8</v>
          </cell>
          <cell r="F918" t="str">
            <v>PC</v>
          </cell>
          <cell r="G918">
            <v>0</v>
          </cell>
        </row>
        <row r="919">
          <cell r="B919">
            <v>3116</v>
          </cell>
          <cell r="C919">
            <v>28010</v>
          </cell>
          <cell r="D919" t="str">
            <v>PHP</v>
          </cell>
          <cell r="E919">
            <v>10</v>
          </cell>
          <cell r="F919" t="str">
            <v>PC</v>
          </cell>
          <cell r="G919">
            <v>0</v>
          </cell>
        </row>
        <row r="920">
          <cell r="B920">
            <v>3117</v>
          </cell>
          <cell r="C920">
            <v>0</v>
          </cell>
          <cell r="D920" t="str">
            <v>PHP</v>
          </cell>
          <cell r="E920">
            <v>0</v>
          </cell>
          <cell r="F920" t="str">
            <v>PC</v>
          </cell>
          <cell r="G920">
            <v>0</v>
          </cell>
        </row>
        <row r="921">
          <cell r="B921">
            <v>3120</v>
          </cell>
          <cell r="C921">
            <v>17491.47</v>
          </cell>
          <cell r="D921" t="str">
            <v>PHP</v>
          </cell>
          <cell r="E921">
            <v>3</v>
          </cell>
          <cell r="F921" t="str">
            <v>PC</v>
          </cell>
          <cell r="G921">
            <v>0</v>
          </cell>
        </row>
        <row r="922">
          <cell r="B922">
            <v>3124</v>
          </cell>
          <cell r="C922">
            <v>1092711.76</v>
          </cell>
          <cell r="D922" t="str">
            <v>PHP</v>
          </cell>
          <cell r="E922">
            <v>74</v>
          </cell>
          <cell r="F922" t="str">
            <v>FT</v>
          </cell>
          <cell r="G922">
            <v>0</v>
          </cell>
        </row>
        <row r="923">
          <cell r="B923">
            <v>3131</v>
          </cell>
          <cell r="C923">
            <v>193724.14</v>
          </cell>
          <cell r="D923" t="str">
            <v>PHP</v>
          </cell>
          <cell r="E923">
            <v>6</v>
          </cell>
          <cell r="F923" t="str">
            <v>PC</v>
          </cell>
          <cell r="G923">
            <v>0</v>
          </cell>
        </row>
        <row r="924">
          <cell r="B924">
            <v>3134</v>
          </cell>
          <cell r="C924">
            <v>24316.400000000001</v>
          </cell>
          <cell r="D924" t="str">
            <v>PHP</v>
          </cell>
          <cell r="E924">
            <v>1</v>
          </cell>
          <cell r="F924" t="str">
            <v>PC</v>
          </cell>
          <cell r="G924">
            <v>0</v>
          </cell>
        </row>
        <row r="925">
          <cell r="B925">
            <v>3138</v>
          </cell>
          <cell r="C925">
            <v>0</v>
          </cell>
          <cell r="D925" t="str">
            <v>PHP</v>
          </cell>
          <cell r="E925">
            <v>0</v>
          </cell>
          <cell r="F925" t="str">
            <v>ASY</v>
          </cell>
          <cell r="G925">
            <v>0</v>
          </cell>
        </row>
        <row r="926">
          <cell r="B926">
            <v>3144</v>
          </cell>
          <cell r="C926">
            <v>0</v>
          </cell>
          <cell r="D926" t="str">
            <v>PHP</v>
          </cell>
          <cell r="E926">
            <v>0</v>
          </cell>
          <cell r="F926" t="str">
            <v>PAD</v>
          </cell>
          <cell r="G926">
            <v>0</v>
          </cell>
        </row>
        <row r="927">
          <cell r="B927">
            <v>3149</v>
          </cell>
          <cell r="C927">
            <v>581109.61</v>
          </cell>
          <cell r="D927" t="str">
            <v>PHP</v>
          </cell>
          <cell r="E927">
            <v>1</v>
          </cell>
          <cell r="F927" t="str">
            <v>PC</v>
          </cell>
          <cell r="G927">
            <v>0</v>
          </cell>
        </row>
        <row r="928">
          <cell r="B928">
            <v>3153</v>
          </cell>
          <cell r="C928">
            <v>0</v>
          </cell>
          <cell r="D928" t="str">
            <v>PHP</v>
          </cell>
          <cell r="E928">
            <v>0</v>
          </cell>
          <cell r="F928" t="str">
            <v>PC</v>
          </cell>
          <cell r="G928">
            <v>0</v>
          </cell>
        </row>
        <row r="929">
          <cell r="B929">
            <v>3158</v>
          </cell>
          <cell r="C929">
            <v>41909.33</v>
          </cell>
          <cell r="D929" t="str">
            <v>PHP</v>
          </cell>
          <cell r="E929">
            <v>3</v>
          </cell>
          <cell r="F929" t="str">
            <v>PC</v>
          </cell>
          <cell r="G929">
            <v>0</v>
          </cell>
        </row>
        <row r="930">
          <cell r="B930">
            <v>3160</v>
          </cell>
          <cell r="C930">
            <v>70894.53</v>
          </cell>
          <cell r="D930" t="str">
            <v>PHP</v>
          </cell>
          <cell r="E930">
            <v>3</v>
          </cell>
          <cell r="F930" t="str">
            <v>PC</v>
          </cell>
          <cell r="G930">
            <v>0</v>
          </cell>
        </row>
        <row r="931">
          <cell r="B931">
            <v>3163</v>
          </cell>
          <cell r="C931">
            <v>2752.04</v>
          </cell>
          <cell r="D931" t="str">
            <v>PHP</v>
          </cell>
          <cell r="E931">
            <v>8</v>
          </cell>
          <cell r="F931" t="str">
            <v>PC</v>
          </cell>
          <cell r="G931">
            <v>0</v>
          </cell>
        </row>
        <row r="932">
          <cell r="B932">
            <v>3184</v>
          </cell>
          <cell r="C932">
            <v>15268.11</v>
          </cell>
          <cell r="D932" t="str">
            <v>PHP</v>
          </cell>
          <cell r="E932">
            <v>3</v>
          </cell>
          <cell r="F932" t="str">
            <v>PC</v>
          </cell>
          <cell r="G932">
            <v>0</v>
          </cell>
        </row>
        <row r="933">
          <cell r="B933">
            <v>3186</v>
          </cell>
          <cell r="C933">
            <v>466650.21</v>
          </cell>
          <cell r="D933" t="str">
            <v>PHP</v>
          </cell>
          <cell r="E933">
            <v>3</v>
          </cell>
          <cell r="F933" t="str">
            <v>PC</v>
          </cell>
          <cell r="G933">
            <v>0</v>
          </cell>
        </row>
        <row r="934">
          <cell r="B934">
            <v>3187</v>
          </cell>
          <cell r="C934">
            <v>466650.21</v>
          </cell>
          <cell r="D934" t="str">
            <v>PHP</v>
          </cell>
          <cell r="E934">
            <v>3</v>
          </cell>
          <cell r="F934" t="str">
            <v>PC</v>
          </cell>
          <cell r="G934">
            <v>0</v>
          </cell>
        </row>
        <row r="935">
          <cell r="B935">
            <v>3188</v>
          </cell>
          <cell r="C935">
            <v>556.6</v>
          </cell>
          <cell r="D935" t="str">
            <v>PHP</v>
          </cell>
          <cell r="E935">
            <v>4</v>
          </cell>
          <cell r="F935" t="str">
            <v>PC</v>
          </cell>
          <cell r="G935">
            <v>0</v>
          </cell>
        </row>
        <row r="936">
          <cell r="B936">
            <v>3189</v>
          </cell>
          <cell r="C936">
            <v>0</v>
          </cell>
          <cell r="D936" t="str">
            <v>PHP</v>
          </cell>
          <cell r="E936">
            <v>0</v>
          </cell>
          <cell r="F936" t="str">
            <v>PC</v>
          </cell>
          <cell r="G936">
            <v>0</v>
          </cell>
        </row>
        <row r="937">
          <cell r="B937">
            <v>3190</v>
          </cell>
          <cell r="C937">
            <v>30155.97</v>
          </cell>
          <cell r="D937" t="str">
            <v>PHP</v>
          </cell>
          <cell r="E937">
            <v>10</v>
          </cell>
          <cell r="F937" t="str">
            <v>PC</v>
          </cell>
          <cell r="G937">
            <v>0</v>
          </cell>
        </row>
        <row r="938">
          <cell r="B938">
            <v>3191</v>
          </cell>
          <cell r="C938">
            <v>4762.07</v>
          </cell>
          <cell r="D938" t="str">
            <v>PHP</v>
          </cell>
          <cell r="E938">
            <v>30</v>
          </cell>
          <cell r="F938" t="str">
            <v>PC</v>
          </cell>
          <cell r="G938">
            <v>0</v>
          </cell>
        </row>
        <row r="939">
          <cell r="B939">
            <v>3192</v>
          </cell>
          <cell r="C939">
            <v>1567.73</v>
          </cell>
          <cell r="D939" t="str">
            <v>PHP</v>
          </cell>
          <cell r="E939">
            <v>4</v>
          </cell>
          <cell r="F939" t="str">
            <v>PC</v>
          </cell>
          <cell r="G939">
            <v>0</v>
          </cell>
        </row>
        <row r="940">
          <cell r="B940">
            <v>3196</v>
          </cell>
          <cell r="C940">
            <v>0</v>
          </cell>
          <cell r="D940" t="str">
            <v>PHP</v>
          </cell>
          <cell r="E940">
            <v>0</v>
          </cell>
          <cell r="F940" t="str">
            <v>PC</v>
          </cell>
          <cell r="G940">
            <v>0</v>
          </cell>
        </row>
        <row r="941">
          <cell r="B941">
            <v>3197</v>
          </cell>
          <cell r="C941">
            <v>0</v>
          </cell>
          <cell r="D941" t="str">
            <v>PHP</v>
          </cell>
          <cell r="E941">
            <v>0</v>
          </cell>
          <cell r="F941" t="str">
            <v>PC</v>
          </cell>
          <cell r="G941">
            <v>0</v>
          </cell>
        </row>
        <row r="942">
          <cell r="B942">
            <v>3198</v>
          </cell>
          <cell r="C942">
            <v>54861.87</v>
          </cell>
          <cell r="D942" t="str">
            <v>PHP</v>
          </cell>
          <cell r="E942">
            <v>3</v>
          </cell>
          <cell r="F942" t="str">
            <v>PC</v>
          </cell>
          <cell r="G942">
            <v>0</v>
          </cell>
        </row>
        <row r="943">
          <cell r="B943">
            <v>3199</v>
          </cell>
          <cell r="C943">
            <v>71625</v>
          </cell>
          <cell r="D943" t="str">
            <v>PHP</v>
          </cell>
          <cell r="E943">
            <v>4</v>
          </cell>
          <cell r="F943" t="str">
            <v>PC</v>
          </cell>
          <cell r="G943">
            <v>0</v>
          </cell>
        </row>
        <row r="944">
          <cell r="B944">
            <v>3200</v>
          </cell>
          <cell r="C944">
            <v>0</v>
          </cell>
          <cell r="D944" t="str">
            <v>PHP</v>
          </cell>
          <cell r="E944">
            <v>0</v>
          </cell>
          <cell r="F944" t="str">
            <v>PC</v>
          </cell>
          <cell r="G944">
            <v>0</v>
          </cell>
        </row>
        <row r="945">
          <cell r="B945">
            <v>3202</v>
          </cell>
          <cell r="C945">
            <v>339141.92</v>
          </cell>
          <cell r="D945" t="str">
            <v>PHP</v>
          </cell>
          <cell r="E945">
            <v>23</v>
          </cell>
          <cell r="F945" t="str">
            <v>PC</v>
          </cell>
          <cell r="G945">
            <v>0</v>
          </cell>
        </row>
        <row r="946">
          <cell r="B946">
            <v>3203</v>
          </cell>
          <cell r="C946">
            <v>0</v>
          </cell>
          <cell r="D946" t="str">
            <v>PHP</v>
          </cell>
          <cell r="E946">
            <v>0</v>
          </cell>
          <cell r="F946" t="str">
            <v>PC</v>
          </cell>
          <cell r="G946">
            <v>0</v>
          </cell>
        </row>
        <row r="947">
          <cell r="B947">
            <v>3204</v>
          </cell>
          <cell r="C947">
            <v>596216.39</v>
          </cell>
          <cell r="D947" t="str">
            <v>PHP</v>
          </cell>
          <cell r="E947">
            <v>8</v>
          </cell>
          <cell r="F947" t="str">
            <v>PC</v>
          </cell>
          <cell r="G947">
            <v>0</v>
          </cell>
        </row>
        <row r="948">
          <cell r="B948">
            <v>3205</v>
          </cell>
          <cell r="C948">
            <v>578816.15</v>
          </cell>
          <cell r="D948" t="str">
            <v>PHP</v>
          </cell>
          <cell r="E948">
            <v>12</v>
          </cell>
          <cell r="F948" t="str">
            <v>PC</v>
          </cell>
          <cell r="G948">
            <v>0</v>
          </cell>
        </row>
        <row r="949">
          <cell r="B949">
            <v>3206</v>
          </cell>
          <cell r="C949">
            <v>1025537.14</v>
          </cell>
          <cell r="D949" t="str">
            <v>PHP</v>
          </cell>
          <cell r="E949">
            <v>9</v>
          </cell>
          <cell r="F949" t="str">
            <v>ASY</v>
          </cell>
          <cell r="G949">
            <v>0</v>
          </cell>
        </row>
        <row r="950">
          <cell r="B950">
            <v>3213</v>
          </cell>
          <cell r="C950">
            <v>214738.47</v>
          </cell>
          <cell r="D950" t="str">
            <v>PHP</v>
          </cell>
          <cell r="E950">
            <v>3</v>
          </cell>
          <cell r="F950" t="str">
            <v>PC</v>
          </cell>
          <cell r="G950">
            <v>0</v>
          </cell>
        </row>
        <row r="951">
          <cell r="B951">
            <v>3214</v>
          </cell>
          <cell r="C951">
            <v>214738.47</v>
          </cell>
          <cell r="D951" t="str">
            <v>PHP</v>
          </cell>
          <cell r="E951">
            <v>3</v>
          </cell>
          <cell r="F951" t="str">
            <v>PC</v>
          </cell>
          <cell r="G951">
            <v>0</v>
          </cell>
        </row>
        <row r="952">
          <cell r="B952">
            <v>3215</v>
          </cell>
          <cell r="C952">
            <v>145771.35999999999</v>
          </cell>
          <cell r="D952" t="str">
            <v>PHP</v>
          </cell>
          <cell r="E952">
            <v>1</v>
          </cell>
          <cell r="F952" t="str">
            <v>PC</v>
          </cell>
          <cell r="G952">
            <v>0</v>
          </cell>
        </row>
        <row r="953">
          <cell r="B953">
            <v>3216</v>
          </cell>
          <cell r="C953">
            <v>142240.35</v>
          </cell>
          <cell r="D953" t="str">
            <v>PHP</v>
          </cell>
          <cell r="E953">
            <v>1</v>
          </cell>
          <cell r="F953" t="str">
            <v>PC</v>
          </cell>
          <cell r="G953">
            <v>0</v>
          </cell>
        </row>
        <row r="954">
          <cell r="B954">
            <v>3218</v>
          </cell>
          <cell r="C954">
            <v>37934.239999999998</v>
          </cell>
          <cell r="D954" t="str">
            <v>PHP</v>
          </cell>
          <cell r="E954">
            <v>8</v>
          </cell>
          <cell r="F954" t="str">
            <v>PC</v>
          </cell>
          <cell r="G954">
            <v>0</v>
          </cell>
        </row>
        <row r="955">
          <cell r="B955">
            <v>3224</v>
          </cell>
          <cell r="C955">
            <v>456949.69</v>
          </cell>
          <cell r="D955" t="str">
            <v>PHP</v>
          </cell>
          <cell r="E955">
            <v>10</v>
          </cell>
          <cell r="F955" t="str">
            <v>PC</v>
          </cell>
          <cell r="G955">
            <v>0</v>
          </cell>
        </row>
        <row r="956">
          <cell r="B956">
            <v>3237</v>
          </cell>
          <cell r="C956">
            <v>0</v>
          </cell>
          <cell r="D956" t="str">
            <v>PHP</v>
          </cell>
          <cell r="E956">
            <v>0</v>
          </cell>
          <cell r="F956" t="str">
            <v>PC</v>
          </cell>
          <cell r="G956">
            <v>0</v>
          </cell>
        </row>
        <row r="957">
          <cell r="B957">
            <v>3238</v>
          </cell>
          <cell r="C957">
            <v>0</v>
          </cell>
          <cell r="D957" t="str">
            <v>PHP</v>
          </cell>
          <cell r="E957">
            <v>0</v>
          </cell>
          <cell r="F957" t="str">
            <v>PC</v>
          </cell>
          <cell r="G957">
            <v>0</v>
          </cell>
        </row>
        <row r="958">
          <cell r="B958">
            <v>3239</v>
          </cell>
          <cell r="C958">
            <v>153597.63</v>
          </cell>
          <cell r="D958" t="str">
            <v>PHP</v>
          </cell>
          <cell r="E958">
            <v>2</v>
          </cell>
          <cell r="F958" t="str">
            <v>PC</v>
          </cell>
          <cell r="G958">
            <v>0</v>
          </cell>
        </row>
        <row r="959">
          <cell r="B959">
            <v>3241</v>
          </cell>
          <cell r="C959">
            <v>310498.24</v>
          </cell>
          <cell r="D959" t="str">
            <v>PHP</v>
          </cell>
          <cell r="E959">
            <v>1</v>
          </cell>
          <cell r="F959" t="str">
            <v>PC</v>
          </cell>
          <cell r="G959">
            <v>0</v>
          </cell>
        </row>
        <row r="960">
          <cell r="B960">
            <v>3242</v>
          </cell>
          <cell r="C960">
            <v>0</v>
          </cell>
          <cell r="D960" t="str">
            <v>PHP</v>
          </cell>
          <cell r="E960">
            <v>0</v>
          </cell>
          <cell r="F960" t="str">
            <v>PC</v>
          </cell>
          <cell r="G960">
            <v>0</v>
          </cell>
        </row>
        <row r="961">
          <cell r="B961">
            <v>3243</v>
          </cell>
          <cell r="C961">
            <v>430310.59</v>
          </cell>
          <cell r="D961" t="str">
            <v>PHP</v>
          </cell>
          <cell r="E961">
            <v>5</v>
          </cell>
          <cell r="F961" t="str">
            <v>PC</v>
          </cell>
          <cell r="G961">
            <v>0</v>
          </cell>
        </row>
        <row r="962">
          <cell r="B962">
            <v>3244</v>
          </cell>
          <cell r="C962">
            <v>0</v>
          </cell>
          <cell r="D962" t="str">
            <v>PHP</v>
          </cell>
          <cell r="E962">
            <v>0</v>
          </cell>
          <cell r="F962" t="str">
            <v>PC</v>
          </cell>
          <cell r="G962">
            <v>0</v>
          </cell>
        </row>
        <row r="963">
          <cell r="B963">
            <v>3245</v>
          </cell>
          <cell r="C963">
            <v>433507.2</v>
          </cell>
          <cell r="D963" t="str">
            <v>PHP</v>
          </cell>
          <cell r="E963">
            <v>2</v>
          </cell>
          <cell r="F963" t="str">
            <v>PC</v>
          </cell>
          <cell r="G963">
            <v>0</v>
          </cell>
        </row>
        <row r="964">
          <cell r="B964">
            <v>3246</v>
          </cell>
          <cell r="C964">
            <v>0</v>
          </cell>
          <cell r="D964" t="str">
            <v>PHP</v>
          </cell>
          <cell r="E964">
            <v>0</v>
          </cell>
          <cell r="F964" t="str">
            <v>PC</v>
          </cell>
          <cell r="G964">
            <v>0</v>
          </cell>
        </row>
        <row r="965">
          <cell r="B965">
            <v>3247</v>
          </cell>
          <cell r="C965">
            <v>1180470</v>
          </cell>
          <cell r="D965" t="str">
            <v>PHP</v>
          </cell>
          <cell r="E965">
            <v>1</v>
          </cell>
          <cell r="F965" t="str">
            <v>PC</v>
          </cell>
          <cell r="G965">
            <v>0</v>
          </cell>
        </row>
        <row r="966">
          <cell r="B966">
            <v>3249</v>
          </cell>
          <cell r="C966">
            <v>1098584.3899999999</v>
          </cell>
          <cell r="D966" t="str">
            <v>PHP</v>
          </cell>
          <cell r="E966">
            <v>1</v>
          </cell>
          <cell r="F966" t="str">
            <v>PC</v>
          </cell>
          <cell r="G966">
            <v>0</v>
          </cell>
        </row>
        <row r="967">
          <cell r="B967">
            <v>3250</v>
          </cell>
          <cell r="C967">
            <v>161925</v>
          </cell>
          <cell r="D967" t="str">
            <v>PHP</v>
          </cell>
          <cell r="E967">
            <v>2</v>
          </cell>
          <cell r="F967" t="str">
            <v>PC</v>
          </cell>
          <cell r="G967">
            <v>0</v>
          </cell>
        </row>
        <row r="968">
          <cell r="B968">
            <v>3251</v>
          </cell>
          <cell r="C968">
            <v>253819.3</v>
          </cell>
          <cell r="D968" t="str">
            <v>PHP</v>
          </cell>
          <cell r="E968">
            <v>2</v>
          </cell>
          <cell r="F968" t="str">
            <v>PC</v>
          </cell>
          <cell r="G968">
            <v>0</v>
          </cell>
        </row>
        <row r="969">
          <cell r="B969">
            <v>3252</v>
          </cell>
          <cell r="C969">
            <v>473314.85</v>
          </cell>
          <cell r="D969" t="str">
            <v>PHP</v>
          </cell>
          <cell r="E969">
            <v>2</v>
          </cell>
          <cell r="F969" t="str">
            <v>PC</v>
          </cell>
          <cell r="G969">
            <v>0</v>
          </cell>
        </row>
        <row r="970">
          <cell r="B970">
            <v>3253</v>
          </cell>
          <cell r="C970">
            <v>401931.43</v>
          </cell>
          <cell r="D970" t="str">
            <v>PHP</v>
          </cell>
          <cell r="E970">
            <v>1</v>
          </cell>
          <cell r="F970" t="str">
            <v>PC</v>
          </cell>
          <cell r="G970">
            <v>0</v>
          </cell>
        </row>
        <row r="971">
          <cell r="B971">
            <v>3254</v>
          </cell>
          <cell r="C971">
            <v>405375.47</v>
          </cell>
          <cell r="D971" t="str">
            <v>PHP</v>
          </cell>
          <cell r="E971">
            <v>1</v>
          </cell>
          <cell r="F971" t="str">
            <v>PC</v>
          </cell>
          <cell r="G971">
            <v>0</v>
          </cell>
        </row>
        <row r="972">
          <cell r="B972">
            <v>3255</v>
          </cell>
          <cell r="C972">
            <v>117116.88</v>
          </cell>
          <cell r="D972" t="str">
            <v>PHP</v>
          </cell>
          <cell r="E972">
            <v>1</v>
          </cell>
          <cell r="F972" t="str">
            <v>PC</v>
          </cell>
          <cell r="G972">
            <v>0</v>
          </cell>
        </row>
        <row r="973">
          <cell r="B973">
            <v>3256</v>
          </cell>
          <cell r="C973">
            <v>622422.89</v>
          </cell>
          <cell r="D973" t="str">
            <v>PHP</v>
          </cell>
          <cell r="E973">
            <v>3</v>
          </cell>
          <cell r="F973" t="str">
            <v>PC</v>
          </cell>
          <cell r="G973">
            <v>0</v>
          </cell>
        </row>
        <row r="974">
          <cell r="B974">
            <v>3257</v>
          </cell>
          <cell r="C974">
            <v>490618.59</v>
          </cell>
          <cell r="D974" t="str">
            <v>PHP</v>
          </cell>
          <cell r="E974">
            <v>2</v>
          </cell>
          <cell r="F974" t="str">
            <v>ASY</v>
          </cell>
          <cell r="G974">
            <v>0</v>
          </cell>
        </row>
        <row r="975">
          <cell r="B975">
            <v>3258</v>
          </cell>
          <cell r="C975">
            <v>326246.09000000003</v>
          </cell>
          <cell r="D975" t="str">
            <v>PHP</v>
          </cell>
          <cell r="E975">
            <v>2</v>
          </cell>
          <cell r="F975" t="str">
            <v>ASY</v>
          </cell>
          <cell r="G975">
            <v>0</v>
          </cell>
        </row>
        <row r="976">
          <cell r="B976">
            <v>3259</v>
          </cell>
          <cell r="C976">
            <v>0</v>
          </cell>
          <cell r="D976" t="str">
            <v>PHP</v>
          </cell>
          <cell r="E976">
            <v>0</v>
          </cell>
          <cell r="F976" t="str">
            <v>PC</v>
          </cell>
          <cell r="G976">
            <v>0</v>
          </cell>
        </row>
        <row r="977">
          <cell r="B977">
            <v>3262</v>
          </cell>
          <cell r="C977">
            <v>0</v>
          </cell>
          <cell r="D977" t="str">
            <v>PHP</v>
          </cell>
          <cell r="E977">
            <v>0</v>
          </cell>
          <cell r="F977" t="str">
            <v>PC</v>
          </cell>
          <cell r="G977">
            <v>0</v>
          </cell>
        </row>
        <row r="978">
          <cell r="B978">
            <v>3265</v>
          </cell>
          <cell r="C978">
            <v>0</v>
          </cell>
          <cell r="D978" t="str">
            <v>PHP</v>
          </cell>
          <cell r="E978">
            <v>0</v>
          </cell>
          <cell r="F978" t="str">
            <v>UT</v>
          </cell>
          <cell r="G978">
            <v>0</v>
          </cell>
        </row>
        <row r="979">
          <cell r="B979">
            <v>3266</v>
          </cell>
          <cell r="C979">
            <v>182726.96</v>
          </cell>
          <cell r="D979" t="str">
            <v>PHP</v>
          </cell>
          <cell r="E979">
            <v>4</v>
          </cell>
          <cell r="F979" t="str">
            <v>PC</v>
          </cell>
          <cell r="G979">
            <v>0</v>
          </cell>
        </row>
        <row r="980">
          <cell r="B980">
            <v>3273</v>
          </cell>
          <cell r="C980">
            <v>2400</v>
          </cell>
          <cell r="D980" t="str">
            <v>PHP</v>
          </cell>
          <cell r="E980">
            <v>2</v>
          </cell>
          <cell r="F980" t="str">
            <v>PC</v>
          </cell>
          <cell r="G980">
            <v>0</v>
          </cell>
        </row>
        <row r="981">
          <cell r="B981">
            <v>3274</v>
          </cell>
          <cell r="C981">
            <v>5400</v>
          </cell>
          <cell r="D981" t="str">
            <v>PHP</v>
          </cell>
          <cell r="E981">
            <v>2</v>
          </cell>
          <cell r="F981" t="str">
            <v>PC</v>
          </cell>
          <cell r="G981">
            <v>0</v>
          </cell>
        </row>
        <row r="982">
          <cell r="B982">
            <v>3276</v>
          </cell>
          <cell r="C982">
            <v>67968.36</v>
          </cell>
          <cell r="D982" t="str">
            <v>PHP</v>
          </cell>
          <cell r="E982">
            <v>2</v>
          </cell>
          <cell r="F982" t="str">
            <v>PC</v>
          </cell>
          <cell r="G982">
            <v>0</v>
          </cell>
        </row>
        <row r="983">
          <cell r="B983">
            <v>3277</v>
          </cell>
          <cell r="C983">
            <v>69715.070000000007</v>
          </cell>
          <cell r="D983" t="str">
            <v>PHP</v>
          </cell>
          <cell r="E983">
            <v>1</v>
          </cell>
          <cell r="F983" t="str">
            <v>PC</v>
          </cell>
          <cell r="G983">
            <v>0</v>
          </cell>
        </row>
        <row r="984">
          <cell r="B984">
            <v>3278</v>
          </cell>
          <cell r="C984">
            <v>0</v>
          </cell>
          <cell r="D984" t="str">
            <v>PHP</v>
          </cell>
          <cell r="E984">
            <v>0</v>
          </cell>
          <cell r="F984" t="str">
            <v>PC</v>
          </cell>
          <cell r="G984">
            <v>0</v>
          </cell>
        </row>
        <row r="985">
          <cell r="B985">
            <v>3281</v>
          </cell>
          <cell r="C985">
            <v>4103.05</v>
          </cell>
          <cell r="D985" t="str">
            <v>PHP</v>
          </cell>
          <cell r="E985">
            <v>2</v>
          </cell>
          <cell r="F985" t="str">
            <v>PC</v>
          </cell>
          <cell r="G985">
            <v>0</v>
          </cell>
        </row>
        <row r="986">
          <cell r="B986">
            <v>3285</v>
          </cell>
          <cell r="C986">
            <v>464.44</v>
          </cell>
          <cell r="D986" t="str">
            <v>PHP</v>
          </cell>
          <cell r="E986">
            <v>1</v>
          </cell>
          <cell r="F986" t="str">
            <v>PC</v>
          </cell>
          <cell r="G986">
            <v>0</v>
          </cell>
        </row>
        <row r="987">
          <cell r="B987">
            <v>3295</v>
          </cell>
          <cell r="C987">
            <v>0</v>
          </cell>
          <cell r="D987" t="str">
            <v>PHP</v>
          </cell>
          <cell r="E987">
            <v>0</v>
          </cell>
          <cell r="F987" t="str">
            <v>PC</v>
          </cell>
          <cell r="G987">
            <v>0</v>
          </cell>
        </row>
        <row r="988">
          <cell r="B988">
            <v>3298</v>
          </cell>
          <cell r="C988">
            <v>94519.09</v>
          </cell>
          <cell r="D988" t="str">
            <v>PHP</v>
          </cell>
          <cell r="E988">
            <v>1</v>
          </cell>
          <cell r="F988" t="str">
            <v>PC</v>
          </cell>
          <cell r="G988">
            <v>0</v>
          </cell>
        </row>
        <row r="989">
          <cell r="B989">
            <v>3299</v>
          </cell>
          <cell r="C989">
            <v>113274.18</v>
          </cell>
          <cell r="D989" t="str">
            <v>PHP</v>
          </cell>
          <cell r="E989">
            <v>2</v>
          </cell>
          <cell r="F989" t="str">
            <v>PC</v>
          </cell>
          <cell r="G989">
            <v>0</v>
          </cell>
        </row>
        <row r="990">
          <cell r="B990">
            <v>3301</v>
          </cell>
          <cell r="C990">
            <v>81955.53</v>
          </cell>
          <cell r="D990" t="str">
            <v>PHP</v>
          </cell>
          <cell r="E990">
            <v>9</v>
          </cell>
          <cell r="F990" t="str">
            <v>PC</v>
          </cell>
          <cell r="G990">
            <v>0</v>
          </cell>
        </row>
        <row r="991">
          <cell r="B991">
            <v>3302</v>
          </cell>
          <cell r="C991">
            <v>74216.679999999993</v>
          </cell>
          <cell r="D991" t="str">
            <v>PHP</v>
          </cell>
          <cell r="E991">
            <v>6</v>
          </cell>
          <cell r="F991" t="str">
            <v>PC</v>
          </cell>
          <cell r="G991">
            <v>0</v>
          </cell>
        </row>
        <row r="992">
          <cell r="B992">
            <v>3303</v>
          </cell>
          <cell r="C992">
            <v>0</v>
          </cell>
          <cell r="D992" t="str">
            <v>PHP</v>
          </cell>
          <cell r="E992">
            <v>0</v>
          </cell>
          <cell r="F992" t="str">
            <v>ASY</v>
          </cell>
          <cell r="G992">
            <v>0</v>
          </cell>
        </row>
        <row r="993">
          <cell r="B993">
            <v>3305</v>
          </cell>
          <cell r="C993">
            <v>0</v>
          </cell>
          <cell r="D993" t="str">
            <v>PHP</v>
          </cell>
          <cell r="E993">
            <v>0</v>
          </cell>
          <cell r="F993" t="str">
            <v>PC</v>
          </cell>
          <cell r="G993">
            <v>0</v>
          </cell>
        </row>
        <row r="994">
          <cell r="B994">
            <v>3315</v>
          </cell>
          <cell r="C994">
            <v>957.44</v>
          </cell>
          <cell r="D994" t="str">
            <v>PHP</v>
          </cell>
          <cell r="E994">
            <v>2</v>
          </cell>
          <cell r="F994" t="str">
            <v>PC</v>
          </cell>
          <cell r="G994">
            <v>0</v>
          </cell>
        </row>
        <row r="995">
          <cell r="B995">
            <v>3316</v>
          </cell>
          <cell r="C995">
            <v>3097.18</v>
          </cell>
          <cell r="D995" t="str">
            <v>PHP</v>
          </cell>
          <cell r="E995">
            <v>4</v>
          </cell>
          <cell r="F995" t="str">
            <v>PC</v>
          </cell>
          <cell r="G995">
            <v>0</v>
          </cell>
        </row>
        <row r="996">
          <cell r="B996">
            <v>3329</v>
          </cell>
          <cell r="C996">
            <v>19561.5</v>
          </cell>
          <cell r="D996" t="str">
            <v>PHP</v>
          </cell>
          <cell r="E996">
            <v>6</v>
          </cell>
          <cell r="F996" t="str">
            <v>PC</v>
          </cell>
          <cell r="G996">
            <v>0</v>
          </cell>
        </row>
        <row r="997">
          <cell r="B997">
            <v>3360</v>
          </cell>
          <cell r="C997">
            <v>334138.68</v>
          </cell>
          <cell r="D997" t="str">
            <v>PHP</v>
          </cell>
          <cell r="E997">
            <v>6</v>
          </cell>
          <cell r="F997" t="str">
            <v>PC</v>
          </cell>
          <cell r="G997">
            <v>0</v>
          </cell>
        </row>
        <row r="998">
          <cell r="B998">
            <v>3361</v>
          </cell>
          <cell r="C998">
            <v>160335.88</v>
          </cell>
          <cell r="D998" t="str">
            <v>PHP</v>
          </cell>
          <cell r="E998">
            <v>4</v>
          </cell>
          <cell r="F998" t="str">
            <v>PC</v>
          </cell>
          <cell r="G998">
            <v>0</v>
          </cell>
        </row>
        <row r="999">
          <cell r="B999">
            <v>3364</v>
          </cell>
          <cell r="C999">
            <v>75302.5</v>
          </cell>
          <cell r="D999" t="str">
            <v>PHP</v>
          </cell>
          <cell r="E999">
            <v>35</v>
          </cell>
          <cell r="F999" t="str">
            <v>PC</v>
          </cell>
          <cell r="G999">
            <v>0</v>
          </cell>
        </row>
        <row r="1000">
          <cell r="B1000">
            <v>3368</v>
          </cell>
          <cell r="C1000">
            <v>13030.2</v>
          </cell>
          <cell r="D1000" t="str">
            <v>PHP</v>
          </cell>
          <cell r="E1000">
            <v>20</v>
          </cell>
          <cell r="F1000" t="str">
            <v>PC</v>
          </cell>
          <cell r="G1000">
            <v>0</v>
          </cell>
        </row>
        <row r="1001">
          <cell r="B1001">
            <v>3369</v>
          </cell>
          <cell r="C1001">
            <v>9772.6</v>
          </cell>
          <cell r="D1001" t="str">
            <v>PHP</v>
          </cell>
          <cell r="E1001">
            <v>20</v>
          </cell>
          <cell r="F1001" t="str">
            <v>PC</v>
          </cell>
          <cell r="G1001">
            <v>0</v>
          </cell>
        </row>
        <row r="1002">
          <cell r="B1002">
            <v>3370</v>
          </cell>
          <cell r="C1002">
            <v>5700.6</v>
          </cell>
          <cell r="D1002" t="str">
            <v>PHP</v>
          </cell>
          <cell r="E1002">
            <v>20</v>
          </cell>
          <cell r="F1002" t="str">
            <v>PC</v>
          </cell>
          <cell r="G1002">
            <v>0</v>
          </cell>
        </row>
        <row r="1003">
          <cell r="B1003">
            <v>3371</v>
          </cell>
          <cell r="C1003">
            <v>4072</v>
          </cell>
          <cell r="D1003" t="str">
            <v>PHP</v>
          </cell>
          <cell r="E1003">
            <v>20</v>
          </cell>
          <cell r="F1003" t="str">
            <v>PC</v>
          </cell>
          <cell r="G1003">
            <v>0</v>
          </cell>
        </row>
        <row r="1004">
          <cell r="B1004">
            <v>3391</v>
          </cell>
          <cell r="C1004">
            <v>0</v>
          </cell>
          <cell r="D1004" t="str">
            <v>PHP</v>
          </cell>
          <cell r="E1004">
            <v>0</v>
          </cell>
          <cell r="F1004" t="str">
            <v>PC</v>
          </cell>
          <cell r="G1004">
            <v>0</v>
          </cell>
        </row>
        <row r="1005">
          <cell r="B1005">
            <v>3392</v>
          </cell>
          <cell r="C1005">
            <v>1226.51</v>
          </cell>
          <cell r="D1005" t="str">
            <v>PHP</v>
          </cell>
          <cell r="E1005">
            <v>1</v>
          </cell>
          <cell r="F1005" t="str">
            <v>PC</v>
          </cell>
          <cell r="G1005">
            <v>0</v>
          </cell>
        </row>
        <row r="1006">
          <cell r="B1006">
            <v>3393</v>
          </cell>
          <cell r="C1006">
            <v>700.23</v>
          </cell>
          <cell r="D1006" t="str">
            <v>PHP</v>
          </cell>
          <cell r="E1006">
            <v>1</v>
          </cell>
          <cell r="F1006" t="str">
            <v>PC</v>
          </cell>
          <cell r="G1006">
            <v>0</v>
          </cell>
        </row>
        <row r="1007">
          <cell r="B1007">
            <v>3397</v>
          </cell>
          <cell r="C1007">
            <v>19116.84</v>
          </cell>
          <cell r="D1007" t="str">
            <v>PHP</v>
          </cell>
          <cell r="E1007">
            <v>5</v>
          </cell>
          <cell r="F1007" t="str">
            <v>PC</v>
          </cell>
          <cell r="G1007">
            <v>0</v>
          </cell>
        </row>
        <row r="1008">
          <cell r="B1008">
            <v>3398</v>
          </cell>
          <cell r="C1008">
            <v>2836</v>
          </cell>
          <cell r="D1008" t="str">
            <v>PHP</v>
          </cell>
          <cell r="E1008">
            <v>6</v>
          </cell>
          <cell r="F1008" t="str">
            <v>PC</v>
          </cell>
          <cell r="G1008">
            <v>0</v>
          </cell>
        </row>
        <row r="1009">
          <cell r="B1009">
            <v>3399</v>
          </cell>
          <cell r="C1009">
            <v>2269.0300000000002</v>
          </cell>
          <cell r="D1009" t="str">
            <v>PHP</v>
          </cell>
          <cell r="E1009">
            <v>5</v>
          </cell>
          <cell r="F1009" t="str">
            <v>PC</v>
          </cell>
          <cell r="G1009">
            <v>0</v>
          </cell>
        </row>
        <row r="1010">
          <cell r="B1010">
            <v>3400</v>
          </cell>
          <cell r="C1010">
            <v>6605.91</v>
          </cell>
          <cell r="D1010" t="str">
            <v>PHP</v>
          </cell>
          <cell r="E1010">
            <v>15</v>
          </cell>
          <cell r="F1010" t="str">
            <v>PC</v>
          </cell>
          <cell r="G1010">
            <v>0</v>
          </cell>
        </row>
        <row r="1011">
          <cell r="B1011">
            <v>3401</v>
          </cell>
          <cell r="C1011">
            <v>138320.54999999999</v>
          </cell>
          <cell r="D1011" t="str">
            <v>PHP</v>
          </cell>
          <cell r="E1011">
            <v>29</v>
          </cell>
          <cell r="F1011" t="str">
            <v>PC</v>
          </cell>
          <cell r="G1011">
            <v>0</v>
          </cell>
        </row>
        <row r="1012">
          <cell r="B1012">
            <v>3406</v>
          </cell>
          <cell r="C1012">
            <v>5568.73</v>
          </cell>
          <cell r="D1012" t="str">
            <v>PHP</v>
          </cell>
          <cell r="E1012">
            <v>1</v>
          </cell>
          <cell r="F1012" t="str">
            <v>PC</v>
          </cell>
          <cell r="G1012">
            <v>0</v>
          </cell>
        </row>
        <row r="1013">
          <cell r="B1013">
            <v>3409</v>
          </cell>
          <cell r="C1013">
            <v>51876</v>
          </cell>
          <cell r="D1013" t="str">
            <v>PHP</v>
          </cell>
          <cell r="E1013">
            <v>2</v>
          </cell>
          <cell r="F1013" t="str">
            <v>PC</v>
          </cell>
          <cell r="G1013">
            <v>0</v>
          </cell>
        </row>
        <row r="1014">
          <cell r="B1014">
            <v>3416</v>
          </cell>
          <cell r="C1014">
            <v>0</v>
          </cell>
          <cell r="D1014" t="str">
            <v>PHP</v>
          </cell>
          <cell r="E1014">
            <v>0</v>
          </cell>
          <cell r="F1014" t="str">
            <v>PC</v>
          </cell>
          <cell r="G1014">
            <v>0</v>
          </cell>
        </row>
        <row r="1015">
          <cell r="B1015">
            <v>3418</v>
          </cell>
          <cell r="C1015">
            <v>66445.52</v>
          </cell>
          <cell r="D1015" t="str">
            <v>PHP</v>
          </cell>
          <cell r="E1015">
            <v>29</v>
          </cell>
          <cell r="F1015" t="str">
            <v>PC</v>
          </cell>
          <cell r="G1015">
            <v>0</v>
          </cell>
        </row>
        <row r="1016">
          <cell r="B1016">
            <v>3430</v>
          </cell>
          <cell r="C1016">
            <v>0</v>
          </cell>
          <cell r="D1016" t="str">
            <v>PHP</v>
          </cell>
          <cell r="E1016">
            <v>0</v>
          </cell>
          <cell r="F1016" t="str">
            <v>PC</v>
          </cell>
          <cell r="G1016">
            <v>0</v>
          </cell>
        </row>
        <row r="1017">
          <cell r="B1017">
            <v>3437</v>
          </cell>
          <cell r="C1017">
            <v>0</v>
          </cell>
          <cell r="D1017" t="str">
            <v>PHP</v>
          </cell>
          <cell r="E1017">
            <v>0</v>
          </cell>
          <cell r="F1017" t="str">
            <v>PC</v>
          </cell>
          <cell r="G1017">
            <v>0</v>
          </cell>
        </row>
        <row r="1018">
          <cell r="B1018">
            <v>3438</v>
          </cell>
          <cell r="C1018">
            <v>20649.73</v>
          </cell>
          <cell r="D1018" t="str">
            <v>PHP</v>
          </cell>
          <cell r="E1018">
            <v>1</v>
          </cell>
          <cell r="F1018" t="str">
            <v>PC</v>
          </cell>
          <cell r="G1018">
            <v>0</v>
          </cell>
        </row>
        <row r="1019">
          <cell r="B1019">
            <v>3439</v>
          </cell>
          <cell r="C1019">
            <v>37970.06</v>
          </cell>
          <cell r="D1019" t="str">
            <v>PHP</v>
          </cell>
          <cell r="E1019">
            <v>2</v>
          </cell>
          <cell r="F1019" t="str">
            <v>PC</v>
          </cell>
          <cell r="G1019">
            <v>0</v>
          </cell>
        </row>
        <row r="1020">
          <cell r="B1020">
            <v>3444</v>
          </cell>
          <cell r="C1020">
            <v>75610.64</v>
          </cell>
          <cell r="D1020" t="str">
            <v>PHP</v>
          </cell>
          <cell r="E1020">
            <v>1</v>
          </cell>
          <cell r="F1020" t="str">
            <v>UT</v>
          </cell>
          <cell r="G1020">
            <v>0</v>
          </cell>
        </row>
        <row r="1021">
          <cell r="B1021">
            <v>3446</v>
          </cell>
          <cell r="C1021">
            <v>0</v>
          </cell>
          <cell r="D1021" t="str">
            <v>PHP</v>
          </cell>
          <cell r="E1021">
            <v>0</v>
          </cell>
          <cell r="F1021" t="str">
            <v>PC</v>
          </cell>
          <cell r="G1021">
            <v>0</v>
          </cell>
        </row>
        <row r="1022">
          <cell r="B1022">
            <v>3454</v>
          </cell>
          <cell r="C1022">
            <v>0</v>
          </cell>
          <cell r="D1022" t="str">
            <v>PHP</v>
          </cell>
          <cell r="E1022">
            <v>0</v>
          </cell>
          <cell r="F1022" t="str">
            <v>GAL</v>
          </cell>
          <cell r="G1022">
            <v>0</v>
          </cell>
        </row>
        <row r="1023">
          <cell r="B1023">
            <v>3456</v>
          </cell>
          <cell r="C1023">
            <v>61203.58</v>
          </cell>
          <cell r="D1023" t="str">
            <v>PHP</v>
          </cell>
          <cell r="E1023">
            <v>2</v>
          </cell>
          <cell r="F1023" t="str">
            <v>DR</v>
          </cell>
          <cell r="G1023">
            <v>0</v>
          </cell>
        </row>
        <row r="1024">
          <cell r="B1024">
            <v>3463</v>
          </cell>
          <cell r="C1024">
            <v>1464.43</v>
          </cell>
          <cell r="D1024" t="str">
            <v>PHP</v>
          </cell>
          <cell r="E1024">
            <v>1</v>
          </cell>
          <cell r="F1024" t="str">
            <v>PC</v>
          </cell>
          <cell r="G1024">
            <v>0</v>
          </cell>
        </row>
        <row r="1025">
          <cell r="B1025">
            <v>3476</v>
          </cell>
          <cell r="C1025">
            <v>27994.42</v>
          </cell>
          <cell r="D1025" t="str">
            <v>PHP</v>
          </cell>
          <cell r="E1025">
            <v>1</v>
          </cell>
          <cell r="F1025" t="str">
            <v>PC</v>
          </cell>
          <cell r="G1025">
            <v>0</v>
          </cell>
        </row>
        <row r="1026">
          <cell r="B1026">
            <v>3477</v>
          </cell>
          <cell r="C1026">
            <v>20954.97</v>
          </cell>
          <cell r="D1026" t="str">
            <v>PHP</v>
          </cell>
          <cell r="E1026">
            <v>1</v>
          </cell>
          <cell r="F1026" t="str">
            <v>PC</v>
          </cell>
          <cell r="G1026">
            <v>0</v>
          </cell>
        </row>
        <row r="1027">
          <cell r="B1027">
            <v>3479</v>
          </cell>
          <cell r="C1027">
            <v>145874.88</v>
          </cell>
          <cell r="D1027" t="str">
            <v>PHP</v>
          </cell>
          <cell r="E1027">
            <v>3</v>
          </cell>
          <cell r="F1027" t="str">
            <v>PC</v>
          </cell>
          <cell r="G1027">
            <v>0</v>
          </cell>
        </row>
        <row r="1028">
          <cell r="B1028">
            <v>3480</v>
          </cell>
          <cell r="C1028">
            <v>145874.88</v>
          </cell>
          <cell r="D1028" t="str">
            <v>PHP</v>
          </cell>
          <cell r="E1028">
            <v>3</v>
          </cell>
          <cell r="F1028" t="str">
            <v>PC</v>
          </cell>
          <cell r="G1028">
            <v>0</v>
          </cell>
        </row>
        <row r="1029">
          <cell r="B1029">
            <v>3481</v>
          </cell>
          <cell r="C1029">
            <v>164863.01</v>
          </cell>
          <cell r="D1029" t="str">
            <v>PHP</v>
          </cell>
          <cell r="E1029">
            <v>3</v>
          </cell>
          <cell r="F1029" t="str">
            <v>PC</v>
          </cell>
          <cell r="G1029">
            <v>0</v>
          </cell>
        </row>
        <row r="1030">
          <cell r="B1030">
            <v>3482</v>
          </cell>
          <cell r="C1030">
            <v>83398.7</v>
          </cell>
          <cell r="D1030" t="str">
            <v>PHP</v>
          </cell>
          <cell r="E1030">
            <v>5</v>
          </cell>
          <cell r="F1030" t="str">
            <v>PC</v>
          </cell>
          <cell r="G1030">
            <v>0</v>
          </cell>
        </row>
        <row r="1031">
          <cell r="B1031">
            <v>3483</v>
          </cell>
          <cell r="C1031">
            <v>0</v>
          </cell>
          <cell r="D1031" t="str">
            <v>PHP</v>
          </cell>
          <cell r="E1031">
            <v>0</v>
          </cell>
          <cell r="F1031" t="str">
            <v>PC</v>
          </cell>
          <cell r="G1031">
            <v>0</v>
          </cell>
        </row>
        <row r="1032">
          <cell r="B1032">
            <v>3484</v>
          </cell>
          <cell r="C1032">
            <v>38419.61</v>
          </cell>
          <cell r="D1032" t="str">
            <v>PHP</v>
          </cell>
          <cell r="E1032">
            <v>1</v>
          </cell>
          <cell r="F1032" t="str">
            <v>PC</v>
          </cell>
          <cell r="G1032">
            <v>0</v>
          </cell>
        </row>
        <row r="1033">
          <cell r="B1033">
            <v>3485</v>
          </cell>
          <cell r="C1033">
            <v>38419.61</v>
          </cell>
          <cell r="D1033" t="str">
            <v>PHP</v>
          </cell>
          <cell r="E1033">
            <v>1</v>
          </cell>
          <cell r="F1033" t="str">
            <v>PC</v>
          </cell>
          <cell r="G1033">
            <v>0</v>
          </cell>
        </row>
        <row r="1034">
          <cell r="B1034">
            <v>3486</v>
          </cell>
          <cell r="C1034">
            <v>0</v>
          </cell>
          <cell r="D1034" t="str">
            <v>PHP</v>
          </cell>
          <cell r="E1034">
            <v>0</v>
          </cell>
          <cell r="F1034" t="str">
            <v>PC</v>
          </cell>
          <cell r="G1034">
            <v>0</v>
          </cell>
        </row>
        <row r="1035">
          <cell r="B1035">
            <v>3487</v>
          </cell>
          <cell r="C1035">
            <v>0</v>
          </cell>
          <cell r="D1035" t="str">
            <v>PHP</v>
          </cell>
          <cell r="E1035">
            <v>0</v>
          </cell>
          <cell r="F1035" t="str">
            <v>PC</v>
          </cell>
          <cell r="G1035">
            <v>0</v>
          </cell>
        </row>
        <row r="1036">
          <cell r="B1036">
            <v>3488</v>
          </cell>
          <cell r="C1036">
            <v>123031.39</v>
          </cell>
          <cell r="D1036" t="str">
            <v>PHP</v>
          </cell>
          <cell r="E1036">
            <v>4</v>
          </cell>
          <cell r="F1036" t="str">
            <v>UT</v>
          </cell>
          <cell r="G1036">
            <v>0</v>
          </cell>
        </row>
        <row r="1037">
          <cell r="B1037">
            <v>3489</v>
          </cell>
          <cell r="C1037">
            <v>799636.44</v>
          </cell>
          <cell r="D1037" t="str">
            <v>PHP</v>
          </cell>
          <cell r="E1037">
            <v>6</v>
          </cell>
          <cell r="F1037" t="str">
            <v>UT</v>
          </cell>
          <cell r="G1037">
            <v>0</v>
          </cell>
        </row>
        <row r="1038">
          <cell r="B1038">
            <v>3493</v>
          </cell>
          <cell r="C1038">
            <v>47083.3</v>
          </cell>
          <cell r="D1038" t="str">
            <v>PHP</v>
          </cell>
          <cell r="E1038">
            <v>1</v>
          </cell>
          <cell r="F1038" t="str">
            <v>PC</v>
          </cell>
          <cell r="G1038">
            <v>0</v>
          </cell>
        </row>
        <row r="1039">
          <cell r="B1039">
            <v>3494</v>
          </cell>
          <cell r="C1039">
            <v>0</v>
          </cell>
          <cell r="D1039" t="str">
            <v>PHP</v>
          </cell>
          <cell r="E1039">
            <v>0</v>
          </cell>
          <cell r="F1039" t="str">
            <v>PC</v>
          </cell>
          <cell r="G1039">
            <v>0</v>
          </cell>
        </row>
        <row r="1040">
          <cell r="B1040">
            <v>3496</v>
          </cell>
          <cell r="C1040">
            <v>2806.55</v>
          </cell>
          <cell r="D1040" t="str">
            <v>PHP</v>
          </cell>
          <cell r="E1040">
            <v>3</v>
          </cell>
          <cell r="F1040" t="str">
            <v>PC</v>
          </cell>
          <cell r="G1040">
            <v>0</v>
          </cell>
        </row>
        <row r="1041">
          <cell r="B1041">
            <v>3497</v>
          </cell>
          <cell r="C1041">
            <v>2319.25</v>
          </cell>
          <cell r="D1041" t="str">
            <v>PHP</v>
          </cell>
          <cell r="E1041">
            <v>3</v>
          </cell>
          <cell r="F1041" t="str">
            <v>PC</v>
          </cell>
          <cell r="G1041">
            <v>0</v>
          </cell>
        </row>
        <row r="1042">
          <cell r="B1042">
            <v>3498</v>
          </cell>
          <cell r="C1042">
            <v>76.97</v>
          </cell>
          <cell r="D1042" t="str">
            <v>PHP</v>
          </cell>
          <cell r="E1042">
            <v>6</v>
          </cell>
          <cell r="F1042" t="str">
            <v>PC</v>
          </cell>
          <cell r="G1042">
            <v>0</v>
          </cell>
        </row>
        <row r="1043">
          <cell r="B1043">
            <v>3499</v>
          </cell>
          <cell r="C1043">
            <v>4638.5</v>
          </cell>
          <cell r="D1043" t="str">
            <v>PHP</v>
          </cell>
          <cell r="E1043">
            <v>6</v>
          </cell>
          <cell r="F1043" t="str">
            <v>PC</v>
          </cell>
          <cell r="G1043">
            <v>0</v>
          </cell>
        </row>
        <row r="1044">
          <cell r="B1044">
            <v>3500</v>
          </cell>
          <cell r="C1044">
            <v>828050.05</v>
          </cell>
          <cell r="D1044" t="str">
            <v>PHP</v>
          </cell>
          <cell r="E1044">
            <v>1</v>
          </cell>
          <cell r="F1044" t="str">
            <v>UT</v>
          </cell>
          <cell r="G1044">
            <v>0</v>
          </cell>
        </row>
        <row r="1045">
          <cell r="B1045">
            <v>3502</v>
          </cell>
          <cell r="C1045">
            <v>0</v>
          </cell>
          <cell r="D1045" t="str">
            <v>PHP</v>
          </cell>
          <cell r="E1045">
            <v>0</v>
          </cell>
          <cell r="F1045" t="str">
            <v>UT</v>
          </cell>
          <cell r="G1045">
            <v>0</v>
          </cell>
        </row>
        <row r="1046">
          <cell r="B1046">
            <v>3504</v>
          </cell>
          <cell r="C1046">
            <v>0</v>
          </cell>
          <cell r="D1046" t="str">
            <v>PHP</v>
          </cell>
          <cell r="E1046">
            <v>0</v>
          </cell>
          <cell r="F1046" t="str">
            <v>PC</v>
          </cell>
          <cell r="G1046">
            <v>0</v>
          </cell>
        </row>
        <row r="1047">
          <cell r="B1047">
            <v>3506</v>
          </cell>
          <cell r="C1047">
            <v>0</v>
          </cell>
          <cell r="D1047" t="str">
            <v>PHP</v>
          </cell>
          <cell r="E1047">
            <v>0</v>
          </cell>
          <cell r="F1047" t="str">
            <v>UT</v>
          </cell>
          <cell r="G1047">
            <v>0</v>
          </cell>
        </row>
        <row r="1048">
          <cell r="B1048">
            <v>3507</v>
          </cell>
          <cell r="C1048">
            <v>8150.64</v>
          </cell>
          <cell r="D1048" t="str">
            <v>PHP</v>
          </cell>
          <cell r="E1048">
            <v>6</v>
          </cell>
          <cell r="F1048" t="str">
            <v>PC</v>
          </cell>
          <cell r="G1048">
            <v>0</v>
          </cell>
        </row>
        <row r="1049">
          <cell r="B1049">
            <v>3508</v>
          </cell>
          <cell r="C1049">
            <v>0</v>
          </cell>
          <cell r="D1049" t="str">
            <v>PHP</v>
          </cell>
          <cell r="E1049">
            <v>0</v>
          </cell>
          <cell r="F1049" t="str">
            <v>UT</v>
          </cell>
          <cell r="G1049">
            <v>0</v>
          </cell>
        </row>
        <row r="1050">
          <cell r="B1050">
            <v>3512</v>
          </cell>
          <cell r="C1050">
            <v>665008.92000000004</v>
          </cell>
          <cell r="D1050" t="str">
            <v>PHP</v>
          </cell>
          <cell r="E1050">
            <v>4</v>
          </cell>
          <cell r="F1050" t="str">
            <v>PC</v>
          </cell>
          <cell r="G1050">
            <v>0</v>
          </cell>
        </row>
        <row r="1051">
          <cell r="B1051">
            <v>3513</v>
          </cell>
          <cell r="C1051">
            <v>144877.6</v>
          </cell>
          <cell r="D1051" t="str">
            <v>PHP</v>
          </cell>
          <cell r="E1051">
            <v>1</v>
          </cell>
          <cell r="F1051" t="str">
            <v>PC</v>
          </cell>
          <cell r="G1051">
            <v>0</v>
          </cell>
        </row>
        <row r="1052">
          <cell r="B1052">
            <v>3515</v>
          </cell>
          <cell r="C1052">
            <v>1082.1600000000001</v>
          </cell>
          <cell r="D1052" t="str">
            <v>PHP</v>
          </cell>
          <cell r="E1052">
            <v>8</v>
          </cell>
          <cell r="F1052" t="str">
            <v>PC</v>
          </cell>
          <cell r="G1052">
            <v>0</v>
          </cell>
        </row>
        <row r="1053">
          <cell r="B1053">
            <v>3516</v>
          </cell>
          <cell r="C1053">
            <v>177206</v>
          </cell>
          <cell r="D1053" t="str">
            <v>PHP</v>
          </cell>
          <cell r="E1053">
            <v>1</v>
          </cell>
          <cell r="F1053" t="str">
            <v>ASY</v>
          </cell>
          <cell r="G1053">
            <v>0</v>
          </cell>
        </row>
        <row r="1054">
          <cell r="B1054">
            <v>3517</v>
          </cell>
          <cell r="C1054">
            <v>686484.72</v>
          </cell>
          <cell r="D1054" t="str">
            <v>PHP</v>
          </cell>
          <cell r="E1054">
            <v>4</v>
          </cell>
          <cell r="F1054" t="str">
            <v>ASY</v>
          </cell>
          <cell r="G1054">
            <v>0</v>
          </cell>
        </row>
        <row r="1055">
          <cell r="B1055">
            <v>3518</v>
          </cell>
          <cell r="C1055">
            <v>274872.59999999998</v>
          </cell>
          <cell r="D1055" t="str">
            <v>PHP</v>
          </cell>
          <cell r="E1055">
            <v>1</v>
          </cell>
          <cell r="F1055" t="str">
            <v>PC</v>
          </cell>
          <cell r="G1055">
            <v>0</v>
          </cell>
        </row>
        <row r="1056">
          <cell r="B1056">
            <v>3520</v>
          </cell>
          <cell r="C1056">
            <v>94044.39</v>
          </cell>
          <cell r="D1056" t="str">
            <v>PHP</v>
          </cell>
          <cell r="E1056">
            <v>1</v>
          </cell>
          <cell r="F1056" t="str">
            <v>PC</v>
          </cell>
          <cell r="G1056">
            <v>0</v>
          </cell>
        </row>
        <row r="1057">
          <cell r="B1057">
            <v>3524</v>
          </cell>
          <cell r="C1057">
            <v>65262.87</v>
          </cell>
          <cell r="D1057" t="str">
            <v>PHP</v>
          </cell>
          <cell r="E1057">
            <v>26</v>
          </cell>
          <cell r="F1057" t="str">
            <v>PC</v>
          </cell>
          <cell r="G1057">
            <v>0</v>
          </cell>
        </row>
        <row r="1058">
          <cell r="B1058">
            <v>3525</v>
          </cell>
          <cell r="C1058">
            <v>113335.2</v>
          </cell>
          <cell r="D1058" t="str">
            <v>PHP</v>
          </cell>
          <cell r="E1058">
            <v>40</v>
          </cell>
          <cell r="F1058" t="str">
            <v>PC</v>
          </cell>
          <cell r="G1058">
            <v>0</v>
          </cell>
        </row>
        <row r="1059">
          <cell r="B1059">
            <v>3526</v>
          </cell>
          <cell r="C1059">
            <v>85090.5</v>
          </cell>
          <cell r="D1059" t="str">
            <v>PHP</v>
          </cell>
          <cell r="E1059">
            <v>10</v>
          </cell>
          <cell r="F1059" t="str">
            <v>PC</v>
          </cell>
          <cell r="G1059">
            <v>0</v>
          </cell>
        </row>
        <row r="1060">
          <cell r="B1060">
            <v>3528</v>
          </cell>
          <cell r="C1060">
            <v>0</v>
          </cell>
          <cell r="D1060" t="str">
            <v>PHP</v>
          </cell>
          <cell r="E1060">
            <v>0</v>
          </cell>
          <cell r="F1060" t="str">
            <v>PC</v>
          </cell>
          <cell r="G1060">
            <v>0</v>
          </cell>
        </row>
        <row r="1061">
          <cell r="B1061">
            <v>3529</v>
          </cell>
          <cell r="C1061">
            <v>0</v>
          </cell>
          <cell r="D1061" t="str">
            <v>PHP</v>
          </cell>
          <cell r="E1061">
            <v>0</v>
          </cell>
          <cell r="F1061" t="str">
            <v>PC</v>
          </cell>
          <cell r="G1061">
            <v>0</v>
          </cell>
        </row>
        <row r="1062">
          <cell r="B1062">
            <v>3530</v>
          </cell>
          <cell r="C1062">
            <v>0</v>
          </cell>
          <cell r="D1062" t="str">
            <v>PHP</v>
          </cell>
          <cell r="E1062">
            <v>0</v>
          </cell>
          <cell r="F1062" t="str">
            <v>PC</v>
          </cell>
          <cell r="G1062">
            <v>0</v>
          </cell>
        </row>
        <row r="1063">
          <cell r="B1063">
            <v>3534</v>
          </cell>
          <cell r="C1063">
            <v>37498.11</v>
          </cell>
          <cell r="D1063" t="str">
            <v>PHP</v>
          </cell>
          <cell r="E1063">
            <v>10</v>
          </cell>
          <cell r="F1063" t="str">
            <v>PC</v>
          </cell>
          <cell r="G1063">
            <v>0</v>
          </cell>
        </row>
        <row r="1064">
          <cell r="B1064">
            <v>3559</v>
          </cell>
          <cell r="C1064">
            <v>3816.77</v>
          </cell>
          <cell r="D1064" t="str">
            <v>PHP</v>
          </cell>
          <cell r="E1064">
            <v>4</v>
          </cell>
          <cell r="F1064" t="str">
            <v>PC</v>
          </cell>
          <cell r="G1064">
            <v>0</v>
          </cell>
        </row>
        <row r="1065">
          <cell r="B1065">
            <v>3560</v>
          </cell>
          <cell r="C1065">
            <v>2297.7800000000002</v>
          </cell>
          <cell r="D1065" t="str">
            <v>PHP</v>
          </cell>
          <cell r="E1065">
            <v>4</v>
          </cell>
          <cell r="F1065" t="str">
            <v>PC</v>
          </cell>
          <cell r="G1065">
            <v>0</v>
          </cell>
        </row>
        <row r="1066">
          <cell r="B1066">
            <v>3561</v>
          </cell>
          <cell r="C1066">
            <v>1581.04</v>
          </cell>
          <cell r="D1066" t="str">
            <v>PHP</v>
          </cell>
          <cell r="E1066">
            <v>4</v>
          </cell>
          <cell r="F1066" t="str">
            <v>PC</v>
          </cell>
          <cell r="G1066">
            <v>0</v>
          </cell>
        </row>
        <row r="1067">
          <cell r="B1067">
            <v>3563</v>
          </cell>
          <cell r="C1067">
            <v>0</v>
          </cell>
          <cell r="D1067" t="str">
            <v>PHP</v>
          </cell>
          <cell r="E1067">
            <v>0</v>
          </cell>
          <cell r="F1067" t="str">
            <v>SET</v>
          </cell>
          <cell r="G1067">
            <v>0</v>
          </cell>
        </row>
        <row r="1068">
          <cell r="B1068">
            <v>3566</v>
          </cell>
          <cell r="C1068">
            <v>84142.8</v>
          </cell>
          <cell r="D1068" t="str">
            <v>PHP</v>
          </cell>
          <cell r="E1068">
            <v>40</v>
          </cell>
          <cell r="F1068" t="str">
            <v>PC</v>
          </cell>
          <cell r="G1068">
            <v>0</v>
          </cell>
        </row>
        <row r="1069">
          <cell r="B1069">
            <v>3568</v>
          </cell>
          <cell r="C1069">
            <v>0</v>
          </cell>
          <cell r="D1069" t="str">
            <v>PHP</v>
          </cell>
          <cell r="E1069">
            <v>0</v>
          </cell>
          <cell r="F1069" t="str">
            <v>PC</v>
          </cell>
          <cell r="G1069">
            <v>0</v>
          </cell>
        </row>
        <row r="1070">
          <cell r="B1070">
            <v>3569</v>
          </cell>
          <cell r="C1070">
            <v>0</v>
          </cell>
          <cell r="D1070" t="str">
            <v>PHP</v>
          </cell>
          <cell r="E1070">
            <v>0</v>
          </cell>
          <cell r="F1070" t="str">
            <v>PC</v>
          </cell>
          <cell r="G1070">
            <v>0</v>
          </cell>
        </row>
        <row r="1071">
          <cell r="B1071">
            <v>3570</v>
          </cell>
          <cell r="C1071">
            <v>2922.15</v>
          </cell>
          <cell r="D1071" t="str">
            <v>PHP</v>
          </cell>
          <cell r="E1071">
            <v>1</v>
          </cell>
          <cell r="F1071" t="str">
            <v>PC</v>
          </cell>
          <cell r="G1071">
            <v>0</v>
          </cell>
        </row>
        <row r="1072">
          <cell r="B1072">
            <v>3571</v>
          </cell>
          <cell r="C1072">
            <v>28640.54</v>
          </cell>
          <cell r="D1072" t="str">
            <v>PHP</v>
          </cell>
          <cell r="E1072">
            <v>4</v>
          </cell>
          <cell r="F1072" t="str">
            <v>PC</v>
          </cell>
          <cell r="G1072">
            <v>0</v>
          </cell>
        </row>
        <row r="1073">
          <cell r="B1073">
            <v>3572</v>
          </cell>
          <cell r="C1073">
            <v>10481.94</v>
          </cell>
          <cell r="D1073" t="str">
            <v>PHP</v>
          </cell>
          <cell r="E1073">
            <v>4</v>
          </cell>
          <cell r="F1073" t="str">
            <v>PC</v>
          </cell>
          <cell r="G1073">
            <v>0</v>
          </cell>
        </row>
        <row r="1074">
          <cell r="B1074">
            <v>3573</v>
          </cell>
          <cell r="C1074">
            <v>9400.4599999999991</v>
          </cell>
          <cell r="D1074" t="str">
            <v>PHP</v>
          </cell>
          <cell r="E1074">
            <v>4</v>
          </cell>
          <cell r="F1074" t="str">
            <v>PC</v>
          </cell>
          <cell r="G1074">
            <v>0</v>
          </cell>
        </row>
        <row r="1075">
          <cell r="B1075">
            <v>3574</v>
          </cell>
          <cell r="C1075">
            <v>0</v>
          </cell>
          <cell r="D1075" t="str">
            <v>PHP</v>
          </cell>
          <cell r="E1075">
            <v>0</v>
          </cell>
          <cell r="F1075" t="str">
            <v>PC</v>
          </cell>
          <cell r="G1075">
            <v>0</v>
          </cell>
        </row>
        <row r="1076">
          <cell r="B1076">
            <v>3585</v>
          </cell>
          <cell r="C1076">
            <v>116331.95</v>
          </cell>
          <cell r="D1076" t="str">
            <v>PHP</v>
          </cell>
          <cell r="E1076">
            <v>21</v>
          </cell>
          <cell r="F1076" t="str">
            <v>PC</v>
          </cell>
          <cell r="G1076">
            <v>0</v>
          </cell>
        </row>
        <row r="1077">
          <cell r="B1077">
            <v>3596</v>
          </cell>
          <cell r="C1077">
            <v>3439.6</v>
          </cell>
          <cell r="D1077" t="str">
            <v>PHP</v>
          </cell>
          <cell r="E1077">
            <v>4</v>
          </cell>
          <cell r="F1077" t="str">
            <v>PC</v>
          </cell>
          <cell r="G1077">
            <v>0</v>
          </cell>
        </row>
        <row r="1078">
          <cell r="B1078">
            <v>3597</v>
          </cell>
          <cell r="C1078">
            <v>980.7</v>
          </cell>
          <cell r="D1078" t="str">
            <v>PHP</v>
          </cell>
          <cell r="E1078">
            <v>3</v>
          </cell>
          <cell r="F1078" t="str">
            <v>PC</v>
          </cell>
          <cell r="G1078">
            <v>0</v>
          </cell>
        </row>
        <row r="1079">
          <cell r="B1079">
            <v>3604</v>
          </cell>
          <cell r="C1079">
            <v>66821.67</v>
          </cell>
          <cell r="D1079" t="str">
            <v>PHP</v>
          </cell>
          <cell r="E1079">
            <v>2</v>
          </cell>
          <cell r="F1079" t="str">
            <v>PC</v>
          </cell>
          <cell r="G1079">
            <v>0</v>
          </cell>
        </row>
        <row r="1080">
          <cell r="B1080">
            <v>3605</v>
          </cell>
          <cell r="C1080">
            <v>0</v>
          </cell>
          <cell r="D1080" t="str">
            <v>PHP</v>
          </cell>
          <cell r="E1080">
            <v>0</v>
          </cell>
          <cell r="F1080" t="str">
            <v>PC</v>
          </cell>
          <cell r="G1080">
            <v>0</v>
          </cell>
        </row>
        <row r="1081">
          <cell r="B1081">
            <v>3607</v>
          </cell>
          <cell r="C1081">
            <v>398090</v>
          </cell>
          <cell r="D1081" t="str">
            <v>PHP</v>
          </cell>
          <cell r="E1081">
            <v>47</v>
          </cell>
          <cell r="F1081" t="str">
            <v>PC</v>
          </cell>
          <cell r="G1081">
            <v>0</v>
          </cell>
        </row>
        <row r="1082">
          <cell r="B1082">
            <v>3610</v>
          </cell>
          <cell r="C1082">
            <v>37063.33</v>
          </cell>
          <cell r="D1082" t="str">
            <v>PHP</v>
          </cell>
          <cell r="E1082">
            <v>21</v>
          </cell>
          <cell r="F1082" t="str">
            <v>PC</v>
          </cell>
          <cell r="G1082">
            <v>0</v>
          </cell>
        </row>
        <row r="1083">
          <cell r="B1083">
            <v>3611</v>
          </cell>
          <cell r="C1083">
            <v>18944.77</v>
          </cell>
          <cell r="D1083" t="str">
            <v>PHP</v>
          </cell>
          <cell r="E1083">
            <v>7</v>
          </cell>
          <cell r="F1083" t="str">
            <v>PC</v>
          </cell>
          <cell r="G1083">
            <v>0</v>
          </cell>
        </row>
        <row r="1084">
          <cell r="B1084">
            <v>3612</v>
          </cell>
          <cell r="C1084">
            <v>25838.47</v>
          </cell>
          <cell r="D1084" t="str">
            <v>PHP</v>
          </cell>
          <cell r="E1084">
            <v>11</v>
          </cell>
          <cell r="F1084" t="str">
            <v>PC</v>
          </cell>
          <cell r="G1084">
            <v>0</v>
          </cell>
        </row>
        <row r="1085">
          <cell r="B1085">
            <v>3613</v>
          </cell>
          <cell r="C1085">
            <v>46053.39</v>
          </cell>
          <cell r="D1085" t="str">
            <v>PHP</v>
          </cell>
          <cell r="E1085">
            <v>6</v>
          </cell>
          <cell r="F1085" t="str">
            <v>PC</v>
          </cell>
          <cell r="G1085">
            <v>0</v>
          </cell>
        </row>
        <row r="1086">
          <cell r="B1086">
            <v>3614</v>
          </cell>
          <cell r="C1086">
            <v>22767.52</v>
          </cell>
          <cell r="D1086" t="str">
            <v>PHP</v>
          </cell>
          <cell r="E1086">
            <v>10</v>
          </cell>
          <cell r="F1086" t="str">
            <v>PC</v>
          </cell>
          <cell r="G1086">
            <v>0</v>
          </cell>
        </row>
        <row r="1087">
          <cell r="B1087">
            <v>3615</v>
          </cell>
          <cell r="C1087">
            <v>97440</v>
          </cell>
          <cell r="D1087" t="str">
            <v>PHP</v>
          </cell>
          <cell r="E1087">
            <v>24</v>
          </cell>
          <cell r="F1087" t="str">
            <v>PC</v>
          </cell>
          <cell r="G1087">
            <v>0</v>
          </cell>
        </row>
        <row r="1088">
          <cell r="B1088">
            <v>3616</v>
          </cell>
          <cell r="C1088">
            <v>7789.92</v>
          </cell>
          <cell r="D1088" t="str">
            <v>PHP</v>
          </cell>
          <cell r="E1088">
            <v>5</v>
          </cell>
          <cell r="F1088" t="str">
            <v>PC</v>
          </cell>
          <cell r="G1088">
            <v>0</v>
          </cell>
        </row>
        <row r="1089">
          <cell r="B1089">
            <v>3617</v>
          </cell>
          <cell r="C1089">
            <v>12479.27</v>
          </cell>
          <cell r="D1089" t="str">
            <v>PHP</v>
          </cell>
          <cell r="E1089">
            <v>7</v>
          </cell>
          <cell r="F1089" t="str">
            <v>PC</v>
          </cell>
          <cell r="G1089">
            <v>0</v>
          </cell>
        </row>
        <row r="1090">
          <cell r="B1090">
            <v>3618</v>
          </cell>
          <cell r="C1090">
            <v>61391.65</v>
          </cell>
          <cell r="D1090" t="str">
            <v>PHP</v>
          </cell>
          <cell r="E1090">
            <v>1</v>
          </cell>
          <cell r="F1090" t="str">
            <v>PC</v>
          </cell>
          <cell r="G1090">
            <v>0</v>
          </cell>
        </row>
        <row r="1091">
          <cell r="B1091">
            <v>3624</v>
          </cell>
          <cell r="C1091">
            <v>20046</v>
          </cell>
          <cell r="D1091" t="str">
            <v>PHP</v>
          </cell>
          <cell r="E1091">
            <v>12</v>
          </cell>
          <cell r="F1091" t="str">
            <v>PC</v>
          </cell>
          <cell r="G1091">
            <v>0</v>
          </cell>
        </row>
        <row r="1092">
          <cell r="B1092">
            <v>3625</v>
          </cell>
          <cell r="C1092">
            <v>21884.04</v>
          </cell>
          <cell r="D1092" t="str">
            <v>PHP</v>
          </cell>
          <cell r="E1092">
            <v>2</v>
          </cell>
          <cell r="F1092" t="str">
            <v>ASY</v>
          </cell>
          <cell r="G1092">
            <v>0</v>
          </cell>
        </row>
        <row r="1093">
          <cell r="B1093">
            <v>3631</v>
          </cell>
          <cell r="C1093">
            <v>99440.97</v>
          </cell>
          <cell r="D1093" t="str">
            <v>PHP</v>
          </cell>
          <cell r="E1093">
            <v>2</v>
          </cell>
          <cell r="F1093" t="str">
            <v>PC</v>
          </cell>
          <cell r="G1093">
            <v>0</v>
          </cell>
        </row>
        <row r="1094">
          <cell r="B1094">
            <v>3632</v>
          </cell>
          <cell r="C1094">
            <v>205245.27</v>
          </cell>
          <cell r="D1094" t="str">
            <v>PHP</v>
          </cell>
          <cell r="E1094">
            <v>3</v>
          </cell>
          <cell r="F1094" t="str">
            <v>PC</v>
          </cell>
          <cell r="G1094">
            <v>0</v>
          </cell>
        </row>
        <row r="1095">
          <cell r="B1095">
            <v>3637</v>
          </cell>
          <cell r="C1095">
            <v>26625.37</v>
          </cell>
          <cell r="D1095" t="str">
            <v>PHP</v>
          </cell>
          <cell r="E1095">
            <v>6</v>
          </cell>
          <cell r="F1095" t="str">
            <v>PC</v>
          </cell>
          <cell r="G1095">
            <v>0</v>
          </cell>
        </row>
        <row r="1096">
          <cell r="B1096">
            <v>3638</v>
          </cell>
          <cell r="C1096">
            <v>122124.08</v>
          </cell>
          <cell r="D1096" t="str">
            <v>PHP</v>
          </cell>
          <cell r="E1096">
            <v>4</v>
          </cell>
          <cell r="F1096" t="str">
            <v>PC</v>
          </cell>
          <cell r="G1096">
            <v>0</v>
          </cell>
        </row>
        <row r="1097">
          <cell r="B1097">
            <v>3640</v>
          </cell>
          <cell r="C1097">
            <v>335346.42</v>
          </cell>
          <cell r="D1097" t="str">
            <v>PHP</v>
          </cell>
          <cell r="E1097">
            <v>6</v>
          </cell>
          <cell r="F1097" t="str">
            <v>PC</v>
          </cell>
          <cell r="G1097">
            <v>0</v>
          </cell>
        </row>
        <row r="1098">
          <cell r="B1098">
            <v>3641</v>
          </cell>
          <cell r="C1098">
            <v>377712.59</v>
          </cell>
          <cell r="D1098" t="str">
            <v>PHP</v>
          </cell>
          <cell r="E1098">
            <v>8</v>
          </cell>
          <cell r="F1098" t="str">
            <v>PC</v>
          </cell>
          <cell r="G1098">
            <v>0</v>
          </cell>
        </row>
        <row r="1099">
          <cell r="B1099">
            <v>3642</v>
          </cell>
          <cell r="C1099">
            <v>0</v>
          </cell>
          <cell r="D1099" t="str">
            <v>PHP</v>
          </cell>
          <cell r="E1099">
            <v>0</v>
          </cell>
          <cell r="F1099" t="str">
            <v>PC</v>
          </cell>
          <cell r="G1099">
            <v>0</v>
          </cell>
        </row>
        <row r="1100">
          <cell r="B1100">
            <v>3644</v>
          </cell>
          <cell r="C1100">
            <v>16291.49</v>
          </cell>
          <cell r="D1100" t="str">
            <v>PHP</v>
          </cell>
          <cell r="E1100">
            <v>6</v>
          </cell>
          <cell r="F1100" t="str">
            <v>PC</v>
          </cell>
          <cell r="G1100">
            <v>0</v>
          </cell>
        </row>
        <row r="1101">
          <cell r="B1101">
            <v>3645</v>
          </cell>
          <cell r="C1101">
            <v>16088.7</v>
          </cell>
          <cell r="D1101" t="str">
            <v>PHP</v>
          </cell>
          <cell r="E1101">
            <v>4</v>
          </cell>
          <cell r="F1101" t="str">
            <v>PC</v>
          </cell>
          <cell r="G1101">
            <v>0</v>
          </cell>
        </row>
        <row r="1102">
          <cell r="B1102">
            <v>3654</v>
          </cell>
          <cell r="C1102">
            <v>0</v>
          </cell>
          <cell r="D1102" t="str">
            <v>PHP</v>
          </cell>
          <cell r="E1102">
            <v>0</v>
          </cell>
          <cell r="F1102" t="str">
            <v>PC</v>
          </cell>
          <cell r="G1102">
            <v>0</v>
          </cell>
        </row>
        <row r="1103">
          <cell r="B1103">
            <v>3660</v>
          </cell>
          <cell r="C1103">
            <v>258241.48</v>
          </cell>
          <cell r="D1103" t="str">
            <v>PHP</v>
          </cell>
          <cell r="E1103">
            <v>1</v>
          </cell>
          <cell r="F1103" t="str">
            <v>PC</v>
          </cell>
          <cell r="G1103">
            <v>0</v>
          </cell>
        </row>
        <row r="1104">
          <cell r="B1104">
            <v>3662</v>
          </cell>
          <cell r="C1104">
            <v>429619.96</v>
          </cell>
          <cell r="D1104" t="str">
            <v>PHP</v>
          </cell>
          <cell r="E1104">
            <v>2</v>
          </cell>
          <cell r="F1104" t="str">
            <v>PC</v>
          </cell>
          <cell r="G1104">
            <v>0</v>
          </cell>
        </row>
        <row r="1105">
          <cell r="B1105">
            <v>3663</v>
          </cell>
          <cell r="C1105">
            <v>9353.6</v>
          </cell>
          <cell r="D1105" t="str">
            <v>PHP</v>
          </cell>
          <cell r="E1105">
            <v>4</v>
          </cell>
          <cell r="F1105" t="str">
            <v>PC</v>
          </cell>
          <cell r="G1105">
            <v>0</v>
          </cell>
        </row>
        <row r="1106">
          <cell r="B1106">
            <v>3676</v>
          </cell>
          <cell r="C1106">
            <v>224830.16</v>
          </cell>
          <cell r="D1106" t="str">
            <v>PHP</v>
          </cell>
          <cell r="E1106">
            <v>3</v>
          </cell>
          <cell r="F1106" t="str">
            <v>PC</v>
          </cell>
          <cell r="G1106">
            <v>0</v>
          </cell>
        </row>
        <row r="1107">
          <cell r="B1107">
            <v>3678</v>
          </cell>
          <cell r="C1107">
            <v>730800</v>
          </cell>
          <cell r="D1107" t="str">
            <v>PHP</v>
          </cell>
          <cell r="E1107">
            <v>4</v>
          </cell>
          <cell r="F1107" t="str">
            <v>PC</v>
          </cell>
          <cell r="G1107">
            <v>0</v>
          </cell>
        </row>
        <row r="1108">
          <cell r="B1108">
            <v>3679</v>
          </cell>
          <cell r="C1108">
            <v>452518.36</v>
          </cell>
          <cell r="D1108" t="str">
            <v>PHP</v>
          </cell>
          <cell r="E1108">
            <v>3</v>
          </cell>
          <cell r="F1108" t="str">
            <v>PC</v>
          </cell>
          <cell r="G1108">
            <v>0</v>
          </cell>
        </row>
        <row r="1109">
          <cell r="B1109">
            <v>3680</v>
          </cell>
          <cell r="C1109">
            <v>0</v>
          </cell>
          <cell r="D1109" t="str">
            <v>PHP</v>
          </cell>
          <cell r="E1109">
            <v>0</v>
          </cell>
          <cell r="F1109" t="str">
            <v>PC</v>
          </cell>
          <cell r="G1109">
            <v>0</v>
          </cell>
        </row>
        <row r="1110">
          <cell r="B1110">
            <v>3681</v>
          </cell>
          <cell r="C1110">
            <v>162972.17000000001</v>
          </cell>
          <cell r="D1110" t="str">
            <v>PHP</v>
          </cell>
          <cell r="E1110">
            <v>144</v>
          </cell>
          <cell r="F1110" t="str">
            <v>PC</v>
          </cell>
          <cell r="G1110">
            <v>0</v>
          </cell>
        </row>
        <row r="1111">
          <cell r="B1111">
            <v>3684</v>
          </cell>
          <cell r="C1111">
            <v>0</v>
          </cell>
          <cell r="D1111" t="str">
            <v>PHP</v>
          </cell>
          <cell r="E1111">
            <v>0</v>
          </cell>
          <cell r="F1111" t="str">
            <v>PC</v>
          </cell>
          <cell r="G1111">
            <v>0</v>
          </cell>
        </row>
        <row r="1112">
          <cell r="B1112">
            <v>3686</v>
          </cell>
          <cell r="C1112">
            <v>17295.5</v>
          </cell>
          <cell r="D1112" t="str">
            <v>PHP</v>
          </cell>
          <cell r="E1112">
            <v>8</v>
          </cell>
          <cell r="F1112" t="str">
            <v>PC</v>
          </cell>
          <cell r="G1112">
            <v>0</v>
          </cell>
        </row>
        <row r="1113">
          <cell r="B1113">
            <v>3712</v>
          </cell>
          <cell r="C1113">
            <v>0</v>
          </cell>
          <cell r="D1113" t="str">
            <v>PHP</v>
          </cell>
          <cell r="E1113">
            <v>0</v>
          </cell>
          <cell r="F1113" t="str">
            <v>PC</v>
          </cell>
          <cell r="G1113">
            <v>0</v>
          </cell>
        </row>
        <row r="1114">
          <cell r="B1114">
            <v>3713</v>
          </cell>
          <cell r="C1114">
            <v>57296.11</v>
          </cell>
          <cell r="D1114" t="str">
            <v>PHP</v>
          </cell>
          <cell r="E1114">
            <v>5</v>
          </cell>
          <cell r="F1114" t="str">
            <v>UT</v>
          </cell>
          <cell r="G1114">
            <v>0</v>
          </cell>
        </row>
        <row r="1115">
          <cell r="B1115">
            <v>3715</v>
          </cell>
          <cell r="C1115">
            <v>21199.96</v>
          </cell>
          <cell r="D1115" t="str">
            <v>PHP</v>
          </cell>
          <cell r="E1115">
            <v>2</v>
          </cell>
          <cell r="F1115" t="str">
            <v>UT</v>
          </cell>
          <cell r="G1115">
            <v>0</v>
          </cell>
        </row>
        <row r="1116">
          <cell r="B1116">
            <v>3716</v>
          </cell>
          <cell r="C1116">
            <v>0</v>
          </cell>
          <cell r="D1116" t="str">
            <v>PHP</v>
          </cell>
          <cell r="E1116">
            <v>0</v>
          </cell>
          <cell r="F1116" t="str">
            <v>PC</v>
          </cell>
          <cell r="G1116">
            <v>0</v>
          </cell>
        </row>
        <row r="1117">
          <cell r="B1117">
            <v>3717</v>
          </cell>
          <cell r="C1117">
            <v>131889.98000000001</v>
          </cell>
          <cell r="D1117" t="str">
            <v>PHP</v>
          </cell>
          <cell r="E1117">
            <v>3</v>
          </cell>
          <cell r="F1117" t="str">
            <v>UT</v>
          </cell>
          <cell r="G1117">
            <v>0</v>
          </cell>
        </row>
        <row r="1118">
          <cell r="B1118">
            <v>3720</v>
          </cell>
          <cell r="C1118">
            <v>421106.98</v>
          </cell>
          <cell r="D1118" t="str">
            <v>PHP</v>
          </cell>
          <cell r="E1118">
            <v>2</v>
          </cell>
          <cell r="F1118" t="str">
            <v>PC</v>
          </cell>
          <cell r="G1118">
            <v>0</v>
          </cell>
        </row>
        <row r="1119">
          <cell r="B1119">
            <v>3723</v>
          </cell>
          <cell r="C1119">
            <v>23236</v>
          </cell>
          <cell r="D1119" t="str">
            <v>PHP</v>
          </cell>
          <cell r="E1119">
            <v>2</v>
          </cell>
          <cell r="F1119" t="str">
            <v>PC</v>
          </cell>
          <cell r="G1119">
            <v>0</v>
          </cell>
        </row>
        <row r="1120">
          <cell r="B1120">
            <v>3724</v>
          </cell>
          <cell r="C1120">
            <v>55104.89</v>
          </cell>
          <cell r="D1120" t="str">
            <v>PHP</v>
          </cell>
          <cell r="E1120">
            <v>2</v>
          </cell>
          <cell r="F1120" t="str">
            <v>PC</v>
          </cell>
          <cell r="G1120">
            <v>0</v>
          </cell>
        </row>
        <row r="1121">
          <cell r="B1121">
            <v>3725</v>
          </cell>
          <cell r="C1121">
            <v>245005.6</v>
          </cell>
          <cell r="D1121" t="str">
            <v>PHP</v>
          </cell>
          <cell r="E1121">
            <v>6</v>
          </cell>
          <cell r="F1121" t="str">
            <v>PC</v>
          </cell>
          <cell r="G1121">
            <v>0</v>
          </cell>
        </row>
        <row r="1122">
          <cell r="B1122">
            <v>3726</v>
          </cell>
          <cell r="C1122">
            <v>115214.88</v>
          </cell>
          <cell r="D1122" t="str">
            <v>PHP</v>
          </cell>
          <cell r="E1122">
            <v>1</v>
          </cell>
          <cell r="F1122" t="str">
            <v>PC</v>
          </cell>
          <cell r="G1122">
            <v>0</v>
          </cell>
        </row>
        <row r="1123">
          <cell r="B1123">
            <v>3728</v>
          </cell>
          <cell r="C1123">
            <v>131406.49</v>
          </cell>
          <cell r="D1123" t="str">
            <v>PHP</v>
          </cell>
          <cell r="E1123">
            <v>4</v>
          </cell>
          <cell r="F1123" t="str">
            <v>PC</v>
          </cell>
          <cell r="G1123">
            <v>0</v>
          </cell>
        </row>
        <row r="1124">
          <cell r="B1124">
            <v>3729</v>
          </cell>
          <cell r="C1124">
            <v>423959.26</v>
          </cell>
          <cell r="D1124" t="str">
            <v>PHP</v>
          </cell>
          <cell r="E1124">
            <v>2</v>
          </cell>
          <cell r="F1124" t="str">
            <v>PC</v>
          </cell>
          <cell r="G1124">
            <v>0</v>
          </cell>
        </row>
        <row r="1125">
          <cell r="B1125">
            <v>3730</v>
          </cell>
          <cell r="C1125">
            <v>0</v>
          </cell>
          <cell r="D1125" t="str">
            <v>PHP</v>
          </cell>
          <cell r="E1125">
            <v>0</v>
          </cell>
          <cell r="F1125" t="str">
            <v>ASY</v>
          </cell>
          <cell r="G1125">
            <v>0</v>
          </cell>
        </row>
        <row r="1126">
          <cell r="B1126">
            <v>3731</v>
          </cell>
          <cell r="C1126">
            <v>0</v>
          </cell>
          <cell r="D1126" t="str">
            <v>PHP</v>
          </cell>
          <cell r="E1126">
            <v>0</v>
          </cell>
          <cell r="F1126" t="str">
            <v>PC</v>
          </cell>
          <cell r="G1126">
            <v>0</v>
          </cell>
        </row>
        <row r="1127">
          <cell r="B1127">
            <v>3732</v>
          </cell>
          <cell r="C1127">
            <v>427248</v>
          </cell>
          <cell r="D1127" t="str">
            <v>PHP</v>
          </cell>
          <cell r="E1127">
            <v>2</v>
          </cell>
          <cell r="F1127" t="str">
            <v>PC</v>
          </cell>
          <cell r="G1127">
            <v>0</v>
          </cell>
        </row>
        <row r="1128">
          <cell r="B1128">
            <v>3738</v>
          </cell>
          <cell r="C1128">
            <v>220843.8</v>
          </cell>
          <cell r="D1128" t="str">
            <v>PHP</v>
          </cell>
          <cell r="E1128">
            <v>2</v>
          </cell>
          <cell r="F1128" t="str">
            <v>PC</v>
          </cell>
          <cell r="G1128">
            <v>0</v>
          </cell>
        </row>
        <row r="1129">
          <cell r="B1129">
            <v>3750</v>
          </cell>
          <cell r="C1129">
            <v>101187.5</v>
          </cell>
          <cell r="D1129" t="str">
            <v>PHP</v>
          </cell>
          <cell r="E1129">
            <v>1</v>
          </cell>
          <cell r="F1129" t="str">
            <v>PC</v>
          </cell>
          <cell r="G1129">
            <v>0</v>
          </cell>
        </row>
        <row r="1130">
          <cell r="B1130">
            <v>3767</v>
          </cell>
          <cell r="C1130">
            <v>0</v>
          </cell>
          <cell r="D1130" t="str">
            <v>PHP</v>
          </cell>
          <cell r="E1130">
            <v>0</v>
          </cell>
          <cell r="F1130" t="str">
            <v>PC</v>
          </cell>
          <cell r="G1130">
            <v>0</v>
          </cell>
        </row>
        <row r="1131">
          <cell r="B1131">
            <v>3768</v>
          </cell>
          <cell r="C1131">
            <v>305282.87</v>
          </cell>
          <cell r="D1131" t="str">
            <v>PHP</v>
          </cell>
          <cell r="E1131">
            <v>6</v>
          </cell>
          <cell r="F1131" t="str">
            <v>PC</v>
          </cell>
          <cell r="G1131">
            <v>0</v>
          </cell>
        </row>
        <row r="1132">
          <cell r="B1132">
            <v>3769</v>
          </cell>
          <cell r="C1132">
            <v>8138.07</v>
          </cell>
          <cell r="D1132" t="str">
            <v>PHP</v>
          </cell>
          <cell r="E1132">
            <v>1</v>
          </cell>
          <cell r="F1132" t="str">
            <v>PC</v>
          </cell>
          <cell r="G1132">
            <v>0</v>
          </cell>
        </row>
        <row r="1133">
          <cell r="B1133">
            <v>3773</v>
          </cell>
          <cell r="C1133">
            <v>42200.38</v>
          </cell>
          <cell r="D1133" t="str">
            <v>PHP</v>
          </cell>
          <cell r="E1133">
            <v>1</v>
          </cell>
          <cell r="F1133" t="str">
            <v>PC</v>
          </cell>
          <cell r="G1133">
            <v>0</v>
          </cell>
        </row>
        <row r="1134">
          <cell r="B1134">
            <v>3774</v>
          </cell>
          <cell r="C1134">
            <v>0</v>
          </cell>
          <cell r="D1134" t="str">
            <v>PHP</v>
          </cell>
          <cell r="E1134">
            <v>0</v>
          </cell>
          <cell r="F1134" t="str">
            <v>SET</v>
          </cell>
          <cell r="G1134">
            <v>0</v>
          </cell>
        </row>
        <row r="1135">
          <cell r="B1135">
            <v>3775</v>
          </cell>
          <cell r="C1135">
            <v>36448.07</v>
          </cell>
          <cell r="D1135" t="str">
            <v>PHP</v>
          </cell>
          <cell r="E1135">
            <v>22</v>
          </cell>
          <cell r="F1135" t="str">
            <v>PC</v>
          </cell>
          <cell r="G1135">
            <v>0</v>
          </cell>
        </row>
        <row r="1136">
          <cell r="B1136">
            <v>3776</v>
          </cell>
          <cell r="C1136">
            <v>75425.64</v>
          </cell>
          <cell r="D1136" t="str">
            <v>PHP</v>
          </cell>
          <cell r="E1136">
            <v>13</v>
          </cell>
          <cell r="F1136" t="str">
            <v>PC</v>
          </cell>
          <cell r="G1136">
            <v>0</v>
          </cell>
        </row>
        <row r="1137">
          <cell r="B1137">
            <v>3777</v>
          </cell>
          <cell r="C1137">
            <v>0</v>
          </cell>
          <cell r="D1137" t="str">
            <v>PHP</v>
          </cell>
          <cell r="E1137">
            <v>0</v>
          </cell>
          <cell r="F1137" t="str">
            <v>PC</v>
          </cell>
          <cell r="G1137">
            <v>0</v>
          </cell>
        </row>
        <row r="1138">
          <cell r="B1138">
            <v>3778</v>
          </cell>
          <cell r="C1138">
            <v>0</v>
          </cell>
          <cell r="D1138" t="str">
            <v>PHP</v>
          </cell>
          <cell r="E1138">
            <v>0</v>
          </cell>
          <cell r="F1138" t="str">
            <v>PC</v>
          </cell>
          <cell r="G1138">
            <v>0</v>
          </cell>
        </row>
        <row r="1139">
          <cell r="B1139">
            <v>3779</v>
          </cell>
          <cell r="C1139">
            <v>32317.95</v>
          </cell>
          <cell r="D1139" t="str">
            <v>PHP</v>
          </cell>
          <cell r="E1139">
            <v>100</v>
          </cell>
          <cell r="F1139" t="str">
            <v>PC</v>
          </cell>
          <cell r="G1139">
            <v>0</v>
          </cell>
        </row>
        <row r="1140">
          <cell r="B1140">
            <v>3783</v>
          </cell>
          <cell r="C1140">
            <v>7545.08</v>
          </cell>
          <cell r="D1140" t="str">
            <v>PHP</v>
          </cell>
          <cell r="E1140">
            <v>1</v>
          </cell>
          <cell r="F1140" t="str">
            <v>UT</v>
          </cell>
          <cell r="G1140">
            <v>0</v>
          </cell>
        </row>
        <row r="1141">
          <cell r="B1141">
            <v>3786</v>
          </cell>
          <cell r="C1141">
            <v>7770</v>
          </cell>
          <cell r="D1141" t="str">
            <v>PHP</v>
          </cell>
          <cell r="E1141">
            <v>14</v>
          </cell>
          <cell r="F1141" t="str">
            <v>PC</v>
          </cell>
          <cell r="G1141">
            <v>0</v>
          </cell>
        </row>
        <row r="1142">
          <cell r="B1142">
            <v>3799</v>
          </cell>
          <cell r="C1142">
            <v>0</v>
          </cell>
          <cell r="D1142" t="str">
            <v>PHP</v>
          </cell>
          <cell r="E1142">
            <v>0</v>
          </cell>
          <cell r="F1142" t="str">
            <v>PC</v>
          </cell>
          <cell r="G1142">
            <v>0</v>
          </cell>
        </row>
        <row r="1143">
          <cell r="B1143">
            <v>3803</v>
          </cell>
          <cell r="C1143">
            <v>0</v>
          </cell>
          <cell r="D1143" t="str">
            <v>PHP</v>
          </cell>
          <cell r="E1143">
            <v>0</v>
          </cell>
          <cell r="F1143" t="str">
            <v>PC</v>
          </cell>
          <cell r="G1143">
            <v>0</v>
          </cell>
        </row>
        <row r="1144">
          <cell r="B1144">
            <v>3809</v>
          </cell>
          <cell r="C1144">
            <v>0</v>
          </cell>
          <cell r="D1144" t="str">
            <v>PHP</v>
          </cell>
          <cell r="E1144">
            <v>0</v>
          </cell>
          <cell r="F1144" t="str">
            <v>PC</v>
          </cell>
          <cell r="G1144">
            <v>0</v>
          </cell>
        </row>
        <row r="1145">
          <cell r="B1145">
            <v>3810</v>
          </cell>
          <cell r="C1145">
            <v>89181.29</v>
          </cell>
          <cell r="D1145" t="str">
            <v>PHP</v>
          </cell>
          <cell r="E1145">
            <v>1</v>
          </cell>
          <cell r="F1145" t="str">
            <v>PC</v>
          </cell>
          <cell r="G1145">
            <v>0</v>
          </cell>
        </row>
        <row r="1146">
          <cell r="B1146">
            <v>3811</v>
          </cell>
          <cell r="C1146">
            <v>2363.67</v>
          </cell>
          <cell r="D1146" t="str">
            <v>PHP</v>
          </cell>
          <cell r="E1146">
            <v>1</v>
          </cell>
          <cell r="F1146" t="str">
            <v>PC</v>
          </cell>
          <cell r="G1146">
            <v>0</v>
          </cell>
        </row>
        <row r="1147">
          <cell r="B1147">
            <v>3815</v>
          </cell>
          <cell r="C1147">
            <v>7048.21</v>
          </cell>
          <cell r="D1147" t="str">
            <v>PHP</v>
          </cell>
          <cell r="E1147">
            <v>1</v>
          </cell>
          <cell r="F1147" t="str">
            <v>PC</v>
          </cell>
          <cell r="G1147">
            <v>0</v>
          </cell>
        </row>
        <row r="1148">
          <cell r="B1148">
            <v>3823</v>
          </cell>
          <cell r="C1148">
            <v>201151.4</v>
          </cell>
          <cell r="D1148" t="str">
            <v>PHP</v>
          </cell>
          <cell r="E1148">
            <v>10</v>
          </cell>
          <cell r="F1148" t="str">
            <v>PC</v>
          </cell>
          <cell r="G1148">
            <v>0</v>
          </cell>
        </row>
        <row r="1149">
          <cell r="B1149">
            <v>3825</v>
          </cell>
          <cell r="C1149">
            <v>0</v>
          </cell>
          <cell r="D1149" t="str">
            <v>PHP</v>
          </cell>
          <cell r="E1149">
            <v>0</v>
          </cell>
          <cell r="F1149" t="str">
            <v>PC</v>
          </cell>
          <cell r="G1149">
            <v>0</v>
          </cell>
        </row>
        <row r="1150">
          <cell r="B1150">
            <v>3829</v>
          </cell>
          <cell r="C1150">
            <v>48863.1</v>
          </cell>
          <cell r="D1150" t="str">
            <v>PHP</v>
          </cell>
          <cell r="E1150">
            <v>1</v>
          </cell>
          <cell r="F1150" t="str">
            <v>PC</v>
          </cell>
          <cell r="G1150">
            <v>0</v>
          </cell>
        </row>
        <row r="1151">
          <cell r="B1151">
            <v>3832</v>
          </cell>
          <cell r="C1151">
            <v>165264.60999999999</v>
          </cell>
          <cell r="D1151" t="str">
            <v>PHP</v>
          </cell>
          <cell r="E1151">
            <v>3</v>
          </cell>
          <cell r="F1151" t="str">
            <v>PC</v>
          </cell>
          <cell r="G1151">
            <v>0</v>
          </cell>
        </row>
        <row r="1152">
          <cell r="B1152">
            <v>3837</v>
          </cell>
          <cell r="C1152">
            <v>127370.81</v>
          </cell>
          <cell r="D1152" t="str">
            <v>PHP</v>
          </cell>
          <cell r="E1152">
            <v>7</v>
          </cell>
          <cell r="F1152" t="str">
            <v>KIT</v>
          </cell>
          <cell r="G1152">
            <v>0</v>
          </cell>
        </row>
        <row r="1153">
          <cell r="B1153">
            <v>3845</v>
          </cell>
          <cell r="C1153">
            <v>119634.31</v>
          </cell>
          <cell r="D1153" t="str">
            <v>PHP</v>
          </cell>
          <cell r="E1153">
            <v>1</v>
          </cell>
          <cell r="F1153" t="str">
            <v>ASY</v>
          </cell>
          <cell r="G1153">
            <v>0</v>
          </cell>
        </row>
        <row r="1154">
          <cell r="B1154">
            <v>3849</v>
          </cell>
          <cell r="C1154">
            <v>0</v>
          </cell>
          <cell r="D1154" t="str">
            <v>PHP</v>
          </cell>
          <cell r="E1154">
            <v>0</v>
          </cell>
          <cell r="F1154" t="str">
            <v>PC</v>
          </cell>
          <cell r="G1154">
            <v>0</v>
          </cell>
        </row>
        <row r="1155">
          <cell r="B1155">
            <v>3851</v>
          </cell>
          <cell r="C1155">
            <v>267102.68</v>
          </cell>
          <cell r="D1155" t="str">
            <v>PHP</v>
          </cell>
          <cell r="E1155">
            <v>1</v>
          </cell>
          <cell r="F1155" t="str">
            <v>ASY</v>
          </cell>
          <cell r="G1155">
            <v>0</v>
          </cell>
        </row>
        <row r="1156">
          <cell r="B1156">
            <v>3864</v>
          </cell>
          <cell r="C1156">
            <v>3582.87</v>
          </cell>
          <cell r="D1156" t="str">
            <v>PHP</v>
          </cell>
          <cell r="E1156">
            <v>4</v>
          </cell>
          <cell r="F1156" t="str">
            <v>PC</v>
          </cell>
          <cell r="G1156">
            <v>0</v>
          </cell>
        </row>
        <row r="1157">
          <cell r="B1157">
            <v>3866</v>
          </cell>
          <cell r="C1157">
            <v>57537.88</v>
          </cell>
          <cell r="D1157" t="str">
            <v>PHP</v>
          </cell>
          <cell r="E1157">
            <v>4</v>
          </cell>
          <cell r="F1157" t="str">
            <v>PC</v>
          </cell>
          <cell r="G1157">
            <v>0</v>
          </cell>
        </row>
        <row r="1158">
          <cell r="B1158">
            <v>3867</v>
          </cell>
          <cell r="C1158">
            <v>343876.03</v>
          </cell>
          <cell r="D1158" t="str">
            <v>PHP</v>
          </cell>
          <cell r="E1158">
            <v>10</v>
          </cell>
          <cell r="F1158" t="str">
            <v>PC</v>
          </cell>
          <cell r="G1158">
            <v>0</v>
          </cell>
        </row>
        <row r="1159">
          <cell r="B1159">
            <v>3869</v>
          </cell>
          <cell r="C1159">
            <v>10651.37</v>
          </cell>
          <cell r="D1159" t="str">
            <v>PHP</v>
          </cell>
          <cell r="E1159">
            <v>4</v>
          </cell>
          <cell r="F1159" t="str">
            <v>PC</v>
          </cell>
          <cell r="G1159">
            <v>0</v>
          </cell>
        </row>
        <row r="1160">
          <cell r="B1160">
            <v>3870</v>
          </cell>
          <cell r="C1160">
            <v>10867.5</v>
          </cell>
          <cell r="D1160" t="str">
            <v>PHP</v>
          </cell>
          <cell r="E1160">
            <v>6</v>
          </cell>
          <cell r="F1160" t="str">
            <v>PC</v>
          </cell>
          <cell r="G1160">
            <v>0</v>
          </cell>
        </row>
        <row r="1161">
          <cell r="B1161">
            <v>3882</v>
          </cell>
          <cell r="C1161">
            <v>5403.93</v>
          </cell>
          <cell r="D1161" t="str">
            <v>PHP</v>
          </cell>
          <cell r="E1161">
            <v>3</v>
          </cell>
          <cell r="F1161" t="str">
            <v>PC</v>
          </cell>
          <cell r="G1161">
            <v>0</v>
          </cell>
        </row>
        <row r="1162">
          <cell r="B1162">
            <v>3883</v>
          </cell>
          <cell r="C1162">
            <v>85568.87</v>
          </cell>
          <cell r="D1162" t="str">
            <v>PHP</v>
          </cell>
          <cell r="E1162">
            <v>2</v>
          </cell>
          <cell r="F1162" t="str">
            <v>PC</v>
          </cell>
          <cell r="G1162">
            <v>0</v>
          </cell>
        </row>
        <row r="1163">
          <cell r="B1163">
            <v>3909</v>
          </cell>
          <cell r="C1163">
            <v>351922.14</v>
          </cell>
          <cell r="D1163" t="str">
            <v>PHP</v>
          </cell>
          <cell r="E1163">
            <v>58</v>
          </cell>
          <cell r="F1163" t="str">
            <v>PC</v>
          </cell>
          <cell r="G1163">
            <v>0</v>
          </cell>
        </row>
        <row r="1164">
          <cell r="B1164">
            <v>3912</v>
          </cell>
          <cell r="C1164">
            <v>150770</v>
          </cell>
          <cell r="D1164" t="str">
            <v>PHP</v>
          </cell>
          <cell r="E1164">
            <v>10</v>
          </cell>
          <cell r="F1164" t="str">
            <v>PC</v>
          </cell>
          <cell r="G1164">
            <v>0</v>
          </cell>
        </row>
        <row r="1165">
          <cell r="B1165">
            <v>3914</v>
          </cell>
          <cell r="C1165">
            <v>87065.3</v>
          </cell>
          <cell r="D1165" t="str">
            <v>PHP</v>
          </cell>
          <cell r="E1165">
            <v>10</v>
          </cell>
          <cell r="F1165" t="str">
            <v>PC</v>
          </cell>
          <cell r="G1165">
            <v>0</v>
          </cell>
        </row>
        <row r="1166">
          <cell r="B1166">
            <v>3915</v>
          </cell>
          <cell r="C1166">
            <v>177090.66</v>
          </cell>
          <cell r="D1166" t="str">
            <v>PHP</v>
          </cell>
          <cell r="E1166">
            <v>19</v>
          </cell>
          <cell r="F1166" t="str">
            <v>PC</v>
          </cell>
          <cell r="G1166">
            <v>0</v>
          </cell>
        </row>
        <row r="1167">
          <cell r="B1167">
            <v>3921</v>
          </cell>
          <cell r="C1167">
            <v>230144</v>
          </cell>
          <cell r="D1167" t="str">
            <v>PHP</v>
          </cell>
          <cell r="E1167">
            <v>32</v>
          </cell>
          <cell r="F1167" t="str">
            <v>PC</v>
          </cell>
          <cell r="G1167">
            <v>0</v>
          </cell>
        </row>
        <row r="1168">
          <cell r="B1168">
            <v>3922</v>
          </cell>
          <cell r="C1168">
            <v>19543.5</v>
          </cell>
          <cell r="D1168" t="str">
            <v>PHP</v>
          </cell>
          <cell r="E1168">
            <v>6</v>
          </cell>
          <cell r="F1168" t="str">
            <v>PC</v>
          </cell>
          <cell r="G1168">
            <v>0</v>
          </cell>
        </row>
        <row r="1169">
          <cell r="B1169">
            <v>3931</v>
          </cell>
          <cell r="C1169">
            <v>13246.64</v>
          </cell>
          <cell r="D1169" t="str">
            <v>PHP</v>
          </cell>
          <cell r="E1169">
            <v>11</v>
          </cell>
          <cell r="F1169" t="str">
            <v>PC</v>
          </cell>
          <cell r="G1169">
            <v>0</v>
          </cell>
        </row>
        <row r="1170">
          <cell r="B1170">
            <v>3932</v>
          </cell>
          <cell r="C1170">
            <v>21236.16</v>
          </cell>
          <cell r="D1170" t="str">
            <v>PHP</v>
          </cell>
          <cell r="E1170">
            <v>16</v>
          </cell>
          <cell r="F1170" t="str">
            <v>PC</v>
          </cell>
          <cell r="G1170">
            <v>0</v>
          </cell>
        </row>
        <row r="1171">
          <cell r="B1171">
            <v>3933</v>
          </cell>
          <cell r="C1171">
            <v>1405.04</v>
          </cell>
          <cell r="D1171" t="str">
            <v>PHP</v>
          </cell>
          <cell r="E1171">
            <v>1</v>
          </cell>
          <cell r="F1171" t="str">
            <v>PC</v>
          </cell>
          <cell r="G1171">
            <v>0</v>
          </cell>
        </row>
        <row r="1172">
          <cell r="B1172">
            <v>3934</v>
          </cell>
          <cell r="C1172">
            <v>381318.04</v>
          </cell>
          <cell r="D1172" t="str">
            <v>PHP</v>
          </cell>
          <cell r="E1172">
            <v>26</v>
          </cell>
          <cell r="F1172" t="str">
            <v>PC</v>
          </cell>
          <cell r="G1172">
            <v>0</v>
          </cell>
        </row>
        <row r="1173">
          <cell r="B1173">
            <v>3935</v>
          </cell>
          <cell r="C1173">
            <v>1475.16</v>
          </cell>
          <cell r="D1173" t="str">
            <v>PHP</v>
          </cell>
          <cell r="E1173">
            <v>1</v>
          </cell>
          <cell r="F1173" t="str">
            <v>PC</v>
          </cell>
          <cell r="G1173">
            <v>0</v>
          </cell>
        </row>
        <row r="1174">
          <cell r="B1174">
            <v>3957</v>
          </cell>
          <cell r="C1174">
            <v>91724.160000000003</v>
          </cell>
          <cell r="D1174" t="str">
            <v>PHP</v>
          </cell>
          <cell r="E1174">
            <v>6</v>
          </cell>
          <cell r="F1174" t="str">
            <v>PC</v>
          </cell>
          <cell r="G1174">
            <v>0</v>
          </cell>
        </row>
        <row r="1175">
          <cell r="B1175">
            <v>3964</v>
          </cell>
          <cell r="C1175">
            <v>0</v>
          </cell>
          <cell r="D1175" t="str">
            <v>PHP</v>
          </cell>
          <cell r="E1175">
            <v>0</v>
          </cell>
          <cell r="F1175" t="str">
            <v>PC</v>
          </cell>
          <cell r="G1175">
            <v>0</v>
          </cell>
        </row>
        <row r="1176">
          <cell r="B1176">
            <v>3965</v>
          </cell>
          <cell r="C1176">
            <v>0</v>
          </cell>
          <cell r="D1176" t="str">
            <v>PHP</v>
          </cell>
          <cell r="E1176">
            <v>0</v>
          </cell>
          <cell r="F1176" t="str">
            <v>PC</v>
          </cell>
          <cell r="G1176">
            <v>0</v>
          </cell>
        </row>
        <row r="1177">
          <cell r="B1177">
            <v>3966</v>
          </cell>
          <cell r="C1177">
            <v>116527.02</v>
          </cell>
          <cell r="D1177" t="str">
            <v>PHP</v>
          </cell>
          <cell r="E1177">
            <v>6</v>
          </cell>
          <cell r="F1177" t="str">
            <v>PC</v>
          </cell>
          <cell r="G1177">
            <v>0</v>
          </cell>
        </row>
        <row r="1178">
          <cell r="B1178">
            <v>3967</v>
          </cell>
          <cell r="C1178">
            <v>29404.14</v>
          </cell>
          <cell r="D1178" t="str">
            <v>PHP</v>
          </cell>
          <cell r="E1178">
            <v>6</v>
          </cell>
          <cell r="F1178" t="str">
            <v>PC</v>
          </cell>
          <cell r="G1178">
            <v>0</v>
          </cell>
        </row>
        <row r="1179">
          <cell r="B1179">
            <v>3975</v>
          </cell>
          <cell r="C1179">
            <v>850652.02</v>
          </cell>
          <cell r="D1179" t="str">
            <v>PHP</v>
          </cell>
          <cell r="E1179">
            <v>2</v>
          </cell>
          <cell r="F1179" t="str">
            <v>PC</v>
          </cell>
          <cell r="G1179">
            <v>0</v>
          </cell>
        </row>
        <row r="1180">
          <cell r="B1180">
            <v>3976</v>
          </cell>
          <cell r="C1180">
            <v>797985</v>
          </cell>
          <cell r="D1180" t="str">
            <v>PHP</v>
          </cell>
          <cell r="E1180">
            <v>2</v>
          </cell>
          <cell r="F1180" t="str">
            <v>PC</v>
          </cell>
          <cell r="G1180">
            <v>0</v>
          </cell>
        </row>
        <row r="1181">
          <cell r="B1181">
            <v>3977</v>
          </cell>
          <cell r="C1181">
            <v>433332.34</v>
          </cell>
          <cell r="D1181" t="str">
            <v>PHP</v>
          </cell>
          <cell r="E1181">
            <v>2</v>
          </cell>
          <cell r="F1181" t="str">
            <v>PC</v>
          </cell>
          <cell r="G1181">
            <v>0</v>
          </cell>
        </row>
        <row r="1182">
          <cell r="B1182">
            <v>3978</v>
          </cell>
          <cell r="C1182">
            <v>0</v>
          </cell>
          <cell r="D1182" t="str">
            <v>PHP</v>
          </cell>
          <cell r="E1182">
            <v>0</v>
          </cell>
          <cell r="F1182" t="str">
            <v>ASY</v>
          </cell>
          <cell r="G1182">
            <v>0</v>
          </cell>
        </row>
        <row r="1183">
          <cell r="B1183">
            <v>3981</v>
          </cell>
          <cell r="C1183">
            <v>27156</v>
          </cell>
          <cell r="D1183" t="str">
            <v>PHP</v>
          </cell>
          <cell r="E1183">
            <v>1</v>
          </cell>
          <cell r="F1183" t="str">
            <v>PC</v>
          </cell>
          <cell r="G1183">
            <v>0</v>
          </cell>
        </row>
        <row r="1184">
          <cell r="B1184">
            <v>3992</v>
          </cell>
          <cell r="C1184">
            <v>139886.37</v>
          </cell>
          <cell r="D1184" t="str">
            <v>PHP</v>
          </cell>
          <cell r="E1184">
            <v>3</v>
          </cell>
          <cell r="F1184" t="str">
            <v>UT</v>
          </cell>
          <cell r="G1184">
            <v>0</v>
          </cell>
        </row>
        <row r="1185">
          <cell r="B1185">
            <v>3998</v>
          </cell>
          <cell r="C1185">
            <v>50396.06</v>
          </cell>
          <cell r="D1185" t="str">
            <v>PHP</v>
          </cell>
          <cell r="E1185">
            <v>2</v>
          </cell>
          <cell r="F1185" t="str">
            <v>PC</v>
          </cell>
          <cell r="G1185">
            <v>0</v>
          </cell>
        </row>
        <row r="1186">
          <cell r="B1186">
            <v>4000</v>
          </cell>
          <cell r="C1186">
            <v>0</v>
          </cell>
          <cell r="D1186" t="str">
            <v>PHP</v>
          </cell>
          <cell r="E1186">
            <v>0</v>
          </cell>
          <cell r="F1186" t="str">
            <v>PC</v>
          </cell>
          <cell r="G1186">
            <v>0</v>
          </cell>
        </row>
        <row r="1187">
          <cell r="B1187">
            <v>4002</v>
          </cell>
          <cell r="C1187">
            <v>0</v>
          </cell>
          <cell r="D1187" t="str">
            <v>PHP</v>
          </cell>
          <cell r="E1187">
            <v>0</v>
          </cell>
          <cell r="F1187" t="str">
            <v>PC</v>
          </cell>
          <cell r="G1187">
            <v>0</v>
          </cell>
        </row>
        <row r="1188">
          <cell r="B1188">
            <v>4010</v>
          </cell>
          <cell r="C1188">
            <v>18664</v>
          </cell>
          <cell r="D1188" t="str">
            <v>PHP</v>
          </cell>
          <cell r="E1188">
            <v>2</v>
          </cell>
          <cell r="F1188" t="str">
            <v>PC</v>
          </cell>
          <cell r="G1188">
            <v>0</v>
          </cell>
        </row>
        <row r="1189">
          <cell r="B1189">
            <v>4011</v>
          </cell>
          <cell r="C1189">
            <v>0</v>
          </cell>
          <cell r="D1189" t="str">
            <v>PHP</v>
          </cell>
          <cell r="E1189">
            <v>0</v>
          </cell>
          <cell r="F1189" t="str">
            <v>PC</v>
          </cell>
          <cell r="G1189">
            <v>0</v>
          </cell>
        </row>
        <row r="1190">
          <cell r="B1190">
            <v>4017</v>
          </cell>
          <cell r="C1190">
            <v>39285.339999999997</v>
          </cell>
          <cell r="D1190" t="str">
            <v>PHP</v>
          </cell>
          <cell r="E1190">
            <v>1</v>
          </cell>
          <cell r="F1190" t="str">
            <v>PC</v>
          </cell>
          <cell r="G1190">
            <v>0</v>
          </cell>
        </row>
        <row r="1191">
          <cell r="B1191">
            <v>4018</v>
          </cell>
          <cell r="C1191">
            <v>198748.65</v>
          </cell>
          <cell r="D1191" t="str">
            <v>PHP</v>
          </cell>
          <cell r="E1191">
            <v>5</v>
          </cell>
          <cell r="F1191" t="str">
            <v>PC</v>
          </cell>
          <cell r="G1191">
            <v>0</v>
          </cell>
        </row>
        <row r="1192">
          <cell r="B1192">
            <v>4019</v>
          </cell>
          <cell r="C1192">
            <v>440760.98</v>
          </cell>
          <cell r="D1192" t="str">
            <v>PHP</v>
          </cell>
          <cell r="E1192">
            <v>10</v>
          </cell>
          <cell r="F1192" t="str">
            <v>PC</v>
          </cell>
          <cell r="G1192">
            <v>0</v>
          </cell>
        </row>
        <row r="1193">
          <cell r="B1193">
            <v>4040</v>
          </cell>
          <cell r="C1193">
            <v>69794.62</v>
          </cell>
          <cell r="D1193" t="str">
            <v>PHP</v>
          </cell>
          <cell r="E1193">
            <v>10</v>
          </cell>
          <cell r="F1193" t="str">
            <v>PC</v>
          </cell>
          <cell r="G1193">
            <v>0</v>
          </cell>
        </row>
        <row r="1194">
          <cell r="B1194">
            <v>4041</v>
          </cell>
          <cell r="C1194">
            <v>25714.32</v>
          </cell>
          <cell r="D1194" t="str">
            <v>PHP</v>
          </cell>
          <cell r="E1194">
            <v>8</v>
          </cell>
          <cell r="F1194" t="str">
            <v>SET</v>
          </cell>
          <cell r="G1194">
            <v>0</v>
          </cell>
        </row>
        <row r="1195">
          <cell r="B1195">
            <v>4044</v>
          </cell>
          <cell r="C1195">
            <v>34804.5</v>
          </cell>
          <cell r="D1195" t="str">
            <v>PHP</v>
          </cell>
          <cell r="E1195">
            <v>60</v>
          </cell>
          <cell r="F1195" t="str">
            <v>PC</v>
          </cell>
          <cell r="G1195">
            <v>0</v>
          </cell>
        </row>
        <row r="1196">
          <cell r="B1196">
            <v>4045</v>
          </cell>
          <cell r="C1196">
            <v>17244.05</v>
          </cell>
          <cell r="D1196" t="str">
            <v>PHP</v>
          </cell>
          <cell r="E1196">
            <v>5</v>
          </cell>
          <cell r="F1196" t="str">
            <v>PC</v>
          </cell>
          <cell r="G1196">
            <v>0</v>
          </cell>
        </row>
        <row r="1197">
          <cell r="B1197">
            <v>4049</v>
          </cell>
          <cell r="C1197">
            <v>50400</v>
          </cell>
          <cell r="D1197" t="str">
            <v>PHP</v>
          </cell>
          <cell r="E1197">
            <v>30</v>
          </cell>
          <cell r="F1197" t="str">
            <v>PC</v>
          </cell>
          <cell r="G1197">
            <v>0</v>
          </cell>
        </row>
        <row r="1198">
          <cell r="B1198">
            <v>4050</v>
          </cell>
          <cell r="C1198">
            <v>49489.74</v>
          </cell>
          <cell r="D1198" t="str">
            <v>PHP</v>
          </cell>
          <cell r="E1198">
            <v>40</v>
          </cell>
          <cell r="F1198" t="str">
            <v>PC</v>
          </cell>
          <cell r="G1198">
            <v>0</v>
          </cell>
        </row>
        <row r="1199">
          <cell r="B1199">
            <v>4056</v>
          </cell>
          <cell r="C1199">
            <v>8835.7800000000007</v>
          </cell>
          <cell r="D1199" t="str">
            <v>PHP</v>
          </cell>
          <cell r="E1199">
            <v>8</v>
          </cell>
          <cell r="F1199" t="str">
            <v>PC</v>
          </cell>
          <cell r="G1199">
            <v>0</v>
          </cell>
        </row>
        <row r="1200">
          <cell r="B1200">
            <v>4057</v>
          </cell>
          <cell r="C1200">
            <v>0</v>
          </cell>
          <cell r="D1200" t="str">
            <v>PHP</v>
          </cell>
          <cell r="E1200">
            <v>0</v>
          </cell>
          <cell r="F1200" t="str">
            <v>PC</v>
          </cell>
          <cell r="G1200">
            <v>0</v>
          </cell>
        </row>
        <row r="1201">
          <cell r="B1201">
            <v>4058</v>
          </cell>
          <cell r="C1201">
            <v>29537.57</v>
          </cell>
          <cell r="D1201" t="str">
            <v>PHP</v>
          </cell>
          <cell r="E1201">
            <v>18</v>
          </cell>
          <cell r="F1201" t="str">
            <v>ASY</v>
          </cell>
          <cell r="G1201">
            <v>0</v>
          </cell>
        </row>
        <row r="1202">
          <cell r="B1202">
            <v>4059</v>
          </cell>
          <cell r="C1202">
            <v>0</v>
          </cell>
          <cell r="D1202" t="str">
            <v>PHP</v>
          </cell>
          <cell r="E1202">
            <v>0</v>
          </cell>
          <cell r="F1202" t="str">
            <v>ASY</v>
          </cell>
          <cell r="G1202">
            <v>0</v>
          </cell>
        </row>
        <row r="1203">
          <cell r="B1203">
            <v>4060</v>
          </cell>
          <cell r="C1203">
            <v>39042.11</v>
          </cell>
          <cell r="D1203" t="str">
            <v>PHP</v>
          </cell>
          <cell r="E1203">
            <v>87</v>
          </cell>
          <cell r="F1203" t="str">
            <v>PC</v>
          </cell>
          <cell r="G1203">
            <v>0</v>
          </cell>
        </row>
        <row r="1204">
          <cell r="B1204">
            <v>4061</v>
          </cell>
          <cell r="C1204">
            <v>224088.39</v>
          </cell>
          <cell r="D1204" t="str">
            <v>PHP</v>
          </cell>
          <cell r="E1204">
            <v>40</v>
          </cell>
          <cell r="F1204" t="str">
            <v>PC</v>
          </cell>
          <cell r="G1204">
            <v>0</v>
          </cell>
        </row>
        <row r="1205">
          <cell r="B1205">
            <v>4062</v>
          </cell>
          <cell r="C1205">
            <v>745295.64</v>
          </cell>
          <cell r="D1205" t="str">
            <v>PHP</v>
          </cell>
          <cell r="E1205">
            <v>60</v>
          </cell>
          <cell r="F1205" t="str">
            <v>PC</v>
          </cell>
          <cell r="G1205">
            <v>0</v>
          </cell>
        </row>
        <row r="1206">
          <cell r="B1206">
            <v>4068</v>
          </cell>
          <cell r="C1206">
            <v>0</v>
          </cell>
          <cell r="D1206" t="str">
            <v>PHP</v>
          </cell>
          <cell r="E1206">
            <v>0</v>
          </cell>
          <cell r="F1206" t="str">
            <v>PC</v>
          </cell>
          <cell r="G1206">
            <v>0</v>
          </cell>
        </row>
        <row r="1207">
          <cell r="B1207">
            <v>4070</v>
          </cell>
          <cell r="C1207">
            <v>176400</v>
          </cell>
          <cell r="D1207" t="str">
            <v>PHP</v>
          </cell>
          <cell r="E1207">
            <v>300</v>
          </cell>
          <cell r="F1207" t="str">
            <v>PC</v>
          </cell>
          <cell r="G1207">
            <v>0</v>
          </cell>
        </row>
        <row r="1208">
          <cell r="B1208">
            <v>4082</v>
          </cell>
          <cell r="C1208">
            <v>24755.1</v>
          </cell>
          <cell r="D1208" t="str">
            <v>PHP</v>
          </cell>
          <cell r="E1208">
            <v>6</v>
          </cell>
          <cell r="F1208" t="str">
            <v>PC</v>
          </cell>
          <cell r="G1208">
            <v>0</v>
          </cell>
        </row>
        <row r="1209">
          <cell r="B1209">
            <v>4083</v>
          </cell>
          <cell r="C1209">
            <v>0</v>
          </cell>
          <cell r="D1209" t="str">
            <v>PHP</v>
          </cell>
          <cell r="E1209">
            <v>0</v>
          </cell>
          <cell r="F1209" t="str">
            <v>PC</v>
          </cell>
          <cell r="G1209">
            <v>0</v>
          </cell>
        </row>
        <row r="1210">
          <cell r="B1210">
            <v>4084</v>
          </cell>
          <cell r="C1210">
            <v>0</v>
          </cell>
          <cell r="D1210" t="str">
            <v>PHP</v>
          </cell>
          <cell r="E1210">
            <v>0</v>
          </cell>
          <cell r="F1210" t="str">
            <v>PC</v>
          </cell>
          <cell r="G1210">
            <v>0</v>
          </cell>
        </row>
        <row r="1211">
          <cell r="B1211">
            <v>4090</v>
          </cell>
          <cell r="C1211">
            <v>94708.62</v>
          </cell>
          <cell r="D1211" t="str">
            <v>PHP</v>
          </cell>
          <cell r="E1211">
            <v>24</v>
          </cell>
          <cell r="F1211" t="str">
            <v>PC</v>
          </cell>
          <cell r="G1211">
            <v>0</v>
          </cell>
        </row>
        <row r="1212">
          <cell r="B1212">
            <v>4091</v>
          </cell>
          <cell r="C1212">
            <v>43028.79</v>
          </cell>
          <cell r="D1212" t="str">
            <v>PHP</v>
          </cell>
          <cell r="E1212">
            <v>24</v>
          </cell>
          <cell r="F1212" t="str">
            <v>PC</v>
          </cell>
          <cell r="G1212">
            <v>0</v>
          </cell>
        </row>
        <row r="1213">
          <cell r="B1213">
            <v>4092</v>
          </cell>
          <cell r="C1213">
            <v>20520.77</v>
          </cell>
          <cell r="D1213" t="str">
            <v>PHP</v>
          </cell>
          <cell r="E1213">
            <v>16</v>
          </cell>
          <cell r="F1213" t="str">
            <v>PC</v>
          </cell>
          <cell r="G1213">
            <v>0</v>
          </cell>
        </row>
        <row r="1214">
          <cell r="B1214">
            <v>4093</v>
          </cell>
          <cell r="C1214">
            <v>7052.04</v>
          </cell>
          <cell r="D1214" t="str">
            <v>PHP</v>
          </cell>
          <cell r="E1214">
            <v>16</v>
          </cell>
          <cell r="F1214" t="str">
            <v>PC</v>
          </cell>
          <cell r="G1214">
            <v>0</v>
          </cell>
        </row>
        <row r="1215">
          <cell r="B1215">
            <v>4094</v>
          </cell>
          <cell r="C1215">
            <v>12435.96</v>
          </cell>
          <cell r="D1215" t="str">
            <v>PHP</v>
          </cell>
          <cell r="E1215">
            <v>24</v>
          </cell>
          <cell r="F1215" t="str">
            <v>PC</v>
          </cell>
          <cell r="G1215">
            <v>0</v>
          </cell>
        </row>
        <row r="1216">
          <cell r="B1216">
            <v>4095</v>
          </cell>
          <cell r="C1216">
            <v>11700</v>
          </cell>
          <cell r="D1216" t="str">
            <v>PHP</v>
          </cell>
          <cell r="E1216">
            <v>30</v>
          </cell>
          <cell r="F1216" t="str">
            <v>PC</v>
          </cell>
          <cell r="G1216">
            <v>0</v>
          </cell>
        </row>
        <row r="1217">
          <cell r="B1217">
            <v>4096</v>
          </cell>
          <cell r="C1217">
            <v>59378.65</v>
          </cell>
          <cell r="D1217" t="str">
            <v>PHP</v>
          </cell>
          <cell r="E1217">
            <v>14</v>
          </cell>
          <cell r="F1217" t="str">
            <v>PC</v>
          </cell>
          <cell r="G1217">
            <v>0</v>
          </cell>
        </row>
        <row r="1218">
          <cell r="B1218">
            <v>4097</v>
          </cell>
          <cell r="C1218">
            <v>1154331.46</v>
          </cell>
          <cell r="D1218" t="str">
            <v>PHP</v>
          </cell>
          <cell r="E1218">
            <v>32</v>
          </cell>
          <cell r="F1218" t="str">
            <v>PC</v>
          </cell>
          <cell r="G1218">
            <v>0</v>
          </cell>
        </row>
        <row r="1219">
          <cell r="B1219">
            <v>4098</v>
          </cell>
          <cell r="C1219">
            <v>1150</v>
          </cell>
          <cell r="D1219" t="str">
            <v>PHP</v>
          </cell>
          <cell r="E1219">
            <v>1</v>
          </cell>
          <cell r="F1219" t="str">
            <v>PC</v>
          </cell>
          <cell r="G1219">
            <v>0</v>
          </cell>
        </row>
        <row r="1220">
          <cell r="B1220">
            <v>4099</v>
          </cell>
          <cell r="C1220">
            <v>30000</v>
          </cell>
          <cell r="D1220" t="str">
            <v>PHP</v>
          </cell>
          <cell r="E1220">
            <v>2</v>
          </cell>
          <cell r="F1220" t="str">
            <v>PC</v>
          </cell>
          <cell r="G1220">
            <v>0</v>
          </cell>
        </row>
        <row r="1221">
          <cell r="B1221">
            <v>4100</v>
          </cell>
          <cell r="C1221">
            <v>544295.59</v>
          </cell>
          <cell r="D1221" t="str">
            <v>PHP</v>
          </cell>
          <cell r="E1221">
            <v>16</v>
          </cell>
          <cell r="F1221" t="str">
            <v>PC</v>
          </cell>
          <cell r="G1221">
            <v>0</v>
          </cell>
        </row>
        <row r="1222">
          <cell r="B1222">
            <v>4101</v>
          </cell>
          <cell r="C1222">
            <v>23800.66</v>
          </cell>
          <cell r="D1222" t="str">
            <v>PHP</v>
          </cell>
          <cell r="E1222">
            <v>2</v>
          </cell>
          <cell r="F1222" t="str">
            <v>PC</v>
          </cell>
          <cell r="G1222">
            <v>0</v>
          </cell>
        </row>
        <row r="1223">
          <cell r="B1223">
            <v>4102</v>
          </cell>
          <cell r="C1223">
            <v>68503.94</v>
          </cell>
          <cell r="D1223" t="str">
            <v>PHP</v>
          </cell>
          <cell r="E1223">
            <v>16</v>
          </cell>
          <cell r="F1223" t="str">
            <v>PC</v>
          </cell>
          <cell r="G1223">
            <v>0</v>
          </cell>
        </row>
        <row r="1224">
          <cell r="B1224">
            <v>4105</v>
          </cell>
          <cell r="C1224">
            <v>10001.41</v>
          </cell>
          <cell r="D1224" t="str">
            <v>PHP</v>
          </cell>
          <cell r="E1224">
            <v>1</v>
          </cell>
          <cell r="F1224" t="str">
            <v>PC</v>
          </cell>
          <cell r="G1224">
            <v>0</v>
          </cell>
        </row>
        <row r="1225">
          <cell r="B1225">
            <v>4106</v>
          </cell>
          <cell r="C1225">
            <v>160638.34</v>
          </cell>
          <cell r="D1225" t="str">
            <v>PHP</v>
          </cell>
          <cell r="E1225">
            <v>12</v>
          </cell>
          <cell r="F1225" t="str">
            <v>PC</v>
          </cell>
          <cell r="G1225">
            <v>0</v>
          </cell>
        </row>
        <row r="1226">
          <cell r="B1226">
            <v>4107</v>
          </cell>
          <cell r="C1226">
            <v>48787.839999999997</v>
          </cell>
          <cell r="D1226" t="str">
            <v>PHP</v>
          </cell>
          <cell r="E1226">
            <v>6</v>
          </cell>
          <cell r="F1226" t="str">
            <v>PC</v>
          </cell>
          <cell r="G1226">
            <v>0</v>
          </cell>
        </row>
        <row r="1227">
          <cell r="B1227">
            <v>4110</v>
          </cell>
          <cell r="C1227">
            <v>7946.4</v>
          </cell>
          <cell r="D1227" t="str">
            <v>PHP</v>
          </cell>
          <cell r="E1227">
            <v>8</v>
          </cell>
          <cell r="F1227" t="str">
            <v>PC</v>
          </cell>
          <cell r="G1227">
            <v>0</v>
          </cell>
        </row>
        <row r="1228">
          <cell r="B1228">
            <v>4112</v>
          </cell>
          <cell r="C1228">
            <v>0</v>
          </cell>
          <cell r="D1228" t="str">
            <v>PHP</v>
          </cell>
          <cell r="E1228">
            <v>0</v>
          </cell>
          <cell r="F1228" t="str">
            <v>PC</v>
          </cell>
          <cell r="G1228">
            <v>0</v>
          </cell>
        </row>
        <row r="1229">
          <cell r="B1229">
            <v>4113</v>
          </cell>
          <cell r="C1229">
            <v>6573.5</v>
          </cell>
          <cell r="D1229" t="str">
            <v>PHP</v>
          </cell>
          <cell r="E1229">
            <v>2</v>
          </cell>
          <cell r="F1229" t="str">
            <v>PC</v>
          </cell>
          <cell r="G1229">
            <v>0</v>
          </cell>
        </row>
        <row r="1230">
          <cell r="B1230">
            <v>4114</v>
          </cell>
          <cell r="C1230">
            <v>11569.12</v>
          </cell>
          <cell r="D1230" t="str">
            <v>PHP</v>
          </cell>
          <cell r="E1230">
            <v>8</v>
          </cell>
          <cell r="F1230" t="str">
            <v>PC</v>
          </cell>
          <cell r="G1230">
            <v>0</v>
          </cell>
        </row>
        <row r="1231">
          <cell r="B1231">
            <v>4116</v>
          </cell>
          <cell r="C1231">
            <v>5325.71</v>
          </cell>
          <cell r="D1231" t="str">
            <v>PHP</v>
          </cell>
          <cell r="E1231">
            <v>4</v>
          </cell>
          <cell r="F1231" t="str">
            <v>PC</v>
          </cell>
          <cell r="G1231">
            <v>0</v>
          </cell>
        </row>
        <row r="1232">
          <cell r="B1232">
            <v>4117</v>
          </cell>
          <cell r="C1232">
            <v>28874.48</v>
          </cell>
          <cell r="D1232" t="str">
            <v>PHP</v>
          </cell>
          <cell r="E1232">
            <v>3</v>
          </cell>
          <cell r="F1232" t="str">
            <v>PC</v>
          </cell>
          <cell r="G1232">
            <v>0</v>
          </cell>
        </row>
        <row r="1233">
          <cell r="B1233">
            <v>4134</v>
          </cell>
          <cell r="C1233">
            <v>15480</v>
          </cell>
          <cell r="D1233" t="str">
            <v>PHP</v>
          </cell>
          <cell r="E1233">
            <v>18</v>
          </cell>
          <cell r="F1233" t="str">
            <v>PC</v>
          </cell>
          <cell r="G1233">
            <v>0</v>
          </cell>
        </row>
        <row r="1234">
          <cell r="B1234">
            <v>4160</v>
          </cell>
          <cell r="C1234">
            <v>2033.46</v>
          </cell>
          <cell r="D1234" t="str">
            <v>PHP</v>
          </cell>
          <cell r="E1234">
            <v>3</v>
          </cell>
          <cell r="F1234" t="str">
            <v>PC</v>
          </cell>
          <cell r="G1234">
            <v>0</v>
          </cell>
        </row>
        <row r="1235">
          <cell r="B1235">
            <v>4188</v>
          </cell>
          <cell r="C1235">
            <v>3149.78</v>
          </cell>
          <cell r="D1235" t="str">
            <v>PHP</v>
          </cell>
          <cell r="E1235">
            <v>14</v>
          </cell>
          <cell r="F1235" t="str">
            <v>PC</v>
          </cell>
          <cell r="G1235">
            <v>0</v>
          </cell>
        </row>
        <row r="1236">
          <cell r="B1236">
            <v>4207</v>
          </cell>
          <cell r="C1236">
            <v>1438.13</v>
          </cell>
          <cell r="D1236" t="str">
            <v>PHP</v>
          </cell>
          <cell r="E1236">
            <v>2</v>
          </cell>
          <cell r="F1236" t="str">
            <v>PC</v>
          </cell>
          <cell r="G1236">
            <v>0</v>
          </cell>
        </row>
        <row r="1237">
          <cell r="B1237">
            <v>4208</v>
          </cell>
          <cell r="C1237">
            <v>8015.84</v>
          </cell>
          <cell r="D1237" t="str">
            <v>PHP</v>
          </cell>
          <cell r="E1237">
            <v>2</v>
          </cell>
          <cell r="F1237" t="str">
            <v>PC</v>
          </cell>
          <cell r="G1237">
            <v>0</v>
          </cell>
        </row>
        <row r="1238">
          <cell r="B1238">
            <v>4209</v>
          </cell>
          <cell r="C1238">
            <v>884.52</v>
          </cell>
          <cell r="D1238" t="str">
            <v>PHP</v>
          </cell>
          <cell r="E1238">
            <v>11</v>
          </cell>
          <cell r="F1238" t="str">
            <v>PC</v>
          </cell>
          <cell r="G1238">
            <v>0</v>
          </cell>
        </row>
        <row r="1239">
          <cell r="B1239">
            <v>4210</v>
          </cell>
          <cell r="C1239">
            <v>160</v>
          </cell>
          <cell r="D1239" t="str">
            <v>PHP</v>
          </cell>
          <cell r="E1239">
            <v>4</v>
          </cell>
          <cell r="F1239" t="str">
            <v>PC</v>
          </cell>
          <cell r="G1239">
            <v>0</v>
          </cell>
        </row>
        <row r="1240">
          <cell r="B1240">
            <v>4219</v>
          </cell>
          <cell r="C1240">
            <v>559.07000000000005</v>
          </cell>
          <cell r="D1240" t="str">
            <v>PHP</v>
          </cell>
          <cell r="E1240">
            <v>4</v>
          </cell>
          <cell r="F1240" t="str">
            <v>UT</v>
          </cell>
          <cell r="G1240">
            <v>0</v>
          </cell>
        </row>
        <row r="1241">
          <cell r="B1241">
            <v>4223</v>
          </cell>
          <cell r="C1241">
            <v>311.04000000000002</v>
          </cell>
          <cell r="D1241" t="str">
            <v>PHP</v>
          </cell>
          <cell r="E1241">
            <v>8</v>
          </cell>
          <cell r="F1241" t="str">
            <v>PC</v>
          </cell>
          <cell r="G1241">
            <v>0</v>
          </cell>
        </row>
        <row r="1242">
          <cell r="B1242">
            <v>4225</v>
          </cell>
          <cell r="C1242">
            <v>188.6</v>
          </cell>
          <cell r="D1242" t="str">
            <v>PHP</v>
          </cell>
          <cell r="E1242">
            <v>2</v>
          </cell>
          <cell r="F1242" t="str">
            <v>UT</v>
          </cell>
          <cell r="G1242">
            <v>0</v>
          </cell>
        </row>
        <row r="1243">
          <cell r="B1243">
            <v>4226</v>
          </cell>
          <cell r="C1243">
            <v>406.32</v>
          </cell>
          <cell r="D1243" t="str">
            <v>PHP</v>
          </cell>
          <cell r="E1243">
            <v>24</v>
          </cell>
          <cell r="F1243" t="str">
            <v>PC</v>
          </cell>
          <cell r="G1243">
            <v>0</v>
          </cell>
        </row>
        <row r="1244">
          <cell r="B1244">
            <v>4234</v>
          </cell>
          <cell r="C1244">
            <v>286.64</v>
          </cell>
          <cell r="D1244" t="str">
            <v>PHP</v>
          </cell>
          <cell r="E1244">
            <v>1</v>
          </cell>
          <cell r="F1244" t="str">
            <v>PC</v>
          </cell>
          <cell r="G1244">
            <v>0</v>
          </cell>
        </row>
        <row r="1245">
          <cell r="B1245">
            <v>4241</v>
          </cell>
          <cell r="C1245">
            <v>0</v>
          </cell>
          <cell r="D1245" t="str">
            <v>PHP</v>
          </cell>
          <cell r="E1245">
            <v>0</v>
          </cell>
          <cell r="F1245" t="str">
            <v>PC</v>
          </cell>
          <cell r="G1245">
            <v>0</v>
          </cell>
        </row>
        <row r="1246">
          <cell r="B1246">
            <v>4242</v>
          </cell>
          <cell r="C1246">
            <v>0</v>
          </cell>
          <cell r="D1246" t="str">
            <v>PHP</v>
          </cell>
          <cell r="E1246">
            <v>0</v>
          </cell>
          <cell r="F1246" t="str">
            <v>PC</v>
          </cell>
          <cell r="G1246">
            <v>0</v>
          </cell>
        </row>
        <row r="1247">
          <cell r="B1247">
            <v>4244</v>
          </cell>
          <cell r="C1247">
            <v>54730</v>
          </cell>
          <cell r="D1247" t="str">
            <v>PHP</v>
          </cell>
          <cell r="E1247">
            <v>1</v>
          </cell>
          <cell r="F1247" t="str">
            <v>PC</v>
          </cell>
          <cell r="G1247">
            <v>0</v>
          </cell>
        </row>
        <row r="1248">
          <cell r="B1248">
            <v>4264</v>
          </cell>
          <cell r="C1248">
            <v>142465.79999999999</v>
          </cell>
          <cell r="D1248" t="str">
            <v>PHP</v>
          </cell>
          <cell r="E1248">
            <v>24</v>
          </cell>
          <cell r="F1248" t="str">
            <v>PC</v>
          </cell>
          <cell r="G1248">
            <v>0</v>
          </cell>
        </row>
        <row r="1249">
          <cell r="B1249">
            <v>4265</v>
          </cell>
          <cell r="C1249">
            <v>54000</v>
          </cell>
          <cell r="D1249" t="str">
            <v>PHP</v>
          </cell>
          <cell r="E1249">
            <v>3</v>
          </cell>
          <cell r="F1249" t="str">
            <v>PC</v>
          </cell>
          <cell r="G1249">
            <v>0</v>
          </cell>
        </row>
        <row r="1250">
          <cell r="B1250">
            <v>4267</v>
          </cell>
          <cell r="C1250">
            <v>0</v>
          </cell>
          <cell r="D1250" t="str">
            <v>PHP</v>
          </cell>
          <cell r="E1250">
            <v>0</v>
          </cell>
          <cell r="F1250" t="str">
            <v>PL</v>
          </cell>
          <cell r="G1250">
            <v>0</v>
          </cell>
        </row>
        <row r="1251">
          <cell r="B1251">
            <v>4268</v>
          </cell>
          <cell r="C1251">
            <v>0</v>
          </cell>
          <cell r="D1251" t="str">
            <v>PHP</v>
          </cell>
          <cell r="E1251">
            <v>0</v>
          </cell>
          <cell r="F1251" t="str">
            <v>CAN</v>
          </cell>
          <cell r="G1251">
            <v>0</v>
          </cell>
        </row>
        <row r="1252">
          <cell r="B1252">
            <v>4280</v>
          </cell>
          <cell r="C1252">
            <v>22365.89</v>
          </cell>
          <cell r="D1252" t="str">
            <v>PHP</v>
          </cell>
          <cell r="E1252">
            <v>6</v>
          </cell>
          <cell r="F1252" t="str">
            <v>PC</v>
          </cell>
          <cell r="G1252">
            <v>0</v>
          </cell>
        </row>
        <row r="1253">
          <cell r="B1253">
            <v>4281</v>
          </cell>
          <cell r="C1253">
            <v>81528.12</v>
          </cell>
          <cell r="D1253" t="str">
            <v>PHP</v>
          </cell>
          <cell r="E1253">
            <v>2</v>
          </cell>
          <cell r="F1253" t="str">
            <v>PC</v>
          </cell>
          <cell r="G1253">
            <v>0</v>
          </cell>
        </row>
        <row r="1254">
          <cell r="B1254">
            <v>4287</v>
          </cell>
          <cell r="C1254">
            <v>0</v>
          </cell>
          <cell r="D1254" t="str">
            <v>PHP</v>
          </cell>
          <cell r="E1254">
            <v>0</v>
          </cell>
          <cell r="F1254" t="str">
            <v>PC</v>
          </cell>
          <cell r="G1254">
            <v>0</v>
          </cell>
        </row>
        <row r="1255">
          <cell r="B1255">
            <v>4291</v>
          </cell>
          <cell r="C1255">
            <v>261000</v>
          </cell>
          <cell r="D1255" t="str">
            <v>PHP</v>
          </cell>
          <cell r="E1255">
            <v>12</v>
          </cell>
          <cell r="F1255" t="str">
            <v>PC</v>
          </cell>
          <cell r="G1255">
            <v>0</v>
          </cell>
        </row>
        <row r="1256">
          <cell r="B1256">
            <v>4295</v>
          </cell>
          <cell r="C1256">
            <v>0</v>
          </cell>
          <cell r="D1256" t="str">
            <v>PHP</v>
          </cell>
          <cell r="E1256">
            <v>0</v>
          </cell>
          <cell r="F1256" t="str">
            <v>PC</v>
          </cell>
          <cell r="G1256">
            <v>0</v>
          </cell>
        </row>
        <row r="1257">
          <cell r="B1257">
            <v>4296</v>
          </cell>
          <cell r="C1257">
            <v>13661.89</v>
          </cell>
          <cell r="D1257" t="str">
            <v>PHP</v>
          </cell>
          <cell r="E1257">
            <v>40</v>
          </cell>
          <cell r="F1257" t="str">
            <v>PC</v>
          </cell>
          <cell r="G1257">
            <v>0</v>
          </cell>
        </row>
        <row r="1258">
          <cell r="B1258">
            <v>4297</v>
          </cell>
          <cell r="C1258">
            <v>27321.98</v>
          </cell>
          <cell r="D1258" t="str">
            <v>PHP</v>
          </cell>
          <cell r="E1258">
            <v>40</v>
          </cell>
          <cell r="F1258" t="str">
            <v>PC</v>
          </cell>
          <cell r="G1258">
            <v>0</v>
          </cell>
        </row>
        <row r="1259">
          <cell r="B1259">
            <v>4299</v>
          </cell>
          <cell r="C1259">
            <v>10127.120000000001</v>
          </cell>
          <cell r="D1259" t="str">
            <v>PHP</v>
          </cell>
          <cell r="E1259">
            <v>20</v>
          </cell>
          <cell r="F1259" t="str">
            <v>PC</v>
          </cell>
          <cell r="G1259">
            <v>0</v>
          </cell>
        </row>
        <row r="1260">
          <cell r="B1260">
            <v>4300</v>
          </cell>
          <cell r="C1260">
            <v>10127.120000000001</v>
          </cell>
          <cell r="D1260" t="str">
            <v>PHP</v>
          </cell>
          <cell r="E1260">
            <v>20</v>
          </cell>
          <cell r="F1260" t="str">
            <v>PC</v>
          </cell>
          <cell r="G1260">
            <v>0</v>
          </cell>
        </row>
        <row r="1261">
          <cell r="B1261">
            <v>4301</v>
          </cell>
          <cell r="C1261">
            <v>10127.120000000001</v>
          </cell>
          <cell r="D1261" t="str">
            <v>PHP</v>
          </cell>
          <cell r="E1261">
            <v>20</v>
          </cell>
          <cell r="F1261" t="str">
            <v>PC</v>
          </cell>
          <cell r="G1261">
            <v>0</v>
          </cell>
        </row>
        <row r="1262">
          <cell r="B1262">
            <v>4302</v>
          </cell>
          <cell r="C1262">
            <v>55029.85</v>
          </cell>
          <cell r="D1262" t="str">
            <v>PHP</v>
          </cell>
          <cell r="E1262">
            <v>4</v>
          </cell>
          <cell r="F1262" t="str">
            <v>PC</v>
          </cell>
          <cell r="G1262">
            <v>0</v>
          </cell>
        </row>
        <row r="1263">
          <cell r="B1263">
            <v>4307</v>
          </cell>
          <cell r="C1263">
            <v>8071.98</v>
          </cell>
          <cell r="D1263" t="str">
            <v>PHP</v>
          </cell>
          <cell r="E1263">
            <v>1</v>
          </cell>
          <cell r="F1263" t="str">
            <v>PC</v>
          </cell>
          <cell r="G1263">
            <v>0</v>
          </cell>
        </row>
        <row r="1264">
          <cell r="B1264">
            <v>4308</v>
          </cell>
          <cell r="C1264">
            <v>15880.5</v>
          </cell>
          <cell r="D1264" t="str">
            <v>PHP</v>
          </cell>
          <cell r="E1264">
            <v>2</v>
          </cell>
          <cell r="F1264" t="str">
            <v>PC</v>
          </cell>
          <cell r="G1264">
            <v>0</v>
          </cell>
        </row>
        <row r="1265">
          <cell r="B1265">
            <v>4309</v>
          </cell>
          <cell r="C1265">
            <v>1099.42</v>
          </cell>
          <cell r="D1265" t="str">
            <v>PHP</v>
          </cell>
          <cell r="E1265">
            <v>1</v>
          </cell>
          <cell r="F1265" t="str">
            <v>PC</v>
          </cell>
          <cell r="G1265">
            <v>0</v>
          </cell>
        </row>
        <row r="1266">
          <cell r="B1266">
            <v>4310</v>
          </cell>
          <cell r="C1266">
            <v>18120.07</v>
          </cell>
          <cell r="D1266" t="str">
            <v>PHP</v>
          </cell>
          <cell r="E1266">
            <v>1</v>
          </cell>
          <cell r="F1266" t="str">
            <v>PC</v>
          </cell>
          <cell r="G1266">
            <v>0</v>
          </cell>
        </row>
        <row r="1267">
          <cell r="B1267">
            <v>4312</v>
          </cell>
          <cell r="C1267">
            <v>431384</v>
          </cell>
          <cell r="D1267" t="str">
            <v>PHP</v>
          </cell>
          <cell r="E1267">
            <v>20</v>
          </cell>
          <cell r="F1267" t="str">
            <v>PC</v>
          </cell>
          <cell r="G1267">
            <v>0</v>
          </cell>
        </row>
        <row r="1268">
          <cell r="B1268">
            <v>4313</v>
          </cell>
          <cell r="C1268">
            <v>149200</v>
          </cell>
          <cell r="D1268" t="str">
            <v>PHP</v>
          </cell>
          <cell r="E1268">
            <v>8</v>
          </cell>
          <cell r="F1268" t="str">
            <v>PC</v>
          </cell>
          <cell r="G1268">
            <v>0</v>
          </cell>
        </row>
        <row r="1269">
          <cell r="B1269">
            <v>4317</v>
          </cell>
          <cell r="C1269">
            <v>10481.44</v>
          </cell>
          <cell r="D1269" t="str">
            <v>PHP</v>
          </cell>
          <cell r="E1269">
            <v>20</v>
          </cell>
          <cell r="F1269" t="str">
            <v>PC</v>
          </cell>
          <cell r="G1269">
            <v>0</v>
          </cell>
        </row>
        <row r="1270">
          <cell r="B1270">
            <v>4318</v>
          </cell>
          <cell r="C1270">
            <v>20963.04</v>
          </cell>
          <cell r="D1270" t="str">
            <v>PHP</v>
          </cell>
          <cell r="E1270">
            <v>40</v>
          </cell>
          <cell r="F1270" t="str">
            <v>PC</v>
          </cell>
          <cell r="G1270">
            <v>0</v>
          </cell>
        </row>
        <row r="1271">
          <cell r="B1271">
            <v>4319</v>
          </cell>
          <cell r="C1271">
            <v>10481.44</v>
          </cell>
          <cell r="D1271" t="str">
            <v>PHP</v>
          </cell>
          <cell r="E1271">
            <v>20</v>
          </cell>
          <cell r="F1271" t="str">
            <v>PC</v>
          </cell>
          <cell r="G1271">
            <v>0</v>
          </cell>
        </row>
        <row r="1272">
          <cell r="B1272">
            <v>4320</v>
          </cell>
          <cell r="C1272">
            <v>10481.44</v>
          </cell>
          <cell r="D1272" t="str">
            <v>PHP</v>
          </cell>
          <cell r="E1272">
            <v>20</v>
          </cell>
          <cell r="F1272" t="str">
            <v>PC</v>
          </cell>
          <cell r="G1272">
            <v>0</v>
          </cell>
        </row>
        <row r="1273">
          <cell r="B1273">
            <v>4323</v>
          </cell>
          <cell r="C1273">
            <v>14004.64</v>
          </cell>
          <cell r="D1273" t="str">
            <v>PHP</v>
          </cell>
          <cell r="E1273">
            <v>20</v>
          </cell>
          <cell r="F1273" t="str">
            <v>PC</v>
          </cell>
          <cell r="G1273">
            <v>0</v>
          </cell>
        </row>
        <row r="1274">
          <cell r="B1274">
            <v>4324</v>
          </cell>
          <cell r="C1274">
            <v>10481.44</v>
          </cell>
          <cell r="D1274" t="str">
            <v>PHP</v>
          </cell>
          <cell r="E1274">
            <v>20</v>
          </cell>
          <cell r="F1274" t="str">
            <v>PC</v>
          </cell>
          <cell r="G1274">
            <v>0</v>
          </cell>
        </row>
        <row r="1275">
          <cell r="B1275">
            <v>4325</v>
          </cell>
          <cell r="C1275">
            <v>10481.44</v>
          </cell>
          <cell r="D1275" t="str">
            <v>PHP</v>
          </cell>
          <cell r="E1275">
            <v>20</v>
          </cell>
          <cell r="F1275" t="str">
            <v>PC</v>
          </cell>
          <cell r="G1275">
            <v>0</v>
          </cell>
        </row>
        <row r="1276">
          <cell r="B1276">
            <v>4327</v>
          </cell>
          <cell r="C1276">
            <v>9433.2999999999993</v>
          </cell>
          <cell r="D1276" t="str">
            <v>PHP</v>
          </cell>
          <cell r="E1276">
            <v>18</v>
          </cell>
          <cell r="F1276" t="str">
            <v>PC</v>
          </cell>
          <cell r="G1276">
            <v>0</v>
          </cell>
        </row>
        <row r="1277">
          <cell r="B1277">
            <v>4328</v>
          </cell>
          <cell r="C1277">
            <v>10481.44</v>
          </cell>
          <cell r="D1277" t="str">
            <v>PHP</v>
          </cell>
          <cell r="E1277">
            <v>20</v>
          </cell>
          <cell r="F1277" t="str">
            <v>PC</v>
          </cell>
          <cell r="G1277">
            <v>0</v>
          </cell>
        </row>
        <row r="1278">
          <cell r="B1278">
            <v>4330</v>
          </cell>
          <cell r="C1278">
            <v>10481.44</v>
          </cell>
          <cell r="D1278" t="str">
            <v>PHP</v>
          </cell>
          <cell r="E1278">
            <v>20</v>
          </cell>
          <cell r="F1278" t="str">
            <v>PC</v>
          </cell>
          <cell r="G1278">
            <v>0</v>
          </cell>
        </row>
        <row r="1279">
          <cell r="B1279">
            <v>4334</v>
          </cell>
          <cell r="C1279">
            <v>0</v>
          </cell>
          <cell r="D1279" t="str">
            <v>PHP</v>
          </cell>
          <cell r="E1279">
            <v>0</v>
          </cell>
          <cell r="F1279" t="str">
            <v>PC</v>
          </cell>
          <cell r="G1279">
            <v>0</v>
          </cell>
        </row>
        <row r="1280">
          <cell r="B1280">
            <v>4336</v>
          </cell>
          <cell r="C1280">
            <v>4382.8</v>
          </cell>
          <cell r="D1280" t="str">
            <v>PHP</v>
          </cell>
          <cell r="E1280">
            <v>35</v>
          </cell>
          <cell r="F1280" t="str">
            <v>PC</v>
          </cell>
          <cell r="G1280">
            <v>0</v>
          </cell>
        </row>
        <row r="1281">
          <cell r="B1281">
            <v>4337</v>
          </cell>
          <cell r="C1281">
            <v>17523.3</v>
          </cell>
          <cell r="D1281" t="str">
            <v>PHP</v>
          </cell>
          <cell r="E1281">
            <v>20</v>
          </cell>
          <cell r="F1281" t="str">
            <v>PC</v>
          </cell>
          <cell r="G1281">
            <v>0</v>
          </cell>
        </row>
        <row r="1282">
          <cell r="B1282">
            <v>4338</v>
          </cell>
          <cell r="C1282">
            <v>3102.8</v>
          </cell>
          <cell r="D1282" t="str">
            <v>PHP</v>
          </cell>
          <cell r="E1282">
            <v>19</v>
          </cell>
          <cell r="F1282" t="str">
            <v>PC</v>
          </cell>
          <cell r="G1282">
            <v>0</v>
          </cell>
        </row>
        <row r="1283">
          <cell r="B1283">
            <v>4339</v>
          </cell>
          <cell r="C1283">
            <v>2659.66</v>
          </cell>
          <cell r="D1283" t="str">
            <v>PHP</v>
          </cell>
          <cell r="E1283">
            <v>19</v>
          </cell>
          <cell r="F1283" t="str">
            <v>PC</v>
          </cell>
          <cell r="G1283">
            <v>0</v>
          </cell>
        </row>
        <row r="1284">
          <cell r="B1284">
            <v>4340</v>
          </cell>
          <cell r="C1284">
            <v>10378.27</v>
          </cell>
          <cell r="D1284" t="str">
            <v>PHP</v>
          </cell>
          <cell r="E1284">
            <v>1</v>
          </cell>
          <cell r="F1284" t="str">
            <v>UT</v>
          </cell>
          <cell r="G1284">
            <v>0</v>
          </cell>
        </row>
        <row r="1285">
          <cell r="B1285">
            <v>4341</v>
          </cell>
          <cell r="C1285">
            <v>9749.7900000000009</v>
          </cell>
          <cell r="D1285" t="str">
            <v>PHP</v>
          </cell>
          <cell r="E1285">
            <v>8</v>
          </cell>
          <cell r="F1285" t="str">
            <v>PC</v>
          </cell>
          <cell r="G1285">
            <v>0</v>
          </cell>
        </row>
        <row r="1286">
          <cell r="B1286">
            <v>4342</v>
          </cell>
          <cell r="C1286">
            <v>282.57</v>
          </cell>
          <cell r="D1286" t="str">
            <v>PHP</v>
          </cell>
          <cell r="E1286">
            <v>6</v>
          </cell>
          <cell r="F1286" t="str">
            <v>PC</v>
          </cell>
          <cell r="G1286">
            <v>0</v>
          </cell>
        </row>
        <row r="1287">
          <cell r="B1287">
            <v>4343</v>
          </cell>
          <cell r="C1287">
            <v>20457.29</v>
          </cell>
          <cell r="D1287" t="str">
            <v>PHP</v>
          </cell>
          <cell r="E1287">
            <v>6</v>
          </cell>
          <cell r="F1287" t="str">
            <v>PC</v>
          </cell>
          <cell r="G1287">
            <v>0</v>
          </cell>
        </row>
        <row r="1288">
          <cell r="B1288">
            <v>4344</v>
          </cell>
          <cell r="C1288">
            <v>3665.31</v>
          </cell>
          <cell r="D1288" t="str">
            <v>PHP</v>
          </cell>
          <cell r="E1288">
            <v>6</v>
          </cell>
          <cell r="F1288" t="str">
            <v>PC</v>
          </cell>
          <cell r="G1288">
            <v>0</v>
          </cell>
        </row>
        <row r="1289">
          <cell r="B1289">
            <v>4345</v>
          </cell>
          <cell r="C1289">
            <v>27001.94</v>
          </cell>
          <cell r="D1289" t="str">
            <v>PHP</v>
          </cell>
          <cell r="E1289">
            <v>59</v>
          </cell>
          <cell r="F1289" t="str">
            <v>PC</v>
          </cell>
          <cell r="G1289">
            <v>0</v>
          </cell>
        </row>
        <row r="1290">
          <cell r="B1290">
            <v>4346</v>
          </cell>
          <cell r="C1290">
            <v>7684.33</v>
          </cell>
          <cell r="D1290" t="str">
            <v>PHP</v>
          </cell>
          <cell r="E1290">
            <v>24</v>
          </cell>
          <cell r="F1290" t="str">
            <v>PC</v>
          </cell>
          <cell r="G1290">
            <v>0</v>
          </cell>
        </row>
        <row r="1291">
          <cell r="B1291">
            <v>4347</v>
          </cell>
          <cell r="C1291">
            <v>2659.96</v>
          </cell>
          <cell r="D1291" t="str">
            <v>PHP</v>
          </cell>
          <cell r="E1291">
            <v>2</v>
          </cell>
          <cell r="F1291" t="str">
            <v>PC</v>
          </cell>
          <cell r="G1291">
            <v>0</v>
          </cell>
        </row>
        <row r="1292">
          <cell r="B1292">
            <v>4348</v>
          </cell>
          <cell r="C1292">
            <v>106.4</v>
          </cell>
          <cell r="D1292" t="str">
            <v>PHP</v>
          </cell>
          <cell r="E1292">
            <v>1</v>
          </cell>
          <cell r="F1292" t="str">
            <v>PC</v>
          </cell>
          <cell r="G1292">
            <v>0</v>
          </cell>
        </row>
        <row r="1293">
          <cell r="B1293">
            <v>4349</v>
          </cell>
          <cell r="C1293">
            <v>832.72</v>
          </cell>
          <cell r="D1293" t="str">
            <v>PHP</v>
          </cell>
          <cell r="E1293">
            <v>5</v>
          </cell>
          <cell r="F1293" t="str">
            <v>PC</v>
          </cell>
          <cell r="G1293">
            <v>0</v>
          </cell>
        </row>
        <row r="1294">
          <cell r="B1294">
            <v>4350</v>
          </cell>
          <cell r="C1294">
            <v>4660.18</v>
          </cell>
          <cell r="D1294" t="str">
            <v>PHP</v>
          </cell>
          <cell r="E1294">
            <v>6</v>
          </cell>
          <cell r="F1294" t="str">
            <v>PC</v>
          </cell>
          <cell r="G1294">
            <v>0</v>
          </cell>
        </row>
        <row r="1295">
          <cell r="B1295">
            <v>4353</v>
          </cell>
          <cell r="C1295">
            <v>46872.56</v>
          </cell>
          <cell r="D1295" t="str">
            <v>PHP</v>
          </cell>
          <cell r="E1295">
            <v>6</v>
          </cell>
          <cell r="F1295" t="str">
            <v>PC</v>
          </cell>
          <cell r="G1295">
            <v>0</v>
          </cell>
        </row>
        <row r="1296">
          <cell r="B1296">
            <v>4372</v>
          </cell>
          <cell r="C1296">
            <v>20963.04</v>
          </cell>
          <cell r="D1296" t="str">
            <v>PHP</v>
          </cell>
          <cell r="E1296">
            <v>40</v>
          </cell>
          <cell r="F1296" t="str">
            <v>PC</v>
          </cell>
          <cell r="G1296">
            <v>0</v>
          </cell>
        </row>
        <row r="1297">
          <cell r="B1297">
            <v>4378</v>
          </cell>
          <cell r="C1297">
            <v>44038.34</v>
          </cell>
          <cell r="D1297" t="str">
            <v>PHP</v>
          </cell>
          <cell r="E1297">
            <v>4</v>
          </cell>
          <cell r="F1297" t="str">
            <v>PC</v>
          </cell>
          <cell r="G1297">
            <v>0</v>
          </cell>
        </row>
        <row r="1298">
          <cell r="B1298">
            <v>4379</v>
          </cell>
          <cell r="C1298">
            <v>0</v>
          </cell>
          <cell r="D1298" t="str">
            <v>PHP</v>
          </cell>
          <cell r="E1298">
            <v>0</v>
          </cell>
          <cell r="F1298" t="str">
            <v>PC</v>
          </cell>
          <cell r="G1298">
            <v>0</v>
          </cell>
        </row>
        <row r="1299">
          <cell r="B1299">
            <v>4380</v>
          </cell>
          <cell r="C1299">
            <v>13603.85</v>
          </cell>
          <cell r="D1299" t="str">
            <v>PHP</v>
          </cell>
          <cell r="E1299">
            <v>6</v>
          </cell>
          <cell r="F1299" t="str">
            <v>PC</v>
          </cell>
          <cell r="G1299">
            <v>0</v>
          </cell>
        </row>
        <row r="1300">
          <cell r="B1300">
            <v>4382</v>
          </cell>
          <cell r="C1300">
            <v>55311.71</v>
          </cell>
          <cell r="D1300" t="str">
            <v>PHP</v>
          </cell>
          <cell r="E1300">
            <v>1</v>
          </cell>
          <cell r="F1300" t="str">
            <v>PC</v>
          </cell>
          <cell r="G1300">
            <v>0</v>
          </cell>
        </row>
        <row r="1301">
          <cell r="B1301">
            <v>4383</v>
          </cell>
          <cell r="C1301">
            <v>43790.57</v>
          </cell>
          <cell r="D1301" t="str">
            <v>PHP</v>
          </cell>
          <cell r="E1301">
            <v>1</v>
          </cell>
          <cell r="F1301" t="str">
            <v>PC</v>
          </cell>
          <cell r="G1301">
            <v>0</v>
          </cell>
        </row>
        <row r="1302">
          <cell r="B1302">
            <v>4384</v>
          </cell>
          <cell r="C1302">
            <v>0</v>
          </cell>
          <cell r="D1302" t="str">
            <v>PHP</v>
          </cell>
          <cell r="E1302">
            <v>0</v>
          </cell>
          <cell r="F1302" t="str">
            <v>SET</v>
          </cell>
          <cell r="G1302">
            <v>0</v>
          </cell>
        </row>
        <row r="1303">
          <cell r="B1303">
            <v>4385</v>
          </cell>
          <cell r="C1303">
            <v>56592.800000000003</v>
          </cell>
          <cell r="D1303" t="str">
            <v>PHP</v>
          </cell>
          <cell r="E1303">
            <v>1</v>
          </cell>
          <cell r="F1303" t="str">
            <v>PC</v>
          </cell>
          <cell r="G1303">
            <v>0</v>
          </cell>
        </row>
        <row r="1304">
          <cell r="B1304">
            <v>4386</v>
          </cell>
          <cell r="C1304">
            <v>124069</v>
          </cell>
          <cell r="D1304" t="str">
            <v>PHP</v>
          </cell>
          <cell r="E1304">
            <v>2</v>
          </cell>
          <cell r="F1304" t="str">
            <v>PC</v>
          </cell>
          <cell r="G1304">
            <v>0</v>
          </cell>
        </row>
        <row r="1305">
          <cell r="B1305">
            <v>4387</v>
          </cell>
          <cell r="C1305">
            <v>36883.370000000003</v>
          </cell>
          <cell r="D1305" t="str">
            <v>PHP</v>
          </cell>
          <cell r="E1305">
            <v>1</v>
          </cell>
          <cell r="F1305" t="str">
            <v>PC</v>
          </cell>
          <cell r="G1305">
            <v>0</v>
          </cell>
        </row>
        <row r="1306">
          <cell r="B1306">
            <v>4388</v>
          </cell>
          <cell r="C1306">
            <v>13842.25</v>
          </cell>
          <cell r="D1306" t="str">
            <v>PHP</v>
          </cell>
          <cell r="E1306">
            <v>1</v>
          </cell>
          <cell r="F1306" t="str">
            <v>PC</v>
          </cell>
          <cell r="G1306">
            <v>0</v>
          </cell>
        </row>
        <row r="1307">
          <cell r="B1307">
            <v>4389</v>
          </cell>
          <cell r="C1307">
            <v>0</v>
          </cell>
          <cell r="D1307" t="str">
            <v>PHP</v>
          </cell>
          <cell r="E1307">
            <v>0</v>
          </cell>
          <cell r="F1307" t="str">
            <v>SET</v>
          </cell>
          <cell r="G1307">
            <v>0</v>
          </cell>
        </row>
        <row r="1308">
          <cell r="B1308">
            <v>4391</v>
          </cell>
          <cell r="C1308">
            <v>19119.62</v>
          </cell>
          <cell r="D1308" t="str">
            <v>PHP</v>
          </cell>
          <cell r="E1308">
            <v>26</v>
          </cell>
          <cell r="F1308" t="str">
            <v>PC</v>
          </cell>
          <cell r="G1308">
            <v>0</v>
          </cell>
        </row>
        <row r="1309">
          <cell r="B1309">
            <v>4393</v>
          </cell>
          <cell r="C1309">
            <v>6284</v>
          </cell>
          <cell r="D1309" t="str">
            <v>PHP</v>
          </cell>
          <cell r="E1309">
            <v>4</v>
          </cell>
          <cell r="F1309" t="str">
            <v>PC</v>
          </cell>
          <cell r="G1309">
            <v>0</v>
          </cell>
        </row>
        <row r="1310">
          <cell r="B1310">
            <v>4404</v>
          </cell>
          <cell r="C1310">
            <v>5088.6000000000004</v>
          </cell>
          <cell r="D1310" t="str">
            <v>PHP</v>
          </cell>
          <cell r="E1310">
            <v>2</v>
          </cell>
          <cell r="F1310" t="str">
            <v>PC</v>
          </cell>
          <cell r="G1310">
            <v>0</v>
          </cell>
        </row>
        <row r="1311">
          <cell r="B1311">
            <v>4405</v>
          </cell>
          <cell r="C1311">
            <v>144127.93</v>
          </cell>
          <cell r="D1311" t="str">
            <v>PHP</v>
          </cell>
          <cell r="E1311">
            <v>3</v>
          </cell>
          <cell r="F1311" t="str">
            <v>PC</v>
          </cell>
          <cell r="G1311">
            <v>0</v>
          </cell>
        </row>
        <row r="1312">
          <cell r="B1312">
            <v>4407</v>
          </cell>
          <cell r="C1312">
            <v>44100</v>
          </cell>
          <cell r="D1312" t="str">
            <v>PHP</v>
          </cell>
          <cell r="E1312">
            <v>70</v>
          </cell>
          <cell r="F1312" t="str">
            <v>PC</v>
          </cell>
          <cell r="G1312">
            <v>0</v>
          </cell>
        </row>
        <row r="1313">
          <cell r="B1313">
            <v>4413</v>
          </cell>
          <cell r="C1313">
            <v>26802.71</v>
          </cell>
          <cell r="D1313" t="str">
            <v>PHP</v>
          </cell>
          <cell r="E1313">
            <v>1</v>
          </cell>
          <cell r="F1313" t="str">
            <v>PC</v>
          </cell>
          <cell r="G1313">
            <v>0</v>
          </cell>
        </row>
        <row r="1314">
          <cell r="B1314">
            <v>4414</v>
          </cell>
          <cell r="C1314">
            <v>27289.119999999999</v>
          </cell>
          <cell r="D1314" t="str">
            <v>PHP</v>
          </cell>
          <cell r="E1314">
            <v>1</v>
          </cell>
          <cell r="F1314" t="str">
            <v>PC</v>
          </cell>
          <cell r="G1314">
            <v>0</v>
          </cell>
        </row>
        <row r="1315">
          <cell r="B1315">
            <v>4415</v>
          </cell>
          <cell r="C1315">
            <v>56208.1</v>
          </cell>
          <cell r="D1315" t="str">
            <v>PHP</v>
          </cell>
          <cell r="E1315">
            <v>1</v>
          </cell>
          <cell r="F1315" t="str">
            <v>UT</v>
          </cell>
          <cell r="G1315">
            <v>0</v>
          </cell>
        </row>
        <row r="1316">
          <cell r="B1316">
            <v>4417</v>
          </cell>
          <cell r="C1316">
            <v>18012.28</v>
          </cell>
          <cell r="D1316" t="str">
            <v>PHP</v>
          </cell>
          <cell r="E1316">
            <v>2</v>
          </cell>
          <cell r="F1316" t="str">
            <v>PC</v>
          </cell>
          <cell r="G1316">
            <v>0</v>
          </cell>
        </row>
        <row r="1317">
          <cell r="B1317">
            <v>4421</v>
          </cell>
          <cell r="C1317">
            <v>424590.72</v>
          </cell>
          <cell r="D1317" t="str">
            <v>PHP</v>
          </cell>
          <cell r="E1317">
            <v>8</v>
          </cell>
          <cell r="F1317" t="str">
            <v>PC</v>
          </cell>
          <cell r="G1317">
            <v>0</v>
          </cell>
        </row>
        <row r="1318">
          <cell r="B1318">
            <v>4423</v>
          </cell>
          <cell r="C1318">
            <v>0</v>
          </cell>
          <cell r="D1318" t="str">
            <v>PHP</v>
          </cell>
          <cell r="E1318">
            <v>0</v>
          </cell>
          <cell r="F1318" t="str">
            <v>PC</v>
          </cell>
          <cell r="G1318">
            <v>0</v>
          </cell>
        </row>
        <row r="1319">
          <cell r="B1319">
            <v>4424</v>
          </cell>
          <cell r="C1319">
            <v>0</v>
          </cell>
          <cell r="D1319" t="str">
            <v>PHP</v>
          </cell>
          <cell r="E1319">
            <v>0</v>
          </cell>
          <cell r="F1319" t="str">
            <v>PC</v>
          </cell>
          <cell r="G1319">
            <v>0</v>
          </cell>
        </row>
        <row r="1320">
          <cell r="B1320">
            <v>4427</v>
          </cell>
          <cell r="C1320">
            <v>46934.91</v>
          </cell>
          <cell r="D1320" t="str">
            <v>PHP</v>
          </cell>
          <cell r="E1320">
            <v>98</v>
          </cell>
          <cell r="F1320" t="str">
            <v>PC</v>
          </cell>
          <cell r="G1320">
            <v>0</v>
          </cell>
        </row>
        <row r="1321">
          <cell r="B1321">
            <v>4428</v>
          </cell>
          <cell r="C1321">
            <v>0</v>
          </cell>
          <cell r="D1321" t="str">
            <v>PHP</v>
          </cell>
          <cell r="E1321">
            <v>0</v>
          </cell>
          <cell r="F1321" t="str">
            <v>PC</v>
          </cell>
          <cell r="G1321">
            <v>0</v>
          </cell>
        </row>
        <row r="1322">
          <cell r="B1322">
            <v>4434</v>
          </cell>
          <cell r="C1322">
            <v>30076</v>
          </cell>
          <cell r="D1322" t="str">
            <v>PHP</v>
          </cell>
          <cell r="E1322">
            <v>1</v>
          </cell>
          <cell r="F1322" t="str">
            <v>PC</v>
          </cell>
          <cell r="G1322">
            <v>0</v>
          </cell>
        </row>
        <row r="1323">
          <cell r="B1323">
            <v>4436</v>
          </cell>
          <cell r="C1323">
            <v>22104.06</v>
          </cell>
          <cell r="D1323" t="str">
            <v>PHP</v>
          </cell>
          <cell r="E1323">
            <v>5</v>
          </cell>
          <cell r="F1323" t="str">
            <v>PC</v>
          </cell>
          <cell r="G1323">
            <v>0</v>
          </cell>
        </row>
        <row r="1324">
          <cell r="B1324">
            <v>4437</v>
          </cell>
          <cell r="C1324">
            <v>0</v>
          </cell>
          <cell r="D1324" t="str">
            <v>PHP</v>
          </cell>
          <cell r="E1324">
            <v>0</v>
          </cell>
          <cell r="F1324" t="str">
            <v>PC</v>
          </cell>
          <cell r="G1324">
            <v>0</v>
          </cell>
        </row>
        <row r="1325">
          <cell r="B1325">
            <v>4438</v>
          </cell>
          <cell r="C1325">
            <v>40546.9</v>
          </cell>
          <cell r="D1325" t="str">
            <v>PHP</v>
          </cell>
          <cell r="E1325">
            <v>5</v>
          </cell>
          <cell r="F1325" t="str">
            <v>PC</v>
          </cell>
          <cell r="G1325">
            <v>0</v>
          </cell>
        </row>
        <row r="1326">
          <cell r="B1326">
            <v>4439</v>
          </cell>
          <cell r="C1326">
            <v>24328.14</v>
          </cell>
          <cell r="D1326" t="str">
            <v>PHP</v>
          </cell>
          <cell r="E1326">
            <v>3</v>
          </cell>
          <cell r="F1326" t="str">
            <v>PC</v>
          </cell>
          <cell r="G1326">
            <v>0</v>
          </cell>
        </row>
        <row r="1327">
          <cell r="B1327">
            <v>4440</v>
          </cell>
          <cell r="C1327">
            <v>21474.97</v>
          </cell>
          <cell r="D1327" t="str">
            <v>PHP</v>
          </cell>
          <cell r="E1327">
            <v>4</v>
          </cell>
          <cell r="F1327" t="str">
            <v>PC</v>
          </cell>
          <cell r="G1327">
            <v>0</v>
          </cell>
        </row>
        <row r="1328">
          <cell r="B1328">
            <v>4457</v>
          </cell>
          <cell r="C1328">
            <v>287868.86</v>
          </cell>
          <cell r="D1328" t="str">
            <v>PHP</v>
          </cell>
          <cell r="E1328">
            <v>2</v>
          </cell>
          <cell r="F1328" t="str">
            <v>ASY</v>
          </cell>
          <cell r="G1328">
            <v>0</v>
          </cell>
        </row>
        <row r="1329">
          <cell r="B1329">
            <v>4463</v>
          </cell>
          <cell r="C1329">
            <v>0</v>
          </cell>
          <cell r="D1329" t="str">
            <v>PHP</v>
          </cell>
          <cell r="E1329">
            <v>0</v>
          </cell>
          <cell r="F1329" t="str">
            <v>PC</v>
          </cell>
          <cell r="G1329">
            <v>0</v>
          </cell>
        </row>
        <row r="1330">
          <cell r="B1330">
            <v>4479</v>
          </cell>
          <cell r="C1330">
            <v>21793.34</v>
          </cell>
          <cell r="D1330" t="str">
            <v>PHP</v>
          </cell>
          <cell r="E1330">
            <v>122</v>
          </cell>
          <cell r="F1330" t="str">
            <v>PC</v>
          </cell>
          <cell r="G1330">
            <v>0</v>
          </cell>
        </row>
        <row r="1331">
          <cell r="B1331">
            <v>4482</v>
          </cell>
          <cell r="C1331">
            <v>0</v>
          </cell>
          <cell r="D1331" t="str">
            <v>PHP</v>
          </cell>
          <cell r="E1331">
            <v>0</v>
          </cell>
          <cell r="F1331" t="str">
            <v>PC</v>
          </cell>
          <cell r="G1331">
            <v>0</v>
          </cell>
        </row>
        <row r="1332">
          <cell r="B1332">
            <v>4483</v>
          </cell>
          <cell r="C1332">
            <v>61740.959999999999</v>
          </cell>
          <cell r="D1332" t="str">
            <v>PHP</v>
          </cell>
          <cell r="E1332">
            <v>48</v>
          </cell>
          <cell r="F1332" t="str">
            <v>PC</v>
          </cell>
          <cell r="G1332">
            <v>0</v>
          </cell>
        </row>
        <row r="1333">
          <cell r="B1333">
            <v>4491</v>
          </cell>
          <cell r="C1333">
            <v>164575.14000000001</v>
          </cell>
          <cell r="D1333" t="str">
            <v>PHP</v>
          </cell>
          <cell r="E1333">
            <v>15</v>
          </cell>
          <cell r="F1333" t="str">
            <v>PC</v>
          </cell>
          <cell r="G1333">
            <v>0</v>
          </cell>
        </row>
        <row r="1334">
          <cell r="B1334">
            <v>4492</v>
          </cell>
          <cell r="C1334">
            <v>0</v>
          </cell>
          <cell r="D1334" t="str">
            <v>PHP</v>
          </cell>
          <cell r="E1334">
            <v>0</v>
          </cell>
          <cell r="F1334" t="str">
            <v>PC</v>
          </cell>
          <cell r="G1334">
            <v>0</v>
          </cell>
        </row>
        <row r="1335">
          <cell r="B1335">
            <v>4493</v>
          </cell>
          <cell r="C1335">
            <v>0</v>
          </cell>
          <cell r="D1335" t="str">
            <v>PHP</v>
          </cell>
          <cell r="E1335">
            <v>0</v>
          </cell>
          <cell r="F1335" t="str">
            <v>PC</v>
          </cell>
          <cell r="G1335">
            <v>0</v>
          </cell>
        </row>
        <row r="1336">
          <cell r="B1336">
            <v>4496</v>
          </cell>
          <cell r="C1336">
            <v>0</v>
          </cell>
          <cell r="D1336" t="str">
            <v>PHP</v>
          </cell>
          <cell r="E1336">
            <v>0</v>
          </cell>
          <cell r="F1336" t="str">
            <v>PC</v>
          </cell>
          <cell r="G1336">
            <v>0</v>
          </cell>
        </row>
        <row r="1337">
          <cell r="B1337">
            <v>4497</v>
          </cell>
          <cell r="C1337">
            <v>390330.87</v>
          </cell>
          <cell r="D1337" t="str">
            <v>PHP</v>
          </cell>
          <cell r="E1337">
            <v>2</v>
          </cell>
          <cell r="F1337" t="str">
            <v>PAA</v>
          </cell>
          <cell r="G1337">
            <v>0</v>
          </cell>
        </row>
        <row r="1338">
          <cell r="B1338">
            <v>4498</v>
          </cell>
          <cell r="C1338">
            <v>155706.57999999999</v>
          </cell>
          <cell r="D1338" t="str">
            <v>PHP</v>
          </cell>
          <cell r="E1338">
            <v>10</v>
          </cell>
          <cell r="F1338" t="str">
            <v>PC</v>
          </cell>
          <cell r="G1338">
            <v>0</v>
          </cell>
        </row>
        <row r="1339">
          <cell r="B1339">
            <v>4499</v>
          </cell>
          <cell r="C1339">
            <v>41004.089999999997</v>
          </cell>
          <cell r="D1339" t="str">
            <v>PHP</v>
          </cell>
          <cell r="E1339">
            <v>3</v>
          </cell>
          <cell r="F1339" t="str">
            <v>PC</v>
          </cell>
          <cell r="G1339">
            <v>0</v>
          </cell>
        </row>
        <row r="1340">
          <cell r="B1340">
            <v>4500</v>
          </cell>
          <cell r="C1340">
            <v>108880.66</v>
          </cell>
          <cell r="D1340" t="str">
            <v>PHP</v>
          </cell>
          <cell r="E1340">
            <v>59</v>
          </cell>
          <cell r="F1340" t="str">
            <v>PC</v>
          </cell>
          <cell r="G1340">
            <v>0</v>
          </cell>
        </row>
        <row r="1341">
          <cell r="B1341">
            <v>4503</v>
          </cell>
          <cell r="C1341">
            <v>29512.240000000002</v>
          </cell>
          <cell r="D1341" t="str">
            <v>PHP</v>
          </cell>
          <cell r="E1341">
            <v>4</v>
          </cell>
          <cell r="F1341" t="str">
            <v>PC</v>
          </cell>
          <cell r="G1341">
            <v>0</v>
          </cell>
        </row>
        <row r="1342">
          <cell r="B1342">
            <v>4536</v>
          </cell>
          <cell r="C1342">
            <v>57800</v>
          </cell>
          <cell r="D1342" t="str">
            <v>PHP</v>
          </cell>
          <cell r="E1342">
            <v>2</v>
          </cell>
          <cell r="F1342" t="str">
            <v>PC</v>
          </cell>
          <cell r="G1342">
            <v>0</v>
          </cell>
        </row>
        <row r="1343">
          <cell r="B1343">
            <v>4595</v>
          </cell>
          <cell r="C1343">
            <v>59131.22</v>
          </cell>
          <cell r="D1343" t="str">
            <v>PHP</v>
          </cell>
          <cell r="E1343">
            <v>3</v>
          </cell>
          <cell r="F1343" t="str">
            <v>PC</v>
          </cell>
          <cell r="G1343">
            <v>0</v>
          </cell>
        </row>
        <row r="1344">
          <cell r="B1344">
            <v>4596</v>
          </cell>
          <cell r="C1344">
            <v>87138.66</v>
          </cell>
          <cell r="D1344" t="str">
            <v>PHP</v>
          </cell>
          <cell r="E1344">
            <v>3</v>
          </cell>
          <cell r="F1344" t="str">
            <v>PC</v>
          </cell>
          <cell r="G1344">
            <v>0</v>
          </cell>
        </row>
        <row r="1345">
          <cell r="B1345">
            <v>4597</v>
          </cell>
          <cell r="C1345">
            <v>69077.440000000002</v>
          </cell>
          <cell r="D1345" t="str">
            <v>PHP</v>
          </cell>
          <cell r="E1345">
            <v>4</v>
          </cell>
          <cell r="F1345" t="str">
            <v>UT</v>
          </cell>
          <cell r="G1345">
            <v>0</v>
          </cell>
        </row>
        <row r="1346">
          <cell r="B1346">
            <v>4598</v>
          </cell>
          <cell r="C1346">
            <v>73231.86</v>
          </cell>
          <cell r="D1346" t="str">
            <v>PHP</v>
          </cell>
          <cell r="E1346">
            <v>3</v>
          </cell>
          <cell r="F1346" t="str">
            <v>UT</v>
          </cell>
          <cell r="G1346">
            <v>0</v>
          </cell>
        </row>
        <row r="1347">
          <cell r="B1347">
            <v>4599</v>
          </cell>
          <cell r="C1347">
            <v>0</v>
          </cell>
          <cell r="D1347" t="str">
            <v>PHP</v>
          </cell>
          <cell r="E1347">
            <v>0</v>
          </cell>
          <cell r="F1347" t="str">
            <v>PC</v>
          </cell>
          <cell r="G1347">
            <v>0</v>
          </cell>
        </row>
        <row r="1348">
          <cell r="B1348">
            <v>4600</v>
          </cell>
          <cell r="C1348">
            <v>929700.31</v>
          </cell>
          <cell r="D1348" t="str">
            <v>PHP</v>
          </cell>
          <cell r="E1348">
            <v>4</v>
          </cell>
          <cell r="F1348" t="str">
            <v>PC</v>
          </cell>
          <cell r="G1348">
            <v>0</v>
          </cell>
        </row>
        <row r="1349">
          <cell r="B1349">
            <v>4601</v>
          </cell>
          <cell r="C1349">
            <v>0</v>
          </cell>
          <cell r="D1349" t="str">
            <v>PHP</v>
          </cell>
          <cell r="E1349">
            <v>0</v>
          </cell>
          <cell r="F1349" t="str">
            <v>PC</v>
          </cell>
          <cell r="G1349">
            <v>0</v>
          </cell>
        </row>
        <row r="1350">
          <cell r="B1350">
            <v>4602</v>
          </cell>
          <cell r="C1350">
            <v>1400</v>
          </cell>
          <cell r="D1350" t="str">
            <v>PHP</v>
          </cell>
          <cell r="E1350">
            <v>2</v>
          </cell>
          <cell r="F1350" t="str">
            <v>PC</v>
          </cell>
          <cell r="G1350">
            <v>0</v>
          </cell>
        </row>
        <row r="1351">
          <cell r="B1351">
            <v>4603</v>
          </cell>
          <cell r="C1351">
            <v>35781.550000000003</v>
          </cell>
          <cell r="D1351" t="str">
            <v>PHP</v>
          </cell>
          <cell r="E1351">
            <v>3</v>
          </cell>
          <cell r="F1351" t="str">
            <v>PC</v>
          </cell>
          <cell r="G1351">
            <v>0</v>
          </cell>
        </row>
        <row r="1352">
          <cell r="B1352">
            <v>4606</v>
          </cell>
          <cell r="C1352">
            <v>22667.040000000001</v>
          </cell>
          <cell r="D1352" t="str">
            <v>PHP</v>
          </cell>
          <cell r="E1352">
            <v>24</v>
          </cell>
          <cell r="F1352" t="str">
            <v>ASY</v>
          </cell>
          <cell r="G1352">
            <v>0</v>
          </cell>
        </row>
        <row r="1353">
          <cell r="B1353">
            <v>4607</v>
          </cell>
          <cell r="C1353">
            <v>36656.949999999997</v>
          </cell>
          <cell r="D1353" t="str">
            <v>PHP</v>
          </cell>
          <cell r="E1353">
            <v>13</v>
          </cell>
          <cell r="F1353" t="str">
            <v>PC</v>
          </cell>
          <cell r="G1353">
            <v>0</v>
          </cell>
        </row>
        <row r="1354">
          <cell r="B1354">
            <v>4608</v>
          </cell>
          <cell r="C1354">
            <v>38447.17</v>
          </cell>
          <cell r="D1354" t="str">
            <v>PHP</v>
          </cell>
          <cell r="E1354">
            <v>9</v>
          </cell>
          <cell r="F1354" t="str">
            <v>PC</v>
          </cell>
          <cell r="G1354">
            <v>0</v>
          </cell>
        </row>
        <row r="1355">
          <cell r="B1355">
            <v>4609</v>
          </cell>
          <cell r="C1355">
            <v>177300</v>
          </cell>
          <cell r="D1355" t="str">
            <v>PHP</v>
          </cell>
          <cell r="E1355">
            <v>2</v>
          </cell>
          <cell r="F1355" t="str">
            <v>SET</v>
          </cell>
          <cell r="G1355">
            <v>0</v>
          </cell>
        </row>
        <row r="1356">
          <cell r="B1356">
            <v>4624</v>
          </cell>
          <cell r="C1356">
            <v>185633.8</v>
          </cell>
          <cell r="D1356" t="str">
            <v>PHP</v>
          </cell>
          <cell r="E1356">
            <v>1</v>
          </cell>
          <cell r="F1356" t="str">
            <v>PC</v>
          </cell>
          <cell r="G1356">
            <v>0</v>
          </cell>
        </row>
        <row r="1357">
          <cell r="B1357">
            <v>4625</v>
          </cell>
          <cell r="C1357">
            <v>201457.36</v>
          </cell>
          <cell r="D1357" t="str">
            <v>PHP</v>
          </cell>
          <cell r="E1357">
            <v>1</v>
          </cell>
          <cell r="F1357" t="str">
            <v>PC</v>
          </cell>
          <cell r="G1357">
            <v>0</v>
          </cell>
        </row>
        <row r="1358">
          <cell r="B1358">
            <v>4629</v>
          </cell>
          <cell r="C1358">
            <v>0</v>
          </cell>
          <cell r="D1358" t="str">
            <v>PHP</v>
          </cell>
          <cell r="E1358">
            <v>0</v>
          </cell>
          <cell r="F1358" t="str">
            <v>PC</v>
          </cell>
          <cell r="G1358">
            <v>0</v>
          </cell>
        </row>
        <row r="1359">
          <cell r="B1359">
            <v>4630</v>
          </cell>
          <cell r="C1359">
            <v>85527.16</v>
          </cell>
          <cell r="D1359" t="str">
            <v>PHP</v>
          </cell>
          <cell r="E1359">
            <v>4</v>
          </cell>
          <cell r="F1359" t="str">
            <v>PC</v>
          </cell>
          <cell r="G1359">
            <v>0</v>
          </cell>
        </row>
        <row r="1360">
          <cell r="B1360">
            <v>4631</v>
          </cell>
          <cell r="C1360">
            <v>39592.370000000003</v>
          </cell>
          <cell r="D1360" t="str">
            <v>PHP</v>
          </cell>
          <cell r="E1360">
            <v>1</v>
          </cell>
          <cell r="F1360" t="str">
            <v>ASY</v>
          </cell>
          <cell r="G1360">
            <v>0</v>
          </cell>
        </row>
        <row r="1361">
          <cell r="B1361">
            <v>4635</v>
          </cell>
          <cell r="C1361">
            <v>110678.04</v>
          </cell>
          <cell r="D1361" t="str">
            <v>PHP</v>
          </cell>
          <cell r="E1361">
            <v>12</v>
          </cell>
          <cell r="F1361" t="str">
            <v>PC</v>
          </cell>
          <cell r="G1361">
            <v>0</v>
          </cell>
        </row>
        <row r="1362">
          <cell r="B1362">
            <v>4637</v>
          </cell>
          <cell r="C1362">
            <v>83823.11</v>
          </cell>
          <cell r="D1362" t="str">
            <v>PHP</v>
          </cell>
          <cell r="E1362">
            <v>3</v>
          </cell>
          <cell r="F1362" t="str">
            <v>PC</v>
          </cell>
          <cell r="G1362">
            <v>0</v>
          </cell>
        </row>
        <row r="1363">
          <cell r="B1363">
            <v>4641</v>
          </cell>
          <cell r="C1363">
            <v>133732.16</v>
          </cell>
          <cell r="D1363" t="str">
            <v>PHP</v>
          </cell>
          <cell r="E1363">
            <v>5</v>
          </cell>
          <cell r="F1363" t="str">
            <v>PC</v>
          </cell>
          <cell r="G1363">
            <v>0</v>
          </cell>
        </row>
        <row r="1364">
          <cell r="B1364">
            <v>4651</v>
          </cell>
          <cell r="C1364">
            <v>320178.18</v>
          </cell>
          <cell r="D1364" t="str">
            <v>PHP</v>
          </cell>
          <cell r="E1364">
            <v>2</v>
          </cell>
          <cell r="F1364" t="str">
            <v>ASY</v>
          </cell>
          <cell r="G1364">
            <v>0</v>
          </cell>
        </row>
        <row r="1365">
          <cell r="B1365">
            <v>4652</v>
          </cell>
          <cell r="C1365">
            <v>56487.96</v>
          </cell>
          <cell r="D1365" t="str">
            <v>PHP</v>
          </cell>
          <cell r="E1365">
            <v>4</v>
          </cell>
          <cell r="F1365" t="str">
            <v>PC</v>
          </cell>
          <cell r="G1365">
            <v>0</v>
          </cell>
        </row>
        <row r="1366">
          <cell r="B1366">
            <v>4654</v>
          </cell>
          <cell r="C1366">
            <v>0</v>
          </cell>
          <cell r="D1366" t="str">
            <v>PHP</v>
          </cell>
          <cell r="E1366">
            <v>0</v>
          </cell>
          <cell r="F1366" t="str">
            <v>PC</v>
          </cell>
          <cell r="G1366">
            <v>0</v>
          </cell>
        </row>
        <row r="1367">
          <cell r="B1367">
            <v>4655</v>
          </cell>
          <cell r="C1367">
            <v>0</v>
          </cell>
          <cell r="D1367" t="str">
            <v>PHP</v>
          </cell>
          <cell r="E1367">
            <v>0</v>
          </cell>
          <cell r="F1367" t="str">
            <v>PC</v>
          </cell>
          <cell r="G1367">
            <v>0</v>
          </cell>
        </row>
        <row r="1368">
          <cell r="B1368">
            <v>4657</v>
          </cell>
          <cell r="C1368">
            <v>6195.13</v>
          </cell>
          <cell r="D1368" t="str">
            <v>PHP</v>
          </cell>
          <cell r="E1368">
            <v>4</v>
          </cell>
          <cell r="F1368" t="str">
            <v>PC</v>
          </cell>
          <cell r="G1368">
            <v>0</v>
          </cell>
        </row>
        <row r="1369">
          <cell r="B1369">
            <v>4658</v>
          </cell>
          <cell r="C1369">
            <v>60087.08</v>
          </cell>
          <cell r="D1369" t="str">
            <v>PHP</v>
          </cell>
          <cell r="E1369">
            <v>1</v>
          </cell>
          <cell r="F1369" t="str">
            <v>PC</v>
          </cell>
          <cell r="G1369">
            <v>0</v>
          </cell>
        </row>
        <row r="1370">
          <cell r="B1370">
            <v>4660</v>
          </cell>
          <cell r="C1370">
            <v>45819.37</v>
          </cell>
          <cell r="D1370" t="str">
            <v>PHP</v>
          </cell>
          <cell r="E1370">
            <v>1</v>
          </cell>
          <cell r="F1370" t="str">
            <v>PC</v>
          </cell>
          <cell r="G1370">
            <v>0</v>
          </cell>
        </row>
        <row r="1371">
          <cell r="B1371">
            <v>4664</v>
          </cell>
          <cell r="C1371">
            <v>40985.07</v>
          </cell>
          <cell r="D1371" t="str">
            <v>PHP</v>
          </cell>
          <cell r="E1371">
            <v>7</v>
          </cell>
          <cell r="F1371" t="str">
            <v>PC</v>
          </cell>
          <cell r="G1371">
            <v>0</v>
          </cell>
        </row>
        <row r="1372">
          <cell r="B1372">
            <v>4665</v>
          </cell>
          <cell r="C1372">
            <v>40047.870000000003</v>
          </cell>
          <cell r="D1372" t="str">
            <v>PHP</v>
          </cell>
          <cell r="E1372">
            <v>3</v>
          </cell>
          <cell r="F1372" t="str">
            <v>PC</v>
          </cell>
          <cell r="G1372">
            <v>0</v>
          </cell>
        </row>
        <row r="1373">
          <cell r="B1373">
            <v>4671</v>
          </cell>
          <cell r="C1373">
            <v>209080.02</v>
          </cell>
          <cell r="D1373" t="str">
            <v>PHP</v>
          </cell>
          <cell r="E1373">
            <v>10</v>
          </cell>
          <cell r="F1373" t="str">
            <v>PC</v>
          </cell>
          <cell r="G1373">
            <v>0</v>
          </cell>
        </row>
        <row r="1374">
          <cell r="B1374">
            <v>4677</v>
          </cell>
          <cell r="C1374">
            <v>293.08</v>
          </cell>
          <cell r="D1374" t="str">
            <v>PHP</v>
          </cell>
          <cell r="E1374">
            <v>2</v>
          </cell>
          <cell r="F1374" t="str">
            <v>PC</v>
          </cell>
          <cell r="G1374">
            <v>0</v>
          </cell>
        </row>
        <row r="1375">
          <cell r="B1375">
            <v>4678</v>
          </cell>
          <cell r="C1375">
            <v>467619.91</v>
          </cell>
          <cell r="D1375" t="str">
            <v>PHP</v>
          </cell>
          <cell r="E1375">
            <v>7</v>
          </cell>
          <cell r="F1375" t="str">
            <v>PC</v>
          </cell>
          <cell r="G1375">
            <v>0</v>
          </cell>
        </row>
        <row r="1376">
          <cell r="B1376">
            <v>4679</v>
          </cell>
          <cell r="C1376">
            <v>15314.23</v>
          </cell>
          <cell r="D1376" t="str">
            <v>PHP</v>
          </cell>
          <cell r="E1376">
            <v>1</v>
          </cell>
          <cell r="F1376" t="str">
            <v>PC</v>
          </cell>
          <cell r="G1376">
            <v>0</v>
          </cell>
        </row>
        <row r="1377">
          <cell r="B1377">
            <v>4685</v>
          </cell>
          <cell r="C1377">
            <v>0</v>
          </cell>
          <cell r="D1377" t="str">
            <v>PHP</v>
          </cell>
          <cell r="E1377">
            <v>0</v>
          </cell>
          <cell r="F1377" t="str">
            <v>PC</v>
          </cell>
          <cell r="G1377">
            <v>0</v>
          </cell>
        </row>
        <row r="1378">
          <cell r="B1378">
            <v>4687</v>
          </cell>
          <cell r="C1378">
            <v>205701.99</v>
          </cell>
          <cell r="D1378" t="str">
            <v>PHP</v>
          </cell>
          <cell r="E1378">
            <v>3</v>
          </cell>
          <cell r="F1378" t="str">
            <v>PC</v>
          </cell>
          <cell r="G1378">
            <v>0</v>
          </cell>
        </row>
        <row r="1379">
          <cell r="B1379">
            <v>4690</v>
          </cell>
          <cell r="C1379">
            <v>0</v>
          </cell>
          <cell r="D1379" t="str">
            <v>PHP</v>
          </cell>
          <cell r="E1379">
            <v>0</v>
          </cell>
          <cell r="F1379" t="str">
            <v>PC</v>
          </cell>
          <cell r="G1379">
            <v>0</v>
          </cell>
        </row>
        <row r="1380">
          <cell r="B1380">
            <v>4691</v>
          </cell>
          <cell r="C1380">
            <v>0</v>
          </cell>
          <cell r="D1380" t="str">
            <v>PHP</v>
          </cell>
          <cell r="E1380">
            <v>0</v>
          </cell>
          <cell r="F1380" t="str">
            <v>PC</v>
          </cell>
          <cell r="G1380">
            <v>0</v>
          </cell>
        </row>
        <row r="1381">
          <cell r="B1381">
            <v>4692</v>
          </cell>
          <cell r="C1381">
            <v>8243.48</v>
          </cell>
          <cell r="D1381" t="str">
            <v>PHP</v>
          </cell>
          <cell r="E1381">
            <v>1</v>
          </cell>
          <cell r="F1381" t="str">
            <v>BOX</v>
          </cell>
          <cell r="G1381">
            <v>0</v>
          </cell>
        </row>
        <row r="1382">
          <cell r="B1382">
            <v>4694</v>
          </cell>
          <cell r="C1382">
            <v>0</v>
          </cell>
          <cell r="D1382" t="str">
            <v>PHP</v>
          </cell>
          <cell r="E1382">
            <v>0</v>
          </cell>
          <cell r="F1382" t="str">
            <v>BOX</v>
          </cell>
          <cell r="G1382">
            <v>0</v>
          </cell>
        </row>
        <row r="1383">
          <cell r="B1383">
            <v>4695</v>
          </cell>
          <cell r="C1383">
            <v>0</v>
          </cell>
          <cell r="D1383" t="str">
            <v>PHP</v>
          </cell>
          <cell r="E1383">
            <v>0</v>
          </cell>
          <cell r="F1383" t="str">
            <v>BOX</v>
          </cell>
          <cell r="G1383">
            <v>0</v>
          </cell>
        </row>
        <row r="1384">
          <cell r="B1384">
            <v>4697</v>
          </cell>
          <cell r="C1384">
            <v>0</v>
          </cell>
          <cell r="D1384" t="str">
            <v>PHP</v>
          </cell>
          <cell r="E1384">
            <v>0</v>
          </cell>
          <cell r="F1384" t="str">
            <v>PC</v>
          </cell>
          <cell r="G1384">
            <v>0</v>
          </cell>
        </row>
        <row r="1385">
          <cell r="B1385">
            <v>4698</v>
          </cell>
          <cell r="C1385">
            <v>207555.51</v>
          </cell>
          <cell r="D1385" t="str">
            <v>PHP</v>
          </cell>
          <cell r="E1385">
            <v>160</v>
          </cell>
          <cell r="F1385" t="str">
            <v>PC</v>
          </cell>
          <cell r="G1385">
            <v>0</v>
          </cell>
        </row>
        <row r="1386">
          <cell r="B1386">
            <v>4699</v>
          </cell>
          <cell r="C1386">
            <v>409029.59</v>
          </cell>
          <cell r="D1386" t="str">
            <v>PHP</v>
          </cell>
          <cell r="E1386">
            <v>334</v>
          </cell>
          <cell r="F1386" t="str">
            <v>PC</v>
          </cell>
          <cell r="G1386">
            <v>0</v>
          </cell>
        </row>
        <row r="1387">
          <cell r="B1387">
            <v>4701</v>
          </cell>
          <cell r="C1387">
            <v>126691.95</v>
          </cell>
          <cell r="D1387" t="str">
            <v>PHP</v>
          </cell>
          <cell r="E1387">
            <v>46</v>
          </cell>
          <cell r="F1387" t="str">
            <v>PC</v>
          </cell>
          <cell r="G1387">
            <v>0</v>
          </cell>
        </row>
        <row r="1388">
          <cell r="B1388">
            <v>4709</v>
          </cell>
          <cell r="C1388">
            <v>262768.5</v>
          </cell>
          <cell r="D1388" t="str">
            <v>PHP</v>
          </cell>
          <cell r="E1388">
            <v>150</v>
          </cell>
          <cell r="F1388" t="str">
            <v>PC</v>
          </cell>
          <cell r="G1388">
            <v>0</v>
          </cell>
        </row>
        <row r="1389">
          <cell r="B1389">
            <v>4710</v>
          </cell>
          <cell r="C1389">
            <v>6935.76</v>
          </cell>
          <cell r="D1389" t="str">
            <v>PHP</v>
          </cell>
          <cell r="E1389">
            <v>6</v>
          </cell>
          <cell r="F1389" t="str">
            <v>PC</v>
          </cell>
          <cell r="G1389">
            <v>0</v>
          </cell>
        </row>
        <row r="1390">
          <cell r="B1390">
            <v>4718</v>
          </cell>
          <cell r="C1390">
            <v>0</v>
          </cell>
          <cell r="D1390" t="str">
            <v>PHP</v>
          </cell>
          <cell r="E1390">
            <v>0</v>
          </cell>
          <cell r="F1390" t="str">
            <v>PC</v>
          </cell>
          <cell r="G1390">
            <v>0</v>
          </cell>
        </row>
        <row r="1391">
          <cell r="B1391">
            <v>4732</v>
          </cell>
          <cell r="C1391">
            <v>210959.55</v>
          </cell>
          <cell r="D1391" t="str">
            <v>PHP</v>
          </cell>
          <cell r="E1391">
            <v>3</v>
          </cell>
          <cell r="F1391" t="str">
            <v>ASY</v>
          </cell>
          <cell r="G1391">
            <v>0</v>
          </cell>
        </row>
        <row r="1392">
          <cell r="B1392">
            <v>4733</v>
          </cell>
          <cell r="C1392">
            <v>0</v>
          </cell>
          <cell r="D1392" t="str">
            <v>PHP</v>
          </cell>
          <cell r="E1392">
            <v>0</v>
          </cell>
          <cell r="F1392" t="str">
            <v>ASY</v>
          </cell>
          <cell r="G1392">
            <v>0</v>
          </cell>
        </row>
        <row r="1393">
          <cell r="B1393">
            <v>4734</v>
          </cell>
          <cell r="C1393">
            <v>820671.86</v>
          </cell>
          <cell r="D1393" t="str">
            <v>PHP</v>
          </cell>
          <cell r="E1393">
            <v>6</v>
          </cell>
          <cell r="F1393" t="str">
            <v>PC</v>
          </cell>
          <cell r="G1393">
            <v>0</v>
          </cell>
        </row>
        <row r="1394">
          <cell r="B1394">
            <v>4735</v>
          </cell>
          <cell r="C1394">
            <v>0</v>
          </cell>
          <cell r="D1394" t="str">
            <v>PHP</v>
          </cell>
          <cell r="E1394">
            <v>0</v>
          </cell>
          <cell r="F1394" t="str">
            <v>ASY</v>
          </cell>
          <cell r="G1394">
            <v>0</v>
          </cell>
        </row>
        <row r="1395">
          <cell r="B1395">
            <v>4736</v>
          </cell>
          <cell r="C1395">
            <v>242071.62</v>
          </cell>
          <cell r="D1395" t="str">
            <v>PHP</v>
          </cell>
          <cell r="E1395">
            <v>3</v>
          </cell>
          <cell r="F1395" t="str">
            <v>ASY</v>
          </cell>
          <cell r="G1395">
            <v>0</v>
          </cell>
        </row>
        <row r="1396">
          <cell r="B1396">
            <v>4737</v>
          </cell>
          <cell r="C1396">
            <v>145232.76</v>
          </cell>
          <cell r="D1396" t="str">
            <v>PHP</v>
          </cell>
          <cell r="E1396">
            <v>2</v>
          </cell>
          <cell r="F1396" t="str">
            <v>M</v>
          </cell>
          <cell r="G1396">
            <v>0</v>
          </cell>
        </row>
        <row r="1397">
          <cell r="B1397">
            <v>4738</v>
          </cell>
          <cell r="C1397">
            <v>241463.66</v>
          </cell>
          <cell r="D1397" t="str">
            <v>PHP</v>
          </cell>
          <cell r="E1397">
            <v>2</v>
          </cell>
          <cell r="F1397" t="str">
            <v>ASY</v>
          </cell>
          <cell r="G1397">
            <v>0</v>
          </cell>
        </row>
        <row r="1398">
          <cell r="B1398">
            <v>4739</v>
          </cell>
          <cell r="C1398">
            <v>526042.86</v>
          </cell>
          <cell r="D1398" t="str">
            <v>PHP</v>
          </cell>
          <cell r="E1398">
            <v>7</v>
          </cell>
          <cell r="F1398" t="str">
            <v>ASY</v>
          </cell>
          <cell r="G1398">
            <v>0</v>
          </cell>
        </row>
        <row r="1399">
          <cell r="B1399">
            <v>4740</v>
          </cell>
          <cell r="C1399">
            <v>487289.74</v>
          </cell>
          <cell r="D1399" t="str">
            <v>PHP</v>
          </cell>
          <cell r="E1399">
            <v>4</v>
          </cell>
          <cell r="F1399" t="str">
            <v>PC</v>
          </cell>
          <cell r="G1399">
            <v>0</v>
          </cell>
        </row>
        <row r="1400">
          <cell r="B1400">
            <v>4741</v>
          </cell>
          <cell r="C1400">
            <v>0</v>
          </cell>
          <cell r="D1400" t="str">
            <v>PHP</v>
          </cell>
          <cell r="E1400">
            <v>0</v>
          </cell>
          <cell r="F1400" t="str">
            <v>ASY</v>
          </cell>
          <cell r="G1400">
            <v>0</v>
          </cell>
        </row>
        <row r="1401">
          <cell r="B1401">
            <v>4742</v>
          </cell>
          <cell r="C1401">
            <v>457483.56</v>
          </cell>
          <cell r="D1401" t="str">
            <v>PHP</v>
          </cell>
          <cell r="E1401">
            <v>5</v>
          </cell>
          <cell r="F1401" t="str">
            <v>ASY</v>
          </cell>
          <cell r="G1401">
            <v>0</v>
          </cell>
        </row>
        <row r="1402">
          <cell r="B1402">
            <v>4743</v>
          </cell>
          <cell r="C1402">
            <v>562841.59</v>
          </cell>
          <cell r="D1402" t="str">
            <v>PHP</v>
          </cell>
          <cell r="E1402">
            <v>4</v>
          </cell>
          <cell r="F1402" t="str">
            <v>PC</v>
          </cell>
          <cell r="G1402">
            <v>0</v>
          </cell>
        </row>
        <row r="1403">
          <cell r="B1403">
            <v>4744</v>
          </cell>
          <cell r="C1403">
            <v>210664.02</v>
          </cell>
          <cell r="D1403" t="str">
            <v>PHP</v>
          </cell>
          <cell r="E1403">
            <v>4</v>
          </cell>
          <cell r="F1403" t="str">
            <v>PC</v>
          </cell>
          <cell r="G1403">
            <v>0</v>
          </cell>
        </row>
        <row r="1404">
          <cell r="B1404">
            <v>4745</v>
          </cell>
          <cell r="C1404">
            <v>0</v>
          </cell>
          <cell r="D1404" t="str">
            <v>PHP</v>
          </cell>
          <cell r="E1404">
            <v>0</v>
          </cell>
          <cell r="F1404" t="str">
            <v>PC</v>
          </cell>
          <cell r="G1404">
            <v>0</v>
          </cell>
        </row>
        <row r="1405">
          <cell r="B1405">
            <v>4747</v>
          </cell>
          <cell r="C1405">
            <v>237257.28</v>
          </cell>
          <cell r="D1405" t="str">
            <v>PHP</v>
          </cell>
          <cell r="E1405">
            <v>3</v>
          </cell>
          <cell r="F1405" t="str">
            <v>PC</v>
          </cell>
          <cell r="G1405">
            <v>0</v>
          </cell>
        </row>
        <row r="1406">
          <cell r="B1406">
            <v>4748</v>
          </cell>
          <cell r="C1406">
            <v>254695.59</v>
          </cell>
          <cell r="D1406" t="str">
            <v>PHP</v>
          </cell>
          <cell r="E1406">
            <v>2</v>
          </cell>
          <cell r="F1406" t="str">
            <v>PC</v>
          </cell>
          <cell r="G1406">
            <v>0</v>
          </cell>
        </row>
        <row r="1407">
          <cell r="B1407">
            <v>4749</v>
          </cell>
          <cell r="C1407">
            <v>221325.63</v>
          </cell>
          <cell r="D1407" t="str">
            <v>PHP</v>
          </cell>
          <cell r="E1407">
            <v>2</v>
          </cell>
          <cell r="F1407" t="str">
            <v>PC</v>
          </cell>
          <cell r="G1407">
            <v>0</v>
          </cell>
        </row>
        <row r="1408">
          <cell r="B1408">
            <v>4750</v>
          </cell>
          <cell r="C1408">
            <v>709488.99</v>
          </cell>
          <cell r="D1408" t="str">
            <v>PHP</v>
          </cell>
          <cell r="E1408">
            <v>5</v>
          </cell>
          <cell r="F1408" t="str">
            <v>PC</v>
          </cell>
          <cell r="G1408">
            <v>0</v>
          </cell>
        </row>
        <row r="1409">
          <cell r="B1409">
            <v>4751</v>
          </cell>
          <cell r="C1409">
            <v>252198.07</v>
          </cell>
          <cell r="D1409" t="str">
            <v>PHP</v>
          </cell>
          <cell r="E1409">
            <v>2</v>
          </cell>
          <cell r="F1409" t="str">
            <v>ASY</v>
          </cell>
          <cell r="G1409">
            <v>0</v>
          </cell>
        </row>
        <row r="1410">
          <cell r="B1410">
            <v>4752</v>
          </cell>
          <cell r="C1410">
            <v>788270.4</v>
          </cell>
          <cell r="D1410" t="str">
            <v>PHP</v>
          </cell>
          <cell r="E1410">
            <v>2</v>
          </cell>
          <cell r="F1410" t="str">
            <v>PC</v>
          </cell>
          <cell r="G1410">
            <v>0</v>
          </cell>
        </row>
        <row r="1411">
          <cell r="B1411">
            <v>4753</v>
          </cell>
          <cell r="C1411">
            <v>717976.48</v>
          </cell>
          <cell r="D1411" t="str">
            <v>PHP</v>
          </cell>
          <cell r="E1411">
            <v>2</v>
          </cell>
          <cell r="F1411" t="str">
            <v>PC</v>
          </cell>
          <cell r="G1411">
            <v>0</v>
          </cell>
        </row>
        <row r="1412">
          <cell r="B1412">
            <v>4754</v>
          </cell>
          <cell r="C1412">
            <v>15179.32</v>
          </cell>
          <cell r="D1412" t="str">
            <v>PHP</v>
          </cell>
          <cell r="E1412">
            <v>8</v>
          </cell>
          <cell r="F1412" t="str">
            <v>PC</v>
          </cell>
          <cell r="G1412">
            <v>0</v>
          </cell>
        </row>
        <row r="1413">
          <cell r="B1413">
            <v>4755</v>
          </cell>
          <cell r="C1413">
            <v>11015.83</v>
          </cell>
          <cell r="D1413" t="str">
            <v>PHP</v>
          </cell>
          <cell r="E1413">
            <v>5</v>
          </cell>
          <cell r="F1413" t="str">
            <v>PC</v>
          </cell>
          <cell r="G1413">
            <v>0</v>
          </cell>
        </row>
        <row r="1414">
          <cell r="B1414">
            <v>4756</v>
          </cell>
          <cell r="C1414">
            <v>924.82</v>
          </cell>
          <cell r="D1414" t="str">
            <v>PHP</v>
          </cell>
          <cell r="E1414">
            <v>2</v>
          </cell>
          <cell r="F1414" t="str">
            <v>ASY</v>
          </cell>
          <cell r="G1414">
            <v>0</v>
          </cell>
        </row>
        <row r="1415">
          <cell r="B1415">
            <v>4758</v>
          </cell>
          <cell r="C1415">
            <v>10371.92</v>
          </cell>
          <cell r="D1415" t="str">
            <v>PHP</v>
          </cell>
          <cell r="E1415">
            <v>4</v>
          </cell>
          <cell r="F1415" t="str">
            <v>PC</v>
          </cell>
          <cell r="G1415">
            <v>0</v>
          </cell>
        </row>
        <row r="1416">
          <cell r="B1416">
            <v>4759</v>
          </cell>
          <cell r="C1416">
            <v>5086.0200000000004</v>
          </cell>
          <cell r="D1416" t="str">
            <v>PHP</v>
          </cell>
          <cell r="E1416">
            <v>6</v>
          </cell>
          <cell r="F1416" t="str">
            <v>PC</v>
          </cell>
          <cell r="G1416">
            <v>0</v>
          </cell>
        </row>
        <row r="1417">
          <cell r="B1417">
            <v>4760</v>
          </cell>
          <cell r="C1417">
            <v>6108.16</v>
          </cell>
          <cell r="D1417" t="str">
            <v>PHP</v>
          </cell>
          <cell r="E1417">
            <v>4</v>
          </cell>
          <cell r="F1417" t="str">
            <v>PC</v>
          </cell>
          <cell r="G1417">
            <v>0</v>
          </cell>
        </row>
        <row r="1418">
          <cell r="B1418">
            <v>4763</v>
          </cell>
          <cell r="C1418">
            <v>17290.080000000002</v>
          </cell>
          <cell r="D1418" t="str">
            <v>PHP</v>
          </cell>
          <cell r="E1418">
            <v>8</v>
          </cell>
          <cell r="F1418" t="str">
            <v>PC</v>
          </cell>
          <cell r="G1418">
            <v>0</v>
          </cell>
        </row>
        <row r="1419">
          <cell r="B1419">
            <v>4765</v>
          </cell>
          <cell r="C1419">
            <v>294708.93</v>
          </cell>
          <cell r="D1419" t="str">
            <v>PHP</v>
          </cell>
          <cell r="E1419">
            <v>3</v>
          </cell>
          <cell r="F1419" t="str">
            <v>ASY</v>
          </cell>
          <cell r="G1419">
            <v>0</v>
          </cell>
        </row>
        <row r="1420">
          <cell r="B1420">
            <v>4782</v>
          </cell>
          <cell r="C1420">
            <v>65127.78</v>
          </cell>
          <cell r="D1420" t="str">
            <v>PHP</v>
          </cell>
          <cell r="E1420">
            <v>4</v>
          </cell>
          <cell r="F1420" t="str">
            <v>PC</v>
          </cell>
          <cell r="G1420">
            <v>0</v>
          </cell>
        </row>
        <row r="1421">
          <cell r="B1421">
            <v>4784</v>
          </cell>
          <cell r="C1421">
            <v>445343.24</v>
          </cell>
          <cell r="D1421" t="str">
            <v>PHP</v>
          </cell>
          <cell r="E1421">
            <v>19</v>
          </cell>
          <cell r="F1421" t="str">
            <v>PC</v>
          </cell>
          <cell r="G1421">
            <v>0</v>
          </cell>
        </row>
        <row r="1422">
          <cell r="B1422">
            <v>4786</v>
          </cell>
          <cell r="C1422">
            <v>362587.5</v>
          </cell>
          <cell r="D1422" t="str">
            <v>PHP</v>
          </cell>
          <cell r="E1422">
            <v>3</v>
          </cell>
          <cell r="F1422" t="str">
            <v>PC</v>
          </cell>
          <cell r="G1422">
            <v>0</v>
          </cell>
        </row>
        <row r="1423">
          <cell r="B1423">
            <v>4787</v>
          </cell>
          <cell r="C1423">
            <v>19692</v>
          </cell>
          <cell r="D1423" t="str">
            <v>PHP</v>
          </cell>
          <cell r="E1423">
            <v>9</v>
          </cell>
          <cell r="F1423" t="str">
            <v>PC</v>
          </cell>
          <cell r="G1423">
            <v>0</v>
          </cell>
        </row>
        <row r="1424">
          <cell r="B1424">
            <v>4789</v>
          </cell>
          <cell r="C1424">
            <v>19085.47</v>
          </cell>
          <cell r="D1424" t="str">
            <v>PHP</v>
          </cell>
          <cell r="E1424">
            <v>3</v>
          </cell>
          <cell r="F1424" t="str">
            <v>PC</v>
          </cell>
          <cell r="G1424">
            <v>0</v>
          </cell>
        </row>
        <row r="1425">
          <cell r="B1425">
            <v>4799</v>
          </cell>
          <cell r="C1425">
            <v>4881.72</v>
          </cell>
          <cell r="D1425" t="str">
            <v>PHP</v>
          </cell>
          <cell r="E1425">
            <v>2</v>
          </cell>
          <cell r="F1425" t="str">
            <v>PC</v>
          </cell>
          <cell r="G1425">
            <v>0</v>
          </cell>
        </row>
        <row r="1426">
          <cell r="B1426">
            <v>4800</v>
          </cell>
          <cell r="C1426">
            <v>3824</v>
          </cell>
          <cell r="D1426" t="str">
            <v>PHP</v>
          </cell>
          <cell r="E1426">
            <v>4</v>
          </cell>
          <cell r="F1426" t="str">
            <v>PC</v>
          </cell>
          <cell r="G1426">
            <v>0</v>
          </cell>
        </row>
        <row r="1427">
          <cell r="B1427">
            <v>4805</v>
          </cell>
          <cell r="C1427">
            <v>313.95999999999998</v>
          </cell>
          <cell r="D1427" t="str">
            <v>PHP</v>
          </cell>
          <cell r="E1427">
            <v>1</v>
          </cell>
          <cell r="F1427" t="str">
            <v>PC</v>
          </cell>
          <cell r="G1427">
            <v>0</v>
          </cell>
        </row>
        <row r="1428">
          <cell r="B1428">
            <v>4818</v>
          </cell>
          <cell r="C1428">
            <v>67819.56</v>
          </cell>
          <cell r="D1428" t="str">
            <v>PHP</v>
          </cell>
          <cell r="E1428">
            <v>8</v>
          </cell>
          <cell r="F1428" t="str">
            <v>KIT</v>
          </cell>
          <cell r="G1428">
            <v>0</v>
          </cell>
        </row>
        <row r="1429">
          <cell r="B1429">
            <v>4819</v>
          </cell>
          <cell r="C1429">
            <v>136408.51</v>
          </cell>
          <cell r="D1429" t="str">
            <v>PHP</v>
          </cell>
          <cell r="E1429">
            <v>8</v>
          </cell>
          <cell r="F1429" t="str">
            <v>KIT</v>
          </cell>
          <cell r="G1429">
            <v>0</v>
          </cell>
        </row>
        <row r="1430">
          <cell r="B1430">
            <v>4820</v>
          </cell>
          <cell r="C1430">
            <v>68024.320000000007</v>
          </cell>
          <cell r="D1430" t="str">
            <v>PHP</v>
          </cell>
          <cell r="E1430">
            <v>16</v>
          </cell>
          <cell r="F1430" t="str">
            <v>PC</v>
          </cell>
          <cell r="G1430">
            <v>0</v>
          </cell>
        </row>
        <row r="1431">
          <cell r="B1431">
            <v>4863</v>
          </cell>
          <cell r="C1431">
            <v>41824.1</v>
          </cell>
          <cell r="D1431" t="str">
            <v>PHP</v>
          </cell>
          <cell r="E1431">
            <v>7</v>
          </cell>
          <cell r="F1431" t="str">
            <v>SET</v>
          </cell>
          <cell r="G1431">
            <v>0</v>
          </cell>
        </row>
        <row r="1432">
          <cell r="B1432">
            <v>4868</v>
          </cell>
          <cell r="C1432">
            <v>0</v>
          </cell>
          <cell r="D1432" t="str">
            <v>PHP</v>
          </cell>
          <cell r="E1432">
            <v>0</v>
          </cell>
          <cell r="F1432" t="str">
            <v>SET</v>
          </cell>
          <cell r="G1432">
            <v>0</v>
          </cell>
        </row>
        <row r="1433">
          <cell r="B1433">
            <v>4869</v>
          </cell>
          <cell r="C1433">
            <v>7157.57</v>
          </cell>
          <cell r="D1433" t="str">
            <v>PHP</v>
          </cell>
          <cell r="E1433">
            <v>2</v>
          </cell>
          <cell r="F1433" t="str">
            <v>PC</v>
          </cell>
          <cell r="G1433">
            <v>0</v>
          </cell>
        </row>
        <row r="1434">
          <cell r="B1434">
            <v>4870</v>
          </cell>
          <cell r="C1434">
            <v>34398.300000000003</v>
          </cell>
          <cell r="D1434" t="str">
            <v>PHP</v>
          </cell>
          <cell r="E1434">
            <v>1</v>
          </cell>
          <cell r="F1434" t="str">
            <v>PC</v>
          </cell>
          <cell r="G1434">
            <v>0</v>
          </cell>
        </row>
        <row r="1435">
          <cell r="B1435">
            <v>4871</v>
          </cell>
          <cell r="C1435">
            <v>133456.51</v>
          </cell>
          <cell r="D1435" t="str">
            <v>PHP</v>
          </cell>
          <cell r="E1435">
            <v>3</v>
          </cell>
          <cell r="F1435" t="str">
            <v>PC</v>
          </cell>
          <cell r="G1435">
            <v>0</v>
          </cell>
        </row>
        <row r="1436">
          <cell r="B1436">
            <v>4872</v>
          </cell>
          <cell r="C1436">
            <v>58819.38</v>
          </cell>
          <cell r="D1436" t="str">
            <v>PHP</v>
          </cell>
          <cell r="E1436">
            <v>3</v>
          </cell>
          <cell r="F1436" t="str">
            <v>KIT</v>
          </cell>
          <cell r="G1436">
            <v>0</v>
          </cell>
        </row>
        <row r="1437">
          <cell r="B1437">
            <v>4873</v>
          </cell>
          <cell r="C1437">
            <v>54722.03</v>
          </cell>
          <cell r="D1437" t="str">
            <v>PHP</v>
          </cell>
          <cell r="E1437">
            <v>2</v>
          </cell>
          <cell r="F1437" t="str">
            <v>KIT</v>
          </cell>
          <cell r="G1437">
            <v>0</v>
          </cell>
        </row>
        <row r="1438">
          <cell r="B1438">
            <v>4874</v>
          </cell>
          <cell r="C1438">
            <v>33928.559999999998</v>
          </cell>
          <cell r="D1438" t="str">
            <v>PHP</v>
          </cell>
          <cell r="E1438">
            <v>4</v>
          </cell>
          <cell r="F1438" t="str">
            <v>SET</v>
          </cell>
          <cell r="G1438">
            <v>0</v>
          </cell>
        </row>
        <row r="1439">
          <cell r="B1439">
            <v>4875</v>
          </cell>
          <cell r="C1439">
            <v>345136.45</v>
          </cell>
          <cell r="D1439" t="str">
            <v>PHP</v>
          </cell>
          <cell r="E1439">
            <v>3</v>
          </cell>
          <cell r="F1439" t="str">
            <v>KIT</v>
          </cell>
          <cell r="G1439">
            <v>0</v>
          </cell>
        </row>
        <row r="1440">
          <cell r="B1440">
            <v>4876</v>
          </cell>
          <cell r="C1440">
            <v>0</v>
          </cell>
          <cell r="D1440" t="str">
            <v>PHP</v>
          </cell>
          <cell r="E1440">
            <v>0</v>
          </cell>
          <cell r="F1440" t="str">
            <v>KIT</v>
          </cell>
          <cell r="G1440">
            <v>0</v>
          </cell>
        </row>
        <row r="1441">
          <cell r="B1441">
            <v>4877</v>
          </cell>
          <cell r="C1441">
            <v>166614.31</v>
          </cell>
          <cell r="D1441" t="str">
            <v>PHP</v>
          </cell>
          <cell r="E1441">
            <v>17</v>
          </cell>
          <cell r="F1441" t="str">
            <v>KIT</v>
          </cell>
          <cell r="G1441">
            <v>0</v>
          </cell>
        </row>
        <row r="1442">
          <cell r="B1442">
            <v>4879</v>
          </cell>
          <cell r="C1442">
            <v>0</v>
          </cell>
          <cell r="D1442" t="str">
            <v>PHP</v>
          </cell>
          <cell r="E1442">
            <v>0</v>
          </cell>
          <cell r="F1442" t="str">
            <v>KIT</v>
          </cell>
          <cell r="G1442">
            <v>0</v>
          </cell>
        </row>
        <row r="1443">
          <cell r="B1443">
            <v>4880</v>
          </cell>
          <cell r="C1443">
            <v>718434.14</v>
          </cell>
          <cell r="D1443" t="str">
            <v>PHP</v>
          </cell>
          <cell r="E1443">
            <v>3</v>
          </cell>
          <cell r="F1443" t="str">
            <v>KIT</v>
          </cell>
          <cell r="G1443">
            <v>0</v>
          </cell>
        </row>
        <row r="1444">
          <cell r="B1444">
            <v>4881</v>
          </cell>
          <cell r="C1444">
            <v>12536.01</v>
          </cell>
          <cell r="D1444" t="str">
            <v>PHP</v>
          </cell>
          <cell r="E1444">
            <v>3</v>
          </cell>
          <cell r="F1444" t="str">
            <v>KIT</v>
          </cell>
          <cell r="G1444">
            <v>0</v>
          </cell>
        </row>
        <row r="1445">
          <cell r="B1445">
            <v>4882</v>
          </cell>
          <cell r="C1445">
            <v>376015.08</v>
          </cell>
          <cell r="D1445" t="str">
            <v>PHP</v>
          </cell>
          <cell r="E1445">
            <v>12</v>
          </cell>
          <cell r="F1445" t="str">
            <v>KIT</v>
          </cell>
          <cell r="G1445">
            <v>0</v>
          </cell>
        </row>
        <row r="1446">
          <cell r="B1446">
            <v>4883</v>
          </cell>
          <cell r="C1446">
            <v>1164888.3</v>
          </cell>
          <cell r="D1446" t="str">
            <v>PHP</v>
          </cell>
          <cell r="E1446">
            <v>3</v>
          </cell>
          <cell r="F1446" t="str">
            <v>KIT</v>
          </cell>
          <cell r="G1446">
            <v>0</v>
          </cell>
        </row>
        <row r="1447">
          <cell r="B1447">
            <v>4884</v>
          </cell>
          <cell r="C1447">
            <v>79897.960000000006</v>
          </cell>
          <cell r="D1447" t="str">
            <v>PHP</v>
          </cell>
          <cell r="E1447">
            <v>4</v>
          </cell>
          <cell r="F1447" t="str">
            <v>KIT</v>
          </cell>
          <cell r="G1447">
            <v>0</v>
          </cell>
        </row>
        <row r="1448">
          <cell r="B1448">
            <v>4885</v>
          </cell>
          <cell r="C1448">
            <v>663929.57999999996</v>
          </cell>
          <cell r="D1448" t="str">
            <v>PHP</v>
          </cell>
          <cell r="E1448">
            <v>4</v>
          </cell>
          <cell r="F1448" t="str">
            <v>KIT</v>
          </cell>
          <cell r="G1448">
            <v>0</v>
          </cell>
        </row>
        <row r="1449">
          <cell r="B1449">
            <v>4887</v>
          </cell>
          <cell r="C1449">
            <v>14051.51</v>
          </cell>
          <cell r="D1449" t="str">
            <v>PHP</v>
          </cell>
          <cell r="E1449">
            <v>1</v>
          </cell>
          <cell r="F1449" t="str">
            <v>KIT</v>
          </cell>
          <cell r="G1449">
            <v>0</v>
          </cell>
        </row>
        <row r="1450">
          <cell r="B1450">
            <v>4888</v>
          </cell>
          <cell r="C1450">
            <v>0</v>
          </cell>
          <cell r="D1450" t="str">
            <v>PHP</v>
          </cell>
          <cell r="E1450">
            <v>0</v>
          </cell>
          <cell r="F1450" t="str">
            <v>KIT</v>
          </cell>
          <cell r="G1450">
            <v>0</v>
          </cell>
        </row>
        <row r="1451">
          <cell r="B1451">
            <v>4889</v>
          </cell>
          <cell r="C1451">
            <v>0</v>
          </cell>
          <cell r="D1451" t="str">
            <v>PHP</v>
          </cell>
          <cell r="E1451">
            <v>0</v>
          </cell>
          <cell r="F1451" t="str">
            <v>KIT</v>
          </cell>
          <cell r="G1451">
            <v>0</v>
          </cell>
        </row>
        <row r="1452">
          <cell r="B1452">
            <v>4890</v>
          </cell>
          <cell r="C1452">
            <v>18456.919999999998</v>
          </cell>
          <cell r="D1452" t="str">
            <v>PHP</v>
          </cell>
          <cell r="E1452">
            <v>2</v>
          </cell>
          <cell r="F1452" t="str">
            <v>KIT</v>
          </cell>
          <cell r="G1452">
            <v>0</v>
          </cell>
        </row>
        <row r="1453">
          <cell r="B1453">
            <v>4892</v>
          </cell>
          <cell r="C1453">
            <v>315575</v>
          </cell>
          <cell r="D1453" t="str">
            <v>PHP</v>
          </cell>
          <cell r="E1453">
            <v>1</v>
          </cell>
          <cell r="F1453" t="str">
            <v>KIT</v>
          </cell>
          <cell r="G1453">
            <v>0</v>
          </cell>
        </row>
        <row r="1454">
          <cell r="B1454">
            <v>4893</v>
          </cell>
          <cell r="C1454">
            <v>4084.83</v>
          </cell>
          <cell r="D1454" t="str">
            <v>PHP</v>
          </cell>
          <cell r="E1454">
            <v>3</v>
          </cell>
          <cell r="F1454" t="str">
            <v>KIT</v>
          </cell>
          <cell r="G1454">
            <v>0</v>
          </cell>
        </row>
        <row r="1455">
          <cell r="B1455">
            <v>4895</v>
          </cell>
          <cell r="C1455">
            <v>37872.86</v>
          </cell>
          <cell r="D1455" t="str">
            <v>PHP</v>
          </cell>
          <cell r="E1455">
            <v>6</v>
          </cell>
          <cell r="F1455" t="str">
            <v>SET</v>
          </cell>
          <cell r="G1455">
            <v>0</v>
          </cell>
        </row>
        <row r="1456">
          <cell r="B1456">
            <v>4896</v>
          </cell>
          <cell r="C1456">
            <v>13593.82</v>
          </cell>
          <cell r="D1456" t="str">
            <v>PHP</v>
          </cell>
          <cell r="E1456">
            <v>4</v>
          </cell>
          <cell r="F1456" t="str">
            <v>SET</v>
          </cell>
          <cell r="G1456">
            <v>0</v>
          </cell>
        </row>
        <row r="1457">
          <cell r="B1457">
            <v>4897</v>
          </cell>
          <cell r="C1457">
            <v>84184.47</v>
          </cell>
          <cell r="D1457" t="str">
            <v>PHP</v>
          </cell>
          <cell r="E1457">
            <v>6</v>
          </cell>
          <cell r="F1457" t="str">
            <v>SET</v>
          </cell>
          <cell r="G1457">
            <v>0</v>
          </cell>
        </row>
        <row r="1458">
          <cell r="B1458">
            <v>4898</v>
          </cell>
          <cell r="C1458">
            <v>4680.1499999999996</v>
          </cell>
          <cell r="D1458" t="str">
            <v>PHP</v>
          </cell>
          <cell r="E1458">
            <v>3</v>
          </cell>
          <cell r="F1458" t="str">
            <v>SET</v>
          </cell>
          <cell r="G1458">
            <v>0</v>
          </cell>
        </row>
        <row r="1459">
          <cell r="B1459">
            <v>4899</v>
          </cell>
          <cell r="C1459">
            <v>61941.05</v>
          </cell>
          <cell r="D1459" t="str">
            <v>PHP</v>
          </cell>
          <cell r="E1459">
            <v>11</v>
          </cell>
          <cell r="F1459" t="str">
            <v>SET</v>
          </cell>
          <cell r="G1459">
            <v>0</v>
          </cell>
        </row>
        <row r="1460">
          <cell r="B1460">
            <v>4900</v>
          </cell>
          <cell r="C1460">
            <v>156060.72</v>
          </cell>
          <cell r="D1460" t="str">
            <v>PHP</v>
          </cell>
          <cell r="E1460">
            <v>13</v>
          </cell>
          <cell r="F1460" t="str">
            <v>PC</v>
          </cell>
          <cell r="G1460">
            <v>0</v>
          </cell>
        </row>
        <row r="1461">
          <cell r="B1461">
            <v>4902</v>
          </cell>
          <cell r="C1461">
            <v>4425</v>
          </cell>
          <cell r="D1461" t="str">
            <v>PHP</v>
          </cell>
          <cell r="E1461">
            <v>3</v>
          </cell>
          <cell r="F1461" t="str">
            <v>KIT</v>
          </cell>
          <cell r="G1461">
            <v>0</v>
          </cell>
        </row>
        <row r="1462">
          <cell r="B1462">
            <v>4904</v>
          </cell>
          <cell r="C1462">
            <v>228873.83</v>
          </cell>
          <cell r="D1462" t="str">
            <v>PHP</v>
          </cell>
          <cell r="E1462">
            <v>8</v>
          </cell>
          <cell r="F1462" t="str">
            <v>KIT</v>
          </cell>
          <cell r="G1462">
            <v>0</v>
          </cell>
        </row>
        <row r="1463">
          <cell r="B1463">
            <v>4905</v>
          </cell>
          <cell r="C1463">
            <v>68887.399999999994</v>
          </cell>
          <cell r="D1463" t="str">
            <v>PHP</v>
          </cell>
          <cell r="E1463">
            <v>2</v>
          </cell>
          <cell r="F1463" t="str">
            <v>PC</v>
          </cell>
          <cell r="G1463">
            <v>0</v>
          </cell>
        </row>
        <row r="1464">
          <cell r="B1464">
            <v>4906</v>
          </cell>
          <cell r="C1464">
            <v>301938.01</v>
          </cell>
          <cell r="D1464" t="str">
            <v>PHP</v>
          </cell>
          <cell r="E1464">
            <v>2</v>
          </cell>
          <cell r="F1464" t="str">
            <v>PC</v>
          </cell>
          <cell r="G1464">
            <v>0</v>
          </cell>
        </row>
        <row r="1465">
          <cell r="B1465">
            <v>4907</v>
          </cell>
          <cell r="C1465">
            <v>565840.55000000005</v>
          </cell>
          <cell r="D1465" t="str">
            <v>PHP</v>
          </cell>
          <cell r="E1465">
            <v>3</v>
          </cell>
          <cell r="F1465" t="str">
            <v>SET</v>
          </cell>
          <cell r="G1465">
            <v>0</v>
          </cell>
        </row>
        <row r="1466">
          <cell r="B1466">
            <v>4908</v>
          </cell>
          <cell r="C1466">
            <v>766422.68</v>
          </cell>
          <cell r="D1466" t="str">
            <v>PHP</v>
          </cell>
          <cell r="E1466">
            <v>2</v>
          </cell>
          <cell r="F1466" t="str">
            <v>KIT</v>
          </cell>
          <cell r="G1466">
            <v>0</v>
          </cell>
        </row>
        <row r="1467">
          <cell r="B1467">
            <v>4911</v>
          </cell>
          <cell r="C1467">
            <v>23664.25</v>
          </cell>
          <cell r="D1467" t="str">
            <v>PHP</v>
          </cell>
          <cell r="E1467">
            <v>10</v>
          </cell>
          <cell r="F1467" t="str">
            <v>KIT</v>
          </cell>
          <cell r="G1467">
            <v>0</v>
          </cell>
        </row>
        <row r="1468">
          <cell r="B1468">
            <v>4912</v>
          </cell>
          <cell r="C1468">
            <v>0</v>
          </cell>
          <cell r="D1468" t="str">
            <v>PHP</v>
          </cell>
          <cell r="E1468">
            <v>0</v>
          </cell>
          <cell r="F1468" t="str">
            <v>SET</v>
          </cell>
          <cell r="G1468">
            <v>0</v>
          </cell>
        </row>
        <row r="1469">
          <cell r="B1469">
            <v>4914</v>
          </cell>
          <cell r="C1469">
            <v>7732.79</v>
          </cell>
          <cell r="D1469" t="str">
            <v>PHP</v>
          </cell>
          <cell r="E1469">
            <v>5</v>
          </cell>
          <cell r="F1469" t="str">
            <v>SET</v>
          </cell>
          <cell r="G1469">
            <v>0</v>
          </cell>
        </row>
        <row r="1470">
          <cell r="B1470">
            <v>4915</v>
          </cell>
          <cell r="C1470">
            <v>12615.94</v>
          </cell>
          <cell r="D1470" t="str">
            <v>PHP</v>
          </cell>
          <cell r="E1470">
            <v>7</v>
          </cell>
          <cell r="F1470" t="str">
            <v>SET</v>
          </cell>
          <cell r="G1470">
            <v>0</v>
          </cell>
        </row>
        <row r="1471">
          <cell r="B1471">
            <v>4916</v>
          </cell>
          <cell r="C1471">
            <v>6289.16</v>
          </cell>
          <cell r="D1471" t="str">
            <v>PHP</v>
          </cell>
          <cell r="E1471">
            <v>5</v>
          </cell>
          <cell r="F1471" t="str">
            <v>SET</v>
          </cell>
          <cell r="G1471">
            <v>0</v>
          </cell>
        </row>
        <row r="1472">
          <cell r="B1472">
            <v>4917</v>
          </cell>
          <cell r="C1472">
            <v>48758.22</v>
          </cell>
          <cell r="D1472" t="str">
            <v>PHP</v>
          </cell>
          <cell r="E1472">
            <v>5</v>
          </cell>
          <cell r="F1472" t="str">
            <v>SET</v>
          </cell>
          <cell r="G1472">
            <v>0</v>
          </cell>
        </row>
        <row r="1473">
          <cell r="B1473">
            <v>4918</v>
          </cell>
          <cell r="C1473">
            <v>11369.34</v>
          </cell>
          <cell r="D1473" t="str">
            <v>PHP</v>
          </cell>
          <cell r="E1473">
            <v>6</v>
          </cell>
          <cell r="F1473" t="str">
            <v>SET</v>
          </cell>
          <cell r="G1473">
            <v>0</v>
          </cell>
        </row>
        <row r="1474">
          <cell r="B1474">
            <v>4919</v>
          </cell>
          <cell r="C1474">
            <v>19926.28</v>
          </cell>
          <cell r="D1474" t="str">
            <v>PHP</v>
          </cell>
          <cell r="E1474">
            <v>2</v>
          </cell>
          <cell r="F1474" t="str">
            <v>SET</v>
          </cell>
          <cell r="G1474">
            <v>0</v>
          </cell>
        </row>
        <row r="1475">
          <cell r="B1475">
            <v>4920</v>
          </cell>
          <cell r="C1475">
            <v>2628.07</v>
          </cell>
          <cell r="D1475" t="str">
            <v>PHP</v>
          </cell>
          <cell r="E1475">
            <v>2</v>
          </cell>
          <cell r="F1475" t="str">
            <v>SET</v>
          </cell>
          <cell r="G1475">
            <v>0</v>
          </cell>
        </row>
        <row r="1476">
          <cell r="B1476">
            <v>4921</v>
          </cell>
          <cell r="C1476">
            <v>0</v>
          </cell>
          <cell r="D1476" t="str">
            <v>PHP</v>
          </cell>
          <cell r="E1476">
            <v>0</v>
          </cell>
          <cell r="F1476" t="str">
            <v>SET</v>
          </cell>
          <cell r="G1476">
            <v>0</v>
          </cell>
        </row>
        <row r="1477">
          <cell r="B1477">
            <v>4922</v>
          </cell>
          <cell r="C1477">
            <v>0</v>
          </cell>
          <cell r="D1477" t="str">
            <v>PHP</v>
          </cell>
          <cell r="E1477">
            <v>0</v>
          </cell>
          <cell r="F1477" t="str">
            <v>SET</v>
          </cell>
          <cell r="G1477">
            <v>0</v>
          </cell>
        </row>
        <row r="1478">
          <cell r="B1478">
            <v>4923</v>
          </cell>
          <cell r="C1478">
            <v>14105.56</v>
          </cell>
          <cell r="D1478" t="str">
            <v>PHP</v>
          </cell>
          <cell r="E1478">
            <v>1</v>
          </cell>
          <cell r="F1478" t="str">
            <v>SET</v>
          </cell>
          <cell r="G1478">
            <v>0</v>
          </cell>
        </row>
        <row r="1479">
          <cell r="B1479">
            <v>4926</v>
          </cell>
          <cell r="C1479">
            <v>0</v>
          </cell>
          <cell r="D1479" t="str">
            <v>PHP</v>
          </cell>
          <cell r="E1479">
            <v>0</v>
          </cell>
          <cell r="F1479" t="str">
            <v>SET</v>
          </cell>
          <cell r="G1479">
            <v>0</v>
          </cell>
        </row>
        <row r="1480">
          <cell r="B1480">
            <v>4927</v>
          </cell>
          <cell r="C1480">
            <v>0</v>
          </cell>
          <cell r="D1480" t="str">
            <v>PHP</v>
          </cell>
          <cell r="E1480">
            <v>0</v>
          </cell>
          <cell r="F1480" t="str">
            <v>PC</v>
          </cell>
          <cell r="G1480">
            <v>0</v>
          </cell>
        </row>
        <row r="1481">
          <cell r="B1481">
            <v>4928</v>
          </cell>
          <cell r="C1481">
            <v>60475.57</v>
          </cell>
          <cell r="D1481" t="str">
            <v>PHP</v>
          </cell>
          <cell r="E1481">
            <v>19</v>
          </cell>
          <cell r="F1481" t="str">
            <v>PC</v>
          </cell>
          <cell r="G1481">
            <v>0</v>
          </cell>
        </row>
        <row r="1482">
          <cell r="B1482">
            <v>4929</v>
          </cell>
          <cell r="C1482">
            <v>43185.7</v>
          </cell>
          <cell r="D1482" t="str">
            <v>PHP</v>
          </cell>
          <cell r="E1482">
            <v>11</v>
          </cell>
          <cell r="F1482" t="str">
            <v>PC</v>
          </cell>
          <cell r="G1482">
            <v>0</v>
          </cell>
        </row>
        <row r="1483">
          <cell r="B1483">
            <v>4930</v>
          </cell>
          <cell r="C1483">
            <v>38325.300000000003</v>
          </cell>
          <cell r="D1483" t="str">
            <v>PHP</v>
          </cell>
          <cell r="E1483">
            <v>6</v>
          </cell>
          <cell r="F1483" t="str">
            <v>PC</v>
          </cell>
          <cell r="G1483">
            <v>0</v>
          </cell>
        </row>
        <row r="1484">
          <cell r="B1484">
            <v>4931</v>
          </cell>
          <cell r="C1484">
            <v>0</v>
          </cell>
          <cell r="D1484" t="str">
            <v>PHP</v>
          </cell>
          <cell r="E1484">
            <v>0</v>
          </cell>
          <cell r="F1484" t="str">
            <v>SET</v>
          </cell>
          <cell r="G1484">
            <v>0</v>
          </cell>
        </row>
        <row r="1485">
          <cell r="B1485">
            <v>4932</v>
          </cell>
          <cell r="C1485">
            <v>18534.349999999999</v>
          </cell>
          <cell r="D1485" t="str">
            <v>PHP</v>
          </cell>
          <cell r="E1485">
            <v>1</v>
          </cell>
          <cell r="F1485" t="str">
            <v>SET</v>
          </cell>
          <cell r="G1485">
            <v>0</v>
          </cell>
        </row>
        <row r="1486">
          <cell r="B1486">
            <v>4933</v>
          </cell>
          <cell r="C1486">
            <v>6572.44</v>
          </cell>
          <cell r="D1486" t="str">
            <v>PHP</v>
          </cell>
          <cell r="E1486">
            <v>1</v>
          </cell>
          <cell r="F1486" t="str">
            <v>SET</v>
          </cell>
          <cell r="G1486">
            <v>0</v>
          </cell>
        </row>
        <row r="1487">
          <cell r="B1487">
            <v>4934</v>
          </cell>
          <cell r="C1487">
            <v>13277.57</v>
          </cell>
          <cell r="D1487" t="str">
            <v>PHP</v>
          </cell>
          <cell r="E1487">
            <v>1</v>
          </cell>
          <cell r="F1487" t="str">
            <v>SET</v>
          </cell>
          <cell r="G1487">
            <v>0</v>
          </cell>
        </row>
        <row r="1488">
          <cell r="B1488">
            <v>4936</v>
          </cell>
          <cell r="C1488">
            <v>86414.46</v>
          </cell>
          <cell r="D1488" t="str">
            <v>PHP</v>
          </cell>
          <cell r="E1488">
            <v>12</v>
          </cell>
          <cell r="F1488" t="str">
            <v>KIT</v>
          </cell>
          <cell r="G1488">
            <v>0</v>
          </cell>
        </row>
        <row r="1489">
          <cell r="B1489">
            <v>4937</v>
          </cell>
          <cell r="C1489">
            <v>43599</v>
          </cell>
          <cell r="D1489" t="str">
            <v>PHP</v>
          </cell>
          <cell r="E1489">
            <v>1</v>
          </cell>
          <cell r="F1489" t="str">
            <v>KIT</v>
          </cell>
          <cell r="G1489">
            <v>0</v>
          </cell>
        </row>
        <row r="1490">
          <cell r="B1490">
            <v>4938</v>
          </cell>
          <cell r="C1490">
            <v>17540</v>
          </cell>
          <cell r="D1490" t="str">
            <v>PHP</v>
          </cell>
          <cell r="E1490">
            <v>1</v>
          </cell>
          <cell r="F1490" t="str">
            <v>KIT</v>
          </cell>
          <cell r="G1490">
            <v>0</v>
          </cell>
        </row>
        <row r="1491">
          <cell r="B1491">
            <v>4939</v>
          </cell>
          <cell r="C1491">
            <v>11780</v>
          </cell>
          <cell r="D1491" t="str">
            <v>PHP</v>
          </cell>
          <cell r="E1491">
            <v>1</v>
          </cell>
          <cell r="F1491" t="str">
            <v>KIT</v>
          </cell>
          <cell r="G1491">
            <v>0</v>
          </cell>
        </row>
        <row r="1492">
          <cell r="B1492">
            <v>4940</v>
          </cell>
          <cell r="C1492">
            <v>591461</v>
          </cell>
          <cell r="D1492" t="str">
            <v>PHP</v>
          </cell>
          <cell r="E1492">
            <v>1</v>
          </cell>
          <cell r="F1492" t="str">
            <v>KIT</v>
          </cell>
          <cell r="G1492">
            <v>0</v>
          </cell>
        </row>
        <row r="1493">
          <cell r="B1493">
            <v>4941</v>
          </cell>
          <cell r="C1493">
            <v>246176</v>
          </cell>
          <cell r="D1493" t="str">
            <v>PHP</v>
          </cell>
          <cell r="E1493">
            <v>1</v>
          </cell>
          <cell r="F1493" t="str">
            <v>KIT</v>
          </cell>
          <cell r="G1493">
            <v>0</v>
          </cell>
        </row>
        <row r="1494">
          <cell r="B1494">
            <v>4942</v>
          </cell>
          <cell r="C1494">
            <v>73359</v>
          </cell>
          <cell r="D1494" t="str">
            <v>PHP</v>
          </cell>
          <cell r="E1494">
            <v>1</v>
          </cell>
          <cell r="F1494" t="str">
            <v>KIT</v>
          </cell>
          <cell r="G1494">
            <v>0</v>
          </cell>
        </row>
        <row r="1495">
          <cell r="B1495">
            <v>4943</v>
          </cell>
          <cell r="C1495">
            <v>11800</v>
          </cell>
          <cell r="D1495" t="str">
            <v>PHP</v>
          </cell>
          <cell r="E1495">
            <v>1</v>
          </cell>
          <cell r="F1495" t="str">
            <v>KIT</v>
          </cell>
          <cell r="G1495">
            <v>0</v>
          </cell>
        </row>
        <row r="1496">
          <cell r="B1496">
            <v>4944</v>
          </cell>
          <cell r="C1496">
            <v>249249</v>
          </cell>
          <cell r="D1496" t="str">
            <v>PHP</v>
          </cell>
          <cell r="E1496">
            <v>1</v>
          </cell>
          <cell r="F1496" t="str">
            <v>KIT</v>
          </cell>
          <cell r="G1496">
            <v>0</v>
          </cell>
        </row>
        <row r="1497">
          <cell r="B1497">
            <v>4960</v>
          </cell>
          <cell r="C1497">
            <v>45431.12</v>
          </cell>
          <cell r="D1497" t="str">
            <v>PHP</v>
          </cell>
          <cell r="E1497">
            <v>7</v>
          </cell>
          <cell r="F1497" t="str">
            <v>KIT</v>
          </cell>
          <cell r="G1497">
            <v>0</v>
          </cell>
        </row>
        <row r="1498">
          <cell r="B1498">
            <v>4961</v>
          </cell>
          <cell r="C1498">
            <v>46029.54</v>
          </cell>
          <cell r="D1498" t="str">
            <v>PHP</v>
          </cell>
          <cell r="E1498">
            <v>6</v>
          </cell>
          <cell r="F1498" t="str">
            <v>KIT</v>
          </cell>
          <cell r="G1498">
            <v>0</v>
          </cell>
        </row>
        <row r="1499">
          <cell r="B1499">
            <v>4962</v>
          </cell>
          <cell r="C1499">
            <v>33940.949999999997</v>
          </cell>
          <cell r="D1499" t="str">
            <v>PHP</v>
          </cell>
          <cell r="E1499">
            <v>5</v>
          </cell>
          <cell r="F1499" t="str">
            <v>PC</v>
          </cell>
          <cell r="G1499">
            <v>0</v>
          </cell>
        </row>
        <row r="1500">
          <cell r="B1500">
            <v>4963</v>
          </cell>
          <cell r="C1500">
            <v>9878.57</v>
          </cell>
          <cell r="D1500" t="str">
            <v>PHP</v>
          </cell>
          <cell r="E1500">
            <v>8</v>
          </cell>
          <cell r="F1500" t="str">
            <v>SET</v>
          </cell>
          <cell r="G1500">
            <v>0</v>
          </cell>
        </row>
        <row r="1501">
          <cell r="B1501">
            <v>4964</v>
          </cell>
          <cell r="C1501">
            <v>10020.24</v>
          </cell>
          <cell r="D1501" t="str">
            <v>PHP</v>
          </cell>
          <cell r="E1501">
            <v>24</v>
          </cell>
          <cell r="F1501" t="str">
            <v>SET</v>
          </cell>
          <cell r="G1501">
            <v>0</v>
          </cell>
        </row>
        <row r="1502">
          <cell r="B1502">
            <v>4971</v>
          </cell>
          <cell r="C1502">
            <v>511449.71</v>
          </cell>
          <cell r="D1502" t="str">
            <v>PHP</v>
          </cell>
          <cell r="E1502">
            <v>2</v>
          </cell>
          <cell r="F1502" t="str">
            <v>KIT</v>
          </cell>
          <cell r="G1502">
            <v>0</v>
          </cell>
        </row>
        <row r="1503">
          <cell r="B1503">
            <v>4972</v>
          </cell>
          <cell r="C1503">
            <v>26314</v>
          </cell>
          <cell r="D1503" t="str">
            <v>PHP</v>
          </cell>
          <cell r="E1503">
            <v>2</v>
          </cell>
          <cell r="F1503" t="str">
            <v>SET</v>
          </cell>
          <cell r="G1503">
            <v>0</v>
          </cell>
        </row>
        <row r="1504">
          <cell r="B1504">
            <v>4994</v>
          </cell>
          <cell r="C1504">
            <v>10718</v>
          </cell>
          <cell r="D1504" t="str">
            <v>PHP</v>
          </cell>
          <cell r="E1504">
            <v>2</v>
          </cell>
          <cell r="F1504" t="str">
            <v>KIT</v>
          </cell>
          <cell r="G1504">
            <v>0</v>
          </cell>
        </row>
        <row r="1505">
          <cell r="B1505">
            <v>5011</v>
          </cell>
          <cell r="C1505">
            <v>31939.81</v>
          </cell>
          <cell r="D1505" t="str">
            <v>PHP</v>
          </cell>
          <cell r="E1505">
            <v>6</v>
          </cell>
          <cell r="F1505" t="str">
            <v>PC</v>
          </cell>
          <cell r="G1505">
            <v>0</v>
          </cell>
        </row>
        <row r="1506">
          <cell r="B1506">
            <v>5012</v>
          </cell>
          <cell r="C1506">
            <v>10790.7</v>
          </cell>
          <cell r="D1506" t="str">
            <v>PHP</v>
          </cell>
          <cell r="E1506">
            <v>8</v>
          </cell>
          <cell r="F1506" t="str">
            <v>SET</v>
          </cell>
          <cell r="G1506">
            <v>0</v>
          </cell>
        </row>
        <row r="1507">
          <cell r="B1507">
            <v>5014</v>
          </cell>
          <cell r="C1507">
            <v>1543.94</v>
          </cell>
          <cell r="D1507" t="str">
            <v>PHP</v>
          </cell>
          <cell r="E1507">
            <v>1</v>
          </cell>
          <cell r="F1507" t="str">
            <v>SET</v>
          </cell>
          <cell r="G1507">
            <v>0</v>
          </cell>
        </row>
        <row r="1508">
          <cell r="B1508">
            <v>5025</v>
          </cell>
          <cell r="C1508">
            <v>202764.27</v>
          </cell>
          <cell r="D1508" t="str">
            <v>PHP</v>
          </cell>
          <cell r="E1508">
            <v>3</v>
          </cell>
          <cell r="F1508" t="str">
            <v>KIT</v>
          </cell>
          <cell r="G1508">
            <v>0</v>
          </cell>
        </row>
        <row r="1509">
          <cell r="B1509">
            <v>5026</v>
          </cell>
          <cell r="C1509">
            <v>0</v>
          </cell>
          <cell r="D1509" t="str">
            <v>PHP</v>
          </cell>
          <cell r="E1509">
            <v>0</v>
          </cell>
          <cell r="F1509" t="str">
            <v>KIT</v>
          </cell>
          <cell r="G1509">
            <v>0</v>
          </cell>
        </row>
        <row r="1510">
          <cell r="B1510">
            <v>5048</v>
          </cell>
          <cell r="C1510">
            <v>247672.52</v>
          </cell>
          <cell r="D1510" t="str">
            <v>PHP</v>
          </cell>
          <cell r="E1510">
            <v>2</v>
          </cell>
          <cell r="F1510" t="str">
            <v>SET</v>
          </cell>
          <cell r="G1510">
            <v>0</v>
          </cell>
        </row>
        <row r="1511">
          <cell r="B1511">
            <v>5049</v>
          </cell>
          <cell r="C1511">
            <v>64676.27</v>
          </cell>
          <cell r="D1511" t="str">
            <v>PHP</v>
          </cell>
          <cell r="E1511">
            <v>4</v>
          </cell>
          <cell r="F1511" t="str">
            <v>PC</v>
          </cell>
          <cell r="G1511">
            <v>0</v>
          </cell>
        </row>
        <row r="1512">
          <cell r="B1512">
            <v>5051</v>
          </cell>
          <cell r="C1512">
            <v>1446251.95</v>
          </cell>
          <cell r="D1512" t="str">
            <v>PHP</v>
          </cell>
          <cell r="E1512">
            <v>1</v>
          </cell>
          <cell r="F1512" t="str">
            <v>SET</v>
          </cell>
          <cell r="G1512">
            <v>0</v>
          </cell>
        </row>
        <row r="1513">
          <cell r="B1513">
            <v>5052</v>
          </cell>
          <cell r="C1513">
            <v>0</v>
          </cell>
          <cell r="D1513" t="str">
            <v>PHP</v>
          </cell>
          <cell r="E1513">
            <v>0</v>
          </cell>
          <cell r="F1513" t="str">
            <v>SET</v>
          </cell>
          <cell r="G1513">
            <v>0</v>
          </cell>
        </row>
        <row r="1514">
          <cell r="B1514">
            <v>5053</v>
          </cell>
          <cell r="C1514">
            <v>0</v>
          </cell>
          <cell r="D1514" t="str">
            <v>PHP</v>
          </cell>
          <cell r="E1514">
            <v>0</v>
          </cell>
          <cell r="F1514" t="str">
            <v>SET</v>
          </cell>
          <cell r="G1514">
            <v>0</v>
          </cell>
        </row>
        <row r="1515">
          <cell r="B1515">
            <v>5054</v>
          </cell>
          <cell r="C1515">
            <v>0</v>
          </cell>
          <cell r="D1515" t="str">
            <v>PHP</v>
          </cell>
          <cell r="E1515">
            <v>0</v>
          </cell>
          <cell r="F1515" t="str">
            <v>SET</v>
          </cell>
          <cell r="G1515">
            <v>0</v>
          </cell>
        </row>
        <row r="1516">
          <cell r="B1516">
            <v>5055</v>
          </cell>
          <cell r="C1516">
            <v>0</v>
          </cell>
          <cell r="D1516" t="str">
            <v>PHP</v>
          </cell>
          <cell r="E1516">
            <v>0</v>
          </cell>
          <cell r="F1516" t="str">
            <v>SET</v>
          </cell>
          <cell r="G1516">
            <v>0</v>
          </cell>
        </row>
        <row r="1517">
          <cell r="B1517">
            <v>5056</v>
          </cell>
          <cell r="C1517">
            <v>10706</v>
          </cell>
          <cell r="D1517" t="str">
            <v>PHP</v>
          </cell>
          <cell r="E1517">
            <v>1</v>
          </cell>
          <cell r="F1517" t="str">
            <v>KIT</v>
          </cell>
          <cell r="G1517">
            <v>0</v>
          </cell>
        </row>
        <row r="1518">
          <cell r="B1518">
            <v>5066</v>
          </cell>
          <cell r="C1518">
            <v>0</v>
          </cell>
          <cell r="D1518" t="str">
            <v>PHP</v>
          </cell>
          <cell r="E1518">
            <v>0</v>
          </cell>
          <cell r="F1518" t="str">
            <v>PC</v>
          </cell>
          <cell r="G1518">
            <v>0</v>
          </cell>
        </row>
        <row r="1519">
          <cell r="B1519">
            <v>5070</v>
          </cell>
          <cell r="C1519">
            <v>0</v>
          </cell>
          <cell r="D1519" t="str">
            <v>PHP</v>
          </cell>
          <cell r="E1519">
            <v>0</v>
          </cell>
          <cell r="F1519" t="str">
            <v>PC</v>
          </cell>
          <cell r="G1519">
            <v>0</v>
          </cell>
        </row>
        <row r="1520">
          <cell r="B1520">
            <v>5096</v>
          </cell>
          <cell r="C1520">
            <v>55046.03</v>
          </cell>
          <cell r="D1520" t="str">
            <v>PHP</v>
          </cell>
          <cell r="E1520">
            <v>144</v>
          </cell>
          <cell r="F1520" t="str">
            <v>PC</v>
          </cell>
          <cell r="G1520">
            <v>0</v>
          </cell>
        </row>
        <row r="1521">
          <cell r="B1521">
            <v>5102</v>
          </cell>
          <cell r="C1521">
            <v>189114.23999999999</v>
          </cell>
          <cell r="D1521" t="str">
            <v>PHP</v>
          </cell>
          <cell r="E1521">
            <v>3</v>
          </cell>
          <cell r="F1521" t="str">
            <v>PC</v>
          </cell>
          <cell r="G1521">
            <v>0</v>
          </cell>
        </row>
        <row r="1522">
          <cell r="B1522">
            <v>5103</v>
          </cell>
          <cell r="C1522">
            <v>65016.71</v>
          </cell>
          <cell r="D1522" t="str">
            <v>PHP</v>
          </cell>
          <cell r="E1522">
            <v>1</v>
          </cell>
          <cell r="F1522" t="str">
            <v>PC</v>
          </cell>
          <cell r="G1522">
            <v>0</v>
          </cell>
        </row>
        <row r="1523">
          <cell r="B1523">
            <v>5104</v>
          </cell>
          <cell r="C1523">
            <v>4341.7</v>
          </cell>
          <cell r="D1523" t="str">
            <v>PHP</v>
          </cell>
          <cell r="E1523">
            <v>1</v>
          </cell>
          <cell r="F1523" t="str">
            <v>PC</v>
          </cell>
          <cell r="G1523">
            <v>0</v>
          </cell>
        </row>
        <row r="1524">
          <cell r="B1524">
            <v>5111</v>
          </cell>
          <cell r="C1524">
            <v>256233.98</v>
          </cell>
          <cell r="D1524" t="str">
            <v>PHP</v>
          </cell>
          <cell r="E1524">
            <v>57</v>
          </cell>
          <cell r="F1524" t="str">
            <v>PC</v>
          </cell>
          <cell r="G1524">
            <v>0</v>
          </cell>
        </row>
        <row r="1525">
          <cell r="B1525">
            <v>5117</v>
          </cell>
          <cell r="C1525">
            <v>1651.8</v>
          </cell>
          <cell r="D1525" t="str">
            <v>PHP</v>
          </cell>
          <cell r="E1525">
            <v>1</v>
          </cell>
          <cell r="F1525" t="str">
            <v>PC</v>
          </cell>
          <cell r="G1525">
            <v>0</v>
          </cell>
        </row>
        <row r="1526">
          <cell r="B1526">
            <v>5122</v>
          </cell>
          <cell r="C1526">
            <v>23895</v>
          </cell>
          <cell r="D1526" t="str">
            <v>PHP</v>
          </cell>
          <cell r="E1526">
            <v>3</v>
          </cell>
          <cell r="F1526" t="str">
            <v>PC</v>
          </cell>
          <cell r="G1526">
            <v>0</v>
          </cell>
        </row>
        <row r="1527">
          <cell r="B1527">
            <v>5124</v>
          </cell>
          <cell r="C1527">
            <v>173156.25</v>
          </cell>
          <cell r="D1527" t="str">
            <v>PHP</v>
          </cell>
          <cell r="E1527">
            <v>1</v>
          </cell>
          <cell r="F1527" t="str">
            <v>ASY</v>
          </cell>
          <cell r="G1527">
            <v>0</v>
          </cell>
        </row>
        <row r="1528">
          <cell r="B1528">
            <v>5135</v>
          </cell>
          <cell r="C1528">
            <v>109000</v>
          </cell>
          <cell r="D1528" t="str">
            <v>PHP</v>
          </cell>
          <cell r="E1528">
            <v>2</v>
          </cell>
          <cell r="F1528" t="str">
            <v>PC</v>
          </cell>
          <cell r="G1528">
            <v>0</v>
          </cell>
        </row>
        <row r="1529">
          <cell r="B1529">
            <v>5136</v>
          </cell>
          <cell r="C1529">
            <v>108400</v>
          </cell>
          <cell r="D1529" t="str">
            <v>PHP</v>
          </cell>
          <cell r="E1529">
            <v>2</v>
          </cell>
          <cell r="F1529" t="str">
            <v>PC</v>
          </cell>
          <cell r="G1529">
            <v>0</v>
          </cell>
        </row>
        <row r="1530">
          <cell r="B1530">
            <v>5143</v>
          </cell>
          <cell r="C1530">
            <v>0</v>
          </cell>
          <cell r="D1530" t="str">
            <v>PHP</v>
          </cell>
          <cell r="E1530">
            <v>0</v>
          </cell>
          <cell r="F1530" t="str">
            <v>ASY</v>
          </cell>
          <cell r="G1530">
            <v>0</v>
          </cell>
        </row>
        <row r="1531">
          <cell r="B1531">
            <v>5144</v>
          </cell>
          <cell r="C1531">
            <v>0</v>
          </cell>
          <cell r="D1531" t="str">
            <v>PHP</v>
          </cell>
          <cell r="E1531">
            <v>0</v>
          </cell>
          <cell r="F1531" t="str">
            <v>PC</v>
          </cell>
          <cell r="G1531">
            <v>0</v>
          </cell>
        </row>
        <row r="1532">
          <cell r="B1532">
            <v>5147</v>
          </cell>
          <cell r="C1532">
            <v>42310.8</v>
          </cell>
          <cell r="D1532" t="str">
            <v>PHP</v>
          </cell>
          <cell r="E1532">
            <v>3</v>
          </cell>
          <cell r="F1532" t="str">
            <v>PC</v>
          </cell>
          <cell r="G1532">
            <v>0</v>
          </cell>
        </row>
        <row r="1533">
          <cell r="B1533">
            <v>5149</v>
          </cell>
          <cell r="C1533">
            <v>0</v>
          </cell>
          <cell r="D1533" t="str">
            <v>PHP</v>
          </cell>
          <cell r="E1533">
            <v>0</v>
          </cell>
          <cell r="F1533" t="str">
            <v>PC</v>
          </cell>
          <cell r="G1533">
            <v>0</v>
          </cell>
        </row>
        <row r="1534">
          <cell r="B1534">
            <v>5150</v>
          </cell>
          <cell r="C1534">
            <v>0</v>
          </cell>
          <cell r="D1534" t="str">
            <v>PHP</v>
          </cell>
          <cell r="E1534">
            <v>0</v>
          </cell>
          <cell r="F1534" t="str">
            <v>PC</v>
          </cell>
          <cell r="G1534">
            <v>0</v>
          </cell>
        </row>
        <row r="1535">
          <cell r="B1535">
            <v>5151</v>
          </cell>
          <cell r="C1535">
            <v>0</v>
          </cell>
          <cell r="D1535" t="str">
            <v>PHP</v>
          </cell>
          <cell r="E1535">
            <v>0</v>
          </cell>
          <cell r="F1535" t="str">
            <v>PC</v>
          </cell>
          <cell r="G1535">
            <v>0</v>
          </cell>
        </row>
        <row r="1536">
          <cell r="B1536">
            <v>5152</v>
          </cell>
          <cell r="C1536">
            <v>0</v>
          </cell>
          <cell r="D1536" t="str">
            <v>PHP</v>
          </cell>
          <cell r="E1536">
            <v>0</v>
          </cell>
          <cell r="F1536" t="str">
            <v>PC</v>
          </cell>
          <cell r="G1536">
            <v>0</v>
          </cell>
        </row>
        <row r="1537">
          <cell r="B1537">
            <v>5154</v>
          </cell>
          <cell r="C1537">
            <v>23654.400000000001</v>
          </cell>
          <cell r="D1537" t="str">
            <v>PHP</v>
          </cell>
          <cell r="E1537">
            <v>3</v>
          </cell>
          <cell r="F1537" t="str">
            <v>PC</v>
          </cell>
          <cell r="G1537">
            <v>0</v>
          </cell>
        </row>
        <row r="1538">
          <cell r="B1538">
            <v>5155</v>
          </cell>
          <cell r="C1538">
            <v>23654.400000000001</v>
          </cell>
          <cell r="D1538" t="str">
            <v>PHP</v>
          </cell>
          <cell r="E1538">
            <v>3</v>
          </cell>
          <cell r="F1538" t="str">
            <v>PC</v>
          </cell>
          <cell r="G1538">
            <v>0</v>
          </cell>
        </row>
        <row r="1539">
          <cell r="B1539">
            <v>5156</v>
          </cell>
          <cell r="C1539">
            <v>23654.400000000001</v>
          </cell>
          <cell r="D1539" t="str">
            <v>PHP</v>
          </cell>
          <cell r="E1539">
            <v>3</v>
          </cell>
          <cell r="F1539" t="str">
            <v>PC</v>
          </cell>
          <cell r="G1539">
            <v>0</v>
          </cell>
        </row>
        <row r="1540">
          <cell r="B1540">
            <v>5157</v>
          </cell>
          <cell r="C1540">
            <v>23654.400000000001</v>
          </cell>
          <cell r="D1540" t="str">
            <v>PHP</v>
          </cell>
          <cell r="E1540">
            <v>3</v>
          </cell>
          <cell r="F1540" t="str">
            <v>PC</v>
          </cell>
          <cell r="G1540">
            <v>0</v>
          </cell>
        </row>
        <row r="1541">
          <cell r="B1541">
            <v>5158</v>
          </cell>
          <cell r="C1541">
            <v>23654.400000000001</v>
          </cell>
          <cell r="D1541" t="str">
            <v>PHP</v>
          </cell>
          <cell r="E1541">
            <v>3</v>
          </cell>
          <cell r="F1541" t="str">
            <v>PC</v>
          </cell>
          <cell r="G1541">
            <v>0</v>
          </cell>
        </row>
        <row r="1542">
          <cell r="B1542">
            <v>5159</v>
          </cell>
          <cell r="C1542">
            <v>0</v>
          </cell>
          <cell r="D1542" t="str">
            <v>PHP</v>
          </cell>
          <cell r="E1542">
            <v>0</v>
          </cell>
          <cell r="F1542" t="str">
            <v>PC</v>
          </cell>
          <cell r="G1542">
            <v>0</v>
          </cell>
        </row>
        <row r="1543">
          <cell r="B1543">
            <v>5171</v>
          </cell>
          <cell r="C1543">
            <v>23654.400000000001</v>
          </cell>
          <cell r="D1543" t="str">
            <v>PHP</v>
          </cell>
          <cell r="E1543">
            <v>3</v>
          </cell>
          <cell r="F1543" t="str">
            <v>PC</v>
          </cell>
          <cell r="G1543">
            <v>0</v>
          </cell>
        </row>
        <row r="1544">
          <cell r="B1544">
            <v>5180</v>
          </cell>
          <cell r="C1544">
            <v>0</v>
          </cell>
          <cell r="D1544" t="str">
            <v>PHP</v>
          </cell>
          <cell r="E1544">
            <v>0</v>
          </cell>
          <cell r="F1544" t="str">
            <v>PC</v>
          </cell>
          <cell r="G1544">
            <v>0</v>
          </cell>
        </row>
        <row r="1545">
          <cell r="B1545">
            <v>5181</v>
          </cell>
          <cell r="C1545">
            <v>37441.67</v>
          </cell>
          <cell r="D1545" t="str">
            <v>PHP</v>
          </cell>
          <cell r="E1545">
            <v>2</v>
          </cell>
          <cell r="F1545" t="str">
            <v>PC</v>
          </cell>
          <cell r="G1545">
            <v>0</v>
          </cell>
        </row>
        <row r="1546">
          <cell r="B1546">
            <v>5182</v>
          </cell>
          <cell r="C1546">
            <v>0</v>
          </cell>
          <cell r="D1546" t="str">
            <v>PHP</v>
          </cell>
          <cell r="E1546">
            <v>0</v>
          </cell>
          <cell r="F1546" t="str">
            <v>PC</v>
          </cell>
          <cell r="G1546">
            <v>0</v>
          </cell>
        </row>
        <row r="1547">
          <cell r="B1547">
            <v>5183</v>
          </cell>
          <cell r="C1547">
            <v>0</v>
          </cell>
          <cell r="D1547" t="str">
            <v>PHP</v>
          </cell>
          <cell r="E1547">
            <v>0</v>
          </cell>
          <cell r="F1547" t="str">
            <v>PC</v>
          </cell>
          <cell r="G1547">
            <v>0</v>
          </cell>
        </row>
        <row r="1548">
          <cell r="B1548">
            <v>5184</v>
          </cell>
          <cell r="C1548">
            <v>0</v>
          </cell>
          <cell r="D1548" t="str">
            <v>PHP</v>
          </cell>
          <cell r="E1548">
            <v>0</v>
          </cell>
          <cell r="F1548" t="str">
            <v>PC</v>
          </cell>
          <cell r="G1548">
            <v>0</v>
          </cell>
        </row>
        <row r="1549">
          <cell r="B1549">
            <v>5185</v>
          </cell>
          <cell r="C1549">
            <v>0</v>
          </cell>
          <cell r="D1549" t="str">
            <v>PHP</v>
          </cell>
          <cell r="E1549">
            <v>0</v>
          </cell>
          <cell r="F1549" t="str">
            <v>PC</v>
          </cell>
          <cell r="G1549">
            <v>0</v>
          </cell>
        </row>
        <row r="1550">
          <cell r="B1550">
            <v>5191</v>
          </cell>
          <cell r="C1550">
            <v>45699.7</v>
          </cell>
          <cell r="D1550" t="str">
            <v>PHP</v>
          </cell>
          <cell r="E1550">
            <v>2</v>
          </cell>
          <cell r="F1550" t="str">
            <v>PC</v>
          </cell>
          <cell r="G1550">
            <v>0</v>
          </cell>
        </row>
        <row r="1551">
          <cell r="B1551">
            <v>5192</v>
          </cell>
          <cell r="C1551">
            <v>0</v>
          </cell>
          <cell r="D1551" t="str">
            <v>PHP</v>
          </cell>
          <cell r="E1551">
            <v>0</v>
          </cell>
          <cell r="F1551" t="str">
            <v>PC</v>
          </cell>
          <cell r="G1551">
            <v>0</v>
          </cell>
        </row>
        <row r="1552">
          <cell r="B1552">
            <v>5193</v>
          </cell>
          <cell r="C1552">
            <v>311636.15999999997</v>
          </cell>
          <cell r="D1552" t="str">
            <v>PHP</v>
          </cell>
          <cell r="E1552">
            <v>12</v>
          </cell>
          <cell r="F1552" t="str">
            <v>PC</v>
          </cell>
          <cell r="G1552">
            <v>0</v>
          </cell>
        </row>
        <row r="1553">
          <cell r="B1553">
            <v>5195</v>
          </cell>
          <cell r="C1553">
            <v>0</v>
          </cell>
          <cell r="D1553" t="str">
            <v>PHP</v>
          </cell>
          <cell r="E1553">
            <v>0</v>
          </cell>
          <cell r="F1553" t="str">
            <v>PC</v>
          </cell>
          <cell r="G1553">
            <v>0</v>
          </cell>
        </row>
        <row r="1554">
          <cell r="B1554">
            <v>5196</v>
          </cell>
          <cell r="C1554">
            <v>0</v>
          </cell>
          <cell r="D1554" t="str">
            <v>PHP</v>
          </cell>
          <cell r="E1554">
            <v>0</v>
          </cell>
          <cell r="F1554" t="str">
            <v>PC</v>
          </cell>
          <cell r="G1554">
            <v>0</v>
          </cell>
        </row>
        <row r="1555">
          <cell r="B1555">
            <v>5198</v>
          </cell>
          <cell r="C1555">
            <v>190304.72</v>
          </cell>
          <cell r="D1555" t="str">
            <v>PHP</v>
          </cell>
          <cell r="E1555">
            <v>8</v>
          </cell>
          <cell r="F1555" t="str">
            <v>PC</v>
          </cell>
          <cell r="G1555">
            <v>0</v>
          </cell>
        </row>
        <row r="1556">
          <cell r="B1556">
            <v>5200</v>
          </cell>
          <cell r="C1556">
            <v>552000</v>
          </cell>
          <cell r="D1556" t="str">
            <v>PHP</v>
          </cell>
          <cell r="E1556">
            <v>6</v>
          </cell>
          <cell r="F1556" t="str">
            <v>PC</v>
          </cell>
          <cell r="G1556">
            <v>0</v>
          </cell>
        </row>
        <row r="1557">
          <cell r="B1557">
            <v>5201</v>
          </cell>
          <cell r="C1557">
            <v>1404069.35</v>
          </cell>
          <cell r="D1557" t="str">
            <v>PHP</v>
          </cell>
          <cell r="E1557">
            <v>62</v>
          </cell>
          <cell r="F1557" t="str">
            <v>PC</v>
          </cell>
          <cell r="G1557">
            <v>0</v>
          </cell>
        </row>
        <row r="1558">
          <cell r="B1558">
            <v>5202</v>
          </cell>
          <cell r="C1558">
            <v>1017977.6</v>
          </cell>
          <cell r="D1558" t="str">
            <v>PHP</v>
          </cell>
          <cell r="E1558">
            <v>56</v>
          </cell>
          <cell r="F1558" t="str">
            <v>PC</v>
          </cell>
          <cell r="G1558">
            <v>0</v>
          </cell>
        </row>
        <row r="1559">
          <cell r="B1559">
            <v>5203</v>
          </cell>
          <cell r="C1559">
            <v>370492.47</v>
          </cell>
          <cell r="D1559" t="str">
            <v>PHP</v>
          </cell>
          <cell r="E1559">
            <v>9</v>
          </cell>
          <cell r="F1559" t="str">
            <v>PC</v>
          </cell>
          <cell r="G1559">
            <v>0</v>
          </cell>
        </row>
        <row r="1560">
          <cell r="B1560">
            <v>5204</v>
          </cell>
          <cell r="C1560">
            <v>0</v>
          </cell>
          <cell r="D1560" t="str">
            <v>PHP</v>
          </cell>
          <cell r="E1560">
            <v>0</v>
          </cell>
          <cell r="F1560" t="str">
            <v>PC</v>
          </cell>
          <cell r="G1560">
            <v>0</v>
          </cell>
        </row>
        <row r="1561">
          <cell r="B1561">
            <v>5205</v>
          </cell>
          <cell r="C1561">
            <v>738356.26</v>
          </cell>
          <cell r="D1561" t="str">
            <v>PHP</v>
          </cell>
          <cell r="E1561">
            <v>11</v>
          </cell>
          <cell r="F1561" t="str">
            <v>SET</v>
          </cell>
          <cell r="G1561">
            <v>0</v>
          </cell>
        </row>
        <row r="1562">
          <cell r="B1562">
            <v>5208</v>
          </cell>
          <cell r="C1562">
            <v>25849.29</v>
          </cell>
          <cell r="D1562" t="str">
            <v>PHP</v>
          </cell>
          <cell r="E1562">
            <v>64</v>
          </cell>
          <cell r="F1562" t="str">
            <v>PC</v>
          </cell>
          <cell r="G1562">
            <v>0</v>
          </cell>
        </row>
        <row r="1563">
          <cell r="B1563">
            <v>5209</v>
          </cell>
          <cell r="C1563">
            <v>247421.32</v>
          </cell>
          <cell r="D1563" t="str">
            <v>PHP</v>
          </cell>
          <cell r="E1563">
            <v>12</v>
          </cell>
          <cell r="F1563" t="str">
            <v>PC</v>
          </cell>
          <cell r="G1563">
            <v>0</v>
          </cell>
        </row>
        <row r="1564">
          <cell r="B1564">
            <v>5215</v>
          </cell>
          <cell r="C1564">
            <v>0</v>
          </cell>
          <cell r="D1564" t="str">
            <v>PHP</v>
          </cell>
          <cell r="E1564">
            <v>0</v>
          </cell>
          <cell r="F1564" t="str">
            <v>PC</v>
          </cell>
          <cell r="G1564">
            <v>0</v>
          </cell>
        </row>
        <row r="1565">
          <cell r="B1565">
            <v>5217</v>
          </cell>
          <cell r="C1565">
            <v>0</v>
          </cell>
          <cell r="D1565" t="str">
            <v>PHP</v>
          </cell>
          <cell r="E1565">
            <v>0</v>
          </cell>
          <cell r="F1565" t="str">
            <v>PC</v>
          </cell>
          <cell r="G1565">
            <v>0</v>
          </cell>
        </row>
        <row r="1566">
          <cell r="B1566">
            <v>5218</v>
          </cell>
          <cell r="C1566">
            <v>0</v>
          </cell>
          <cell r="D1566" t="str">
            <v>PHP</v>
          </cell>
          <cell r="E1566">
            <v>0</v>
          </cell>
          <cell r="F1566" t="str">
            <v>PC</v>
          </cell>
          <cell r="G1566">
            <v>0</v>
          </cell>
        </row>
        <row r="1567">
          <cell r="B1567">
            <v>5219</v>
          </cell>
          <cell r="C1567">
            <v>24493</v>
          </cell>
          <cell r="D1567" t="str">
            <v>PHP</v>
          </cell>
          <cell r="E1567">
            <v>1</v>
          </cell>
          <cell r="F1567" t="str">
            <v>PC</v>
          </cell>
          <cell r="G1567">
            <v>0</v>
          </cell>
        </row>
        <row r="1568">
          <cell r="B1568">
            <v>5220</v>
          </cell>
          <cell r="C1568">
            <v>1736</v>
          </cell>
          <cell r="D1568" t="str">
            <v>PHP</v>
          </cell>
          <cell r="E1568">
            <v>8</v>
          </cell>
          <cell r="F1568" t="str">
            <v>PC</v>
          </cell>
          <cell r="G1568">
            <v>0</v>
          </cell>
        </row>
        <row r="1569">
          <cell r="B1569">
            <v>5221</v>
          </cell>
          <cell r="C1569">
            <v>262338.93</v>
          </cell>
          <cell r="D1569" t="str">
            <v>PHP</v>
          </cell>
          <cell r="E1569">
            <v>3</v>
          </cell>
          <cell r="F1569" t="str">
            <v>PC</v>
          </cell>
          <cell r="G1569">
            <v>0</v>
          </cell>
        </row>
        <row r="1570">
          <cell r="B1570">
            <v>5222</v>
          </cell>
          <cell r="C1570">
            <v>6250</v>
          </cell>
          <cell r="D1570" t="str">
            <v>PHP</v>
          </cell>
          <cell r="E1570">
            <v>4</v>
          </cell>
          <cell r="F1570" t="str">
            <v>PC</v>
          </cell>
          <cell r="G1570">
            <v>0</v>
          </cell>
        </row>
        <row r="1571">
          <cell r="B1571">
            <v>5223</v>
          </cell>
          <cell r="C1571">
            <v>10779.82</v>
          </cell>
          <cell r="D1571" t="str">
            <v>PHP</v>
          </cell>
          <cell r="E1571">
            <v>7</v>
          </cell>
          <cell r="F1571" t="str">
            <v>PC</v>
          </cell>
          <cell r="G1571">
            <v>0</v>
          </cell>
        </row>
        <row r="1572">
          <cell r="B1572">
            <v>5224</v>
          </cell>
          <cell r="C1572">
            <v>0</v>
          </cell>
          <cell r="D1572" t="str">
            <v>PHP</v>
          </cell>
          <cell r="E1572">
            <v>0</v>
          </cell>
          <cell r="F1572" t="str">
            <v>PC</v>
          </cell>
          <cell r="G1572">
            <v>0</v>
          </cell>
        </row>
        <row r="1573">
          <cell r="B1573">
            <v>5225</v>
          </cell>
          <cell r="C1573">
            <v>4581.5600000000004</v>
          </cell>
          <cell r="D1573" t="str">
            <v>PHP</v>
          </cell>
          <cell r="E1573">
            <v>8</v>
          </cell>
          <cell r="F1573" t="str">
            <v>PC</v>
          </cell>
          <cell r="G1573">
            <v>0</v>
          </cell>
        </row>
        <row r="1574">
          <cell r="B1574">
            <v>5226</v>
          </cell>
          <cell r="C1574">
            <v>4865.17</v>
          </cell>
          <cell r="D1574" t="str">
            <v>PHP</v>
          </cell>
          <cell r="E1574">
            <v>4</v>
          </cell>
          <cell r="F1574" t="str">
            <v>PC</v>
          </cell>
          <cell r="G1574">
            <v>0</v>
          </cell>
        </row>
        <row r="1575">
          <cell r="B1575">
            <v>5227</v>
          </cell>
          <cell r="C1575">
            <v>20881.740000000002</v>
          </cell>
          <cell r="D1575" t="str">
            <v>PHP</v>
          </cell>
          <cell r="E1575">
            <v>4</v>
          </cell>
          <cell r="F1575" t="str">
            <v>PC</v>
          </cell>
          <cell r="G1575">
            <v>0</v>
          </cell>
        </row>
        <row r="1576">
          <cell r="B1576">
            <v>5228</v>
          </cell>
          <cell r="C1576">
            <v>9619.8700000000008</v>
          </cell>
          <cell r="D1576" t="str">
            <v>PHP</v>
          </cell>
          <cell r="E1576">
            <v>4</v>
          </cell>
          <cell r="F1576" t="str">
            <v>PC</v>
          </cell>
          <cell r="G1576">
            <v>0</v>
          </cell>
        </row>
        <row r="1577">
          <cell r="B1577">
            <v>5229</v>
          </cell>
          <cell r="C1577">
            <v>11027.64</v>
          </cell>
          <cell r="D1577" t="str">
            <v>PHP</v>
          </cell>
          <cell r="E1577">
            <v>6</v>
          </cell>
          <cell r="F1577" t="str">
            <v>PC</v>
          </cell>
          <cell r="G1577">
            <v>0</v>
          </cell>
        </row>
        <row r="1578">
          <cell r="B1578">
            <v>5230</v>
          </cell>
          <cell r="C1578">
            <v>31111.17</v>
          </cell>
          <cell r="D1578" t="str">
            <v>PHP</v>
          </cell>
          <cell r="E1578">
            <v>7</v>
          </cell>
          <cell r="F1578" t="str">
            <v>PC</v>
          </cell>
          <cell r="G1578">
            <v>0</v>
          </cell>
        </row>
        <row r="1579">
          <cell r="B1579">
            <v>5231</v>
          </cell>
          <cell r="C1579">
            <v>1900</v>
          </cell>
          <cell r="D1579" t="str">
            <v>PHP</v>
          </cell>
          <cell r="E1579">
            <v>2</v>
          </cell>
          <cell r="F1579" t="str">
            <v>PC</v>
          </cell>
          <cell r="G1579">
            <v>0</v>
          </cell>
        </row>
        <row r="1580">
          <cell r="B1580">
            <v>5232</v>
          </cell>
          <cell r="C1580">
            <v>20848</v>
          </cell>
          <cell r="D1580" t="str">
            <v>PHP</v>
          </cell>
          <cell r="E1580">
            <v>4</v>
          </cell>
          <cell r="F1580" t="str">
            <v>PC</v>
          </cell>
          <cell r="G1580">
            <v>0</v>
          </cell>
        </row>
        <row r="1581">
          <cell r="B1581">
            <v>5233</v>
          </cell>
          <cell r="C1581">
            <v>868.6</v>
          </cell>
          <cell r="D1581" t="str">
            <v>PHP</v>
          </cell>
          <cell r="E1581">
            <v>10</v>
          </cell>
          <cell r="F1581" t="str">
            <v>PC</v>
          </cell>
          <cell r="G1581">
            <v>0</v>
          </cell>
        </row>
        <row r="1582">
          <cell r="B1582">
            <v>5234</v>
          </cell>
          <cell r="C1582">
            <v>26723.56</v>
          </cell>
          <cell r="D1582" t="str">
            <v>PHP</v>
          </cell>
          <cell r="E1582">
            <v>3</v>
          </cell>
          <cell r="F1582" t="str">
            <v>PC</v>
          </cell>
          <cell r="G1582">
            <v>0</v>
          </cell>
        </row>
        <row r="1583">
          <cell r="B1583">
            <v>5235</v>
          </cell>
          <cell r="C1583">
            <v>9057.8799999999992</v>
          </cell>
          <cell r="D1583" t="str">
            <v>PHP</v>
          </cell>
          <cell r="E1583">
            <v>4</v>
          </cell>
          <cell r="F1583" t="str">
            <v>PC</v>
          </cell>
          <cell r="G1583">
            <v>0</v>
          </cell>
        </row>
        <row r="1584">
          <cell r="B1584">
            <v>5236</v>
          </cell>
          <cell r="C1584">
            <v>1866</v>
          </cell>
          <cell r="D1584" t="str">
            <v>PHP</v>
          </cell>
          <cell r="E1584">
            <v>4</v>
          </cell>
          <cell r="F1584" t="str">
            <v>PC</v>
          </cell>
          <cell r="G1584">
            <v>0</v>
          </cell>
        </row>
        <row r="1585">
          <cell r="B1585">
            <v>5237</v>
          </cell>
          <cell r="C1585">
            <v>2351</v>
          </cell>
          <cell r="D1585" t="str">
            <v>PHP</v>
          </cell>
          <cell r="E1585">
            <v>3</v>
          </cell>
          <cell r="F1585" t="str">
            <v>PC</v>
          </cell>
          <cell r="G1585">
            <v>0</v>
          </cell>
        </row>
        <row r="1586">
          <cell r="B1586">
            <v>5238</v>
          </cell>
          <cell r="C1586">
            <v>11499.74</v>
          </cell>
          <cell r="D1586" t="str">
            <v>PHP</v>
          </cell>
          <cell r="E1586">
            <v>6</v>
          </cell>
          <cell r="F1586" t="str">
            <v>PC</v>
          </cell>
          <cell r="G1586">
            <v>0</v>
          </cell>
        </row>
        <row r="1587">
          <cell r="B1587">
            <v>5239</v>
          </cell>
          <cell r="C1587">
            <v>32028.94</v>
          </cell>
          <cell r="D1587" t="str">
            <v>PHP</v>
          </cell>
          <cell r="E1587">
            <v>4</v>
          </cell>
          <cell r="F1587" t="str">
            <v>PC</v>
          </cell>
          <cell r="G1587">
            <v>0</v>
          </cell>
        </row>
        <row r="1588">
          <cell r="B1588">
            <v>5240</v>
          </cell>
          <cell r="C1588">
            <v>3696</v>
          </cell>
          <cell r="D1588" t="str">
            <v>PHP</v>
          </cell>
          <cell r="E1588">
            <v>4</v>
          </cell>
          <cell r="F1588" t="str">
            <v>PC</v>
          </cell>
          <cell r="G1588">
            <v>0</v>
          </cell>
        </row>
        <row r="1589">
          <cell r="B1589">
            <v>5241</v>
          </cell>
          <cell r="C1589">
            <v>1085.8</v>
          </cell>
          <cell r="D1589" t="str">
            <v>PHP</v>
          </cell>
          <cell r="E1589">
            <v>10</v>
          </cell>
          <cell r="F1589" t="str">
            <v>PC</v>
          </cell>
          <cell r="G1589">
            <v>0</v>
          </cell>
        </row>
        <row r="1590">
          <cell r="B1590">
            <v>5242</v>
          </cell>
          <cell r="C1590">
            <v>18240.599999999999</v>
          </cell>
          <cell r="D1590" t="str">
            <v>PHP</v>
          </cell>
          <cell r="E1590">
            <v>4</v>
          </cell>
          <cell r="F1590" t="str">
            <v>PC</v>
          </cell>
          <cell r="G1590">
            <v>0</v>
          </cell>
        </row>
        <row r="1591">
          <cell r="B1591">
            <v>5243</v>
          </cell>
          <cell r="C1591">
            <v>1302.92</v>
          </cell>
          <cell r="D1591" t="str">
            <v>PHP</v>
          </cell>
          <cell r="E1591">
            <v>4</v>
          </cell>
          <cell r="F1591" t="str">
            <v>PC</v>
          </cell>
          <cell r="G1591">
            <v>0</v>
          </cell>
        </row>
        <row r="1592">
          <cell r="B1592">
            <v>5244</v>
          </cell>
          <cell r="C1592">
            <v>10260</v>
          </cell>
          <cell r="D1592" t="str">
            <v>PHP</v>
          </cell>
          <cell r="E1592">
            <v>1</v>
          </cell>
          <cell r="F1592" t="str">
            <v>SET</v>
          </cell>
          <cell r="G1592">
            <v>0</v>
          </cell>
        </row>
        <row r="1593">
          <cell r="B1593">
            <v>5245</v>
          </cell>
          <cell r="C1593">
            <v>0</v>
          </cell>
          <cell r="D1593" t="str">
            <v>PHP</v>
          </cell>
          <cell r="E1593">
            <v>0</v>
          </cell>
          <cell r="F1593" t="str">
            <v>PC</v>
          </cell>
          <cell r="G1593">
            <v>0</v>
          </cell>
        </row>
        <row r="1594">
          <cell r="B1594">
            <v>5246</v>
          </cell>
          <cell r="C1594">
            <v>0</v>
          </cell>
          <cell r="D1594" t="str">
            <v>PHP</v>
          </cell>
          <cell r="E1594">
            <v>0</v>
          </cell>
          <cell r="F1594" t="str">
            <v>PC</v>
          </cell>
          <cell r="G1594">
            <v>0</v>
          </cell>
        </row>
        <row r="1595">
          <cell r="B1595">
            <v>5247</v>
          </cell>
          <cell r="C1595">
            <v>0</v>
          </cell>
          <cell r="D1595" t="str">
            <v>PHP</v>
          </cell>
          <cell r="E1595">
            <v>0</v>
          </cell>
          <cell r="F1595" t="str">
            <v>PC</v>
          </cell>
          <cell r="G1595">
            <v>0</v>
          </cell>
        </row>
        <row r="1596">
          <cell r="B1596">
            <v>5248</v>
          </cell>
          <cell r="C1596">
            <v>1870.12</v>
          </cell>
          <cell r="D1596" t="str">
            <v>PHP</v>
          </cell>
          <cell r="E1596">
            <v>4</v>
          </cell>
          <cell r="F1596" t="str">
            <v>PC</v>
          </cell>
          <cell r="G1596">
            <v>0</v>
          </cell>
        </row>
        <row r="1597">
          <cell r="B1597">
            <v>5260</v>
          </cell>
          <cell r="C1597">
            <v>362.27</v>
          </cell>
          <cell r="D1597" t="str">
            <v>PHP</v>
          </cell>
          <cell r="E1597">
            <v>12</v>
          </cell>
          <cell r="F1597" t="str">
            <v>PC</v>
          </cell>
          <cell r="G1597">
            <v>0</v>
          </cell>
        </row>
        <row r="1598">
          <cell r="B1598">
            <v>5264</v>
          </cell>
          <cell r="C1598">
            <v>0</v>
          </cell>
          <cell r="D1598" t="str">
            <v>PHP</v>
          </cell>
          <cell r="E1598">
            <v>0</v>
          </cell>
          <cell r="F1598" t="str">
            <v>PC</v>
          </cell>
          <cell r="G1598">
            <v>0</v>
          </cell>
        </row>
        <row r="1599">
          <cell r="B1599">
            <v>5265</v>
          </cell>
          <cell r="C1599">
            <v>2733.12</v>
          </cell>
          <cell r="D1599" t="str">
            <v>PHP</v>
          </cell>
          <cell r="E1599">
            <v>24</v>
          </cell>
          <cell r="F1599" t="str">
            <v>PC</v>
          </cell>
          <cell r="G1599">
            <v>0</v>
          </cell>
        </row>
        <row r="1600">
          <cell r="B1600">
            <v>5276</v>
          </cell>
          <cell r="C1600">
            <v>28798.02</v>
          </cell>
          <cell r="D1600" t="str">
            <v>PHP</v>
          </cell>
          <cell r="E1600">
            <v>9</v>
          </cell>
          <cell r="F1600" t="str">
            <v>PC</v>
          </cell>
          <cell r="G1600">
            <v>0</v>
          </cell>
        </row>
        <row r="1601">
          <cell r="B1601">
            <v>5277</v>
          </cell>
          <cell r="C1601">
            <v>0</v>
          </cell>
          <cell r="D1601" t="str">
            <v>PHP</v>
          </cell>
          <cell r="E1601">
            <v>0</v>
          </cell>
          <cell r="F1601" t="str">
            <v>PL</v>
          </cell>
          <cell r="G1601">
            <v>0</v>
          </cell>
        </row>
        <row r="1602">
          <cell r="B1602">
            <v>5279</v>
          </cell>
          <cell r="C1602">
            <v>25528.42</v>
          </cell>
          <cell r="D1602" t="str">
            <v>PHP</v>
          </cell>
          <cell r="E1602">
            <v>2</v>
          </cell>
          <cell r="F1602" t="str">
            <v>PC</v>
          </cell>
          <cell r="G1602">
            <v>0</v>
          </cell>
        </row>
        <row r="1603">
          <cell r="B1603">
            <v>5285</v>
          </cell>
          <cell r="C1603">
            <v>0</v>
          </cell>
          <cell r="D1603" t="str">
            <v>PHP</v>
          </cell>
          <cell r="E1603">
            <v>0</v>
          </cell>
          <cell r="F1603" t="str">
            <v>PC</v>
          </cell>
          <cell r="G1603">
            <v>0</v>
          </cell>
        </row>
        <row r="1604">
          <cell r="B1604">
            <v>5291</v>
          </cell>
          <cell r="C1604">
            <v>4387.3599999999997</v>
          </cell>
          <cell r="D1604" t="str">
            <v>PHP</v>
          </cell>
          <cell r="E1604">
            <v>4</v>
          </cell>
          <cell r="F1604" t="str">
            <v>PC</v>
          </cell>
          <cell r="G1604">
            <v>0</v>
          </cell>
        </row>
        <row r="1605">
          <cell r="B1605">
            <v>5293</v>
          </cell>
          <cell r="C1605">
            <v>31974</v>
          </cell>
          <cell r="D1605" t="str">
            <v>PHP</v>
          </cell>
          <cell r="E1605">
            <v>2</v>
          </cell>
          <cell r="F1605" t="str">
            <v>PC</v>
          </cell>
          <cell r="G1605">
            <v>0</v>
          </cell>
        </row>
        <row r="1606">
          <cell r="B1606">
            <v>5294</v>
          </cell>
          <cell r="C1606">
            <v>0</v>
          </cell>
          <cell r="D1606" t="str">
            <v>PHP</v>
          </cell>
          <cell r="E1606">
            <v>0</v>
          </cell>
          <cell r="F1606" t="str">
            <v>PC</v>
          </cell>
          <cell r="G1606">
            <v>0</v>
          </cell>
        </row>
        <row r="1607">
          <cell r="B1607">
            <v>5295</v>
          </cell>
          <cell r="C1607">
            <v>3367.84</v>
          </cell>
          <cell r="D1607" t="str">
            <v>PHP</v>
          </cell>
          <cell r="E1607">
            <v>16</v>
          </cell>
          <cell r="F1607" t="str">
            <v>PC</v>
          </cell>
          <cell r="G1607">
            <v>0</v>
          </cell>
        </row>
        <row r="1608">
          <cell r="B1608">
            <v>5297</v>
          </cell>
          <cell r="C1608">
            <v>51950</v>
          </cell>
          <cell r="D1608" t="str">
            <v>PHP</v>
          </cell>
          <cell r="E1608">
            <v>10</v>
          </cell>
          <cell r="F1608" t="str">
            <v>PC</v>
          </cell>
          <cell r="G1608">
            <v>0</v>
          </cell>
        </row>
        <row r="1609">
          <cell r="B1609">
            <v>5303</v>
          </cell>
          <cell r="C1609">
            <v>0</v>
          </cell>
          <cell r="D1609" t="str">
            <v>PHP</v>
          </cell>
          <cell r="E1609">
            <v>0</v>
          </cell>
          <cell r="F1609" t="str">
            <v>PC</v>
          </cell>
          <cell r="G1609">
            <v>0</v>
          </cell>
        </row>
        <row r="1610">
          <cell r="B1610">
            <v>5313</v>
          </cell>
          <cell r="C1610">
            <v>28910.67</v>
          </cell>
          <cell r="D1610" t="str">
            <v>PHP</v>
          </cell>
          <cell r="E1610">
            <v>1</v>
          </cell>
          <cell r="F1610" t="str">
            <v>PC</v>
          </cell>
          <cell r="G1610">
            <v>0</v>
          </cell>
        </row>
        <row r="1611">
          <cell r="B1611">
            <v>5318</v>
          </cell>
          <cell r="C1611">
            <v>12155.04</v>
          </cell>
          <cell r="D1611" t="str">
            <v>PHP</v>
          </cell>
          <cell r="E1611">
            <v>1</v>
          </cell>
          <cell r="F1611" t="str">
            <v>PC</v>
          </cell>
          <cell r="G1611">
            <v>0</v>
          </cell>
        </row>
        <row r="1612">
          <cell r="B1612">
            <v>5320</v>
          </cell>
          <cell r="C1612">
            <v>86851.28</v>
          </cell>
          <cell r="D1612" t="str">
            <v>PHP</v>
          </cell>
          <cell r="E1612">
            <v>1</v>
          </cell>
          <cell r="F1612" t="str">
            <v>PC</v>
          </cell>
          <cell r="G1612">
            <v>0</v>
          </cell>
        </row>
        <row r="1613">
          <cell r="B1613">
            <v>5321</v>
          </cell>
          <cell r="C1613">
            <v>25807.439999999999</v>
          </cell>
          <cell r="D1613" t="str">
            <v>PHP</v>
          </cell>
          <cell r="E1613">
            <v>2</v>
          </cell>
          <cell r="F1613" t="str">
            <v>PC</v>
          </cell>
          <cell r="G1613">
            <v>0</v>
          </cell>
        </row>
        <row r="1614">
          <cell r="B1614">
            <v>5324</v>
          </cell>
          <cell r="C1614">
            <v>0</v>
          </cell>
          <cell r="D1614" t="str">
            <v>PHP</v>
          </cell>
          <cell r="E1614">
            <v>0</v>
          </cell>
          <cell r="F1614" t="str">
            <v>PC</v>
          </cell>
          <cell r="G1614">
            <v>0</v>
          </cell>
        </row>
        <row r="1615">
          <cell r="B1615">
            <v>5325</v>
          </cell>
          <cell r="C1615">
            <v>62214.58</v>
          </cell>
          <cell r="D1615" t="str">
            <v>PHP</v>
          </cell>
          <cell r="E1615">
            <v>1</v>
          </cell>
          <cell r="F1615" t="str">
            <v>PC</v>
          </cell>
          <cell r="G1615">
            <v>0</v>
          </cell>
        </row>
        <row r="1616">
          <cell r="B1616">
            <v>5326</v>
          </cell>
          <cell r="C1616">
            <v>0</v>
          </cell>
          <cell r="D1616" t="str">
            <v>PHP</v>
          </cell>
          <cell r="E1616">
            <v>0</v>
          </cell>
          <cell r="F1616" t="str">
            <v>PC</v>
          </cell>
          <cell r="G1616">
            <v>0</v>
          </cell>
        </row>
        <row r="1617">
          <cell r="B1617">
            <v>5327</v>
          </cell>
          <cell r="C1617">
            <v>235296.81</v>
          </cell>
          <cell r="D1617" t="str">
            <v>PHP</v>
          </cell>
          <cell r="E1617">
            <v>7</v>
          </cell>
          <cell r="F1617" t="str">
            <v>PC</v>
          </cell>
          <cell r="G1617">
            <v>0</v>
          </cell>
        </row>
        <row r="1618">
          <cell r="B1618">
            <v>5328</v>
          </cell>
          <cell r="C1618">
            <v>90404.3</v>
          </cell>
          <cell r="D1618" t="str">
            <v>PHP</v>
          </cell>
          <cell r="E1618">
            <v>3</v>
          </cell>
          <cell r="F1618" t="str">
            <v>PC</v>
          </cell>
          <cell r="G1618">
            <v>0</v>
          </cell>
        </row>
        <row r="1619">
          <cell r="B1619">
            <v>5335</v>
          </cell>
          <cell r="C1619">
            <v>17292.88</v>
          </cell>
          <cell r="D1619" t="str">
            <v>PHP</v>
          </cell>
          <cell r="E1619">
            <v>1</v>
          </cell>
          <cell r="F1619" t="str">
            <v>M</v>
          </cell>
          <cell r="G1619">
            <v>0</v>
          </cell>
        </row>
        <row r="1620">
          <cell r="B1620">
            <v>5343</v>
          </cell>
          <cell r="C1620">
            <v>52260.94</v>
          </cell>
          <cell r="D1620" t="str">
            <v>PHP</v>
          </cell>
          <cell r="E1620">
            <v>1</v>
          </cell>
          <cell r="F1620" t="str">
            <v>PC</v>
          </cell>
          <cell r="G1620">
            <v>0</v>
          </cell>
        </row>
        <row r="1621">
          <cell r="B1621">
            <v>5344</v>
          </cell>
          <cell r="C1621">
            <v>23836.6</v>
          </cell>
          <cell r="D1621" t="str">
            <v>PHP</v>
          </cell>
          <cell r="E1621">
            <v>2</v>
          </cell>
          <cell r="F1621" t="str">
            <v>PC</v>
          </cell>
          <cell r="G1621">
            <v>0</v>
          </cell>
        </row>
        <row r="1622">
          <cell r="B1622">
            <v>5352</v>
          </cell>
          <cell r="C1622">
            <v>0</v>
          </cell>
          <cell r="D1622" t="str">
            <v>PHP</v>
          </cell>
          <cell r="E1622">
            <v>0</v>
          </cell>
          <cell r="F1622" t="str">
            <v>PC</v>
          </cell>
          <cell r="G1622">
            <v>0</v>
          </cell>
        </row>
        <row r="1623">
          <cell r="B1623">
            <v>5353</v>
          </cell>
          <cell r="C1623">
            <v>9526.32</v>
          </cell>
          <cell r="D1623" t="str">
            <v>PHP</v>
          </cell>
          <cell r="E1623">
            <v>2</v>
          </cell>
          <cell r="F1623" t="str">
            <v>PC</v>
          </cell>
          <cell r="G1623">
            <v>0</v>
          </cell>
        </row>
        <row r="1624">
          <cell r="B1624">
            <v>5354</v>
          </cell>
          <cell r="C1624">
            <v>106820.28</v>
          </cell>
          <cell r="D1624" t="str">
            <v>PHP</v>
          </cell>
          <cell r="E1624">
            <v>4</v>
          </cell>
          <cell r="F1624" t="str">
            <v>PC</v>
          </cell>
          <cell r="G1624">
            <v>0</v>
          </cell>
        </row>
        <row r="1625">
          <cell r="B1625">
            <v>5355</v>
          </cell>
          <cell r="C1625">
            <v>0</v>
          </cell>
          <cell r="D1625" t="str">
            <v>PHP</v>
          </cell>
          <cell r="E1625">
            <v>0</v>
          </cell>
          <cell r="F1625" t="str">
            <v>PC</v>
          </cell>
          <cell r="G1625">
            <v>0</v>
          </cell>
        </row>
        <row r="1626">
          <cell r="B1626">
            <v>5356</v>
          </cell>
          <cell r="C1626">
            <v>409688.48</v>
          </cell>
          <cell r="D1626" t="str">
            <v>PHP</v>
          </cell>
          <cell r="E1626">
            <v>5</v>
          </cell>
          <cell r="F1626" t="str">
            <v>PC</v>
          </cell>
          <cell r="G1626">
            <v>0</v>
          </cell>
        </row>
        <row r="1627">
          <cell r="B1627">
            <v>5358</v>
          </cell>
          <cell r="C1627">
            <v>0</v>
          </cell>
          <cell r="D1627" t="str">
            <v>PHP</v>
          </cell>
          <cell r="E1627">
            <v>0</v>
          </cell>
          <cell r="F1627" t="str">
            <v>PC</v>
          </cell>
          <cell r="G1627">
            <v>0</v>
          </cell>
        </row>
        <row r="1628">
          <cell r="B1628">
            <v>5359</v>
          </cell>
          <cell r="C1628">
            <v>0</v>
          </cell>
          <cell r="D1628" t="str">
            <v>PHP</v>
          </cell>
          <cell r="E1628">
            <v>0</v>
          </cell>
          <cell r="F1628" t="str">
            <v>UT</v>
          </cell>
          <cell r="G1628">
            <v>0</v>
          </cell>
        </row>
        <row r="1629">
          <cell r="B1629">
            <v>5360</v>
          </cell>
          <cell r="C1629">
            <v>9435.7000000000007</v>
          </cell>
          <cell r="D1629" t="str">
            <v>PHP</v>
          </cell>
          <cell r="E1629">
            <v>2</v>
          </cell>
          <cell r="F1629" t="str">
            <v>PC</v>
          </cell>
          <cell r="G1629">
            <v>0</v>
          </cell>
        </row>
        <row r="1630">
          <cell r="B1630">
            <v>5361</v>
          </cell>
          <cell r="C1630">
            <v>2234.36</v>
          </cell>
          <cell r="D1630" t="str">
            <v>PHP</v>
          </cell>
          <cell r="E1630">
            <v>1</v>
          </cell>
          <cell r="F1630" t="str">
            <v>PC</v>
          </cell>
          <cell r="G1630">
            <v>0</v>
          </cell>
        </row>
        <row r="1631">
          <cell r="B1631">
            <v>5365</v>
          </cell>
          <cell r="C1631">
            <v>0</v>
          </cell>
          <cell r="D1631" t="str">
            <v>PHP</v>
          </cell>
          <cell r="E1631">
            <v>0</v>
          </cell>
          <cell r="F1631" t="str">
            <v>PC</v>
          </cell>
          <cell r="G1631">
            <v>0</v>
          </cell>
        </row>
        <row r="1632">
          <cell r="B1632">
            <v>5386</v>
          </cell>
          <cell r="C1632">
            <v>0</v>
          </cell>
          <cell r="D1632" t="str">
            <v>PHP</v>
          </cell>
          <cell r="E1632">
            <v>0</v>
          </cell>
          <cell r="F1632" t="str">
            <v>PC</v>
          </cell>
          <cell r="G1632">
            <v>0</v>
          </cell>
        </row>
        <row r="1633">
          <cell r="B1633">
            <v>5387</v>
          </cell>
          <cell r="C1633">
            <v>0</v>
          </cell>
          <cell r="D1633" t="str">
            <v>PHP</v>
          </cell>
          <cell r="E1633">
            <v>0</v>
          </cell>
          <cell r="F1633" t="str">
            <v>PC</v>
          </cell>
          <cell r="G1633">
            <v>0</v>
          </cell>
        </row>
        <row r="1634">
          <cell r="B1634">
            <v>5388</v>
          </cell>
          <cell r="C1634">
            <v>633767.03</v>
          </cell>
          <cell r="D1634" t="str">
            <v>PHP</v>
          </cell>
          <cell r="E1634">
            <v>2</v>
          </cell>
          <cell r="F1634" t="str">
            <v>PC</v>
          </cell>
          <cell r="G1634">
            <v>0</v>
          </cell>
        </row>
        <row r="1635">
          <cell r="B1635">
            <v>5389</v>
          </cell>
          <cell r="C1635">
            <v>2428547.85</v>
          </cell>
          <cell r="D1635" t="str">
            <v>PHP</v>
          </cell>
          <cell r="E1635">
            <v>4</v>
          </cell>
          <cell r="F1635" t="str">
            <v>PC</v>
          </cell>
          <cell r="G1635">
            <v>0</v>
          </cell>
        </row>
        <row r="1636">
          <cell r="B1636">
            <v>5390</v>
          </cell>
          <cell r="C1636">
            <v>1588493.26</v>
          </cell>
          <cell r="D1636" t="str">
            <v>PHP</v>
          </cell>
          <cell r="E1636">
            <v>5</v>
          </cell>
          <cell r="F1636" t="str">
            <v>PC</v>
          </cell>
          <cell r="G1636">
            <v>0</v>
          </cell>
        </row>
        <row r="1637">
          <cell r="B1637">
            <v>5391</v>
          </cell>
          <cell r="C1637">
            <v>139562.74</v>
          </cell>
          <cell r="D1637" t="str">
            <v>PHP</v>
          </cell>
          <cell r="E1637">
            <v>4</v>
          </cell>
          <cell r="F1637" t="str">
            <v>PC</v>
          </cell>
          <cell r="G1637">
            <v>0</v>
          </cell>
        </row>
        <row r="1638">
          <cell r="B1638">
            <v>5395</v>
          </cell>
          <cell r="C1638">
            <v>0</v>
          </cell>
          <cell r="D1638" t="str">
            <v>PHP</v>
          </cell>
          <cell r="E1638">
            <v>0</v>
          </cell>
          <cell r="F1638" t="str">
            <v>PC</v>
          </cell>
          <cell r="G1638">
            <v>0</v>
          </cell>
        </row>
        <row r="1639">
          <cell r="B1639">
            <v>5396</v>
          </cell>
          <cell r="C1639">
            <v>0</v>
          </cell>
          <cell r="D1639" t="str">
            <v>PHP</v>
          </cell>
          <cell r="E1639">
            <v>0</v>
          </cell>
          <cell r="F1639" t="str">
            <v>PC</v>
          </cell>
          <cell r="G1639">
            <v>0</v>
          </cell>
        </row>
        <row r="1640">
          <cell r="B1640">
            <v>5403</v>
          </cell>
          <cell r="C1640">
            <v>25952.880000000001</v>
          </cell>
          <cell r="D1640" t="str">
            <v>PHP</v>
          </cell>
          <cell r="E1640">
            <v>1</v>
          </cell>
          <cell r="F1640" t="str">
            <v>PC</v>
          </cell>
          <cell r="G1640">
            <v>0</v>
          </cell>
        </row>
        <row r="1641">
          <cell r="B1641">
            <v>5412</v>
          </cell>
          <cell r="C1641">
            <v>0</v>
          </cell>
          <cell r="D1641" t="str">
            <v>PHP</v>
          </cell>
          <cell r="E1641">
            <v>0</v>
          </cell>
          <cell r="F1641" t="str">
            <v>PC</v>
          </cell>
          <cell r="G1641">
            <v>0</v>
          </cell>
        </row>
        <row r="1642">
          <cell r="B1642">
            <v>5415</v>
          </cell>
          <cell r="C1642">
            <v>0</v>
          </cell>
          <cell r="D1642" t="str">
            <v>PHP</v>
          </cell>
          <cell r="E1642">
            <v>0</v>
          </cell>
          <cell r="F1642" t="str">
            <v>PC</v>
          </cell>
          <cell r="G1642">
            <v>0</v>
          </cell>
        </row>
        <row r="1643">
          <cell r="B1643">
            <v>5416</v>
          </cell>
          <cell r="C1643">
            <v>133647.79999999999</v>
          </cell>
          <cell r="D1643" t="str">
            <v>PHP</v>
          </cell>
          <cell r="E1643">
            <v>1</v>
          </cell>
          <cell r="F1643" t="str">
            <v>PC</v>
          </cell>
          <cell r="G1643">
            <v>0</v>
          </cell>
        </row>
        <row r="1644">
          <cell r="B1644">
            <v>5417</v>
          </cell>
          <cell r="C1644">
            <v>0</v>
          </cell>
          <cell r="D1644" t="str">
            <v>PHP</v>
          </cell>
          <cell r="E1644">
            <v>0</v>
          </cell>
          <cell r="F1644" t="str">
            <v>PC</v>
          </cell>
          <cell r="G1644">
            <v>0</v>
          </cell>
        </row>
        <row r="1645">
          <cell r="B1645">
            <v>5418</v>
          </cell>
          <cell r="C1645">
            <v>28000</v>
          </cell>
          <cell r="D1645" t="str">
            <v>PHP</v>
          </cell>
          <cell r="E1645">
            <v>2</v>
          </cell>
          <cell r="F1645" t="str">
            <v>PC</v>
          </cell>
          <cell r="G1645">
            <v>0</v>
          </cell>
        </row>
        <row r="1646">
          <cell r="B1646">
            <v>5419</v>
          </cell>
          <cell r="C1646">
            <v>26000</v>
          </cell>
          <cell r="D1646" t="str">
            <v>PHP</v>
          </cell>
          <cell r="E1646">
            <v>2</v>
          </cell>
          <cell r="F1646" t="str">
            <v>PC</v>
          </cell>
          <cell r="G1646">
            <v>0</v>
          </cell>
        </row>
        <row r="1647">
          <cell r="B1647">
            <v>5426</v>
          </cell>
          <cell r="C1647">
            <v>622698.78</v>
          </cell>
          <cell r="D1647" t="str">
            <v>PHP</v>
          </cell>
          <cell r="E1647">
            <v>2</v>
          </cell>
          <cell r="F1647" t="str">
            <v>PC</v>
          </cell>
          <cell r="G1647">
            <v>0</v>
          </cell>
        </row>
        <row r="1648">
          <cell r="B1648">
            <v>5427</v>
          </cell>
          <cell r="C1648">
            <v>164938</v>
          </cell>
          <cell r="D1648" t="str">
            <v>PHP</v>
          </cell>
          <cell r="E1648">
            <v>6</v>
          </cell>
          <cell r="F1648" t="str">
            <v>PC</v>
          </cell>
          <cell r="G1648">
            <v>0</v>
          </cell>
        </row>
        <row r="1649">
          <cell r="B1649">
            <v>5428</v>
          </cell>
          <cell r="C1649">
            <v>58238.61</v>
          </cell>
          <cell r="D1649" t="str">
            <v>PHP</v>
          </cell>
          <cell r="E1649">
            <v>1</v>
          </cell>
          <cell r="F1649" t="str">
            <v>PC</v>
          </cell>
          <cell r="G1649">
            <v>0</v>
          </cell>
        </row>
        <row r="1650">
          <cell r="B1650">
            <v>5429</v>
          </cell>
          <cell r="C1650">
            <v>0</v>
          </cell>
          <cell r="D1650" t="str">
            <v>PHP</v>
          </cell>
          <cell r="E1650">
            <v>0</v>
          </cell>
          <cell r="F1650" t="str">
            <v>PC</v>
          </cell>
          <cell r="G1650">
            <v>0</v>
          </cell>
        </row>
        <row r="1651">
          <cell r="B1651">
            <v>5431</v>
          </cell>
          <cell r="C1651">
            <v>441285.71</v>
          </cell>
          <cell r="D1651" t="str">
            <v>PHP</v>
          </cell>
          <cell r="E1651">
            <v>1</v>
          </cell>
          <cell r="F1651" t="str">
            <v>PC</v>
          </cell>
          <cell r="G1651">
            <v>0</v>
          </cell>
        </row>
        <row r="1652">
          <cell r="B1652">
            <v>5432</v>
          </cell>
          <cell r="C1652">
            <v>441285.71</v>
          </cell>
          <cell r="D1652" t="str">
            <v>PHP</v>
          </cell>
          <cell r="E1652">
            <v>1</v>
          </cell>
          <cell r="F1652" t="str">
            <v>PC</v>
          </cell>
          <cell r="G1652">
            <v>0</v>
          </cell>
        </row>
        <row r="1653">
          <cell r="B1653">
            <v>5433</v>
          </cell>
          <cell r="C1653">
            <v>138165</v>
          </cell>
          <cell r="D1653" t="str">
            <v>PHP</v>
          </cell>
          <cell r="E1653">
            <v>3</v>
          </cell>
          <cell r="F1653" t="str">
            <v>PC</v>
          </cell>
          <cell r="G1653">
            <v>0</v>
          </cell>
        </row>
        <row r="1654">
          <cell r="B1654">
            <v>5435</v>
          </cell>
          <cell r="C1654">
            <v>135038</v>
          </cell>
          <cell r="D1654" t="str">
            <v>PHP</v>
          </cell>
          <cell r="E1654">
            <v>1</v>
          </cell>
          <cell r="F1654" t="str">
            <v>PC</v>
          </cell>
          <cell r="G1654">
            <v>0</v>
          </cell>
        </row>
        <row r="1655">
          <cell r="B1655">
            <v>5441</v>
          </cell>
          <cell r="C1655">
            <v>231885.98</v>
          </cell>
          <cell r="D1655" t="str">
            <v>PHP</v>
          </cell>
          <cell r="E1655">
            <v>2</v>
          </cell>
          <cell r="F1655" t="str">
            <v>PC</v>
          </cell>
          <cell r="G1655">
            <v>0</v>
          </cell>
        </row>
        <row r="1656">
          <cell r="B1656">
            <v>5450</v>
          </cell>
          <cell r="C1656">
            <v>0</v>
          </cell>
          <cell r="D1656" t="str">
            <v>PHP</v>
          </cell>
          <cell r="E1656">
            <v>0</v>
          </cell>
          <cell r="F1656" t="str">
            <v>PC</v>
          </cell>
          <cell r="G1656">
            <v>0</v>
          </cell>
        </row>
        <row r="1657">
          <cell r="B1657">
            <v>5456</v>
          </cell>
          <cell r="C1657">
            <v>128938.31</v>
          </cell>
          <cell r="D1657" t="str">
            <v>PHP</v>
          </cell>
          <cell r="E1657">
            <v>2</v>
          </cell>
          <cell r="F1657" t="str">
            <v>PC</v>
          </cell>
          <cell r="G1657">
            <v>0</v>
          </cell>
        </row>
        <row r="1658">
          <cell r="B1658">
            <v>5457</v>
          </cell>
          <cell r="C1658">
            <v>456135.24</v>
          </cell>
          <cell r="D1658" t="str">
            <v>PHP</v>
          </cell>
          <cell r="E1658">
            <v>3</v>
          </cell>
          <cell r="F1658" t="str">
            <v>PC</v>
          </cell>
          <cell r="G1658">
            <v>0</v>
          </cell>
        </row>
        <row r="1659">
          <cell r="B1659">
            <v>5458</v>
          </cell>
          <cell r="C1659">
            <v>0</v>
          </cell>
          <cell r="D1659" t="str">
            <v>PHP</v>
          </cell>
          <cell r="E1659">
            <v>0</v>
          </cell>
          <cell r="F1659" t="str">
            <v>PC</v>
          </cell>
          <cell r="G1659">
            <v>0</v>
          </cell>
        </row>
        <row r="1660">
          <cell r="B1660">
            <v>5459</v>
          </cell>
          <cell r="C1660">
            <v>476868.35</v>
          </cell>
          <cell r="D1660" t="str">
            <v>PHP</v>
          </cell>
          <cell r="E1660">
            <v>2</v>
          </cell>
          <cell r="F1660" t="str">
            <v>PC</v>
          </cell>
          <cell r="G1660">
            <v>0</v>
          </cell>
        </row>
        <row r="1661">
          <cell r="B1661">
            <v>5461</v>
          </cell>
          <cell r="C1661">
            <v>4890.3599999999997</v>
          </cell>
          <cell r="D1661" t="str">
            <v>PHP</v>
          </cell>
          <cell r="E1661">
            <v>6</v>
          </cell>
          <cell r="F1661" t="str">
            <v>PC</v>
          </cell>
          <cell r="G1661">
            <v>0</v>
          </cell>
        </row>
        <row r="1662">
          <cell r="B1662">
            <v>5462</v>
          </cell>
          <cell r="C1662">
            <v>80474.61</v>
          </cell>
          <cell r="D1662" t="str">
            <v>PHP</v>
          </cell>
          <cell r="E1662">
            <v>12</v>
          </cell>
          <cell r="F1662" t="str">
            <v>SET</v>
          </cell>
          <cell r="G1662">
            <v>0</v>
          </cell>
        </row>
        <row r="1663">
          <cell r="B1663">
            <v>5476</v>
          </cell>
          <cell r="C1663">
            <v>1953.06</v>
          </cell>
          <cell r="D1663" t="str">
            <v>PHP</v>
          </cell>
          <cell r="E1663">
            <v>1</v>
          </cell>
          <cell r="F1663" t="str">
            <v>PC</v>
          </cell>
          <cell r="G1663">
            <v>0</v>
          </cell>
        </row>
        <row r="1664">
          <cell r="B1664">
            <v>5477</v>
          </cell>
          <cell r="C1664">
            <v>9158.07</v>
          </cell>
          <cell r="D1664" t="str">
            <v>PHP</v>
          </cell>
          <cell r="E1664">
            <v>10</v>
          </cell>
          <cell r="F1664" t="str">
            <v>PC</v>
          </cell>
          <cell r="G1664">
            <v>0</v>
          </cell>
        </row>
        <row r="1665">
          <cell r="B1665">
            <v>5478</v>
          </cell>
          <cell r="C1665">
            <v>4113.4399999999996</v>
          </cell>
          <cell r="D1665" t="str">
            <v>PHP</v>
          </cell>
          <cell r="E1665">
            <v>2</v>
          </cell>
          <cell r="F1665" t="str">
            <v>PC</v>
          </cell>
          <cell r="G1665">
            <v>0</v>
          </cell>
        </row>
        <row r="1666">
          <cell r="B1666">
            <v>5479</v>
          </cell>
          <cell r="C1666">
            <v>32464.68</v>
          </cell>
          <cell r="D1666" t="str">
            <v>PHP</v>
          </cell>
          <cell r="E1666">
            <v>8</v>
          </cell>
          <cell r="F1666" t="str">
            <v>PC</v>
          </cell>
          <cell r="G1666">
            <v>0</v>
          </cell>
        </row>
        <row r="1667">
          <cell r="B1667">
            <v>5480</v>
          </cell>
          <cell r="C1667">
            <v>133680</v>
          </cell>
          <cell r="D1667" t="str">
            <v>PHP</v>
          </cell>
          <cell r="E1667">
            <v>24</v>
          </cell>
          <cell r="F1667" t="str">
            <v>PC</v>
          </cell>
          <cell r="G1667">
            <v>0</v>
          </cell>
        </row>
        <row r="1668">
          <cell r="B1668">
            <v>5481</v>
          </cell>
          <cell r="C1668">
            <v>1775.23</v>
          </cell>
          <cell r="D1668" t="str">
            <v>PHP</v>
          </cell>
          <cell r="E1668">
            <v>4</v>
          </cell>
          <cell r="F1668" t="str">
            <v>PC</v>
          </cell>
          <cell r="G1668">
            <v>0</v>
          </cell>
        </row>
        <row r="1669">
          <cell r="B1669">
            <v>5490</v>
          </cell>
          <cell r="C1669">
            <v>41816</v>
          </cell>
          <cell r="D1669" t="str">
            <v>PHP</v>
          </cell>
          <cell r="E1669">
            <v>2</v>
          </cell>
          <cell r="F1669" t="str">
            <v>PC</v>
          </cell>
          <cell r="G1669">
            <v>0</v>
          </cell>
        </row>
        <row r="1670">
          <cell r="B1670">
            <v>5505</v>
          </cell>
          <cell r="C1670">
            <v>0</v>
          </cell>
          <cell r="D1670" t="str">
            <v>PHP</v>
          </cell>
          <cell r="E1670">
            <v>0</v>
          </cell>
          <cell r="F1670" t="str">
            <v>PC</v>
          </cell>
          <cell r="G1670">
            <v>0</v>
          </cell>
        </row>
        <row r="1671">
          <cell r="B1671">
            <v>5511</v>
          </cell>
          <cell r="C1671">
            <v>11908.6</v>
          </cell>
          <cell r="D1671" t="str">
            <v>PHP</v>
          </cell>
          <cell r="E1671">
            <v>6</v>
          </cell>
          <cell r="F1671" t="str">
            <v>PC</v>
          </cell>
          <cell r="G1671">
            <v>0</v>
          </cell>
        </row>
        <row r="1672">
          <cell r="B1672">
            <v>5512</v>
          </cell>
          <cell r="C1672">
            <v>23715.360000000001</v>
          </cell>
          <cell r="D1672" t="str">
            <v>PHP</v>
          </cell>
          <cell r="E1672">
            <v>2</v>
          </cell>
          <cell r="F1672" t="str">
            <v>PC</v>
          </cell>
          <cell r="G1672">
            <v>0</v>
          </cell>
        </row>
        <row r="1673">
          <cell r="B1673">
            <v>5513</v>
          </cell>
          <cell r="C1673">
            <v>20957.759999999998</v>
          </cell>
          <cell r="D1673" t="str">
            <v>PHP</v>
          </cell>
          <cell r="E1673">
            <v>2</v>
          </cell>
          <cell r="F1673" t="str">
            <v>PC</v>
          </cell>
          <cell r="G1673">
            <v>0</v>
          </cell>
        </row>
        <row r="1674">
          <cell r="B1674">
            <v>5519</v>
          </cell>
          <cell r="C1674">
            <v>677.68</v>
          </cell>
          <cell r="D1674" t="str">
            <v>PHP</v>
          </cell>
          <cell r="E1674">
            <v>4</v>
          </cell>
          <cell r="F1674" t="str">
            <v>PC</v>
          </cell>
          <cell r="G1674">
            <v>0</v>
          </cell>
        </row>
        <row r="1675">
          <cell r="B1675">
            <v>5520</v>
          </cell>
          <cell r="C1675">
            <v>0</v>
          </cell>
          <cell r="D1675" t="str">
            <v>PHP</v>
          </cell>
          <cell r="E1675">
            <v>0</v>
          </cell>
          <cell r="F1675" t="str">
            <v>PC</v>
          </cell>
          <cell r="G1675">
            <v>0</v>
          </cell>
        </row>
        <row r="1676">
          <cell r="B1676">
            <v>5521</v>
          </cell>
          <cell r="C1676">
            <v>7200.05</v>
          </cell>
          <cell r="D1676" t="str">
            <v>PHP</v>
          </cell>
          <cell r="E1676">
            <v>8</v>
          </cell>
          <cell r="F1676" t="str">
            <v>PC</v>
          </cell>
          <cell r="G1676">
            <v>0</v>
          </cell>
        </row>
        <row r="1677">
          <cell r="B1677">
            <v>5522</v>
          </cell>
          <cell r="C1677">
            <v>0</v>
          </cell>
          <cell r="D1677" t="str">
            <v>PHP</v>
          </cell>
          <cell r="E1677">
            <v>0</v>
          </cell>
          <cell r="F1677" t="str">
            <v>PC</v>
          </cell>
          <cell r="G1677">
            <v>0</v>
          </cell>
        </row>
        <row r="1678">
          <cell r="B1678">
            <v>5523</v>
          </cell>
          <cell r="C1678">
            <v>0</v>
          </cell>
          <cell r="D1678" t="str">
            <v>PHP</v>
          </cell>
          <cell r="E1678">
            <v>0</v>
          </cell>
          <cell r="F1678" t="str">
            <v>PC</v>
          </cell>
          <cell r="G1678">
            <v>0</v>
          </cell>
        </row>
        <row r="1679">
          <cell r="B1679">
            <v>5526</v>
          </cell>
          <cell r="C1679">
            <v>40075.730000000003</v>
          </cell>
          <cell r="D1679" t="str">
            <v>PHP</v>
          </cell>
          <cell r="E1679">
            <v>2</v>
          </cell>
          <cell r="F1679" t="str">
            <v>PC</v>
          </cell>
          <cell r="G1679">
            <v>0</v>
          </cell>
        </row>
        <row r="1680">
          <cell r="B1680">
            <v>5529</v>
          </cell>
          <cell r="C1680">
            <v>58987.3</v>
          </cell>
          <cell r="D1680" t="str">
            <v>PHP</v>
          </cell>
          <cell r="E1680">
            <v>2</v>
          </cell>
          <cell r="F1680" t="str">
            <v>PC</v>
          </cell>
          <cell r="G1680">
            <v>0</v>
          </cell>
        </row>
        <row r="1681">
          <cell r="B1681">
            <v>5530</v>
          </cell>
          <cell r="C1681">
            <v>64240.62</v>
          </cell>
          <cell r="D1681" t="str">
            <v>PHP</v>
          </cell>
          <cell r="E1681">
            <v>3</v>
          </cell>
          <cell r="F1681" t="str">
            <v>PC</v>
          </cell>
          <cell r="G1681">
            <v>0</v>
          </cell>
        </row>
        <row r="1682">
          <cell r="B1682">
            <v>5531</v>
          </cell>
          <cell r="C1682">
            <v>993358.08</v>
          </cell>
          <cell r="D1682" t="str">
            <v>PHP</v>
          </cell>
          <cell r="E1682">
            <v>18</v>
          </cell>
          <cell r="F1682" t="str">
            <v>PC</v>
          </cell>
          <cell r="G1682">
            <v>0</v>
          </cell>
        </row>
        <row r="1683">
          <cell r="B1683">
            <v>5533</v>
          </cell>
          <cell r="C1683">
            <v>3104.16</v>
          </cell>
          <cell r="D1683" t="str">
            <v>PHP</v>
          </cell>
          <cell r="E1683">
            <v>48</v>
          </cell>
          <cell r="F1683" t="str">
            <v>PC</v>
          </cell>
          <cell r="G1683">
            <v>0</v>
          </cell>
        </row>
        <row r="1684">
          <cell r="B1684">
            <v>5535</v>
          </cell>
          <cell r="C1684">
            <v>12038.4</v>
          </cell>
          <cell r="D1684" t="str">
            <v>PHP</v>
          </cell>
          <cell r="E1684">
            <v>16</v>
          </cell>
          <cell r="F1684" t="str">
            <v>PC</v>
          </cell>
          <cell r="G1684">
            <v>0</v>
          </cell>
        </row>
        <row r="1685">
          <cell r="B1685">
            <v>5536</v>
          </cell>
          <cell r="C1685">
            <v>5644.8</v>
          </cell>
          <cell r="D1685" t="str">
            <v>PHP</v>
          </cell>
          <cell r="E1685">
            <v>24</v>
          </cell>
          <cell r="F1685" t="str">
            <v>PC</v>
          </cell>
          <cell r="G1685">
            <v>0</v>
          </cell>
        </row>
        <row r="1686">
          <cell r="B1686">
            <v>5538</v>
          </cell>
          <cell r="C1686">
            <v>43431.64</v>
          </cell>
          <cell r="D1686" t="str">
            <v>PHP</v>
          </cell>
          <cell r="E1686">
            <v>28</v>
          </cell>
          <cell r="F1686" t="str">
            <v>PC</v>
          </cell>
          <cell r="G1686">
            <v>0</v>
          </cell>
        </row>
        <row r="1687">
          <cell r="B1687">
            <v>5539</v>
          </cell>
          <cell r="C1687">
            <v>17877.919999999998</v>
          </cell>
          <cell r="D1687" t="str">
            <v>PHP</v>
          </cell>
          <cell r="E1687">
            <v>8</v>
          </cell>
          <cell r="F1687" t="str">
            <v>PC</v>
          </cell>
          <cell r="G1687">
            <v>0</v>
          </cell>
        </row>
        <row r="1688">
          <cell r="B1688">
            <v>5540</v>
          </cell>
          <cell r="C1688">
            <v>28580.12</v>
          </cell>
          <cell r="D1688" t="str">
            <v>PHP</v>
          </cell>
          <cell r="E1688">
            <v>14</v>
          </cell>
          <cell r="F1688" t="str">
            <v>PC</v>
          </cell>
          <cell r="G1688">
            <v>0</v>
          </cell>
        </row>
        <row r="1689">
          <cell r="B1689">
            <v>5542</v>
          </cell>
          <cell r="C1689">
            <v>17208</v>
          </cell>
          <cell r="D1689" t="str">
            <v>PHP</v>
          </cell>
          <cell r="E1689">
            <v>18</v>
          </cell>
          <cell r="F1689" t="str">
            <v>PC</v>
          </cell>
          <cell r="G1689">
            <v>0</v>
          </cell>
        </row>
        <row r="1690">
          <cell r="B1690">
            <v>5543</v>
          </cell>
          <cell r="C1690">
            <v>135842.60999999999</v>
          </cell>
          <cell r="D1690" t="str">
            <v>PHP</v>
          </cell>
          <cell r="E1690">
            <v>24</v>
          </cell>
          <cell r="F1690" t="str">
            <v>PC</v>
          </cell>
          <cell r="G1690">
            <v>0</v>
          </cell>
        </row>
        <row r="1691">
          <cell r="B1691">
            <v>5545</v>
          </cell>
          <cell r="C1691">
            <v>18735.84</v>
          </cell>
          <cell r="D1691" t="str">
            <v>PHP</v>
          </cell>
          <cell r="E1691">
            <v>2</v>
          </cell>
          <cell r="F1691" t="str">
            <v>PC</v>
          </cell>
          <cell r="G1691">
            <v>0</v>
          </cell>
        </row>
        <row r="1692">
          <cell r="B1692">
            <v>5547</v>
          </cell>
          <cell r="C1692">
            <v>35718.75</v>
          </cell>
          <cell r="D1692" t="str">
            <v>PHP</v>
          </cell>
          <cell r="E1692">
            <v>3</v>
          </cell>
          <cell r="F1692" t="str">
            <v>PC</v>
          </cell>
          <cell r="G1692">
            <v>0</v>
          </cell>
        </row>
        <row r="1693">
          <cell r="B1693">
            <v>5548</v>
          </cell>
          <cell r="C1693">
            <v>3583.74</v>
          </cell>
          <cell r="D1693" t="str">
            <v>PHP</v>
          </cell>
          <cell r="E1693">
            <v>8</v>
          </cell>
          <cell r="F1693" t="str">
            <v>PC</v>
          </cell>
          <cell r="G1693">
            <v>0</v>
          </cell>
        </row>
        <row r="1694">
          <cell r="B1694">
            <v>5550</v>
          </cell>
          <cell r="C1694">
            <v>1132.78</v>
          </cell>
          <cell r="D1694" t="str">
            <v>PHP</v>
          </cell>
          <cell r="E1694">
            <v>16</v>
          </cell>
          <cell r="F1694" t="str">
            <v>PC</v>
          </cell>
          <cell r="G1694">
            <v>0</v>
          </cell>
        </row>
        <row r="1695">
          <cell r="B1695">
            <v>5559</v>
          </cell>
          <cell r="C1695">
            <v>2989.32</v>
          </cell>
          <cell r="D1695" t="str">
            <v>PHP</v>
          </cell>
          <cell r="E1695">
            <v>12</v>
          </cell>
          <cell r="F1695" t="str">
            <v>PC</v>
          </cell>
          <cell r="G1695">
            <v>0</v>
          </cell>
        </row>
        <row r="1696">
          <cell r="B1696">
            <v>5560</v>
          </cell>
          <cell r="C1696">
            <v>20208</v>
          </cell>
          <cell r="D1696" t="str">
            <v>PHP</v>
          </cell>
          <cell r="E1696">
            <v>32</v>
          </cell>
          <cell r="F1696" t="str">
            <v>PC</v>
          </cell>
          <cell r="G1696">
            <v>0</v>
          </cell>
        </row>
        <row r="1697">
          <cell r="B1697">
            <v>5561</v>
          </cell>
          <cell r="C1697">
            <v>7079.3</v>
          </cell>
          <cell r="D1697" t="str">
            <v>PHP</v>
          </cell>
          <cell r="E1697">
            <v>10</v>
          </cell>
          <cell r="F1697" t="str">
            <v>PC</v>
          </cell>
          <cell r="G1697">
            <v>0</v>
          </cell>
        </row>
        <row r="1698">
          <cell r="B1698">
            <v>5563</v>
          </cell>
          <cell r="C1698">
            <v>4149.16</v>
          </cell>
          <cell r="D1698" t="str">
            <v>PHP</v>
          </cell>
          <cell r="E1698">
            <v>21</v>
          </cell>
          <cell r="F1698" t="str">
            <v>PC</v>
          </cell>
          <cell r="G1698">
            <v>0</v>
          </cell>
        </row>
        <row r="1699">
          <cell r="B1699">
            <v>5565</v>
          </cell>
          <cell r="C1699">
            <v>12780.54</v>
          </cell>
          <cell r="D1699" t="str">
            <v>PHP</v>
          </cell>
          <cell r="E1699">
            <v>24</v>
          </cell>
          <cell r="F1699" t="str">
            <v>PC</v>
          </cell>
          <cell r="G1699">
            <v>0</v>
          </cell>
        </row>
        <row r="1700">
          <cell r="B1700">
            <v>5566</v>
          </cell>
          <cell r="C1700">
            <v>14200.31</v>
          </cell>
          <cell r="D1700" t="str">
            <v>PHP</v>
          </cell>
          <cell r="E1700">
            <v>12</v>
          </cell>
          <cell r="F1700" t="str">
            <v>PC</v>
          </cell>
          <cell r="G1700">
            <v>0</v>
          </cell>
        </row>
        <row r="1701">
          <cell r="B1701">
            <v>5567</v>
          </cell>
          <cell r="C1701">
            <v>41648.32</v>
          </cell>
          <cell r="D1701" t="str">
            <v>PHP</v>
          </cell>
          <cell r="E1701">
            <v>28</v>
          </cell>
          <cell r="F1701" t="str">
            <v>PC</v>
          </cell>
          <cell r="G1701">
            <v>0</v>
          </cell>
        </row>
        <row r="1702">
          <cell r="B1702">
            <v>5568</v>
          </cell>
          <cell r="C1702">
            <v>1215.8399999999999</v>
          </cell>
          <cell r="D1702" t="str">
            <v>PHP</v>
          </cell>
          <cell r="E1702">
            <v>12</v>
          </cell>
          <cell r="F1702" t="str">
            <v>PC</v>
          </cell>
          <cell r="G1702">
            <v>0</v>
          </cell>
        </row>
        <row r="1703">
          <cell r="B1703">
            <v>5569</v>
          </cell>
          <cell r="C1703">
            <v>221.62</v>
          </cell>
          <cell r="D1703" t="str">
            <v>PHP</v>
          </cell>
          <cell r="E1703">
            <v>4</v>
          </cell>
          <cell r="F1703" t="str">
            <v>PC</v>
          </cell>
          <cell r="G1703">
            <v>0</v>
          </cell>
        </row>
        <row r="1704">
          <cell r="B1704">
            <v>5570</v>
          </cell>
          <cell r="C1704">
            <v>810.52</v>
          </cell>
          <cell r="D1704" t="str">
            <v>PHP</v>
          </cell>
          <cell r="E1704">
            <v>8</v>
          </cell>
          <cell r="F1704" t="str">
            <v>PC</v>
          </cell>
          <cell r="G1704">
            <v>0</v>
          </cell>
        </row>
        <row r="1705">
          <cell r="B1705">
            <v>5577</v>
          </cell>
          <cell r="C1705">
            <v>3173.4</v>
          </cell>
          <cell r="D1705" t="str">
            <v>PHP</v>
          </cell>
          <cell r="E1705">
            <v>2</v>
          </cell>
          <cell r="F1705" t="str">
            <v>PC</v>
          </cell>
          <cell r="G1705">
            <v>0</v>
          </cell>
        </row>
        <row r="1706">
          <cell r="B1706">
            <v>5578</v>
          </cell>
          <cell r="C1706">
            <v>2416.6</v>
          </cell>
          <cell r="D1706" t="str">
            <v>PHP</v>
          </cell>
          <cell r="E1706">
            <v>2</v>
          </cell>
          <cell r="F1706" t="str">
            <v>PC</v>
          </cell>
          <cell r="G1706">
            <v>0</v>
          </cell>
        </row>
        <row r="1707">
          <cell r="B1707">
            <v>5602</v>
          </cell>
          <cell r="C1707">
            <v>2047.26</v>
          </cell>
          <cell r="D1707" t="str">
            <v>PHP</v>
          </cell>
          <cell r="E1707">
            <v>24</v>
          </cell>
          <cell r="F1707" t="str">
            <v>PC</v>
          </cell>
          <cell r="G1707">
            <v>0</v>
          </cell>
        </row>
        <row r="1708">
          <cell r="B1708">
            <v>5603</v>
          </cell>
          <cell r="C1708">
            <v>8733.9</v>
          </cell>
          <cell r="D1708" t="str">
            <v>PHP</v>
          </cell>
          <cell r="E1708">
            <v>4</v>
          </cell>
          <cell r="F1708" t="str">
            <v>PC</v>
          </cell>
          <cell r="G1708">
            <v>0</v>
          </cell>
        </row>
        <row r="1709">
          <cell r="B1709">
            <v>5604</v>
          </cell>
          <cell r="C1709">
            <v>7867.9</v>
          </cell>
          <cell r="D1709" t="str">
            <v>PHP</v>
          </cell>
          <cell r="E1709">
            <v>2</v>
          </cell>
          <cell r="F1709" t="str">
            <v>PC</v>
          </cell>
          <cell r="G1709">
            <v>0</v>
          </cell>
        </row>
        <row r="1710">
          <cell r="B1710">
            <v>5611</v>
          </cell>
          <cell r="C1710">
            <v>0</v>
          </cell>
          <cell r="D1710" t="str">
            <v>PHP</v>
          </cell>
          <cell r="E1710">
            <v>0</v>
          </cell>
          <cell r="F1710" t="str">
            <v>PC</v>
          </cell>
          <cell r="G1710">
            <v>0</v>
          </cell>
        </row>
        <row r="1711">
          <cell r="B1711">
            <v>5612</v>
          </cell>
          <cell r="C1711">
            <v>0</v>
          </cell>
          <cell r="D1711" t="str">
            <v>PHP</v>
          </cell>
          <cell r="E1711">
            <v>0</v>
          </cell>
          <cell r="F1711" t="str">
            <v>PC</v>
          </cell>
          <cell r="G1711">
            <v>0</v>
          </cell>
        </row>
        <row r="1712">
          <cell r="B1712">
            <v>5613</v>
          </cell>
          <cell r="C1712">
            <v>0</v>
          </cell>
          <cell r="D1712" t="str">
            <v>PHP</v>
          </cell>
          <cell r="E1712">
            <v>0</v>
          </cell>
          <cell r="F1712" t="str">
            <v>PC</v>
          </cell>
          <cell r="G1712">
            <v>0</v>
          </cell>
        </row>
        <row r="1713">
          <cell r="B1713">
            <v>5614</v>
          </cell>
          <cell r="C1713">
            <v>550.69000000000005</v>
          </cell>
          <cell r="D1713" t="str">
            <v>PHP</v>
          </cell>
          <cell r="E1713">
            <v>6</v>
          </cell>
          <cell r="F1713" t="str">
            <v>PC</v>
          </cell>
          <cell r="G1713">
            <v>0</v>
          </cell>
        </row>
        <row r="1714">
          <cell r="B1714">
            <v>5615</v>
          </cell>
          <cell r="C1714">
            <v>0</v>
          </cell>
          <cell r="D1714" t="str">
            <v>PHP</v>
          </cell>
          <cell r="E1714">
            <v>0</v>
          </cell>
          <cell r="F1714" t="str">
            <v>PC</v>
          </cell>
          <cell r="G1714">
            <v>0</v>
          </cell>
        </row>
        <row r="1715">
          <cell r="B1715">
            <v>5624</v>
          </cell>
          <cell r="C1715">
            <v>16915.759999999998</v>
          </cell>
          <cell r="D1715" t="str">
            <v>PHP</v>
          </cell>
          <cell r="E1715">
            <v>1</v>
          </cell>
          <cell r="F1715" t="str">
            <v>PL</v>
          </cell>
          <cell r="G1715">
            <v>0</v>
          </cell>
        </row>
        <row r="1716">
          <cell r="B1716">
            <v>5625</v>
          </cell>
          <cell r="C1716">
            <v>0</v>
          </cell>
          <cell r="D1716" t="str">
            <v>PHP</v>
          </cell>
          <cell r="E1716">
            <v>0</v>
          </cell>
          <cell r="F1716" t="str">
            <v>DR</v>
          </cell>
          <cell r="G1716">
            <v>0</v>
          </cell>
        </row>
        <row r="1717">
          <cell r="B1717">
            <v>5628</v>
          </cell>
          <cell r="C1717">
            <v>1120.3699999999999</v>
          </cell>
          <cell r="D1717" t="str">
            <v>PHP</v>
          </cell>
          <cell r="E1717">
            <v>1</v>
          </cell>
          <cell r="F1717" t="str">
            <v>PC</v>
          </cell>
          <cell r="G1717">
            <v>0</v>
          </cell>
        </row>
        <row r="1718">
          <cell r="B1718">
            <v>5634</v>
          </cell>
          <cell r="C1718">
            <v>2171.52</v>
          </cell>
          <cell r="D1718" t="str">
            <v>PHP</v>
          </cell>
          <cell r="E1718">
            <v>4</v>
          </cell>
          <cell r="F1718" t="str">
            <v>PC</v>
          </cell>
          <cell r="G1718">
            <v>0</v>
          </cell>
        </row>
        <row r="1719">
          <cell r="B1719">
            <v>5644</v>
          </cell>
          <cell r="C1719">
            <v>15280.94</v>
          </cell>
          <cell r="D1719" t="str">
            <v>PHP</v>
          </cell>
          <cell r="E1719">
            <v>114</v>
          </cell>
          <cell r="F1719" t="str">
            <v>PC</v>
          </cell>
          <cell r="G1719">
            <v>0</v>
          </cell>
        </row>
        <row r="1720">
          <cell r="B1720">
            <v>5645</v>
          </cell>
          <cell r="C1720">
            <v>2333.58</v>
          </cell>
          <cell r="D1720" t="str">
            <v>PHP</v>
          </cell>
          <cell r="E1720">
            <v>16</v>
          </cell>
          <cell r="F1720" t="str">
            <v>PC</v>
          </cell>
          <cell r="G1720">
            <v>0</v>
          </cell>
        </row>
        <row r="1721">
          <cell r="B1721">
            <v>5652</v>
          </cell>
          <cell r="C1721">
            <v>685.47</v>
          </cell>
          <cell r="D1721" t="str">
            <v>PHP</v>
          </cell>
          <cell r="E1721">
            <v>7</v>
          </cell>
          <cell r="F1721" t="str">
            <v>PC</v>
          </cell>
          <cell r="G1721">
            <v>0</v>
          </cell>
        </row>
        <row r="1722">
          <cell r="B1722">
            <v>5653</v>
          </cell>
          <cell r="C1722">
            <v>1005.77</v>
          </cell>
          <cell r="D1722" t="str">
            <v>PHP</v>
          </cell>
          <cell r="E1722">
            <v>4</v>
          </cell>
          <cell r="F1722" t="str">
            <v>PC</v>
          </cell>
          <cell r="G1722">
            <v>0</v>
          </cell>
        </row>
        <row r="1723">
          <cell r="B1723">
            <v>5654</v>
          </cell>
          <cell r="C1723">
            <v>2642.14</v>
          </cell>
          <cell r="D1723" t="str">
            <v>PHP</v>
          </cell>
          <cell r="E1723">
            <v>8</v>
          </cell>
          <cell r="F1723" t="str">
            <v>PC</v>
          </cell>
          <cell r="G1723">
            <v>0</v>
          </cell>
        </row>
        <row r="1724">
          <cell r="B1724">
            <v>5655</v>
          </cell>
          <cell r="C1724">
            <v>492.08</v>
          </cell>
          <cell r="D1724" t="str">
            <v>PHP</v>
          </cell>
          <cell r="E1724">
            <v>2</v>
          </cell>
          <cell r="F1724" t="str">
            <v>PC</v>
          </cell>
          <cell r="G1724">
            <v>0</v>
          </cell>
        </row>
        <row r="1725">
          <cell r="B1725">
            <v>5656</v>
          </cell>
          <cell r="C1725">
            <v>804.45</v>
          </cell>
          <cell r="D1725" t="str">
            <v>PHP</v>
          </cell>
          <cell r="E1725">
            <v>2</v>
          </cell>
          <cell r="F1725" t="str">
            <v>PC</v>
          </cell>
          <cell r="G1725">
            <v>0</v>
          </cell>
        </row>
        <row r="1726">
          <cell r="B1726">
            <v>5659</v>
          </cell>
          <cell r="C1726">
            <v>0</v>
          </cell>
          <cell r="D1726" t="str">
            <v>PHP</v>
          </cell>
          <cell r="E1726">
            <v>0</v>
          </cell>
          <cell r="F1726" t="str">
            <v>PC</v>
          </cell>
          <cell r="G1726">
            <v>0</v>
          </cell>
        </row>
        <row r="1727">
          <cell r="B1727">
            <v>5662</v>
          </cell>
          <cell r="C1727">
            <v>1811.54</v>
          </cell>
          <cell r="D1727" t="str">
            <v>PHP</v>
          </cell>
          <cell r="E1727">
            <v>2</v>
          </cell>
          <cell r="F1727" t="str">
            <v>PC</v>
          </cell>
          <cell r="G1727">
            <v>0</v>
          </cell>
        </row>
        <row r="1728">
          <cell r="B1728">
            <v>5663</v>
          </cell>
          <cell r="C1728">
            <v>646.72</v>
          </cell>
          <cell r="D1728" t="str">
            <v>PHP</v>
          </cell>
          <cell r="E1728">
            <v>2</v>
          </cell>
          <cell r="F1728" t="str">
            <v>PC</v>
          </cell>
          <cell r="G1728">
            <v>0</v>
          </cell>
        </row>
        <row r="1729">
          <cell r="B1729">
            <v>5666</v>
          </cell>
          <cell r="C1729">
            <v>5053.45</v>
          </cell>
          <cell r="D1729" t="str">
            <v>PHP</v>
          </cell>
          <cell r="E1729">
            <v>2</v>
          </cell>
          <cell r="F1729" t="str">
            <v>PC</v>
          </cell>
          <cell r="G1729">
            <v>0</v>
          </cell>
        </row>
        <row r="1730">
          <cell r="B1730">
            <v>5667</v>
          </cell>
          <cell r="C1730">
            <v>6508.83</v>
          </cell>
          <cell r="D1730" t="str">
            <v>PHP</v>
          </cell>
          <cell r="E1730">
            <v>20</v>
          </cell>
          <cell r="F1730" t="str">
            <v>PC</v>
          </cell>
          <cell r="G1730">
            <v>0</v>
          </cell>
        </row>
        <row r="1731">
          <cell r="B1731">
            <v>5668</v>
          </cell>
          <cell r="C1731">
            <v>4753.74</v>
          </cell>
          <cell r="D1731" t="str">
            <v>PHP</v>
          </cell>
          <cell r="E1731">
            <v>72</v>
          </cell>
          <cell r="F1731" t="str">
            <v>PC</v>
          </cell>
          <cell r="G1731">
            <v>0</v>
          </cell>
        </row>
        <row r="1732">
          <cell r="B1732">
            <v>5669</v>
          </cell>
          <cell r="C1732">
            <v>22362.09</v>
          </cell>
          <cell r="D1732" t="str">
            <v>PHP</v>
          </cell>
          <cell r="E1732">
            <v>18</v>
          </cell>
          <cell r="F1732" t="str">
            <v>PC</v>
          </cell>
          <cell r="G1732">
            <v>0</v>
          </cell>
        </row>
        <row r="1733">
          <cell r="B1733">
            <v>5670</v>
          </cell>
          <cell r="C1733">
            <v>1044.71</v>
          </cell>
          <cell r="D1733" t="str">
            <v>PHP</v>
          </cell>
          <cell r="E1733">
            <v>12</v>
          </cell>
          <cell r="F1733" t="str">
            <v>PC</v>
          </cell>
          <cell r="G1733">
            <v>0</v>
          </cell>
        </row>
        <row r="1734">
          <cell r="B1734">
            <v>5672</v>
          </cell>
          <cell r="C1734">
            <v>7858.93</v>
          </cell>
          <cell r="D1734" t="str">
            <v>PHP</v>
          </cell>
          <cell r="E1734">
            <v>3</v>
          </cell>
          <cell r="F1734" t="str">
            <v>PC</v>
          </cell>
          <cell r="G1734">
            <v>0</v>
          </cell>
        </row>
        <row r="1735">
          <cell r="B1735">
            <v>5673</v>
          </cell>
          <cell r="C1735">
            <v>1086.32</v>
          </cell>
          <cell r="D1735" t="str">
            <v>PHP</v>
          </cell>
          <cell r="E1735">
            <v>4</v>
          </cell>
          <cell r="F1735" t="str">
            <v>PC</v>
          </cell>
          <cell r="G1735">
            <v>0</v>
          </cell>
        </row>
        <row r="1736">
          <cell r="B1736">
            <v>5674</v>
          </cell>
          <cell r="C1736">
            <v>7490.48</v>
          </cell>
          <cell r="D1736" t="str">
            <v>PHP</v>
          </cell>
          <cell r="E1736">
            <v>40</v>
          </cell>
          <cell r="F1736" t="str">
            <v>PC</v>
          </cell>
          <cell r="G1736">
            <v>0</v>
          </cell>
        </row>
        <row r="1737">
          <cell r="B1737">
            <v>5682</v>
          </cell>
          <cell r="C1737">
            <v>0</v>
          </cell>
          <cell r="D1737" t="str">
            <v>PHP</v>
          </cell>
          <cell r="E1737">
            <v>0</v>
          </cell>
          <cell r="F1737" t="str">
            <v>PC</v>
          </cell>
          <cell r="G1737">
            <v>0</v>
          </cell>
        </row>
        <row r="1738">
          <cell r="B1738">
            <v>5684</v>
          </cell>
          <cell r="C1738">
            <v>8824.7199999999993</v>
          </cell>
          <cell r="D1738" t="str">
            <v>PHP</v>
          </cell>
          <cell r="E1738">
            <v>2</v>
          </cell>
          <cell r="F1738" t="str">
            <v>PC</v>
          </cell>
          <cell r="G1738">
            <v>0</v>
          </cell>
        </row>
        <row r="1739">
          <cell r="B1739">
            <v>5705</v>
          </cell>
          <cell r="C1739">
            <v>3643.68</v>
          </cell>
          <cell r="D1739" t="str">
            <v>PHP</v>
          </cell>
          <cell r="E1739">
            <v>24</v>
          </cell>
          <cell r="F1739" t="str">
            <v>PC</v>
          </cell>
          <cell r="G1739">
            <v>0</v>
          </cell>
        </row>
        <row r="1740">
          <cell r="B1740">
            <v>5710</v>
          </cell>
          <cell r="C1740">
            <v>30825</v>
          </cell>
          <cell r="D1740" t="str">
            <v>PHP</v>
          </cell>
          <cell r="E1740">
            <v>3</v>
          </cell>
          <cell r="F1740" t="str">
            <v>PC</v>
          </cell>
          <cell r="G1740">
            <v>0</v>
          </cell>
        </row>
        <row r="1741">
          <cell r="B1741">
            <v>5711</v>
          </cell>
          <cell r="C1741">
            <v>86000.66</v>
          </cell>
          <cell r="D1741" t="str">
            <v>PHP</v>
          </cell>
          <cell r="E1741">
            <v>18</v>
          </cell>
          <cell r="F1741" t="str">
            <v>PC</v>
          </cell>
          <cell r="G1741">
            <v>0</v>
          </cell>
        </row>
        <row r="1742">
          <cell r="B1742">
            <v>5716</v>
          </cell>
          <cell r="C1742">
            <v>1730</v>
          </cell>
          <cell r="D1742" t="str">
            <v>PHP</v>
          </cell>
          <cell r="E1742">
            <v>40</v>
          </cell>
          <cell r="F1742" t="str">
            <v>PC</v>
          </cell>
          <cell r="G1742">
            <v>0</v>
          </cell>
        </row>
        <row r="1743">
          <cell r="B1743">
            <v>5717</v>
          </cell>
          <cell r="C1743">
            <v>7866.87</v>
          </cell>
          <cell r="D1743" t="str">
            <v>PHP</v>
          </cell>
          <cell r="E1743">
            <v>4</v>
          </cell>
          <cell r="F1743" t="str">
            <v>PC</v>
          </cell>
          <cell r="G1743">
            <v>0</v>
          </cell>
        </row>
        <row r="1744">
          <cell r="B1744">
            <v>5718</v>
          </cell>
          <cell r="C1744">
            <v>1046.8499999999999</v>
          </cell>
          <cell r="D1744" t="str">
            <v>PHP</v>
          </cell>
          <cell r="E1744">
            <v>15</v>
          </cell>
          <cell r="F1744" t="str">
            <v>PC</v>
          </cell>
          <cell r="G1744">
            <v>0</v>
          </cell>
        </row>
        <row r="1745">
          <cell r="B1745">
            <v>5719</v>
          </cell>
          <cell r="C1745">
            <v>860.85</v>
          </cell>
          <cell r="D1745" t="str">
            <v>PHP</v>
          </cell>
          <cell r="E1745">
            <v>20</v>
          </cell>
          <cell r="F1745" t="str">
            <v>PC</v>
          </cell>
          <cell r="G1745">
            <v>0</v>
          </cell>
        </row>
        <row r="1746">
          <cell r="B1746">
            <v>5720</v>
          </cell>
          <cell r="C1746">
            <v>2055.2600000000002</v>
          </cell>
          <cell r="D1746" t="str">
            <v>PHP</v>
          </cell>
          <cell r="E1746">
            <v>44</v>
          </cell>
          <cell r="F1746" t="str">
            <v>PC</v>
          </cell>
          <cell r="G1746">
            <v>0</v>
          </cell>
        </row>
        <row r="1747">
          <cell r="B1747">
            <v>5721</v>
          </cell>
          <cell r="C1747">
            <v>3115.09</v>
          </cell>
          <cell r="D1747" t="str">
            <v>PHP</v>
          </cell>
          <cell r="E1747">
            <v>32</v>
          </cell>
          <cell r="F1747" t="str">
            <v>PC</v>
          </cell>
          <cell r="G1747">
            <v>0</v>
          </cell>
        </row>
        <row r="1748">
          <cell r="B1748">
            <v>5722</v>
          </cell>
          <cell r="C1748">
            <v>7530.94</v>
          </cell>
          <cell r="D1748" t="str">
            <v>PHP</v>
          </cell>
          <cell r="E1748">
            <v>128</v>
          </cell>
          <cell r="F1748" t="str">
            <v>PC</v>
          </cell>
          <cell r="G1748">
            <v>0</v>
          </cell>
        </row>
        <row r="1749">
          <cell r="B1749">
            <v>5723</v>
          </cell>
          <cell r="C1749">
            <v>21817.13</v>
          </cell>
          <cell r="D1749" t="str">
            <v>PHP</v>
          </cell>
          <cell r="E1749">
            <v>2</v>
          </cell>
          <cell r="F1749" t="str">
            <v>PC</v>
          </cell>
          <cell r="G1749">
            <v>0</v>
          </cell>
        </row>
        <row r="1750">
          <cell r="B1750">
            <v>5724</v>
          </cell>
          <cell r="C1750">
            <v>27832.21</v>
          </cell>
          <cell r="D1750" t="str">
            <v>PHP</v>
          </cell>
          <cell r="E1750">
            <v>14</v>
          </cell>
          <cell r="F1750" t="str">
            <v>PC</v>
          </cell>
          <cell r="G1750">
            <v>0</v>
          </cell>
        </row>
        <row r="1751">
          <cell r="B1751">
            <v>5739</v>
          </cell>
          <cell r="C1751">
            <v>0</v>
          </cell>
          <cell r="D1751" t="str">
            <v>PHP</v>
          </cell>
          <cell r="E1751">
            <v>0</v>
          </cell>
          <cell r="F1751" t="str">
            <v>PC</v>
          </cell>
          <cell r="G1751">
            <v>0</v>
          </cell>
        </row>
        <row r="1752">
          <cell r="B1752">
            <v>5740</v>
          </cell>
          <cell r="C1752">
            <v>37945.57</v>
          </cell>
          <cell r="D1752" t="str">
            <v>PHP</v>
          </cell>
          <cell r="E1752">
            <v>6</v>
          </cell>
          <cell r="F1752" t="str">
            <v>PC</v>
          </cell>
          <cell r="G1752">
            <v>0</v>
          </cell>
        </row>
        <row r="1753">
          <cell r="B1753">
            <v>5742</v>
          </cell>
          <cell r="C1753">
            <v>0</v>
          </cell>
          <cell r="D1753" t="str">
            <v>PHP</v>
          </cell>
          <cell r="E1753">
            <v>0</v>
          </cell>
          <cell r="F1753" t="str">
            <v>PC</v>
          </cell>
          <cell r="G1753">
            <v>0</v>
          </cell>
        </row>
        <row r="1754">
          <cell r="B1754">
            <v>5744</v>
          </cell>
          <cell r="C1754">
            <v>79746.350000000006</v>
          </cell>
          <cell r="D1754" t="str">
            <v>PHP</v>
          </cell>
          <cell r="E1754">
            <v>1</v>
          </cell>
          <cell r="F1754" t="str">
            <v>PC</v>
          </cell>
          <cell r="G1754">
            <v>0</v>
          </cell>
        </row>
        <row r="1755">
          <cell r="B1755">
            <v>5745</v>
          </cell>
          <cell r="C1755">
            <v>13074.37</v>
          </cell>
          <cell r="D1755" t="str">
            <v>PHP</v>
          </cell>
          <cell r="E1755">
            <v>3</v>
          </cell>
          <cell r="F1755" t="str">
            <v>PC</v>
          </cell>
          <cell r="G1755">
            <v>0</v>
          </cell>
        </row>
        <row r="1756">
          <cell r="B1756">
            <v>5747</v>
          </cell>
          <cell r="C1756">
            <v>22800</v>
          </cell>
          <cell r="D1756" t="str">
            <v>PHP</v>
          </cell>
          <cell r="E1756">
            <v>5</v>
          </cell>
          <cell r="F1756" t="str">
            <v>PC</v>
          </cell>
          <cell r="G1756">
            <v>0</v>
          </cell>
        </row>
        <row r="1757">
          <cell r="B1757">
            <v>5749</v>
          </cell>
          <cell r="C1757">
            <v>463940.59</v>
          </cell>
          <cell r="D1757" t="str">
            <v>PHP</v>
          </cell>
          <cell r="E1757">
            <v>5</v>
          </cell>
          <cell r="F1757" t="str">
            <v>PC</v>
          </cell>
          <cell r="G1757">
            <v>0</v>
          </cell>
        </row>
        <row r="1758">
          <cell r="B1758">
            <v>5750</v>
          </cell>
          <cell r="C1758">
            <v>325240.45</v>
          </cell>
          <cell r="D1758" t="str">
            <v>PHP</v>
          </cell>
          <cell r="E1758">
            <v>4</v>
          </cell>
          <cell r="F1758" t="str">
            <v>SET</v>
          </cell>
          <cell r="G1758">
            <v>0</v>
          </cell>
        </row>
        <row r="1759">
          <cell r="B1759">
            <v>5751</v>
          </cell>
          <cell r="C1759">
            <v>575049.77</v>
          </cell>
          <cell r="D1759" t="str">
            <v>PHP</v>
          </cell>
          <cell r="E1759">
            <v>8</v>
          </cell>
          <cell r="F1759" t="str">
            <v>PC</v>
          </cell>
          <cell r="G1759">
            <v>0</v>
          </cell>
        </row>
        <row r="1760">
          <cell r="B1760">
            <v>5752</v>
          </cell>
          <cell r="C1760">
            <v>508201.33</v>
          </cell>
          <cell r="D1760" t="str">
            <v>PHP</v>
          </cell>
          <cell r="E1760">
            <v>6</v>
          </cell>
          <cell r="F1760" t="str">
            <v>PC</v>
          </cell>
          <cell r="G1760">
            <v>0</v>
          </cell>
        </row>
        <row r="1761">
          <cell r="B1761">
            <v>5753</v>
          </cell>
          <cell r="C1761">
            <v>18595.54</v>
          </cell>
          <cell r="D1761" t="str">
            <v>PHP</v>
          </cell>
          <cell r="E1761">
            <v>1</v>
          </cell>
          <cell r="F1761" t="str">
            <v>PC</v>
          </cell>
          <cell r="G1761">
            <v>0</v>
          </cell>
        </row>
        <row r="1762">
          <cell r="B1762">
            <v>5754</v>
          </cell>
          <cell r="C1762">
            <v>34207.160000000003</v>
          </cell>
          <cell r="D1762" t="str">
            <v>PHP</v>
          </cell>
          <cell r="E1762">
            <v>2</v>
          </cell>
          <cell r="F1762" t="str">
            <v>PC</v>
          </cell>
          <cell r="G1762">
            <v>0</v>
          </cell>
        </row>
        <row r="1763">
          <cell r="B1763">
            <v>5755</v>
          </cell>
          <cell r="C1763">
            <v>238221.34</v>
          </cell>
          <cell r="D1763" t="str">
            <v>PHP</v>
          </cell>
          <cell r="E1763">
            <v>1</v>
          </cell>
          <cell r="F1763" t="str">
            <v>PC</v>
          </cell>
          <cell r="G1763">
            <v>0</v>
          </cell>
        </row>
        <row r="1764">
          <cell r="B1764">
            <v>5757</v>
          </cell>
          <cell r="C1764">
            <v>82768.350000000006</v>
          </cell>
          <cell r="D1764" t="str">
            <v>PHP</v>
          </cell>
          <cell r="E1764">
            <v>14</v>
          </cell>
          <cell r="F1764" t="str">
            <v>PC</v>
          </cell>
          <cell r="G1764">
            <v>0</v>
          </cell>
        </row>
        <row r="1765">
          <cell r="B1765">
            <v>5758</v>
          </cell>
          <cell r="C1765">
            <v>33388</v>
          </cell>
          <cell r="D1765" t="str">
            <v>PHP</v>
          </cell>
          <cell r="E1765">
            <v>2</v>
          </cell>
          <cell r="F1765" t="str">
            <v>KIT</v>
          </cell>
          <cell r="G1765">
            <v>0</v>
          </cell>
        </row>
        <row r="1766">
          <cell r="B1766">
            <v>5759</v>
          </cell>
          <cell r="C1766">
            <v>0</v>
          </cell>
          <cell r="D1766" t="str">
            <v>PHP</v>
          </cell>
          <cell r="E1766">
            <v>0</v>
          </cell>
          <cell r="F1766" t="str">
            <v>KIT</v>
          </cell>
          <cell r="G1766">
            <v>0</v>
          </cell>
        </row>
        <row r="1767">
          <cell r="B1767">
            <v>5776</v>
          </cell>
          <cell r="C1767">
            <v>37528.980000000003</v>
          </cell>
          <cell r="D1767" t="str">
            <v>PHP</v>
          </cell>
          <cell r="E1767">
            <v>59</v>
          </cell>
          <cell r="F1767" t="str">
            <v>PC</v>
          </cell>
          <cell r="G1767">
            <v>0</v>
          </cell>
        </row>
        <row r="1768">
          <cell r="B1768">
            <v>5777</v>
          </cell>
          <cell r="C1768">
            <v>32101.86</v>
          </cell>
          <cell r="D1768" t="str">
            <v>PHP</v>
          </cell>
          <cell r="E1768">
            <v>67</v>
          </cell>
          <cell r="F1768" t="str">
            <v>PC</v>
          </cell>
          <cell r="G1768">
            <v>0</v>
          </cell>
        </row>
        <row r="1769">
          <cell r="B1769">
            <v>5778</v>
          </cell>
          <cell r="C1769">
            <v>0</v>
          </cell>
          <cell r="D1769" t="str">
            <v>PHP</v>
          </cell>
          <cell r="E1769">
            <v>0</v>
          </cell>
          <cell r="F1769" t="str">
            <v>PC</v>
          </cell>
          <cell r="G1769">
            <v>0</v>
          </cell>
        </row>
        <row r="1770">
          <cell r="B1770">
            <v>5779</v>
          </cell>
          <cell r="C1770">
            <v>14667.2</v>
          </cell>
          <cell r="D1770" t="str">
            <v>PHP</v>
          </cell>
          <cell r="E1770">
            <v>16</v>
          </cell>
          <cell r="F1770" t="str">
            <v>PC</v>
          </cell>
          <cell r="G1770">
            <v>0</v>
          </cell>
        </row>
        <row r="1771">
          <cell r="B1771">
            <v>5781</v>
          </cell>
          <cell r="C1771">
            <v>8714.2800000000007</v>
          </cell>
          <cell r="D1771" t="str">
            <v>PHP</v>
          </cell>
          <cell r="E1771">
            <v>36</v>
          </cell>
          <cell r="F1771" t="str">
            <v>PC</v>
          </cell>
          <cell r="G1771">
            <v>0</v>
          </cell>
        </row>
        <row r="1772">
          <cell r="B1772">
            <v>5782</v>
          </cell>
          <cell r="C1772">
            <v>17853.28</v>
          </cell>
          <cell r="D1772" t="str">
            <v>PHP</v>
          </cell>
          <cell r="E1772">
            <v>11</v>
          </cell>
          <cell r="F1772" t="str">
            <v>PC</v>
          </cell>
          <cell r="G1772">
            <v>0</v>
          </cell>
        </row>
        <row r="1773">
          <cell r="B1773">
            <v>5791</v>
          </cell>
          <cell r="C1773">
            <v>0</v>
          </cell>
          <cell r="D1773" t="str">
            <v>PHP</v>
          </cell>
          <cell r="E1773">
            <v>0</v>
          </cell>
          <cell r="F1773" t="str">
            <v>PC</v>
          </cell>
          <cell r="G1773">
            <v>0</v>
          </cell>
        </row>
        <row r="1774">
          <cell r="B1774">
            <v>5793</v>
          </cell>
          <cell r="C1774">
            <v>0</v>
          </cell>
          <cell r="D1774" t="str">
            <v>PHP</v>
          </cell>
          <cell r="E1774">
            <v>0</v>
          </cell>
          <cell r="F1774" t="str">
            <v>PC</v>
          </cell>
          <cell r="G1774">
            <v>0</v>
          </cell>
        </row>
        <row r="1775">
          <cell r="B1775">
            <v>5809</v>
          </cell>
          <cell r="C1775">
            <v>353201.12</v>
          </cell>
          <cell r="D1775" t="str">
            <v>PHP</v>
          </cell>
          <cell r="E1775">
            <v>4</v>
          </cell>
          <cell r="F1775" t="str">
            <v>PC</v>
          </cell>
          <cell r="G1775">
            <v>0</v>
          </cell>
        </row>
        <row r="1776">
          <cell r="B1776">
            <v>5812</v>
          </cell>
          <cell r="C1776">
            <v>4841.6099999999997</v>
          </cell>
          <cell r="D1776" t="str">
            <v>PHP</v>
          </cell>
          <cell r="E1776">
            <v>2</v>
          </cell>
          <cell r="F1776" t="str">
            <v>PC</v>
          </cell>
          <cell r="G1776">
            <v>0</v>
          </cell>
        </row>
        <row r="1777">
          <cell r="B1777">
            <v>5813</v>
          </cell>
          <cell r="C1777">
            <v>4842.74</v>
          </cell>
          <cell r="D1777" t="str">
            <v>PHP</v>
          </cell>
          <cell r="E1777">
            <v>10</v>
          </cell>
          <cell r="F1777" t="str">
            <v>PC</v>
          </cell>
          <cell r="G1777">
            <v>0</v>
          </cell>
        </row>
        <row r="1778">
          <cell r="B1778">
            <v>5817</v>
          </cell>
          <cell r="C1778">
            <v>14001.32</v>
          </cell>
          <cell r="D1778" t="str">
            <v>PHP</v>
          </cell>
          <cell r="E1778">
            <v>12</v>
          </cell>
          <cell r="F1778" t="str">
            <v>PC</v>
          </cell>
          <cell r="G1778">
            <v>0</v>
          </cell>
        </row>
        <row r="1779">
          <cell r="B1779">
            <v>5818</v>
          </cell>
          <cell r="C1779">
            <v>0</v>
          </cell>
          <cell r="D1779" t="str">
            <v>PHP</v>
          </cell>
          <cell r="E1779">
            <v>0</v>
          </cell>
          <cell r="F1779" t="str">
            <v>PC</v>
          </cell>
          <cell r="G1779">
            <v>0</v>
          </cell>
        </row>
        <row r="1780">
          <cell r="B1780">
            <v>5823</v>
          </cell>
          <cell r="C1780">
            <v>564129.28000000003</v>
          </cell>
          <cell r="D1780" t="str">
            <v>PHP</v>
          </cell>
          <cell r="E1780">
            <v>16</v>
          </cell>
          <cell r="F1780" t="str">
            <v>PC</v>
          </cell>
          <cell r="G1780">
            <v>0</v>
          </cell>
        </row>
        <row r="1781">
          <cell r="B1781">
            <v>5839</v>
          </cell>
          <cell r="C1781">
            <v>2761.93</v>
          </cell>
          <cell r="D1781" t="str">
            <v>PHP</v>
          </cell>
          <cell r="E1781">
            <v>1</v>
          </cell>
          <cell r="F1781" t="str">
            <v>PC</v>
          </cell>
          <cell r="G1781">
            <v>0</v>
          </cell>
        </row>
        <row r="1782">
          <cell r="B1782">
            <v>5842</v>
          </cell>
          <cell r="C1782">
            <v>19976.05</v>
          </cell>
          <cell r="D1782" t="str">
            <v>PHP</v>
          </cell>
          <cell r="E1782">
            <v>1</v>
          </cell>
          <cell r="F1782" t="str">
            <v>PC</v>
          </cell>
          <cell r="G1782">
            <v>0</v>
          </cell>
        </row>
        <row r="1783">
          <cell r="B1783">
            <v>5843</v>
          </cell>
          <cell r="C1783">
            <v>985.32</v>
          </cell>
          <cell r="D1783" t="str">
            <v>PHP</v>
          </cell>
          <cell r="E1783">
            <v>1</v>
          </cell>
          <cell r="F1783" t="str">
            <v>PC</v>
          </cell>
          <cell r="G1783">
            <v>0</v>
          </cell>
        </row>
        <row r="1784">
          <cell r="B1784">
            <v>5848</v>
          </cell>
          <cell r="C1784">
            <v>0</v>
          </cell>
          <cell r="D1784" t="str">
            <v>PHP</v>
          </cell>
          <cell r="E1784">
            <v>0</v>
          </cell>
          <cell r="F1784" t="str">
            <v>ROL</v>
          </cell>
          <cell r="G1784">
            <v>0</v>
          </cell>
        </row>
        <row r="1785">
          <cell r="B1785">
            <v>5850</v>
          </cell>
          <cell r="C1785">
            <v>30143.16</v>
          </cell>
          <cell r="D1785" t="str">
            <v>PHP</v>
          </cell>
          <cell r="E1785">
            <v>1</v>
          </cell>
          <cell r="F1785" t="str">
            <v>PC</v>
          </cell>
          <cell r="G1785">
            <v>0</v>
          </cell>
        </row>
        <row r="1786">
          <cell r="B1786">
            <v>5851</v>
          </cell>
          <cell r="C1786">
            <v>30143.16</v>
          </cell>
          <cell r="D1786" t="str">
            <v>PHP</v>
          </cell>
          <cell r="E1786">
            <v>1</v>
          </cell>
          <cell r="F1786" t="str">
            <v>PC</v>
          </cell>
          <cell r="G1786">
            <v>0</v>
          </cell>
        </row>
        <row r="1787">
          <cell r="B1787">
            <v>5853</v>
          </cell>
          <cell r="C1787">
            <v>306845.44</v>
          </cell>
          <cell r="D1787" t="str">
            <v>PHP</v>
          </cell>
          <cell r="E1787">
            <v>1</v>
          </cell>
          <cell r="F1787" t="str">
            <v>PC</v>
          </cell>
          <cell r="G1787">
            <v>0</v>
          </cell>
        </row>
        <row r="1788">
          <cell r="B1788">
            <v>5862</v>
          </cell>
          <cell r="C1788">
            <v>46083.17</v>
          </cell>
          <cell r="D1788" t="str">
            <v>PHP</v>
          </cell>
          <cell r="E1788">
            <v>150</v>
          </cell>
          <cell r="F1788" t="str">
            <v>PC</v>
          </cell>
          <cell r="G1788">
            <v>0</v>
          </cell>
        </row>
        <row r="1789">
          <cell r="B1789">
            <v>5888</v>
          </cell>
          <cell r="C1789">
            <v>9074.91</v>
          </cell>
          <cell r="D1789" t="str">
            <v>PHP</v>
          </cell>
          <cell r="E1789">
            <v>62</v>
          </cell>
          <cell r="F1789" t="str">
            <v>PC</v>
          </cell>
          <cell r="G1789">
            <v>0</v>
          </cell>
        </row>
        <row r="1790">
          <cell r="B1790">
            <v>5889</v>
          </cell>
          <cell r="C1790">
            <v>6316.01</v>
          </cell>
          <cell r="D1790" t="str">
            <v>PHP</v>
          </cell>
          <cell r="E1790">
            <v>8</v>
          </cell>
          <cell r="F1790" t="str">
            <v>PC</v>
          </cell>
          <cell r="G1790">
            <v>0</v>
          </cell>
        </row>
        <row r="1791">
          <cell r="B1791">
            <v>5891</v>
          </cell>
          <cell r="C1791">
            <v>186601.29</v>
          </cell>
          <cell r="D1791" t="str">
            <v>PHP</v>
          </cell>
          <cell r="E1791">
            <v>78</v>
          </cell>
          <cell r="F1791" t="str">
            <v>PC</v>
          </cell>
          <cell r="G1791">
            <v>0</v>
          </cell>
        </row>
        <row r="1792">
          <cell r="B1792">
            <v>5892</v>
          </cell>
          <cell r="C1792">
            <v>4162.7700000000004</v>
          </cell>
          <cell r="D1792" t="str">
            <v>PHP</v>
          </cell>
          <cell r="E1792">
            <v>1</v>
          </cell>
          <cell r="F1792" t="str">
            <v>PC</v>
          </cell>
          <cell r="G1792">
            <v>0</v>
          </cell>
        </row>
        <row r="1793">
          <cell r="B1793">
            <v>5893</v>
          </cell>
          <cell r="C1793">
            <v>13240.88</v>
          </cell>
          <cell r="D1793" t="str">
            <v>PHP</v>
          </cell>
          <cell r="E1793">
            <v>6</v>
          </cell>
          <cell r="F1793" t="str">
            <v>PC</v>
          </cell>
          <cell r="G1793">
            <v>0</v>
          </cell>
        </row>
        <row r="1794">
          <cell r="B1794">
            <v>5894</v>
          </cell>
          <cell r="C1794">
            <v>29774.03</v>
          </cell>
          <cell r="D1794" t="str">
            <v>PHP</v>
          </cell>
          <cell r="E1794">
            <v>4</v>
          </cell>
          <cell r="F1794" t="str">
            <v>PC</v>
          </cell>
          <cell r="G1794">
            <v>0</v>
          </cell>
        </row>
        <row r="1795">
          <cell r="B1795">
            <v>5895</v>
          </cell>
          <cell r="C1795">
            <v>76205.149999999994</v>
          </cell>
          <cell r="D1795" t="str">
            <v>PHP</v>
          </cell>
          <cell r="E1795">
            <v>10</v>
          </cell>
          <cell r="F1795" t="str">
            <v>PC</v>
          </cell>
          <cell r="G1795">
            <v>0</v>
          </cell>
        </row>
        <row r="1796">
          <cell r="B1796">
            <v>5897</v>
          </cell>
          <cell r="C1796">
            <v>73233.06</v>
          </cell>
          <cell r="D1796" t="str">
            <v>PHP</v>
          </cell>
          <cell r="E1796">
            <v>6</v>
          </cell>
          <cell r="F1796" t="str">
            <v>PC</v>
          </cell>
          <cell r="G1796">
            <v>0</v>
          </cell>
        </row>
        <row r="1797">
          <cell r="B1797">
            <v>5899</v>
          </cell>
          <cell r="C1797">
            <v>26792.12</v>
          </cell>
          <cell r="D1797" t="str">
            <v>PHP</v>
          </cell>
          <cell r="E1797">
            <v>2</v>
          </cell>
          <cell r="F1797" t="str">
            <v>PC</v>
          </cell>
          <cell r="G1797">
            <v>0</v>
          </cell>
        </row>
        <row r="1798">
          <cell r="B1798">
            <v>5900</v>
          </cell>
          <cell r="C1798">
            <v>107103.74</v>
          </cell>
          <cell r="D1798" t="str">
            <v>PHP</v>
          </cell>
          <cell r="E1798">
            <v>3</v>
          </cell>
          <cell r="F1798" t="str">
            <v>PC</v>
          </cell>
          <cell r="G1798">
            <v>0</v>
          </cell>
        </row>
        <row r="1799">
          <cell r="B1799">
            <v>5901</v>
          </cell>
          <cell r="C1799">
            <v>0</v>
          </cell>
          <cell r="D1799" t="str">
            <v>PHP</v>
          </cell>
          <cell r="E1799">
            <v>0</v>
          </cell>
          <cell r="F1799" t="str">
            <v>PC</v>
          </cell>
          <cell r="G1799">
            <v>0</v>
          </cell>
        </row>
        <row r="1800">
          <cell r="B1800">
            <v>5904</v>
          </cell>
          <cell r="C1800">
            <v>2363.59</v>
          </cell>
          <cell r="D1800" t="str">
            <v>PHP</v>
          </cell>
          <cell r="E1800">
            <v>3</v>
          </cell>
          <cell r="F1800" t="str">
            <v>PC</v>
          </cell>
          <cell r="G1800">
            <v>0</v>
          </cell>
        </row>
        <row r="1801">
          <cell r="B1801">
            <v>5905</v>
          </cell>
          <cell r="C1801">
            <v>0</v>
          </cell>
          <cell r="D1801" t="str">
            <v>PHP</v>
          </cell>
          <cell r="E1801">
            <v>0</v>
          </cell>
          <cell r="F1801" t="str">
            <v>PC</v>
          </cell>
          <cell r="G1801">
            <v>0</v>
          </cell>
        </row>
        <row r="1802">
          <cell r="B1802">
            <v>5907</v>
          </cell>
          <cell r="C1802">
            <v>0</v>
          </cell>
          <cell r="D1802" t="str">
            <v>PHP</v>
          </cell>
          <cell r="E1802">
            <v>0</v>
          </cell>
          <cell r="F1802" t="str">
            <v>PC</v>
          </cell>
          <cell r="G1802">
            <v>0</v>
          </cell>
        </row>
        <row r="1803">
          <cell r="B1803">
            <v>5911</v>
          </cell>
          <cell r="C1803">
            <v>0</v>
          </cell>
          <cell r="D1803" t="str">
            <v>PHP</v>
          </cell>
          <cell r="E1803">
            <v>0</v>
          </cell>
          <cell r="F1803" t="str">
            <v>PC</v>
          </cell>
          <cell r="G1803">
            <v>0</v>
          </cell>
        </row>
        <row r="1804">
          <cell r="B1804">
            <v>5917</v>
          </cell>
          <cell r="C1804">
            <v>4966.76</v>
          </cell>
          <cell r="D1804" t="str">
            <v>PHP</v>
          </cell>
          <cell r="E1804">
            <v>12</v>
          </cell>
          <cell r="F1804" t="str">
            <v>PC</v>
          </cell>
          <cell r="G1804">
            <v>0</v>
          </cell>
        </row>
        <row r="1805">
          <cell r="B1805">
            <v>5918</v>
          </cell>
          <cell r="C1805">
            <v>14627.85</v>
          </cell>
          <cell r="D1805" t="str">
            <v>PHP</v>
          </cell>
          <cell r="E1805">
            <v>2</v>
          </cell>
          <cell r="F1805" t="str">
            <v>PC</v>
          </cell>
          <cell r="G1805">
            <v>0</v>
          </cell>
        </row>
        <row r="1806">
          <cell r="B1806">
            <v>5919</v>
          </cell>
          <cell r="C1806">
            <v>66530.559999999998</v>
          </cell>
          <cell r="D1806" t="str">
            <v>PHP</v>
          </cell>
          <cell r="E1806">
            <v>64</v>
          </cell>
          <cell r="F1806" t="str">
            <v>PC</v>
          </cell>
          <cell r="G1806">
            <v>0</v>
          </cell>
        </row>
        <row r="1807">
          <cell r="B1807">
            <v>5920</v>
          </cell>
          <cell r="C1807">
            <v>52733.760000000002</v>
          </cell>
          <cell r="D1807" t="str">
            <v>PHP</v>
          </cell>
          <cell r="E1807">
            <v>32</v>
          </cell>
          <cell r="F1807" t="str">
            <v>PC</v>
          </cell>
          <cell r="G1807">
            <v>0</v>
          </cell>
        </row>
        <row r="1808">
          <cell r="B1808">
            <v>5921</v>
          </cell>
          <cell r="C1808">
            <v>0</v>
          </cell>
          <cell r="D1808" t="str">
            <v>PHP</v>
          </cell>
          <cell r="E1808">
            <v>0</v>
          </cell>
          <cell r="F1808" t="str">
            <v>PC</v>
          </cell>
          <cell r="G1808">
            <v>0</v>
          </cell>
        </row>
        <row r="1809">
          <cell r="B1809">
            <v>5923</v>
          </cell>
          <cell r="C1809">
            <v>21505.68</v>
          </cell>
          <cell r="D1809" t="str">
            <v>PHP</v>
          </cell>
          <cell r="E1809">
            <v>4</v>
          </cell>
          <cell r="F1809" t="str">
            <v>PC</v>
          </cell>
          <cell r="G1809">
            <v>0</v>
          </cell>
        </row>
        <row r="1810">
          <cell r="B1810">
            <v>5931</v>
          </cell>
          <cell r="C1810">
            <v>20415.12</v>
          </cell>
          <cell r="D1810" t="str">
            <v>PHP</v>
          </cell>
          <cell r="E1810">
            <v>8</v>
          </cell>
          <cell r="F1810" t="str">
            <v>ASY</v>
          </cell>
          <cell r="G1810">
            <v>0</v>
          </cell>
        </row>
        <row r="1811">
          <cell r="B1811">
            <v>5932</v>
          </cell>
          <cell r="C1811">
            <v>0</v>
          </cell>
          <cell r="D1811" t="str">
            <v>PHP</v>
          </cell>
          <cell r="E1811">
            <v>0</v>
          </cell>
          <cell r="F1811" t="str">
            <v>PC</v>
          </cell>
          <cell r="G1811">
            <v>0</v>
          </cell>
        </row>
        <row r="1812">
          <cell r="B1812">
            <v>5933</v>
          </cell>
          <cell r="C1812">
            <v>11126</v>
          </cell>
          <cell r="D1812" t="str">
            <v>PHP</v>
          </cell>
          <cell r="E1812">
            <v>2</v>
          </cell>
          <cell r="F1812" t="str">
            <v>PC</v>
          </cell>
          <cell r="G1812">
            <v>0</v>
          </cell>
        </row>
        <row r="1813">
          <cell r="B1813">
            <v>5935</v>
          </cell>
          <cell r="C1813">
            <v>17396.669999999998</v>
          </cell>
          <cell r="D1813" t="str">
            <v>PHP</v>
          </cell>
          <cell r="E1813">
            <v>3</v>
          </cell>
          <cell r="F1813" t="str">
            <v>PC</v>
          </cell>
          <cell r="G1813">
            <v>0</v>
          </cell>
        </row>
        <row r="1814">
          <cell r="B1814">
            <v>5936</v>
          </cell>
          <cell r="C1814">
            <v>22168.7</v>
          </cell>
          <cell r="D1814" t="str">
            <v>PHP</v>
          </cell>
          <cell r="E1814">
            <v>3</v>
          </cell>
          <cell r="F1814" t="str">
            <v>PC</v>
          </cell>
          <cell r="G1814">
            <v>0</v>
          </cell>
        </row>
        <row r="1815">
          <cell r="B1815">
            <v>5937</v>
          </cell>
          <cell r="C1815">
            <v>95390.5</v>
          </cell>
          <cell r="D1815" t="str">
            <v>PHP</v>
          </cell>
          <cell r="E1815">
            <v>50</v>
          </cell>
          <cell r="F1815" t="str">
            <v>PC</v>
          </cell>
          <cell r="G1815">
            <v>0</v>
          </cell>
        </row>
        <row r="1816">
          <cell r="B1816">
            <v>5938</v>
          </cell>
          <cell r="C1816">
            <v>728348</v>
          </cell>
          <cell r="D1816" t="str">
            <v>PHP</v>
          </cell>
          <cell r="E1816">
            <v>24</v>
          </cell>
          <cell r="F1816" t="str">
            <v>PC</v>
          </cell>
          <cell r="G1816">
            <v>0</v>
          </cell>
        </row>
        <row r="1817">
          <cell r="B1817">
            <v>5939</v>
          </cell>
          <cell r="C1817">
            <v>0</v>
          </cell>
          <cell r="D1817" t="str">
            <v>PHP</v>
          </cell>
          <cell r="E1817">
            <v>0</v>
          </cell>
          <cell r="F1817" t="str">
            <v>PC</v>
          </cell>
          <cell r="G1817">
            <v>0</v>
          </cell>
        </row>
        <row r="1818">
          <cell r="B1818">
            <v>5940</v>
          </cell>
          <cell r="C1818">
            <v>3084.26</v>
          </cell>
          <cell r="D1818" t="str">
            <v>PHP</v>
          </cell>
          <cell r="E1818">
            <v>11</v>
          </cell>
          <cell r="F1818" t="str">
            <v>PC</v>
          </cell>
          <cell r="G1818">
            <v>0</v>
          </cell>
        </row>
        <row r="1819">
          <cell r="B1819">
            <v>5943</v>
          </cell>
          <cell r="C1819">
            <v>449660.33</v>
          </cell>
          <cell r="D1819" t="str">
            <v>PHP</v>
          </cell>
          <cell r="E1819">
            <v>6</v>
          </cell>
          <cell r="F1819" t="str">
            <v>PC</v>
          </cell>
          <cell r="G1819">
            <v>0</v>
          </cell>
        </row>
        <row r="1820">
          <cell r="B1820">
            <v>5944</v>
          </cell>
          <cell r="C1820">
            <v>890.58</v>
          </cell>
          <cell r="D1820" t="str">
            <v>PHP</v>
          </cell>
          <cell r="E1820">
            <v>11</v>
          </cell>
          <cell r="F1820" t="str">
            <v>PC</v>
          </cell>
          <cell r="G1820">
            <v>0</v>
          </cell>
        </row>
        <row r="1821">
          <cell r="B1821">
            <v>5945</v>
          </cell>
          <cell r="C1821">
            <v>935</v>
          </cell>
          <cell r="D1821" t="str">
            <v>PHP</v>
          </cell>
          <cell r="E1821">
            <v>11</v>
          </cell>
          <cell r="F1821" t="str">
            <v>PC</v>
          </cell>
          <cell r="G1821">
            <v>0</v>
          </cell>
        </row>
        <row r="1822">
          <cell r="B1822">
            <v>5946</v>
          </cell>
          <cell r="C1822">
            <v>1268.4000000000001</v>
          </cell>
          <cell r="D1822" t="str">
            <v>PHP</v>
          </cell>
          <cell r="E1822">
            <v>12</v>
          </cell>
          <cell r="F1822" t="str">
            <v>PC</v>
          </cell>
          <cell r="G1822">
            <v>0</v>
          </cell>
        </row>
        <row r="1823">
          <cell r="B1823">
            <v>5947</v>
          </cell>
          <cell r="C1823">
            <v>8287.75</v>
          </cell>
          <cell r="D1823" t="str">
            <v>PHP</v>
          </cell>
          <cell r="E1823">
            <v>12</v>
          </cell>
          <cell r="F1823" t="str">
            <v>PC</v>
          </cell>
          <cell r="G1823">
            <v>0</v>
          </cell>
        </row>
        <row r="1824">
          <cell r="B1824">
            <v>5950</v>
          </cell>
          <cell r="C1824">
            <v>66317.350000000006</v>
          </cell>
          <cell r="D1824" t="str">
            <v>PHP</v>
          </cell>
          <cell r="E1824">
            <v>6</v>
          </cell>
          <cell r="F1824" t="str">
            <v>PC</v>
          </cell>
          <cell r="G1824">
            <v>0</v>
          </cell>
        </row>
        <row r="1825">
          <cell r="B1825">
            <v>5951</v>
          </cell>
          <cell r="C1825">
            <v>17057.47</v>
          </cell>
          <cell r="D1825" t="str">
            <v>PHP</v>
          </cell>
          <cell r="E1825">
            <v>3</v>
          </cell>
          <cell r="F1825" t="str">
            <v>PC</v>
          </cell>
          <cell r="G1825">
            <v>0</v>
          </cell>
        </row>
        <row r="1826">
          <cell r="B1826">
            <v>5952</v>
          </cell>
          <cell r="C1826">
            <v>149990.26999999999</v>
          </cell>
          <cell r="D1826" t="str">
            <v>PHP</v>
          </cell>
          <cell r="E1826">
            <v>6</v>
          </cell>
          <cell r="F1826" t="str">
            <v>PC</v>
          </cell>
          <cell r="G1826">
            <v>0</v>
          </cell>
        </row>
        <row r="1827">
          <cell r="B1827">
            <v>5953</v>
          </cell>
          <cell r="C1827">
            <v>88913.74</v>
          </cell>
          <cell r="D1827" t="str">
            <v>PHP</v>
          </cell>
          <cell r="E1827">
            <v>6</v>
          </cell>
          <cell r="F1827" t="str">
            <v>PC</v>
          </cell>
          <cell r="G1827">
            <v>0</v>
          </cell>
        </row>
        <row r="1828">
          <cell r="B1828">
            <v>5969</v>
          </cell>
          <cell r="C1828">
            <v>6548.2</v>
          </cell>
          <cell r="D1828" t="str">
            <v>PHP</v>
          </cell>
          <cell r="E1828">
            <v>6</v>
          </cell>
          <cell r="F1828" t="str">
            <v>PC</v>
          </cell>
          <cell r="G1828">
            <v>0</v>
          </cell>
        </row>
        <row r="1829">
          <cell r="B1829">
            <v>5970</v>
          </cell>
          <cell r="C1829">
            <v>15493.87</v>
          </cell>
          <cell r="D1829" t="str">
            <v>PHP</v>
          </cell>
          <cell r="E1829">
            <v>1</v>
          </cell>
          <cell r="F1829" t="str">
            <v>PC</v>
          </cell>
          <cell r="G1829">
            <v>0</v>
          </cell>
        </row>
        <row r="1830">
          <cell r="B1830">
            <v>5973</v>
          </cell>
          <cell r="C1830">
            <v>225421.32</v>
          </cell>
          <cell r="D1830" t="str">
            <v>PHP</v>
          </cell>
          <cell r="E1830">
            <v>13</v>
          </cell>
          <cell r="F1830" t="str">
            <v>PC</v>
          </cell>
          <cell r="G1830">
            <v>0</v>
          </cell>
        </row>
        <row r="1831">
          <cell r="B1831">
            <v>5974</v>
          </cell>
          <cell r="C1831">
            <v>0</v>
          </cell>
          <cell r="D1831" t="str">
            <v>PHP</v>
          </cell>
          <cell r="E1831">
            <v>0</v>
          </cell>
          <cell r="F1831" t="str">
            <v>PC</v>
          </cell>
          <cell r="G1831">
            <v>0</v>
          </cell>
        </row>
        <row r="1832">
          <cell r="B1832">
            <v>5979</v>
          </cell>
          <cell r="C1832">
            <v>1689235.39</v>
          </cell>
          <cell r="D1832" t="str">
            <v>PHP</v>
          </cell>
          <cell r="E1832">
            <v>1</v>
          </cell>
          <cell r="F1832" t="str">
            <v>PC</v>
          </cell>
          <cell r="G1832">
            <v>0</v>
          </cell>
        </row>
        <row r="1833">
          <cell r="B1833">
            <v>5980</v>
          </cell>
          <cell r="C1833">
            <v>1581285</v>
          </cell>
          <cell r="D1833" t="str">
            <v>PHP</v>
          </cell>
          <cell r="E1833">
            <v>1</v>
          </cell>
          <cell r="F1833" t="str">
            <v>PC</v>
          </cell>
          <cell r="G1833">
            <v>0</v>
          </cell>
        </row>
        <row r="1834">
          <cell r="B1834">
            <v>5995</v>
          </cell>
          <cell r="C1834">
            <v>103434.97</v>
          </cell>
          <cell r="D1834" t="str">
            <v>PHP</v>
          </cell>
          <cell r="E1834">
            <v>6</v>
          </cell>
          <cell r="F1834" t="str">
            <v>PC</v>
          </cell>
          <cell r="G1834">
            <v>0</v>
          </cell>
        </row>
        <row r="1835">
          <cell r="B1835">
            <v>5999</v>
          </cell>
          <cell r="C1835">
            <v>0</v>
          </cell>
          <cell r="D1835" t="str">
            <v>PHP</v>
          </cell>
          <cell r="E1835">
            <v>0</v>
          </cell>
          <cell r="F1835" t="str">
            <v>PC</v>
          </cell>
          <cell r="G1835">
            <v>0</v>
          </cell>
        </row>
        <row r="1836">
          <cell r="B1836">
            <v>6000</v>
          </cell>
          <cell r="C1836">
            <v>0</v>
          </cell>
          <cell r="D1836" t="str">
            <v>PHP</v>
          </cell>
          <cell r="E1836">
            <v>0</v>
          </cell>
          <cell r="F1836" t="str">
            <v>SET</v>
          </cell>
          <cell r="G1836">
            <v>0</v>
          </cell>
        </row>
        <row r="1837">
          <cell r="B1837">
            <v>6018</v>
          </cell>
          <cell r="C1837">
            <v>144328</v>
          </cell>
          <cell r="D1837" t="str">
            <v>PHP</v>
          </cell>
          <cell r="E1837">
            <v>2</v>
          </cell>
          <cell r="F1837" t="str">
            <v>PC</v>
          </cell>
          <cell r="G1837">
            <v>0</v>
          </cell>
        </row>
        <row r="1838">
          <cell r="B1838">
            <v>6019</v>
          </cell>
          <cell r="C1838">
            <v>40150.449999999997</v>
          </cell>
          <cell r="D1838" t="str">
            <v>PHP</v>
          </cell>
          <cell r="E1838">
            <v>4</v>
          </cell>
          <cell r="F1838" t="str">
            <v>PC</v>
          </cell>
          <cell r="G1838">
            <v>0</v>
          </cell>
        </row>
        <row r="1839">
          <cell r="B1839">
            <v>6021</v>
          </cell>
          <cell r="C1839">
            <v>33318.75</v>
          </cell>
          <cell r="D1839" t="str">
            <v>PHP</v>
          </cell>
          <cell r="E1839">
            <v>1</v>
          </cell>
          <cell r="F1839" t="str">
            <v>PC</v>
          </cell>
          <cell r="G1839">
            <v>0</v>
          </cell>
        </row>
        <row r="1840">
          <cell r="B1840">
            <v>6022</v>
          </cell>
          <cell r="C1840">
            <v>153066.96</v>
          </cell>
          <cell r="D1840" t="str">
            <v>PHP</v>
          </cell>
          <cell r="E1840">
            <v>4</v>
          </cell>
          <cell r="F1840" t="str">
            <v>ASY</v>
          </cell>
          <cell r="G1840">
            <v>0</v>
          </cell>
        </row>
        <row r="1841">
          <cell r="B1841">
            <v>6024</v>
          </cell>
          <cell r="C1841">
            <v>478490.63</v>
          </cell>
          <cell r="D1841" t="str">
            <v>PHP</v>
          </cell>
          <cell r="E1841">
            <v>79</v>
          </cell>
          <cell r="F1841" t="str">
            <v>PC</v>
          </cell>
          <cell r="G1841">
            <v>0</v>
          </cell>
        </row>
        <row r="1842">
          <cell r="B1842">
            <v>6026</v>
          </cell>
          <cell r="C1842">
            <v>307232.46000000002</v>
          </cell>
          <cell r="D1842" t="str">
            <v>PHP</v>
          </cell>
          <cell r="E1842">
            <v>39</v>
          </cell>
          <cell r="F1842" t="str">
            <v>PC</v>
          </cell>
          <cell r="G1842">
            <v>0</v>
          </cell>
        </row>
        <row r="1843">
          <cell r="B1843">
            <v>6028</v>
          </cell>
          <cell r="C1843">
            <v>5929.43</v>
          </cell>
          <cell r="D1843" t="str">
            <v>PHP</v>
          </cell>
          <cell r="E1843">
            <v>1</v>
          </cell>
          <cell r="F1843" t="str">
            <v>PC</v>
          </cell>
          <cell r="G1843">
            <v>0</v>
          </cell>
        </row>
        <row r="1844">
          <cell r="B1844">
            <v>6029</v>
          </cell>
          <cell r="C1844">
            <v>33083.800000000003</v>
          </cell>
          <cell r="D1844" t="str">
            <v>PHP</v>
          </cell>
          <cell r="E1844">
            <v>14</v>
          </cell>
          <cell r="F1844" t="str">
            <v>PC</v>
          </cell>
          <cell r="G1844">
            <v>0</v>
          </cell>
        </row>
        <row r="1845">
          <cell r="B1845">
            <v>6030</v>
          </cell>
          <cell r="C1845">
            <v>317919.84000000003</v>
          </cell>
          <cell r="D1845" t="str">
            <v>PHP</v>
          </cell>
          <cell r="E1845">
            <v>98</v>
          </cell>
          <cell r="F1845" t="str">
            <v>PC</v>
          </cell>
          <cell r="G1845">
            <v>0</v>
          </cell>
        </row>
        <row r="1846">
          <cell r="B1846">
            <v>6031</v>
          </cell>
          <cell r="C1846">
            <v>461702.34</v>
          </cell>
          <cell r="D1846" t="str">
            <v>PHP</v>
          </cell>
          <cell r="E1846">
            <v>44</v>
          </cell>
          <cell r="F1846" t="str">
            <v>ASY</v>
          </cell>
          <cell r="G1846">
            <v>0</v>
          </cell>
        </row>
        <row r="1847">
          <cell r="B1847">
            <v>6039</v>
          </cell>
          <cell r="C1847">
            <v>833548.32</v>
          </cell>
          <cell r="D1847" t="str">
            <v>PHP</v>
          </cell>
          <cell r="E1847">
            <v>36</v>
          </cell>
          <cell r="F1847" t="str">
            <v>PC</v>
          </cell>
          <cell r="G1847">
            <v>0</v>
          </cell>
        </row>
        <row r="1848">
          <cell r="B1848">
            <v>6040</v>
          </cell>
          <cell r="C1848">
            <v>321031.98</v>
          </cell>
          <cell r="D1848" t="str">
            <v>PHP</v>
          </cell>
          <cell r="E1848">
            <v>38</v>
          </cell>
          <cell r="F1848" t="str">
            <v>PC</v>
          </cell>
          <cell r="G1848">
            <v>0</v>
          </cell>
        </row>
        <row r="1849">
          <cell r="B1849">
            <v>6043</v>
          </cell>
          <cell r="C1849">
            <v>70962.240000000005</v>
          </cell>
          <cell r="D1849" t="str">
            <v>PHP</v>
          </cell>
          <cell r="E1849">
            <v>2</v>
          </cell>
          <cell r="F1849" t="str">
            <v>PC</v>
          </cell>
          <cell r="G1849">
            <v>0</v>
          </cell>
        </row>
        <row r="1850">
          <cell r="B1850">
            <v>6057</v>
          </cell>
          <cell r="C1850">
            <v>14902.72</v>
          </cell>
          <cell r="D1850" t="str">
            <v>PHP</v>
          </cell>
          <cell r="E1850">
            <v>3</v>
          </cell>
          <cell r="F1850" t="str">
            <v>PC</v>
          </cell>
          <cell r="G1850">
            <v>0</v>
          </cell>
        </row>
        <row r="1851">
          <cell r="B1851">
            <v>6059</v>
          </cell>
          <cell r="C1851">
            <v>6096.48</v>
          </cell>
          <cell r="D1851" t="str">
            <v>PHP</v>
          </cell>
          <cell r="E1851">
            <v>2</v>
          </cell>
          <cell r="F1851" t="str">
            <v>UT</v>
          </cell>
          <cell r="G1851">
            <v>0</v>
          </cell>
        </row>
        <row r="1852">
          <cell r="B1852">
            <v>6062</v>
          </cell>
          <cell r="C1852">
            <v>0</v>
          </cell>
          <cell r="D1852" t="str">
            <v>PHP</v>
          </cell>
          <cell r="E1852">
            <v>0</v>
          </cell>
          <cell r="F1852" t="str">
            <v>PC</v>
          </cell>
          <cell r="G1852">
            <v>0</v>
          </cell>
        </row>
        <row r="1853">
          <cell r="B1853">
            <v>6063</v>
          </cell>
          <cell r="C1853">
            <v>13115.25</v>
          </cell>
          <cell r="D1853" t="str">
            <v>PHP</v>
          </cell>
          <cell r="E1853">
            <v>8</v>
          </cell>
          <cell r="F1853" t="str">
            <v>PC</v>
          </cell>
          <cell r="G1853">
            <v>0</v>
          </cell>
        </row>
        <row r="1854">
          <cell r="B1854">
            <v>6064</v>
          </cell>
          <cell r="C1854">
            <v>43203.34</v>
          </cell>
          <cell r="D1854" t="str">
            <v>PHP</v>
          </cell>
          <cell r="E1854">
            <v>1</v>
          </cell>
          <cell r="F1854" t="str">
            <v>PC</v>
          </cell>
          <cell r="G1854">
            <v>0</v>
          </cell>
        </row>
        <row r="1855">
          <cell r="B1855">
            <v>6065</v>
          </cell>
          <cell r="C1855">
            <v>424917.36</v>
          </cell>
          <cell r="D1855" t="str">
            <v>PHP</v>
          </cell>
          <cell r="E1855">
            <v>2</v>
          </cell>
          <cell r="F1855" t="str">
            <v>PC</v>
          </cell>
          <cell r="G1855">
            <v>0</v>
          </cell>
        </row>
        <row r="1856">
          <cell r="B1856">
            <v>6066</v>
          </cell>
          <cell r="C1856">
            <v>22210</v>
          </cell>
          <cell r="D1856" t="str">
            <v>PHP</v>
          </cell>
          <cell r="E1856">
            <v>2</v>
          </cell>
          <cell r="F1856" t="str">
            <v>PC</v>
          </cell>
          <cell r="G1856">
            <v>0</v>
          </cell>
        </row>
        <row r="1857">
          <cell r="B1857">
            <v>6068</v>
          </cell>
          <cell r="C1857">
            <v>0</v>
          </cell>
          <cell r="D1857" t="str">
            <v>PHP</v>
          </cell>
          <cell r="E1857">
            <v>0</v>
          </cell>
          <cell r="F1857" t="str">
            <v>PC</v>
          </cell>
          <cell r="G1857">
            <v>0</v>
          </cell>
        </row>
        <row r="1858">
          <cell r="B1858">
            <v>6069</v>
          </cell>
          <cell r="C1858">
            <v>160205.57999999999</v>
          </cell>
          <cell r="D1858" t="str">
            <v>PHP</v>
          </cell>
          <cell r="E1858">
            <v>3</v>
          </cell>
          <cell r="F1858" t="str">
            <v>PC</v>
          </cell>
          <cell r="G1858">
            <v>0</v>
          </cell>
        </row>
        <row r="1859">
          <cell r="B1859">
            <v>6070</v>
          </cell>
          <cell r="C1859">
            <v>282348.2</v>
          </cell>
          <cell r="D1859" t="str">
            <v>PHP</v>
          </cell>
          <cell r="E1859">
            <v>3</v>
          </cell>
          <cell r="F1859" t="str">
            <v>PC</v>
          </cell>
          <cell r="G1859">
            <v>0</v>
          </cell>
        </row>
        <row r="1860">
          <cell r="B1860">
            <v>6071</v>
          </cell>
          <cell r="C1860">
            <v>40548</v>
          </cell>
          <cell r="D1860" t="str">
            <v>PHP</v>
          </cell>
          <cell r="E1860">
            <v>4</v>
          </cell>
          <cell r="F1860" t="str">
            <v>PC</v>
          </cell>
          <cell r="G1860">
            <v>0</v>
          </cell>
        </row>
        <row r="1861">
          <cell r="B1861">
            <v>6072</v>
          </cell>
          <cell r="C1861">
            <v>16685.48</v>
          </cell>
          <cell r="D1861" t="str">
            <v>PHP</v>
          </cell>
          <cell r="E1861">
            <v>4</v>
          </cell>
          <cell r="F1861" t="str">
            <v>PC</v>
          </cell>
          <cell r="G1861">
            <v>0</v>
          </cell>
        </row>
        <row r="1862">
          <cell r="B1862">
            <v>6073</v>
          </cell>
          <cell r="C1862">
            <v>131338.96</v>
          </cell>
          <cell r="D1862" t="str">
            <v>PHP</v>
          </cell>
          <cell r="E1862">
            <v>4</v>
          </cell>
          <cell r="F1862" t="str">
            <v>PC</v>
          </cell>
          <cell r="G1862">
            <v>0</v>
          </cell>
        </row>
        <row r="1863">
          <cell r="B1863">
            <v>6093</v>
          </cell>
          <cell r="C1863">
            <v>0</v>
          </cell>
          <cell r="D1863" t="str">
            <v>PHP</v>
          </cell>
          <cell r="E1863">
            <v>0</v>
          </cell>
          <cell r="F1863" t="str">
            <v>PC</v>
          </cell>
          <cell r="G1863">
            <v>0</v>
          </cell>
        </row>
        <row r="1864">
          <cell r="B1864">
            <v>6095</v>
          </cell>
          <cell r="C1864">
            <v>0</v>
          </cell>
          <cell r="D1864" t="str">
            <v>PHP</v>
          </cell>
          <cell r="E1864">
            <v>0</v>
          </cell>
          <cell r="F1864" t="str">
            <v>PC</v>
          </cell>
          <cell r="G1864">
            <v>0</v>
          </cell>
        </row>
        <row r="1865">
          <cell r="B1865">
            <v>6096</v>
          </cell>
          <cell r="C1865">
            <v>0</v>
          </cell>
          <cell r="D1865" t="str">
            <v>PHP</v>
          </cell>
          <cell r="E1865">
            <v>0</v>
          </cell>
          <cell r="F1865" t="str">
            <v>PC</v>
          </cell>
          <cell r="G1865">
            <v>0</v>
          </cell>
        </row>
        <row r="1866">
          <cell r="B1866">
            <v>6097</v>
          </cell>
          <cell r="C1866">
            <v>4782.07</v>
          </cell>
          <cell r="D1866" t="str">
            <v>PHP</v>
          </cell>
          <cell r="E1866">
            <v>1</v>
          </cell>
          <cell r="F1866" t="str">
            <v>PC</v>
          </cell>
          <cell r="G1866">
            <v>0</v>
          </cell>
        </row>
        <row r="1867">
          <cell r="B1867">
            <v>6098</v>
          </cell>
          <cell r="C1867">
            <v>0</v>
          </cell>
          <cell r="D1867" t="str">
            <v>PHP</v>
          </cell>
          <cell r="E1867">
            <v>0</v>
          </cell>
          <cell r="F1867" t="str">
            <v>PC</v>
          </cell>
          <cell r="G1867">
            <v>0</v>
          </cell>
        </row>
        <row r="1868">
          <cell r="B1868">
            <v>6099</v>
          </cell>
          <cell r="C1868">
            <v>0</v>
          </cell>
          <cell r="D1868" t="str">
            <v>PHP</v>
          </cell>
          <cell r="E1868">
            <v>0</v>
          </cell>
          <cell r="F1868" t="str">
            <v>PC</v>
          </cell>
          <cell r="G1868">
            <v>0</v>
          </cell>
        </row>
        <row r="1869">
          <cell r="B1869">
            <v>6100</v>
          </cell>
          <cell r="C1869">
            <v>0</v>
          </cell>
          <cell r="D1869" t="str">
            <v>PHP</v>
          </cell>
          <cell r="E1869">
            <v>0</v>
          </cell>
          <cell r="F1869" t="str">
            <v>PC</v>
          </cell>
          <cell r="G1869">
            <v>0</v>
          </cell>
        </row>
        <row r="1870">
          <cell r="B1870">
            <v>6103</v>
          </cell>
          <cell r="C1870">
            <v>0</v>
          </cell>
          <cell r="D1870" t="str">
            <v>PHP</v>
          </cell>
          <cell r="E1870">
            <v>0</v>
          </cell>
          <cell r="F1870" t="str">
            <v>PC</v>
          </cell>
          <cell r="G1870">
            <v>0</v>
          </cell>
        </row>
        <row r="1871">
          <cell r="B1871">
            <v>6105</v>
          </cell>
          <cell r="C1871">
            <v>0</v>
          </cell>
          <cell r="D1871" t="str">
            <v>PHP</v>
          </cell>
          <cell r="E1871">
            <v>0</v>
          </cell>
          <cell r="F1871" t="str">
            <v>PC</v>
          </cell>
          <cell r="G1871">
            <v>0</v>
          </cell>
        </row>
        <row r="1872">
          <cell r="B1872">
            <v>6109</v>
          </cell>
          <cell r="C1872">
            <v>0</v>
          </cell>
          <cell r="D1872" t="str">
            <v>PHP</v>
          </cell>
          <cell r="E1872">
            <v>0</v>
          </cell>
          <cell r="F1872" t="str">
            <v>PC</v>
          </cell>
          <cell r="G1872">
            <v>0</v>
          </cell>
        </row>
        <row r="1873">
          <cell r="B1873">
            <v>6111</v>
          </cell>
          <cell r="C1873">
            <v>0</v>
          </cell>
          <cell r="D1873" t="str">
            <v>PHP</v>
          </cell>
          <cell r="E1873">
            <v>0</v>
          </cell>
          <cell r="F1873" t="str">
            <v>PC</v>
          </cell>
          <cell r="G1873">
            <v>0</v>
          </cell>
        </row>
        <row r="1874">
          <cell r="B1874">
            <v>6114</v>
          </cell>
          <cell r="C1874">
            <v>150076.79999999999</v>
          </cell>
          <cell r="D1874" t="str">
            <v>PHP</v>
          </cell>
          <cell r="E1874">
            <v>18</v>
          </cell>
          <cell r="F1874" t="str">
            <v>PC</v>
          </cell>
          <cell r="G1874">
            <v>0</v>
          </cell>
        </row>
        <row r="1875">
          <cell r="B1875">
            <v>6116</v>
          </cell>
          <cell r="C1875">
            <v>0</v>
          </cell>
          <cell r="D1875" t="str">
            <v>PHP</v>
          </cell>
          <cell r="E1875">
            <v>0</v>
          </cell>
          <cell r="F1875" t="str">
            <v>PC</v>
          </cell>
          <cell r="G1875">
            <v>0</v>
          </cell>
        </row>
        <row r="1876">
          <cell r="B1876">
            <v>6117</v>
          </cell>
          <cell r="C1876">
            <v>15525.71</v>
          </cell>
          <cell r="D1876" t="str">
            <v>PHP</v>
          </cell>
          <cell r="E1876">
            <v>2</v>
          </cell>
          <cell r="F1876" t="str">
            <v>PC</v>
          </cell>
          <cell r="G1876">
            <v>0</v>
          </cell>
        </row>
        <row r="1877">
          <cell r="B1877">
            <v>6119</v>
          </cell>
          <cell r="C1877">
            <v>88578</v>
          </cell>
          <cell r="D1877" t="str">
            <v>PHP</v>
          </cell>
          <cell r="E1877">
            <v>19</v>
          </cell>
          <cell r="F1877" t="str">
            <v>PC</v>
          </cell>
          <cell r="G1877">
            <v>0</v>
          </cell>
        </row>
        <row r="1878">
          <cell r="B1878">
            <v>6120</v>
          </cell>
          <cell r="C1878">
            <v>190044.62</v>
          </cell>
          <cell r="D1878" t="str">
            <v>PHP</v>
          </cell>
          <cell r="E1878">
            <v>11</v>
          </cell>
          <cell r="F1878" t="str">
            <v>PC</v>
          </cell>
          <cell r="G1878">
            <v>0</v>
          </cell>
        </row>
        <row r="1879">
          <cell r="B1879">
            <v>6121</v>
          </cell>
          <cell r="C1879">
            <v>126921.60000000001</v>
          </cell>
          <cell r="D1879" t="str">
            <v>PHP</v>
          </cell>
          <cell r="E1879">
            <v>26</v>
          </cell>
          <cell r="F1879" t="str">
            <v>PC</v>
          </cell>
          <cell r="G1879">
            <v>0</v>
          </cell>
        </row>
        <row r="1880">
          <cell r="B1880">
            <v>6122</v>
          </cell>
          <cell r="C1880">
            <v>402485.76000000001</v>
          </cell>
          <cell r="D1880" t="str">
            <v>PHP</v>
          </cell>
          <cell r="E1880">
            <v>18</v>
          </cell>
          <cell r="F1880" t="str">
            <v>PC</v>
          </cell>
          <cell r="G1880">
            <v>0</v>
          </cell>
        </row>
        <row r="1881">
          <cell r="B1881">
            <v>6126</v>
          </cell>
          <cell r="C1881">
            <v>31205.8</v>
          </cell>
          <cell r="D1881" t="str">
            <v>PHP</v>
          </cell>
          <cell r="E1881">
            <v>12</v>
          </cell>
          <cell r="F1881" t="str">
            <v>PC</v>
          </cell>
          <cell r="G1881">
            <v>0</v>
          </cell>
        </row>
        <row r="1882">
          <cell r="B1882">
            <v>6127</v>
          </cell>
          <cell r="C1882">
            <v>0</v>
          </cell>
          <cell r="D1882" t="str">
            <v>PHP</v>
          </cell>
          <cell r="E1882">
            <v>0</v>
          </cell>
          <cell r="F1882" t="str">
            <v>PC</v>
          </cell>
          <cell r="G1882">
            <v>0</v>
          </cell>
        </row>
        <row r="1883">
          <cell r="B1883">
            <v>6128</v>
          </cell>
          <cell r="C1883">
            <v>261094.65</v>
          </cell>
          <cell r="D1883" t="str">
            <v>PHP</v>
          </cell>
          <cell r="E1883">
            <v>15</v>
          </cell>
          <cell r="F1883" t="str">
            <v>PC</v>
          </cell>
          <cell r="G1883">
            <v>0</v>
          </cell>
        </row>
        <row r="1884">
          <cell r="B1884">
            <v>6132</v>
          </cell>
          <cell r="C1884">
            <v>3617.67</v>
          </cell>
          <cell r="D1884" t="str">
            <v>PHP</v>
          </cell>
          <cell r="E1884">
            <v>3</v>
          </cell>
          <cell r="F1884" t="str">
            <v>PC</v>
          </cell>
          <cell r="G1884">
            <v>0</v>
          </cell>
        </row>
        <row r="1885">
          <cell r="B1885">
            <v>6137</v>
          </cell>
          <cell r="C1885">
            <v>1665.75</v>
          </cell>
          <cell r="D1885" t="str">
            <v>PHP</v>
          </cell>
          <cell r="E1885">
            <v>3</v>
          </cell>
          <cell r="F1885" t="str">
            <v>PC</v>
          </cell>
          <cell r="G1885">
            <v>0</v>
          </cell>
        </row>
        <row r="1886">
          <cell r="B1886">
            <v>6138</v>
          </cell>
          <cell r="C1886">
            <v>9381.48</v>
          </cell>
          <cell r="D1886" t="str">
            <v>PHP</v>
          </cell>
          <cell r="E1886">
            <v>6</v>
          </cell>
          <cell r="F1886" t="str">
            <v>PC</v>
          </cell>
          <cell r="G1886">
            <v>0</v>
          </cell>
        </row>
        <row r="1887">
          <cell r="B1887">
            <v>6140</v>
          </cell>
          <cell r="C1887">
            <v>5629</v>
          </cell>
          <cell r="D1887" t="str">
            <v>PHP</v>
          </cell>
          <cell r="E1887">
            <v>3</v>
          </cell>
          <cell r="F1887" t="str">
            <v>PC</v>
          </cell>
          <cell r="G1887">
            <v>0</v>
          </cell>
        </row>
        <row r="1888">
          <cell r="B1888">
            <v>6143</v>
          </cell>
          <cell r="C1888">
            <v>58872.3</v>
          </cell>
          <cell r="D1888" t="str">
            <v>PHP</v>
          </cell>
          <cell r="E1888">
            <v>333</v>
          </cell>
          <cell r="F1888" t="str">
            <v>PC</v>
          </cell>
          <cell r="G1888">
            <v>0</v>
          </cell>
        </row>
        <row r="1889">
          <cell r="B1889">
            <v>6146</v>
          </cell>
          <cell r="C1889">
            <v>462753.46</v>
          </cell>
          <cell r="D1889" t="str">
            <v>PHP</v>
          </cell>
          <cell r="E1889">
            <v>10</v>
          </cell>
          <cell r="F1889" t="str">
            <v>PC</v>
          </cell>
          <cell r="G1889">
            <v>0</v>
          </cell>
        </row>
        <row r="1890">
          <cell r="B1890">
            <v>6148</v>
          </cell>
          <cell r="C1890">
            <v>202.64</v>
          </cell>
          <cell r="D1890" t="str">
            <v>PHP</v>
          </cell>
          <cell r="E1890">
            <v>2</v>
          </cell>
          <cell r="F1890" t="str">
            <v>PC</v>
          </cell>
          <cell r="G1890">
            <v>0</v>
          </cell>
        </row>
        <row r="1891">
          <cell r="B1891">
            <v>6149</v>
          </cell>
          <cell r="C1891">
            <v>202.63</v>
          </cell>
          <cell r="D1891" t="str">
            <v>PHP</v>
          </cell>
          <cell r="E1891">
            <v>2</v>
          </cell>
          <cell r="F1891" t="str">
            <v>PC</v>
          </cell>
          <cell r="G1891">
            <v>0</v>
          </cell>
        </row>
        <row r="1892">
          <cell r="B1892">
            <v>6151</v>
          </cell>
          <cell r="C1892">
            <v>0</v>
          </cell>
          <cell r="D1892" t="str">
            <v>PHP</v>
          </cell>
          <cell r="E1892">
            <v>0</v>
          </cell>
          <cell r="F1892" t="str">
            <v>PC</v>
          </cell>
          <cell r="G1892">
            <v>0</v>
          </cell>
        </row>
        <row r="1893">
          <cell r="B1893">
            <v>6154</v>
          </cell>
          <cell r="C1893">
            <v>0</v>
          </cell>
          <cell r="D1893" t="str">
            <v>PHP</v>
          </cell>
          <cell r="E1893">
            <v>0</v>
          </cell>
          <cell r="F1893" t="str">
            <v>PC</v>
          </cell>
          <cell r="G1893">
            <v>0</v>
          </cell>
        </row>
        <row r="1894">
          <cell r="B1894">
            <v>6155</v>
          </cell>
          <cell r="C1894">
            <v>146689.01</v>
          </cell>
          <cell r="D1894" t="str">
            <v>PHP</v>
          </cell>
          <cell r="E1894">
            <v>16</v>
          </cell>
          <cell r="F1894" t="str">
            <v>PC</v>
          </cell>
          <cell r="G1894">
            <v>0</v>
          </cell>
        </row>
        <row r="1895">
          <cell r="B1895">
            <v>6161</v>
          </cell>
          <cell r="C1895">
            <v>2219.36</v>
          </cell>
          <cell r="D1895" t="str">
            <v>PHP</v>
          </cell>
          <cell r="E1895">
            <v>8</v>
          </cell>
          <cell r="F1895" t="str">
            <v>PC</v>
          </cell>
          <cell r="G1895">
            <v>0</v>
          </cell>
        </row>
        <row r="1896">
          <cell r="B1896">
            <v>6166</v>
          </cell>
          <cell r="C1896">
            <v>4858.32</v>
          </cell>
          <cell r="D1896" t="str">
            <v>PHP</v>
          </cell>
          <cell r="E1896">
            <v>8</v>
          </cell>
          <cell r="F1896" t="str">
            <v>PC</v>
          </cell>
          <cell r="G1896">
            <v>0</v>
          </cell>
        </row>
        <row r="1897">
          <cell r="B1897">
            <v>6167</v>
          </cell>
          <cell r="C1897">
            <v>25879.07</v>
          </cell>
          <cell r="D1897" t="str">
            <v>PHP</v>
          </cell>
          <cell r="E1897">
            <v>15</v>
          </cell>
          <cell r="F1897" t="str">
            <v>PC</v>
          </cell>
          <cell r="G1897">
            <v>0</v>
          </cell>
        </row>
        <row r="1898">
          <cell r="B1898">
            <v>6168</v>
          </cell>
          <cell r="C1898">
            <v>8608.5</v>
          </cell>
          <cell r="D1898" t="str">
            <v>PHP</v>
          </cell>
          <cell r="E1898">
            <v>6</v>
          </cell>
          <cell r="F1898" t="str">
            <v>PC</v>
          </cell>
          <cell r="G1898">
            <v>0</v>
          </cell>
        </row>
        <row r="1899">
          <cell r="B1899">
            <v>6172</v>
          </cell>
          <cell r="C1899">
            <v>99051.62</v>
          </cell>
          <cell r="D1899" t="str">
            <v>PHP</v>
          </cell>
          <cell r="E1899">
            <v>4</v>
          </cell>
          <cell r="F1899" t="str">
            <v>PC</v>
          </cell>
          <cell r="G1899">
            <v>0</v>
          </cell>
        </row>
        <row r="1900">
          <cell r="B1900">
            <v>6173</v>
          </cell>
          <cell r="C1900">
            <v>0</v>
          </cell>
          <cell r="D1900" t="str">
            <v>PHP</v>
          </cell>
          <cell r="E1900">
            <v>0</v>
          </cell>
          <cell r="F1900" t="str">
            <v>PC</v>
          </cell>
          <cell r="G1900">
            <v>0</v>
          </cell>
        </row>
        <row r="1901">
          <cell r="B1901">
            <v>6174</v>
          </cell>
          <cell r="C1901">
            <v>0</v>
          </cell>
          <cell r="D1901" t="str">
            <v>PHP</v>
          </cell>
          <cell r="E1901">
            <v>0</v>
          </cell>
          <cell r="F1901" t="str">
            <v>PC</v>
          </cell>
          <cell r="G1901">
            <v>0</v>
          </cell>
        </row>
        <row r="1902">
          <cell r="B1902">
            <v>6175</v>
          </cell>
          <cell r="C1902">
            <v>51553.22</v>
          </cell>
          <cell r="D1902" t="str">
            <v>PHP</v>
          </cell>
          <cell r="E1902">
            <v>30</v>
          </cell>
          <cell r="F1902" t="str">
            <v>PC</v>
          </cell>
          <cell r="G1902">
            <v>0</v>
          </cell>
        </row>
        <row r="1903">
          <cell r="B1903">
            <v>6176</v>
          </cell>
          <cell r="C1903">
            <v>108702</v>
          </cell>
          <cell r="D1903" t="str">
            <v>PHP</v>
          </cell>
          <cell r="E1903">
            <v>9</v>
          </cell>
          <cell r="F1903" t="str">
            <v>PC</v>
          </cell>
          <cell r="G1903">
            <v>0</v>
          </cell>
        </row>
        <row r="1904">
          <cell r="B1904">
            <v>6182</v>
          </cell>
          <cell r="C1904">
            <v>5904.29</v>
          </cell>
          <cell r="D1904" t="str">
            <v>PHP</v>
          </cell>
          <cell r="E1904">
            <v>1</v>
          </cell>
          <cell r="F1904" t="str">
            <v>PC</v>
          </cell>
          <cell r="G1904">
            <v>0</v>
          </cell>
        </row>
        <row r="1905">
          <cell r="B1905">
            <v>6183</v>
          </cell>
          <cell r="C1905">
            <v>15504.52</v>
          </cell>
          <cell r="D1905" t="str">
            <v>PHP</v>
          </cell>
          <cell r="E1905">
            <v>2</v>
          </cell>
          <cell r="F1905" t="str">
            <v>PC</v>
          </cell>
          <cell r="G1905">
            <v>0</v>
          </cell>
        </row>
        <row r="1906">
          <cell r="B1906">
            <v>6190</v>
          </cell>
          <cell r="C1906">
            <v>28685.599999999999</v>
          </cell>
          <cell r="D1906" t="str">
            <v>PHP</v>
          </cell>
          <cell r="E1906">
            <v>1</v>
          </cell>
          <cell r="F1906" t="str">
            <v>UT</v>
          </cell>
          <cell r="G1906">
            <v>0</v>
          </cell>
        </row>
        <row r="1907">
          <cell r="B1907">
            <v>6191</v>
          </cell>
          <cell r="C1907">
            <v>0</v>
          </cell>
          <cell r="D1907" t="str">
            <v>PHP</v>
          </cell>
          <cell r="E1907">
            <v>0</v>
          </cell>
          <cell r="F1907" t="str">
            <v>UT</v>
          </cell>
          <cell r="G1907">
            <v>0</v>
          </cell>
        </row>
        <row r="1908">
          <cell r="B1908">
            <v>6197</v>
          </cell>
          <cell r="C1908">
            <v>0</v>
          </cell>
          <cell r="D1908" t="str">
            <v>PHP</v>
          </cell>
          <cell r="E1908">
            <v>0</v>
          </cell>
          <cell r="F1908" t="str">
            <v>PC</v>
          </cell>
          <cell r="G1908">
            <v>0</v>
          </cell>
        </row>
        <row r="1909">
          <cell r="B1909">
            <v>6201</v>
          </cell>
          <cell r="C1909">
            <v>7655.22</v>
          </cell>
          <cell r="D1909" t="str">
            <v>PHP</v>
          </cell>
          <cell r="E1909">
            <v>1</v>
          </cell>
          <cell r="F1909" t="str">
            <v>PC</v>
          </cell>
          <cell r="G1909">
            <v>0</v>
          </cell>
        </row>
        <row r="1910">
          <cell r="B1910">
            <v>6202</v>
          </cell>
          <cell r="C1910">
            <v>20766.82</v>
          </cell>
          <cell r="D1910" t="str">
            <v>PHP</v>
          </cell>
          <cell r="E1910">
            <v>1</v>
          </cell>
          <cell r="F1910" t="str">
            <v>PC</v>
          </cell>
          <cell r="G1910">
            <v>0</v>
          </cell>
        </row>
        <row r="1911">
          <cell r="B1911">
            <v>6203</v>
          </cell>
          <cell r="C1911">
            <v>21581.200000000001</v>
          </cell>
          <cell r="D1911" t="str">
            <v>PHP</v>
          </cell>
          <cell r="E1911">
            <v>1</v>
          </cell>
          <cell r="F1911" t="str">
            <v>PC</v>
          </cell>
          <cell r="G1911">
            <v>0</v>
          </cell>
        </row>
        <row r="1912">
          <cell r="B1912">
            <v>6204</v>
          </cell>
          <cell r="C1912">
            <v>45157.65</v>
          </cell>
          <cell r="D1912" t="str">
            <v>PHP</v>
          </cell>
          <cell r="E1912">
            <v>1</v>
          </cell>
          <cell r="F1912" t="str">
            <v>PC</v>
          </cell>
          <cell r="G1912">
            <v>0</v>
          </cell>
        </row>
        <row r="1913">
          <cell r="B1913">
            <v>6211</v>
          </cell>
          <cell r="C1913">
            <v>57061.95</v>
          </cell>
          <cell r="D1913" t="str">
            <v>PHP</v>
          </cell>
          <cell r="E1913">
            <v>4</v>
          </cell>
          <cell r="F1913" t="str">
            <v>PC</v>
          </cell>
          <cell r="G1913">
            <v>0</v>
          </cell>
        </row>
        <row r="1914">
          <cell r="B1914">
            <v>6212</v>
          </cell>
          <cell r="C1914">
            <v>41802.17</v>
          </cell>
          <cell r="D1914" t="str">
            <v>PHP</v>
          </cell>
          <cell r="E1914">
            <v>2</v>
          </cell>
          <cell r="F1914" t="str">
            <v>PC</v>
          </cell>
          <cell r="G1914">
            <v>0</v>
          </cell>
        </row>
        <row r="1915">
          <cell r="B1915">
            <v>6217</v>
          </cell>
          <cell r="C1915">
            <v>96721.46</v>
          </cell>
          <cell r="D1915" t="str">
            <v>PHP</v>
          </cell>
          <cell r="E1915">
            <v>11</v>
          </cell>
          <cell r="F1915" t="str">
            <v>PC</v>
          </cell>
          <cell r="G1915">
            <v>0</v>
          </cell>
        </row>
        <row r="1916">
          <cell r="B1916">
            <v>6236</v>
          </cell>
          <cell r="C1916">
            <v>0</v>
          </cell>
          <cell r="D1916" t="str">
            <v>PHP</v>
          </cell>
          <cell r="E1916">
            <v>0</v>
          </cell>
          <cell r="F1916" t="str">
            <v>PC</v>
          </cell>
          <cell r="G1916">
            <v>0</v>
          </cell>
        </row>
        <row r="1917">
          <cell r="B1917">
            <v>6244</v>
          </cell>
          <cell r="C1917">
            <v>0</v>
          </cell>
          <cell r="D1917" t="str">
            <v>PHP</v>
          </cell>
          <cell r="E1917">
            <v>0</v>
          </cell>
          <cell r="F1917" t="str">
            <v>PC</v>
          </cell>
          <cell r="G1917">
            <v>0</v>
          </cell>
        </row>
        <row r="1918">
          <cell r="B1918">
            <v>6245</v>
          </cell>
          <cell r="C1918">
            <v>0</v>
          </cell>
          <cell r="D1918" t="str">
            <v>PHP</v>
          </cell>
          <cell r="E1918">
            <v>0</v>
          </cell>
          <cell r="F1918" t="str">
            <v>PC</v>
          </cell>
          <cell r="G1918">
            <v>0</v>
          </cell>
        </row>
        <row r="1919">
          <cell r="B1919">
            <v>6246</v>
          </cell>
          <cell r="C1919">
            <v>181775.84</v>
          </cell>
          <cell r="D1919" t="str">
            <v>PHP</v>
          </cell>
          <cell r="E1919">
            <v>1</v>
          </cell>
          <cell r="F1919" t="str">
            <v>ASY</v>
          </cell>
          <cell r="G1919">
            <v>0</v>
          </cell>
        </row>
        <row r="1920">
          <cell r="B1920">
            <v>6247</v>
          </cell>
          <cell r="C1920">
            <v>151882.43</v>
          </cell>
          <cell r="D1920" t="str">
            <v>PHP</v>
          </cell>
          <cell r="E1920">
            <v>1</v>
          </cell>
          <cell r="F1920" t="str">
            <v>UT</v>
          </cell>
          <cell r="G1920">
            <v>0</v>
          </cell>
        </row>
        <row r="1921">
          <cell r="B1921">
            <v>6248</v>
          </cell>
          <cell r="C1921">
            <v>53566.62</v>
          </cell>
          <cell r="D1921" t="str">
            <v>PHP</v>
          </cell>
          <cell r="E1921">
            <v>3</v>
          </cell>
          <cell r="F1921" t="str">
            <v>PC</v>
          </cell>
          <cell r="G1921">
            <v>0</v>
          </cell>
        </row>
        <row r="1922">
          <cell r="B1922">
            <v>6249</v>
          </cell>
          <cell r="C1922">
            <v>683657.4</v>
          </cell>
          <cell r="D1922" t="str">
            <v>PHP</v>
          </cell>
          <cell r="E1922">
            <v>3</v>
          </cell>
          <cell r="F1922" t="str">
            <v>PC</v>
          </cell>
          <cell r="G1922">
            <v>0</v>
          </cell>
        </row>
        <row r="1923">
          <cell r="B1923">
            <v>6250</v>
          </cell>
          <cell r="C1923">
            <v>656570.76</v>
          </cell>
          <cell r="D1923" t="str">
            <v>PHP</v>
          </cell>
          <cell r="E1923">
            <v>3</v>
          </cell>
          <cell r="F1923" t="str">
            <v>PC</v>
          </cell>
          <cell r="G1923">
            <v>0</v>
          </cell>
        </row>
        <row r="1924">
          <cell r="B1924">
            <v>6251</v>
          </cell>
          <cell r="C1924">
            <v>0</v>
          </cell>
          <cell r="D1924" t="str">
            <v>PHP</v>
          </cell>
          <cell r="E1924">
            <v>0</v>
          </cell>
          <cell r="F1924" t="str">
            <v>PC</v>
          </cell>
          <cell r="G1924">
            <v>0</v>
          </cell>
        </row>
        <row r="1925">
          <cell r="B1925">
            <v>6254</v>
          </cell>
          <cell r="C1925">
            <v>475509.05</v>
          </cell>
          <cell r="D1925" t="str">
            <v>PHP</v>
          </cell>
          <cell r="E1925">
            <v>4</v>
          </cell>
          <cell r="F1925" t="str">
            <v>PC</v>
          </cell>
          <cell r="G1925">
            <v>0</v>
          </cell>
        </row>
        <row r="1926">
          <cell r="B1926">
            <v>6255</v>
          </cell>
          <cell r="C1926">
            <v>387015.93</v>
          </cell>
          <cell r="D1926" t="str">
            <v>PHP</v>
          </cell>
          <cell r="E1926">
            <v>3</v>
          </cell>
          <cell r="F1926" t="str">
            <v>PC</v>
          </cell>
          <cell r="G1926">
            <v>0</v>
          </cell>
        </row>
        <row r="1927">
          <cell r="B1927">
            <v>6256</v>
          </cell>
          <cell r="C1927">
            <v>26849.599999999999</v>
          </cell>
          <cell r="D1927" t="str">
            <v>PHP</v>
          </cell>
          <cell r="E1927">
            <v>4</v>
          </cell>
          <cell r="F1927" t="str">
            <v>PC</v>
          </cell>
          <cell r="G1927">
            <v>0</v>
          </cell>
        </row>
        <row r="1928">
          <cell r="B1928">
            <v>6258</v>
          </cell>
          <cell r="C1928">
            <v>61325</v>
          </cell>
          <cell r="D1928" t="str">
            <v>PHP</v>
          </cell>
          <cell r="E1928">
            <v>1</v>
          </cell>
          <cell r="F1928" t="str">
            <v>PC</v>
          </cell>
          <cell r="G1928">
            <v>0</v>
          </cell>
        </row>
        <row r="1929">
          <cell r="B1929">
            <v>6259</v>
          </cell>
          <cell r="C1929">
            <v>0</v>
          </cell>
          <cell r="D1929" t="str">
            <v>PHP</v>
          </cell>
          <cell r="E1929">
            <v>0</v>
          </cell>
          <cell r="F1929" t="str">
            <v>PC</v>
          </cell>
          <cell r="G1929">
            <v>0</v>
          </cell>
        </row>
        <row r="1930">
          <cell r="B1930">
            <v>6260</v>
          </cell>
          <cell r="C1930">
            <v>5469.35</v>
          </cell>
          <cell r="D1930" t="str">
            <v>PHP</v>
          </cell>
          <cell r="E1930">
            <v>1</v>
          </cell>
          <cell r="F1930" t="str">
            <v>PC</v>
          </cell>
          <cell r="G1930">
            <v>0</v>
          </cell>
        </row>
        <row r="1931">
          <cell r="B1931">
            <v>6261</v>
          </cell>
          <cell r="C1931">
            <v>0</v>
          </cell>
          <cell r="D1931" t="str">
            <v>PHP</v>
          </cell>
          <cell r="E1931">
            <v>0</v>
          </cell>
          <cell r="F1931" t="str">
            <v>PC</v>
          </cell>
          <cell r="G1931">
            <v>0</v>
          </cell>
        </row>
        <row r="1932">
          <cell r="B1932">
            <v>6262</v>
          </cell>
          <cell r="C1932">
            <v>356001.95</v>
          </cell>
          <cell r="D1932" t="str">
            <v>PHP</v>
          </cell>
          <cell r="E1932">
            <v>4</v>
          </cell>
          <cell r="F1932" t="str">
            <v>PC</v>
          </cell>
          <cell r="G1932">
            <v>0</v>
          </cell>
        </row>
        <row r="1933">
          <cell r="B1933">
            <v>6266</v>
          </cell>
          <cell r="C1933">
            <v>252958.93</v>
          </cell>
          <cell r="D1933" t="str">
            <v>PHP</v>
          </cell>
          <cell r="E1933">
            <v>4</v>
          </cell>
          <cell r="F1933" t="str">
            <v>ASY</v>
          </cell>
          <cell r="G1933">
            <v>0</v>
          </cell>
        </row>
        <row r="1934">
          <cell r="B1934">
            <v>6267</v>
          </cell>
          <cell r="C1934">
            <v>174535.19</v>
          </cell>
          <cell r="D1934" t="str">
            <v>PHP</v>
          </cell>
          <cell r="E1934">
            <v>4</v>
          </cell>
          <cell r="F1934" t="str">
            <v>PC</v>
          </cell>
          <cell r="G1934">
            <v>0</v>
          </cell>
        </row>
        <row r="1935">
          <cell r="B1935">
            <v>6269</v>
          </cell>
          <cell r="C1935">
            <v>222655.25</v>
          </cell>
          <cell r="D1935" t="str">
            <v>PHP</v>
          </cell>
          <cell r="E1935">
            <v>6</v>
          </cell>
          <cell r="F1935" t="str">
            <v>ASY</v>
          </cell>
          <cell r="G1935">
            <v>0</v>
          </cell>
        </row>
        <row r="1936">
          <cell r="B1936">
            <v>6273</v>
          </cell>
          <cell r="C1936">
            <v>22579.14</v>
          </cell>
          <cell r="D1936" t="str">
            <v>PHP</v>
          </cell>
          <cell r="E1936">
            <v>3</v>
          </cell>
          <cell r="F1936" t="str">
            <v>PC</v>
          </cell>
          <cell r="G1936">
            <v>0</v>
          </cell>
        </row>
        <row r="1937">
          <cell r="B1937">
            <v>6275</v>
          </cell>
          <cell r="C1937">
            <v>27147.119999999999</v>
          </cell>
          <cell r="D1937" t="str">
            <v>PHP</v>
          </cell>
          <cell r="E1937">
            <v>2</v>
          </cell>
          <cell r="F1937" t="str">
            <v>ASY</v>
          </cell>
          <cell r="G1937">
            <v>0</v>
          </cell>
        </row>
        <row r="1938">
          <cell r="B1938">
            <v>6282</v>
          </cell>
          <cell r="C1938">
            <v>0</v>
          </cell>
          <cell r="D1938" t="str">
            <v>PHP</v>
          </cell>
          <cell r="E1938">
            <v>0</v>
          </cell>
          <cell r="F1938" t="str">
            <v>PC</v>
          </cell>
          <cell r="G1938">
            <v>0</v>
          </cell>
        </row>
        <row r="1939">
          <cell r="B1939">
            <v>6283</v>
          </cell>
          <cell r="C1939">
            <v>0</v>
          </cell>
          <cell r="D1939" t="str">
            <v>PHP</v>
          </cell>
          <cell r="E1939">
            <v>0</v>
          </cell>
          <cell r="F1939" t="str">
            <v>PC</v>
          </cell>
          <cell r="G1939">
            <v>0</v>
          </cell>
        </row>
        <row r="1940">
          <cell r="B1940">
            <v>6284</v>
          </cell>
          <cell r="C1940">
            <v>0</v>
          </cell>
          <cell r="D1940" t="str">
            <v>PHP</v>
          </cell>
          <cell r="E1940">
            <v>0</v>
          </cell>
          <cell r="F1940" t="str">
            <v>PC</v>
          </cell>
          <cell r="G1940">
            <v>0</v>
          </cell>
        </row>
        <row r="1941">
          <cell r="B1941">
            <v>6285</v>
          </cell>
          <cell r="C1941">
            <v>355767.36</v>
          </cell>
          <cell r="D1941" t="str">
            <v>PHP</v>
          </cell>
          <cell r="E1941">
            <v>24</v>
          </cell>
          <cell r="F1941" t="str">
            <v>PC</v>
          </cell>
          <cell r="G1941">
            <v>0</v>
          </cell>
        </row>
        <row r="1942">
          <cell r="B1942">
            <v>6291</v>
          </cell>
          <cell r="C1942">
            <v>311479.12</v>
          </cell>
          <cell r="D1942" t="str">
            <v>PHP</v>
          </cell>
          <cell r="E1942">
            <v>21</v>
          </cell>
          <cell r="F1942" t="str">
            <v>PC</v>
          </cell>
          <cell r="G1942">
            <v>0</v>
          </cell>
        </row>
        <row r="1943">
          <cell r="B1943">
            <v>6293</v>
          </cell>
          <cell r="C1943">
            <v>41622.39</v>
          </cell>
          <cell r="D1943" t="str">
            <v>PHP</v>
          </cell>
          <cell r="E1943">
            <v>46</v>
          </cell>
          <cell r="F1943" t="str">
            <v>PC</v>
          </cell>
          <cell r="G1943">
            <v>0</v>
          </cell>
        </row>
        <row r="1944">
          <cell r="B1944">
            <v>6294</v>
          </cell>
          <cell r="C1944">
            <v>100602</v>
          </cell>
          <cell r="D1944" t="str">
            <v>PHP</v>
          </cell>
          <cell r="E1944">
            <v>9</v>
          </cell>
          <cell r="F1944" t="str">
            <v>PC</v>
          </cell>
          <cell r="G1944">
            <v>0</v>
          </cell>
        </row>
        <row r="1945">
          <cell r="B1945">
            <v>6295</v>
          </cell>
          <cell r="C1945">
            <v>402105.59999999998</v>
          </cell>
          <cell r="D1945" t="str">
            <v>PHP</v>
          </cell>
          <cell r="E1945">
            <v>20</v>
          </cell>
          <cell r="F1945" t="str">
            <v>PC</v>
          </cell>
          <cell r="G1945">
            <v>0</v>
          </cell>
        </row>
        <row r="1946">
          <cell r="B1946">
            <v>6296</v>
          </cell>
          <cell r="C1946">
            <v>90979.199999999997</v>
          </cell>
          <cell r="D1946" t="str">
            <v>PHP</v>
          </cell>
          <cell r="E1946">
            <v>26</v>
          </cell>
          <cell r="F1946" t="str">
            <v>PC</v>
          </cell>
          <cell r="G1946">
            <v>0</v>
          </cell>
        </row>
        <row r="1947">
          <cell r="B1947">
            <v>6298</v>
          </cell>
          <cell r="C1947">
            <v>35952.300000000003</v>
          </cell>
          <cell r="D1947" t="str">
            <v>PHP</v>
          </cell>
          <cell r="E1947">
            <v>15</v>
          </cell>
          <cell r="F1947" t="str">
            <v>PC</v>
          </cell>
          <cell r="G1947">
            <v>0</v>
          </cell>
        </row>
        <row r="1948">
          <cell r="B1948">
            <v>6299</v>
          </cell>
          <cell r="C1948">
            <v>304000</v>
          </cell>
          <cell r="D1948" t="str">
            <v>PHP</v>
          </cell>
          <cell r="E1948">
            <v>19</v>
          </cell>
          <cell r="F1948" t="str">
            <v>PC</v>
          </cell>
          <cell r="G1948">
            <v>0</v>
          </cell>
        </row>
        <row r="1949">
          <cell r="B1949">
            <v>6300</v>
          </cell>
          <cell r="C1949">
            <v>87735.87</v>
          </cell>
          <cell r="D1949" t="str">
            <v>PHP</v>
          </cell>
          <cell r="E1949">
            <v>33</v>
          </cell>
          <cell r="F1949" t="str">
            <v>PC</v>
          </cell>
          <cell r="G1949">
            <v>0</v>
          </cell>
        </row>
        <row r="1950">
          <cell r="B1950">
            <v>6301</v>
          </cell>
          <cell r="C1950">
            <v>163832.44</v>
          </cell>
          <cell r="D1950" t="str">
            <v>PHP</v>
          </cell>
          <cell r="E1950">
            <v>19</v>
          </cell>
          <cell r="F1950" t="str">
            <v>PC</v>
          </cell>
          <cell r="G1950">
            <v>0</v>
          </cell>
        </row>
        <row r="1951">
          <cell r="B1951">
            <v>6302</v>
          </cell>
          <cell r="C1951">
            <v>99399.3</v>
          </cell>
          <cell r="D1951" t="str">
            <v>PHP</v>
          </cell>
          <cell r="E1951">
            <v>21</v>
          </cell>
          <cell r="F1951" t="str">
            <v>PC</v>
          </cell>
          <cell r="G1951">
            <v>0</v>
          </cell>
        </row>
        <row r="1952">
          <cell r="B1952">
            <v>6303</v>
          </cell>
          <cell r="C1952">
            <v>80100</v>
          </cell>
          <cell r="D1952" t="str">
            <v>PHP</v>
          </cell>
          <cell r="E1952">
            <v>9</v>
          </cell>
          <cell r="F1952" t="str">
            <v>PC</v>
          </cell>
          <cell r="G1952">
            <v>0</v>
          </cell>
        </row>
        <row r="1953">
          <cell r="B1953">
            <v>6304</v>
          </cell>
          <cell r="C1953">
            <v>315.75</v>
          </cell>
          <cell r="D1953" t="str">
            <v>PHP</v>
          </cell>
          <cell r="E1953">
            <v>3</v>
          </cell>
          <cell r="F1953" t="str">
            <v>PC</v>
          </cell>
          <cell r="G1953">
            <v>0</v>
          </cell>
        </row>
        <row r="1954">
          <cell r="B1954">
            <v>6307</v>
          </cell>
          <cell r="C1954">
            <v>9168.7099999999991</v>
          </cell>
          <cell r="D1954" t="str">
            <v>PHP</v>
          </cell>
          <cell r="E1954">
            <v>200</v>
          </cell>
          <cell r="F1954" t="str">
            <v>PC</v>
          </cell>
          <cell r="G1954">
            <v>0</v>
          </cell>
        </row>
        <row r="1955">
          <cell r="B1955">
            <v>6309</v>
          </cell>
          <cell r="C1955">
            <v>1900190.23</v>
          </cell>
          <cell r="D1955" t="str">
            <v>PHP</v>
          </cell>
          <cell r="E1955">
            <v>6</v>
          </cell>
          <cell r="F1955" t="str">
            <v>PC</v>
          </cell>
          <cell r="G1955">
            <v>0</v>
          </cell>
        </row>
        <row r="1956">
          <cell r="B1956">
            <v>6312</v>
          </cell>
          <cell r="C1956">
            <v>2748.09</v>
          </cell>
          <cell r="D1956" t="str">
            <v>PHP</v>
          </cell>
          <cell r="E1956">
            <v>1</v>
          </cell>
          <cell r="F1956" t="str">
            <v>PC</v>
          </cell>
          <cell r="G1956">
            <v>0</v>
          </cell>
        </row>
        <row r="1957">
          <cell r="B1957">
            <v>6313</v>
          </cell>
          <cell r="C1957">
            <v>0</v>
          </cell>
          <cell r="D1957" t="str">
            <v>PHP</v>
          </cell>
          <cell r="E1957">
            <v>0</v>
          </cell>
          <cell r="F1957" t="str">
            <v>PC</v>
          </cell>
          <cell r="G1957">
            <v>0</v>
          </cell>
        </row>
        <row r="1958">
          <cell r="B1958">
            <v>6314</v>
          </cell>
          <cell r="C1958">
            <v>47129</v>
          </cell>
          <cell r="D1958" t="str">
            <v>PHP</v>
          </cell>
          <cell r="E1958">
            <v>1</v>
          </cell>
          <cell r="F1958" t="str">
            <v>PC</v>
          </cell>
          <cell r="G1958">
            <v>0</v>
          </cell>
        </row>
        <row r="1959">
          <cell r="B1959">
            <v>6333</v>
          </cell>
          <cell r="C1959">
            <v>0</v>
          </cell>
          <cell r="D1959" t="str">
            <v>PHP</v>
          </cell>
          <cell r="E1959">
            <v>0</v>
          </cell>
          <cell r="F1959" t="str">
            <v>PC</v>
          </cell>
          <cell r="G1959">
            <v>0</v>
          </cell>
        </row>
        <row r="1960">
          <cell r="B1960">
            <v>6335</v>
          </cell>
          <cell r="C1960">
            <v>26078.080000000002</v>
          </cell>
          <cell r="D1960" t="str">
            <v>PHP</v>
          </cell>
          <cell r="E1960">
            <v>16</v>
          </cell>
          <cell r="F1960" t="str">
            <v>PC</v>
          </cell>
          <cell r="G1960">
            <v>0</v>
          </cell>
        </row>
        <row r="1961">
          <cell r="B1961">
            <v>6340</v>
          </cell>
          <cell r="C1961">
            <v>23240.38</v>
          </cell>
          <cell r="D1961" t="str">
            <v>PHP</v>
          </cell>
          <cell r="E1961">
            <v>3</v>
          </cell>
          <cell r="F1961" t="str">
            <v>PC</v>
          </cell>
          <cell r="G1961">
            <v>0</v>
          </cell>
        </row>
        <row r="1962">
          <cell r="B1962">
            <v>6354</v>
          </cell>
          <cell r="C1962">
            <v>818.13</v>
          </cell>
          <cell r="D1962" t="str">
            <v>PHP</v>
          </cell>
          <cell r="E1962">
            <v>1</v>
          </cell>
          <cell r="F1962" t="str">
            <v>PC</v>
          </cell>
          <cell r="G1962">
            <v>0</v>
          </cell>
        </row>
        <row r="1963">
          <cell r="B1963">
            <v>6355</v>
          </cell>
          <cell r="C1963">
            <v>1073.79</v>
          </cell>
          <cell r="D1963" t="str">
            <v>PHP</v>
          </cell>
          <cell r="E1963">
            <v>1</v>
          </cell>
          <cell r="F1963" t="str">
            <v>PC</v>
          </cell>
          <cell r="G1963">
            <v>0</v>
          </cell>
        </row>
        <row r="1964">
          <cell r="B1964">
            <v>6359</v>
          </cell>
          <cell r="C1964">
            <v>0</v>
          </cell>
          <cell r="D1964" t="str">
            <v>PHP</v>
          </cell>
          <cell r="E1964">
            <v>0</v>
          </cell>
          <cell r="F1964" t="str">
            <v>PC</v>
          </cell>
          <cell r="G1964">
            <v>0</v>
          </cell>
        </row>
        <row r="1965">
          <cell r="B1965">
            <v>6360</v>
          </cell>
          <cell r="C1965">
            <v>0</v>
          </cell>
          <cell r="D1965" t="str">
            <v>PHP</v>
          </cell>
          <cell r="E1965">
            <v>0</v>
          </cell>
          <cell r="F1965" t="str">
            <v>PC</v>
          </cell>
          <cell r="G1965">
            <v>0</v>
          </cell>
        </row>
        <row r="1966">
          <cell r="B1966">
            <v>6361</v>
          </cell>
          <cell r="C1966">
            <v>0</v>
          </cell>
          <cell r="D1966" t="str">
            <v>PHP</v>
          </cell>
          <cell r="E1966">
            <v>0</v>
          </cell>
          <cell r="F1966" t="str">
            <v>PC</v>
          </cell>
          <cell r="G1966">
            <v>0</v>
          </cell>
        </row>
        <row r="1967">
          <cell r="B1967">
            <v>6363</v>
          </cell>
          <cell r="C1967">
            <v>2615.16</v>
          </cell>
          <cell r="D1967" t="str">
            <v>PHP</v>
          </cell>
          <cell r="E1967">
            <v>1</v>
          </cell>
          <cell r="F1967" t="str">
            <v>PC</v>
          </cell>
          <cell r="G1967">
            <v>0</v>
          </cell>
        </row>
        <row r="1968">
          <cell r="B1968">
            <v>6364</v>
          </cell>
          <cell r="C1968">
            <v>2982.2</v>
          </cell>
          <cell r="D1968" t="str">
            <v>PHP</v>
          </cell>
          <cell r="E1968">
            <v>1</v>
          </cell>
          <cell r="F1968" t="str">
            <v>PC</v>
          </cell>
          <cell r="G1968">
            <v>0</v>
          </cell>
        </row>
        <row r="1969">
          <cell r="B1969">
            <v>6371</v>
          </cell>
          <cell r="C1969">
            <v>30669.94</v>
          </cell>
          <cell r="D1969" t="str">
            <v>PHP</v>
          </cell>
          <cell r="E1969">
            <v>2</v>
          </cell>
          <cell r="F1969" t="str">
            <v>PC</v>
          </cell>
          <cell r="G1969">
            <v>0</v>
          </cell>
        </row>
        <row r="1970">
          <cell r="B1970">
            <v>6373</v>
          </cell>
          <cell r="C1970">
            <v>3185.11</v>
          </cell>
          <cell r="D1970" t="str">
            <v>PHP</v>
          </cell>
          <cell r="E1970">
            <v>2</v>
          </cell>
          <cell r="F1970" t="str">
            <v>PC</v>
          </cell>
          <cell r="G1970">
            <v>0</v>
          </cell>
        </row>
        <row r="1971">
          <cell r="B1971">
            <v>6375</v>
          </cell>
          <cell r="C1971">
            <v>5504.16</v>
          </cell>
          <cell r="D1971" t="str">
            <v>PHP</v>
          </cell>
          <cell r="E1971">
            <v>2</v>
          </cell>
          <cell r="F1971" t="str">
            <v>PC</v>
          </cell>
          <cell r="G1971">
            <v>0</v>
          </cell>
        </row>
        <row r="1972">
          <cell r="B1972">
            <v>6376</v>
          </cell>
          <cell r="C1972">
            <v>14647.93</v>
          </cell>
          <cell r="D1972" t="str">
            <v>PHP</v>
          </cell>
          <cell r="E1972">
            <v>6</v>
          </cell>
          <cell r="F1972" t="str">
            <v>PC</v>
          </cell>
          <cell r="G1972">
            <v>0</v>
          </cell>
        </row>
        <row r="1973">
          <cell r="B1973">
            <v>6377</v>
          </cell>
          <cell r="C1973">
            <v>46206.11</v>
          </cell>
          <cell r="D1973" t="str">
            <v>PHP</v>
          </cell>
          <cell r="E1973">
            <v>6</v>
          </cell>
          <cell r="F1973" t="str">
            <v>PC</v>
          </cell>
          <cell r="G1973">
            <v>0</v>
          </cell>
        </row>
        <row r="1974">
          <cell r="B1974">
            <v>6379</v>
          </cell>
          <cell r="C1974">
            <v>13178.75</v>
          </cell>
          <cell r="D1974" t="str">
            <v>PHP</v>
          </cell>
          <cell r="E1974">
            <v>5</v>
          </cell>
          <cell r="F1974" t="str">
            <v>PC</v>
          </cell>
          <cell r="G1974">
            <v>0</v>
          </cell>
        </row>
        <row r="1975">
          <cell r="B1975">
            <v>6381</v>
          </cell>
          <cell r="C1975">
            <v>0</v>
          </cell>
          <cell r="D1975" t="str">
            <v>PHP</v>
          </cell>
          <cell r="E1975">
            <v>0</v>
          </cell>
          <cell r="F1975" t="str">
            <v>PC</v>
          </cell>
          <cell r="G1975">
            <v>0</v>
          </cell>
        </row>
        <row r="1976">
          <cell r="B1976">
            <v>6382</v>
          </cell>
          <cell r="C1976">
            <v>62179.81</v>
          </cell>
          <cell r="D1976" t="str">
            <v>PHP</v>
          </cell>
          <cell r="E1976">
            <v>9</v>
          </cell>
          <cell r="F1976" t="str">
            <v>PC</v>
          </cell>
          <cell r="G1976">
            <v>0</v>
          </cell>
        </row>
        <row r="1977">
          <cell r="B1977">
            <v>6383</v>
          </cell>
          <cell r="C1977">
            <v>83041.87</v>
          </cell>
          <cell r="D1977" t="str">
            <v>PHP</v>
          </cell>
          <cell r="E1977">
            <v>6</v>
          </cell>
          <cell r="F1977" t="str">
            <v>PC</v>
          </cell>
          <cell r="G1977">
            <v>0</v>
          </cell>
        </row>
        <row r="1978">
          <cell r="B1978">
            <v>6385</v>
          </cell>
          <cell r="C1978">
            <v>0</v>
          </cell>
          <cell r="D1978" t="str">
            <v>PHP</v>
          </cell>
          <cell r="E1978">
            <v>0</v>
          </cell>
          <cell r="F1978" t="str">
            <v>PC</v>
          </cell>
          <cell r="G1978">
            <v>0</v>
          </cell>
        </row>
        <row r="1979">
          <cell r="B1979">
            <v>6386</v>
          </cell>
          <cell r="C1979">
            <v>55481.48</v>
          </cell>
          <cell r="D1979" t="str">
            <v>PHP</v>
          </cell>
          <cell r="E1979">
            <v>3</v>
          </cell>
          <cell r="F1979" t="str">
            <v>PC</v>
          </cell>
          <cell r="G1979">
            <v>0</v>
          </cell>
        </row>
        <row r="1980">
          <cell r="B1980">
            <v>6387</v>
          </cell>
          <cell r="C1980">
            <v>101977.53</v>
          </cell>
          <cell r="D1980" t="str">
            <v>PHP</v>
          </cell>
          <cell r="E1980">
            <v>15</v>
          </cell>
          <cell r="F1980" t="str">
            <v>PC</v>
          </cell>
          <cell r="G1980">
            <v>0</v>
          </cell>
        </row>
        <row r="1981">
          <cell r="B1981">
            <v>6389</v>
          </cell>
          <cell r="C1981">
            <v>16362.84</v>
          </cell>
          <cell r="D1981" t="str">
            <v>PHP</v>
          </cell>
          <cell r="E1981">
            <v>4</v>
          </cell>
          <cell r="F1981" t="str">
            <v>UT</v>
          </cell>
          <cell r="G1981">
            <v>0</v>
          </cell>
        </row>
        <row r="1982">
          <cell r="B1982">
            <v>6390</v>
          </cell>
          <cell r="C1982">
            <v>2140.61</v>
          </cell>
          <cell r="D1982" t="str">
            <v>PHP</v>
          </cell>
          <cell r="E1982">
            <v>2</v>
          </cell>
          <cell r="F1982" t="str">
            <v>PC</v>
          </cell>
          <cell r="G1982">
            <v>0</v>
          </cell>
        </row>
        <row r="1983">
          <cell r="B1983">
            <v>6391</v>
          </cell>
          <cell r="C1983">
            <v>3795</v>
          </cell>
          <cell r="D1983" t="str">
            <v>PHP</v>
          </cell>
          <cell r="E1983">
            <v>2</v>
          </cell>
          <cell r="F1983" t="str">
            <v>PC</v>
          </cell>
          <cell r="G1983">
            <v>0</v>
          </cell>
        </row>
        <row r="1984">
          <cell r="B1984">
            <v>6393</v>
          </cell>
          <cell r="C1984">
            <v>90562.5</v>
          </cell>
          <cell r="D1984" t="str">
            <v>PHP</v>
          </cell>
          <cell r="E1984">
            <v>6</v>
          </cell>
          <cell r="F1984" t="str">
            <v>PC</v>
          </cell>
          <cell r="G1984">
            <v>0</v>
          </cell>
        </row>
        <row r="1985">
          <cell r="B1985">
            <v>6394</v>
          </cell>
          <cell r="C1985">
            <v>0</v>
          </cell>
          <cell r="D1985" t="str">
            <v>PHP</v>
          </cell>
          <cell r="E1985">
            <v>0</v>
          </cell>
          <cell r="F1985" t="str">
            <v>PC</v>
          </cell>
          <cell r="G1985">
            <v>0</v>
          </cell>
        </row>
        <row r="1986">
          <cell r="B1986">
            <v>6395</v>
          </cell>
          <cell r="C1986">
            <v>63393.77</v>
          </cell>
          <cell r="D1986" t="str">
            <v>PHP</v>
          </cell>
          <cell r="E1986">
            <v>6</v>
          </cell>
          <cell r="F1986" t="str">
            <v>PC</v>
          </cell>
          <cell r="G1986">
            <v>0</v>
          </cell>
        </row>
        <row r="1987">
          <cell r="B1987">
            <v>6409</v>
          </cell>
          <cell r="C1987">
            <v>7459.2</v>
          </cell>
          <cell r="D1987" t="str">
            <v>PHP</v>
          </cell>
          <cell r="E1987">
            <v>6</v>
          </cell>
          <cell r="F1987" t="str">
            <v>PC</v>
          </cell>
          <cell r="G1987">
            <v>0</v>
          </cell>
        </row>
        <row r="1988">
          <cell r="B1988">
            <v>6413</v>
          </cell>
          <cell r="C1988">
            <v>14420</v>
          </cell>
          <cell r="D1988" t="str">
            <v>PHP</v>
          </cell>
          <cell r="E1988">
            <v>28</v>
          </cell>
          <cell r="F1988" t="str">
            <v>PC</v>
          </cell>
          <cell r="G1988">
            <v>0</v>
          </cell>
        </row>
        <row r="1989">
          <cell r="B1989">
            <v>6423</v>
          </cell>
          <cell r="C1989">
            <v>3323.65</v>
          </cell>
          <cell r="D1989" t="str">
            <v>PHP</v>
          </cell>
          <cell r="E1989">
            <v>1</v>
          </cell>
          <cell r="F1989" t="str">
            <v>PC</v>
          </cell>
          <cell r="G1989">
            <v>0</v>
          </cell>
        </row>
        <row r="1990">
          <cell r="B1990">
            <v>6424</v>
          </cell>
          <cell r="C1990">
            <v>5778.05</v>
          </cell>
          <cell r="D1990" t="str">
            <v>PHP</v>
          </cell>
          <cell r="E1990">
            <v>1</v>
          </cell>
          <cell r="F1990" t="str">
            <v>PC</v>
          </cell>
          <cell r="G1990">
            <v>0</v>
          </cell>
        </row>
        <row r="1991">
          <cell r="B1991">
            <v>6426</v>
          </cell>
          <cell r="C1991">
            <v>0</v>
          </cell>
          <cell r="D1991" t="str">
            <v>PHP</v>
          </cell>
          <cell r="E1991">
            <v>0</v>
          </cell>
          <cell r="F1991" t="str">
            <v>PC</v>
          </cell>
          <cell r="G1991">
            <v>0</v>
          </cell>
        </row>
        <row r="1992">
          <cell r="B1992">
            <v>6427</v>
          </cell>
          <cell r="C1992">
            <v>5352.5</v>
          </cell>
          <cell r="D1992" t="str">
            <v>PHP</v>
          </cell>
          <cell r="E1992">
            <v>1</v>
          </cell>
          <cell r="F1992" t="str">
            <v>PC</v>
          </cell>
          <cell r="G1992">
            <v>0</v>
          </cell>
        </row>
        <row r="1993">
          <cell r="B1993">
            <v>6442</v>
          </cell>
          <cell r="C1993">
            <v>0</v>
          </cell>
          <cell r="D1993" t="str">
            <v>PHP</v>
          </cell>
          <cell r="E1993">
            <v>0</v>
          </cell>
          <cell r="F1993" t="str">
            <v>PC</v>
          </cell>
          <cell r="G1993">
            <v>0</v>
          </cell>
        </row>
        <row r="1994">
          <cell r="B1994">
            <v>6443</v>
          </cell>
          <cell r="C1994">
            <v>269610.82</v>
          </cell>
          <cell r="D1994" t="str">
            <v>PHP</v>
          </cell>
          <cell r="E1994">
            <v>2</v>
          </cell>
          <cell r="F1994" t="str">
            <v>PC</v>
          </cell>
          <cell r="G1994">
            <v>0</v>
          </cell>
        </row>
        <row r="1995">
          <cell r="B1995">
            <v>6446</v>
          </cell>
          <cell r="C1995">
            <v>17520</v>
          </cell>
          <cell r="D1995" t="str">
            <v>PHP</v>
          </cell>
          <cell r="E1995">
            <v>6</v>
          </cell>
          <cell r="F1995" t="str">
            <v>PC</v>
          </cell>
          <cell r="G1995">
            <v>0</v>
          </cell>
        </row>
        <row r="1996">
          <cell r="B1996">
            <v>6447</v>
          </cell>
          <cell r="C1996">
            <v>70414.86</v>
          </cell>
          <cell r="D1996" t="str">
            <v>PHP</v>
          </cell>
          <cell r="E1996">
            <v>4</v>
          </cell>
          <cell r="F1996" t="str">
            <v>PC</v>
          </cell>
          <cell r="G1996">
            <v>0</v>
          </cell>
        </row>
        <row r="1997">
          <cell r="B1997">
            <v>6449</v>
          </cell>
          <cell r="C1997">
            <v>1065.54</v>
          </cell>
          <cell r="D1997" t="str">
            <v>PHP</v>
          </cell>
          <cell r="E1997">
            <v>2</v>
          </cell>
          <cell r="F1997" t="str">
            <v>PC</v>
          </cell>
          <cell r="G1997">
            <v>0</v>
          </cell>
        </row>
        <row r="1998">
          <cell r="B1998">
            <v>6451</v>
          </cell>
          <cell r="C1998">
            <v>57755.4</v>
          </cell>
          <cell r="D1998" t="str">
            <v>PHP</v>
          </cell>
          <cell r="E1998">
            <v>30</v>
          </cell>
          <cell r="F1998" t="str">
            <v>PC</v>
          </cell>
          <cell r="G1998">
            <v>0</v>
          </cell>
        </row>
        <row r="1999">
          <cell r="B1999">
            <v>6452</v>
          </cell>
          <cell r="C1999">
            <v>212945.86</v>
          </cell>
          <cell r="D1999" t="str">
            <v>PHP</v>
          </cell>
          <cell r="E1999">
            <v>1</v>
          </cell>
          <cell r="F1999" t="str">
            <v>PC</v>
          </cell>
          <cell r="G1999">
            <v>0</v>
          </cell>
        </row>
        <row r="2000">
          <cell r="B2000">
            <v>6453</v>
          </cell>
          <cell r="C2000">
            <v>89697.08</v>
          </cell>
          <cell r="D2000" t="str">
            <v>PHP</v>
          </cell>
          <cell r="E2000">
            <v>1</v>
          </cell>
          <cell r="F2000" t="str">
            <v>PC</v>
          </cell>
          <cell r="G2000">
            <v>0</v>
          </cell>
        </row>
        <row r="2001">
          <cell r="B2001">
            <v>6454</v>
          </cell>
          <cell r="C2001">
            <v>0</v>
          </cell>
          <cell r="D2001" t="str">
            <v>PHP</v>
          </cell>
          <cell r="E2001">
            <v>0</v>
          </cell>
          <cell r="F2001" t="str">
            <v>PC</v>
          </cell>
          <cell r="G2001">
            <v>0</v>
          </cell>
        </row>
        <row r="2002">
          <cell r="B2002">
            <v>6456</v>
          </cell>
          <cell r="C2002">
            <v>114505</v>
          </cell>
          <cell r="D2002" t="str">
            <v>PHP</v>
          </cell>
          <cell r="E2002">
            <v>8</v>
          </cell>
          <cell r="F2002" t="str">
            <v>PC</v>
          </cell>
          <cell r="G2002">
            <v>0</v>
          </cell>
        </row>
        <row r="2003">
          <cell r="B2003">
            <v>6457</v>
          </cell>
          <cell r="C2003">
            <v>153935.67999999999</v>
          </cell>
          <cell r="D2003" t="str">
            <v>PHP</v>
          </cell>
          <cell r="E2003">
            <v>8</v>
          </cell>
          <cell r="F2003" t="str">
            <v>PC</v>
          </cell>
          <cell r="G2003">
            <v>0</v>
          </cell>
        </row>
        <row r="2004">
          <cell r="B2004">
            <v>6458</v>
          </cell>
          <cell r="C2004">
            <v>0</v>
          </cell>
          <cell r="D2004" t="str">
            <v>PHP</v>
          </cell>
          <cell r="E2004">
            <v>0</v>
          </cell>
          <cell r="F2004" t="str">
            <v>PC</v>
          </cell>
          <cell r="G2004">
            <v>0</v>
          </cell>
        </row>
        <row r="2005">
          <cell r="B2005">
            <v>6459</v>
          </cell>
          <cell r="C2005">
            <v>34715.51</v>
          </cell>
          <cell r="D2005" t="str">
            <v>PHP</v>
          </cell>
          <cell r="E2005">
            <v>1</v>
          </cell>
          <cell r="F2005" t="str">
            <v>PC</v>
          </cell>
          <cell r="G2005">
            <v>0</v>
          </cell>
        </row>
        <row r="2006">
          <cell r="B2006">
            <v>6460</v>
          </cell>
          <cell r="C2006">
            <v>26728.74</v>
          </cell>
          <cell r="D2006" t="str">
            <v>PHP</v>
          </cell>
          <cell r="E2006">
            <v>18</v>
          </cell>
          <cell r="F2006" t="str">
            <v>PC</v>
          </cell>
          <cell r="G2006">
            <v>0</v>
          </cell>
        </row>
        <row r="2007">
          <cell r="B2007">
            <v>6464</v>
          </cell>
          <cell r="C2007">
            <v>802221.12</v>
          </cell>
          <cell r="D2007" t="str">
            <v>PHP</v>
          </cell>
          <cell r="E2007">
            <v>8</v>
          </cell>
          <cell r="F2007" t="str">
            <v>PC</v>
          </cell>
          <cell r="G2007">
            <v>0</v>
          </cell>
        </row>
        <row r="2008">
          <cell r="B2008">
            <v>6465</v>
          </cell>
          <cell r="C2008">
            <v>192402.55</v>
          </cell>
          <cell r="D2008" t="str">
            <v>PHP</v>
          </cell>
          <cell r="E2008">
            <v>1</v>
          </cell>
          <cell r="F2008" t="str">
            <v>ASY</v>
          </cell>
          <cell r="G2008">
            <v>0</v>
          </cell>
        </row>
        <row r="2009">
          <cell r="B2009">
            <v>6474</v>
          </cell>
          <cell r="C2009">
            <v>4295.71</v>
          </cell>
          <cell r="D2009" t="str">
            <v>PHP</v>
          </cell>
          <cell r="E2009">
            <v>16</v>
          </cell>
          <cell r="F2009" t="str">
            <v>PC</v>
          </cell>
          <cell r="G2009">
            <v>0</v>
          </cell>
        </row>
        <row r="2010">
          <cell r="B2010">
            <v>6475</v>
          </cell>
          <cell r="C2010">
            <v>1386.56</v>
          </cell>
          <cell r="D2010" t="str">
            <v>PHP</v>
          </cell>
          <cell r="E2010">
            <v>2</v>
          </cell>
          <cell r="F2010" t="str">
            <v>PC</v>
          </cell>
          <cell r="G2010">
            <v>0</v>
          </cell>
        </row>
        <row r="2011">
          <cell r="B2011">
            <v>6488</v>
          </cell>
          <cell r="C2011">
            <v>154584.72</v>
          </cell>
          <cell r="D2011" t="str">
            <v>PHP</v>
          </cell>
          <cell r="E2011">
            <v>4</v>
          </cell>
          <cell r="F2011" t="str">
            <v>PC</v>
          </cell>
          <cell r="G2011">
            <v>0</v>
          </cell>
        </row>
        <row r="2012">
          <cell r="B2012">
            <v>6495</v>
          </cell>
          <cell r="C2012">
            <v>2789.15</v>
          </cell>
          <cell r="D2012" t="str">
            <v>PHP</v>
          </cell>
          <cell r="E2012">
            <v>2</v>
          </cell>
          <cell r="F2012" t="str">
            <v>PC</v>
          </cell>
          <cell r="G2012">
            <v>0</v>
          </cell>
        </row>
        <row r="2013">
          <cell r="B2013">
            <v>6496</v>
          </cell>
          <cell r="C2013">
            <v>358.52</v>
          </cell>
          <cell r="D2013" t="str">
            <v>PHP</v>
          </cell>
          <cell r="E2013">
            <v>4</v>
          </cell>
          <cell r="F2013" t="str">
            <v>PC</v>
          </cell>
          <cell r="G2013">
            <v>0</v>
          </cell>
        </row>
        <row r="2014">
          <cell r="B2014">
            <v>6497</v>
          </cell>
          <cell r="C2014">
            <v>8883.9</v>
          </cell>
          <cell r="D2014" t="str">
            <v>PHP</v>
          </cell>
          <cell r="E2014">
            <v>2</v>
          </cell>
          <cell r="F2014" t="str">
            <v>PC</v>
          </cell>
          <cell r="G2014">
            <v>0</v>
          </cell>
        </row>
        <row r="2015">
          <cell r="B2015">
            <v>6498</v>
          </cell>
          <cell r="C2015">
            <v>31536.47</v>
          </cell>
          <cell r="D2015" t="str">
            <v>PHP</v>
          </cell>
          <cell r="E2015">
            <v>18</v>
          </cell>
          <cell r="F2015" t="str">
            <v>PC</v>
          </cell>
          <cell r="G2015">
            <v>0</v>
          </cell>
        </row>
        <row r="2016">
          <cell r="B2016">
            <v>6501</v>
          </cell>
          <cell r="C2016">
            <v>30020.52</v>
          </cell>
          <cell r="D2016" t="str">
            <v>PHP</v>
          </cell>
          <cell r="E2016">
            <v>12</v>
          </cell>
          <cell r="F2016" t="str">
            <v>PC</v>
          </cell>
          <cell r="G2016">
            <v>0</v>
          </cell>
        </row>
        <row r="2017">
          <cell r="B2017">
            <v>6502</v>
          </cell>
          <cell r="C2017">
            <v>61619.49</v>
          </cell>
          <cell r="D2017" t="str">
            <v>PHP</v>
          </cell>
          <cell r="E2017">
            <v>1</v>
          </cell>
          <cell r="F2017" t="str">
            <v>PC</v>
          </cell>
          <cell r="G2017">
            <v>0</v>
          </cell>
        </row>
        <row r="2018">
          <cell r="B2018">
            <v>6504</v>
          </cell>
          <cell r="C2018">
            <v>0</v>
          </cell>
          <cell r="D2018" t="str">
            <v>PHP</v>
          </cell>
          <cell r="E2018">
            <v>0</v>
          </cell>
          <cell r="F2018" t="str">
            <v>PC</v>
          </cell>
          <cell r="G2018">
            <v>0</v>
          </cell>
        </row>
        <row r="2019">
          <cell r="B2019">
            <v>6505</v>
          </cell>
          <cell r="C2019">
            <v>922.28</v>
          </cell>
          <cell r="D2019" t="str">
            <v>PHP</v>
          </cell>
          <cell r="E2019">
            <v>2</v>
          </cell>
          <cell r="F2019" t="str">
            <v>PC</v>
          </cell>
          <cell r="G2019">
            <v>0</v>
          </cell>
        </row>
        <row r="2020">
          <cell r="B2020">
            <v>6512</v>
          </cell>
          <cell r="C2020">
            <v>257348.54</v>
          </cell>
          <cell r="D2020" t="str">
            <v>PHP</v>
          </cell>
          <cell r="E2020">
            <v>11</v>
          </cell>
          <cell r="F2020" t="str">
            <v>PC</v>
          </cell>
          <cell r="G2020">
            <v>0</v>
          </cell>
        </row>
        <row r="2021">
          <cell r="B2021">
            <v>6513</v>
          </cell>
          <cell r="C2021">
            <v>13801.17</v>
          </cell>
          <cell r="D2021" t="str">
            <v>PHP</v>
          </cell>
          <cell r="E2021">
            <v>3</v>
          </cell>
          <cell r="F2021" t="str">
            <v>PC</v>
          </cell>
          <cell r="G2021">
            <v>0</v>
          </cell>
        </row>
        <row r="2022">
          <cell r="B2022">
            <v>6519</v>
          </cell>
          <cell r="C2022">
            <v>0</v>
          </cell>
          <cell r="D2022" t="str">
            <v>PHP</v>
          </cell>
          <cell r="E2022">
            <v>0</v>
          </cell>
          <cell r="F2022" t="str">
            <v>PC</v>
          </cell>
          <cell r="G2022">
            <v>0</v>
          </cell>
        </row>
        <row r="2023">
          <cell r="B2023">
            <v>6524</v>
          </cell>
          <cell r="C2023">
            <v>4698.42</v>
          </cell>
          <cell r="D2023" t="str">
            <v>PHP</v>
          </cell>
          <cell r="E2023">
            <v>2</v>
          </cell>
          <cell r="F2023" t="str">
            <v>PC</v>
          </cell>
          <cell r="G2023">
            <v>0</v>
          </cell>
        </row>
        <row r="2024">
          <cell r="B2024">
            <v>6538</v>
          </cell>
          <cell r="C2024">
            <v>0</v>
          </cell>
          <cell r="D2024" t="str">
            <v>PHP</v>
          </cell>
          <cell r="E2024">
            <v>0</v>
          </cell>
          <cell r="F2024" t="str">
            <v>PC</v>
          </cell>
          <cell r="G2024">
            <v>0</v>
          </cell>
        </row>
        <row r="2025">
          <cell r="B2025">
            <v>6540</v>
          </cell>
          <cell r="C2025">
            <v>193765.09</v>
          </cell>
          <cell r="D2025" t="str">
            <v>PHP</v>
          </cell>
          <cell r="E2025">
            <v>4</v>
          </cell>
          <cell r="F2025" t="str">
            <v>PC</v>
          </cell>
          <cell r="G2025">
            <v>0</v>
          </cell>
        </row>
        <row r="2026">
          <cell r="B2026">
            <v>6541</v>
          </cell>
          <cell r="C2026">
            <v>16481.240000000002</v>
          </cell>
          <cell r="D2026" t="str">
            <v>PHP</v>
          </cell>
          <cell r="E2026">
            <v>4</v>
          </cell>
          <cell r="F2026" t="str">
            <v>PC</v>
          </cell>
          <cell r="G2026">
            <v>0</v>
          </cell>
        </row>
        <row r="2027">
          <cell r="B2027">
            <v>6544</v>
          </cell>
          <cell r="C2027">
            <v>4</v>
          </cell>
          <cell r="D2027" t="str">
            <v>PHP</v>
          </cell>
          <cell r="E2027">
            <v>4</v>
          </cell>
          <cell r="F2027" t="str">
            <v>PC</v>
          </cell>
          <cell r="G2027">
            <v>0</v>
          </cell>
        </row>
        <row r="2028">
          <cell r="B2028">
            <v>6548</v>
          </cell>
          <cell r="C2028">
            <v>856.41</v>
          </cell>
          <cell r="D2028" t="str">
            <v>PHP</v>
          </cell>
          <cell r="E2028">
            <v>1</v>
          </cell>
          <cell r="F2028" t="str">
            <v>PC</v>
          </cell>
          <cell r="G2028">
            <v>0</v>
          </cell>
        </row>
        <row r="2029">
          <cell r="B2029">
            <v>6549</v>
          </cell>
          <cell r="C2029">
            <v>0</v>
          </cell>
          <cell r="D2029" t="str">
            <v>PHP</v>
          </cell>
          <cell r="E2029">
            <v>0</v>
          </cell>
          <cell r="F2029" t="str">
            <v>PC</v>
          </cell>
          <cell r="G2029">
            <v>0</v>
          </cell>
        </row>
        <row r="2030">
          <cell r="B2030">
            <v>6551</v>
          </cell>
          <cell r="C2030">
            <v>0</v>
          </cell>
          <cell r="D2030" t="str">
            <v>PHP</v>
          </cell>
          <cell r="E2030">
            <v>0</v>
          </cell>
          <cell r="F2030" t="str">
            <v>PC</v>
          </cell>
          <cell r="G2030">
            <v>0</v>
          </cell>
        </row>
        <row r="2031">
          <cell r="B2031">
            <v>6553</v>
          </cell>
          <cell r="C2031">
            <v>40369.199999999997</v>
          </cell>
          <cell r="D2031" t="str">
            <v>PHP</v>
          </cell>
          <cell r="E2031">
            <v>2</v>
          </cell>
          <cell r="F2031" t="str">
            <v>PC</v>
          </cell>
          <cell r="G2031">
            <v>0</v>
          </cell>
        </row>
        <row r="2032">
          <cell r="B2032">
            <v>6554</v>
          </cell>
          <cell r="C2032">
            <v>0</v>
          </cell>
          <cell r="D2032" t="str">
            <v>PHP</v>
          </cell>
          <cell r="E2032">
            <v>0</v>
          </cell>
          <cell r="F2032" t="str">
            <v>PC</v>
          </cell>
          <cell r="G2032">
            <v>0</v>
          </cell>
        </row>
        <row r="2033">
          <cell r="B2033">
            <v>6555</v>
          </cell>
          <cell r="C2033">
            <v>62002.57</v>
          </cell>
          <cell r="D2033" t="str">
            <v>PHP</v>
          </cell>
          <cell r="E2033">
            <v>2</v>
          </cell>
          <cell r="F2033" t="str">
            <v>PC</v>
          </cell>
          <cell r="G2033">
            <v>0</v>
          </cell>
        </row>
        <row r="2034">
          <cell r="B2034">
            <v>6556</v>
          </cell>
          <cell r="C2034">
            <v>1855.46</v>
          </cell>
          <cell r="D2034" t="str">
            <v>PHP</v>
          </cell>
          <cell r="E2034">
            <v>2</v>
          </cell>
          <cell r="F2034" t="str">
            <v>PC</v>
          </cell>
          <cell r="G2034">
            <v>0</v>
          </cell>
        </row>
        <row r="2035">
          <cell r="B2035">
            <v>6558</v>
          </cell>
          <cell r="C2035">
            <v>22178</v>
          </cell>
          <cell r="D2035" t="str">
            <v>PHP</v>
          </cell>
          <cell r="E2035">
            <v>4</v>
          </cell>
          <cell r="F2035" t="str">
            <v>PC</v>
          </cell>
          <cell r="G2035">
            <v>0</v>
          </cell>
        </row>
        <row r="2036">
          <cell r="B2036">
            <v>6559</v>
          </cell>
          <cell r="C2036">
            <v>0</v>
          </cell>
          <cell r="D2036" t="str">
            <v>PHP</v>
          </cell>
          <cell r="E2036">
            <v>0</v>
          </cell>
          <cell r="F2036" t="str">
            <v>PC</v>
          </cell>
          <cell r="G2036">
            <v>0</v>
          </cell>
        </row>
        <row r="2037">
          <cell r="B2037">
            <v>6560</v>
          </cell>
          <cell r="C2037">
            <v>0</v>
          </cell>
          <cell r="D2037" t="str">
            <v>PHP</v>
          </cell>
          <cell r="E2037">
            <v>0</v>
          </cell>
          <cell r="F2037" t="str">
            <v>PC</v>
          </cell>
          <cell r="G2037">
            <v>0</v>
          </cell>
        </row>
        <row r="2038">
          <cell r="B2038">
            <v>6561</v>
          </cell>
          <cell r="C2038">
            <v>313786.75</v>
          </cell>
          <cell r="D2038" t="str">
            <v>PHP</v>
          </cell>
          <cell r="E2038">
            <v>3</v>
          </cell>
          <cell r="F2038" t="str">
            <v>PC</v>
          </cell>
          <cell r="G2038">
            <v>0</v>
          </cell>
        </row>
        <row r="2039">
          <cell r="B2039">
            <v>6570</v>
          </cell>
          <cell r="C2039">
            <v>108674.19</v>
          </cell>
          <cell r="D2039" t="str">
            <v>PHP</v>
          </cell>
          <cell r="E2039">
            <v>3</v>
          </cell>
          <cell r="F2039" t="str">
            <v>PC</v>
          </cell>
          <cell r="G2039">
            <v>0</v>
          </cell>
        </row>
        <row r="2040">
          <cell r="B2040">
            <v>6573</v>
          </cell>
          <cell r="C2040">
            <v>17011.2</v>
          </cell>
          <cell r="D2040" t="str">
            <v>PHP</v>
          </cell>
          <cell r="E2040">
            <v>48</v>
          </cell>
          <cell r="F2040" t="str">
            <v>PC</v>
          </cell>
          <cell r="G2040">
            <v>0</v>
          </cell>
        </row>
        <row r="2041">
          <cell r="B2041">
            <v>6575</v>
          </cell>
          <cell r="C2041">
            <v>0</v>
          </cell>
          <cell r="D2041" t="str">
            <v>PHP</v>
          </cell>
          <cell r="E2041">
            <v>0</v>
          </cell>
          <cell r="F2041" t="str">
            <v>PC</v>
          </cell>
          <cell r="G2041">
            <v>0</v>
          </cell>
        </row>
        <row r="2042">
          <cell r="B2042">
            <v>6582</v>
          </cell>
          <cell r="C2042">
            <v>175019.22</v>
          </cell>
          <cell r="D2042" t="str">
            <v>PHP</v>
          </cell>
          <cell r="E2042">
            <v>3</v>
          </cell>
          <cell r="F2042" t="str">
            <v>PC</v>
          </cell>
          <cell r="G2042">
            <v>0</v>
          </cell>
        </row>
        <row r="2043">
          <cell r="B2043">
            <v>6584</v>
          </cell>
          <cell r="C2043">
            <v>0</v>
          </cell>
          <cell r="D2043" t="str">
            <v>PHP</v>
          </cell>
          <cell r="E2043">
            <v>0</v>
          </cell>
          <cell r="F2043" t="str">
            <v>PC</v>
          </cell>
          <cell r="G2043">
            <v>0</v>
          </cell>
        </row>
        <row r="2044">
          <cell r="B2044">
            <v>6602</v>
          </cell>
          <cell r="C2044">
            <v>10772.4</v>
          </cell>
          <cell r="D2044" t="str">
            <v>PHP</v>
          </cell>
          <cell r="E2044">
            <v>2</v>
          </cell>
          <cell r="F2044" t="str">
            <v>PC</v>
          </cell>
          <cell r="G2044">
            <v>0</v>
          </cell>
        </row>
        <row r="2045">
          <cell r="B2045">
            <v>6603</v>
          </cell>
          <cell r="C2045">
            <v>3442.88</v>
          </cell>
          <cell r="D2045" t="str">
            <v>PHP</v>
          </cell>
          <cell r="E2045">
            <v>32</v>
          </cell>
          <cell r="F2045" t="str">
            <v>PC</v>
          </cell>
          <cell r="G2045">
            <v>0</v>
          </cell>
        </row>
        <row r="2046">
          <cell r="B2046">
            <v>6604</v>
          </cell>
          <cell r="C2046">
            <v>57.3</v>
          </cell>
          <cell r="D2046" t="str">
            <v>PHP</v>
          </cell>
          <cell r="E2046">
            <v>9</v>
          </cell>
          <cell r="F2046" t="str">
            <v>PC</v>
          </cell>
          <cell r="G2046">
            <v>0</v>
          </cell>
        </row>
        <row r="2047">
          <cell r="B2047">
            <v>6611</v>
          </cell>
          <cell r="C2047">
            <v>127309.2</v>
          </cell>
          <cell r="D2047" t="str">
            <v>PHP</v>
          </cell>
          <cell r="E2047">
            <v>2</v>
          </cell>
          <cell r="F2047" t="str">
            <v>PC</v>
          </cell>
          <cell r="G2047">
            <v>0</v>
          </cell>
        </row>
        <row r="2048">
          <cell r="B2048">
            <v>6612</v>
          </cell>
          <cell r="C2048">
            <v>123632.4</v>
          </cell>
          <cell r="D2048" t="str">
            <v>PHP</v>
          </cell>
          <cell r="E2048">
            <v>2</v>
          </cell>
          <cell r="F2048" t="str">
            <v>PC</v>
          </cell>
          <cell r="G2048">
            <v>0</v>
          </cell>
        </row>
        <row r="2049">
          <cell r="B2049">
            <v>6615</v>
          </cell>
          <cell r="C2049">
            <v>0</v>
          </cell>
          <cell r="D2049" t="str">
            <v>PHP</v>
          </cell>
          <cell r="E2049">
            <v>0</v>
          </cell>
          <cell r="F2049" t="str">
            <v>PC</v>
          </cell>
          <cell r="G2049">
            <v>0</v>
          </cell>
        </row>
        <row r="2050">
          <cell r="B2050">
            <v>6616</v>
          </cell>
          <cell r="C2050">
            <v>49776.800000000003</v>
          </cell>
          <cell r="D2050" t="str">
            <v>PHP</v>
          </cell>
          <cell r="E2050">
            <v>4</v>
          </cell>
          <cell r="F2050" t="str">
            <v>PC</v>
          </cell>
          <cell r="G2050">
            <v>0</v>
          </cell>
        </row>
        <row r="2051">
          <cell r="B2051">
            <v>6617</v>
          </cell>
          <cell r="C2051">
            <v>36830.370000000003</v>
          </cell>
          <cell r="D2051" t="str">
            <v>PHP</v>
          </cell>
          <cell r="E2051">
            <v>3</v>
          </cell>
          <cell r="F2051" t="str">
            <v>PC</v>
          </cell>
          <cell r="G2051">
            <v>0</v>
          </cell>
        </row>
        <row r="2052">
          <cell r="B2052">
            <v>6618</v>
          </cell>
          <cell r="C2052">
            <v>26120</v>
          </cell>
          <cell r="D2052" t="str">
            <v>PHP</v>
          </cell>
          <cell r="E2052">
            <v>4</v>
          </cell>
          <cell r="F2052" t="str">
            <v>PC</v>
          </cell>
          <cell r="G2052">
            <v>0</v>
          </cell>
        </row>
        <row r="2053">
          <cell r="B2053">
            <v>6622</v>
          </cell>
          <cell r="C2053">
            <v>114669.75</v>
          </cell>
          <cell r="D2053" t="str">
            <v>PHP</v>
          </cell>
          <cell r="E2053">
            <v>12</v>
          </cell>
          <cell r="F2053" t="str">
            <v>PC</v>
          </cell>
          <cell r="G2053">
            <v>0</v>
          </cell>
        </row>
        <row r="2054">
          <cell r="B2054">
            <v>6623</v>
          </cell>
          <cell r="C2054">
            <v>367943.19</v>
          </cell>
          <cell r="D2054" t="str">
            <v>PHP</v>
          </cell>
          <cell r="E2054">
            <v>21</v>
          </cell>
          <cell r="F2054" t="str">
            <v>ASY</v>
          </cell>
          <cell r="G2054">
            <v>0</v>
          </cell>
        </row>
        <row r="2055">
          <cell r="B2055">
            <v>6624</v>
          </cell>
          <cell r="C2055">
            <v>252227.64</v>
          </cell>
          <cell r="D2055" t="str">
            <v>PHP</v>
          </cell>
          <cell r="E2055">
            <v>24</v>
          </cell>
          <cell r="F2055" t="str">
            <v>PC</v>
          </cell>
          <cell r="G2055">
            <v>0</v>
          </cell>
        </row>
        <row r="2056">
          <cell r="B2056">
            <v>6636</v>
          </cell>
          <cell r="C2056">
            <v>342194.07</v>
          </cell>
          <cell r="D2056" t="str">
            <v>PHP</v>
          </cell>
          <cell r="E2056">
            <v>30</v>
          </cell>
          <cell r="F2056" t="str">
            <v>ASY</v>
          </cell>
          <cell r="G2056">
            <v>0</v>
          </cell>
        </row>
        <row r="2057">
          <cell r="B2057">
            <v>6637</v>
          </cell>
          <cell r="C2057">
            <v>50427.55</v>
          </cell>
          <cell r="D2057" t="str">
            <v>PHP</v>
          </cell>
          <cell r="E2057">
            <v>3</v>
          </cell>
          <cell r="F2057" t="str">
            <v>PC</v>
          </cell>
          <cell r="G2057">
            <v>0</v>
          </cell>
        </row>
        <row r="2058">
          <cell r="B2058">
            <v>6638</v>
          </cell>
          <cell r="C2058">
            <v>50568</v>
          </cell>
          <cell r="D2058" t="str">
            <v>PHP</v>
          </cell>
          <cell r="E2058">
            <v>2</v>
          </cell>
          <cell r="F2058" t="str">
            <v>PC</v>
          </cell>
          <cell r="G2058">
            <v>0</v>
          </cell>
        </row>
        <row r="2059">
          <cell r="B2059">
            <v>6639</v>
          </cell>
          <cell r="C2059">
            <v>28706.3</v>
          </cell>
          <cell r="D2059" t="str">
            <v>PHP</v>
          </cell>
          <cell r="E2059">
            <v>6</v>
          </cell>
          <cell r="F2059" t="str">
            <v>PC</v>
          </cell>
          <cell r="G2059">
            <v>0</v>
          </cell>
        </row>
        <row r="2060">
          <cell r="B2060">
            <v>6643</v>
          </cell>
          <cell r="C2060">
            <v>1385666.68</v>
          </cell>
          <cell r="D2060" t="str">
            <v>PHP</v>
          </cell>
          <cell r="E2060">
            <v>32</v>
          </cell>
          <cell r="F2060" t="str">
            <v>PC</v>
          </cell>
          <cell r="G2060">
            <v>0</v>
          </cell>
        </row>
        <row r="2061">
          <cell r="B2061">
            <v>6644</v>
          </cell>
          <cell r="C2061">
            <v>268178.40000000002</v>
          </cell>
          <cell r="D2061" t="str">
            <v>PHP</v>
          </cell>
          <cell r="E2061">
            <v>12</v>
          </cell>
          <cell r="F2061" t="str">
            <v>ASY</v>
          </cell>
          <cell r="G2061">
            <v>0</v>
          </cell>
        </row>
        <row r="2062">
          <cell r="B2062">
            <v>6645</v>
          </cell>
          <cell r="C2062">
            <v>203365.24</v>
          </cell>
          <cell r="D2062" t="str">
            <v>PHP</v>
          </cell>
          <cell r="E2062">
            <v>7</v>
          </cell>
          <cell r="F2062" t="str">
            <v>ASY</v>
          </cell>
          <cell r="G2062">
            <v>0</v>
          </cell>
        </row>
        <row r="2063">
          <cell r="B2063">
            <v>6646</v>
          </cell>
          <cell r="C2063">
            <v>195040.14</v>
          </cell>
          <cell r="D2063" t="str">
            <v>PHP</v>
          </cell>
          <cell r="E2063">
            <v>4</v>
          </cell>
          <cell r="F2063" t="str">
            <v>PC</v>
          </cell>
          <cell r="G2063">
            <v>0</v>
          </cell>
        </row>
        <row r="2064">
          <cell r="B2064">
            <v>6647</v>
          </cell>
          <cell r="C2064">
            <v>570933</v>
          </cell>
          <cell r="D2064" t="str">
            <v>PHP</v>
          </cell>
          <cell r="E2064">
            <v>12</v>
          </cell>
          <cell r="F2064" t="str">
            <v>PC</v>
          </cell>
          <cell r="G2064">
            <v>0</v>
          </cell>
        </row>
        <row r="2065">
          <cell r="B2065">
            <v>6648</v>
          </cell>
          <cell r="C2065">
            <v>799251.78</v>
          </cell>
          <cell r="D2065" t="str">
            <v>PHP</v>
          </cell>
          <cell r="E2065">
            <v>12</v>
          </cell>
          <cell r="F2065" t="str">
            <v>PC</v>
          </cell>
          <cell r="G2065">
            <v>0</v>
          </cell>
        </row>
        <row r="2066">
          <cell r="B2066">
            <v>6649</v>
          </cell>
          <cell r="C2066">
            <v>278062.40000000002</v>
          </cell>
          <cell r="D2066" t="str">
            <v>PHP</v>
          </cell>
          <cell r="E2066">
            <v>4</v>
          </cell>
          <cell r="F2066" t="str">
            <v>PC</v>
          </cell>
          <cell r="G2066">
            <v>0</v>
          </cell>
        </row>
        <row r="2067">
          <cell r="B2067">
            <v>6655</v>
          </cell>
          <cell r="C2067">
            <v>142866.51999999999</v>
          </cell>
          <cell r="D2067" t="str">
            <v>PHP</v>
          </cell>
          <cell r="E2067">
            <v>4</v>
          </cell>
          <cell r="F2067" t="str">
            <v>ASY</v>
          </cell>
          <cell r="G2067">
            <v>0</v>
          </cell>
        </row>
        <row r="2068">
          <cell r="B2068">
            <v>6658</v>
          </cell>
          <cell r="C2068">
            <v>279244.76</v>
          </cell>
          <cell r="D2068" t="str">
            <v>PHP</v>
          </cell>
          <cell r="E2068">
            <v>17</v>
          </cell>
          <cell r="F2068" t="str">
            <v>PC</v>
          </cell>
          <cell r="G2068">
            <v>0</v>
          </cell>
        </row>
        <row r="2069">
          <cell r="B2069">
            <v>6659</v>
          </cell>
          <cell r="C2069">
            <v>208812.34</v>
          </cell>
          <cell r="D2069" t="str">
            <v>PHP</v>
          </cell>
          <cell r="E2069">
            <v>13</v>
          </cell>
          <cell r="F2069" t="str">
            <v>ROL</v>
          </cell>
          <cell r="G2069">
            <v>0</v>
          </cell>
        </row>
        <row r="2070">
          <cell r="B2070">
            <v>6660</v>
          </cell>
          <cell r="C2070">
            <v>14493.6</v>
          </cell>
          <cell r="D2070" t="str">
            <v>PHP</v>
          </cell>
          <cell r="E2070">
            <v>2</v>
          </cell>
          <cell r="F2070" t="str">
            <v>PC</v>
          </cell>
          <cell r="G2070">
            <v>0</v>
          </cell>
        </row>
        <row r="2071">
          <cell r="B2071">
            <v>6661</v>
          </cell>
          <cell r="C2071">
            <v>96426.62</v>
          </cell>
          <cell r="D2071" t="str">
            <v>PHP</v>
          </cell>
          <cell r="E2071">
            <v>2</v>
          </cell>
          <cell r="F2071" t="str">
            <v>ASY</v>
          </cell>
          <cell r="G2071">
            <v>0</v>
          </cell>
        </row>
        <row r="2072">
          <cell r="B2072">
            <v>6662</v>
          </cell>
          <cell r="C2072">
            <v>170503.95</v>
          </cell>
          <cell r="D2072" t="str">
            <v>PHP</v>
          </cell>
          <cell r="E2072">
            <v>4</v>
          </cell>
          <cell r="F2072" t="str">
            <v>PC</v>
          </cell>
          <cell r="G2072">
            <v>0</v>
          </cell>
        </row>
        <row r="2073">
          <cell r="B2073">
            <v>6663</v>
          </cell>
          <cell r="C2073">
            <v>0</v>
          </cell>
          <cell r="D2073" t="str">
            <v>PHP</v>
          </cell>
          <cell r="E2073">
            <v>0</v>
          </cell>
          <cell r="F2073" t="str">
            <v>PC</v>
          </cell>
          <cell r="G2073">
            <v>0</v>
          </cell>
        </row>
        <row r="2074">
          <cell r="B2074">
            <v>6664</v>
          </cell>
          <cell r="C2074">
            <v>361200</v>
          </cell>
          <cell r="D2074" t="str">
            <v>PHP</v>
          </cell>
          <cell r="E2074">
            <v>4</v>
          </cell>
          <cell r="F2074" t="str">
            <v>PC</v>
          </cell>
          <cell r="G2074">
            <v>0</v>
          </cell>
        </row>
        <row r="2075">
          <cell r="B2075">
            <v>6665</v>
          </cell>
          <cell r="C2075">
            <v>45579.4</v>
          </cell>
          <cell r="D2075" t="str">
            <v>PHP</v>
          </cell>
          <cell r="E2075">
            <v>4</v>
          </cell>
          <cell r="F2075" t="str">
            <v>PC</v>
          </cell>
          <cell r="G2075">
            <v>0</v>
          </cell>
        </row>
        <row r="2076">
          <cell r="B2076">
            <v>6666</v>
          </cell>
          <cell r="C2076">
            <v>0</v>
          </cell>
          <cell r="D2076" t="str">
            <v>PHP</v>
          </cell>
          <cell r="E2076">
            <v>0</v>
          </cell>
          <cell r="F2076" t="str">
            <v>PC</v>
          </cell>
          <cell r="G2076">
            <v>0</v>
          </cell>
        </row>
        <row r="2077">
          <cell r="B2077">
            <v>6667</v>
          </cell>
          <cell r="C2077">
            <v>213449.17</v>
          </cell>
          <cell r="D2077" t="str">
            <v>PHP</v>
          </cell>
          <cell r="E2077">
            <v>4</v>
          </cell>
          <cell r="F2077" t="str">
            <v>PC</v>
          </cell>
          <cell r="G2077">
            <v>0</v>
          </cell>
        </row>
        <row r="2078">
          <cell r="B2078">
            <v>6668</v>
          </cell>
          <cell r="C2078">
            <v>190841.16</v>
          </cell>
          <cell r="D2078" t="str">
            <v>PHP</v>
          </cell>
          <cell r="E2078">
            <v>4</v>
          </cell>
          <cell r="F2078" t="str">
            <v>PC</v>
          </cell>
          <cell r="G2078">
            <v>0</v>
          </cell>
        </row>
        <row r="2079">
          <cell r="B2079">
            <v>6669</v>
          </cell>
          <cell r="C2079">
            <v>125752.87</v>
          </cell>
          <cell r="D2079" t="str">
            <v>PHP</v>
          </cell>
          <cell r="E2079">
            <v>2</v>
          </cell>
          <cell r="F2079" t="str">
            <v>PC</v>
          </cell>
          <cell r="G2079">
            <v>0</v>
          </cell>
        </row>
        <row r="2080">
          <cell r="B2080">
            <v>6670</v>
          </cell>
          <cell r="C2080">
            <v>113266.64</v>
          </cell>
          <cell r="D2080" t="str">
            <v>PHP</v>
          </cell>
          <cell r="E2080">
            <v>2</v>
          </cell>
          <cell r="F2080" t="str">
            <v>PC</v>
          </cell>
          <cell r="G2080">
            <v>0</v>
          </cell>
        </row>
        <row r="2081">
          <cell r="B2081">
            <v>6671</v>
          </cell>
          <cell r="C2081">
            <v>219375</v>
          </cell>
          <cell r="D2081" t="str">
            <v>PHP</v>
          </cell>
          <cell r="E2081">
            <v>4</v>
          </cell>
          <cell r="F2081" t="str">
            <v>PC</v>
          </cell>
          <cell r="G2081">
            <v>0</v>
          </cell>
        </row>
        <row r="2082">
          <cell r="B2082">
            <v>6672</v>
          </cell>
          <cell r="C2082">
            <v>0</v>
          </cell>
          <cell r="D2082" t="str">
            <v>PHP</v>
          </cell>
          <cell r="E2082">
            <v>0</v>
          </cell>
          <cell r="F2082" t="str">
            <v>PC</v>
          </cell>
          <cell r="G2082">
            <v>0</v>
          </cell>
        </row>
        <row r="2083">
          <cell r="B2083">
            <v>6673</v>
          </cell>
          <cell r="C2083">
            <v>540600.65</v>
          </cell>
          <cell r="D2083" t="str">
            <v>PHP</v>
          </cell>
          <cell r="E2083">
            <v>24</v>
          </cell>
          <cell r="F2083" t="str">
            <v>PC</v>
          </cell>
          <cell r="G2083">
            <v>0</v>
          </cell>
        </row>
        <row r="2084">
          <cell r="B2084">
            <v>6674</v>
          </cell>
          <cell r="C2084">
            <v>208736.92</v>
          </cell>
          <cell r="D2084" t="str">
            <v>PHP</v>
          </cell>
          <cell r="E2084">
            <v>4</v>
          </cell>
          <cell r="F2084" t="str">
            <v>PC</v>
          </cell>
          <cell r="G2084">
            <v>0</v>
          </cell>
        </row>
        <row r="2085">
          <cell r="B2085">
            <v>6675</v>
          </cell>
          <cell r="C2085">
            <v>0</v>
          </cell>
          <cell r="D2085" t="str">
            <v>PHP</v>
          </cell>
          <cell r="E2085">
            <v>0</v>
          </cell>
          <cell r="F2085" t="str">
            <v>PC</v>
          </cell>
          <cell r="G2085">
            <v>0</v>
          </cell>
        </row>
        <row r="2086">
          <cell r="B2086">
            <v>6676</v>
          </cell>
          <cell r="C2086">
            <v>106620.62</v>
          </cell>
          <cell r="D2086" t="str">
            <v>PHP</v>
          </cell>
          <cell r="E2086">
            <v>2</v>
          </cell>
          <cell r="F2086" t="str">
            <v>PC</v>
          </cell>
          <cell r="G2086">
            <v>0</v>
          </cell>
        </row>
        <row r="2087">
          <cell r="B2087">
            <v>6677</v>
          </cell>
          <cell r="C2087">
            <v>91176.01</v>
          </cell>
          <cell r="D2087" t="str">
            <v>PHP</v>
          </cell>
          <cell r="E2087">
            <v>2</v>
          </cell>
          <cell r="F2087" t="str">
            <v>PC</v>
          </cell>
          <cell r="G2087">
            <v>0</v>
          </cell>
        </row>
        <row r="2088">
          <cell r="B2088">
            <v>6678</v>
          </cell>
          <cell r="C2088">
            <v>305290.17</v>
          </cell>
          <cell r="D2088" t="str">
            <v>PHP</v>
          </cell>
          <cell r="E2088">
            <v>3</v>
          </cell>
          <cell r="F2088" t="str">
            <v>PC</v>
          </cell>
          <cell r="G2088">
            <v>0</v>
          </cell>
        </row>
        <row r="2089">
          <cell r="B2089">
            <v>6679</v>
          </cell>
          <cell r="C2089">
            <v>262896.2</v>
          </cell>
          <cell r="D2089" t="str">
            <v>PHP</v>
          </cell>
          <cell r="E2089">
            <v>89</v>
          </cell>
          <cell r="F2089" t="str">
            <v>PC</v>
          </cell>
          <cell r="G2089">
            <v>0</v>
          </cell>
        </row>
        <row r="2090">
          <cell r="B2090">
            <v>6680</v>
          </cell>
          <cell r="C2090">
            <v>23141.040000000001</v>
          </cell>
          <cell r="D2090" t="str">
            <v>PHP</v>
          </cell>
          <cell r="E2090">
            <v>6</v>
          </cell>
          <cell r="F2090" t="str">
            <v>PC</v>
          </cell>
          <cell r="G2090">
            <v>0</v>
          </cell>
        </row>
        <row r="2091">
          <cell r="B2091">
            <v>6681</v>
          </cell>
          <cell r="C2091">
            <v>152064.85999999999</v>
          </cell>
          <cell r="D2091" t="str">
            <v>PHP</v>
          </cell>
          <cell r="E2091">
            <v>28</v>
          </cell>
          <cell r="F2091" t="str">
            <v>PC</v>
          </cell>
          <cell r="G2091">
            <v>0</v>
          </cell>
        </row>
        <row r="2092">
          <cell r="B2092">
            <v>6682</v>
          </cell>
          <cell r="C2092">
            <v>227314.51</v>
          </cell>
          <cell r="D2092" t="str">
            <v>PHP</v>
          </cell>
          <cell r="E2092">
            <v>72</v>
          </cell>
          <cell r="F2092" t="str">
            <v>PC</v>
          </cell>
          <cell r="G2092">
            <v>0</v>
          </cell>
        </row>
        <row r="2093">
          <cell r="B2093">
            <v>6683</v>
          </cell>
          <cell r="C2093">
            <v>289619.11</v>
          </cell>
          <cell r="D2093" t="str">
            <v>PHP</v>
          </cell>
          <cell r="E2093">
            <v>72</v>
          </cell>
          <cell r="F2093" t="str">
            <v>PC</v>
          </cell>
          <cell r="G2093">
            <v>0</v>
          </cell>
        </row>
        <row r="2094">
          <cell r="B2094">
            <v>6684</v>
          </cell>
          <cell r="C2094">
            <v>297767.32</v>
          </cell>
          <cell r="D2094" t="str">
            <v>PHP</v>
          </cell>
          <cell r="E2094">
            <v>90</v>
          </cell>
          <cell r="F2094" t="str">
            <v>PC</v>
          </cell>
          <cell r="G2094">
            <v>0</v>
          </cell>
        </row>
        <row r="2095">
          <cell r="B2095">
            <v>6685</v>
          </cell>
          <cell r="C2095">
            <v>458596.27</v>
          </cell>
          <cell r="D2095" t="str">
            <v>PHP</v>
          </cell>
          <cell r="E2095">
            <v>54</v>
          </cell>
          <cell r="F2095" t="str">
            <v>PC</v>
          </cell>
          <cell r="G2095">
            <v>0</v>
          </cell>
        </row>
        <row r="2096">
          <cell r="B2096">
            <v>6688</v>
          </cell>
          <cell r="C2096">
            <v>191734.12</v>
          </cell>
          <cell r="D2096" t="str">
            <v>PHP</v>
          </cell>
          <cell r="E2096">
            <v>282</v>
          </cell>
          <cell r="F2096" t="str">
            <v>PC</v>
          </cell>
          <cell r="G2096">
            <v>0</v>
          </cell>
        </row>
        <row r="2097">
          <cell r="B2097">
            <v>6694</v>
          </cell>
          <cell r="C2097">
            <v>136102.5</v>
          </cell>
          <cell r="D2097" t="str">
            <v>PHP</v>
          </cell>
          <cell r="E2097">
            <v>6</v>
          </cell>
          <cell r="F2097" t="str">
            <v>PC</v>
          </cell>
          <cell r="G2097">
            <v>0</v>
          </cell>
        </row>
        <row r="2098">
          <cell r="B2098">
            <v>6695</v>
          </cell>
          <cell r="C2098">
            <v>0</v>
          </cell>
          <cell r="D2098" t="str">
            <v>PHP</v>
          </cell>
          <cell r="E2098">
            <v>0</v>
          </cell>
          <cell r="F2098" t="str">
            <v>PC</v>
          </cell>
          <cell r="G2098">
            <v>0</v>
          </cell>
        </row>
        <row r="2099">
          <cell r="B2099">
            <v>6696</v>
          </cell>
          <cell r="C2099">
            <v>0</v>
          </cell>
          <cell r="D2099" t="str">
            <v>PHP</v>
          </cell>
          <cell r="E2099">
            <v>0</v>
          </cell>
          <cell r="F2099" t="str">
            <v>PC</v>
          </cell>
          <cell r="G2099">
            <v>0</v>
          </cell>
        </row>
        <row r="2100">
          <cell r="B2100">
            <v>6697</v>
          </cell>
          <cell r="C2100">
            <v>0</v>
          </cell>
          <cell r="D2100" t="str">
            <v>PHP</v>
          </cell>
          <cell r="E2100">
            <v>0</v>
          </cell>
          <cell r="F2100" t="str">
            <v>PC</v>
          </cell>
          <cell r="G2100">
            <v>0</v>
          </cell>
        </row>
        <row r="2101">
          <cell r="B2101">
            <v>6698</v>
          </cell>
          <cell r="C2101">
            <v>43763.1</v>
          </cell>
          <cell r="D2101" t="str">
            <v>PHP</v>
          </cell>
          <cell r="E2101">
            <v>3</v>
          </cell>
          <cell r="F2101" t="str">
            <v>PC</v>
          </cell>
          <cell r="G2101">
            <v>0</v>
          </cell>
        </row>
        <row r="2102">
          <cell r="B2102">
            <v>6699</v>
          </cell>
          <cell r="C2102">
            <v>77539.8</v>
          </cell>
          <cell r="D2102" t="str">
            <v>PHP</v>
          </cell>
          <cell r="E2102">
            <v>4</v>
          </cell>
          <cell r="F2102" t="str">
            <v>PC</v>
          </cell>
          <cell r="G2102">
            <v>0</v>
          </cell>
        </row>
        <row r="2103">
          <cell r="B2103">
            <v>6700</v>
          </cell>
          <cell r="C2103">
            <v>0</v>
          </cell>
          <cell r="D2103" t="str">
            <v>PHP</v>
          </cell>
          <cell r="E2103">
            <v>0</v>
          </cell>
          <cell r="F2103" t="str">
            <v>PC</v>
          </cell>
          <cell r="G2103">
            <v>0</v>
          </cell>
        </row>
        <row r="2104">
          <cell r="B2104">
            <v>6701</v>
          </cell>
          <cell r="C2104">
            <v>0</v>
          </cell>
          <cell r="D2104" t="str">
            <v>PHP</v>
          </cell>
          <cell r="E2104">
            <v>0</v>
          </cell>
          <cell r="F2104" t="str">
            <v>PC</v>
          </cell>
          <cell r="G2104">
            <v>0</v>
          </cell>
        </row>
        <row r="2105">
          <cell r="B2105">
            <v>6702</v>
          </cell>
          <cell r="C2105">
            <v>0</v>
          </cell>
          <cell r="D2105" t="str">
            <v>PHP</v>
          </cell>
          <cell r="E2105">
            <v>0</v>
          </cell>
          <cell r="F2105" t="str">
            <v>PC</v>
          </cell>
          <cell r="G2105">
            <v>0</v>
          </cell>
        </row>
        <row r="2106">
          <cell r="B2106">
            <v>6703</v>
          </cell>
          <cell r="C2106">
            <v>0</v>
          </cell>
          <cell r="D2106" t="str">
            <v>PHP</v>
          </cell>
          <cell r="E2106">
            <v>0</v>
          </cell>
          <cell r="F2106" t="str">
            <v>PC</v>
          </cell>
          <cell r="G2106">
            <v>0</v>
          </cell>
        </row>
        <row r="2107">
          <cell r="B2107">
            <v>6704</v>
          </cell>
          <cell r="C2107">
            <v>96924.76</v>
          </cell>
          <cell r="D2107" t="str">
            <v>PHP</v>
          </cell>
          <cell r="E2107">
            <v>5</v>
          </cell>
          <cell r="F2107" t="str">
            <v>PC</v>
          </cell>
          <cell r="G2107">
            <v>0</v>
          </cell>
        </row>
        <row r="2108">
          <cell r="B2108">
            <v>6705</v>
          </cell>
          <cell r="C2108">
            <v>0</v>
          </cell>
          <cell r="D2108" t="str">
            <v>PHP</v>
          </cell>
          <cell r="E2108">
            <v>0</v>
          </cell>
          <cell r="F2108" t="str">
            <v>PC</v>
          </cell>
          <cell r="G2108">
            <v>0</v>
          </cell>
        </row>
        <row r="2109">
          <cell r="B2109">
            <v>6706</v>
          </cell>
          <cell r="C2109">
            <v>174179.3</v>
          </cell>
          <cell r="D2109" t="str">
            <v>PHP</v>
          </cell>
          <cell r="E2109">
            <v>8</v>
          </cell>
          <cell r="F2109" t="str">
            <v>PC</v>
          </cell>
          <cell r="G2109">
            <v>0</v>
          </cell>
        </row>
        <row r="2110">
          <cell r="B2110">
            <v>6707</v>
          </cell>
          <cell r="C2110">
            <v>0</v>
          </cell>
          <cell r="D2110" t="str">
            <v>PHP</v>
          </cell>
          <cell r="E2110">
            <v>0</v>
          </cell>
          <cell r="F2110" t="str">
            <v>PC</v>
          </cell>
          <cell r="G2110">
            <v>0</v>
          </cell>
        </row>
        <row r="2111">
          <cell r="B2111">
            <v>6708</v>
          </cell>
          <cell r="C2111">
            <v>1328250</v>
          </cell>
          <cell r="D2111" t="str">
            <v>PHP</v>
          </cell>
          <cell r="E2111">
            <v>55</v>
          </cell>
          <cell r="F2111" t="str">
            <v>PC</v>
          </cell>
          <cell r="G2111">
            <v>0</v>
          </cell>
        </row>
        <row r="2112">
          <cell r="B2112">
            <v>6709</v>
          </cell>
          <cell r="C2112">
            <v>0</v>
          </cell>
          <cell r="D2112" t="str">
            <v>PHP</v>
          </cell>
          <cell r="E2112">
            <v>0</v>
          </cell>
          <cell r="F2112" t="str">
            <v>PC</v>
          </cell>
          <cell r="G2112">
            <v>0</v>
          </cell>
        </row>
        <row r="2113">
          <cell r="B2113">
            <v>6710</v>
          </cell>
          <cell r="C2113">
            <v>0</v>
          </cell>
          <cell r="D2113" t="str">
            <v>PHP</v>
          </cell>
          <cell r="E2113">
            <v>0</v>
          </cell>
          <cell r="F2113" t="str">
            <v>PC</v>
          </cell>
          <cell r="G2113">
            <v>0</v>
          </cell>
        </row>
        <row r="2114">
          <cell r="B2114">
            <v>6711</v>
          </cell>
          <cell r="C2114">
            <v>0</v>
          </cell>
          <cell r="D2114" t="str">
            <v>PHP</v>
          </cell>
          <cell r="E2114">
            <v>0</v>
          </cell>
          <cell r="F2114" t="str">
            <v>PC</v>
          </cell>
          <cell r="G2114">
            <v>0</v>
          </cell>
        </row>
        <row r="2115">
          <cell r="B2115">
            <v>6712</v>
          </cell>
          <cell r="C2115">
            <v>0</v>
          </cell>
          <cell r="D2115" t="str">
            <v>PHP</v>
          </cell>
          <cell r="E2115">
            <v>0</v>
          </cell>
          <cell r="F2115" t="str">
            <v>PC</v>
          </cell>
          <cell r="G2115">
            <v>0</v>
          </cell>
        </row>
        <row r="2116">
          <cell r="B2116">
            <v>6713</v>
          </cell>
          <cell r="C2116">
            <v>1207500</v>
          </cell>
          <cell r="D2116" t="str">
            <v>PHP</v>
          </cell>
          <cell r="E2116">
            <v>50</v>
          </cell>
          <cell r="F2116" t="str">
            <v>PC</v>
          </cell>
          <cell r="G2116">
            <v>0</v>
          </cell>
        </row>
        <row r="2117">
          <cell r="B2117">
            <v>6714</v>
          </cell>
          <cell r="C2117">
            <v>0</v>
          </cell>
          <cell r="D2117" t="str">
            <v>PHP</v>
          </cell>
          <cell r="E2117">
            <v>0</v>
          </cell>
          <cell r="F2117" t="str">
            <v>PC</v>
          </cell>
          <cell r="G2117">
            <v>0</v>
          </cell>
        </row>
        <row r="2118">
          <cell r="B2118">
            <v>6715</v>
          </cell>
          <cell r="C2118">
            <v>0</v>
          </cell>
          <cell r="D2118" t="str">
            <v>PHP</v>
          </cell>
          <cell r="E2118">
            <v>0</v>
          </cell>
          <cell r="F2118" t="str">
            <v>PC</v>
          </cell>
          <cell r="G2118">
            <v>0</v>
          </cell>
        </row>
        <row r="2119">
          <cell r="B2119">
            <v>6716</v>
          </cell>
          <cell r="C2119">
            <v>0</v>
          </cell>
          <cell r="D2119" t="str">
            <v>PHP</v>
          </cell>
          <cell r="E2119">
            <v>0</v>
          </cell>
          <cell r="F2119" t="str">
            <v>PC</v>
          </cell>
          <cell r="G2119">
            <v>0</v>
          </cell>
        </row>
        <row r="2120">
          <cell r="B2120">
            <v>6717</v>
          </cell>
          <cell r="C2120">
            <v>0</v>
          </cell>
          <cell r="D2120" t="str">
            <v>PHP</v>
          </cell>
          <cell r="E2120">
            <v>0</v>
          </cell>
          <cell r="F2120" t="str">
            <v>PC</v>
          </cell>
          <cell r="G2120">
            <v>0</v>
          </cell>
        </row>
        <row r="2121">
          <cell r="B2121">
            <v>6718</v>
          </cell>
          <cell r="C2121">
            <v>0</v>
          </cell>
          <cell r="D2121" t="str">
            <v>PHP</v>
          </cell>
          <cell r="E2121">
            <v>0</v>
          </cell>
          <cell r="F2121" t="str">
            <v>PC</v>
          </cell>
          <cell r="G2121">
            <v>0</v>
          </cell>
        </row>
        <row r="2122">
          <cell r="B2122">
            <v>6719</v>
          </cell>
          <cell r="C2122">
            <v>0</v>
          </cell>
          <cell r="D2122" t="str">
            <v>PHP</v>
          </cell>
          <cell r="E2122">
            <v>0</v>
          </cell>
          <cell r="F2122" t="str">
            <v>PC</v>
          </cell>
          <cell r="G2122">
            <v>0</v>
          </cell>
        </row>
        <row r="2123">
          <cell r="B2123">
            <v>6720</v>
          </cell>
          <cell r="C2123">
            <v>0</v>
          </cell>
          <cell r="D2123" t="str">
            <v>PHP</v>
          </cell>
          <cell r="E2123">
            <v>0</v>
          </cell>
          <cell r="F2123" t="str">
            <v>PC</v>
          </cell>
          <cell r="G2123">
            <v>0</v>
          </cell>
        </row>
        <row r="2124">
          <cell r="B2124">
            <v>6721</v>
          </cell>
          <cell r="C2124">
            <v>0</v>
          </cell>
          <cell r="D2124" t="str">
            <v>PHP</v>
          </cell>
          <cell r="E2124">
            <v>0</v>
          </cell>
          <cell r="F2124" t="str">
            <v>PC</v>
          </cell>
          <cell r="G2124">
            <v>0</v>
          </cell>
        </row>
        <row r="2125">
          <cell r="B2125">
            <v>6722</v>
          </cell>
          <cell r="C2125">
            <v>13360.63</v>
          </cell>
          <cell r="D2125" t="str">
            <v>PHP</v>
          </cell>
          <cell r="E2125">
            <v>1</v>
          </cell>
          <cell r="F2125" t="str">
            <v>PC</v>
          </cell>
          <cell r="G2125">
            <v>0</v>
          </cell>
        </row>
        <row r="2126">
          <cell r="B2126">
            <v>6725</v>
          </cell>
          <cell r="C2126">
            <v>0</v>
          </cell>
          <cell r="D2126" t="str">
            <v>PHP</v>
          </cell>
          <cell r="E2126">
            <v>0</v>
          </cell>
          <cell r="F2126" t="str">
            <v>PC</v>
          </cell>
          <cell r="G2126">
            <v>0</v>
          </cell>
        </row>
        <row r="2127">
          <cell r="B2127">
            <v>6726</v>
          </cell>
          <cell r="C2127">
            <v>0</v>
          </cell>
          <cell r="D2127" t="str">
            <v>PHP</v>
          </cell>
          <cell r="E2127">
            <v>0</v>
          </cell>
          <cell r="F2127" t="str">
            <v>PC</v>
          </cell>
          <cell r="G2127">
            <v>0</v>
          </cell>
        </row>
        <row r="2128">
          <cell r="B2128">
            <v>6728</v>
          </cell>
          <cell r="C2128">
            <v>166080.4</v>
          </cell>
          <cell r="D2128" t="str">
            <v>PHP</v>
          </cell>
          <cell r="E2128">
            <v>10</v>
          </cell>
          <cell r="F2128" t="str">
            <v>PC</v>
          </cell>
          <cell r="G2128">
            <v>0</v>
          </cell>
        </row>
        <row r="2129">
          <cell r="B2129">
            <v>6729</v>
          </cell>
          <cell r="C2129">
            <v>0</v>
          </cell>
          <cell r="D2129" t="str">
            <v>PHP</v>
          </cell>
          <cell r="E2129">
            <v>0</v>
          </cell>
          <cell r="F2129" t="str">
            <v>PC</v>
          </cell>
          <cell r="G2129">
            <v>0</v>
          </cell>
        </row>
        <row r="2130">
          <cell r="B2130">
            <v>6730</v>
          </cell>
          <cell r="C2130">
            <v>0</v>
          </cell>
          <cell r="D2130" t="str">
            <v>PHP</v>
          </cell>
          <cell r="E2130">
            <v>0</v>
          </cell>
          <cell r="F2130" t="str">
            <v>PC</v>
          </cell>
          <cell r="G2130">
            <v>0</v>
          </cell>
        </row>
        <row r="2131">
          <cell r="B2131">
            <v>6731</v>
          </cell>
          <cell r="C2131">
            <v>0</v>
          </cell>
          <cell r="D2131" t="str">
            <v>PHP</v>
          </cell>
          <cell r="E2131">
            <v>0</v>
          </cell>
          <cell r="F2131" t="str">
            <v>PC</v>
          </cell>
          <cell r="G2131">
            <v>0</v>
          </cell>
        </row>
        <row r="2132">
          <cell r="B2132">
            <v>6744</v>
          </cell>
          <cell r="C2132">
            <v>729624</v>
          </cell>
          <cell r="D2132" t="str">
            <v>PHP</v>
          </cell>
          <cell r="E2132">
            <v>32</v>
          </cell>
          <cell r="F2132" t="str">
            <v>PC</v>
          </cell>
          <cell r="G2132">
            <v>0</v>
          </cell>
        </row>
        <row r="2133">
          <cell r="B2133">
            <v>6745</v>
          </cell>
          <cell r="C2133">
            <v>219454.61</v>
          </cell>
          <cell r="D2133" t="str">
            <v>PHP</v>
          </cell>
          <cell r="E2133">
            <v>32</v>
          </cell>
          <cell r="F2133" t="str">
            <v>PC</v>
          </cell>
          <cell r="G2133">
            <v>0</v>
          </cell>
        </row>
        <row r="2134">
          <cell r="B2134">
            <v>6746</v>
          </cell>
          <cell r="C2134">
            <v>4337.51</v>
          </cell>
          <cell r="D2134" t="str">
            <v>PHP</v>
          </cell>
          <cell r="E2134">
            <v>2</v>
          </cell>
          <cell r="F2134" t="str">
            <v>PC</v>
          </cell>
          <cell r="G2134">
            <v>0</v>
          </cell>
        </row>
        <row r="2135">
          <cell r="B2135">
            <v>6751</v>
          </cell>
          <cell r="C2135">
            <v>1363</v>
          </cell>
          <cell r="D2135" t="str">
            <v>PHP</v>
          </cell>
          <cell r="E2135">
            <v>94</v>
          </cell>
          <cell r="F2135" t="str">
            <v>PC</v>
          </cell>
          <cell r="G2135">
            <v>0</v>
          </cell>
        </row>
        <row r="2136">
          <cell r="B2136">
            <v>6755</v>
          </cell>
          <cell r="C2136">
            <v>15255</v>
          </cell>
          <cell r="D2136" t="str">
            <v>PHP</v>
          </cell>
          <cell r="E2136">
            <v>6</v>
          </cell>
          <cell r="F2136" t="str">
            <v>PC</v>
          </cell>
          <cell r="G2136">
            <v>0</v>
          </cell>
        </row>
        <row r="2137">
          <cell r="B2137">
            <v>6757</v>
          </cell>
          <cell r="C2137">
            <v>0</v>
          </cell>
          <cell r="D2137" t="str">
            <v>PHP</v>
          </cell>
          <cell r="E2137">
            <v>0</v>
          </cell>
          <cell r="F2137" t="str">
            <v>PC</v>
          </cell>
          <cell r="G2137">
            <v>0</v>
          </cell>
        </row>
        <row r="2138">
          <cell r="B2138">
            <v>6765</v>
          </cell>
          <cell r="C2138">
            <v>6981.01</v>
          </cell>
          <cell r="D2138" t="str">
            <v>PHP</v>
          </cell>
          <cell r="E2138">
            <v>36</v>
          </cell>
          <cell r="F2138" t="str">
            <v>PC</v>
          </cell>
          <cell r="G2138">
            <v>0</v>
          </cell>
        </row>
        <row r="2139">
          <cell r="B2139">
            <v>6767</v>
          </cell>
          <cell r="C2139">
            <v>1196.4000000000001</v>
          </cell>
          <cell r="D2139" t="str">
            <v>PHP</v>
          </cell>
          <cell r="E2139">
            <v>24</v>
          </cell>
          <cell r="F2139" t="str">
            <v>PC</v>
          </cell>
          <cell r="G2139">
            <v>0</v>
          </cell>
        </row>
        <row r="2140">
          <cell r="B2140">
            <v>6768</v>
          </cell>
          <cell r="C2140">
            <v>2704.08</v>
          </cell>
          <cell r="D2140" t="str">
            <v>PHP</v>
          </cell>
          <cell r="E2140">
            <v>8</v>
          </cell>
          <cell r="F2140" t="str">
            <v>PC</v>
          </cell>
          <cell r="G2140">
            <v>0</v>
          </cell>
        </row>
        <row r="2141">
          <cell r="B2141">
            <v>6769</v>
          </cell>
          <cell r="C2141">
            <v>994.08</v>
          </cell>
          <cell r="D2141" t="str">
            <v>PHP</v>
          </cell>
          <cell r="E2141">
            <v>4</v>
          </cell>
          <cell r="F2141" t="str">
            <v>SET</v>
          </cell>
          <cell r="G2141">
            <v>0</v>
          </cell>
        </row>
        <row r="2142">
          <cell r="B2142">
            <v>6770</v>
          </cell>
          <cell r="C2142">
            <v>1910.78</v>
          </cell>
          <cell r="D2142" t="str">
            <v>PHP</v>
          </cell>
          <cell r="E2142">
            <v>42</v>
          </cell>
          <cell r="F2142" t="str">
            <v>PC</v>
          </cell>
          <cell r="G2142">
            <v>0</v>
          </cell>
        </row>
        <row r="2143">
          <cell r="B2143">
            <v>6771</v>
          </cell>
          <cell r="C2143">
            <v>0</v>
          </cell>
          <cell r="D2143" t="str">
            <v>PHP</v>
          </cell>
          <cell r="E2143">
            <v>0</v>
          </cell>
          <cell r="F2143" t="str">
            <v>PC</v>
          </cell>
          <cell r="G2143">
            <v>0</v>
          </cell>
        </row>
        <row r="2144">
          <cell r="B2144">
            <v>6772</v>
          </cell>
          <cell r="C2144">
            <v>0</v>
          </cell>
          <cell r="D2144" t="str">
            <v>PHP</v>
          </cell>
          <cell r="E2144">
            <v>0</v>
          </cell>
          <cell r="F2144" t="str">
            <v>PC</v>
          </cell>
          <cell r="G2144">
            <v>0</v>
          </cell>
        </row>
        <row r="2145">
          <cell r="B2145">
            <v>6775</v>
          </cell>
          <cell r="C2145">
            <v>0</v>
          </cell>
          <cell r="D2145" t="str">
            <v>PHP</v>
          </cell>
          <cell r="E2145">
            <v>0</v>
          </cell>
          <cell r="F2145" t="str">
            <v>PC</v>
          </cell>
          <cell r="G2145">
            <v>0</v>
          </cell>
        </row>
        <row r="2146">
          <cell r="B2146">
            <v>6776</v>
          </cell>
          <cell r="C2146">
            <v>0</v>
          </cell>
          <cell r="D2146" t="str">
            <v>PHP</v>
          </cell>
          <cell r="E2146">
            <v>0</v>
          </cell>
          <cell r="F2146" t="str">
            <v>PC</v>
          </cell>
          <cell r="G2146">
            <v>0</v>
          </cell>
        </row>
        <row r="2147">
          <cell r="B2147">
            <v>6777</v>
          </cell>
          <cell r="C2147">
            <v>1619.39</v>
          </cell>
          <cell r="D2147" t="str">
            <v>PHP</v>
          </cell>
          <cell r="E2147">
            <v>4</v>
          </cell>
          <cell r="F2147" t="str">
            <v>PC</v>
          </cell>
          <cell r="G2147">
            <v>0</v>
          </cell>
        </row>
        <row r="2148">
          <cell r="B2148">
            <v>6778</v>
          </cell>
          <cell r="C2148">
            <v>0</v>
          </cell>
          <cell r="D2148" t="str">
            <v>PHP</v>
          </cell>
          <cell r="E2148">
            <v>0</v>
          </cell>
          <cell r="F2148" t="str">
            <v>PC</v>
          </cell>
          <cell r="G2148">
            <v>0</v>
          </cell>
        </row>
        <row r="2149">
          <cell r="B2149">
            <v>6779</v>
          </cell>
          <cell r="C2149">
            <v>47044.23</v>
          </cell>
          <cell r="D2149" t="str">
            <v>PHP</v>
          </cell>
          <cell r="E2149">
            <v>16</v>
          </cell>
          <cell r="F2149" t="str">
            <v>PC</v>
          </cell>
          <cell r="G2149">
            <v>0</v>
          </cell>
        </row>
        <row r="2150">
          <cell r="B2150">
            <v>6786</v>
          </cell>
          <cell r="C2150">
            <v>42041.72</v>
          </cell>
          <cell r="D2150" t="str">
            <v>PHP</v>
          </cell>
          <cell r="E2150">
            <v>28</v>
          </cell>
          <cell r="F2150" t="str">
            <v>PC</v>
          </cell>
          <cell r="G2150">
            <v>0</v>
          </cell>
        </row>
        <row r="2151">
          <cell r="B2151">
            <v>6788</v>
          </cell>
          <cell r="C2151">
            <v>136651.06</v>
          </cell>
          <cell r="D2151" t="str">
            <v>PHP</v>
          </cell>
          <cell r="E2151">
            <v>24</v>
          </cell>
          <cell r="F2151" t="str">
            <v>PC</v>
          </cell>
          <cell r="G2151">
            <v>0</v>
          </cell>
        </row>
        <row r="2152">
          <cell r="B2152">
            <v>6789</v>
          </cell>
          <cell r="C2152">
            <v>141708.76999999999</v>
          </cell>
          <cell r="D2152" t="str">
            <v>PHP</v>
          </cell>
          <cell r="E2152">
            <v>24</v>
          </cell>
          <cell r="F2152" t="str">
            <v>PC</v>
          </cell>
          <cell r="G2152">
            <v>0</v>
          </cell>
        </row>
        <row r="2153">
          <cell r="B2153">
            <v>6791</v>
          </cell>
          <cell r="C2153">
            <v>0</v>
          </cell>
          <cell r="D2153" t="str">
            <v>PHP</v>
          </cell>
          <cell r="E2153">
            <v>0</v>
          </cell>
          <cell r="F2153" t="str">
            <v>PC</v>
          </cell>
          <cell r="G2153">
            <v>0</v>
          </cell>
        </row>
        <row r="2154">
          <cell r="B2154">
            <v>6792</v>
          </cell>
          <cell r="C2154">
            <v>0</v>
          </cell>
          <cell r="D2154" t="str">
            <v>PHP</v>
          </cell>
          <cell r="E2154">
            <v>0</v>
          </cell>
          <cell r="F2154" t="str">
            <v>PC</v>
          </cell>
          <cell r="G2154">
            <v>0</v>
          </cell>
        </row>
        <row r="2155">
          <cell r="B2155">
            <v>6806</v>
          </cell>
          <cell r="C2155">
            <v>0</v>
          </cell>
          <cell r="D2155" t="str">
            <v>PHP</v>
          </cell>
          <cell r="E2155">
            <v>0</v>
          </cell>
          <cell r="F2155" t="str">
            <v>PC</v>
          </cell>
          <cell r="G2155">
            <v>0</v>
          </cell>
        </row>
        <row r="2156">
          <cell r="B2156">
            <v>6808</v>
          </cell>
          <cell r="C2156">
            <v>0</v>
          </cell>
          <cell r="D2156" t="str">
            <v>PHP</v>
          </cell>
          <cell r="E2156">
            <v>0</v>
          </cell>
          <cell r="F2156" t="str">
            <v>PC</v>
          </cell>
          <cell r="G2156">
            <v>0</v>
          </cell>
        </row>
        <row r="2157">
          <cell r="B2157">
            <v>6810</v>
          </cell>
          <cell r="C2157">
            <v>1962.91</v>
          </cell>
          <cell r="D2157" t="str">
            <v>PHP</v>
          </cell>
          <cell r="E2157">
            <v>4</v>
          </cell>
          <cell r="F2157" t="str">
            <v>PC</v>
          </cell>
          <cell r="G2157">
            <v>0</v>
          </cell>
        </row>
        <row r="2158">
          <cell r="B2158">
            <v>6811</v>
          </cell>
          <cell r="C2158">
            <v>0</v>
          </cell>
          <cell r="D2158" t="str">
            <v>PHP</v>
          </cell>
          <cell r="E2158">
            <v>0</v>
          </cell>
          <cell r="F2158" t="str">
            <v>PC</v>
          </cell>
          <cell r="G2158">
            <v>0</v>
          </cell>
        </row>
        <row r="2159">
          <cell r="B2159">
            <v>6812</v>
          </cell>
          <cell r="C2159">
            <v>41677.5</v>
          </cell>
          <cell r="D2159" t="str">
            <v>PHP</v>
          </cell>
          <cell r="E2159">
            <v>10</v>
          </cell>
          <cell r="F2159" t="str">
            <v>PC</v>
          </cell>
          <cell r="G2159">
            <v>0</v>
          </cell>
        </row>
        <row r="2160">
          <cell r="B2160">
            <v>6813</v>
          </cell>
          <cell r="C2160">
            <v>0</v>
          </cell>
          <cell r="D2160" t="str">
            <v>PHP</v>
          </cell>
          <cell r="E2160">
            <v>0</v>
          </cell>
          <cell r="F2160" t="str">
            <v>PC</v>
          </cell>
          <cell r="G2160">
            <v>0</v>
          </cell>
        </row>
        <row r="2161">
          <cell r="B2161">
            <v>6814</v>
          </cell>
          <cell r="C2161">
            <v>1086.5999999999999</v>
          </cell>
          <cell r="D2161" t="str">
            <v>PHP</v>
          </cell>
          <cell r="E2161">
            <v>12</v>
          </cell>
          <cell r="F2161" t="str">
            <v>PC</v>
          </cell>
          <cell r="G2161">
            <v>0</v>
          </cell>
        </row>
        <row r="2162">
          <cell r="B2162">
            <v>6815</v>
          </cell>
          <cell r="C2162">
            <v>1847.28</v>
          </cell>
          <cell r="D2162" t="str">
            <v>PHP</v>
          </cell>
          <cell r="E2162">
            <v>24</v>
          </cell>
          <cell r="F2162" t="str">
            <v>PC</v>
          </cell>
          <cell r="G2162">
            <v>0</v>
          </cell>
        </row>
        <row r="2163">
          <cell r="B2163">
            <v>6823</v>
          </cell>
          <cell r="C2163">
            <v>0</v>
          </cell>
          <cell r="D2163" t="str">
            <v>PHP</v>
          </cell>
          <cell r="E2163">
            <v>0</v>
          </cell>
          <cell r="F2163" t="str">
            <v>PC</v>
          </cell>
          <cell r="G2163">
            <v>0</v>
          </cell>
        </row>
        <row r="2164">
          <cell r="B2164">
            <v>6824</v>
          </cell>
          <cell r="C2164">
            <v>84219.54</v>
          </cell>
          <cell r="D2164" t="str">
            <v>PHP</v>
          </cell>
          <cell r="E2164">
            <v>10</v>
          </cell>
          <cell r="F2164" t="str">
            <v>PC</v>
          </cell>
          <cell r="G2164">
            <v>0</v>
          </cell>
        </row>
        <row r="2165">
          <cell r="B2165">
            <v>6841</v>
          </cell>
          <cell r="C2165">
            <v>894</v>
          </cell>
          <cell r="D2165" t="str">
            <v>PHP</v>
          </cell>
          <cell r="E2165">
            <v>2</v>
          </cell>
          <cell r="F2165" t="str">
            <v>PC</v>
          </cell>
          <cell r="G2165">
            <v>0</v>
          </cell>
        </row>
        <row r="2166">
          <cell r="B2166">
            <v>6869</v>
          </cell>
          <cell r="C2166">
            <v>0</v>
          </cell>
          <cell r="D2166" t="str">
            <v>PHP</v>
          </cell>
          <cell r="E2166">
            <v>0</v>
          </cell>
          <cell r="F2166" t="str">
            <v>PC</v>
          </cell>
          <cell r="G2166">
            <v>0</v>
          </cell>
        </row>
        <row r="2167">
          <cell r="B2167">
            <v>6870</v>
          </cell>
          <cell r="C2167">
            <v>44047.85</v>
          </cell>
          <cell r="D2167" t="str">
            <v>PHP</v>
          </cell>
          <cell r="E2167">
            <v>1</v>
          </cell>
          <cell r="F2167" t="str">
            <v>PC</v>
          </cell>
          <cell r="G2167">
            <v>0</v>
          </cell>
        </row>
        <row r="2168">
          <cell r="B2168">
            <v>6871</v>
          </cell>
          <cell r="C2168">
            <v>0</v>
          </cell>
          <cell r="D2168" t="str">
            <v>PHP</v>
          </cell>
          <cell r="E2168">
            <v>0</v>
          </cell>
          <cell r="F2168" t="str">
            <v>PC</v>
          </cell>
          <cell r="G2168">
            <v>0</v>
          </cell>
        </row>
        <row r="2169">
          <cell r="B2169">
            <v>6872</v>
          </cell>
          <cell r="C2169">
            <v>111055.62</v>
          </cell>
          <cell r="D2169" t="str">
            <v>PHP</v>
          </cell>
          <cell r="E2169">
            <v>6</v>
          </cell>
          <cell r="F2169" t="str">
            <v>PC</v>
          </cell>
          <cell r="G2169">
            <v>0</v>
          </cell>
        </row>
        <row r="2170">
          <cell r="B2170">
            <v>6873</v>
          </cell>
          <cell r="C2170">
            <v>13665.96</v>
          </cell>
          <cell r="D2170" t="str">
            <v>PHP</v>
          </cell>
          <cell r="E2170">
            <v>3</v>
          </cell>
          <cell r="F2170" t="str">
            <v>KIT</v>
          </cell>
          <cell r="G2170">
            <v>0</v>
          </cell>
        </row>
        <row r="2171">
          <cell r="B2171">
            <v>6875</v>
          </cell>
          <cell r="C2171">
            <v>8291.7800000000007</v>
          </cell>
          <cell r="D2171" t="str">
            <v>PHP</v>
          </cell>
          <cell r="E2171">
            <v>2</v>
          </cell>
          <cell r="F2171" t="str">
            <v>PC</v>
          </cell>
          <cell r="G2171">
            <v>0</v>
          </cell>
        </row>
        <row r="2172">
          <cell r="B2172">
            <v>6876</v>
          </cell>
          <cell r="C2172">
            <v>10202.23</v>
          </cell>
          <cell r="D2172" t="str">
            <v>PHP</v>
          </cell>
          <cell r="E2172">
            <v>8</v>
          </cell>
          <cell r="F2172" t="str">
            <v>PC</v>
          </cell>
          <cell r="G2172">
            <v>0</v>
          </cell>
        </row>
        <row r="2173">
          <cell r="B2173">
            <v>6877</v>
          </cell>
          <cell r="C2173">
            <v>0</v>
          </cell>
          <cell r="D2173" t="str">
            <v>PHP</v>
          </cell>
          <cell r="E2173">
            <v>0</v>
          </cell>
          <cell r="F2173" t="str">
            <v>PC</v>
          </cell>
          <cell r="G2173">
            <v>0</v>
          </cell>
        </row>
        <row r="2174">
          <cell r="B2174">
            <v>6878</v>
          </cell>
          <cell r="C2174">
            <v>994.86</v>
          </cell>
          <cell r="D2174" t="str">
            <v>PHP</v>
          </cell>
          <cell r="E2174">
            <v>3</v>
          </cell>
          <cell r="F2174" t="str">
            <v>PC</v>
          </cell>
          <cell r="G2174">
            <v>0</v>
          </cell>
        </row>
        <row r="2175">
          <cell r="B2175">
            <v>6879</v>
          </cell>
          <cell r="C2175">
            <v>46350.66</v>
          </cell>
          <cell r="D2175" t="str">
            <v>PHP</v>
          </cell>
          <cell r="E2175">
            <v>2</v>
          </cell>
          <cell r="F2175" t="str">
            <v>PC</v>
          </cell>
          <cell r="G2175">
            <v>0</v>
          </cell>
        </row>
        <row r="2176">
          <cell r="B2176">
            <v>6880</v>
          </cell>
          <cell r="C2176">
            <v>0</v>
          </cell>
          <cell r="D2176" t="str">
            <v>PHP</v>
          </cell>
          <cell r="E2176">
            <v>0</v>
          </cell>
          <cell r="F2176" t="str">
            <v>PC</v>
          </cell>
          <cell r="G2176">
            <v>0</v>
          </cell>
        </row>
        <row r="2177">
          <cell r="B2177">
            <v>6881</v>
          </cell>
          <cell r="C2177">
            <v>0</v>
          </cell>
          <cell r="D2177" t="str">
            <v>PHP</v>
          </cell>
          <cell r="E2177">
            <v>0</v>
          </cell>
          <cell r="F2177" t="str">
            <v>PC</v>
          </cell>
          <cell r="G2177">
            <v>0</v>
          </cell>
        </row>
        <row r="2178">
          <cell r="B2178">
            <v>6882</v>
          </cell>
          <cell r="C2178">
            <v>11505</v>
          </cell>
          <cell r="D2178" t="str">
            <v>PHP</v>
          </cell>
          <cell r="E2178">
            <v>5</v>
          </cell>
          <cell r="F2178" t="str">
            <v>PC</v>
          </cell>
          <cell r="G2178">
            <v>0</v>
          </cell>
        </row>
        <row r="2179">
          <cell r="B2179">
            <v>6884</v>
          </cell>
          <cell r="C2179">
            <v>18490.5</v>
          </cell>
          <cell r="D2179" t="str">
            <v>PHP</v>
          </cell>
          <cell r="E2179">
            <v>3</v>
          </cell>
          <cell r="F2179" t="str">
            <v>PC</v>
          </cell>
          <cell r="G2179">
            <v>0</v>
          </cell>
        </row>
        <row r="2180">
          <cell r="B2180">
            <v>6885</v>
          </cell>
          <cell r="C2180">
            <v>6873</v>
          </cell>
          <cell r="D2180" t="str">
            <v>PHP</v>
          </cell>
          <cell r="E2180">
            <v>2</v>
          </cell>
          <cell r="F2180" t="str">
            <v>PC</v>
          </cell>
          <cell r="G2180">
            <v>0</v>
          </cell>
        </row>
        <row r="2181">
          <cell r="B2181">
            <v>6886</v>
          </cell>
          <cell r="C2181">
            <v>62732</v>
          </cell>
          <cell r="D2181" t="str">
            <v>PHP</v>
          </cell>
          <cell r="E2181">
            <v>20</v>
          </cell>
          <cell r="F2181" t="str">
            <v>PC</v>
          </cell>
          <cell r="G2181">
            <v>0</v>
          </cell>
        </row>
        <row r="2182">
          <cell r="B2182">
            <v>6887</v>
          </cell>
          <cell r="C2182">
            <v>60342.11</v>
          </cell>
          <cell r="D2182" t="str">
            <v>PHP</v>
          </cell>
          <cell r="E2182">
            <v>4</v>
          </cell>
          <cell r="F2182" t="str">
            <v>PC</v>
          </cell>
          <cell r="G2182">
            <v>0</v>
          </cell>
        </row>
        <row r="2183">
          <cell r="B2183">
            <v>6888</v>
          </cell>
          <cell r="C2183">
            <v>405060.21</v>
          </cell>
          <cell r="D2183" t="str">
            <v>PHP</v>
          </cell>
          <cell r="E2183">
            <v>8</v>
          </cell>
          <cell r="F2183" t="str">
            <v>SET</v>
          </cell>
          <cell r="G2183">
            <v>0</v>
          </cell>
        </row>
        <row r="2184">
          <cell r="B2184">
            <v>6889</v>
          </cell>
          <cell r="C2184">
            <v>0</v>
          </cell>
          <cell r="D2184" t="str">
            <v>PHP</v>
          </cell>
          <cell r="E2184">
            <v>0</v>
          </cell>
          <cell r="F2184" t="str">
            <v>ASY</v>
          </cell>
          <cell r="G2184">
            <v>0</v>
          </cell>
        </row>
        <row r="2185">
          <cell r="B2185">
            <v>6890</v>
          </cell>
          <cell r="C2185">
            <v>43503</v>
          </cell>
          <cell r="D2185" t="str">
            <v>PHP</v>
          </cell>
          <cell r="E2185">
            <v>2</v>
          </cell>
          <cell r="F2185" t="str">
            <v>PC</v>
          </cell>
          <cell r="G2185">
            <v>0</v>
          </cell>
        </row>
        <row r="2186">
          <cell r="B2186">
            <v>6891</v>
          </cell>
          <cell r="C2186">
            <v>37229.4</v>
          </cell>
          <cell r="D2186" t="str">
            <v>PHP</v>
          </cell>
          <cell r="E2186">
            <v>2</v>
          </cell>
          <cell r="F2186" t="str">
            <v>PC</v>
          </cell>
          <cell r="G2186">
            <v>0</v>
          </cell>
        </row>
        <row r="2187">
          <cell r="B2187">
            <v>6892</v>
          </cell>
          <cell r="C2187">
            <v>126016.43</v>
          </cell>
          <cell r="D2187" t="str">
            <v>PHP</v>
          </cell>
          <cell r="E2187">
            <v>4</v>
          </cell>
          <cell r="F2187" t="str">
            <v>PC</v>
          </cell>
          <cell r="G2187">
            <v>0</v>
          </cell>
        </row>
        <row r="2188">
          <cell r="B2188">
            <v>6893</v>
          </cell>
          <cell r="C2188">
            <v>1064630.08</v>
          </cell>
          <cell r="D2188" t="str">
            <v>PHP</v>
          </cell>
          <cell r="E2188">
            <v>16</v>
          </cell>
          <cell r="F2188" t="str">
            <v>PC</v>
          </cell>
          <cell r="G2188">
            <v>0</v>
          </cell>
        </row>
        <row r="2189">
          <cell r="B2189">
            <v>6894</v>
          </cell>
          <cell r="C2189">
            <v>2818.44</v>
          </cell>
          <cell r="D2189" t="str">
            <v>PHP</v>
          </cell>
          <cell r="E2189">
            <v>3</v>
          </cell>
          <cell r="F2189" t="str">
            <v>PC</v>
          </cell>
          <cell r="G2189">
            <v>0</v>
          </cell>
        </row>
        <row r="2190">
          <cell r="B2190">
            <v>6895</v>
          </cell>
          <cell r="C2190">
            <v>19735.400000000001</v>
          </cell>
          <cell r="D2190" t="str">
            <v>PHP</v>
          </cell>
          <cell r="E2190">
            <v>6</v>
          </cell>
          <cell r="F2190" t="str">
            <v>PC</v>
          </cell>
          <cell r="G2190">
            <v>0</v>
          </cell>
        </row>
        <row r="2191">
          <cell r="B2191">
            <v>6896</v>
          </cell>
          <cell r="C2191">
            <v>2252.62</v>
          </cell>
          <cell r="D2191" t="str">
            <v>PHP</v>
          </cell>
          <cell r="E2191">
            <v>4</v>
          </cell>
          <cell r="F2191" t="str">
            <v>PC</v>
          </cell>
          <cell r="G2191">
            <v>0</v>
          </cell>
        </row>
        <row r="2192">
          <cell r="B2192">
            <v>6907</v>
          </cell>
          <cell r="C2192">
            <v>1680</v>
          </cell>
          <cell r="D2192" t="str">
            <v>PHP</v>
          </cell>
          <cell r="E2192">
            <v>4</v>
          </cell>
          <cell r="F2192" t="str">
            <v>PC</v>
          </cell>
          <cell r="G2192">
            <v>0</v>
          </cell>
        </row>
        <row r="2193">
          <cell r="B2193">
            <v>6912</v>
          </cell>
          <cell r="C2193">
            <v>36981.08</v>
          </cell>
          <cell r="D2193" t="str">
            <v>PHP</v>
          </cell>
          <cell r="E2193">
            <v>55</v>
          </cell>
          <cell r="F2193" t="str">
            <v>PC</v>
          </cell>
          <cell r="G2193">
            <v>0</v>
          </cell>
        </row>
        <row r="2194">
          <cell r="B2194">
            <v>6913</v>
          </cell>
          <cell r="C2194">
            <v>3817.16</v>
          </cell>
          <cell r="D2194" t="str">
            <v>PHP</v>
          </cell>
          <cell r="E2194">
            <v>5</v>
          </cell>
          <cell r="F2194" t="str">
            <v>PC</v>
          </cell>
          <cell r="G2194">
            <v>0</v>
          </cell>
        </row>
        <row r="2195">
          <cell r="B2195">
            <v>6914</v>
          </cell>
          <cell r="C2195">
            <v>0</v>
          </cell>
          <cell r="D2195" t="str">
            <v>PHP</v>
          </cell>
          <cell r="E2195">
            <v>0</v>
          </cell>
          <cell r="F2195" t="str">
            <v>PC</v>
          </cell>
          <cell r="G2195">
            <v>0</v>
          </cell>
        </row>
        <row r="2196">
          <cell r="B2196">
            <v>6915</v>
          </cell>
          <cell r="C2196">
            <v>0</v>
          </cell>
          <cell r="D2196" t="str">
            <v>PHP</v>
          </cell>
          <cell r="E2196">
            <v>0</v>
          </cell>
          <cell r="F2196" t="str">
            <v>PC</v>
          </cell>
          <cell r="G2196">
            <v>0</v>
          </cell>
        </row>
        <row r="2197">
          <cell r="B2197">
            <v>6916</v>
          </cell>
          <cell r="C2197">
            <v>6273</v>
          </cell>
          <cell r="D2197" t="str">
            <v>PHP</v>
          </cell>
          <cell r="E2197">
            <v>3</v>
          </cell>
          <cell r="F2197" t="str">
            <v>PC</v>
          </cell>
          <cell r="G2197">
            <v>0</v>
          </cell>
        </row>
        <row r="2198">
          <cell r="B2198">
            <v>6917</v>
          </cell>
          <cell r="C2198">
            <v>0</v>
          </cell>
          <cell r="D2198" t="str">
            <v>PHP</v>
          </cell>
          <cell r="E2198">
            <v>0</v>
          </cell>
          <cell r="F2198" t="str">
            <v>PC</v>
          </cell>
          <cell r="G2198">
            <v>0</v>
          </cell>
        </row>
        <row r="2199">
          <cell r="B2199">
            <v>6918</v>
          </cell>
          <cell r="C2199">
            <v>17055.72</v>
          </cell>
          <cell r="D2199" t="str">
            <v>PHP</v>
          </cell>
          <cell r="E2199">
            <v>12</v>
          </cell>
          <cell r="F2199" t="str">
            <v>PC</v>
          </cell>
          <cell r="G2199">
            <v>0</v>
          </cell>
        </row>
        <row r="2200">
          <cell r="B2200">
            <v>6919</v>
          </cell>
          <cell r="C2200">
            <v>77207.039999999994</v>
          </cell>
          <cell r="D2200" t="str">
            <v>PHP</v>
          </cell>
          <cell r="E2200">
            <v>24</v>
          </cell>
          <cell r="F2200" t="str">
            <v>PC</v>
          </cell>
          <cell r="G2200">
            <v>0</v>
          </cell>
        </row>
        <row r="2201">
          <cell r="B2201">
            <v>6921</v>
          </cell>
          <cell r="C2201">
            <v>24846.1</v>
          </cell>
          <cell r="D2201" t="str">
            <v>PHP</v>
          </cell>
          <cell r="E2201">
            <v>26</v>
          </cell>
          <cell r="F2201" t="str">
            <v>PC</v>
          </cell>
          <cell r="G2201">
            <v>0</v>
          </cell>
        </row>
        <row r="2202">
          <cell r="B2202">
            <v>6922</v>
          </cell>
          <cell r="C2202">
            <v>0</v>
          </cell>
          <cell r="D2202" t="str">
            <v>PHP</v>
          </cell>
          <cell r="E2202">
            <v>0</v>
          </cell>
          <cell r="F2202" t="str">
            <v>PC</v>
          </cell>
          <cell r="G2202">
            <v>0</v>
          </cell>
        </row>
        <row r="2203">
          <cell r="B2203">
            <v>6923</v>
          </cell>
          <cell r="C2203">
            <v>31786.91</v>
          </cell>
          <cell r="D2203" t="str">
            <v>PHP</v>
          </cell>
          <cell r="E2203">
            <v>36</v>
          </cell>
          <cell r="F2203" t="str">
            <v>PC</v>
          </cell>
          <cell r="G2203">
            <v>0</v>
          </cell>
        </row>
        <row r="2204">
          <cell r="B2204">
            <v>6924</v>
          </cell>
          <cell r="C2204">
            <v>15500</v>
          </cell>
          <cell r="D2204" t="str">
            <v>PHP</v>
          </cell>
          <cell r="E2204">
            <v>4</v>
          </cell>
          <cell r="F2204" t="str">
            <v>PC</v>
          </cell>
          <cell r="G2204">
            <v>0</v>
          </cell>
        </row>
        <row r="2205">
          <cell r="B2205">
            <v>6925</v>
          </cell>
          <cell r="C2205">
            <v>130000</v>
          </cell>
          <cell r="D2205" t="str">
            <v>PHP</v>
          </cell>
          <cell r="E2205">
            <v>1</v>
          </cell>
          <cell r="F2205" t="str">
            <v>PC</v>
          </cell>
          <cell r="G2205">
            <v>0</v>
          </cell>
        </row>
        <row r="2206">
          <cell r="B2206">
            <v>6926</v>
          </cell>
          <cell r="C2206">
            <v>33101.33</v>
          </cell>
          <cell r="D2206" t="str">
            <v>PHP</v>
          </cell>
          <cell r="E2206">
            <v>4</v>
          </cell>
          <cell r="F2206" t="str">
            <v>PC</v>
          </cell>
          <cell r="G2206">
            <v>0</v>
          </cell>
        </row>
        <row r="2207">
          <cell r="B2207">
            <v>6927</v>
          </cell>
          <cell r="C2207">
            <v>0</v>
          </cell>
          <cell r="D2207" t="str">
            <v>PHP</v>
          </cell>
          <cell r="E2207">
            <v>0</v>
          </cell>
          <cell r="F2207" t="str">
            <v>PC</v>
          </cell>
          <cell r="G2207">
            <v>0</v>
          </cell>
        </row>
        <row r="2208">
          <cell r="B2208">
            <v>6929</v>
          </cell>
          <cell r="C2208">
            <v>8529.8799999999992</v>
          </cell>
          <cell r="D2208" t="str">
            <v>PHP</v>
          </cell>
          <cell r="E2208">
            <v>1</v>
          </cell>
          <cell r="F2208" t="str">
            <v>PC</v>
          </cell>
          <cell r="G2208">
            <v>0</v>
          </cell>
        </row>
        <row r="2209">
          <cell r="B2209">
            <v>6930</v>
          </cell>
          <cell r="C2209">
            <v>16516.43</v>
          </cell>
          <cell r="D2209" t="str">
            <v>PHP</v>
          </cell>
          <cell r="E2209">
            <v>2</v>
          </cell>
          <cell r="F2209" t="str">
            <v>PC</v>
          </cell>
          <cell r="G2209">
            <v>0</v>
          </cell>
        </row>
        <row r="2210">
          <cell r="B2210">
            <v>6931</v>
          </cell>
          <cell r="C2210">
            <v>4116.3500000000004</v>
          </cell>
          <cell r="D2210" t="str">
            <v>PHP</v>
          </cell>
          <cell r="E2210">
            <v>1</v>
          </cell>
          <cell r="F2210" t="str">
            <v>PC</v>
          </cell>
          <cell r="G2210">
            <v>0</v>
          </cell>
        </row>
        <row r="2211">
          <cell r="B2211">
            <v>6935</v>
          </cell>
          <cell r="C2211">
            <v>37440</v>
          </cell>
          <cell r="D2211" t="str">
            <v>PHP</v>
          </cell>
          <cell r="E2211">
            <v>6</v>
          </cell>
          <cell r="F2211" t="str">
            <v>PC</v>
          </cell>
          <cell r="G2211">
            <v>0</v>
          </cell>
        </row>
        <row r="2212">
          <cell r="B2212">
            <v>6936</v>
          </cell>
          <cell r="C2212">
            <v>290444</v>
          </cell>
          <cell r="D2212" t="str">
            <v>PHP</v>
          </cell>
          <cell r="E2212">
            <v>6</v>
          </cell>
          <cell r="F2212" t="str">
            <v>PC</v>
          </cell>
          <cell r="G2212">
            <v>0</v>
          </cell>
        </row>
        <row r="2213">
          <cell r="B2213">
            <v>6937</v>
          </cell>
          <cell r="C2213">
            <v>56588.7</v>
          </cell>
          <cell r="D2213" t="str">
            <v>PHP</v>
          </cell>
          <cell r="E2213">
            <v>8</v>
          </cell>
          <cell r="F2213" t="str">
            <v>PC</v>
          </cell>
          <cell r="G2213">
            <v>0</v>
          </cell>
        </row>
        <row r="2214">
          <cell r="B2214">
            <v>6938</v>
          </cell>
          <cell r="C2214">
            <v>0</v>
          </cell>
          <cell r="D2214" t="str">
            <v>PHP</v>
          </cell>
          <cell r="E2214">
            <v>0</v>
          </cell>
          <cell r="F2214" t="str">
            <v>PC</v>
          </cell>
          <cell r="G2214">
            <v>0</v>
          </cell>
        </row>
        <row r="2215">
          <cell r="B2215">
            <v>6939</v>
          </cell>
          <cell r="C2215">
            <v>8502.06</v>
          </cell>
          <cell r="D2215" t="str">
            <v>PHP</v>
          </cell>
          <cell r="E2215">
            <v>14</v>
          </cell>
          <cell r="F2215" t="str">
            <v>PC</v>
          </cell>
          <cell r="G2215">
            <v>0</v>
          </cell>
        </row>
        <row r="2216">
          <cell r="B2216">
            <v>6940</v>
          </cell>
          <cell r="C2216">
            <v>4858.32</v>
          </cell>
          <cell r="D2216" t="str">
            <v>PHP</v>
          </cell>
          <cell r="E2216">
            <v>8</v>
          </cell>
          <cell r="F2216" t="str">
            <v>PC</v>
          </cell>
          <cell r="G2216">
            <v>0</v>
          </cell>
        </row>
        <row r="2217">
          <cell r="B2217">
            <v>6947</v>
          </cell>
          <cell r="C2217">
            <v>5543.72</v>
          </cell>
          <cell r="D2217" t="str">
            <v>PHP</v>
          </cell>
          <cell r="E2217">
            <v>20</v>
          </cell>
          <cell r="F2217" t="str">
            <v>PC</v>
          </cell>
          <cell r="G2217">
            <v>0</v>
          </cell>
        </row>
        <row r="2218">
          <cell r="B2218">
            <v>6948</v>
          </cell>
          <cell r="C2218">
            <v>13970.08</v>
          </cell>
          <cell r="D2218" t="str">
            <v>PHP</v>
          </cell>
          <cell r="E2218">
            <v>33</v>
          </cell>
          <cell r="F2218" t="str">
            <v>PC</v>
          </cell>
          <cell r="G2218">
            <v>0</v>
          </cell>
        </row>
        <row r="2219">
          <cell r="B2219">
            <v>6950</v>
          </cell>
          <cell r="C2219">
            <v>0</v>
          </cell>
          <cell r="D2219" t="str">
            <v>PHP</v>
          </cell>
          <cell r="E2219">
            <v>0</v>
          </cell>
          <cell r="F2219" t="str">
            <v>PC</v>
          </cell>
          <cell r="G2219">
            <v>0</v>
          </cell>
        </row>
        <row r="2220">
          <cell r="B2220">
            <v>6969</v>
          </cell>
          <cell r="C2220">
            <v>0</v>
          </cell>
          <cell r="D2220" t="str">
            <v>PHP</v>
          </cell>
          <cell r="E2220">
            <v>0</v>
          </cell>
          <cell r="F2220" t="str">
            <v>PC</v>
          </cell>
          <cell r="G2220">
            <v>0</v>
          </cell>
        </row>
        <row r="2221">
          <cell r="B2221">
            <v>6970</v>
          </cell>
          <cell r="C2221">
            <v>0</v>
          </cell>
          <cell r="D2221" t="str">
            <v>PHP</v>
          </cell>
          <cell r="E2221">
            <v>0</v>
          </cell>
          <cell r="F2221" t="str">
            <v>PC</v>
          </cell>
          <cell r="G2221">
            <v>0</v>
          </cell>
        </row>
        <row r="2222">
          <cell r="B2222">
            <v>6971</v>
          </cell>
          <cell r="C2222">
            <v>43542.87</v>
          </cell>
          <cell r="D2222" t="str">
            <v>PHP</v>
          </cell>
          <cell r="E2222">
            <v>3</v>
          </cell>
          <cell r="F2222" t="str">
            <v>PC</v>
          </cell>
          <cell r="G2222">
            <v>0</v>
          </cell>
        </row>
        <row r="2223">
          <cell r="B2223">
            <v>6972</v>
          </cell>
          <cell r="C2223">
            <v>0</v>
          </cell>
          <cell r="D2223" t="str">
            <v>PHP</v>
          </cell>
          <cell r="E2223">
            <v>0</v>
          </cell>
          <cell r="F2223" t="str">
            <v>PC</v>
          </cell>
          <cell r="G2223">
            <v>0</v>
          </cell>
        </row>
        <row r="2224">
          <cell r="B2224">
            <v>6979</v>
          </cell>
          <cell r="C2224">
            <v>5336.72</v>
          </cell>
          <cell r="D2224" t="str">
            <v>PHP</v>
          </cell>
          <cell r="E2224">
            <v>1</v>
          </cell>
          <cell r="F2224" t="str">
            <v>PC</v>
          </cell>
          <cell r="G2224">
            <v>0</v>
          </cell>
        </row>
        <row r="2225">
          <cell r="B2225">
            <v>6980</v>
          </cell>
          <cell r="C2225">
            <v>76362.91</v>
          </cell>
          <cell r="D2225" t="str">
            <v>PHP</v>
          </cell>
          <cell r="E2225">
            <v>3</v>
          </cell>
          <cell r="F2225" t="str">
            <v>PC</v>
          </cell>
          <cell r="G2225">
            <v>0</v>
          </cell>
        </row>
        <row r="2226">
          <cell r="B2226">
            <v>6981</v>
          </cell>
          <cell r="C2226">
            <v>60241.13</v>
          </cell>
          <cell r="D2226" t="str">
            <v>PHP</v>
          </cell>
          <cell r="E2226">
            <v>3</v>
          </cell>
          <cell r="F2226" t="str">
            <v>PC</v>
          </cell>
          <cell r="G2226">
            <v>0</v>
          </cell>
        </row>
        <row r="2227">
          <cell r="B2227">
            <v>6984</v>
          </cell>
          <cell r="C2227">
            <v>176072.95999999999</v>
          </cell>
          <cell r="D2227" t="str">
            <v>PHP</v>
          </cell>
          <cell r="E2227">
            <v>4</v>
          </cell>
          <cell r="F2227" t="str">
            <v>KIT</v>
          </cell>
          <cell r="G2227">
            <v>0</v>
          </cell>
        </row>
        <row r="2228">
          <cell r="B2228">
            <v>6986</v>
          </cell>
          <cell r="C2228">
            <v>267008.98</v>
          </cell>
          <cell r="D2228" t="str">
            <v>PHP</v>
          </cell>
          <cell r="E2228">
            <v>2</v>
          </cell>
          <cell r="F2228" t="str">
            <v>KIT</v>
          </cell>
          <cell r="G2228">
            <v>0</v>
          </cell>
        </row>
        <row r="2229">
          <cell r="B2229">
            <v>6987</v>
          </cell>
          <cell r="C2229">
            <v>191349.32</v>
          </cell>
          <cell r="D2229" t="str">
            <v>PHP</v>
          </cell>
          <cell r="E2229">
            <v>2</v>
          </cell>
          <cell r="F2229" t="str">
            <v>KIT</v>
          </cell>
          <cell r="G2229">
            <v>0</v>
          </cell>
        </row>
        <row r="2230">
          <cell r="B2230">
            <v>6997</v>
          </cell>
          <cell r="C2230">
            <v>43172</v>
          </cell>
          <cell r="D2230" t="str">
            <v>PHP</v>
          </cell>
          <cell r="E2230">
            <v>4</v>
          </cell>
          <cell r="F2230" t="str">
            <v>PC</v>
          </cell>
          <cell r="G2230">
            <v>0</v>
          </cell>
        </row>
        <row r="2231">
          <cell r="B2231">
            <v>6998</v>
          </cell>
          <cell r="C2231">
            <v>76686.240000000005</v>
          </cell>
          <cell r="D2231" t="str">
            <v>PHP</v>
          </cell>
          <cell r="E2231">
            <v>32</v>
          </cell>
          <cell r="F2231" t="str">
            <v>PC</v>
          </cell>
          <cell r="G2231">
            <v>0</v>
          </cell>
        </row>
        <row r="2232">
          <cell r="B2232">
            <v>6999</v>
          </cell>
          <cell r="C2232">
            <v>21869.439999999999</v>
          </cell>
          <cell r="D2232" t="str">
            <v>PHP</v>
          </cell>
          <cell r="E2232">
            <v>32</v>
          </cell>
          <cell r="F2232" t="str">
            <v>PC</v>
          </cell>
          <cell r="G2232">
            <v>0</v>
          </cell>
        </row>
        <row r="2233">
          <cell r="B2233">
            <v>7000</v>
          </cell>
          <cell r="C2233">
            <v>64711.05</v>
          </cell>
          <cell r="D2233" t="str">
            <v>PHP</v>
          </cell>
          <cell r="E2233">
            <v>3</v>
          </cell>
          <cell r="F2233" t="str">
            <v>PC</v>
          </cell>
          <cell r="G2233">
            <v>0</v>
          </cell>
        </row>
        <row r="2234">
          <cell r="B2234">
            <v>7001</v>
          </cell>
          <cell r="C2234">
            <v>6022.12</v>
          </cell>
          <cell r="D2234" t="str">
            <v>PHP</v>
          </cell>
          <cell r="E2234">
            <v>3</v>
          </cell>
          <cell r="F2234" t="str">
            <v>PC</v>
          </cell>
          <cell r="G2234">
            <v>0</v>
          </cell>
        </row>
        <row r="2235">
          <cell r="B2235">
            <v>7002</v>
          </cell>
          <cell r="C2235">
            <v>7429.16</v>
          </cell>
          <cell r="D2235" t="str">
            <v>PHP</v>
          </cell>
          <cell r="E2235">
            <v>4</v>
          </cell>
          <cell r="F2235" t="str">
            <v>PC</v>
          </cell>
          <cell r="G2235">
            <v>0</v>
          </cell>
        </row>
        <row r="2236">
          <cell r="B2236">
            <v>7003</v>
          </cell>
          <cell r="C2236">
            <v>1091692.54</v>
          </cell>
          <cell r="D2236" t="str">
            <v>PHP</v>
          </cell>
          <cell r="E2236">
            <v>10</v>
          </cell>
          <cell r="F2236" t="str">
            <v>ASY</v>
          </cell>
          <cell r="G2236">
            <v>0</v>
          </cell>
        </row>
        <row r="2237">
          <cell r="B2237">
            <v>7004</v>
          </cell>
          <cell r="C2237">
            <v>0</v>
          </cell>
          <cell r="D2237" t="str">
            <v>PHP</v>
          </cell>
          <cell r="E2237">
            <v>0</v>
          </cell>
          <cell r="F2237" t="str">
            <v>PC</v>
          </cell>
          <cell r="G2237">
            <v>0</v>
          </cell>
        </row>
        <row r="2238">
          <cell r="B2238">
            <v>7005</v>
          </cell>
          <cell r="C2238">
            <v>47810.080000000002</v>
          </cell>
          <cell r="D2238" t="str">
            <v>PHP</v>
          </cell>
          <cell r="E2238">
            <v>4</v>
          </cell>
          <cell r="F2238" t="str">
            <v>PC</v>
          </cell>
          <cell r="G2238">
            <v>0</v>
          </cell>
        </row>
        <row r="2239">
          <cell r="B2239">
            <v>7006</v>
          </cell>
          <cell r="C2239">
            <v>202969.89</v>
          </cell>
          <cell r="D2239" t="str">
            <v>PHP</v>
          </cell>
          <cell r="E2239">
            <v>3</v>
          </cell>
          <cell r="F2239" t="str">
            <v>ASY</v>
          </cell>
          <cell r="G2239">
            <v>0</v>
          </cell>
        </row>
        <row r="2240">
          <cell r="B2240">
            <v>7009</v>
          </cell>
          <cell r="C2240">
            <v>194779.2</v>
          </cell>
          <cell r="D2240" t="str">
            <v>PHP</v>
          </cell>
          <cell r="E2240">
            <v>4</v>
          </cell>
          <cell r="F2240" t="str">
            <v>PC</v>
          </cell>
          <cell r="G2240">
            <v>0</v>
          </cell>
        </row>
        <row r="2241">
          <cell r="B2241">
            <v>7010</v>
          </cell>
          <cell r="C2241">
            <v>41820.730000000003</v>
          </cell>
          <cell r="D2241" t="str">
            <v>PHP</v>
          </cell>
          <cell r="E2241">
            <v>1</v>
          </cell>
          <cell r="F2241" t="str">
            <v>PC</v>
          </cell>
          <cell r="G2241">
            <v>0</v>
          </cell>
        </row>
        <row r="2242">
          <cell r="B2242">
            <v>7011</v>
          </cell>
          <cell r="C2242">
            <v>26593.3</v>
          </cell>
          <cell r="D2242" t="str">
            <v>PHP</v>
          </cell>
          <cell r="E2242">
            <v>7</v>
          </cell>
          <cell r="F2242" t="str">
            <v>PC</v>
          </cell>
          <cell r="G2242">
            <v>0</v>
          </cell>
        </row>
        <row r="2243">
          <cell r="B2243">
            <v>7013</v>
          </cell>
          <cell r="C2243">
            <v>11045.64</v>
          </cell>
          <cell r="D2243" t="str">
            <v>PHP</v>
          </cell>
          <cell r="E2243">
            <v>2</v>
          </cell>
          <cell r="F2243" t="str">
            <v>PC</v>
          </cell>
          <cell r="G2243">
            <v>0</v>
          </cell>
        </row>
        <row r="2244">
          <cell r="B2244">
            <v>7014</v>
          </cell>
          <cell r="C2244">
            <v>62288.06</v>
          </cell>
          <cell r="D2244" t="str">
            <v>PHP</v>
          </cell>
          <cell r="E2244">
            <v>3</v>
          </cell>
          <cell r="F2244" t="str">
            <v>PC</v>
          </cell>
          <cell r="G2244">
            <v>0</v>
          </cell>
        </row>
        <row r="2245">
          <cell r="B2245">
            <v>7015</v>
          </cell>
          <cell r="C2245">
            <v>80611.92</v>
          </cell>
          <cell r="D2245" t="str">
            <v>PHP</v>
          </cell>
          <cell r="E2245">
            <v>36</v>
          </cell>
          <cell r="F2245" t="str">
            <v>PC</v>
          </cell>
          <cell r="G2245">
            <v>0</v>
          </cell>
        </row>
        <row r="2246">
          <cell r="B2246">
            <v>7017</v>
          </cell>
          <cell r="C2246">
            <v>8198.25</v>
          </cell>
          <cell r="D2246" t="str">
            <v>PHP</v>
          </cell>
          <cell r="E2246">
            <v>8</v>
          </cell>
          <cell r="F2246" t="str">
            <v>PC</v>
          </cell>
          <cell r="G2246">
            <v>0</v>
          </cell>
        </row>
        <row r="2247">
          <cell r="B2247">
            <v>7018</v>
          </cell>
          <cell r="C2247">
            <v>2096.6799999999998</v>
          </cell>
          <cell r="D2247" t="str">
            <v>PHP</v>
          </cell>
          <cell r="E2247">
            <v>4</v>
          </cell>
          <cell r="F2247" t="str">
            <v>PC</v>
          </cell>
          <cell r="G2247">
            <v>0</v>
          </cell>
        </row>
        <row r="2248">
          <cell r="B2248">
            <v>7021</v>
          </cell>
          <cell r="C2248">
            <v>12132.4</v>
          </cell>
          <cell r="D2248" t="str">
            <v>PHP</v>
          </cell>
          <cell r="E2248">
            <v>2</v>
          </cell>
          <cell r="F2248" t="str">
            <v>PC</v>
          </cell>
          <cell r="G2248">
            <v>0</v>
          </cell>
        </row>
        <row r="2249">
          <cell r="B2249">
            <v>7023</v>
          </cell>
          <cell r="C2249">
            <v>158500.92000000001</v>
          </cell>
          <cell r="D2249" t="str">
            <v>PHP</v>
          </cell>
          <cell r="E2249">
            <v>40</v>
          </cell>
          <cell r="F2249" t="str">
            <v>PC</v>
          </cell>
          <cell r="G2249">
            <v>0</v>
          </cell>
        </row>
        <row r="2250">
          <cell r="B2250">
            <v>7024</v>
          </cell>
          <cell r="C2250">
            <v>0</v>
          </cell>
          <cell r="D2250" t="str">
            <v>PHP</v>
          </cell>
          <cell r="E2250">
            <v>0</v>
          </cell>
          <cell r="F2250" t="str">
            <v>PC</v>
          </cell>
          <cell r="G2250">
            <v>0</v>
          </cell>
        </row>
        <row r="2251">
          <cell r="B2251">
            <v>7026</v>
          </cell>
          <cell r="C2251">
            <v>4195.2</v>
          </cell>
          <cell r="D2251" t="str">
            <v>PHP</v>
          </cell>
          <cell r="E2251">
            <v>4</v>
          </cell>
          <cell r="F2251" t="str">
            <v>PC</v>
          </cell>
          <cell r="G2251">
            <v>0</v>
          </cell>
        </row>
        <row r="2252">
          <cell r="B2252">
            <v>7027</v>
          </cell>
          <cell r="C2252">
            <v>3146.4</v>
          </cell>
          <cell r="D2252" t="str">
            <v>PHP</v>
          </cell>
          <cell r="E2252">
            <v>3</v>
          </cell>
          <cell r="F2252" t="str">
            <v>PC</v>
          </cell>
          <cell r="G2252">
            <v>0</v>
          </cell>
        </row>
        <row r="2253">
          <cell r="B2253">
            <v>7034</v>
          </cell>
          <cell r="C2253">
            <v>22026.959999999999</v>
          </cell>
          <cell r="D2253" t="str">
            <v>PHP</v>
          </cell>
          <cell r="E2253">
            <v>12</v>
          </cell>
          <cell r="F2253" t="str">
            <v>PC</v>
          </cell>
          <cell r="G2253">
            <v>0</v>
          </cell>
        </row>
        <row r="2254">
          <cell r="B2254">
            <v>7035</v>
          </cell>
          <cell r="C2254">
            <v>55621.8</v>
          </cell>
          <cell r="D2254" t="str">
            <v>PHP</v>
          </cell>
          <cell r="E2254">
            <v>36</v>
          </cell>
          <cell r="F2254" t="str">
            <v>PC</v>
          </cell>
          <cell r="G2254">
            <v>0</v>
          </cell>
        </row>
        <row r="2255">
          <cell r="B2255">
            <v>7036</v>
          </cell>
          <cell r="C2255">
            <v>3145</v>
          </cell>
          <cell r="D2255" t="str">
            <v>PHP</v>
          </cell>
          <cell r="E2255">
            <v>37</v>
          </cell>
          <cell r="F2255" t="str">
            <v>PC</v>
          </cell>
          <cell r="G2255">
            <v>0</v>
          </cell>
        </row>
        <row r="2256">
          <cell r="B2256">
            <v>7037</v>
          </cell>
          <cell r="C2256">
            <v>2357.36</v>
          </cell>
          <cell r="D2256" t="str">
            <v>PHP</v>
          </cell>
          <cell r="E2256">
            <v>24</v>
          </cell>
          <cell r="F2256" t="str">
            <v>PC</v>
          </cell>
          <cell r="G2256">
            <v>0</v>
          </cell>
        </row>
        <row r="2257">
          <cell r="B2257">
            <v>7038</v>
          </cell>
          <cell r="C2257">
            <v>11309.45</v>
          </cell>
          <cell r="D2257" t="str">
            <v>PHP</v>
          </cell>
          <cell r="E2257">
            <v>9</v>
          </cell>
          <cell r="F2257" t="str">
            <v>PC</v>
          </cell>
          <cell r="G2257">
            <v>0</v>
          </cell>
        </row>
        <row r="2258">
          <cell r="B2258">
            <v>7039</v>
          </cell>
          <cell r="C2258">
            <v>18297.12</v>
          </cell>
          <cell r="D2258" t="str">
            <v>PHP</v>
          </cell>
          <cell r="E2258">
            <v>8</v>
          </cell>
          <cell r="F2258" t="str">
            <v>PC</v>
          </cell>
          <cell r="G2258">
            <v>0</v>
          </cell>
        </row>
        <row r="2259">
          <cell r="B2259">
            <v>7044</v>
          </cell>
          <cell r="C2259">
            <v>46724.75</v>
          </cell>
          <cell r="D2259" t="str">
            <v>PHP</v>
          </cell>
          <cell r="E2259">
            <v>28</v>
          </cell>
          <cell r="F2259" t="str">
            <v>PC</v>
          </cell>
          <cell r="G2259">
            <v>0</v>
          </cell>
        </row>
        <row r="2260">
          <cell r="B2260">
            <v>7045</v>
          </cell>
          <cell r="C2260">
            <v>35935.78</v>
          </cell>
          <cell r="D2260" t="str">
            <v>PHP</v>
          </cell>
          <cell r="E2260">
            <v>43</v>
          </cell>
          <cell r="F2260" t="str">
            <v>PC</v>
          </cell>
          <cell r="G2260">
            <v>0</v>
          </cell>
        </row>
        <row r="2261">
          <cell r="B2261">
            <v>7046</v>
          </cell>
          <cell r="C2261">
            <v>15375.28</v>
          </cell>
          <cell r="D2261" t="str">
            <v>PHP</v>
          </cell>
          <cell r="E2261">
            <v>36</v>
          </cell>
          <cell r="F2261" t="str">
            <v>PC</v>
          </cell>
          <cell r="G2261">
            <v>0</v>
          </cell>
        </row>
        <row r="2262">
          <cell r="B2262">
            <v>7047</v>
          </cell>
          <cell r="C2262">
            <v>9727.39</v>
          </cell>
          <cell r="D2262" t="str">
            <v>PHP</v>
          </cell>
          <cell r="E2262">
            <v>20</v>
          </cell>
          <cell r="F2262" t="str">
            <v>PC</v>
          </cell>
          <cell r="G2262">
            <v>0</v>
          </cell>
        </row>
        <row r="2263">
          <cell r="B2263">
            <v>7048</v>
          </cell>
          <cell r="C2263">
            <v>44265.65</v>
          </cell>
          <cell r="D2263" t="str">
            <v>PHP</v>
          </cell>
          <cell r="E2263">
            <v>64</v>
          </cell>
          <cell r="F2263" t="str">
            <v>PC</v>
          </cell>
          <cell r="G2263">
            <v>0</v>
          </cell>
        </row>
        <row r="2264">
          <cell r="B2264">
            <v>7049</v>
          </cell>
          <cell r="C2264">
            <v>33678.76</v>
          </cell>
          <cell r="D2264" t="str">
            <v>PHP</v>
          </cell>
          <cell r="E2264">
            <v>39</v>
          </cell>
          <cell r="F2264" t="str">
            <v>PC</v>
          </cell>
          <cell r="G2264">
            <v>0</v>
          </cell>
        </row>
        <row r="2265">
          <cell r="B2265">
            <v>7050</v>
          </cell>
          <cell r="C2265">
            <v>0</v>
          </cell>
          <cell r="D2265" t="str">
            <v>PHP</v>
          </cell>
          <cell r="E2265">
            <v>0</v>
          </cell>
          <cell r="F2265" t="str">
            <v>PC</v>
          </cell>
          <cell r="G2265">
            <v>0</v>
          </cell>
        </row>
        <row r="2266">
          <cell r="B2266">
            <v>7051</v>
          </cell>
          <cell r="C2266">
            <v>21018.32</v>
          </cell>
          <cell r="D2266" t="str">
            <v>PHP</v>
          </cell>
          <cell r="E2266">
            <v>36</v>
          </cell>
          <cell r="F2266" t="str">
            <v>PC</v>
          </cell>
          <cell r="G2266">
            <v>0</v>
          </cell>
        </row>
        <row r="2267">
          <cell r="B2267">
            <v>7052</v>
          </cell>
          <cell r="C2267">
            <v>0</v>
          </cell>
          <cell r="D2267" t="str">
            <v>PHP</v>
          </cell>
          <cell r="E2267">
            <v>0</v>
          </cell>
          <cell r="F2267" t="str">
            <v>PC</v>
          </cell>
          <cell r="G2267">
            <v>0</v>
          </cell>
        </row>
        <row r="2268">
          <cell r="B2268">
            <v>7054</v>
          </cell>
          <cell r="C2268">
            <v>0</v>
          </cell>
          <cell r="D2268" t="str">
            <v>PHP</v>
          </cell>
          <cell r="E2268">
            <v>0</v>
          </cell>
          <cell r="F2268" t="str">
            <v>PC</v>
          </cell>
          <cell r="G2268">
            <v>0</v>
          </cell>
        </row>
        <row r="2269">
          <cell r="B2269">
            <v>7055</v>
          </cell>
          <cell r="C2269">
            <v>0</v>
          </cell>
          <cell r="D2269" t="str">
            <v>PHP</v>
          </cell>
          <cell r="E2269">
            <v>0</v>
          </cell>
          <cell r="F2269" t="str">
            <v>PC</v>
          </cell>
          <cell r="G2269">
            <v>0</v>
          </cell>
        </row>
        <row r="2270">
          <cell r="B2270">
            <v>7056</v>
          </cell>
          <cell r="C2270">
            <v>0</v>
          </cell>
          <cell r="D2270" t="str">
            <v>PHP</v>
          </cell>
          <cell r="E2270">
            <v>0</v>
          </cell>
          <cell r="F2270" t="str">
            <v>PC</v>
          </cell>
          <cell r="G2270">
            <v>0</v>
          </cell>
        </row>
        <row r="2271">
          <cell r="B2271">
            <v>7058</v>
          </cell>
          <cell r="C2271">
            <v>0</v>
          </cell>
          <cell r="D2271" t="str">
            <v>PHP</v>
          </cell>
          <cell r="E2271">
            <v>0</v>
          </cell>
          <cell r="F2271" t="str">
            <v>PC</v>
          </cell>
          <cell r="G2271">
            <v>0</v>
          </cell>
        </row>
        <row r="2272">
          <cell r="B2272">
            <v>7059</v>
          </cell>
          <cell r="C2272">
            <v>0</v>
          </cell>
          <cell r="D2272" t="str">
            <v>PHP</v>
          </cell>
          <cell r="E2272">
            <v>0</v>
          </cell>
          <cell r="F2272" t="str">
            <v>PC</v>
          </cell>
          <cell r="G2272">
            <v>0</v>
          </cell>
        </row>
        <row r="2273">
          <cell r="B2273">
            <v>7060</v>
          </cell>
          <cell r="C2273">
            <v>0</v>
          </cell>
          <cell r="D2273" t="str">
            <v>PHP</v>
          </cell>
          <cell r="E2273">
            <v>0</v>
          </cell>
          <cell r="F2273" t="str">
            <v>ASY</v>
          </cell>
          <cell r="G2273">
            <v>0</v>
          </cell>
        </row>
        <row r="2274">
          <cell r="B2274">
            <v>7061</v>
          </cell>
          <cell r="C2274">
            <v>86344</v>
          </cell>
          <cell r="D2274" t="str">
            <v>PHP</v>
          </cell>
          <cell r="E2274">
            <v>8</v>
          </cell>
          <cell r="F2274" t="str">
            <v>PC</v>
          </cell>
          <cell r="G2274">
            <v>0</v>
          </cell>
        </row>
        <row r="2275">
          <cell r="B2275">
            <v>7067</v>
          </cell>
          <cell r="C2275">
            <v>87804.68</v>
          </cell>
          <cell r="D2275" t="str">
            <v>PHP</v>
          </cell>
          <cell r="E2275">
            <v>6</v>
          </cell>
          <cell r="F2275" t="str">
            <v>PC</v>
          </cell>
          <cell r="G2275">
            <v>0</v>
          </cell>
        </row>
        <row r="2276">
          <cell r="B2276">
            <v>7068</v>
          </cell>
          <cell r="C2276">
            <v>74568.070000000007</v>
          </cell>
          <cell r="D2276" t="str">
            <v>PHP</v>
          </cell>
          <cell r="E2276">
            <v>4</v>
          </cell>
          <cell r="F2276" t="str">
            <v>PC</v>
          </cell>
          <cell r="G2276">
            <v>0</v>
          </cell>
        </row>
        <row r="2277">
          <cell r="B2277">
            <v>7069</v>
          </cell>
          <cell r="C2277">
            <v>60534.76</v>
          </cell>
          <cell r="D2277" t="str">
            <v>PHP</v>
          </cell>
          <cell r="E2277">
            <v>6</v>
          </cell>
          <cell r="F2277" t="str">
            <v>PC</v>
          </cell>
          <cell r="G2277">
            <v>0</v>
          </cell>
        </row>
        <row r="2278">
          <cell r="B2278">
            <v>7070</v>
          </cell>
          <cell r="C2278">
            <v>6371.86</v>
          </cell>
          <cell r="D2278" t="str">
            <v>PHP</v>
          </cell>
          <cell r="E2278">
            <v>2</v>
          </cell>
          <cell r="F2278" t="str">
            <v>PC</v>
          </cell>
          <cell r="G2278">
            <v>0</v>
          </cell>
        </row>
        <row r="2279">
          <cell r="B2279">
            <v>7071</v>
          </cell>
          <cell r="C2279">
            <v>0</v>
          </cell>
          <cell r="D2279" t="str">
            <v>PHP</v>
          </cell>
          <cell r="E2279">
            <v>0</v>
          </cell>
          <cell r="F2279" t="str">
            <v>PC</v>
          </cell>
          <cell r="G2279">
            <v>0</v>
          </cell>
        </row>
        <row r="2280">
          <cell r="B2280">
            <v>7072</v>
          </cell>
          <cell r="C2280">
            <v>3307.6</v>
          </cell>
          <cell r="D2280" t="str">
            <v>PHP</v>
          </cell>
          <cell r="E2280">
            <v>2</v>
          </cell>
          <cell r="F2280" t="str">
            <v>PC</v>
          </cell>
          <cell r="G2280">
            <v>0</v>
          </cell>
        </row>
        <row r="2281">
          <cell r="B2281">
            <v>7074</v>
          </cell>
          <cell r="C2281">
            <v>8400.34</v>
          </cell>
          <cell r="D2281" t="str">
            <v>PHP</v>
          </cell>
          <cell r="E2281">
            <v>2</v>
          </cell>
          <cell r="F2281" t="str">
            <v>PC</v>
          </cell>
          <cell r="G2281">
            <v>0</v>
          </cell>
        </row>
        <row r="2282">
          <cell r="B2282">
            <v>7076</v>
          </cell>
          <cell r="C2282">
            <v>6531.92</v>
          </cell>
          <cell r="D2282" t="str">
            <v>PHP</v>
          </cell>
          <cell r="E2282">
            <v>2</v>
          </cell>
          <cell r="F2282" t="str">
            <v>PC</v>
          </cell>
          <cell r="G2282">
            <v>0</v>
          </cell>
        </row>
        <row r="2283">
          <cell r="B2283">
            <v>7077</v>
          </cell>
          <cell r="C2283">
            <v>27078.81</v>
          </cell>
          <cell r="D2283" t="str">
            <v>PHP</v>
          </cell>
          <cell r="E2283">
            <v>124</v>
          </cell>
          <cell r="F2283" t="str">
            <v>PC</v>
          </cell>
          <cell r="G2283">
            <v>0</v>
          </cell>
        </row>
        <row r="2284">
          <cell r="B2284">
            <v>7086</v>
          </cell>
          <cell r="C2284">
            <v>132806.24</v>
          </cell>
          <cell r="D2284" t="str">
            <v>PHP</v>
          </cell>
          <cell r="E2284">
            <v>4</v>
          </cell>
          <cell r="F2284" t="str">
            <v>PC</v>
          </cell>
          <cell r="G2284">
            <v>0</v>
          </cell>
        </row>
        <row r="2285">
          <cell r="B2285">
            <v>7093</v>
          </cell>
          <cell r="C2285">
            <v>0</v>
          </cell>
          <cell r="D2285" t="str">
            <v>PHP</v>
          </cell>
          <cell r="E2285">
            <v>0</v>
          </cell>
          <cell r="F2285" t="str">
            <v>PC</v>
          </cell>
          <cell r="G2285">
            <v>0</v>
          </cell>
        </row>
        <row r="2286">
          <cell r="B2286">
            <v>7097</v>
          </cell>
          <cell r="C2286">
            <v>0</v>
          </cell>
          <cell r="D2286" t="str">
            <v>PHP</v>
          </cell>
          <cell r="E2286">
            <v>0</v>
          </cell>
          <cell r="F2286" t="str">
            <v>PC</v>
          </cell>
          <cell r="G2286">
            <v>0</v>
          </cell>
        </row>
        <row r="2287">
          <cell r="B2287">
            <v>7099</v>
          </cell>
          <cell r="C2287">
            <v>112115.04</v>
          </cell>
          <cell r="D2287" t="str">
            <v>PHP</v>
          </cell>
          <cell r="E2287">
            <v>20</v>
          </cell>
          <cell r="F2287" t="str">
            <v>PC</v>
          </cell>
          <cell r="G2287">
            <v>0</v>
          </cell>
        </row>
        <row r="2288">
          <cell r="B2288">
            <v>7103</v>
          </cell>
          <cell r="C2288">
            <v>94588.01</v>
          </cell>
          <cell r="D2288" t="str">
            <v>PHP</v>
          </cell>
          <cell r="E2288">
            <v>2</v>
          </cell>
          <cell r="F2288" t="str">
            <v>PC</v>
          </cell>
          <cell r="G2288">
            <v>0</v>
          </cell>
        </row>
        <row r="2289">
          <cell r="B2289">
            <v>7104</v>
          </cell>
          <cell r="C2289">
            <v>94588.01</v>
          </cell>
          <cell r="D2289" t="str">
            <v>PHP</v>
          </cell>
          <cell r="E2289">
            <v>2</v>
          </cell>
          <cell r="F2289" t="str">
            <v>PC</v>
          </cell>
          <cell r="G2289">
            <v>0</v>
          </cell>
        </row>
        <row r="2290">
          <cell r="B2290">
            <v>7105</v>
          </cell>
          <cell r="C2290">
            <v>102603.66</v>
          </cell>
          <cell r="D2290" t="str">
            <v>PHP</v>
          </cell>
          <cell r="E2290">
            <v>2</v>
          </cell>
          <cell r="F2290" t="str">
            <v>PC</v>
          </cell>
          <cell r="G2290">
            <v>0</v>
          </cell>
        </row>
        <row r="2291">
          <cell r="B2291">
            <v>7106</v>
          </cell>
          <cell r="C2291">
            <v>193681.37</v>
          </cell>
          <cell r="D2291" t="str">
            <v>PHP</v>
          </cell>
          <cell r="E2291">
            <v>12</v>
          </cell>
          <cell r="F2291" t="str">
            <v>PC</v>
          </cell>
          <cell r="G2291">
            <v>0</v>
          </cell>
        </row>
        <row r="2292">
          <cell r="B2292">
            <v>7107</v>
          </cell>
          <cell r="C2292">
            <v>0</v>
          </cell>
          <cell r="D2292" t="str">
            <v>PHP</v>
          </cell>
          <cell r="E2292">
            <v>0</v>
          </cell>
          <cell r="F2292" t="str">
            <v>PC</v>
          </cell>
          <cell r="G2292">
            <v>0</v>
          </cell>
        </row>
        <row r="2293">
          <cell r="B2293">
            <v>7108</v>
          </cell>
          <cell r="C2293">
            <v>110253.69</v>
          </cell>
          <cell r="D2293" t="str">
            <v>PHP</v>
          </cell>
          <cell r="E2293">
            <v>5</v>
          </cell>
          <cell r="F2293" t="str">
            <v>PC</v>
          </cell>
          <cell r="G2293">
            <v>0</v>
          </cell>
        </row>
        <row r="2294">
          <cell r="B2294">
            <v>7109</v>
          </cell>
          <cell r="C2294">
            <v>201125.43</v>
          </cell>
          <cell r="D2294" t="str">
            <v>PHP</v>
          </cell>
          <cell r="E2294">
            <v>6</v>
          </cell>
          <cell r="F2294" t="str">
            <v>PC</v>
          </cell>
          <cell r="G2294">
            <v>0</v>
          </cell>
        </row>
        <row r="2295">
          <cell r="B2295">
            <v>7110</v>
          </cell>
          <cell r="C2295">
            <v>110253.7</v>
          </cell>
          <cell r="D2295" t="str">
            <v>PHP</v>
          </cell>
          <cell r="E2295">
            <v>5</v>
          </cell>
          <cell r="F2295" t="str">
            <v>PC</v>
          </cell>
          <cell r="G2295">
            <v>0</v>
          </cell>
        </row>
        <row r="2296">
          <cell r="B2296">
            <v>7111</v>
          </cell>
          <cell r="C2296">
            <v>132112.20000000001</v>
          </cell>
          <cell r="D2296" t="str">
            <v>PHP</v>
          </cell>
          <cell r="E2296">
            <v>8</v>
          </cell>
          <cell r="F2296" t="str">
            <v>PC</v>
          </cell>
          <cell r="G2296">
            <v>0</v>
          </cell>
        </row>
        <row r="2297">
          <cell r="B2297">
            <v>7112</v>
          </cell>
          <cell r="C2297">
            <v>158068.32</v>
          </cell>
          <cell r="D2297" t="str">
            <v>PHP</v>
          </cell>
          <cell r="E2297">
            <v>9</v>
          </cell>
          <cell r="F2297" t="str">
            <v>PC</v>
          </cell>
          <cell r="G2297">
            <v>0</v>
          </cell>
        </row>
        <row r="2298">
          <cell r="B2298">
            <v>7113</v>
          </cell>
          <cell r="C2298">
            <v>192387.38</v>
          </cell>
          <cell r="D2298" t="str">
            <v>PHP</v>
          </cell>
          <cell r="E2298">
            <v>6</v>
          </cell>
          <cell r="F2298" t="str">
            <v>PC</v>
          </cell>
          <cell r="G2298">
            <v>0</v>
          </cell>
        </row>
        <row r="2299">
          <cell r="B2299">
            <v>7114</v>
          </cell>
          <cell r="C2299">
            <v>273747.92</v>
          </cell>
          <cell r="D2299" t="str">
            <v>PHP</v>
          </cell>
          <cell r="E2299">
            <v>16</v>
          </cell>
          <cell r="F2299" t="str">
            <v>PC</v>
          </cell>
          <cell r="G2299">
            <v>0</v>
          </cell>
        </row>
        <row r="2300">
          <cell r="B2300">
            <v>7115</v>
          </cell>
          <cell r="C2300">
            <v>7687.12</v>
          </cell>
          <cell r="D2300" t="str">
            <v>PHP</v>
          </cell>
          <cell r="E2300">
            <v>2</v>
          </cell>
          <cell r="F2300" t="str">
            <v>PC</v>
          </cell>
          <cell r="G2300">
            <v>0</v>
          </cell>
        </row>
        <row r="2301">
          <cell r="B2301">
            <v>7124</v>
          </cell>
          <cell r="C2301">
            <v>0</v>
          </cell>
          <cell r="D2301" t="str">
            <v>PHP</v>
          </cell>
          <cell r="E2301">
            <v>0</v>
          </cell>
          <cell r="F2301" t="str">
            <v>PC</v>
          </cell>
          <cell r="G2301">
            <v>0</v>
          </cell>
        </row>
        <row r="2302">
          <cell r="B2302">
            <v>7127</v>
          </cell>
          <cell r="C2302">
            <v>4125.8599999999997</v>
          </cell>
          <cell r="D2302" t="str">
            <v>PHP</v>
          </cell>
          <cell r="E2302">
            <v>2</v>
          </cell>
          <cell r="F2302" t="str">
            <v>PC</v>
          </cell>
          <cell r="G2302">
            <v>0</v>
          </cell>
        </row>
        <row r="2303">
          <cell r="B2303">
            <v>7128</v>
          </cell>
          <cell r="C2303">
            <v>87468.02</v>
          </cell>
          <cell r="D2303" t="str">
            <v>PHP</v>
          </cell>
          <cell r="E2303">
            <v>2</v>
          </cell>
          <cell r="F2303" t="str">
            <v>PC</v>
          </cell>
          <cell r="G2303">
            <v>0</v>
          </cell>
        </row>
        <row r="2304">
          <cell r="B2304">
            <v>7135</v>
          </cell>
          <cell r="C2304">
            <v>41091.279999999999</v>
          </cell>
          <cell r="D2304" t="str">
            <v>PHP</v>
          </cell>
          <cell r="E2304">
            <v>6</v>
          </cell>
          <cell r="F2304" t="str">
            <v>PC</v>
          </cell>
          <cell r="G2304">
            <v>0</v>
          </cell>
        </row>
        <row r="2305">
          <cell r="B2305">
            <v>7136</v>
          </cell>
          <cell r="C2305">
            <v>10434.24</v>
          </cell>
          <cell r="D2305" t="str">
            <v>PHP</v>
          </cell>
          <cell r="E2305">
            <v>6</v>
          </cell>
          <cell r="F2305" t="str">
            <v>PC</v>
          </cell>
          <cell r="G2305">
            <v>0</v>
          </cell>
        </row>
        <row r="2306">
          <cell r="B2306">
            <v>7137</v>
          </cell>
          <cell r="C2306">
            <v>41952.24</v>
          </cell>
          <cell r="D2306" t="str">
            <v>PHP</v>
          </cell>
          <cell r="E2306">
            <v>6</v>
          </cell>
          <cell r="F2306" t="str">
            <v>PC</v>
          </cell>
          <cell r="G2306">
            <v>0</v>
          </cell>
        </row>
        <row r="2307">
          <cell r="B2307">
            <v>7138</v>
          </cell>
          <cell r="C2307">
            <v>41955.42</v>
          </cell>
          <cell r="D2307" t="str">
            <v>PHP</v>
          </cell>
          <cell r="E2307">
            <v>6</v>
          </cell>
          <cell r="F2307" t="str">
            <v>PC</v>
          </cell>
          <cell r="G2307">
            <v>0</v>
          </cell>
        </row>
        <row r="2308">
          <cell r="B2308">
            <v>7139</v>
          </cell>
          <cell r="C2308">
            <v>17638.3</v>
          </cell>
          <cell r="D2308" t="str">
            <v>PHP</v>
          </cell>
          <cell r="E2308">
            <v>3</v>
          </cell>
          <cell r="F2308" t="str">
            <v>PC</v>
          </cell>
          <cell r="G2308">
            <v>0</v>
          </cell>
        </row>
        <row r="2309">
          <cell r="B2309">
            <v>7140</v>
          </cell>
          <cell r="C2309">
            <v>17638.3</v>
          </cell>
          <cell r="D2309" t="str">
            <v>PHP</v>
          </cell>
          <cell r="E2309">
            <v>3</v>
          </cell>
          <cell r="F2309" t="str">
            <v>PC</v>
          </cell>
          <cell r="G2309">
            <v>0</v>
          </cell>
        </row>
        <row r="2310">
          <cell r="B2310">
            <v>7141</v>
          </cell>
          <cell r="C2310">
            <v>17638.3</v>
          </cell>
          <cell r="D2310" t="str">
            <v>PHP</v>
          </cell>
          <cell r="E2310">
            <v>3</v>
          </cell>
          <cell r="F2310" t="str">
            <v>PC</v>
          </cell>
          <cell r="G2310">
            <v>0</v>
          </cell>
        </row>
        <row r="2311">
          <cell r="B2311">
            <v>7142</v>
          </cell>
          <cell r="C2311">
            <v>118556.7</v>
          </cell>
          <cell r="D2311" t="str">
            <v>PHP</v>
          </cell>
          <cell r="E2311">
            <v>15</v>
          </cell>
          <cell r="F2311" t="str">
            <v>PC</v>
          </cell>
          <cell r="G2311">
            <v>0</v>
          </cell>
        </row>
        <row r="2312">
          <cell r="B2312">
            <v>7143</v>
          </cell>
          <cell r="C2312">
            <v>288761.56</v>
          </cell>
          <cell r="D2312" t="str">
            <v>PHP</v>
          </cell>
          <cell r="E2312">
            <v>1</v>
          </cell>
          <cell r="F2312" t="str">
            <v>PC</v>
          </cell>
          <cell r="G2312">
            <v>0</v>
          </cell>
        </row>
        <row r="2313">
          <cell r="B2313">
            <v>7144</v>
          </cell>
          <cell r="C2313">
            <v>51755</v>
          </cell>
          <cell r="D2313" t="str">
            <v>PHP</v>
          </cell>
          <cell r="E2313">
            <v>1</v>
          </cell>
          <cell r="F2313" t="str">
            <v>PC</v>
          </cell>
          <cell r="G2313">
            <v>0</v>
          </cell>
        </row>
        <row r="2314">
          <cell r="B2314">
            <v>7146</v>
          </cell>
          <cell r="C2314">
            <v>317580.09000000003</v>
          </cell>
          <cell r="D2314" t="str">
            <v>PHP</v>
          </cell>
          <cell r="E2314">
            <v>4</v>
          </cell>
          <cell r="F2314" t="str">
            <v>PC</v>
          </cell>
          <cell r="G2314">
            <v>0</v>
          </cell>
        </row>
        <row r="2315">
          <cell r="B2315">
            <v>7150</v>
          </cell>
          <cell r="C2315">
            <v>0</v>
          </cell>
          <cell r="D2315" t="str">
            <v>PHP</v>
          </cell>
          <cell r="E2315">
            <v>0</v>
          </cell>
          <cell r="F2315" t="str">
            <v>PC</v>
          </cell>
          <cell r="G2315">
            <v>0</v>
          </cell>
        </row>
        <row r="2316">
          <cell r="B2316">
            <v>7154</v>
          </cell>
          <cell r="C2316">
            <v>0</v>
          </cell>
          <cell r="D2316" t="str">
            <v>PHP</v>
          </cell>
          <cell r="E2316">
            <v>0</v>
          </cell>
          <cell r="F2316" t="str">
            <v>ASY</v>
          </cell>
          <cell r="G2316">
            <v>0</v>
          </cell>
        </row>
        <row r="2317">
          <cell r="B2317">
            <v>7162</v>
          </cell>
          <cell r="C2317">
            <v>412115.08</v>
          </cell>
          <cell r="D2317" t="str">
            <v>PHP</v>
          </cell>
          <cell r="E2317">
            <v>34</v>
          </cell>
          <cell r="F2317" t="str">
            <v>PC</v>
          </cell>
          <cell r="G2317">
            <v>0</v>
          </cell>
        </row>
        <row r="2318">
          <cell r="B2318">
            <v>7171</v>
          </cell>
          <cell r="C2318">
            <v>3327.8</v>
          </cell>
          <cell r="D2318" t="str">
            <v>PHP</v>
          </cell>
          <cell r="E2318">
            <v>3</v>
          </cell>
          <cell r="F2318" t="str">
            <v>PC</v>
          </cell>
          <cell r="G2318">
            <v>0</v>
          </cell>
        </row>
        <row r="2319">
          <cell r="B2319">
            <v>7174</v>
          </cell>
          <cell r="C2319">
            <v>13032</v>
          </cell>
          <cell r="D2319" t="str">
            <v>PHP</v>
          </cell>
          <cell r="E2319">
            <v>4</v>
          </cell>
          <cell r="F2319" t="str">
            <v>PC</v>
          </cell>
          <cell r="G2319">
            <v>0</v>
          </cell>
        </row>
        <row r="2320">
          <cell r="B2320">
            <v>7176</v>
          </cell>
          <cell r="C2320">
            <v>86080</v>
          </cell>
          <cell r="D2320" t="str">
            <v>PHP</v>
          </cell>
          <cell r="E2320">
            <v>4</v>
          </cell>
          <cell r="F2320" t="str">
            <v>PC</v>
          </cell>
          <cell r="G2320">
            <v>0</v>
          </cell>
        </row>
        <row r="2321">
          <cell r="B2321">
            <v>7182</v>
          </cell>
          <cell r="C2321">
            <v>30870</v>
          </cell>
          <cell r="D2321" t="str">
            <v>PHP</v>
          </cell>
          <cell r="E2321">
            <v>6</v>
          </cell>
          <cell r="F2321" t="str">
            <v>PC</v>
          </cell>
          <cell r="G2321">
            <v>0</v>
          </cell>
        </row>
        <row r="2322">
          <cell r="B2322">
            <v>7189</v>
          </cell>
          <cell r="C2322">
            <v>162439.51999999999</v>
          </cell>
          <cell r="D2322" t="str">
            <v>PHP</v>
          </cell>
          <cell r="E2322">
            <v>1</v>
          </cell>
          <cell r="F2322" t="str">
            <v>PC</v>
          </cell>
          <cell r="G2322">
            <v>0</v>
          </cell>
        </row>
        <row r="2323">
          <cell r="B2323">
            <v>7195</v>
          </cell>
          <cell r="C2323">
            <v>0</v>
          </cell>
          <cell r="D2323" t="str">
            <v>PHP</v>
          </cell>
          <cell r="E2323">
            <v>0</v>
          </cell>
          <cell r="F2323" t="str">
            <v>PC</v>
          </cell>
          <cell r="G2323">
            <v>0</v>
          </cell>
        </row>
        <row r="2324">
          <cell r="B2324">
            <v>7196</v>
          </cell>
          <cell r="C2324">
            <v>0</v>
          </cell>
          <cell r="D2324" t="str">
            <v>PHP</v>
          </cell>
          <cell r="E2324">
            <v>0</v>
          </cell>
          <cell r="F2324" t="str">
            <v>PC</v>
          </cell>
          <cell r="G2324">
            <v>0</v>
          </cell>
        </row>
        <row r="2325">
          <cell r="B2325">
            <v>7198</v>
          </cell>
          <cell r="C2325">
            <v>138158.04</v>
          </cell>
          <cell r="D2325" t="str">
            <v>PHP</v>
          </cell>
          <cell r="E2325">
            <v>4</v>
          </cell>
          <cell r="F2325" t="str">
            <v>PC</v>
          </cell>
          <cell r="G2325">
            <v>0</v>
          </cell>
        </row>
        <row r="2326">
          <cell r="B2326">
            <v>7199</v>
          </cell>
          <cell r="C2326">
            <v>89678.16</v>
          </cell>
          <cell r="D2326" t="str">
            <v>PHP</v>
          </cell>
          <cell r="E2326">
            <v>4</v>
          </cell>
          <cell r="F2326" t="str">
            <v>PC</v>
          </cell>
          <cell r="G2326">
            <v>0</v>
          </cell>
        </row>
        <row r="2327">
          <cell r="B2327">
            <v>7200</v>
          </cell>
          <cell r="C2327">
            <v>333975</v>
          </cell>
          <cell r="D2327" t="str">
            <v>PHP</v>
          </cell>
          <cell r="E2327">
            <v>1</v>
          </cell>
          <cell r="F2327" t="str">
            <v>PC</v>
          </cell>
          <cell r="G2327">
            <v>0</v>
          </cell>
        </row>
        <row r="2328">
          <cell r="B2328">
            <v>7203</v>
          </cell>
          <cell r="C2328">
            <v>248172.52</v>
          </cell>
          <cell r="D2328" t="str">
            <v>PHP</v>
          </cell>
          <cell r="E2328">
            <v>2</v>
          </cell>
          <cell r="F2328" t="str">
            <v>PC</v>
          </cell>
          <cell r="G2328">
            <v>0</v>
          </cell>
        </row>
        <row r="2329">
          <cell r="B2329">
            <v>7205</v>
          </cell>
          <cell r="C2329">
            <v>0</v>
          </cell>
          <cell r="D2329" t="str">
            <v>PHP</v>
          </cell>
          <cell r="E2329">
            <v>0</v>
          </cell>
          <cell r="F2329" t="str">
            <v>PC</v>
          </cell>
          <cell r="G2329">
            <v>0</v>
          </cell>
        </row>
        <row r="2330">
          <cell r="B2330">
            <v>7209</v>
          </cell>
          <cell r="C2330">
            <v>46826.44</v>
          </cell>
          <cell r="D2330" t="str">
            <v>PHP</v>
          </cell>
          <cell r="E2330">
            <v>8</v>
          </cell>
          <cell r="F2330" t="str">
            <v>PC</v>
          </cell>
          <cell r="G2330">
            <v>0</v>
          </cell>
        </row>
        <row r="2331">
          <cell r="B2331">
            <v>7210</v>
          </cell>
          <cell r="C2331">
            <v>18715.32</v>
          </cell>
          <cell r="D2331" t="str">
            <v>PHP</v>
          </cell>
          <cell r="E2331">
            <v>2</v>
          </cell>
          <cell r="F2331" t="str">
            <v>PC</v>
          </cell>
          <cell r="G2331">
            <v>0</v>
          </cell>
        </row>
        <row r="2332">
          <cell r="B2332">
            <v>7214</v>
          </cell>
          <cell r="C2332">
            <v>3747141.61</v>
          </cell>
          <cell r="D2332" t="str">
            <v>PHP</v>
          </cell>
          <cell r="E2332">
            <v>2</v>
          </cell>
          <cell r="F2332" t="str">
            <v>PC</v>
          </cell>
          <cell r="G2332">
            <v>0</v>
          </cell>
        </row>
        <row r="2333">
          <cell r="B2333">
            <v>7218</v>
          </cell>
          <cell r="C2333">
            <v>0</v>
          </cell>
          <cell r="D2333" t="str">
            <v>PHP</v>
          </cell>
          <cell r="E2333">
            <v>0</v>
          </cell>
          <cell r="F2333" t="str">
            <v>PC</v>
          </cell>
          <cell r="G2333">
            <v>0</v>
          </cell>
        </row>
        <row r="2334">
          <cell r="B2334">
            <v>7220</v>
          </cell>
          <cell r="C2334">
            <v>274513.82</v>
          </cell>
          <cell r="D2334" t="str">
            <v>PHP</v>
          </cell>
          <cell r="E2334">
            <v>14</v>
          </cell>
          <cell r="F2334" t="str">
            <v>PC</v>
          </cell>
          <cell r="G2334">
            <v>0</v>
          </cell>
        </row>
        <row r="2335">
          <cell r="B2335">
            <v>7233</v>
          </cell>
          <cell r="C2335">
            <v>0</v>
          </cell>
          <cell r="D2335" t="str">
            <v>PHP</v>
          </cell>
          <cell r="E2335">
            <v>0</v>
          </cell>
          <cell r="F2335" t="str">
            <v>PC</v>
          </cell>
          <cell r="G2335">
            <v>0</v>
          </cell>
        </row>
        <row r="2336">
          <cell r="B2336">
            <v>7234</v>
          </cell>
          <cell r="C2336">
            <v>532512</v>
          </cell>
          <cell r="D2336" t="str">
            <v>PHP</v>
          </cell>
          <cell r="E2336">
            <v>4</v>
          </cell>
          <cell r="F2336" t="str">
            <v>PC</v>
          </cell>
          <cell r="G2336">
            <v>0</v>
          </cell>
        </row>
        <row r="2337">
          <cell r="B2337">
            <v>7235</v>
          </cell>
          <cell r="C2337">
            <v>76051.520000000004</v>
          </cell>
          <cell r="D2337" t="str">
            <v>PHP</v>
          </cell>
          <cell r="E2337">
            <v>10</v>
          </cell>
          <cell r="F2337" t="str">
            <v>PC</v>
          </cell>
          <cell r="G2337">
            <v>0</v>
          </cell>
        </row>
        <row r="2338">
          <cell r="B2338">
            <v>7238</v>
          </cell>
          <cell r="C2338">
            <v>1038255.99</v>
          </cell>
          <cell r="D2338" t="str">
            <v>PHP</v>
          </cell>
          <cell r="E2338">
            <v>1</v>
          </cell>
          <cell r="F2338" t="str">
            <v>PC</v>
          </cell>
          <cell r="G2338">
            <v>0</v>
          </cell>
        </row>
        <row r="2339">
          <cell r="B2339">
            <v>7246</v>
          </cell>
          <cell r="C2339">
            <v>6304.96</v>
          </cell>
          <cell r="D2339" t="str">
            <v>PHP</v>
          </cell>
          <cell r="E2339">
            <v>4</v>
          </cell>
          <cell r="F2339" t="str">
            <v>PC</v>
          </cell>
          <cell r="G2339">
            <v>0</v>
          </cell>
        </row>
        <row r="2340">
          <cell r="B2340">
            <v>7252</v>
          </cell>
          <cell r="C2340">
            <v>14259.54</v>
          </cell>
          <cell r="D2340" t="str">
            <v>PHP</v>
          </cell>
          <cell r="E2340">
            <v>6</v>
          </cell>
          <cell r="F2340" t="str">
            <v>SET</v>
          </cell>
          <cell r="G2340">
            <v>0</v>
          </cell>
        </row>
        <row r="2341">
          <cell r="B2341">
            <v>7253</v>
          </cell>
          <cell r="C2341">
            <v>41973.599999999999</v>
          </cell>
          <cell r="D2341" t="str">
            <v>PHP</v>
          </cell>
          <cell r="E2341">
            <v>8</v>
          </cell>
          <cell r="F2341" t="str">
            <v>PC</v>
          </cell>
          <cell r="G2341">
            <v>0</v>
          </cell>
        </row>
        <row r="2342">
          <cell r="B2342">
            <v>7254</v>
          </cell>
          <cell r="C2342">
            <v>82929.119999999995</v>
          </cell>
          <cell r="D2342" t="str">
            <v>PHP</v>
          </cell>
          <cell r="E2342">
            <v>12</v>
          </cell>
          <cell r="F2342" t="str">
            <v>PC</v>
          </cell>
          <cell r="G2342">
            <v>0</v>
          </cell>
        </row>
        <row r="2343">
          <cell r="B2343">
            <v>7255</v>
          </cell>
          <cell r="C2343">
            <v>1.35</v>
          </cell>
          <cell r="D2343" t="str">
            <v>PHP</v>
          </cell>
          <cell r="E2343">
            <v>3</v>
          </cell>
          <cell r="F2343" t="str">
            <v>PC</v>
          </cell>
          <cell r="G2343">
            <v>0</v>
          </cell>
        </row>
        <row r="2344">
          <cell r="B2344">
            <v>7258</v>
          </cell>
          <cell r="C2344">
            <v>37214.300000000003</v>
          </cell>
          <cell r="D2344" t="str">
            <v>PHP</v>
          </cell>
          <cell r="E2344">
            <v>6</v>
          </cell>
          <cell r="F2344" t="str">
            <v>PC</v>
          </cell>
          <cell r="G2344">
            <v>0</v>
          </cell>
        </row>
        <row r="2345">
          <cell r="B2345">
            <v>7259</v>
          </cell>
          <cell r="C2345">
            <v>33289.06</v>
          </cell>
          <cell r="D2345" t="str">
            <v>PHP</v>
          </cell>
          <cell r="E2345">
            <v>24</v>
          </cell>
          <cell r="F2345" t="str">
            <v>PC</v>
          </cell>
          <cell r="G2345">
            <v>0</v>
          </cell>
        </row>
        <row r="2346">
          <cell r="B2346">
            <v>7262</v>
          </cell>
          <cell r="C2346">
            <v>24095.07</v>
          </cell>
          <cell r="D2346" t="str">
            <v>PHP</v>
          </cell>
          <cell r="E2346">
            <v>16</v>
          </cell>
          <cell r="F2346" t="str">
            <v>PC</v>
          </cell>
          <cell r="G2346">
            <v>0</v>
          </cell>
        </row>
        <row r="2347">
          <cell r="B2347">
            <v>7263</v>
          </cell>
          <cell r="C2347">
            <v>12805.36</v>
          </cell>
          <cell r="D2347" t="str">
            <v>PHP</v>
          </cell>
          <cell r="E2347">
            <v>36</v>
          </cell>
          <cell r="F2347" t="str">
            <v>PC</v>
          </cell>
          <cell r="G2347">
            <v>0</v>
          </cell>
        </row>
        <row r="2348">
          <cell r="B2348">
            <v>7264</v>
          </cell>
          <cell r="C2348">
            <v>36336.370000000003</v>
          </cell>
          <cell r="D2348" t="str">
            <v>PHP</v>
          </cell>
          <cell r="E2348">
            <v>18</v>
          </cell>
          <cell r="F2348" t="str">
            <v>PC</v>
          </cell>
          <cell r="G2348">
            <v>0</v>
          </cell>
        </row>
        <row r="2349">
          <cell r="B2349">
            <v>7265</v>
          </cell>
          <cell r="C2349">
            <v>71141.39</v>
          </cell>
          <cell r="D2349" t="str">
            <v>PHP</v>
          </cell>
          <cell r="E2349">
            <v>40</v>
          </cell>
          <cell r="F2349" t="str">
            <v>PC</v>
          </cell>
          <cell r="G2349">
            <v>0</v>
          </cell>
        </row>
        <row r="2350">
          <cell r="B2350">
            <v>7266</v>
          </cell>
          <cell r="C2350">
            <v>66398.820000000007</v>
          </cell>
          <cell r="D2350" t="str">
            <v>PHP</v>
          </cell>
          <cell r="E2350">
            <v>32</v>
          </cell>
          <cell r="F2350" t="str">
            <v>PC</v>
          </cell>
          <cell r="G2350">
            <v>0</v>
          </cell>
        </row>
        <row r="2351">
          <cell r="B2351">
            <v>7267</v>
          </cell>
          <cell r="C2351">
            <v>20856.900000000001</v>
          </cell>
          <cell r="D2351" t="str">
            <v>PHP</v>
          </cell>
          <cell r="E2351">
            <v>8</v>
          </cell>
          <cell r="F2351" t="str">
            <v>PC</v>
          </cell>
          <cell r="G2351">
            <v>0</v>
          </cell>
        </row>
        <row r="2352">
          <cell r="B2352">
            <v>7268</v>
          </cell>
          <cell r="C2352">
            <v>20804.669999999998</v>
          </cell>
          <cell r="D2352" t="str">
            <v>PHP</v>
          </cell>
          <cell r="E2352">
            <v>6</v>
          </cell>
          <cell r="F2352" t="str">
            <v>PC</v>
          </cell>
          <cell r="G2352">
            <v>0</v>
          </cell>
        </row>
        <row r="2353">
          <cell r="B2353">
            <v>7269</v>
          </cell>
          <cell r="C2353">
            <v>90076.12</v>
          </cell>
          <cell r="D2353" t="str">
            <v>PHP</v>
          </cell>
          <cell r="E2353">
            <v>30</v>
          </cell>
          <cell r="F2353" t="str">
            <v>PC</v>
          </cell>
          <cell r="G2353">
            <v>0</v>
          </cell>
        </row>
        <row r="2354">
          <cell r="B2354">
            <v>7272</v>
          </cell>
          <cell r="C2354">
            <v>7641.52</v>
          </cell>
          <cell r="D2354" t="str">
            <v>PHP</v>
          </cell>
          <cell r="E2354">
            <v>4</v>
          </cell>
          <cell r="F2354" t="str">
            <v>PC</v>
          </cell>
          <cell r="G2354">
            <v>0</v>
          </cell>
        </row>
        <row r="2355">
          <cell r="B2355">
            <v>7273</v>
          </cell>
          <cell r="C2355">
            <v>21201</v>
          </cell>
          <cell r="D2355" t="str">
            <v>PHP</v>
          </cell>
          <cell r="E2355">
            <v>54</v>
          </cell>
          <cell r="F2355" t="str">
            <v>PC</v>
          </cell>
          <cell r="G2355">
            <v>0</v>
          </cell>
        </row>
        <row r="2356">
          <cell r="B2356">
            <v>7276</v>
          </cell>
          <cell r="C2356">
            <v>0</v>
          </cell>
          <cell r="D2356" t="str">
            <v>PHP</v>
          </cell>
          <cell r="E2356">
            <v>0</v>
          </cell>
          <cell r="F2356" t="str">
            <v>PC</v>
          </cell>
          <cell r="G2356">
            <v>0</v>
          </cell>
        </row>
        <row r="2357">
          <cell r="B2357">
            <v>7279</v>
          </cell>
          <cell r="C2357">
            <v>131198.10999999999</v>
          </cell>
          <cell r="D2357" t="str">
            <v>PHP</v>
          </cell>
          <cell r="E2357">
            <v>2</v>
          </cell>
          <cell r="F2357" t="str">
            <v>PC</v>
          </cell>
          <cell r="G2357">
            <v>0</v>
          </cell>
        </row>
        <row r="2358">
          <cell r="B2358">
            <v>7280</v>
          </cell>
          <cell r="C2358">
            <v>0</v>
          </cell>
          <cell r="D2358" t="str">
            <v>PHP</v>
          </cell>
          <cell r="E2358">
            <v>0</v>
          </cell>
          <cell r="F2358" t="str">
            <v>PC</v>
          </cell>
          <cell r="G2358">
            <v>0</v>
          </cell>
        </row>
        <row r="2359">
          <cell r="B2359">
            <v>7285</v>
          </cell>
          <cell r="C2359">
            <v>66616.009999999995</v>
          </cell>
          <cell r="D2359" t="str">
            <v>PHP</v>
          </cell>
          <cell r="E2359">
            <v>24</v>
          </cell>
          <cell r="F2359" t="str">
            <v>PC</v>
          </cell>
          <cell r="G2359">
            <v>0</v>
          </cell>
        </row>
        <row r="2360">
          <cell r="B2360">
            <v>7288</v>
          </cell>
          <cell r="C2360">
            <v>0</v>
          </cell>
          <cell r="D2360" t="str">
            <v>PHP</v>
          </cell>
          <cell r="E2360">
            <v>0</v>
          </cell>
          <cell r="F2360" t="str">
            <v>PC</v>
          </cell>
          <cell r="G2360">
            <v>0</v>
          </cell>
        </row>
        <row r="2361">
          <cell r="B2361">
            <v>7291</v>
          </cell>
          <cell r="C2361">
            <v>532</v>
          </cell>
          <cell r="D2361" t="str">
            <v>PHP</v>
          </cell>
          <cell r="E2361">
            <v>2</v>
          </cell>
          <cell r="F2361" t="str">
            <v>PC</v>
          </cell>
          <cell r="G2361">
            <v>0</v>
          </cell>
        </row>
        <row r="2362">
          <cell r="B2362">
            <v>7299</v>
          </cell>
          <cell r="C2362">
            <v>85518.080000000002</v>
          </cell>
          <cell r="D2362" t="str">
            <v>PHP</v>
          </cell>
          <cell r="E2362">
            <v>1</v>
          </cell>
          <cell r="F2362" t="str">
            <v>ASY</v>
          </cell>
          <cell r="G2362">
            <v>0</v>
          </cell>
        </row>
        <row r="2363">
          <cell r="B2363">
            <v>7305</v>
          </cell>
          <cell r="C2363">
            <v>0</v>
          </cell>
          <cell r="D2363" t="str">
            <v>PHP</v>
          </cell>
          <cell r="E2363">
            <v>0</v>
          </cell>
          <cell r="F2363" t="str">
            <v>PC</v>
          </cell>
          <cell r="G2363">
            <v>0</v>
          </cell>
        </row>
        <row r="2364">
          <cell r="B2364">
            <v>7311</v>
          </cell>
          <cell r="C2364">
            <v>134550.93</v>
          </cell>
          <cell r="D2364" t="str">
            <v>PHP</v>
          </cell>
          <cell r="E2364">
            <v>1</v>
          </cell>
          <cell r="F2364" t="str">
            <v>PC</v>
          </cell>
          <cell r="G2364">
            <v>0</v>
          </cell>
        </row>
        <row r="2365">
          <cell r="B2365">
            <v>7317</v>
          </cell>
          <cell r="C2365">
            <v>740</v>
          </cell>
          <cell r="D2365" t="str">
            <v>PHP</v>
          </cell>
          <cell r="E2365">
            <v>4</v>
          </cell>
          <cell r="F2365" t="str">
            <v>PC</v>
          </cell>
          <cell r="G2365">
            <v>0</v>
          </cell>
        </row>
        <row r="2366">
          <cell r="B2366">
            <v>7322</v>
          </cell>
          <cell r="C2366">
            <v>7799.4</v>
          </cell>
          <cell r="D2366" t="str">
            <v>PHP</v>
          </cell>
          <cell r="E2366">
            <v>2</v>
          </cell>
          <cell r="F2366" t="str">
            <v>PC</v>
          </cell>
          <cell r="G2366">
            <v>0</v>
          </cell>
        </row>
        <row r="2367">
          <cell r="B2367">
            <v>7323</v>
          </cell>
          <cell r="C2367">
            <v>8232.7000000000007</v>
          </cell>
          <cell r="D2367" t="str">
            <v>PHP</v>
          </cell>
          <cell r="E2367">
            <v>2</v>
          </cell>
          <cell r="F2367" t="str">
            <v>PC</v>
          </cell>
          <cell r="G2367">
            <v>0</v>
          </cell>
        </row>
        <row r="2368">
          <cell r="B2368">
            <v>7332</v>
          </cell>
          <cell r="C2368">
            <v>31767.75</v>
          </cell>
          <cell r="D2368" t="str">
            <v>PHP</v>
          </cell>
          <cell r="E2368">
            <v>26</v>
          </cell>
          <cell r="F2368" t="str">
            <v>PC</v>
          </cell>
          <cell r="G2368">
            <v>0</v>
          </cell>
        </row>
        <row r="2369">
          <cell r="B2369">
            <v>7333</v>
          </cell>
          <cell r="C2369">
            <v>32337.99</v>
          </cell>
          <cell r="D2369" t="str">
            <v>PHP</v>
          </cell>
          <cell r="E2369">
            <v>3</v>
          </cell>
          <cell r="F2369" t="str">
            <v>PC</v>
          </cell>
          <cell r="G2369">
            <v>0</v>
          </cell>
        </row>
        <row r="2370">
          <cell r="B2370">
            <v>7334</v>
          </cell>
          <cell r="C2370">
            <v>106806.56</v>
          </cell>
          <cell r="D2370" t="str">
            <v>PHP</v>
          </cell>
          <cell r="E2370">
            <v>7</v>
          </cell>
          <cell r="F2370" t="str">
            <v>PC</v>
          </cell>
          <cell r="G2370">
            <v>0</v>
          </cell>
        </row>
        <row r="2371">
          <cell r="B2371">
            <v>7342</v>
          </cell>
          <cell r="C2371">
            <v>9974.36</v>
          </cell>
          <cell r="D2371" t="str">
            <v>PHP</v>
          </cell>
          <cell r="E2371">
            <v>7</v>
          </cell>
          <cell r="F2371" t="str">
            <v>PC</v>
          </cell>
          <cell r="G2371">
            <v>0</v>
          </cell>
        </row>
        <row r="2372">
          <cell r="B2372">
            <v>7354</v>
          </cell>
          <cell r="C2372">
            <v>3782.9</v>
          </cell>
          <cell r="D2372" t="str">
            <v>PHP</v>
          </cell>
          <cell r="E2372">
            <v>2</v>
          </cell>
          <cell r="F2372" t="str">
            <v>PC</v>
          </cell>
          <cell r="G2372">
            <v>0</v>
          </cell>
        </row>
        <row r="2373">
          <cell r="B2373">
            <v>7358</v>
          </cell>
          <cell r="C2373">
            <v>15454.43</v>
          </cell>
          <cell r="D2373" t="str">
            <v>PHP</v>
          </cell>
          <cell r="E2373">
            <v>6</v>
          </cell>
          <cell r="F2373" t="str">
            <v>PC</v>
          </cell>
          <cell r="G2373">
            <v>0</v>
          </cell>
        </row>
        <row r="2374">
          <cell r="B2374">
            <v>7359</v>
          </cell>
          <cell r="C2374">
            <v>530.30999999999995</v>
          </cell>
          <cell r="D2374" t="str">
            <v>PHP</v>
          </cell>
          <cell r="E2374">
            <v>3</v>
          </cell>
          <cell r="F2374" t="str">
            <v>PC</v>
          </cell>
          <cell r="G2374">
            <v>0</v>
          </cell>
        </row>
        <row r="2375">
          <cell r="B2375">
            <v>7361</v>
          </cell>
          <cell r="C2375">
            <v>10608</v>
          </cell>
          <cell r="D2375" t="str">
            <v>PHP</v>
          </cell>
          <cell r="E2375">
            <v>17</v>
          </cell>
          <cell r="F2375" t="str">
            <v>PC</v>
          </cell>
          <cell r="G2375">
            <v>0</v>
          </cell>
        </row>
        <row r="2376">
          <cell r="B2376">
            <v>7364</v>
          </cell>
          <cell r="C2376">
            <v>34239.300000000003</v>
          </cell>
          <cell r="D2376" t="str">
            <v>PHP</v>
          </cell>
          <cell r="E2376">
            <v>16</v>
          </cell>
          <cell r="F2376" t="str">
            <v>PC</v>
          </cell>
          <cell r="G2376">
            <v>0</v>
          </cell>
        </row>
        <row r="2377">
          <cell r="B2377">
            <v>7386</v>
          </cell>
          <cell r="C2377">
            <v>27440.400000000001</v>
          </cell>
          <cell r="D2377" t="str">
            <v>PHP</v>
          </cell>
          <cell r="E2377">
            <v>4</v>
          </cell>
          <cell r="F2377" t="str">
            <v>PC</v>
          </cell>
          <cell r="G2377">
            <v>0</v>
          </cell>
        </row>
        <row r="2378">
          <cell r="B2378">
            <v>7390</v>
          </cell>
          <cell r="C2378">
            <v>2565.96</v>
          </cell>
          <cell r="D2378" t="str">
            <v>PHP</v>
          </cell>
          <cell r="E2378">
            <v>1</v>
          </cell>
          <cell r="F2378" t="str">
            <v>PC</v>
          </cell>
          <cell r="G2378">
            <v>0</v>
          </cell>
        </row>
        <row r="2379">
          <cell r="B2379">
            <v>7391</v>
          </cell>
          <cell r="C2379">
            <v>8807.4699999999993</v>
          </cell>
          <cell r="D2379" t="str">
            <v>PHP</v>
          </cell>
          <cell r="E2379">
            <v>4</v>
          </cell>
          <cell r="F2379" t="str">
            <v>PC</v>
          </cell>
          <cell r="G2379">
            <v>0</v>
          </cell>
        </row>
        <row r="2380">
          <cell r="B2380">
            <v>7394</v>
          </cell>
          <cell r="C2380">
            <v>176077.89</v>
          </cell>
          <cell r="D2380" t="str">
            <v>PHP</v>
          </cell>
          <cell r="E2380">
            <v>9</v>
          </cell>
          <cell r="F2380" t="str">
            <v>PC</v>
          </cell>
          <cell r="G2380">
            <v>0</v>
          </cell>
        </row>
        <row r="2381">
          <cell r="B2381">
            <v>7395</v>
          </cell>
          <cell r="C2381">
            <v>18226.72</v>
          </cell>
          <cell r="D2381" t="str">
            <v>PHP</v>
          </cell>
          <cell r="E2381">
            <v>1</v>
          </cell>
          <cell r="F2381" t="str">
            <v>PC</v>
          </cell>
          <cell r="G2381">
            <v>0</v>
          </cell>
        </row>
        <row r="2382">
          <cell r="B2382">
            <v>7396</v>
          </cell>
          <cell r="C2382">
            <v>78267.520000000004</v>
          </cell>
          <cell r="D2382" t="str">
            <v>PHP</v>
          </cell>
          <cell r="E2382">
            <v>4</v>
          </cell>
          <cell r="F2382" t="str">
            <v>PC</v>
          </cell>
          <cell r="G2382">
            <v>0</v>
          </cell>
        </row>
        <row r="2383">
          <cell r="B2383">
            <v>7397</v>
          </cell>
          <cell r="C2383">
            <v>62671.4</v>
          </cell>
          <cell r="D2383" t="str">
            <v>PHP</v>
          </cell>
          <cell r="E2383">
            <v>2</v>
          </cell>
          <cell r="F2383" t="str">
            <v>PC</v>
          </cell>
          <cell r="G2383">
            <v>0</v>
          </cell>
        </row>
        <row r="2384">
          <cell r="B2384">
            <v>7398</v>
          </cell>
          <cell r="C2384">
            <v>91799.74</v>
          </cell>
          <cell r="D2384" t="str">
            <v>PHP</v>
          </cell>
          <cell r="E2384">
            <v>3</v>
          </cell>
          <cell r="F2384" t="str">
            <v>PC</v>
          </cell>
          <cell r="G2384">
            <v>0</v>
          </cell>
        </row>
        <row r="2385">
          <cell r="B2385">
            <v>7401</v>
          </cell>
          <cell r="C2385">
            <v>0</v>
          </cell>
          <cell r="D2385" t="str">
            <v>PHP</v>
          </cell>
          <cell r="E2385">
            <v>0</v>
          </cell>
          <cell r="F2385" t="str">
            <v>PC</v>
          </cell>
          <cell r="G2385">
            <v>0</v>
          </cell>
        </row>
        <row r="2386">
          <cell r="B2386">
            <v>7402</v>
          </cell>
          <cell r="C2386">
            <v>92046</v>
          </cell>
          <cell r="D2386" t="str">
            <v>PHP</v>
          </cell>
          <cell r="E2386">
            <v>4</v>
          </cell>
          <cell r="F2386" t="str">
            <v>PC</v>
          </cell>
          <cell r="G2386">
            <v>0</v>
          </cell>
        </row>
        <row r="2387">
          <cell r="B2387">
            <v>7403</v>
          </cell>
          <cell r="C2387">
            <v>88998.96</v>
          </cell>
          <cell r="D2387" t="str">
            <v>PHP</v>
          </cell>
          <cell r="E2387">
            <v>3</v>
          </cell>
          <cell r="F2387" t="str">
            <v>PC</v>
          </cell>
          <cell r="G2387">
            <v>0</v>
          </cell>
        </row>
        <row r="2388">
          <cell r="B2388">
            <v>7405</v>
          </cell>
          <cell r="C2388">
            <v>1209.3599999999999</v>
          </cell>
          <cell r="D2388" t="str">
            <v>PHP</v>
          </cell>
          <cell r="E2388">
            <v>24</v>
          </cell>
          <cell r="F2388" t="str">
            <v>PC</v>
          </cell>
          <cell r="G2388">
            <v>0</v>
          </cell>
        </row>
        <row r="2389">
          <cell r="B2389">
            <v>7407</v>
          </cell>
          <cell r="C2389">
            <v>0</v>
          </cell>
          <cell r="D2389" t="str">
            <v>PHP</v>
          </cell>
          <cell r="E2389">
            <v>0</v>
          </cell>
          <cell r="F2389" t="str">
            <v>PC</v>
          </cell>
          <cell r="G2389">
            <v>0</v>
          </cell>
        </row>
        <row r="2390">
          <cell r="B2390">
            <v>7408</v>
          </cell>
          <cell r="C2390">
            <v>2796.8</v>
          </cell>
          <cell r="D2390" t="str">
            <v>PHP</v>
          </cell>
          <cell r="E2390">
            <v>4</v>
          </cell>
          <cell r="F2390" t="str">
            <v>PC</v>
          </cell>
          <cell r="G2390">
            <v>0</v>
          </cell>
        </row>
        <row r="2391">
          <cell r="B2391">
            <v>7410</v>
          </cell>
          <cell r="C2391">
            <v>711790.36</v>
          </cell>
          <cell r="D2391" t="str">
            <v>PHP</v>
          </cell>
          <cell r="E2391">
            <v>4</v>
          </cell>
          <cell r="F2391" t="str">
            <v>PC</v>
          </cell>
          <cell r="G2391">
            <v>0</v>
          </cell>
        </row>
        <row r="2392">
          <cell r="B2392">
            <v>7414</v>
          </cell>
          <cell r="C2392">
            <v>0</v>
          </cell>
          <cell r="D2392" t="str">
            <v>PHP</v>
          </cell>
          <cell r="E2392">
            <v>0</v>
          </cell>
          <cell r="F2392" t="str">
            <v>PC</v>
          </cell>
          <cell r="G2392">
            <v>0</v>
          </cell>
        </row>
        <row r="2393">
          <cell r="B2393">
            <v>7416</v>
          </cell>
          <cell r="C2393">
            <v>0</v>
          </cell>
          <cell r="D2393" t="str">
            <v>PHP</v>
          </cell>
          <cell r="E2393">
            <v>0</v>
          </cell>
          <cell r="F2393" t="str">
            <v>ASY</v>
          </cell>
          <cell r="G2393">
            <v>0</v>
          </cell>
        </row>
        <row r="2394">
          <cell r="B2394">
            <v>7425</v>
          </cell>
          <cell r="C2394">
            <v>82259.95</v>
          </cell>
          <cell r="D2394" t="str">
            <v>PHP</v>
          </cell>
          <cell r="E2394">
            <v>16</v>
          </cell>
          <cell r="F2394" t="str">
            <v>PC</v>
          </cell>
          <cell r="G2394">
            <v>0</v>
          </cell>
        </row>
        <row r="2395">
          <cell r="B2395">
            <v>7427</v>
          </cell>
          <cell r="C2395">
            <v>162275.4</v>
          </cell>
          <cell r="D2395" t="str">
            <v>PHP</v>
          </cell>
          <cell r="E2395">
            <v>2</v>
          </cell>
          <cell r="F2395" t="str">
            <v>PC</v>
          </cell>
          <cell r="G2395">
            <v>0</v>
          </cell>
        </row>
        <row r="2396">
          <cell r="B2396">
            <v>7428</v>
          </cell>
          <cell r="C2396">
            <v>467400</v>
          </cell>
          <cell r="D2396" t="str">
            <v>PHP</v>
          </cell>
          <cell r="E2396">
            <v>1</v>
          </cell>
          <cell r="F2396" t="str">
            <v>PC</v>
          </cell>
          <cell r="G2396">
            <v>0</v>
          </cell>
        </row>
        <row r="2397">
          <cell r="B2397">
            <v>7430</v>
          </cell>
          <cell r="C2397">
            <v>152919.71</v>
          </cell>
          <cell r="D2397" t="str">
            <v>PHP</v>
          </cell>
          <cell r="E2397">
            <v>6</v>
          </cell>
          <cell r="F2397" t="str">
            <v>PC</v>
          </cell>
          <cell r="G2397">
            <v>0</v>
          </cell>
        </row>
        <row r="2398">
          <cell r="B2398">
            <v>7431</v>
          </cell>
          <cell r="C2398">
            <v>41771.39</v>
          </cell>
          <cell r="D2398" t="str">
            <v>PHP</v>
          </cell>
          <cell r="E2398">
            <v>1</v>
          </cell>
          <cell r="F2398" t="str">
            <v>PC</v>
          </cell>
          <cell r="G2398">
            <v>0</v>
          </cell>
        </row>
        <row r="2399">
          <cell r="B2399">
            <v>7446</v>
          </cell>
          <cell r="C2399">
            <v>0</v>
          </cell>
          <cell r="D2399" t="str">
            <v>PHP</v>
          </cell>
          <cell r="E2399">
            <v>0</v>
          </cell>
          <cell r="F2399" t="str">
            <v>PC</v>
          </cell>
          <cell r="G2399">
            <v>0</v>
          </cell>
        </row>
        <row r="2400">
          <cell r="B2400">
            <v>7472</v>
          </cell>
          <cell r="C2400">
            <v>0</v>
          </cell>
          <cell r="D2400" t="str">
            <v>PHP</v>
          </cell>
          <cell r="E2400">
            <v>0</v>
          </cell>
          <cell r="F2400" t="str">
            <v>PC</v>
          </cell>
          <cell r="G2400">
            <v>0</v>
          </cell>
        </row>
        <row r="2401">
          <cell r="B2401">
            <v>7473</v>
          </cell>
          <cell r="C2401">
            <v>3172.6</v>
          </cell>
          <cell r="D2401" t="str">
            <v>PHP</v>
          </cell>
          <cell r="E2401">
            <v>10</v>
          </cell>
          <cell r="F2401" t="str">
            <v>PC</v>
          </cell>
          <cell r="G2401">
            <v>0</v>
          </cell>
        </row>
        <row r="2402">
          <cell r="B2402">
            <v>7475</v>
          </cell>
          <cell r="C2402">
            <v>1477.33</v>
          </cell>
          <cell r="D2402" t="str">
            <v>PHP</v>
          </cell>
          <cell r="E2402">
            <v>1</v>
          </cell>
          <cell r="F2402" t="str">
            <v>ASY</v>
          </cell>
          <cell r="G2402">
            <v>0</v>
          </cell>
        </row>
        <row r="2403">
          <cell r="B2403">
            <v>7477</v>
          </cell>
          <cell r="C2403">
            <v>743.41</v>
          </cell>
          <cell r="D2403" t="str">
            <v>PHP</v>
          </cell>
          <cell r="E2403">
            <v>1</v>
          </cell>
          <cell r="F2403" t="str">
            <v>PC</v>
          </cell>
          <cell r="G2403">
            <v>0</v>
          </cell>
        </row>
        <row r="2404">
          <cell r="B2404">
            <v>7478</v>
          </cell>
          <cell r="C2404">
            <v>0</v>
          </cell>
          <cell r="D2404" t="str">
            <v>PHP</v>
          </cell>
          <cell r="E2404">
            <v>0</v>
          </cell>
          <cell r="F2404" t="str">
            <v>PC</v>
          </cell>
          <cell r="G2404">
            <v>0</v>
          </cell>
        </row>
        <row r="2405">
          <cell r="B2405">
            <v>7479</v>
          </cell>
          <cell r="C2405">
            <v>916.26</v>
          </cell>
          <cell r="D2405" t="str">
            <v>PHP</v>
          </cell>
          <cell r="E2405">
            <v>7</v>
          </cell>
          <cell r="F2405" t="str">
            <v>PC</v>
          </cell>
          <cell r="G2405">
            <v>0</v>
          </cell>
        </row>
        <row r="2406">
          <cell r="B2406">
            <v>7480</v>
          </cell>
          <cell r="C2406">
            <v>1824.15</v>
          </cell>
          <cell r="D2406" t="str">
            <v>PHP</v>
          </cell>
          <cell r="E2406">
            <v>8</v>
          </cell>
          <cell r="F2406" t="str">
            <v>PC</v>
          </cell>
          <cell r="G2406">
            <v>0</v>
          </cell>
        </row>
        <row r="2407">
          <cell r="B2407">
            <v>7481</v>
          </cell>
          <cell r="C2407">
            <v>328.69</v>
          </cell>
          <cell r="D2407" t="str">
            <v>PHP</v>
          </cell>
          <cell r="E2407">
            <v>3</v>
          </cell>
          <cell r="F2407" t="str">
            <v>PC</v>
          </cell>
          <cell r="G2407">
            <v>0</v>
          </cell>
        </row>
        <row r="2408">
          <cell r="B2408">
            <v>7484</v>
          </cell>
          <cell r="C2408">
            <v>4609.0200000000004</v>
          </cell>
          <cell r="D2408" t="str">
            <v>PHP</v>
          </cell>
          <cell r="E2408">
            <v>6</v>
          </cell>
          <cell r="F2408" t="str">
            <v>PC</v>
          </cell>
          <cell r="G2408">
            <v>0</v>
          </cell>
        </row>
        <row r="2409">
          <cell r="B2409">
            <v>7491</v>
          </cell>
          <cell r="C2409">
            <v>1265.25</v>
          </cell>
          <cell r="D2409" t="str">
            <v>PHP</v>
          </cell>
          <cell r="E2409">
            <v>12</v>
          </cell>
          <cell r="F2409" t="str">
            <v>PC</v>
          </cell>
          <cell r="G2409">
            <v>0</v>
          </cell>
        </row>
        <row r="2410">
          <cell r="B2410">
            <v>7512</v>
          </cell>
          <cell r="C2410">
            <v>10572.56</v>
          </cell>
          <cell r="D2410" t="str">
            <v>PHP</v>
          </cell>
          <cell r="E2410">
            <v>32</v>
          </cell>
          <cell r="F2410" t="str">
            <v>PC</v>
          </cell>
          <cell r="G2410">
            <v>0</v>
          </cell>
        </row>
        <row r="2411">
          <cell r="B2411">
            <v>7513</v>
          </cell>
          <cell r="C2411">
            <v>6610.65</v>
          </cell>
          <cell r="D2411" t="str">
            <v>PHP</v>
          </cell>
          <cell r="E2411">
            <v>15</v>
          </cell>
          <cell r="F2411" t="str">
            <v>PC</v>
          </cell>
          <cell r="G2411">
            <v>0</v>
          </cell>
        </row>
        <row r="2412">
          <cell r="B2412">
            <v>7514</v>
          </cell>
          <cell r="C2412">
            <v>12526.64</v>
          </cell>
          <cell r="D2412" t="str">
            <v>PHP</v>
          </cell>
          <cell r="E2412">
            <v>4</v>
          </cell>
          <cell r="F2412" t="str">
            <v>PC</v>
          </cell>
          <cell r="G2412">
            <v>0</v>
          </cell>
        </row>
        <row r="2413">
          <cell r="B2413">
            <v>7515</v>
          </cell>
          <cell r="C2413">
            <v>15662.32</v>
          </cell>
          <cell r="D2413" t="str">
            <v>PHP</v>
          </cell>
          <cell r="E2413">
            <v>4</v>
          </cell>
          <cell r="F2413" t="str">
            <v>PC</v>
          </cell>
          <cell r="G2413">
            <v>0</v>
          </cell>
        </row>
        <row r="2414">
          <cell r="B2414">
            <v>7518</v>
          </cell>
          <cell r="C2414">
            <v>8226.48</v>
          </cell>
          <cell r="D2414" t="str">
            <v>PHP</v>
          </cell>
          <cell r="E2414">
            <v>4</v>
          </cell>
          <cell r="F2414" t="str">
            <v>PC</v>
          </cell>
          <cell r="G2414">
            <v>0</v>
          </cell>
        </row>
        <row r="2415">
          <cell r="B2415">
            <v>7519</v>
          </cell>
          <cell r="C2415">
            <v>437177.35</v>
          </cell>
          <cell r="D2415" t="str">
            <v>PHP</v>
          </cell>
          <cell r="E2415">
            <v>16</v>
          </cell>
          <cell r="F2415" t="str">
            <v>PC</v>
          </cell>
          <cell r="G2415">
            <v>0</v>
          </cell>
        </row>
        <row r="2416">
          <cell r="B2416">
            <v>7520</v>
          </cell>
          <cell r="C2416">
            <v>797139.2</v>
          </cell>
          <cell r="D2416" t="str">
            <v>PHP</v>
          </cell>
          <cell r="E2416">
            <v>128</v>
          </cell>
          <cell r="F2416" t="str">
            <v>PC</v>
          </cell>
          <cell r="G2416">
            <v>0</v>
          </cell>
        </row>
        <row r="2417">
          <cell r="B2417">
            <v>7522</v>
          </cell>
          <cell r="C2417">
            <v>2668.09</v>
          </cell>
          <cell r="D2417" t="str">
            <v>PHP</v>
          </cell>
          <cell r="E2417">
            <v>8</v>
          </cell>
          <cell r="F2417" t="str">
            <v>PC</v>
          </cell>
          <cell r="G2417">
            <v>0</v>
          </cell>
        </row>
        <row r="2418">
          <cell r="B2418">
            <v>7525</v>
          </cell>
          <cell r="C2418">
            <v>690.01</v>
          </cell>
          <cell r="D2418" t="str">
            <v>PHP</v>
          </cell>
          <cell r="E2418">
            <v>4</v>
          </cell>
          <cell r="F2418" t="str">
            <v>PC</v>
          </cell>
          <cell r="G2418">
            <v>0</v>
          </cell>
        </row>
        <row r="2419">
          <cell r="B2419">
            <v>7526</v>
          </cell>
          <cell r="C2419">
            <v>46819.39</v>
          </cell>
          <cell r="D2419" t="str">
            <v>PHP</v>
          </cell>
          <cell r="E2419">
            <v>12</v>
          </cell>
          <cell r="F2419" t="str">
            <v>PC</v>
          </cell>
          <cell r="G2419">
            <v>0</v>
          </cell>
        </row>
        <row r="2420">
          <cell r="B2420">
            <v>7527</v>
          </cell>
          <cell r="C2420">
            <v>11042.31</v>
          </cell>
          <cell r="D2420" t="str">
            <v>PHP</v>
          </cell>
          <cell r="E2420">
            <v>6</v>
          </cell>
          <cell r="F2420" t="str">
            <v>PC</v>
          </cell>
          <cell r="G2420">
            <v>0</v>
          </cell>
        </row>
        <row r="2421">
          <cell r="B2421">
            <v>7535</v>
          </cell>
          <cell r="C2421">
            <v>11682</v>
          </cell>
          <cell r="D2421" t="str">
            <v>PHP</v>
          </cell>
          <cell r="E2421">
            <v>3</v>
          </cell>
          <cell r="F2421" t="str">
            <v>PC</v>
          </cell>
          <cell r="G2421">
            <v>0</v>
          </cell>
        </row>
        <row r="2422">
          <cell r="B2422">
            <v>7536</v>
          </cell>
          <cell r="C2422">
            <v>84747</v>
          </cell>
          <cell r="D2422" t="str">
            <v>PHP</v>
          </cell>
          <cell r="E2422">
            <v>3</v>
          </cell>
          <cell r="F2422" t="str">
            <v>PC</v>
          </cell>
          <cell r="G2422">
            <v>0</v>
          </cell>
        </row>
        <row r="2423">
          <cell r="B2423">
            <v>7538</v>
          </cell>
          <cell r="C2423">
            <v>590862</v>
          </cell>
          <cell r="D2423" t="str">
            <v>PHP</v>
          </cell>
          <cell r="E2423">
            <v>1</v>
          </cell>
          <cell r="F2423" t="str">
            <v>PC</v>
          </cell>
          <cell r="G2423">
            <v>0</v>
          </cell>
        </row>
        <row r="2424">
          <cell r="B2424">
            <v>7539</v>
          </cell>
          <cell r="C2424">
            <v>19483.8</v>
          </cell>
          <cell r="D2424" t="str">
            <v>PHP</v>
          </cell>
          <cell r="E2424">
            <v>1</v>
          </cell>
          <cell r="F2424" t="str">
            <v>PC</v>
          </cell>
          <cell r="G2424">
            <v>0</v>
          </cell>
        </row>
        <row r="2425">
          <cell r="B2425">
            <v>7540</v>
          </cell>
          <cell r="C2425">
            <v>23195</v>
          </cell>
          <cell r="D2425" t="str">
            <v>PHP</v>
          </cell>
          <cell r="E2425">
            <v>1</v>
          </cell>
          <cell r="F2425" t="str">
            <v>PC</v>
          </cell>
          <cell r="G2425">
            <v>0</v>
          </cell>
        </row>
        <row r="2426">
          <cell r="B2426">
            <v>7541</v>
          </cell>
          <cell r="C2426">
            <v>167004</v>
          </cell>
          <cell r="D2426" t="str">
            <v>PHP</v>
          </cell>
          <cell r="E2426">
            <v>1</v>
          </cell>
          <cell r="F2426" t="str">
            <v>PC</v>
          </cell>
          <cell r="G2426">
            <v>0</v>
          </cell>
        </row>
        <row r="2427">
          <cell r="B2427">
            <v>7543</v>
          </cell>
          <cell r="C2427">
            <v>0</v>
          </cell>
          <cell r="D2427" t="str">
            <v>PHP</v>
          </cell>
          <cell r="E2427">
            <v>0</v>
          </cell>
          <cell r="F2427" t="str">
            <v>PC</v>
          </cell>
          <cell r="G2427">
            <v>0</v>
          </cell>
        </row>
        <row r="2428">
          <cell r="B2428">
            <v>7552</v>
          </cell>
          <cell r="C2428">
            <v>261930.5</v>
          </cell>
          <cell r="D2428" t="str">
            <v>PHP</v>
          </cell>
          <cell r="E2428">
            <v>1</v>
          </cell>
          <cell r="F2428" t="str">
            <v>PC</v>
          </cell>
          <cell r="G2428">
            <v>0</v>
          </cell>
        </row>
        <row r="2429">
          <cell r="B2429">
            <v>7559</v>
          </cell>
          <cell r="C2429">
            <v>479891.62</v>
          </cell>
          <cell r="D2429" t="str">
            <v>PHP</v>
          </cell>
          <cell r="E2429">
            <v>7</v>
          </cell>
          <cell r="F2429" t="str">
            <v>PC</v>
          </cell>
          <cell r="G2429">
            <v>0</v>
          </cell>
        </row>
        <row r="2430">
          <cell r="B2430">
            <v>7560</v>
          </cell>
          <cell r="C2430">
            <v>42603.88</v>
          </cell>
          <cell r="D2430" t="str">
            <v>PHP</v>
          </cell>
          <cell r="E2430">
            <v>1</v>
          </cell>
          <cell r="F2430" t="str">
            <v>PC</v>
          </cell>
          <cell r="G2430">
            <v>0</v>
          </cell>
        </row>
        <row r="2431">
          <cell r="B2431">
            <v>7561</v>
          </cell>
          <cell r="C2431">
            <v>248854.33</v>
          </cell>
          <cell r="D2431" t="str">
            <v>PHP</v>
          </cell>
          <cell r="E2431">
            <v>3</v>
          </cell>
          <cell r="F2431" t="str">
            <v>PC</v>
          </cell>
          <cell r="G2431">
            <v>0</v>
          </cell>
        </row>
        <row r="2432">
          <cell r="B2432">
            <v>7562</v>
          </cell>
          <cell r="C2432">
            <v>102179.78</v>
          </cell>
          <cell r="D2432" t="str">
            <v>PHP</v>
          </cell>
          <cell r="E2432">
            <v>2</v>
          </cell>
          <cell r="F2432" t="str">
            <v>PC</v>
          </cell>
          <cell r="G2432">
            <v>0</v>
          </cell>
        </row>
        <row r="2433">
          <cell r="B2433">
            <v>7564</v>
          </cell>
          <cell r="C2433">
            <v>112005.59</v>
          </cell>
          <cell r="D2433" t="str">
            <v>PHP</v>
          </cell>
          <cell r="E2433">
            <v>1</v>
          </cell>
          <cell r="F2433" t="str">
            <v>PC</v>
          </cell>
          <cell r="G2433">
            <v>0</v>
          </cell>
        </row>
        <row r="2434">
          <cell r="B2434">
            <v>7565</v>
          </cell>
          <cell r="C2434">
            <v>115055.83</v>
          </cell>
          <cell r="D2434" t="str">
            <v>PHP</v>
          </cell>
          <cell r="E2434">
            <v>1</v>
          </cell>
          <cell r="F2434" t="str">
            <v>PC</v>
          </cell>
          <cell r="G2434">
            <v>0</v>
          </cell>
        </row>
        <row r="2435">
          <cell r="B2435">
            <v>7570</v>
          </cell>
          <cell r="C2435">
            <v>42593.9</v>
          </cell>
          <cell r="D2435" t="str">
            <v>PHP</v>
          </cell>
          <cell r="E2435">
            <v>1</v>
          </cell>
          <cell r="F2435" t="str">
            <v>PC</v>
          </cell>
          <cell r="G2435">
            <v>0</v>
          </cell>
        </row>
        <row r="2436">
          <cell r="B2436">
            <v>7571</v>
          </cell>
          <cell r="C2436">
            <v>36304.519999999997</v>
          </cell>
          <cell r="D2436" t="str">
            <v>PHP</v>
          </cell>
          <cell r="E2436">
            <v>1</v>
          </cell>
          <cell r="F2436" t="str">
            <v>PC</v>
          </cell>
          <cell r="G2436">
            <v>0</v>
          </cell>
        </row>
        <row r="2437">
          <cell r="B2437">
            <v>7577</v>
          </cell>
          <cell r="C2437">
            <v>9898.35</v>
          </cell>
          <cell r="D2437" t="str">
            <v>PHP</v>
          </cell>
          <cell r="E2437">
            <v>3</v>
          </cell>
          <cell r="F2437" t="str">
            <v>PC</v>
          </cell>
          <cell r="G2437">
            <v>0</v>
          </cell>
        </row>
        <row r="2438">
          <cell r="B2438">
            <v>7578</v>
          </cell>
          <cell r="C2438">
            <v>15942.94</v>
          </cell>
          <cell r="D2438" t="str">
            <v>PHP</v>
          </cell>
          <cell r="E2438">
            <v>2</v>
          </cell>
          <cell r="F2438" t="str">
            <v>PC</v>
          </cell>
          <cell r="G2438">
            <v>0</v>
          </cell>
        </row>
        <row r="2439">
          <cell r="B2439">
            <v>7579</v>
          </cell>
          <cell r="C2439">
            <v>86010.05</v>
          </cell>
          <cell r="D2439" t="str">
            <v>PHP</v>
          </cell>
          <cell r="E2439">
            <v>1</v>
          </cell>
          <cell r="F2439" t="str">
            <v>PC</v>
          </cell>
          <cell r="G2439">
            <v>0</v>
          </cell>
        </row>
        <row r="2440">
          <cell r="B2440">
            <v>7580</v>
          </cell>
          <cell r="C2440">
            <v>191019.55</v>
          </cell>
          <cell r="D2440" t="str">
            <v>PHP</v>
          </cell>
          <cell r="E2440">
            <v>1</v>
          </cell>
          <cell r="F2440" t="str">
            <v>PC</v>
          </cell>
          <cell r="G2440">
            <v>0</v>
          </cell>
        </row>
        <row r="2441">
          <cell r="B2441">
            <v>7581</v>
          </cell>
          <cell r="C2441">
            <v>534391.6</v>
          </cell>
          <cell r="D2441" t="str">
            <v>PHP</v>
          </cell>
          <cell r="E2441">
            <v>6</v>
          </cell>
          <cell r="F2441" t="str">
            <v>PC</v>
          </cell>
          <cell r="G2441">
            <v>0</v>
          </cell>
        </row>
        <row r="2442">
          <cell r="B2442">
            <v>7584</v>
          </cell>
          <cell r="C2442">
            <v>0</v>
          </cell>
          <cell r="D2442" t="str">
            <v>PHP</v>
          </cell>
          <cell r="E2442">
            <v>0</v>
          </cell>
          <cell r="F2442" t="str">
            <v>PC</v>
          </cell>
          <cell r="G2442">
            <v>0</v>
          </cell>
        </row>
        <row r="2443">
          <cell r="B2443">
            <v>7597</v>
          </cell>
          <cell r="C2443">
            <v>45206.400000000001</v>
          </cell>
          <cell r="D2443" t="str">
            <v>PHP</v>
          </cell>
          <cell r="E2443">
            <v>8</v>
          </cell>
          <cell r="F2443" t="str">
            <v>PC</v>
          </cell>
          <cell r="G2443">
            <v>0</v>
          </cell>
        </row>
        <row r="2444">
          <cell r="B2444">
            <v>7599</v>
          </cell>
          <cell r="C2444">
            <v>49308.57</v>
          </cell>
          <cell r="D2444" t="str">
            <v>PHP</v>
          </cell>
          <cell r="E2444">
            <v>9</v>
          </cell>
          <cell r="F2444" t="str">
            <v>PC</v>
          </cell>
          <cell r="G2444">
            <v>0</v>
          </cell>
        </row>
        <row r="2445">
          <cell r="B2445">
            <v>7602</v>
          </cell>
          <cell r="C2445">
            <v>0</v>
          </cell>
          <cell r="D2445" t="str">
            <v>PHP</v>
          </cell>
          <cell r="E2445">
            <v>0</v>
          </cell>
          <cell r="F2445" t="str">
            <v>PC</v>
          </cell>
          <cell r="G2445">
            <v>0</v>
          </cell>
        </row>
        <row r="2446">
          <cell r="B2446">
            <v>7603</v>
          </cell>
          <cell r="C2446">
            <v>10428.07</v>
          </cell>
          <cell r="D2446" t="str">
            <v>PHP</v>
          </cell>
          <cell r="E2446">
            <v>8</v>
          </cell>
          <cell r="F2446" t="str">
            <v>PC</v>
          </cell>
          <cell r="G2446">
            <v>0</v>
          </cell>
        </row>
        <row r="2447">
          <cell r="B2447">
            <v>7607</v>
          </cell>
          <cell r="C2447">
            <v>362141.44</v>
          </cell>
          <cell r="D2447" t="str">
            <v>PHP</v>
          </cell>
          <cell r="E2447">
            <v>4</v>
          </cell>
          <cell r="F2447" t="str">
            <v>PC</v>
          </cell>
          <cell r="G2447">
            <v>0</v>
          </cell>
        </row>
        <row r="2448">
          <cell r="B2448">
            <v>7608</v>
          </cell>
          <cell r="C2448">
            <v>2305.04</v>
          </cell>
          <cell r="D2448" t="str">
            <v>PHP</v>
          </cell>
          <cell r="E2448">
            <v>1</v>
          </cell>
          <cell r="F2448" t="str">
            <v>PC</v>
          </cell>
          <cell r="G2448">
            <v>0</v>
          </cell>
        </row>
        <row r="2449">
          <cell r="B2449">
            <v>7610</v>
          </cell>
          <cell r="C2449">
            <v>7936.16</v>
          </cell>
          <cell r="D2449" t="str">
            <v>PHP</v>
          </cell>
          <cell r="E2449">
            <v>4</v>
          </cell>
          <cell r="F2449" t="str">
            <v>PC</v>
          </cell>
          <cell r="G2449">
            <v>0</v>
          </cell>
        </row>
        <row r="2450">
          <cell r="B2450">
            <v>7611</v>
          </cell>
          <cell r="C2450">
            <v>1559.4</v>
          </cell>
          <cell r="D2450" t="str">
            <v>PHP</v>
          </cell>
          <cell r="E2450">
            <v>2</v>
          </cell>
          <cell r="F2450" t="str">
            <v>PC</v>
          </cell>
          <cell r="G2450">
            <v>0</v>
          </cell>
        </row>
        <row r="2451">
          <cell r="B2451">
            <v>7613</v>
          </cell>
          <cell r="C2451">
            <v>6050</v>
          </cell>
          <cell r="D2451" t="str">
            <v>PHP</v>
          </cell>
          <cell r="E2451">
            <v>4</v>
          </cell>
          <cell r="F2451" t="str">
            <v>PC</v>
          </cell>
          <cell r="G2451">
            <v>0</v>
          </cell>
        </row>
        <row r="2452">
          <cell r="B2452">
            <v>7614</v>
          </cell>
          <cell r="C2452">
            <v>20125.36</v>
          </cell>
          <cell r="D2452" t="str">
            <v>PHP</v>
          </cell>
          <cell r="E2452">
            <v>4</v>
          </cell>
          <cell r="F2452" t="str">
            <v>PC</v>
          </cell>
          <cell r="G2452">
            <v>0</v>
          </cell>
        </row>
        <row r="2453">
          <cell r="B2453">
            <v>7617</v>
          </cell>
          <cell r="C2453">
            <v>215937.47</v>
          </cell>
          <cell r="D2453" t="str">
            <v>PHP</v>
          </cell>
          <cell r="E2453">
            <v>7</v>
          </cell>
          <cell r="F2453" t="str">
            <v>PC</v>
          </cell>
          <cell r="G2453">
            <v>0</v>
          </cell>
        </row>
        <row r="2454">
          <cell r="B2454">
            <v>7619</v>
          </cell>
          <cell r="C2454">
            <v>16507.669999999998</v>
          </cell>
          <cell r="D2454" t="str">
            <v>PHP</v>
          </cell>
          <cell r="E2454">
            <v>3</v>
          </cell>
          <cell r="F2454" t="str">
            <v>PC</v>
          </cell>
          <cell r="G2454">
            <v>0</v>
          </cell>
        </row>
        <row r="2455">
          <cell r="B2455">
            <v>7623</v>
          </cell>
          <cell r="C2455">
            <v>172538.15</v>
          </cell>
          <cell r="D2455" t="str">
            <v>PHP</v>
          </cell>
          <cell r="E2455">
            <v>60</v>
          </cell>
          <cell r="F2455" t="str">
            <v>ASY</v>
          </cell>
          <cell r="G2455">
            <v>0</v>
          </cell>
        </row>
        <row r="2456">
          <cell r="B2456">
            <v>7624</v>
          </cell>
          <cell r="C2456">
            <v>121621.97</v>
          </cell>
          <cell r="D2456" t="str">
            <v>PHP</v>
          </cell>
          <cell r="E2456">
            <v>52</v>
          </cell>
          <cell r="F2456" t="str">
            <v>PC</v>
          </cell>
          <cell r="G2456">
            <v>0</v>
          </cell>
        </row>
        <row r="2457">
          <cell r="B2457">
            <v>7633</v>
          </cell>
          <cell r="C2457">
            <v>2022.85</v>
          </cell>
          <cell r="D2457" t="str">
            <v>PHP</v>
          </cell>
          <cell r="E2457">
            <v>1</v>
          </cell>
          <cell r="F2457" t="str">
            <v>PC</v>
          </cell>
          <cell r="G2457">
            <v>0</v>
          </cell>
        </row>
        <row r="2458">
          <cell r="B2458">
            <v>7636</v>
          </cell>
          <cell r="C2458">
            <v>20208</v>
          </cell>
          <cell r="D2458" t="str">
            <v>PHP</v>
          </cell>
          <cell r="E2458">
            <v>16</v>
          </cell>
          <cell r="F2458" t="str">
            <v>PC</v>
          </cell>
          <cell r="G2458">
            <v>0</v>
          </cell>
        </row>
        <row r="2459">
          <cell r="B2459">
            <v>7637</v>
          </cell>
          <cell r="C2459">
            <v>4041.6</v>
          </cell>
          <cell r="D2459" t="str">
            <v>PHP</v>
          </cell>
          <cell r="E2459">
            <v>4</v>
          </cell>
          <cell r="F2459" t="str">
            <v>PC</v>
          </cell>
          <cell r="G2459">
            <v>0</v>
          </cell>
        </row>
        <row r="2460">
          <cell r="B2460">
            <v>7639</v>
          </cell>
          <cell r="C2460">
            <v>9851.4</v>
          </cell>
          <cell r="D2460" t="str">
            <v>PHP</v>
          </cell>
          <cell r="E2460">
            <v>6</v>
          </cell>
          <cell r="F2460" t="str">
            <v>PC</v>
          </cell>
          <cell r="G2460">
            <v>0</v>
          </cell>
        </row>
        <row r="2461">
          <cell r="B2461">
            <v>7640</v>
          </cell>
          <cell r="C2461">
            <v>9430.4</v>
          </cell>
          <cell r="D2461" t="str">
            <v>PHP</v>
          </cell>
          <cell r="E2461">
            <v>16</v>
          </cell>
          <cell r="F2461" t="str">
            <v>PC</v>
          </cell>
          <cell r="G2461">
            <v>0</v>
          </cell>
        </row>
        <row r="2462">
          <cell r="B2462">
            <v>7641</v>
          </cell>
          <cell r="C2462">
            <v>151553.4</v>
          </cell>
          <cell r="D2462" t="str">
            <v>PHP</v>
          </cell>
          <cell r="E2462">
            <v>60</v>
          </cell>
          <cell r="F2462" t="str">
            <v>PC</v>
          </cell>
          <cell r="G2462">
            <v>0</v>
          </cell>
        </row>
        <row r="2463">
          <cell r="B2463">
            <v>7642</v>
          </cell>
          <cell r="C2463">
            <v>8421.44</v>
          </cell>
          <cell r="D2463" t="str">
            <v>PHP</v>
          </cell>
          <cell r="E2463">
            <v>12</v>
          </cell>
          <cell r="F2463" t="str">
            <v>PC</v>
          </cell>
          <cell r="G2463">
            <v>0</v>
          </cell>
        </row>
        <row r="2464">
          <cell r="B2464">
            <v>7646</v>
          </cell>
          <cell r="C2464">
            <v>244350</v>
          </cell>
          <cell r="D2464" t="str">
            <v>PHP</v>
          </cell>
          <cell r="E2464">
            <v>27</v>
          </cell>
          <cell r="F2464" t="str">
            <v>PC</v>
          </cell>
          <cell r="G2464">
            <v>0</v>
          </cell>
        </row>
        <row r="2465">
          <cell r="B2465">
            <v>7649</v>
          </cell>
          <cell r="C2465">
            <v>105248.18</v>
          </cell>
          <cell r="D2465" t="str">
            <v>PHP</v>
          </cell>
          <cell r="E2465">
            <v>36</v>
          </cell>
          <cell r="F2465" t="str">
            <v>PC</v>
          </cell>
          <cell r="G2465">
            <v>0</v>
          </cell>
        </row>
        <row r="2466">
          <cell r="B2466">
            <v>7651</v>
          </cell>
          <cell r="C2466">
            <v>66312.91</v>
          </cell>
          <cell r="D2466" t="str">
            <v>PHP</v>
          </cell>
          <cell r="E2466">
            <v>1</v>
          </cell>
          <cell r="F2466" t="str">
            <v>PC</v>
          </cell>
          <cell r="G2466">
            <v>0</v>
          </cell>
        </row>
        <row r="2467">
          <cell r="B2467">
            <v>7652</v>
          </cell>
          <cell r="C2467">
            <v>0</v>
          </cell>
          <cell r="D2467" t="str">
            <v>PHP</v>
          </cell>
          <cell r="E2467">
            <v>0</v>
          </cell>
          <cell r="F2467" t="str">
            <v>PC</v>
          </cell>
          <cell r="G2467">
            <v>0</v>
          </cell>
        </row>
        <row r="2468">
          <cell r="B2468">
            <v>7653</v>
          </cell>
          <cell r="C2468">
            <v>24280</v>
          </cell>
          <cell r="D2468" t="str">
            <v>PHP</v>
          </cell>
          <cell r="E2468">
            <v>4</v>
          </cell>
          <cell r="F2468" t="str">
            <v>PC</v>
          </cell>
          <cell r="G2468">
            <v>0</v>
          </cell>
        </row>
        <row r="2469">
          <cell r="B2469">
            <v>7654</v>
          </cell>
          <cell r="C2469">
            <v>26044.22</v>
          </cell>
          <cell r="D2469" t="str">
            <v>PHP</v>
          </cell>
          <cell r="E2469">
            <v>1</v>
          </cell>
          <cell r="F2469" t="str">
            <v>PC</v>
          </cell>
          <cell r="G2469">
            <v>0</v>
          </cell>
        </row>
        <row r="2470">
          <cell r="B2470">
            <v>7655</v>
          </cell>
          <cell r="C2470">
            <v>0</v>
          </cell>
          <cell r="D2470" t="str">
            <v>PHP</v>
          </cell>
          <cell r="E2470">
            <v>0</v>
          </cell>
          <cell r="F2470" t="str">
            <v>PC</v>
          </cell>
          <cell r="G2470">
            <v>0</v>
          </cell>
        </row>
        <row r="2471">
          <cell r="B2471">
            <v>7657</v>
          </cell>
          <cell r="C2471">
            <v>0</v>
          </cell>
          <cell r="D2471" t="str">
            <v>PHP</v>
          </cell>
          <cell r="E2471">
            <v>0</v>
          </cell>
          <cell r="F2471" t="str">
            <v>PC</v>
          </cell>
          <cell r="G2471">
            <v>0</v>
          </cell>
        </row>
        <row r="2472">
          <cell r="B2472">
            <v>7663</v>
          </cell>
          <cell r="C2472">
            <v>29892.720000000001</v>
          </cell>
          <cell r="D2472" t="str">
            <v>PHP</v>
          </cell>
          <cell r="E2472">
            <v>2</v>
          </cell>
          <cell r="F2472" t="str">
            <v>ASY</v>
          </cell>
          <cell r="G2472">
            <v>0</v>
          </cell>
        </row>
        <row r="2473">
          <cell r="B2473">
            <v>7673</v>
          </cell>
          <cell r="C2473">
            <v>8258.4</v>
          </cell>
          <cell r="D2473" t="str">
            <v>PHP</v>
          </cell>
          <cell r="E2473">
            <v>1</v>
          </cell>
          <cell r="F2473" t="str">
            <v>PC</v>
          </cell>
          <cell r="G2473">
            <v>0</v>
          </cell>
        </row>
        <row r="2474">
          <cell r="B2474">
            <v>7674</v>
          </cell>
          <cell r="C2474">
            <v>4766.08</v>
          </cell>
          <cell r="D2474" t="str">
            <v>PHP</v>
          </cell>
          <cell r="E2474">
            <v>1</v>
          </cell>
          <cell r="F2474" t="str">
            <v>PC</v>
          </cell>
          <cell r="G2474">
            <v>0</v>
          </cell>
        </row>
        <row r="2475">
          <cell r="B2475">
            <v>7675</v>
          </cell>
          <cell r="C2475">
            <v>5686.93</v>
          </cell>
          <cell r="D2475" t="str">
            <v>PHP</v>
          </cell>
          <cell r="E2475">
            <v>1</v>
          </cell>
          <cell r="F2475" t="str">
            <v>PC</v>
          </cell>
          <cell r="G2475">
            <v>0</v>
          </cell>
        </row>
        <row r="2476">
          <cell r="B2476">
            <v>7677</v>
          </cell>
          <cell r="C2476">
            <v>70134.28</v>
          </cell>
          <cell r="D2476" t="str">
            <v>PHP</v>
          </cell>
          <cell r="E2476">
            <v>1</v>
          </cell>
          <cell r="F2476" t="str">
            <v>PC</v>
          </cell>
          <cell r="G2476">
            <v>0</v>
          </cell>
        </row>
        <row r="2477">
          <cell r="B2477">
            <v>7678</v>
          </cell>
          <cell r="C2477">
            <v>0</v>
          </cell>
          <cell r="D2477" t="str">
            <v>PHP</v>
          </cell>
          <cell r="E2477">
            <v>0</v>
          </cell>
          <cell r="F2477" t="str">
            <v>PC</v>
          </cell>
          <cell r="G2477">
            <v>0</v>
          </cell>
        </row>
        <row r="2478">
          <cell r="B2478">
            <v>7682</v>
          </cell>
          <cell r="C2478">
            <v>0</v>
          </cell>
          <cell r="D2478" t="str">
            <v>PHP</v>
          </cell>
          <cell r="E2478">
            <v>0</v>
          </cell>
          <cell r="F2478" t="str">
            <v>PC</v>
          </cell>
          <cell r="G2478">
            <v>0</v>
          </cell>
        </row>
        <row r="2479">
          <cell r="B2479">
            <v>7683</v>
          </cell>
          <cell r="C2479">
            <v>0</v>
          </cell>
          <cell r="D2479" t="str">
            <v>PHP</v>
          </cell>
          <cell r="E2479">
            <v>0</v>
          </cell>
          <cell r="F2479" t="str">
            <v>ASY</v>
          </cell>
          <cell r="G2479">
            <v>0</v>
          </cell>
        </row>
        <row r="2480">
          <cell r="B2480">
            <v>7686</v>
          </cell>
          <cell r="C2480">
            <v>8156.31</v>
          </cell>
          <cell r="D2480" t="str">
            <v>PHP</v>
          </cell>
          <cell r="E2480">
            <v>3</v>
          </cell>
          <cell r="F2480" t="str">
            <v>PC</v>
          </cell>
          <cell r="G2480">
            <v>0</v>
          </cell>
        </row>
        <row r="2481">
          <cell r="B2481">
            <v>7691</v>
          </cell>
          <cell r="C2481">
            <v>0</v>
          </cell>
          <cell r="D2481" t="str">
            <v>PHP</v>
          </cell>
          <cell r="E2481">
            <v>0</v>
          </cell>
          <cell r="F2481" t="str">
            <v>UT</v>
          </cell>
          <cell r="G2481">
            <v>0</v>
          </cell>
        </row>
        <row r="2482">
          <cell r="B2482">
            <v>7697</v>
          </cell>
          <cell r="C2482">
            <v>9478.92</v>
          </cell>
          <cell r="D2482" t="str">
            <v>PHP</v>
          </cell>
          <cell r="E2482">
            <v>1</v>
          </cell>
          <cell r="F2482" t="str">
            <v>PC</v>
          </cell>
          <cell r="G2482">
            <v>0</v>
          </cell>
        </row>
        <row r="2483">
          <cell r="B2483">
            <v>7700</v>
          </cell>
          <cell r="C2483">
            <v>283300.89</v>
          </cell>
          <cell r="D2483" t="str">
            <v>PHP</v>
          </cell>
          <cell r="E2483">
            <v>1</v>
          </cell>
          <cell r="F2483" t="str">
            <v>PC</v>
          </cell>
          <cell r="G2483">
            <v>0</v>
          </cell>
        </row>
        <row r="2484">
          <cell r="B2484">
            <v>7701</v>
          </cell>
          <cell r="C2484">
            <v>18300.46</v>
          </cell>
          <cell r="D2484" t="str">
            <v>PHP</v>
          </cell>
          <cell r="E2484">
            <v>1</v>
          </cell>
          <cell r="F2484" t="str">
            <v>PC</v>
          </cell>
          <cell r="G2484">
            <v>0</v>
          </cell>
        </row>
        <row r="2485">
          <cell r="B2485">
            <v>7703</v>
          </cell>
          <cell r="C2485">
            <v>3067.99</v>
          </cell>
          <cell r="D2485" t="str">
            <v>PHP</v>
          </cell>
          <cell r="E2485">
            <v>1</v>
          </cell>
          <cell r="F2485" t="str">
            <v>PC</v>
          </cell>
          <cell r="G2485">
            <v>0</v>
          </cell>
        </row>
        <row r="2486">
          <cell r="B2486">
            <v>7704</v>
          </cell>
          <cell r="C2486">
            <v>2737.2</v>
          </cell>
          <cell r="D2486" t="str">
            <v>PHP</v>
          </cell>
          <cell r="E2486">
            <v>2</v>
          </cell>
          <cell r="F2486" t="str">
            <v>PC</v>
          </cell>
          <cell r="G2486">
            <v>0</v>
          </cell>
        </row>
        <row r="2487">
          <cell r="B2487">
            <v>7706</v>
          </cell>
          <cell r="C2487">
            <v>0</v>
          </cell>
          <cell r="D2487" t="str">
            <v>PHP</v>
          </cell>
          <cell r="E2487">
            <v>0</v>
          </cell>
          <cell r="F2487" t="str">
            <v>PC</v>
          </cell>
          <cell r="G2487">
            <v>0</v>
          </cell>
        </row>
        <row r="2488">
          <cell r="B2488">
            <v>7707</v>
          </cell>
          <cell r="C2488">
            <v>0</v>
          </cell>
          <cell r="D2488" t="str">
            <v>PHP</v>
          </cell>
          <cell r="E2488">
            <v>0</v>
          </cell>
          <cell r="F2488" t="str">
            <v>PC</v>
          </cell>
          <cell r="G2488">
            <v>0</v>
          </cell>
        </row>
        <row r="2489">
          <cell r="B2489">
            <v>7709</v>
          </cell>
          <cell r="C2489">
            <v>0</v>
          </cell>
          <cell r="D2489" t="str">
            <v>PHP</v>
          </cell>
          <cell r="E2489">
            <v>0</v>
          </cell>
          <cell r="F2489" t="str">
            <v>ASY</v>
          </cell>
          <cell r="G2489">
            <v>0</v>
          </cell>
        </row>
        <row r="2490">
          <cell r="B2490">
            <v>7710</v>
          </cell>
          <cell r="C2490">
            <v>200115.29</v>
          </cell>
          <cell r="D2490" t="str">
            <v>PHP</v>
          </cell>
          <cell r="E2490">
            <v>2</v>
          </cell>
          <cell r="F2490" t="str">
            <v>PC</v>
          </cell>
          <cell r="G2490">
            <v>0</v>
          </cell>
        </row>
        <row r="2491">
          <cell r="B2491">
            <v>7734</v>
          </cell>
          <cell r="C2491">
            <v>0</v>
          </cell>
          <cell r="D2491" t="str">
            <v>PHP</v>
          </cell>
          <cell r="E2491">
            <v>0</v>
          </cell>
          <cell r="F2491" t="str">
            <v>UT</v>
          </cell>
          <cell r="G2491">
            <v>0</v>
          </cell>
        </row>
        <row r="2492">
          <cell r="B2492">
            <v>7735</v>
          </cell>
          <cell r="C2492">
            <v>6954.96</v>
          </cell>
          <cell r="D2492" t="str">
            <v>PHP</v>
          </cell>
          <cell r="E2492">
            <v>4</v>
          </cell>
          <cell r="F2492" t="str">
            <v>PC</v>
          </cell>
          <cell r="G2492">
            <v>0</v>
          </cell>
        </row>
        <row r="2493">
          <cell r="B2493">
            <v>7736</v>
          </cell>
          <cell r="C2493">
            <v>0</v>
          </cell>
          <cell r="D2493" t="str">
            <v>PHP</v>
          </cell>
          <cell r="E2493">
            <v>0</v>
          </cell>
          <cell r="F2493" t="str">
            <v>PC</v>
          </cell>
          <cell r="G2493">
            <v>0</v>
          </cell>
        </row>
        <row r="2494">
          <cell r="B2494">
            <v>7737</v>
          </cell>
          <cell r="C2494">
            <v>0</v>
          </cell>
          <cell r="D2494" t="str">
            <v>PHP</v>
          </cell>
          <cell r="E2494">
            <v>0</v>
          </cell>
          <cell r="F2494" t="str">
            <v>PC</v>
          </cell>
          <cell r="G2494">
            <v>0</v>
          </cell>
        </row>
        <row r="2495">
          <cell r="B2495">
            <v>7739</v>
          </cell>
          <cell r="C2495">
            <v>2558.4</v>
          </cell>
          <cell r="D2495" t="str">
            <v>PHP</v>
          </cell>
          <cell r="E2495">
            <v>2</v>
          </cell>
          <cell r="F2495" t="str">
            <v>PC</v>
          </cell>
          <cell r="G2495">
            <v>0</v>
          </cell>
        </row>
        <row r="2496">
          <cell r="B2496">
            <v>7740</v>
          </cell>
          <cell r="C2496">
            <v>8340.85</v>
          </cell>
          <cell r="D2496" t="str">
            <v>PHP</v>
          </cell>
          <cell r="E2496">
            <v>2</v>
          </cell>
          <cell r="F2496" t="str">
            <v>PC</v>
          </cell>
          <cell r="G2496">
            <v>0</v>
          </cell>
        </row>
        <row r="2497">
          <cell r="B2497">
            <v>7741</v>
          </cell>
          <cell r="C2497">
            <v>15227.85</v>
          </cell>
          <cell r="D2497" t="str">
            <v>PHP</v>
          </cell>
          <cell r="E2497">
            <v>2</v>
          </cell>
          <cell r="F2497" t="str">
            <v>PC</v>
          </cell>
          <cell r="G2497">
            <v>0</v>
          </cell>
        </row>
        <row r="2498">
          <cell r="B2498">
            <v>7742</v>
          </cell>
          <cell r="C2498">
            <v>7363.94</v>
          </cell>
          <cell r="D2498" t="str">
            <v>PHP</v>
          </cell>
          <cell r="E2498">
            <v>3</v>
          </cell>
          <cell r="F2498" t="str">
            <v>PC</v>
          </cell>
          <cell r="G2498">
            <v>0</v>
          </cell>
        </row>
        <row r="2499">
          <cell r="B2499">
            <v>7744</v>
          </cell>
          <cell r="C2499">
            <v>0</v>
          </cell>
          <cell r="D2499" t="str">
            <v>PHP</v>
          </cell>
          <cell r="E2499">
            <v>0</v>
          </cell>
          <cell r="F2499" t="str">
            <v>UT</v>
          </cell>
          <cell r="G2499">
            <v>0</v>
          </cell>
        </row>
        <row r="2500">
          <cell r="B2500">
            <v>7746</v>
          </cell>
          <cell r="C2500">
            <v>42089.05</v>
          </cell>
          <cell r="D2500" t="str">
            <v>PHP</v>
          </cell>
          <cell r="E2500">
            <v>1</v>
          </cell>
          <cell r="F2500" t="str">
            <v>PC</v>
          </cell>
          <cell r="G2500">
            <v>0</v>
          </cell>
        </row>
        <row r="2501">
          <cell r="B2501">
            <v>7747</v>
          </cell>
          <cell r="C2501">
            <v>0</v>
          </cell>
          <cell r="D2501" t="str">
            <v>PHP</v>
          </cell>
          <cell r="E2501">
            <v>0</v>
          </cell>
          <cell r="F2501" t="str">
            <v>PC</v>
          </cell>
          <cell r="G2501">
            <v>0</v>
          </cell>
        </row>
        <row r="2502">
          <cell r="B2502">
            <v>7749</v>
          </cell>
          <cell r="C2502">
            <v>55705.66</v>
          </cell>
          <cell r="D2502" t="str">
            <v>PHP</v>
          </cell>
          <cell r="E2502">
            <v>2</v>
          </cell>
          <cell r="F2502" t="str">
            <v>UT</v>
          </cell>
          <cell r="G2502">
            <v>0</v>
          </cell>
        </row>
        <row r="2503">
          <cell r="B2503">
            <v>7751</v>
          </cell>
          <cell r="C2503">
            <v>2804.04</v>
          </cell>
          <cell r="D2503" t="str">
            <v>PHP</v>
          </cell>
          <cell r="E2503">
            <v>4</v>
          </cell>
          <cell r="F2503" t="str">
            <v>PC</v>
          </cell>
          <cell r="G2503">
            <v>0</v>
          </cell>
        </row>
        <row r="2504">
          <cell r="B2504">
            <v>7755</v>
          </cell>
          <cell r="C2504">
            <v>9085</v>
          </cell>
          <cell r="D2504" t="str">
            <v>PHP</v>
          </cell>
          <cell r="E2504">
            <v>3</v>
          </cell>
          <cell r="F2504" t="str">
            <v>PC</v>
          </cell>
          <cell r="G2504">
            <v>0</v>
          </cell>
        </row>
        <row r="2505">
          <cell r="B2505">
            <v>7756</v>
          </cell>
          <cell r="C2505">
            <v>23828.82</v>
          </cell>
          <cell r="D2505" t="str">
            <v>PHP</v>
          </cell>
          <cell r="E2505">
            <v>3</v>
          </cell>
          <cell r="F2505" t="str">
            <v>PC</v>
          </cell>
          <cell r="G2505">
            <v>0</v>
          </cell>
        </row>
        <row r="2506">
          <cell r="B2506">
            <v>7758</v>
          </cell>
          <cell r="C2506">
            <v>4162.24</v>
          </cell>
          <cell r="D2506" t="str">
            <v>PHP</v>
          </cell>
          <cell r="E2506">
            <v>2</v>
          </cell>
          <cell r="F2506" t="str">
            <v>PC</v>
          </cell>
          <cell r="G2506">
            <v>0</v>
          </cell>
        </row>
        <row r="2507">
          <cell r="B2507">
            <v>7760</v>
          </cell>
          <cell r="C2507">
            <v>863382.25</v>
          </cell>
          <cell r="D2507" t="str">
            <v>PHP</v>
          </cell>
          <cell r="E2507">
            <v>10</v>
          </cell>
          <cell r="F2507" t="str">
            <v>PC</v>
          </cell>
          <cell r="G2507">
            <v>0</v>
          </cell>
        </row>
        <row r="2508">
          <cell r="B2508">
            <v>7761</v>
          </cell>
          <cell r="C2508">
            <v>263120</v>
          </cell>
          <cell r="D2508" t="str">
            <v>PHP</v>
          </cell>
          <cell r="E2508">
            <v>2</v>
          </cell>
          <cell r="F2508" t="str">
            <v>PC</v>
          </cell>
          <cell r="G2508">
            <v>0</v>
          </cell>
        </row>
        <row r="2509">
          <cell r="B2509">
            <v>7762</v>
          </cell>
          <cell r="C2509">
            <v>103510</v>
          </cell>
          <cell r="D2509" t="str">
            <v>PHP</v>
          </cell>
          <cell r="E2509">
            <v>2</v>
          </cell>
          <cell r="F2509" t="str">
            <v>PC</v>
          </cell>
          <cell r="G2509">
            <v>0</v>
          </cell>
        </row>
        <row r="2510">
          <cell r="B2510">
            <v>7763</v>
          </cell>
          <cell r="C2510">
            <v>48640</v>
          </cell>
          <cell r="D2510" t="str">
            <v>PHP</v>
          </cell>
          <cell r="E2510">
            <v>2</v>
          </cell>
          <cell r="F2510" t="str">
            <v>PC</v>
          </cell>
          <cell r="G2510">
            <v>0</v>
          </cell>
        </row>
        <row r="2511">
          <cell r="B2511">
            <v>7766</v>
          </cell>
          <cell r="C2511">
            <v>175950</v>
          </cell>
          <cell r="D2511" t="str">
            <v>PHP</v>
          </cell>
          <cell r="E2511">
            <v>4</v>
          </cell>
          <cell r="F2511" t="str">
            <v>PC</v>
          </cell>
          <cell r="G2511">
            <v>0</v>
          </cell>
        </row>
        <row r="2512">
          <cell r="B2512">
            <v>7767</v>
          </cell>
          <cell r="C2512">
            <v>31653.74</v>
          </cell>
          <cell r="D2512" t="str">
            <v>PHP</v>
          </cell>
          <cell r="E2512">
            <v>2</v>
          </cell>
          <cell r="F2512" t="str">
            <v>PC</v>
          </cell>
          <cell r="G2512">
            <v>0</v>
          </cell>
        </row>
        <row r="2513">
          <cell r="B2513">
            <v>7768</v>
          </cell>
          <cell r="C2513">
            <v>0</v>
          </cell>
          <cell r="D2513" t="str">
            <v>PHP</v>
          </cell>
          <cell r="E2513">
            <v>0</v>
          </cell>
          <cell r="F2513" t="str">
            <v>PC</v>
          </cell>
          <cell r="G2513">
            <v>0</v>
          </cell>
        </row>
        <row r="2514">
          <cell r="B2514">
            <v>7769</v>
          </cell>
          <cell r="C2514">
            <v>24464.11</v>
          </cell>
          <cell r="D2514" t="str">
            <v>PHP</v>
          </cell>
          <cell r="E2514">
            <v>3</v>
          </cell>
          <cell r="F2514" t="str">
            <v>PC</v>
          </cell>
          <cell r="G2514">
            <v>0</v>
          </cell>
        </row>
        <row r="2515">
          <cell r="B2515">
            <v>7770</v>
          </cell>
          <cell r="C2515">
            <v>24464.11</v>
          </cell>
          <cell r="D2515" t="str">
            <v>PHP</v>
          </cell>
          <cell r="E2515">
            <v>3</v>
          </cell>
          <cell r="F2515" t="str">
            <v>PC</v>
          </cell>
          <cell r="G2515">
            <v>0</v>
          </cell>
        </row>
        <row r="2516">
          <cell r="B2516">
            <v>7771</v>
          </cell>
          <cell r="C2516">
            <v>34854.620000000003</v>
          </cell>
          <cell r="D2516" t="str">
            <v>PHP</v>
          </cell>
          <cell r="E2516">
            <v>3</v>
          </cell>
          <cell r="F2516" t="str">
            <v>PC</v>
          </cell>
          <cell r="G2516">
            <v>0</v>
          </cell>
        </row>
        <row r="2517">
          <cell r="B2517">
            <v>7772</v>
          </cell>
          <cell r="C2517">
            <v>11373.15</v>
          </cell>
          <cell r="D2517" t="str">
            <v>PHP</v>
          </cell>
          <cell r="E2517">
            <v>5</v>
          </cell>
          <cell r="F2517" t="str">
            <v>PC</v>
          </cell>
          <cell r="G2517">
            <v>0</v>
          </cell>
        </row>
        <row r="2518">
          <cell r="B2518">
            <v>7773</v>
          </cell>
          <cell r="C2518">
            <v>6823.89</v>
          </cell>
          <cell r="D2518" t="str">
            <v>PHP</v>
          </cell>
          <cell r="E2518">
            <v>3</v>
          </cell>
          <cell r="F2518" t="str">
            <v>PC</v>
          </cell>
          <cell r="G2518">
            <v>0</v>
          </cell>
        </row>
        <row r="2519">
          <cell r="B2519">
            <v>7774</v>
          </cell>
          <cell r="C2519">
            <v>38340.080000000002</v>
          </cell>
          <cell r="D2519" t="str">
            <v>PHP</v>
          </cell>
          <cell r="E2519">
            <v>3</v>
          </cell>
          <cell r="F2519" t="str">
            <v>PC</v>
          </cell>
          <cell r="G2519">
            <v>0</v>
          </cell>
        </row>
        <row r="2520">
          <cell r="B2520">
            <v>7781</v>
          </cell>
          <cell r="C2520">
            <v>54417.53</v>
          </cell>
          <cell r="D2520" t="str">
            <v>PHP</v>
          </cell>
          <cell r="E2520">
            <v>2</v>
          </cell>
          <cell r="F2520" t="str">
            <v>ASY</v>
          </cell>
          <cell r="G2520">
            <v>0</v>
          </cell>
        </row>
        <row r="2521">
          <cell r="B2521">
            <v>7788</v>
          </cell>
          <cell r="C2521">
            <v>129555.23</v>
          </cell>
          <cell r="D2521" t="str">
            <v>PHP</v>
          </cell>
          <cell r="E2521">
            <v>4</v>
          </cell>
          <cell r="F2521" t="str">
            <v>PC</v>
          </cell>
          <cell r="G2521">
            <v>0</v>
          </cell>
        </row>
        <row r="2522">
          <cell r="B2522">
            <v>7789</v>
          </cell>
          <cell r="C2522">
            <v>11904.93</v>
          </cell>
          <cell r="D2522" t="str">
            <v>PHP</v>
          </cell>
          <cell r="E2522">
            <v>2</v>
          </cell>
          <cell r="F2522" t="str">
            <v>PC</v>
          </cell>
          <cell r="G2522">
            <v>0</v>
          </cell>
        </row>
        <row r="2523">
          <cell r="B2523">
            <v>7793</v>
          </cell>
          <cell r="C2523">
            <v>781.89</v>
          </cell>
          <cell r="D2523" t="str">
            <v>PHP</v>
          </cell>
          <cell r="E2523">
            <v>3</v>
          </cell>
          <cell r="F2523" t="str">
            <v>PC</v>
          </cell>
          <cell r="G2523">
            <v>0</v>
          </cell>
        </row>
        <row r="2524">
          <cell r="B2524">
            <v>7803</v>
          </cell>
          <cell r="C2524">
            <v>0</v>
          </cell>
          <cell r="D2524" t="str">
            <v>PHP</v>
          </cell>
          <cell r="E2524">
            <v>0</v>
          </cell>
          <cell r="F2524" t="str">
            <v>SET</v>
          </cell>
          <cell r="G2524">
            <v>0</v>
          </cell>
        </row>
        <row r="2525">
          <cell r="B2525">
            <v>7804</v>
          </cell>
          <cell r="C2525">
            <v>67543.789999999994</v>
          </cell>
          <cell r="D2525" t="str">
            <v>PHP</v>
          </cell>
          <cell r="E2525">
            <v>7</v>
          </cell>
          <cell r="F2525" t="str">
            <v>PC</v>
          </cell>
          <cell r="G2525">
            <v>0</v>
          </cell>
        </row>
        <row r="2526">
          <cell r="B2526">
            <v>7806</v>
          </cell>
          <cell r="C2526">
            <v>265764.44</v>
          </cell>
          <cell r="D2526" t="str">
            <v>PHP</v>
          </cell>
          <cell r="E2526">
            <v>6</v>
          </cell>
          <cell r="F2526" t="str">
            <v>PC</v>
          </cell>
          <cell r="G2526">
            <v>0</v>
          </cell>
        </row>
        <row r="2527">
          <cell r="B2527">
            <v>7824</v>
          </cell>
          <cell r="C2527">
            <v>14996.13</v>
          </cell>
          <cell r="D2527" t="str">
            <v>PHP</v>
          </cell>
          <cell r="E2527">
            <v>3</v>
          </cell>
          <cell r="F2527" t="str">
            <v>PC</v>
          </cell>
          <cell r="G2527">
            <v>0</v>
          </cell>
        </row>
        <row r="2528">
          <cell r="B2528">
            <v>7826</v>
          </cell>
          <cell r="C2528">
            <v>15107.35</v>
          </cell>
          <cell r="D2528" t="str">
            <v>PHP</v>
          </cell>
          <cell r="E2528">
            <v>3</v>
          </cell>
          <cell r="F2528" t="str">
            <v>UT</v>
          </cell>
          <cell r="G2528">
            <v>0</v>
          </cell>
        </row>
        <row r="2529">
          <cell r="B2529">
            <v>7829</v>
          </cell>
          <cell r="C2529">
            <v>29113.4</v>
          </cell>
          <cell r="D2529" t="str">
            <v>PHP</v>
          </cell>
          <cell r="E2529">
            <v>4</v>
          </cell>
          <cell r="F2529" t="str">
            <v>PC</v>
          </cell>
          <cell r="G2529">
            <v>0</v>
          </cell>
        </row>
        <row r="2530">
          <cell r="B2530">
            <v>7831</v>
          </cell>
          <cell r="C2530">
            <v>130523.25</v>
          </cell>
          <cell r="D2530" t="str">
            <v>PHP</v>
          </cell>
          <cell r="E2530">
            <v>13</v>
          </cell>
          <cell r="F2530" t="str">
            <v>PC</v>
          </cell>
          <cell r="G2530">
            <v>0</v>
          </cell>
        </row>
        <row r="2531">
          <cell r="B2531">
            <v>7839</v>
          </cell>
          <cell r="C2531">
            <v>19512.240000000002</v>
          </cell>
          <cell r="D2531" t="str">
            <v>PHP</v>
          </cell>
          <cell r="E2531">
            <v>2</v>
          </cell>
          <cell r="F2531" t="str">
            <v>PC</v>
          </cell>
          <cell r="G2531">
            <v>0</v>
          </cell>
        </row>
        <row r="2532">
          <cell r="B2532">
            <v>7843</v>
          </cell>
          <cell r="C2532">
            <v>14807.05</v>
          </cell>
          <cell r="D2532" t="str">
            <v>PHP</v>
          </cell>
          <cell r="E2532">
            <v>1</v>
          </cell>
          <cell r="F2532" t="str">
            <v>PC</v>
          </cell>
          <cell r="G2532">
            <v>0</v>
          </cell>
        </row>
        <row r="2533">
          <cell r="B2533">
            <v>7848</v>
          </cell>
          <cell r="C2533">
            <v>133728</v>
          </cell>
          <cell r="D2533" t="str">
            <v>PHP</v>
          </cell>
          <cell r="E2533">
            <v>1</v>
          </cell>
          <cell r="F2533" t="str">
            <v>ASY</v>
          </cell>
          <cell r="G2533">
            <v>0</v>
          </cell>
        </row>
        <row r="2534">
          <cell r="B2534">
            <v>7850</v>
          </cell>
          <cell r="C2534">
            <v>12585.6</v>
          </cell>
          <cell r="D2534" t="str">
            <v>PHP</v>
          </cell>
          <cell r="E2534">
            <v>8</v>
          </cell>
          <cell r="F2534" t="str">
            <v>PC</v>
          </cell>
          <cell r="G2534">
            <v>0</v>
          </cell>
        </row>
        <row r="2535">
          <cell r="B2535">
            <v>7851</v>
          </cell>
          <cell r="C2535">
            <v>51912.7</v>
          </cell>
          <cell r="D2535" t="str">
            <v>PHP</v>
          </cell>
          <cell r="E2535">
            <v>14</v>
          </cell>
          <cell r="F2535" t="str">
            <v>PC</v>
          </cell>
          <cell r="G2535">
            <v>0</v>
          </cell>
        </row>
        <row r="2536">
          <cell r="B2536">
            <v>7864</v>
          </cell>
          <cell r="C2536">
            <v>0</v>
          </cell>
          <cell r="D2536" t="str">
            <v>PHP</v>
          </cell>
          <cell r="E2536">
            <v>0</v>
          </cell>
          <cell r="F2536" t="str">
            <v>PC</v>
          </cell>
          <cell r="G2536">
            <v>0</v>
          </cell>
        </row>
        <row r="2537">
          <cell r="B2537">
            <v>7865</v>
          </cell>
          <cell r="C2537">
            <v>0</v>
          </cell>
          <cell r="D2537" t="str">
            <v>PHP</v>
          </cell>
          <cell r="E2537">
            <v>0</v>
          </cell>
          <cell r="F2537" t="str">
            <v>PC</v>
          </cell>
          <cell r="G2537">
            <v>0</v>
          </cell>
        </row>
        <row r="2538">
          <cell r="B2538">
            <v>7866</v>
          </cell>
          <cell r="C2538">
            <v>23045.48</v>
          </cell>
          <cell r="D2538" t="str">
            <v>PHP</v>
          </cell>
          <cell r="E2538">
            <v>60</v>
          </cell>
          <cell r="F2538" t="str">
            <v>PC</v>
          </cell>
          <cell r="G2538">
            <v>0</v>
          </cell>
        </row>
        <row r="2539">
          <cell r="B2539">
            <v>7867</v>
          </cell>
          <cell r="C2539">
            <v>68868.039999999994</v>
          </cell>
          <cell r="D2539" t="str">
            <v>PHP</v>
          </cell>
          <cell r="E2539">
            <v>76</v>
          </cell>
          <cell r="F2539" t="str">
            <v>PC</v>
          </cell>
          <cell r="G2539">
            <v>0</v>
          </cell>
        </row>
        <row r="2540">
          <cell r="B2540">
            <v>7877</v>
          </cell>
          <cell r="C2540">
            <v>7400</v>
          </cell>
          <cell r="D2540" t="str">
            <v>PHP</v>
          </cell>
          <cell r="E2540">
            <v>4</v>
          </cell>
          <cell r="F2540" t="str">
            <v>PC</v>
          </cell>
          <cell r="G2540">
            <v>0</v>
          </cell>
        </row>
        <row r="2541">
          <cell r="B2541">
            <v>7878</v>
          </cell>
          <cell r="C2541">
            <v>119631.29</v>
          </cell>
          <cell r="D2541" t="str">
            <v>PHP</v>
          </cell>
          <cell r="E2541">
            <v>6</v>
          </cell>
          <cell r="F2541" t="str">
            <v>PC</v>
          </cell>
          <cell r="G2541">
            <v>0</v>
          </cell>
        </row>
        <row r="2542">
          <cell r="B2542">
            <v>7883</v>
          </cell>
          <cell r="C2542">
            <v>0</v>
          </cell>
          <cell r="D2542" t="str">
            <v>PHP</v>
          </cell>
          <cell r="E2542">
            <v>0</v>
          </cell>
          <cell r="F2542" t="str">
            <v>PC</v>
          </cell>
          <cell r="G2542">
            <v>0</v>
          </cell>
        </row>
        <row r="2543">
          <cell r="B2543">
            <v>7884</v>
          </cell>
          <cell r="C2543">
            <v>251100.2</v>
          </cell>
          <cell r="D2543" t="str">
            <v>PHP</v>
          </cell>
          <cell r="E2543">
            <v>2</v>
          </cell>
          <cell r="F2543" t="str">
            <v>PC</v>
          </cell>
          <cell r="G2543">
            <v>0</v>
          </cell>
        </row>
        <row r="2544">
          <cell r="B2544">
            <v>7885</v>
          </cell>
          <cell r="C2544">
            <v>0</v>
          </cell>
          <cell r="D2544" t="str">
            <v>PHP</v>
          </cell>
          <cell r="E2544">
            <v>0</v>
          </cell>
          <cell r="F2544" t="str">
            <v>PC</v>
          </cell>
          <cell r="G2544">
            <v>0</v>
          </cell>
        </row>
        <row r="2545">
          <cell r="B2545">
            <v>7889</v>
          </cell>
          <cell r="C2545">
            <v>0</v>
          </cell>
          <cell r="D2545" t="str">
            <v>PHP</v>
          </cell>
          <cell r="E2545">
            <v>0</v>
          </cell>
          <cell r="F2545" t="str">
            <v>PC</v>
          </cell>
          <cell r="G2545">
            <v>0</v>
          </cell>
        </row>
        <row r="2546">
          <cell r="B2546">
            <v>7890</v>
          </cell>
          <cell r="C2546">
            <v>11976.25</v>
          </cell>
          <cell r="D2546" t="str">
            <v>PHP</v>
          </cell>
          <cell r="E2546">
            <v>1</v>
          </cell>
          <cell r="F2546" t="str">
            <v>PC</v>
          </cell>
          <cell r="G2546">
            <v>0</v>
          </cell>
        </row>
        <row r="2547">
          <cell r="B2547">
            <v>7891</v>
          </cell>
          <cell r="C2547">
            <v>24431.55</v>
          </cell>
          <cell r="D2547" t="str">
            <v>PHP</v>
          </cell>
          <cell r="E2547">
            <v>1</v>
          </cell>
          <cell r="F2547" t="str">
            <v>PC</v>
          </cell>
          <cell r="G2547">
            <v>0</v>
          </cell>
        </row>
        <row r="2548">
          <cell r="B2548">
            <v>7892</v>
          </cell>
          <cell r="C2548">
            <v>192602.05</v>
          </cell>
          <cell r="D2548" t="str">
            <v>PHP</v>
          </cell>
          <cell r="E2548">
            <v>1</v>
          </cell>
          <cell r="F2548" t="str">
            <v>PC</v>
          </cell>
          <cell r="G2548">
            <v>0</v>
          </cell>
        </row>
        <row r="2549">
          <cell r="B2549">
            <v>7893</v>
          </cell>
          <cell r="C2549">
            <v>6718.68</v>
          </cell>
          <cell r="D2549" t="str">
            <v>PHP</v>
          </cell>
          <cell r="E2549">
            <v>1</v>
          </cell>
          <cell r="F2549" t="str">
            <v>PC</v>
          </cell>
          <cell r="G2549">
            <v>0</v>
          </cell>
        </row>
        <row r="2550">
          <cell r="B2550">
            <v>7894</v>
          </cell>
          <cell r="C2550">
            <v>17091.919999999998</v>
          </cell>
          <cell r="D2550" t="str">
            <v>PHP</v>
          </cell>
          <cell r="E2550">
            <v>1</v>
          </cell>
          <cell r="F2550" t="str">
            <v>PC</v>
          </cell>
          <cell r="G2550">
            <v>0</v>
          </cell>
        </row>
        <row r="2551">
          <cell r="B2551">
            <v>7895</v>
          </cell>
          <cell r="C2551">
            <v>12903.72</v>
          </cell>
          <cell r="D2551" t="str">
            <v>PHP</v>
          </cell>
          <cell r="E2551">
            <v>1</v>
          </cell>
          <cell r="F2551" t="str">
            <v>PC</v>
          </cell>
          <cell r="G2551">
            <v>0</v>
          </cell>
        </row>
        <row r="2552">
          <cell r="B2552">
            <v>7898</v>
          </cell>
          <cell r="C2552">
            <v>22251.8</v>
          </cell>
          <cell r="D2552" t="str">
            <v>PHP</v>
          </cell>
          <cell r="E2552">
            <v>1</v>
          </cell>
          <cell r="F2552" t="str">
            <v>PC</v>
          </cell>
          <cell r="G2552">
            <v>0</v>
          </cell>
        </row>
        <row r="2553">
          <cell r="B2553">
            <v>7899</v>
          </cell>
          <cell r="C2553">
            <v>27224.12</v>
          </cell>
          <cell r="D2553" t="str">
            <v>PHP</v>
          </cell>
          <cell r="E2553">
            <v>1</v>
          </cell>
          <cell r="F2553" t="str">
            <v>PC</v>
          </cell>
          <cell r="G2553">
            <v>0</v>
          </cell>
        </row>
        <row r="2554">
          <cell r="B2554">
            <v>7900</v>
          </cell>
          <cell r="C2554">
            <v>31250.26</v>
          </cell>
          <cell r="D2554" t="str">
            <v>PHP</v>
          </cell>
          <cell r="E2554">
            <v>1</v>
          </cell>
          <cell r="F2554" t="str">
            <v>PC</v>
          </cell>
          <cell r="G2554">
            <v>0</v>
          </cell>
        </row>
        <row r="2555">
          <cell r="B2555">
            <v>7903</v>
          </cell>
          <cell r="C2555">
            <v>0</v>
          </cell>
          <cell r="D2555" t="str">
            <v>PHP</v>
          </cell>
          <cell r="E2555">
            <v>0</v>
          </cell>
          <cell r="F2555" t="str">
            <v>PC</v>
          </cell>
          <cell r="G2555">
            <v>0</v>
          </cell>
        </row>
        <row r="2556">
          <cell r="B2556">
            <v>7904</v>
          </cell>
          <cell r="C2556">
            <v>0</v>
          </cell>
          <cell r="D2556" t="str">
            <v>PHP</v>
          </cell>
          <cell r="E2556">
            <v>0</v>
          </cell>
          <cell r="F2556" t="str">
            <v>PC</v>
          </cell>
          <cell r="G2556">
            <v>0</v>
          </cell>
        </row>
        <row r="2557">
          <cell r="B2557">
            <v>7905</v>
          </cell>
          <cell r="C2557">
            <v>0</v>
          </cell>
          <cell r="D2557" t="str">
            <v>PHP</v>
          </cell>
          <cell r="E2557">
            <v>0</v>
          </cell>
          <cell r="F2557" t="str">
            <v>PC</v>
          </cell>
          <cell r="G2557">
            <v>0</v>
          </cell>
        </row>
        <row r="2558">
          <cell r="B2558">
            <v>7906</v>
          </cell>
          <cell r="C2558">
            <v>220227.14</v>
          </cell>
          <cell r="D2558" t="str">
            <v>PHP</v>
          </cell>
          <cell r="E2558">
            <v>3</v>
          </cell>
          <cell r="F2558" t="str">
            <v>PC</v>
          </cell>
          <cell r="G2558">
            <v>0</v>
          </cell>
        </row>
        <row r="2559">
          <cell r="B2559">
            <v>7911</v>
          </cell>
          <cell r="C2559">
            <v>189600</v>
          </cell>
          <cell r="D2559" t="str">
            <v>PHP</v>
          </cell>
          <cell r="E2559">
            <v>12</v>
          </cell>
          <cell r="F2559" t="str">
            <v>PC</v>
          </cell>
          <cell r="G2559">
            <v>0</v>
          </cell>
        </row>
        <row r="2560">
          <cell r="B2560">
            <v>7916</v>
          </cell>
          <cell r="C2560">
            <v>433358.64</v>
          </cell>
          <cell r="D2560" t="str">
            <v>PHP</v>
          </cell>
          <cell r="E2560">
            <v>6</v>
          </cell>
          <cell r="F2560" t="str">
            <v>PC</v>
          </cell>
          <cell r="G2560">
            <v>0</v>
          </cell>
        </row>
        <row r="2561">
          <cell r="B2561">
            <v>7917</v>
          </cell>
          <cell r="C2561">
            <v>82915</v>
          </cell>
          <cell r="D2561" t="str">
            <v>PHP</v>
          </cell>
          <cell r="E2561">
            <v>1</v>
          </cell>
          <cell r="F2561" t="str">
            <v>PC</v>
          </cell>
          <cell r="G2561">
            <v>0</v>
          </cell>
        </row>
        <row r="2562">
          <cell r="B2562">
            <v>7918</v>
          </cell>
          <cell r="C2562">
            <v>82915</v>
          </cell>
          <cell r="D2562" t="str">
            <v>PHP</v>
          </cell>
          <cell r="E2562">
            <v>1</v>
          </cell>
          <cell r="F2562" t="str">
            <v>PC</v>
          </cell>
          <cell r="G2562">
            <v>0</v>
          </cell>
        </row>
        <row r="2563">
          <cell r="B2563">
            <v>7920</v>
          </cell>
          <cell r="C2563">
            <v>39875</v>
          </cell>
          <cell r="D2563" t="str">
            <v>PHP</v>
          </cell>
          <cell r="E2563">
            <v>1</v>
          </cell>
          <cell r="F2563" t="str">
            <v>PC</v>
          </cell>
          <cell r="G2563">
            <v>0</v>
          </cell>
        </row>
        <row r="2564">
          <cell r="B2564">
            <v>7921</v>
          </cell>
          <cell r="C2564">
            <v>204380</v>
          </cell>
          <cell r="D2564" t="str">
            <v>PHP</v>
          </cell>
          <cell r="E2564">
            <v>4</v>
          </cell>
          <cell r="F2564" t="str">
            <v>PC</v>
          </cell>
          <cell r="G2564">
            <v>0</v>
          </cell>
        </row>
        <row r="2565">
          <cell r="B2565">
            <v>7922</v>
          </cell>
          <cell r="C2565">
            <v>69245</v>
          </cell>
          <cell r="D2565" t="str">
            <v>PHP</v>
          </cell>
          <cell r="E2565">
            <v>1</v>
          </cell>
          <cell r="F2565" t="str">
            <v>PC</v>
          </cell>
          <cell r="G2565">
            <v>0</v>
          </cell>
        </row>
        <row r="2566">
          <cell r="B2566">
            <v>7937</v>
          </cell>
          <cell r="C2566">
            <v>0</v>
          </cell>
          <cell r="D2566" t="str">
            <v>PHP</v>
          </cell>
          <cell r="E2566">
            <v>0</v>
          </cell>
          <cell r="F2566" t="str">
            <v>PC</v>
          </cell>
          <cell r="G2566">
            <v>0</v>
          </cell>
        </row>
        <row r="2567">
          <cell r="B2567">
            <v>7943</v>
          </cell>
          <cell r="C2567">
            <v>5597.76</v>
          </cell>
          <cell r="D2567" t="str">
            <v>PHP</v>
          </cell>
          <cell r="E2567">
            <v>1</v>
          </cell>
          <cell r="F2567" t="str">
            <v>ASY</v>
          </cell>
          <cell r="G2567">
            <v>0</v>
          </cell>
        </row>
        <row r="2568">
          <cell r="B2568">
            <v>7956</v>
          </cell>
          <cell r="C2568">
            <v>0</v>
          </cell>
          <cell r="D2568" t="str">
            <v>PHP</v>
          </cell>
          <cell r="E2568">
            <v>0</v>
          </cell>
          <cell r="F2568" t="str">
            <v>PC</v>
          </cell>
          <cell r="G2568">
            <v>0</v>
          </cell>
        </row>
        <row r="2569">
          <cell r="B2569">
            <v>7959</v>
          </cell>
          <cell r="C2569">
            <v>26322</v>
          </cell>
          <cell r="D2569" t="str">
            <v>PHP</v>
          </cell>
          <cell r="E2569">
            <v>4</v>
          </cell>
          <cell r="F2569" t="str">
            <v>PC</v>
          </cell>
          <cell r="G2569">
            <v>0</v>
          </cell>
        </row>
        <row r="2570">
          <cell r="B2570">
            <v>7960</v>
          </cell>
          <cell r="C2570">
            <v>0</v>
          </cell>
          <cell r="D2570" t="str">
            <v>PHP</v>
          </cell>
          <cell r="E2570">
            <v>0</v>
          </cell>
          <cell r="F2570" t="str">
            <v>PC</v>
          </cell>
          <cell r="G2570">
            <v>0</v>
          </cell>
        </row>
        <row r="2571">
          <cell r="B2571">
            <v>7961</v>
          </cell>
          <cell r="C2571">
            <v>420284.28</v>
          </cell>
          <cell r="D2571" t="str">
            <v>PHP</v>
          </cell>
          <cell r="E2571">
            <v>4</v>
          </cell>
          <cell r="F2571" t="str">
            <v>PC</v>
          </cell>
          <cell r="G2571">
            <v>0</v>
          </cell>
        </row>
        <row r="2572">
          <cell r="B2572">
            <v>7988</v>
          </cell>
          <cell r="C2572">
            <v>439897.5</v>
          </cell>
          <cell r="D2572" t="str">
            <v>PHP</v>
          </cell>
          <cell r="E2572">
            <v>1</v>
          </cell>
          <cell r="F2572" t="str">
            <v>PC</v>
          </cell>
          <cell r="G2572">
            <v>0</v>
          </cell>
        </row>
        <row r="2573">
          <cell r="B2573">
            <v>7989</v>
          </cell>
          <cell r="C2573">
            <v>45705.599999999999</v>
          </cell>
          <cell r="D2573" t="str">
            <v>PHP</v>
          </cell>
          <cell r="E2573">
            <v>3</v>
          </cell>
          <cell r="F2573" t="str">
            <v>PC</v>
          </cell>
          <cell r="G2573">
            <v>0</v>
          </cell>
        </row>
        <row r="2574">
          <cell r="B2574">
            <v>7990</v>
          </cell>
          <cell r="C2574">
            <v>50850.2</v>
          </cell>
          <cell r="D2574" t="str">
            <v>PHP</v>
          </cell>
          <cell r="E2574">
            <v>158</v>
          </cell>
          <cell r="F2574" t="str">
            <v>PC</v>
          </cell>
          <cell r="G2574">
            <v>0</v>
          </cell>
        </row>
        <row r="2575">
          <cell r="B2575">
            <v>7994</v>
          </cell>
          <cell r="C2575">
            <v>490332.43</v>
          </cell>
          <cell r="D2575" t="str">
            <v>PHP</v>
          </cell>
          <cell r="E2575">
            <v>24</v>
          </cell>
          <cell r="F2575" t="str">
            <v>PC</v>
          </cell>
          <cell r="G2575">
            <v>0</v>
          </cell>
        </row>
        <row r="2576">
          <cell r="B2576">
            <v>7995</v>
          </cell>
          <cell r="C2576">
            <v>473960.86</v>
          </cell>
          <cell r="D2576" t="str">
            <v>PHP</v>
          </cell>
          <cell r="E2576">
            <v>21</v>
          </cell>
          <cell r="F2576" t="str">
            <v>PC</v>
          </cell>
          <cell r="G2576">
            <v>0</v>
          </cell>
        </row>
        <row r="2577">
          <cell r="B2577">
            <v>7996</v>
          </cell>
          <cell r="C2577">
            <v>37026</v>
          </cell>
          <cell r="D2577" t="str">
            <v>PHP</v>
          </cell>
          <cell r="E2577">
            <v>3</v>
          </cell>
          <cell r="F2577" t="str">
            <v>PC</v>
          </cell>
          <cell r="G2577">
            <v>0</v>
          </cell>
        </row>
        <row r="2578">
          <cell r="B2578">
            <v>7997</v>
          </cell>
          <cell r="C2578">
            <v>307188.53999999998</v>
          </cell>
          <cell r="D2578" t="str">
            <v>PHP</v>
          </cell>
          <cell r="E2578">
            <v>24</v>
          </cell>
          <cell r="F2578" t="str">
            <v>PC</v>
          </cell>
          <cell r="G2578">
            <v>0</v>
          </cell>
        </row>
        <row r="2579">
          <cell r="B2579">
            <v>8021</v>
          </cell>
          <cell r="C2579">
            <v>0</v>
          </cell>
          <cell r="D2579" t="str">
            <v>PHP</v>
          </cell>
          <cell r="E2579">
            <v>0</v>
          </cell>
          <cell r="F2579" t="str">
            <v>PC</v>
          </cell>
          <cell r="G2579">
            <v>0</v>
          </cell>
        </row>
        <row r="2580">
          <cell r="B2580">
            <v>8024</v>
          </cell>
          <cell r="C2580">
            <v>85959.1</v>
          </cell>
          <cell r="D2580" t="str">
            <v>PHP</v>
          </cell>
          <cell r="E2580">
            <v>2</v>
          </cell>
          <cell r="F2580" t="str">
            <v>PC</v>
          </cell>
          <cell r="G2580">
            <v>0</v>
          </cell>
        </row>
        <row r="2581">
          <cell r="B2581">
            <v>8040</v>
          </cell>
          <cell r="C2581">
            <v>38644.19</v>
          </cell>
          <cell r="D2581" t="str">
            <v>PHP</v>
          </cell>
          <cell r="E2581">
            <v>8</v>
          </cell>
          <cell r="F2581" t="str">
            <v>PC</v>
          </cell>
          <cell r="G2581">
            <v>0</v>
          </cell>
        </row>
        <row r="2582">
          <cell r="B2582">
            <v>8046</v>
          </cell>
          <cell r="C2582">
            <v>0</v>
          </cell>
          <cell r="D2582" t="str">
            <v>PHP</v>
          </cell>
          <cell r="E2582">
            <v>0</v>
          </cell>
          <cell r="F2582" t="str">
            <v>ASY</v>
          </cell>
          <cell r="G2582">
            <v>0</v>
          </cell>
        </row>
        <row r="2583">
          <cell r="B2583">
            <v>8047</v>
          </cell>
          <cell r="C2583">
            <v>4050.01</v>
          </cell>
          <cell r="D2583" t="str">
            <v>PHP</v>
          </cell>
          <cell r="E2583">
            <v>8</v>
          </cell>
          <cell r="F2583" t="str">
            <v>PC</v>
          </cell>
          <cell r="G2583">
            <v>0</v>
          </cell>
        </row>
        <row r="2584">
          <cell r="B2584">
            <v>8049</v>
          </cell>
          <cell r="C2584">
            <v>20360.830000000002</v>
          </cell>
          <cell r="D2584" t="str">
            <v>PHP</v>
          </cell>
          <cell r="E2584">
            <v>4</v>
          </cell>
          <cell r="F2584" t="str">
            <v>ASY</v>
          </cell>
          <cell r="G2584">
            <v>0</v>
          </cell>
        </row>
        <row r="2585">
          <cell r="B2585">
            <v>8073</v>
          </cell>
          <cell r="C2585">
            <v>0</v>
          </cell>
          <cell r="D2585" t="str">
            <v>PHP</v>
          </cell>
          <cell r="E2585">
            <v>0</v>
          </cell>
          <cell r="F2585" t="str">
            <v>PC</v>
          </cell>
          <cell r="G2585">
            <v>0</v>
          </cell>
        </row>
        <row r="2586">
          <cell r="B2586">
            <v>8078</v>
          </cell>
          <cell r="C2586">
            <v>0</v>
          </cell>
          <cell r="D2586" t="str">
            <v>PHP</v>
          </cell>
          <cell r="E2586">
            <v>0</v>
          </cell>
          <cell r="F2586" t="str">
            <v>PC</v>
          </cell>
          <cell r="G2586">
            <v>0</v>
          </cell>
        </row>
        <row r="2587">
          <cell r="B2587">
            <v>8079</v>
          </cell>
          <cell r="C2587">
            <v>17994.349999999999</v>
          </cell>
          <cell r="D2587" t="str">
            <v>PHP</v>
          </cell>
          <cell r="E2587">
            <v>1</v>
          </cell>
          <cell r="F2587" t="str">
            <v>PC</v>
          </cell>
          <cell r="G2587">
            <v>0</v>
          </cell>
        </row>
        <row r="2588">
          <cell r="B2588">
            <v>8082</v>
          </cell>
          <cell r="C2588">
            <v>154.44</v>
          </cell>
          <cell r="D2588" t="str">
            <v>PHP</v>
          </cell>
          <cell r="E2588">
            <v>4</v>
          </cell>
          <cell r="F2588" t="str">
            <v>PC</v>
          </cell>
          <cell r="G2588">
            <v>0</v>
          </cell>
        </row>
        <row r="2589">
          <cell r="B2589">
            <v>8084</v>
          </cell>
          <cell r="C2589">
            <v>22546.880000000001</v>
          </cell>
          <cell r="D2589" t="str">
            <v>PHP</v>
          </cell>
          <cell r="E2589">
            <v>3</v>
          </cell>
          <cell r="F2589" t="str">
            <v>PC</v>
          </cell>
          <cell r="G2589">
            <v>0</v>
          </cell>
        </row>
        <row r="2590">
          <cell r="B2590">
            <v>8086</v>
          </cell>
          <cell r="C2590">
            <v>7143.41</v>
          </cell>
          <cell r="D2590" t="str">
            <v>PHP</v>
          </cell>
          <cell r="E2590">
            <v>3</v>
          </cell>
          <cell r="F2590" t="str">
            <v>PC</v>
          </cell>
          <cell r="G2590">
            <v>0</v>
          </cell>
        </row>
        <row r="2591">
          <cell r="B2591">
            <v>8088</v>
          </cell>
          <cell r="C2591">
            <v>2445.29</v>
          </cell>
          <cell r="D2591" t="str">
            <v>PHP</v>
          </cell>
          <cell r="E2591">
            <v>1</v>
          </cell>
          <cell r="F2591" t="str">
            <v>PC</v>
          </cell>
          <cell r="G2591">
            <v>0</v>
          </cell>
        </row>
        <row r="2592">
          <cell r="B2592">
            <v>8089</v>
          </cell>
          <cell r="C2592">
            <v>2795.18</v>
          </cell>
          <cell r="D2592" t="str">
            <v>PHP</v>
          </cell>
          <cell r="E2592">
            <v>2</v>
          </cell>
          <cell r="F2592" t="str">
            <v>PC</v>
          </cell>
          <cell r="G2592">
            <v>0</v>
          </cell>
        </row>
        <row r="2593">
          <cell r="B2593">
            <v>8091</v>
          </cell>
          <cell r="C2593">
            <v>9975.76</v>
          </cell>
          <cell r="D2593" t="str">
            <v>PHP</v>
          </cell>
          <cell r="E2593">
            <v>2</v>
          </cell>
          <cell r="F2593" t="str">
            <v>PC</v>
          </cell>
          <cell r="G2593">
            <v>0</v>
          </cell>
        </row>
        <row r="2594">
          <cell r="B2594">
            <v>8092</v>
          </cell>
          <cell r="C2594">
            <v>417.51</v>
          </cell>
          <cell r="D2594" t="str">
            <v>PHP</v>
          </cell>
          <cell r="E2594">
            <v>1</v>
          </cell>
          <cell r="F2594" t="str">
            <v>PC</v>
          </cell>
          <cell r="G2594">
            <v>0</v>
          </cell>
        </row>
        <row r="2595">
          <cell r="B2595">
            <v>8093</v>
          </cell>
          <cell r="C2595">
            <v>0</v>
          </cell>
          <cell r="D2595" t="str">
            <v>PHP</v>
          </cell>
          <cell r="E2595">
            <v>0</v>
          </cell>
          <cell r="F2595" t="str">
            <v>PC</v>
          </cell>
          <cell r="G2595">
            <v>0</v>
          </cell>
        </row>
        <row r="2596">
          <cell r="B2596">
            <v>8095</v>
          </cell>
          <cell r="C2596">
            <v>593447.39</v>
          </cell>
          <cell r="D2596" t="str">
            <v>PHP</v>
          </cell>
          <cell r="E2596">
            <v>6</v>
          </cell>
          <cell r="F2596" t="str">
            <v>PC</v>
          </cell>
          <cell r="G2596">
            <v>0</v>
          </cell>
        </row>
        <row r="2597">
          <cell r="B2597">
            <v>8096</v>
          </cell>
          <cell r="C2597">
            <v>449979.93</v>
          </cell>
          <cell r="D2597" t="str">
            <v>PHP</v>
          </cell>
          <cell r="E2597">
            <v>4</v>
          </cell>
          <cell r="F2597" t="str">
            <v>PC</v>
          </cell>
          <cell r="G2597">
            <v>0</v>
          </cell>
        </row>
        <row r="2598">
          <cell r="B2598">
            <v>8097</v>
          </cell>
          <cell r="C2598">
            <v>1235155.5900000001</v>
          </cell>
          <cell r="D2598" t="str">
            <v>PHP</v>
          </cell>
          <cell r="E2598">
            <v>11</v>
          </cell>
          <cell r="F2598" t="str">
            <v>PC</v>
          </cell>
          <cell r="G2598">
            <v>0</v>
          </cell>
        </row>
        <row r="2599">
          <cell r="B2599">
            <v>8099</v>
          </cell>
          <cell r="C2599">
            <v>0</v>
          </cell>
          <cell r="D2599" t="str">
            <v>PHP</v>
          </cell>
          <cell r="E2599">
            <v>0</v>
          </cell>
          <cell r="F2599" t="str">
            <v>PC</v>
          </cell>
          <cell r="G2599">
            <v>0</v>
          </cell>
        </row>
        <row r="2600">
          <cell r="B2600">
            <v>8102</v>
          </cell>
          <cell r="C2600">
            <v>8090</v>
          </cell>
          <cell r="D2600" t="str">
            <v>PHP</v>
          </cell>
          <cell r="E2600">
            <v>1</v>
          </cell>
          <cell r="F2600" t="str">
            <v>PC</v>
          </cell>
          <cell r="G2600">
            <v>0</v>
          </cell>
        </row>
        <row r="2601">
          <cell r="B2601">
            <v>8104</v>
          </cell>
          <cell r="C2601">
            <v>13322.88</v>
          </cell>
          <cell r="D2601" t="str">
            <v>PHP</v>
          </cell>
          <cell r="E2601">
            <v>2</v>
          </cell>
          <cell r="F2601" t="str">
            <v>PC</v>
          </cell>
          <cell r="G2601">
            <v>0</v>
          </cell>
        </row>
        <row r="2602">
          <cell r="B2602">
            <v>8105</v>
          </cell>
          <cell r="C2602">
            <v>8171.8</v>
          </cell>
          <cell r="D2602" t="str">
            <v>PHP</v>
          </cell>
          <cell r="E2602">
            <v>2</v>
          </cell>
          <cell r="F2602" t="str">
            <v>PC</v>
          </cell>
          <cell r="G2602">
            <v>0</v>
          </cell>
        </row>
        <row r="2603">
          <cell r="B2603">
            <v>8107</v>
          </cell>
          <cell r="C2603">
            <v>36813.15</v>
          </cell>
          <cell r="D2603" t="str">
            <v>PHP</v>
          </cell>
          <cell r="E2603">
            <v>4</v>
          </cell>
          <cell r="F2603" t="str">
            <v>ASY</v>
          </cell>
          <cell r="G2603">
            <v>0</v>
          </cell>
        </row>
        <row r="2604">
          <cell r="B2604">
            <v>8109</v>
          </cell>
          <cell r="C2604">
            <v>513018.38</v>
          </cell>
          <cell r="D2604" t="str">
            <v>PHP</v>
          </cell>
          <cell r="E2604">
            <v>2</v>
          </cell>
          <cell r="F2604" t="str">
            <v>ASY</v>
          </cell>
          <cell r="G2604">
            <v>0</v>
          </cell>
        </row>
        <row r="2605">
          <cell r="B2605">
            <v>8110</v>
          </cell>
          <cell r="C2605">
            <v>10630.95</v>
          </cell>
          <cell r="D2605" t="str">
            <v>PHP</v>
          </cell>
          <cell r="E2605">
            <v>5</v>
          </cell>
          <cell r="F2605" t="str">
            <v>PC</v>
          </cell>
          <cell r="G2605">
            <v>0</v>
          </cell>
        </row>
        <row r="2606">
          <cell r="B2606">
            <v>8111</v>
          </cell>
          <cell r="C2606">
            <v>25864.76</v>
          </cell>
          <cell r="D2606" t="str">
            <v>PHP</v>
          </cell>
          <cell r="E2606">
            <v>3</v>
          </cell>
          <cell r="F2606" t="str">
            <v>PC</v>
          </cell>
          <cell r="G2606">
            <v>0</v>
          </cell>
        </row>
        <row r="2607">
          <cell r="B2607">
            <v>8112</v>
          </cell>
          <cell r="C2607">
            <v>5459.92</v>
          </cell>
          <cell r="D2607" t="str">
            <v>PHP</v>
          </cell>
          <cell r="E2607">
            <v>2</v>
          </cell>
          <cell r="F2607" t="str">
            <v>PC</v>
          </cell>
          <cell r="G2607">
            <v>0</v>
          </cell>
        </row>
        <row r="2608">
          <cell r="B2608">
            <v>8113</v>
          </cell>
          <cell r="C2608">
            <v>170383.97</v>
          </cell>
          <cell r="D2608" t="str">
            <v>PHP</v>
          </cell>
          <cell r="E2608">
            <v>5</v>
          </cell>
          <cell r="F2608" t="str">
            <v>ASY</v>
          </cell>
          <cell r="G2608">
            <v>0</v>
          </cell>
        </row>
        <row r="2609">
          <cell r="B2609">
            <v>8115</v>
          </cell>
          <cell r="C2609">
            <v>13513.37</v>
          </cell>
          <cell r="D2609" t="str">
            <v>PHP</v>
          </cell>
          <cell r="E2609">
            <v>2</v>
          </cell>
          <cell r="F2609" t="str">
            <v>PC</v>
          </cell>
          <cell r="G2609">
            <v>0</v>
          </cell>
        </row>
        <row r="2610">
          <cell r="B2610">
            <v>8117</v>
          </cell>
          <cell r="C2610">
            <v>736</v>
          </cell>
          <cell r="D2610" t="str">
            <v>PHP</v>
          </cell>
          <cell r="E2610">
            <v>2</v>
          </cell>
          <cell r="F2610" t="str">
            <v>PC</v>
          </cell>
          <cell r="G2610">
            <v>0</v>
          </cell>
        </row>
        <row r="2611">
          <cell r="B2611">
            <v>8118</v>
          </cell>
          <cell r="C2611">
            <v>466695.44</v>
          </cell>
          <cell r="D2611" t="str">
            <v>PHP</v>
          </cell>
          <cell r="E2611">
            <v>3</v>
          </cell>
          <cell r="F2611" t="str">
            <v>PC</v>
          </cell>
          <cell r="G2611">
            <v>0</v>
          </cell>
        </row>
        <row r="2612">
          <cell r="B2612">
            <v>8120</v>
          </cell>
          <cell r="C2612">
            <v>4112.72</v>
          </cell>
          <cell r="D2612" t="str">
            <v>PHP</v>
          </cell>
          <cell r="E2612">
            <v>5</v>
          </cell>
          <cell r="F2612" t="str">
            <v>PC</v>
          </cell>
          <cell r="G2612">
            <v>0</v>
          </cell>
        </row>
        <row r="2613">
          <cell r="B2613">
            <v>8123</v>
          </cell>
          <cell r="C2613">
            <v>16055.61</v>
          </cell>
          <cell r="D2613" t="str">
            <v>PHP</v>
          </cell>
          <cell r="E2613">
            <v>16</v>
          </cell>
          <cell r="F2613" t="str">
            <v>PC</v>
          </cell>
          <cell r="G2613">
            <v>0</v>
          </cell>
        </row>
        <row r="2614">
          <cell r="B2614">
            <v>8125</v>
          </cell>
          <cell r="C2614">
            <v>15430.38</v>
          </cell>
          <cell r="D2614" t="str">
            <v>PHP</v>
          </cell>
          <cell r="E2614">
            <v>3</v>
          </cell>
          <cell r="F2614" t="str">
            <v>PC</v>
          </cell>
          <cell r="G2614">
            <v>0</v>
          </cell>
        </row>
        <row r="2615">
          <cell r="B2615">
            <v>8126</v>
          </cell>
          <cell r="C2615">
            <v>138000</v>
          </cell>
          <cell r="D2615" t="str">
            <v>PHP</v>
          </cell>
          <cell r="E2615">
            <v>4</v>
          </cell>
          <cell r="F2615" t="str">
            <v>PC</v>
          </cell>
          <cell r="G2615">
            <v>0</v>
          </cell>
        </row>
        <row r="2616">
          <cell r="B2616">
            <v>8127</v>
          </cell>
          <cell r="C2616">
            <v>72086.399999999994</v>
          </cell>
          <cell r="D2616" t="str">
            <v>PHP</v>
          </cell>
          <cell r="E2616">
            <v>3</v>
          </cell>
          <cell r="F2616" t="str">
            <v>PC</v>
          </cell>
          <cell r="G2616">
            <v>0</v>
          </cell>
        </row>
        <row r="2617">
          <cell r="B2617">
            <v>8131</v>
          </cell>
          <cell r="C2617">
            <v>90200</v>
          </cell>
          <cell r="D2617" t="str">
            <v>PHP</v>
          </cell>
          <cell r="E2617">
            <v>2</v>
          </cell>
          <cell r="F2617" t="str">
            <v>PC</v>
          </cell>
          <cell r="G2617">
            <v>0</v>
          </cell>
        </row>
        <row r="2618">
          <cell r="B2618">
            <v>8132</v>
          </cell>
          <cell r="C2618">
            <v>0</v>
          </cell>
          <cell r="D2618" t="str">
            <v>PHP</v>
          </cell>
          <cell r="E2618">
            <v>0</v>
          </cell>
          <cell r="F2618" t="str">
            <v>PC</v>
          </cell>
          <cell r="G2618">
            <v>0</v>
          </cell>
        </row>
        <row r="2619">
          <cell r="B2619">
            <v>8133</v>
          </cell>
          <cell r="C2619">
            <v>130625</v>
          </cell>
          <cell r="D2619" t="str">
            <v>PHP</v>
          </cell>
          <cell r="E2619">
            <v>1</v>
          </cell>
          <cell r="F2619" t="str">
            <v>PC</v>
          </cell>
          <cell r="G2619">
            <v>0</v>
          </cell>
        </row>
        <row r="2620">
          <cell r="B2620">
            <v>8134</v>
          </cell>
          <cell r="C2620">
            <v>0</v>
          </cell>
          <cell r="D2620" t="str">
            <v>PHP</v>
          </cell>
          <cell r="E2620">
            <v>0</v>
          </cell>
          <cell r="F2620" t="str">
            <v>PC</v>
          </cell>
          <cell r="G2620">
            <v>0</v>
          </cell>
        </row>
        <row r="2621">
          <cell r="B2621">
            <v>8135</v>
          </cell>
          <cell r="C2621">
            <v>7565.8</v>
          </cell>
          <cell r="D2621" t="str">
            <v>PHP</v>
          </cell>
          <cell r="E2621">
            <v>2</v>
          </cell>
          <cell r="F2621" t="str">
            <v>PC</v>
          </cell>
          <cell r="G2621">
            <v>0</v>
          </cell>
        </row>
        <row r="2622">
          <cell r="B2622">
            <v>8136</v>
          </cell>
          <cell r="C2622">
            <v>54054</v>
          </cell>
          <cell r="D2622" t="str">
            <v>PHP</v>
          </cell>
          <cell r="E2622">
            <v>1</v>
          </cell>
          <cell r="F2622" t="str">
            <v>PC</v>
          </cell>
          <cell r="G2622">
            <v>0</v>
          </cell>
        </row>
        <row r="2623">
          <cell r="B2623">
            <v>8137</v>
          </cell>
          <cell r="C2623">
            <v>8316</v>
          </cell>
          <cell r="D2623" t="str">
            <v>PHP</v>
          </cell>
          <cell r="E2623">
            <v>2</v>
          </cell>
          <cell r="F2623" t="str">
            <v>PC</v>
          </cell>
          <cell r="G2623">
            <v>0</v>
          </cell>
        </row>
        <row r="2624">
          <cell r="B2624">
            <v>8139</v>
          </cell>
          <cell r="C2624">
            <v>40194</v>
          </cell>
          <cell r="D2624" t="str">
            <v>PHP</v>
          </cell>
          <cell r="E2624">
            <v>2</v>
          </cell>
          <cell r="F2624" t="str">
            <v>PC</v>
          </cell>
          <cell r="G2624">
            <v>0</v>
          </cell>
        </row>
        <row r="2625">
          <cell r="B2625">
            <v>8140</v>
          </cell>
          <cell r="C2625">
            <v>57860</v>
          </cell>
          <cell r="D2625" t="str">
            <v>PHP</v>
          </cell>
          <cell r="E2625">
            <v>4</v>
          </cell>
          <cell r="F2625" t="str">
            <v>PC</v>
          </cell>
          <cell r="G2625">
            <v>0</v>
          </cell>
        </row>
        <row r="2626">
          <cell r="B2626">
            <v>8141</v>
          </cell>
          <cell r="C2626">
            <v>161180.25</v>
          </cell>
          <cell r="D2626" t="str">
            <v>PHP</v>
          </cell>
          <cell r="E2626">
            <v>1</v>
          </cell>
          <cell r="F2626" t="str">
            <v>PC</v>
          </cell>
          <cell r="G2626">
            <v>0</v>
          </cell>
        </row>
        <row r="2627">
          <cell r="B2627">
            <v>8142</v>
          </cell>
          <cell r="C2627">
            <v>13860</v>
          </cell>
          <cell r="D2627" t="str">
            <v>PHP</v>
          </cell>
          <cell r="E2627">
            <v>2</v>
          </cell>
          <cell r="F2627" t="str">
            <v>PC</v>
          </cell>
          <cell r="G2627">
            <v>0</v>
          </cell>
        </row>
        <row r="2628">
          <cell r="B2628">
            <v>8143</v>
          </cell>
          <cell r="C2628">
            <v>18920</v>
          </cell>
          <cell r="D2628" t="str">
            <v>PHP</v>
          </cell>
          <cell r="E2628">
            <v>2</v>
          </cell>
          <cell r="F2628" t="str">
            <v>PC</v>
          </cell>
          <cell r="G2628">
            <v>0</v>
          </cell>
        </row>
        <row r="2629">
          <cell r="B2629">
            <v>8144</v>
          </cell>
          <cell r="C2629">
            <v>56109.36</v>
          </cell>
          <cell r="D2629" t="str">
            <v>PHP</v>
          </cell>
          <cell r="E2629">
            <v>2</v>
          </cell>
          <cell r="F2629" t="str">
            <v>PC</v>
          </cell>
          <cell r="G2629">
            <v>0</v>
          </cell>
        </row>
        <row r="2630">
          <cell r="B2630">
            <v>8145</v>
          </cell>
          <cell r="C2630">
            <v>86031.24</v>
          </cell>
          <cell r="D2630" t="str">
            <v>PHP</v>
          </cell>
          <cell r="E2630">
            <v>2</v>
          </cell>
          <cell r="F2630" t="str">
            <v>PC</v>
          </cell>
          <cell r="G2630">
            <v>0</v>
          </cell>
        </row>
        <row r="2631">
          <cell r="B2631">
            <v>8146</v>
          </cell>
          <cell r="C2631">
            <v>113545</v>
          </cell>
          <cell r="D2631" t="str">
            <v>PHP</v>
          </cell>
          <cell r="E2631">
            <v>5</v>
          </cell>
          <cell r="F2631" t="str">
            <v>PC</v>
          </cell>
          <cell r="G2631">
            <v>0</v>
          </cell>
        </row>
        <row r="2632">
          <cell r="B2632">
            <v>8147</v>
          </cell>
          <cell r="C2632">
            <v>80505</v>
          </cell>
          <cell r="D2632" t="str">
            <v>PHP</v>
          </cell>
          <cell r="E2632">
            <v>5</v>
          </cell>
          <cell r="F2632" t="str">
            <v>PC</v>
          </cell>
          <cell r="G2632">
            <v>0</v>
          </cell>
        </row>
        <row r="2633">
          <cell r="B2633">
            <v>8148</v>
          </cell>
          <cell r="C2633">
            <v>49250</v>
          </cell>
          <cell r="D2633" t="str">
            <v>PHP</v>
          </cell>
          <cell r="E2633">
            <v>5</v>
          </cell>
          <cell r="F2633" t="str">
            <v>PC</v>
          </cell>
          <cell r="G2633">
            <v>0</v>
          </cell>
        </row>
        <row r="2634">
          <cell r="B2634">
            <v>8149</v>
          </cell>
          <cell r="C2634">
            <v>4030.72</v>
          </cell>
          <cell r="D2634" t="str">
            <v>PHP</v>
          </cell>
          <cell r="E2634">
            <v>4</v>
          </cell>
          <cell r="F2634" t="str">
            <v>PC</v>
          </cell>
          <cell r="G2634">
            <v>0</v>
          </cell>
        </row>
        <row r="2635">
          <cell r="B2635">
            <v>8150</v>
          </cell>
          <cell r="C2635">
            <v>31692.61</v>
          </cell>
          <cell r="D2635" t="str">
            <v>PHP</v>
          </cell>
          <cell r="E2635">
            <v>3</v>
          </cell>
          <cell r="F2635" t="str">
            <v>PC</v>
          </cell>
          <cell r="G2635">
            <v>0</v>
          </cell>
        </row>
        <row r="2636">
          <cell r="B2636">
            <v>8151</v>
          </cell>
          <cell r="C2636">
            <v>152437.94</v>
          </cell>
          <cell r="D2636" t="str">
            <v>PHP</v>
          </cell>
          <cell r="E2636">
            <v>2</v>
          </cell>
          <cell r="F2636" t="str">
            <v>PC</v>
          </cell>
          <cell r="G2636">
            <v>0</v>
          </cell>
        </row>
        <row r="2637">
          <cell r="B2637">
            <v>8154</v>
          </cell>
          <cell r="C2637">
            <v>311517.40000000002</v>
          </cell>
          <cell r="D2637" t="str">
            <v>PHP</v>
          </cell>
          <cell r="E2637">
            <v>2</v>
          </cell>
          <cell r="F2637" t="str">
            <v>PC</v>
          </cell>
          <cell r="G2637">
            <v>0</v>
          </cell>
        </row>
        <row r="2638">
          <cell r="B2638">
            <v>8155</v>
          </cell>
          <cell r="C2638">
            <v>342938</v>
          </cell>
          <cell r="D2638" t="str">
            <v>PHP</v>
          </cell>
          <cell r="E2638">
            <v>1</v>
          </cell>
          <cell r="F2638" t="str">
            <v>PC</v>
          </cell>
          <cell r="G2638">
            <v>0</v>
          </cell>
        </row>
        <row r="2639">
          <cell r="B2639">
            <v>8156</v>
          </cell>
          <cell r="C2639">
            <v>24680.42</v>
          </cell>
          <cell r="D2639" t="str">
            <v>PHP</v>
          </cell>
          <cell r="E2639">
            <v>2</v>
          </cell>
          <cell r="F2639" t="str">
            <v>PC</v>
          </cell>
          <cell r="G2639">
            <v>0</v>
          </cell>
        </row>
        <row r="2640">
          <cell r="B2640">
            <v>8157</v>
          </cell>
          <cell r="C2640">
            <v>187013</v>
          </cell>
          <cell r="D2640" t="str">
            <v>PHP</v>
          </cell>
          <cell r="E2640">
            <v>1</v>
          </cell>
          <cell r="F2640" t="str">
            <v>PC</v>
          </cell>
          <cell r="G2640">
            <v>0</v>
          </cell>
        </row>
        <row r="2641">
          <cell r="B2641">
            <v>8158</v>
          </cell>
          <cell r="C2641">
            <v>133702.85999999999</v>
          </cell>
          <cell r="D2641" t="str">
            <v>PHP</v>
          </cell>
          <cell r="E2641">
            <v>1</v>
          </cell>
          <cell r="F2641" t="str">
            <v>PC</v>
          </cell>
          <cell r="G2641">
            <v>0</v>
          </cell>
        </row>
        <row r="2642">
          <cell r="B2642">
            <v>8160</v>
          </cell>
          <cell r="C2642">
            <v>0</v>
          </cell>
          <cell r="D2642" t="str">
            <v>PHP</v>
          </cell>
          <cell r="E2642">
            <v>0</v>
          </cell>
          <cell r="F2642" t="str">
            <v>PC</v>
          </cell>
          <cell r="G2642">
            <v>0</v>
          </cell>
        </row>
        <row r="2643">
          <cell r="B2643">
            <v>8165</v>
          </cell>
          <cell r="C2643">
            <v>337507.58</v>
          </cell>
          <cell r="D2643" t="str">
            <v>PHP</v>
          </cell>
          <cell r="E2643">
            <v>8</v>
          </cell>
          <cell r="F2643" t="str">
            <v>PC</v>
          </cell>
          <cell r="G2643">
            <v>0</v>
          </cell>
        </row>
        <row r="2644">
          <cell r="B2644">
            <v>8167</v>
          </cell>
          <cell r="C2644">
            <v>30300</v>
          </cell>
          <cell r="D2644" t="str">
            <v>PHP</v>
          </cell>
          <cell r="E2644">
            <v>3</v>
          </cell>
          <cell r="F2644" t="str">
            <v>PC</v>
          </cell>
          <cell r="G2644">
            <v>0</v>
          </cell>
        </row>
        <row r="2645">
          <cell r="B2645">
            <v>8168</v>
          </cell>
          <cell r="C2645">
            <v>0</v>
          </cell>
          <cell r="D2645" t="str">
            <v>PHP</v>
          </cell>
          <cell r="E2645">
            <v>0</v>
          </cell>
          <cell r="F2645" t="str">
            <v>PC</v>
          </cell>
          <cell r="G2645">
            <v>0</v>
          </cell>
        </row>
        <row r="2646">
          <cell r="B2646">
            <v>8170</v>
          </cell>
          <cell r="C2646">
            <v>0</v>
          </cell>
          <cell r="D2646" t="str">
            <v>PHP</v>
          </cell>
          <cell r="E2646">
            <v>0</v>
          </cell>
          <cell r="F2646" t="str">
            <v>PC</v>
          </cell>
          <cell r="G2646">
            <v>0</v>
          </cell>
        </row>
        <row r="2647">
          <cell r="B2647">
            <v>8172</v>
          </cell>
          <cell r="C2647">
            <v>195914.67</v>
          </cell>
          <cell r="D2647" t="str">
            <v>PHP</v>
          </cell>
          <cell r="E2647">
            <v>30</v>
          </cell>
          <cell r="F2647" t="str">
            <v>PC</v>
          </cell>
          <cell r="G2647">
            <v>0</v>
          </cell>
        </row>
        <row r="2648">
          <cell r="B2648">
            <v>8173</v>
          </cell>
          <cell r="C2648">
            <v>26305.8</v>
          </cell>
          <cell r="D2648" t="str">
            <v>PHP</v>
          </cell>
          <cell r="E2648">
            <v>2</v>
          </cell>
          <cell r="F2648" t="str">
            <v>PC</v>
          </cell>
          <cell r="G2648">
            <v>0</v>
          </cell>
        </row>
        <row r="2649">
          <cell r="B2649">
            <v>8174</v>
          </cell>
          <cell r="C2649">
            <v>0</v>
          </cell>
          <cell r="D2649" t="str">
            <v>PHP</v>
          </cell>
          <cell r="E2649">
            <v>0</v>
          </cell>
          <cell r="F2649" t="str">
            <v>PC</v>
          </cell>
          <cell r="G2649">
            <v>0</v>
          </cell>
        </row>
        <row r="2650">
          <cell r="B2650">
            <v>8176</v>
          </cell>
          <cell r="C2650">
            <v>6575.01</v>
          </cell>
          <cell r="D2650" t="str">
            <v>PHP</v>
          </cell>
          <cell r="E2650">
            <v>3</v>
          </cell>
          <cell r="F2650" t="str">
            <v>PC</v>
          </cell>
          <cell r="G2650">
            <v>0</v>
          </cell>
        </row>
        <row r="2651">
          <cell r="B2651">
            <v>8179</v>
          </cell>
          <cell r="C2651">
            <v>61131.33</v>
          </cell>
          <cell r="D2651" t="str">
            <v>PHP</v>
          </cell>
          <cell r="E2651">
            <v>2</v>
          </cell>
          <cell r="F2651" t="str">
            <v>PC</v>
          </cell>
          <cell r="G2651">
            <v>0</v>
          </cell>
        </row>
        <row r="2652">
          <cell r="B2652">
            <v>8180</v>
          </cell>
          <cell r="C2652">
            <v>34867.550000000003</v>
          </cell>
          <cell r="D2652" t="str">
            <v>PHP</v>
          </cell>
          <cell r="E2652">
            <v>2</v>
          </cell>
          <cell r="F2652" t="str">
            <v>PC</v>
          </cell>
          <cell r="G2652">
            <v>0</v>
          </cell>
        </row>
        <row r="2653">
          <cell r="B2653">
            <v>8181</v>
          </cell>
          <cell r="C2653">
            <v>60146.720000000001</v>
          </cell>
          <cell r="D2653" t="str">
            <v>PHP</v>
          </cell>
          <cell r="E2653">
            <v>1</v>
          </cell>
          <cell r="F2653" t="str">
            <v>PC</v>
          </cell>
          <cell r="G2653">
            <v>0</v>
          </cell>
        </row>
        <row r="2654">
          <cell r="B2654">
            <v>8182</v>
          </cell>
          <cell r="C2654">
            <v>0</v>
          </cell>
          <cell r="D2654" t="str">
            <v>PHP</v>
          </cell>
          <cell r="E2654">
            <v>0</v>
          </cell>
          <cell r="F2654" t="str">
            <v>PC</v>
          </cell>
          <cell r="G2654">
            <v>0</v>
          </cell>
        </row>
        <row r="2655">
          <cell r="B2655">
            <v>8183</v>
          </cell>
          <cell r="C2655">
            <v>36832</v>
          </cell>
          <cell r="D2655" t="str">
            <v>PHP</v>
          </cell>
          <cell r="E2655">
            <v>8</v>
          </cell>
          <cell r="F2655" t="str">
            <v>PC</v>
          </cell>
          <cell r="G2655">
            <v>0</v>
          </cell>
        </row>
        <row r="2656">
          <cell r="B2656">
            <v>8186</v>
          </cell>
          <cell r="C2656">
            <v>261890.18</v>
          </cell>
          <cell r="D2656" t="str">
            <v>PHP</v>
          </cell>
          <cell r="E2656">
            <v>1</v>
          </cell>
          <cell r="F2656" t="str">
            <v>PC</v>
          </cell>
          <cell r="G2656">
            <v>0</v>
          </cell>
        </row>
        <row r="2657">
          <cell r="B2657">
            <v>8189</v>
          </cell>
          <cell r="C2657">
            <v>34630.36</v>
          </cell>
          <cell r="D2657" t="str">
            <v>PHP</v>
          </cell>
          <cell r="E2657">
            <v>1</v>
          </cell>
          <cell r="F2657" t="str">
            <v>PC</v>
          </cell>
          <cell r="G2657">
            <v>0</v>
          </cell>
        </row>
        <row r="2658">
          <cell r="B2658">
            <v>8191</v>
          </cell>
          <cell r="C2658">
            <v>32036.7</v>
          </cell>
          <cell r="D2658" t="str">
            <v>PHP</v>
          </cell>
          <cell r="E2658">
            <v>3</v>
          </cell>
          <cell r="F2658" t="str">
            <v>PC</v>
          </cell>
          <cell r="G2658">
            <v>0</v>
          </cell>
        </row>
        <row r="2659">
          <cell r="B2659">
            <v>8192</v>
          </cell>
          <cell r="C2659">
            <v>11909.18</v>
          </cell>
          <cell r="D2659" t="str">
            <v>PHP</v>
          </cell>
          <cell r="E2659">
            <v>2</v>
          </cell>
          <cell r="F2659" t="str">
            <v>PC</v>
          </cell>
          <cell r="G2659">
            <v>0</v>
          </cell>
        </row>
        <row r="2660">
          <cell r="B2660">
            <v>8193</v>
          </cell>
          <cell r="C2660">
            <v>15144.11</v>
          </cell>
          <cell r="D2660" t="str">
            <v>PHP</v>
          </cell>
          <cell r="E2660">
            <v>1</v>
          </cell>
          <cell r="F2660" t="str">
            <v>PC</v>
          </cell>
          <cell r="G2660">
            <v>0</v>
          </cell>
        </row>
        <row r="2661">
          <cell r="B2661">
            <v>8194</v>
          </cell>
          <cell r="C2661">
            <v>0</v>
          </cell>
          <cell r="D2661" t="str">
            <v>PHP</v>
          </cell>
          <cell r="E2661">
            <v>0</v>
          </cell>
          <cell r="F2661" t="str">
            <v>PC</v>
          </cell>
          <cell r="G2661">
            <v>0</v>
          </cell>
        </row>
        <row r="2662">
          <cell r="B2662">
            <v>8196</v>
          </cell>
          <cell r="C2662">
            <v>4598.32</v>
          </cell>
          <cell r="D2662" t="str">
            <v>PHP</v>
          </cell>
          <cell r="E2662">
            <v>1</v>
          </cell>
          <cell r="F2662" t="str">
            <v>PC</v>
          </cell>
          <cell r="G2662">
            <v>0</v>
          </cell>
        </row>
        <row r="2663">
          <cell r="B2663">
            <v>8197</v>
          </cell>
          <cell r="C2663">
            <v>0</v>
          </cell>
          <cell r="D2663" t="str">
            <v>PHP</v>
          </cell>
          <cell r="E2663">
            <v>0</v>
          </cell>
          <cell r="F2663" t="str">
            <v>PC</v>
          </cell>
          <cell r="G2663">
            <v>0</v>
          </cell>
        </row>
        <row r="2664">
          <cell r="B2664">
            <v>8200</v>
          </cell>
          <cell r="C2664">
            <v>0</v>
          </cell>
          <cell r="D2664" t="str">
            <v>PHP</v>
          </cell>
          <cell r="E2664">
            <v>0</v>
          </cell>
          <cell r="F2664" t="str">
            <v>PC</v>
          </cell>
          <cell r="G2664">
            <v>0</v>
          </cell>
        </row>
        <row r="2665">
          <cell r="B2665">
            <v>8203</v>
          </cell>
          <cell r="C2665">
            <v>52108.44</v>
          </cell>
          <cell r="D2665" t="str">
            <v>PHP</v>
          </cell>
          <cell r="E2665">
            <v>2</v>
          </cell>
          <cell r="F2665" t="str">
            <v>PC</v>
          </cell>
          <cell r="G2665">
            <v>0</v>
          </cell>
        </row>
        <row r="2666">
          <cell r="B2666">
            <v>8204</v>
          </cell>
          <cell r="C2666">
            <v>23863.21</v>
          </cell>
          <cell r="D2666" t="str">
            <v>PHP</v>
          </cell>
          <cell r="E2666">
            <v>1</v>
          </cell>
          <cell r="F2666" t="str">
            <v>PC</v>
          </cell>
          <cell r="G2666">
            <v>0</v>
          </cell>
        </row>
        <row r="2667">
          <cell r="B2667">
            <v>8205</v>
          </cell>
          <cell r="C2667">
            <v>103923.4</v>
          </cell>
          <cell r="D2667" t="str">
            <v>PHP</v>
          </cell>
          <cell r="E2667">
            <v>2</v>
          </cell>
          <cell r="F2667" t="str">
            <v>PC</v>
          </cell>
          <cell r="G2667">
            <v>0</v>
          </cell>
        </row>
        <row r="2668">
          <cell r="B2668">
            <v>8207</v>
          </cell>
          <cell r="C2668">
            <v>12380.91</v>
          </cell>
          <cell r="D2668" t="str">
            <v>PHP</v>
          </cell>
          <cell r="E2668">
            <v>1</v>
          </cell>
          <cell r="F2668" t="str">
            <v>PC</v>
          </cell>
          <cell r="G2668">
            <v>0</v>
          </cell>
        </row>
        <row r="2669">
          <cell r="B2669">
            <v>8213</v>
          </cell>
          <cell r="C2669">
            <v>80923.92</v>
          </cell>
          <cell r="D2669" t="str">
            <v>PHP</v>
          </cell>
          <cell r="E2669">
            <v>4</v>
          </cell>
          <cell r="F2669" t="str">
            <v>PC</v>
          </cell>
          <cell r="G2669">
            <v>0</v>
          </cell>
        </row>
        <row r="2670">
          <cell r="B2670">
            <v>8221</v>
          </cell>
          <cell r="C2670">
            <v>272962.95</v>
          </cell>
          <cell r="D2670" t="str">
            <v>PHP</v>
          </cell>
          <cell r="E2670">
            <v>12</v>
          </cell>
          <cell r="F2670" t="str">
            <v>PC</v>
          </cell>
          <cell r="G2670">
            <v>0</v>
          </cell>
        </row>
        <row r="2671">
          <cell r="B2671">
            <v>8222</v>
          </cell>
          <cell r="C2671">
            <v>481209.38</v>
          </cell>
          <cell r="D2671" t="str">
            <v>PHP</v>
          </cell>
          <cell r="E2671">
            <v>102</v>
          </cell>
          <cell r="F2671" t="str">
            <v>PC</v>
          </cell>
          <cell r="G2671">
            <v>0</v>
          </cell>
        </row>
        <row r="2672">
          <cell r="B2672">
            <v>8224</v>
          </cell>
          <cell r="C2672">
            <v>0</v>
          </cell>
          <cell r="D2672" t="str">
            <v>PHP</v>
          </cell>
          <cell r="E2672">
            <v>0</v>
          </cell>
          <cell r="F2672" t="str">
            <v>PC</v>
          </cell>
          <cell r="G2672">
            <v>0</v>
          </cell>
        </row>
        <row r="2673">
          <cell r="B2673">
            <v>8226</v>
          </cell>
          <cell r="C2673">
            <v>525737.62</v>
          </cell>
          <cell r="D2673" t="str">
            <v>PHP</v>
          </cell>
          <cell r="E2673">
            <v>108</v>
          </cell>
          <cell r="F2673" t="str">
            <v>ASY</v>
          </cell>
          <cell r="G2673">
            <v>0</v>
          </cell>
        </row>
        <row r="2674">
          <cell r="B2674">
            <v>8227</v>
          </cell>
          <cell r="C2674">
            <v>95552.88</v>
          </cell>
          <cell r="D2674" t="str">
            <v>PHP</v>
          </cell>
          <cell r="E2674">
            <v>24</v>
          </cell>
          <cell r="F2674" t="str">
            <v>PC</v>
          </cell>
          <cell r="G2674">
            <v>0</v>
          </cell>
        </row>
        <row r="2675">
          <cell r="B2675">
            <v>8228</v>
          </cell>
          <cell r="C2675">
            <v>51731.68</v>
          </cell>
          <cell r="D2675" t="str">
            <v>PHP</v>
          </cell>
          <cell r="E2675">
            <v>14</v>
          </cell>
          <cell r="F2675" t="str">
            <v>PC</v>
          </cell>
          <cell r="G2675">
            <v>0</v>
          </cell>
        </row>
        <row r="2676">
          <cell r="B2676">
            <v>8229</v>
          </cell>
          <cell r="C2676">
            <v>42716.18</v>
          </cell>
          <cell r="D2676" t="str">
            <v>PHP</v>
          </cell>
          <cell r="E2676">
            <v>55</v>
          </cell>
          <cell r="F2676" t="str">
            <v>PC</v>
          </cell>
          <cell r="G2676">
            <v>0</v>
          </cell>
        </row>
        <row r="2677">
          <cell r="B2677">
            <v>8230</v>
          </cell>
          <cell r="C2677">
            <v>675670.5</v>
          </cell>
          <cell r="D2677" t="str">
            <v>PHP</v>
          </cell>
          <cell r="E2677">
            <v>90</v>
          </cell>
          <cell r="F2677" t="str">
            <v>ASY</v>
          </cell>
          <cell r="G2677">
            <v>0</v>
          </cell>
        </row>
        <row r="2678">
          <cell r="B2678">
            <v>8241</v>
          </cell>
          <cell r="C2678">
            <v>80817.38</v>
          </cell>
          <cell r="D2678" t="str">
            <v>PHP</v>
          </cell>
          <cell r="E2678">
            <v>7</v>
          </cell>
          <cell r="F2678" t="str">
            <v>PC</v>
          </cell>
          <cell r="G2678">
            <v>0</v>
          </cell>
        </row>
        <row r="2679">
          <cell r="B2679">
            <v>8247</v>
          </cell>
          <cell r="C2679">
            <v>429935.82</v>
          </cell>
          <cell r="D2679" t="str">
            <v>PHP</v>
          </cell>
          <cell r="E2679">
            <v>3</v>
          </cell>
          <cell r="F2679" t="str">
            <v>PC</v>
          </cell>
          <cell r="G2679">
            <v>0</v>
          </cell>
        </row>
        <row r="2680">
          <cell r="B2680">
            <v>8248</v>
          </cell>
          <cell r="C2680">
            <v>0</v>
          </cell>
          <cell r="D2680" t="str">
            <v>PHP</v>
          </cell>
          <cell r="E2680">
            <v>0</v>
          </cell>
          <cell r="F2680" t="str">
            <v>PC</v>
          </cell>
          <cell r="G2680">
            <v>0</v>
          </cell>
        </row>
        <row r="2681">
          <cell r="B2681">
            <v>8250</v>
          </cell>
          <cell r="C2681">
            <v>0</v>
          </cell>
          <cell r="D2681" t="str">
            <v>PHP</v>
          </cell>
          <cell r="E2681">
            <v>0</v>
          </cell>
          <cell r="F2681" t="str">
            <v>PC</v>
          </cell>
          <cell r="G2681">
            <v>0</v>
          </cell>
        </row>
        <row r="2682">
          <cell r="B2682">
            <v>8267</v>
          </cell>
          <cell r="C2682">
            <v>786981.45</v>
          </cell>
          <cell r="D2682" t="str">
            <v>PHP</v>
          </cell>
          <cell r="E2682">
            <v>48</v>
          </cell>
          <cell r="F2682" t="str">
            <v>ASY</v>
          </cell>
          <cell r="G2682">
            <v>0</v>
          </cell>
        </row>
        <row r="2683">
          <cell r="B2683">
            <v>8296</v>
          </cell>
          <cell r="C2683">
            <v>4320.1000000000004</v>
          </cell>
          <cell r="D2683" t="str">
            <v>PHP</v>
          </cell>
          <cell r="E2683">
            <v>5</v>
          </cell>
          <cell r="F2683" t="str">
            <v>PC</v>
          </cell>
          <cell r="G2683">
            <v>0</v>
          </cell>
        </row>
        <row r="2684">
          <cell r="B2684">
            <v>8307</v>
          </cell>
          <cell r="C2684">
            <v>2084.0100000000002</v>
          </cell>
          <cell r="D2684" t="str">
            <v>PHP</v>
          </cell>
          <cell r="E2684">
            <v>2</v>
          </cell>
          <cell r="F2684" t="str">
            <v>PC</v>
          </cell>
          <cell r="G2684">
            <v>0</v>
          </cell>
        </row>
        <row r="2685">
          <cell r="B2685">
            <v>8308</v>
          </cell>
          <cell r="C2685">
            <v>1402.06</v>
          </cell>
          <cell r="D2685" t="str">
            <v>PHP</v>
          </cell>
          <cell r="E2685">
            <v>1</v>
          </cell>
          <cell r="F2685" t="str">
            <v>PC</v>
          </cell>
          <cell r="G2685">
            <v>0</v>
          </cell>
        </row>
        <row r="2686">
          <cell r="B2686">
            <v>8309</v>
          </cell>
          <cell r="C2686">
            <v>42532.74</v>
          </cell>
          <cell r="D2686" t="str">
            <v>PHP</v>
          </cell>
          <cell r="E2686">
            <v>9</v>
          </cell>
          <cell r="F2686" t="str">
            <v>PC</v>
          </cell>
          <cell r="G2686">
            <v>0</v>
          </cell>
        </row>
        <row r="2687">
          <cell r="B2687">
            <v>8310</v>
          </cell>
          <cell r="C2687">
            <v>0</v>
          </cell>
          <cell r="D2687" t="str">
            <v>PHP</v>
          </cell>
          <cell r="E2687">
            <v>0</v>
          </cell>
          <cell r="F2687" t="str">
            <v>PC</v>
          </cell>
          <cell r="G2687">
            <v>0</v>
          </cell>
        </row>
        <row r="2688">
          <cell r="B2688">
            <v>8311</v>
          </cell>
          <cell r="C2688">
            <v>0</v>
          </cell>
          <cell r="D2688" t="str">
            <v>PHP</v>
          </cell>
          <cell r="E2688">
            <v>0</v>
          </cell>
          <cell r="F2688" t="str">
            <v>PC</v>
          </cell>
          <cell r="G2688">
            <v>0</v>
          </cell>
        </row>
        <row r="2689">
          <cell r="B2689">
            <v>8314</v>
          </cell>
          <cell r="C2689">
            <v>14780.04</v>
          </cell>
          <cell r="D2689" t="str">
            <v>PHP</v>
          </cell>
          <cell r="E2689">
            <v>3</v>
          </cell>
          <cell r="F2689" t="str">
            <v>PC</v>
          </cell>
          <cell r="G2689">
            <v>0</v>
          </cell>
        </row>
        <row r="2690">
          <cell r="B2690">
            <v>8315</v>
          </cell>
          <cell r="C2690">
            <v>71702.63</v>
          </cell>
          <cell r="D2690" t="str">
            <v>PHP</v>
          </cell>
          <cell r="E2690">
            <v>5</v>
          </cell>
          <cell r="F2690" t="str">
            <v>PC</v>
          </cell>
          <cell r="G2690">
            <v>0</v>
          </cell>
        </row>
        <row r="2691">
          <cell r="B2691">
            <v>8317</v>
          </cell>
          <cell r="C2691">
            <v>146132.34</v>
          </cell>
          <cell r="D2691" t="str">
            <v>PHP</v>
          </cell>
          <cell r="E2691">
            <v>5</v>
          </cell>
          <cell r="F2691" t="str">
            <v>PC</v>
          </cell>
          <cell r="G2691">
            <v>0</v>
          </cell>
        </row>
        <row r="2692">
          <cell r="B2692">
            <v>8318</v>
          </cell>
          <cell r="C2692">
            <v>213388</v>
          </cell>
          <cell r="D2692" t="str">
            <v>PHP</v>
          </cell>
          <cell r="E2692">
            <v>4</v>
          </cell>
          <cell r="F2692" t="str">
            <v>PC</v>
          </cell>
          <cell r="G2692">
            <v>0</v>
          </cell>
        </row>
        <row r="2693">
          <cell r="B2693">
            <v>8319</v>
          </cell>
          <cell r="C2693">
            <v>27976.52</v>
          </cell>
          <cell r="D2693" t="str">
            <v>PHP</v>
          </cell>
          <cell r="E2693">
            <v>1</v>
          </cell>
          <cell r="F2693" t="str">
            <v>PC</v>
          </cell>
          <cell r="G2693">
            <v>0</v>
          </cell>
        </row>
        <row r="2694">
          <cell r="B2694">
            <v>8321</v>
          </cell>
          <cell r="C2694">
            <v>7260.2</v>
          </cell>
          <cell r="D2694" t="str">
            <v>PHP</v>
          </cell>
          <cell r="E2694">
            <v>2</v>
          </cell>
          <cell r="F2694" t="str">
            <v>PC</v>
          </cell>
          <cell r="G2694">
            <v>0</v>
          </cell>
        </row>
        <row r="2695">
          <cell r="B2695">
            <v>8324</v>
          </cell>
          <cell r="C2695">
            <v>460157.04</v>
          </cell>
          <cell r="D2695" t="str">
            <v>PHP</v>
          </cell>
          <cell r="E2695">
            <v>72</v>
          </cell>
          <cell r="F2695" t="str">
            <v>ASY</v>
          </cell>
          <cell r="G2695">
            <v>0</v>
          </cell>
        </row>
        <row r="2696">
          <cell r="B2696">
            <v>8325</v>
          </cell>
          <cell r="C2696">
            <v>20500.62</v>
          </cell>
          <cell r="D2696" t="str">
            <v>PHP</v>
          </cell>
          <cell r="E2696">
            <v>2</v>
          </cell>
          <cell r="F2696" t="str">
            <v>PC</v>
          </cell>
          <cell r="G2696">
            <v>0</v>
          </cell>
        </row>
        <row r="2697">
          <cell r="B2697">
            <v>8327</v>
          </cell>
          <cell r="C2697">
            <v>597092</v>
          </cell>
          <cell r="D2697" t="str">
            <v>PHP</v>
          </cell>
          <cell r="E2697">
            <v>2</v>
          </cell>
          <cell r="F2697" t="str">
            <v>SET</v>
          </cell>
          <cell r="G2697">
            <v>0</v>
          </cell>
        </row>
        <row r="2698">
          <cell r="B2698">
            <v>8337</v>
          </cell>
          <cell r="C2698">
            <v>152513.85999999999</v>
          </cell>
          <cell r="D2698" t="str">
            <v>PHP</v>
          </cell>
          <cell r="E2698">
            <v>64</v>
          </cell>
          <cell r="F2698" t="str">
            <v>PC</v>
          </cell>
          <cell r="G2698">
            <v>0</v>
          </cell>
        </row>
        <row r="2699">
          <cell r="B2699">
            <v>8341</v>
          </cell>
          <cell r="C2699">
            <v>143.79</v>
          </cell>
          <cell r="D2699" t="str">
            <v>PHP</v>
          </cell>
          <cell r="E2699">
            <v>3</v>
          </cell>
          <cell r="F2699" t="str">
            <v>PC</v>
          </cell>
          <cell r="G2699">
            <v>0</v>
          </cell>
        </row>
        <row r="2700">
          <cell r="B2700">
            <v>8345</v>
          </cell>
          <cell r="C2700">
            <v>965650</v>
          </cell>
          <cell r="D2700" t="str">
            <v>PHP</v>
          </cell>
          <cell r="E2700">
            <v>2</v>
          </cell>
          <cell r="F2700" t="str">
            <v>PC</v>
          </cell>
          <cell r="G2700">
            <v>0</v>
          </cell>
        </row>
        <row r="2701">
          <cell r="B2701">
            <v>8359</v>
          </cell>
          <cell r="C2701">
            <v>21255.34</v>
          </cell>
          <cell r="D2701" t="str">
            <v>PHP</v>
          </cell>
          <cell r="E2701">
            <v>48</v>
          </cell>
          <cell r="F2701" t="str">
            <v>PC</v>
          </cell>
          <cell r="G2701">
            <v>0</v>
          </cell>
        </row>
        <row r="2702">
          <cell r="B2702">
            <v>8361</v>
          </cell>
          <cell r="C2702">
            <v>14346.93</v>
          </cell>
          <cell r="D2702" t="str">
            <v>PHP</v>
          </cell>
          <cell r="E2702">
            <v>12</v>
          </cell>
          <cell r="F2702" t="str">
            <v>PC</v>
          </cell>
          <cell r="G2702">
            <v>0</v>
          </cell>
        </row>
        <row r="2703">
          <cell r="B2703">
            <v>8363</v>
          </cell>
          <cell r="C2703">
            <v>0</v>
          </cell>
          <cell r="D2703" t="str">
            <v>PHP</v>
          </cell>
          <cell r="E2703">
            <v>0</v>
          </cell>
          <cell r="F2703" t="str">
            <v>PC</v>
          </cell>
          <cell r="G2703">
            <v>0</v>
          </cell>
        </row>
        <row r="2704">
          <cell r="B2704">
            <v>8367</v>
          </cell>
          <cell r="C2704">
            <v>15221.01</v>
          </cell>
          <cell r="D2704" t="str">
            <v>PHP</v>
          </cell>
          <cell r="E2704">
            <v>2</v>
          </cell>
          <cell r="F2704" t="str">
            <v>SET</v>
          </cell>
          <cell r="G2704">
            <v>0</v>
          </cell>
        </row>
        <row r="2705">
          <cell r="B2705">
            <v>8369</v>
          </cell>
          <cell r="C2705">
            <v>6520.52</v>
          </cell>
          <cell r="D2705" t="str">
            <v>PHP</v>
          </cell>
          <cell r="E2705">
            <v>12</v>
          </cell>
          <cell r="F2705" t="str">
            <v>PC</v>
          </cell>
          <cell r="G2705">
            <v>0</v>
          </cell>
        </row>
        <row r="2706">
          <cell r="B2706">
            <v>8388</v>
          </cell>
          <cell r="C2706">
            <v>6760.09</v>
          </cell>
          <cell r="D2706" t="str">
            <v>PHP</v>
          </cell>
          <cell r="E2706">
            <v>70</v>
          </cell>
          <cell r="F2706" t="str">
            <v>PC</v>
          </cell>
          <cell r="G2706">
            <v>0</v>
          </cell>
        </row>
        <row r="2707">
          <cell r="B2707">
            <v>8389</v>
          </cell>
          <cell r="C2707">
            <v>2104.41</v>
          </cell>
          <cell r="D2707" t="str">
            <v>PHP</v>
          </cell>
          <cell r="E2707">
            <v>3</v>
          </cell>
          <cell r="F2707" t="str">
            <v>PC</v>
          </cell>
          <cell r="G2707">
            <v>0</v>
          </cell>
        </row>
        <row r="2708">
          <cell r="B2708">
            <v>8390</v>
          </cell>
          <cell r="C2708">
            <v>2867.06</v>
          </cell>
          <cell r="D2708" t="str">
            <v>PHP</v>
          </cell>
          <cell r="E2708">
            <v>3</v>
          </cell>
          <cell r="F2708" t="str">
            <v>PC</v>
          </cell>
          <cell r="G2708">
            <v>0</v>
          </cell>
        </row>
        <row r="2709">
          <cell r="B2709">
            <v>8391</v>
          </cell>
          <cell r="C2709">
            <v>150.9</v>
          </cell>
          <cell r="D2709" t="str">
            <v>PHP</v>
          </cell>
          <cell r="E2709">
            <v>1</v>
          </cell>
          <cell r="F2709" t="str">
            <v>PC</v>
          </cell>
          <cell r="G2709">
            <v>0</v>
          </cell>
        </row>
        <row r="2710">
          <cell r="B2710">
            <v>8392</v>
          </cell>
          <cell r="C2710">
            <v>26748.799999999999</v>
          </cell>
          <cell r="D2710" t="str">
            <v>PHP</v>
          </cell>
          <cell r="E2710">
            <v>16</v>
          </cell>
          <cell r="F2710" t="str">
            <v>PC</v>
          </cell>
          <cell r="G2710">
            <v>0</v>
          </cell>
        </row>
        <row r="2711">
          <cell r="B2711">
            <v>8393</v>
          </cell>
          <cell r="C2711">
            <v>542.14</v>
          </cell>
          <cell r="D2711" t="str">
            <v>PHP</v>
          </cell>
          <cell r="E2711">
            <v>32</v>
          </cell>
          <cell r="F2711" t="str">
            <v>PC</v>
          </cell>
          <cell r="G2711">
            <v>0</v>
          </cell>
        </row>
        <row r="2712">
          <cell r="B2712">
            <v>8394</v>
          </cell>
          <cell r="C2712">
            <v>0</v>
          </cell>
          <cell r="D2712" t="str">
            <v>PHP</v>
          </cell>
          <cell r="E2712">
            <v>0</v>
          </cell>
          <cell r="F2712" t="str">
            <v>ASY</v>
          </cell>
          <cell r="G2712">
            <v>0</v>
          </cell>
        </row>
        <row r="2713">
          <cell r="B2713">
            <v>8395</v>
          </cell>
          <cell r="C2713">
            <v>0</v>
          </cell>
          <cell r="D2713" t="str">
            <v>PHP</v>
          </cell>
          <cell r="E2713">
            <v>0</v>
          </cell>
          <cell r="F2713" t="str">
            <v>ASY</v>
          </cell>
          <cell r="G2713">
            <v>0</v>
          </cell>
        </row>
        <row r="2714">
          <cell r="B2714">
            <v>8396</v>
          </cell>
          <cell r="C2714">
            <v>0</v>
          </cell>
          <cell r="D2714" t="str">
            <v>PHP</v>
          </cell>
          <cell r="E2714">
            <v>0</v>
          </cell>
          <cell r="F2714" t="str">
            <v>PC</v>
          </cell>
          <cell r="G2714">
            <v>0</v>
          </cell>
        </row>
        <row r="2715">
          <cell r="B2715">
            <v>8398</v>
          </cell>
          <cell r="C2715">
            <v>240711.85</v>
          </cell>
          <cell r="D2715" t="str">
            <v>PHP</v>
          </cell>
          <cell r="E2715">
            <v>2</v>
          </cell>
          <cell r="F2715" t="str">
            <v>PC</v>
          </cell>
          <cell r="G2715">
            <v>0</v>
          </cell>
        </row>
        <row r="2716">
          <cell r="B2716">
            <v>8400</v>
          </cell>
          <cell r="C2716">
            <v>449422.03</v>
          </cell>
          <cell r="D2716" t="str">
            <v>PHP</v>
          </cell>
          <cell r="E2716">
            <v>23</v>
          </cell>
          <cell r="F2716" t="str">
            <v>ASY</v>
          </cell>
          <cell r="G2716">
            <v>0</v>
          </cell>
        </row>
        <row r="2717">
          <cell r="B2717">
            <v>8409</v>
          </cell>
          <cell r="C2717">
            <v>50846.55</v>
          </cell>
          <cell r="D2717" t="str">
            <v>PHP</v>
          </cell>
          <cell r="E2717">
            <v>2</v>
          </cell>
          <cell r="F2717" t="str">
            <v>PC</v>
          </cell>
          <cell r="G2717">
            <v>0</v>
          </cell>
        </row>
        <row r="2718">
          <cell r="B2718">
            <v>8410</v>
          </cell>
          <cell r="C2718">
            <v>306123.83</v>
          </cell>
          <cell r="D2718" t="str">
            <v>PHP</v>
          </cell>
          <cell r="E2718">
            <v>14</v>
          </cell>
          <cell r="F2718" t="str">
            <v>PC</v>
          </cell>
          <cell r="G2718">
            <v>0</v>
          </cell>
        </row>
        <row r="2719">
          <cell r="B2719">
            <v>8414</v>
          </cell>
          <cell r="C2719">
            <v>52781.32</v>
          </cell>
          <cell r="D2719" t="str">
            <v>PHP</v>
          </cell>
          <cell r="E2719">
            <v>2</v>
          </cell>
          <cell r="F2719" t="str">
            <v>PC</v>
          </cell>
          <cell r="G2719">
            <v>0</v>
          </cell>
        </row>
        <row r="2720">
          <cell r="B2720">
            <v>8418</v>
          </cell>
          <cell r="C2720">
            <v>96063.679999999993</v>
          </cell>
          <cell r="D2720" t="str">
            <v>PHP</v>
          </cell>
          <cell r="E2720">
            <v>6</v>
          </cell>
          <cell r="F2720" t="str">
            <v>PC</v>
          </cell>
          <cell r="G2720">
            <v>0</v>
          </cell>
        </row>
        <row r="2721">
          <cell r="B2721">
            <v>8421</v>
          </cell>
          <cell r="C2721">
            <v>24351.88</v>
          </cell>
          <cell r="D2721" t="str">
            <v>PHP</v>
          </cell>
          <cell r="E2721">
            <v>10</v>
          </cell>
          <cell r="F2721" t="str">
            <v>PC</v>
          </cell>
          <cell r="G2721">
            <v>0</v>
          </cell>
        </row>
        <row r="2722">
          <cell r="B2722">
            <v>8424</v>
          </cell>
          <cell r="C2722">
            <v>86352</v>
          </cell>
          <cell r="D2722" t="str">
            <v>PHP</v>
          </cell>
          <cell r="E2722">
            <v>48</v>
          </cell>
          <cell r="F2722" t="str">
            <v>PC</v>
          </cell>
          <cell r="G2722">
            <v>0</v>
          </cell>
        </row>
        <row r="2723">
          <cell r="B2723">
            <v>8426</v>
          </cell>
          <cell r="C2723">
            <v>0</v>
          </cell>
          <cell r="D2723" t="str">
            <v>PHP</v>
          </cell>
          <cell r="E2723">
            <v>0</v>
          </cell>
          <cell r="F2723" t="str">
            <v>ROL</v>
          </cell>
          <cell r="G2723">
            <v>0</v>
          </cell>
        </row>
        <row r="2724">
          <cell r="B2724">
            <v>8441</v>
          </cell>
          <cell r="C2724">
            <v>180232.6</v>
          </cell>
          <cell r="D2724" t="str">
            <v>PHP</v>
          </cell>
          <cell r="E2724">
            <v>2</v>
          </cell>
          <cell r="F2724" t="str">
            <v>PC</v>
          </cell>
          <cell r="G2724">
            <v>0</v>
          </cell>
        </row>
        <row r="2725">
          <cell r="B2725">
            <v>8452</v>
          </cell>
          <cell r="C2725">
            <v>21800</v>
          </cell>
          <cell r="D2725" t="str">
            <v>PHP</v>
          </cell>
          <cell r="E2725">
            <v>4</v>
          </cell>
          <cell r="F2725" t="str">
            <v>PC</v>
          </cell>
          <cell r="G2725">
            <v>0</v>
          </cell>
        </row>
        <row r="2726">
          <cell r="B2726">
            <v>8453</v>
          </cell>
          <cell r="C2726">
            <v>0</v>
          </cell>
          <cell r="D2726" t="str">
            <v>PHP</v>
          </cell>
          <cell r="E2726">
            <v>0</v>
          </cell>
          <cell r="F2726" t="str">
            <v>PC</v>
          </cell>
          <cell r="G2726">
            <v>0</v>
          </cell>
        </row>
        <row r="2727">
          <cell r="B2727">
            <v>8458</v>
          </cell>
          <cell r="C2727">
            <v>357264</v>
          </cell>
          <cell r="D2727" t="str">
            <v>PHP</v>
          </cell>
          <cell r="E2727">
            <v>2</v>
          </cell>
          <cell r="F2727" t="str">
            <v>PC</v>
          </cell>
          <cell r="G2727">
            <v>0</v>
          </cell>
        </row>
        <row r="2728">
          <cell r="B2728">
            <v>8505</v>
          </cell>
          <cell r="C2728">
            <v>98830.11</v>
          </cell>
          <cell r="D2728" t="str">
            <v>PHP</v>
          </cell>
          <cell r="E2728">
            <v>1</v>
          </cell>
          <cell r="F2728" t="str">
            <v>KIT</v>
          </cell>
          <cell r="G2728">
            <v>0</v>
          </cell>
        </row>
        <row r="2729">
          <cell r="B2729">
            <v>8552</v>
          </cell>
          <cell r="C2729">
            <v>197792</v>
          </cell>
          <cell r="D2729" t="str">
            <v>PHP</v>
          </cell>
          <cell r="E2729">
            <v>112</v>
          </cell>
          <cell r="F2729" t="str">
            <v>PC</v>
          </cell>
          <cell r="G2729">
            <v>0</v>
          </cell>
        </row>
        <row r="2730">
          <cell r="B2730">
            <v>8584</v>
          </cell>
          <cell r="C2730">
            <v>183959.88</v>
          </cell>
          <cell r="D2730" t="str">
            <v>PHP</v>
          </cell>
          <cell r="E2730">
            <v>24</v>
          </cell>
          <cell r="F2730" t="str">
            <v>PC</v>
          </cell>
          <cell r="G2730">
            <v>0</v>
          </cell>
        </row>
        <row r="2731">
          <cell r="B2731">
            <v>8597</v>
          </cell>
          <cell r="C2731">
            <v>61588.56</v>
          </cell>
          <cell r="D2731" t="str">
            <v>PHP</v>
          </cell>
          <cell r="E2731">
            <v>2</v>
          </cell>
          <cell r="F2731" t="str">
            <v>UT</v>
          </cell>
          <cell r="G2731">
            <v>0</v>
          </cell>
        </row>
        <row r="2732">
          <cell r="B2732">
            <v>8598</v>
          </cell>
          <cell r="C2732">
            <v>141679.4</v>
          </cell>
          <cell r="D2732" t="str">
            <v>PHP</v>
          </cell>
          <cell r="E2732">
            <v>2</v>
          </cell>
          <cell r="F2732" t="str">
            <v>UT</v>
          </cell>
          <cell r="G2732">
            <v>0</v>
          </cell>
        </row>
        <row r="2733">
          <cell r="B2733">
            <v>8672</v>
          </cell>
          <cell r="C2733">
            <v>7700</v>
          </cell>
          <cell r="D2733" t="str">
            <v>PHP</v>
          </cell>
          <cell r="E2733">
            <v>5</v>
          </cell>
          <cell r="F2733" t="str">
            <v>PC</v>
          </cell>
          <cell r="G2733">
            <v>0</v>
          </cell>
        </row>
        <row r="2734">
          <cell r="B2734">
            <v>8714</v>
          </cell>
          <cell r="C2734">
            <v>134037.32</v>
          </cell>
          <cell r="D2734" t="str">
            <v>PHP</v>
          </cell>
          <cell r="E2734">
            <v>10</v>
          </cell>
          <cell r="F2734" t="str">
            <v>PC</v>
          </cell>
          <cell r="G2734">
            <v>0</v>
          </cell>
        </row>
        <row r="2735">
          <cell r="B2735">
            <v>8715</v>
          </cell>
          <cell r="C2735">
            <v>0</v>
          </cell>
          <cell r="D2735" t="str">
            <v>PHP</v>
          </cell>
          <cell r="E2735">
            <v>0</v>
          </cell>
          <cell r="F2735" t="str">
            <v>PC</v>
          </cell>
          <cell r="G2735">
            <v>0</v>
          </cell>
        </row>
        <row r="2736">
          <cell r="B2736">
            <v>8719</v>
          </cell>
          <cell r="C2736">
            <v>102897.18</v>
          </cell>
          <cell r="D2736" t="str">
            <v>PHP</v>
          </cell>
          <cell r="E2736">
            <v>5</v>
          </cell>
          <cell r="F2736" t="str">
            <v>PC</v>
          </cell>
          <cell r="G2736">
            <v>0</v>
          </cell>
        </row>
        <row r="2737">
          <cell r="B2737">
            <v>8776</v>
          </cell>
          <cell r="C2737">
            <v>10575.18</v>
          </cell>
          <cell r="D2737" t="str">
            <v>PHP</v>
          </cell>
          <cell r="E2737">
            <v>6</v>
          </cell>
          <cell r="F2737" t="str">
            <v>PC</v>
          </cell>
          <cell r="G2737">
            <v>0</v>
          </cell>
        </row>
        <row r="2738">
          <cell r="B2738">
            <v>8778</v>
          </cell>
          <cell r="C2738">
            <v>70200</v>
          </cell>
          <cell r="D2738" t="str">
            <v>PHP</v>
          </cell>
          <cell r="E2738">
            <v>12</v>
          </cell>
          <cell r="F2738" t="str">
            <v>PC</v>
          </cell>
          <cell r="G2738">
            <v>0</v>
          </cell>
        </row>
        <row r="2739">
          <cell r="B2739">
            <v>8848</v>
          </cell>
          <cell r="C2739">
            <v>14382.72</v>
          </cell>
          <cell r="D2739" t="str">
            <v>PHP</v>
          </cell>
          <cell r="E2739">
            <v>2</v>
          </cell>
          <cell r="F2739" t="str">
            <v>PC</v>
          </cell>
          <cell r="G2739">
            <v>0</v>
          </cell>
        </row>
        <row r="2740">
          <cell r="B2740">
            <v>8849</v>
          </cell>
          <cell r="C2740">
            <v>0</v>
          </cell>
          <cell r="D2740" t="str">
            <v>PHP</v>
          </cell>
          <cell r="E2740">
            <v>0</v>
          </cell>
          <cell r="F2740" t="str">
            <v>PC</v>
          </cell>
          <cell r="G2740">
            <v>0</v>
          </cell>
        </row>
        <row r="2741">
          <cell r="B2741">
            <v>8855</v>
          </cell>
          <cell r="C2741">
            <v>7729.79</v>
          </cell>
          <cell r="D2741" t="str">
            <v>PHP</v>
          </cell>
          <cell r="E2741">
            <v>3</v>
          </cell>
          <cell r="F2741" t="str">
            <v>PC</v>
          </cell>
          <cell r="G2741">
            <v>0</v>
          </cell>
        </row>
        <row r="2742">
          <cell r="B2742">
            <v>8871</v>
          </cell>
          <cell r="C2742">
            <v>4160</v>
          </cell>
          <cell r="D2742" t="str">
            <v>PHP</v>
          </cell>
          <cell r="E2742">
            <v>2</v>
          </cell>
          <cell r="F2742" t="str">
            <v>PC</v>
          </cell>
          <cell r="G2742">
            <v>0</v>
          </cell>
        </row>
        <row r="2743">
          <cell r="B2743">
            <v>8874</v>
          </cell>
          <cell r="C2743">
            <v>17145</v>
          </cell>
          <cell r="D2743" t="str">
            <v>PHP</v>
          </cell>
          <cell r="E2743">
            <v>3</v>
          </cell>
          <cell r="F2743" t="str">
            <v>PC</v>
          </cell>
          <cell r="G2743">
            <v>0</v>
          </cell>
        </row>
        <row r="2744">
          <cell r="B2744">
            <v>8887</v>
          </cell>
          <cell r="C2744">
            <v>535618.67000000004</v>
          </cell>
          <cell r="D2744" t="str">
            <v>PHP</v>
          </cell>
          <cell r="E2744">
            <v>1</v>
          </cell>
          <cell r="F2744" t="str">
            <v>PC</v>
          </cell>
          <cell r="G2744">
            <v>0</v>
          </cell>
        </row>
        <row r="2745">
          <cell r="B2745">
            <v>8889</v>
          </cell>
          <cell r="C2745">
            <v>0</v>
          </cell>
          <cell r="D2745" t="str">
            <v>PHP</v>
          </cell>
          <cell r="E2745">
            <v>0</v>
          </cell>
          <cell r="F2745" t="str">
            <v>PC</v>
          </cell>
          <cell r="G2745">
            <v>0</v>
          </cell>
        </row>
        <row r="2746">
          <cell r="B2746">
            <v>8905</v>
          </cell>
          <cell r="C2746">
            <v>0</v>
          </cell>
          <cell r="D2746" t="str">
            <v>PHP</v>
          </cell>
          <cell r="E2746">
            <v>0</v>
          </cell>
          <cell r="F2746" t="str">
            <v>PC</v>
          </cell>
          <cell r="G2746">
            <v>0</v>
          </cell>
        </row>
        <row r="2747">
          <cell r="B2747">
            <v>8906</v>
          </cell>
          <cell r="C2747">
            <v>0</v>
          </cell>
          <cell r="D2747" t="str">
            <v>PHP</v>
          </cell>
          <cell r="E2747">
            <v>0</v>
          </cell>
          <cell r="F2747" t="str">
            <v>PC</v>
          </cell>
          <cell r="G2747">
            <v>0</v>
          </cell>
        </row>
        <row r="2748">
          <cell r="B2748">
            <v>8907</v>
          </cell>
          <cell r="C2748">
            <v>737371.33</v>
          </cell>
          <cell r="D2748" t="str">
            <v>PHP</v>
          </cell>
          <cell r="E2748">
            <v>4</v>
          </cell>
          <cell r="F2748" t="str">
            <v>PC</v>
          </cell>
          <cell r="G2748">
            <v>0</v>
          </cell>
        </row>
        <row r="2749">
          <cell r="B2749">
            <v>8908</v>
          </cell>
          <cell r="C2749">
            <v>0</v>
          </cell>
          <cell r="D2749" t="str">
            <v>PHP</v>
          </cell>
          <cell r="E2749">
            <v>0</v>
          </cell>
          <cell r="F2749" t="str">
            <v>PC</v>
          </cell>
          <cell r="G2749">
            <v>0</v>
          </cell>
        </row>
        <row r="2750">
          <cell r="B2750">
            <v>8909</v>
          </cell>
          <cell r="C2750">
            <v>0</v>
          </cell>
          <cell r="D2750" t="str">
            <v>PHP</v>
          </cell>
          <cell r="E2750">
            <v>0</v>
          </cell>
          <cell r="F2750" t="str">
            <v>PC</v>
          </cell>
          <cell r="G2750">
            <v>0</v>
          </cell>
        </row>
        <row r="2751">
          <cell r="B2751">
            <v>8911</v>
          </cell>
          <cell r="C2751">
            <v>428093.2</v>
          </cell>
          <cell r="D2751" t="str">
            <v>PHP</v>
          </cell>
          <cell r="E2751">
            <v>2</v>
          </cell>
          <cell r="F2751" t="str">
            <v>PC</v>
          </cell>
          <cell r="G2751">
            <v>0</v>
          </cell>
        </row>
        <row r="2752">
          <cell r="B2752">
            <v>8913</v>
          </cell>
          <cell r="C2752">
            <v>318297.98</v>
          </cell>
          <cell r="D2752" t="str">
            <v>PHP</v>
          </cell>
          <cell r="E2752">
            <v>1</v>
          </cell>
          <cell r="F2752" t="str">
            <v>PC</v>
          </cell>
          <cell r="G2752">
            <v>0</v>
          </cell>
        </row>
        <row r="2753">
          <cell r="B2753">
            <v>8914</v>
          </cell>
          <cell r="C2753">
            <v>722878.65</v>
          </cell>
          <cell r="D2753" t="str">
            <v>PHP</v>
          </cell>
          <cell r="E2753">
            <v>3</v>
          </cell>
          <cell r="F2753" t="str">
            <v>PC</v>
          </cell>
          <cell r="G2753">
            <v>0</v>
          </cell>
        </row>
        <row r="2754">
          <cell r="B2754">
            <v>8925</v>
          </cell>
          <cell r="C2754">
            <v>9095.3700000000008</v>
          </cell>
          <cell r="D2754" t="str">
            <v>PHP</v>
          </cell>
          <cell r="E2754">
            <v>5</v>
          </cell>
          <cell r="F2754" t="str">
            <v>PC</v>
          </cell>
          <cell r="G2754">
            <v>0</v>
          </cell>
        </row>
        <row r="2755">
          <cell r="B2755">
            <v>8929</v>
          </cell>
          <cell r="C2755">
            <v>139927.12</v>
          </cell>
          <cell r="D2755" t="str">
            <v>PHP</v>
          </cell>
          <cell r="E2755">
            <v>22</v>
          </cell>
          <cell r="F2755" t="str">
            <v>PC</v>
          </cell>
          <cell r="G2755">
            <v>0</v>
          </cell>
        </row>
        <row r="2756">
          <cell r="B2756">
            <v>9019</v>
          </cell>
          <cell r="C2756">
            <v>0</v>
          </cell>
          <cell r="D2756" t="str">
            <v>PHP</v>
          </cell>
          <cell r="E2756">
            <v>0</v>
          </cell>
          <cell r="F2756" t="str">
            <v>PC</v>
          </cell>
          <cell r="G2756">
            <v>0</v>
          </cell>
        </row>
        <row r="2757">
          <cell r="B2757">
            <v>9020</v>
          </cell>
          <cell r="C2757">
            <v>18640.5</v>
          </cell>
          <cell r="D2757" t="str">
            <v>PHP</v>
          </cell>
          <cell r="E2757">
            <v>1</v>
          </cell>
          <cell r="F2757" t="str">
            <v>ASY</v>
          </cell>
          <cell r="G2757">
            <v>0</v>
          </cell>
        </row>
        <row r="2758">
          <cell r="B2758">
            <v>9147</v>
          </cell>
          <cell r="C2758">
            <v>10379.48</v>
          </cell>
          <cell r="D2758" t="str">
            <v>PHP</v>
          </cell>
          <cell r="E2758">
            <v>88</v>
          </cell>
          <cell r="F2758" t="str">
            <v>SET</v>
          </cell>
          <cell r="G2758">
            <v>0</v>
          </cell>
        </row>
        <row r="2759">
          <cell r="B2759">
            <v>9148</v>
          </cell>
          <cell r="C2759">
            <v>26286.22</v>
          </cell>
          <cell r="D2759" t="str">
            <v>PHP</v>
          </cell>
          <cell r="E2759">
            <v>64</v>
          </cell>
          <cell r="F2759" t="str">
            <v>SET</v>
          </cell>
          <cell r="G2759">
            <v>0</v>
          </cell>
        </row>
        <row r="2760">
          <cell r="B2760">
            <v>9151</v>
          </cell>
          <cell r="C2760">
            <v>62135.14</v>
          </cell>
          <cell r="D2760" t="str">
            <v>PHP</v>
          </cell>
          <cell r="E2760">
            <v>140</v>
          </cell>
          <cell r="F2760" t="str">
            <v>SET</v>
          </cell>
          <cell r="G2760">
            <v>0</v>
          </cell>
        </row>
        <row r="2761">
          <cell r="B2761">
            <v>9305</v>
          </cell>
          <cell r="C2761">
            <v>12000</v>
          </cell>
          <cell r="D2761" t="str">
            <v>PHP</v>
          </cell>
          <cell r="E2761">
            <v>20</v>
          </cell>
          <cell r="F2761" t="str">
            <v>PC</v>
          </cell>
          <cell r="G2761">
            <v>0</v>
          </cell>
        </row>
        <row r="2762">
          <cell r="B2762">
            <v>9306</v>
          </cell>
          <cell r="C2762">
            <v>0</v>
          </cell>
          <cell r="D2762" t="str">
            <v>PHP</v>
          </cell>
          <cell r="E2762">
            <v>0</v>
          </cell>
          <cell r="F2762" t="str">
            <v>PC</v>
          </cell>
          <cell r="G2762">
            <v>0</v>
          </cell>
        </row>
        <row r="2763">
          <cell r="B2763">
            <v>9307</v>
          </cell>
          <cell r="C2763">
            <v>0</v>
          </cell>
          <cell r="D2763" t="str">
            <v>PHP</v>
          </cell>
          <cell r="E2763">
            <v>0</v>
          </cell>
          <cell r="F2763" t="str">
            <v>PC</v>
          </cell>
          <cell r="G2763">
            <v>0</v>
          </cell>
        </row>
        <row r="2764">
          <cell r="B2764">
            <v>9315</v>
          </cell>
          <cell r="C2764">
            <v>20000</v>
          </cell>
          <cell r="D2764" t="str">
            <v>PHP</v>
          </cell>
          <cell r="E2764">
            <v>20</v>
          </cell>
          <cell r="F2764" t="str">
            <v>PC</v>
          </cell>
          <cell r="G2764">
            <v>0</v>
          </cell>
        </row>
        <row r="2765">
          <cell r="B2765">
            <v>9338</v>
          </cell>
          <cell r="C2765">
            <v>0</v>
          </cell>
          <cell r="D2765" t="str">
            <v>PHP</v>
          </cell>
          <cell r="E2765">
            <v>0</v>
          </cell>
          <cell r="F2765" t="str">
            <v>SET</v>
          </cell>
          <cell r="G2765">
            <v>0</v>
          </cell>
        </row>
        <row r="2766">
          <cell r="B2766">
            <v>9340</v>
          </cell>
          <cell r="C2766">
            <v>0</v>
          </cell>
          <cell r="D2766" t="str">
            <v>PHP</v>
          </cell>
          <cell r="E2766">
            <v>0</v>
          </cell>
          <cell r="F2766" t="str">
            <v>SET</v>
          </cell>
          <cell r="G2766">
            <v>0</v>
          </cell>
        </row>
        <row r="2767">
          <cell r="B2767">
            <v>9342</v>
          </cell>
          <cell r="C2767">
            <v>12000</v>
          </cell>
          <cell r="D2767" t="str">
            <v>PHP</v>
          </cell>
          <cell r="E2767">
            <v>10</v>
          </cell>
          <cell r="F2767" t="str">
            <v>PC</v>
          </cell>
          <cell r="G2767">
            <v>0</v>
          </cell>
        </row>
        <row r="2768">
          <cell r="B2768">
            <v>9389</v>
          </cell>
          <cell r="C2768">
            <v>6119.02</v>
          </cell>
          <cell r="D2768" t="str">
            <v>PHP</v>
          </cell>
          <cell r="E2768">
            <v>4</v>
          </cell>
          <cell r="F2768" t="str">
            <v>PC</v>
          </cell>
          <cell r="G2768">
            <v>0</v>
          </cell>
        </row>
        <row r="2769">
          <cell r="B2769">
            <v>9390</v>
          </cell>
          <cell r="C2769">
            <v>7435.87</v>
          </cell>
          <cell r="D2769" t="str">
            <v>PHP</v>
          </cell>
          <cell r="E2769">
            <v>4</v>
          </cell>
          <cell r="F2769" t="str">
            <v>PC</v>
          </cell>
          <cell r="G2769">
            <v>0</v>
          </cell>
        </row>
        <row r="2770">
          <cell r="B2770">
            <v>9391</v>
          </cell>
          <cell r="C2770">
            <v>12151.38</v>
          </cell>
          <cell r="D2770" t="str">
            <v>PHP</v>
          </cell>
          <cell r="E2770">
            <v>12</v>
          </cell>
          <cell r="F2770" t="str">
            <v>PC</v>
          </cell>
          <cell r="G2770">
            <v>0</v>
          </cell>
        </row>
        <row r="2771">
          <cell r="B2771">
            <v>9392</v>
          </cell>
          <cell r="C2771">
            <v>735</v>
          </cell>
          <cell r="D2771" t="str">
            <v>PHP</v>
          </cell>
          <cell r="E2771">
            <v>12</v>
          </cell>
          <cell r="F2771" t="str">
            <v>PC</v>
          </cell>
          <cell r="G2771">
            <v>0</v>
          </cell>
        </row>
        <row r="2772">
          <cell r="B2772">
            <v>9393</v>
          </cell>
          <cell r="C2772">
            <v>1428.48</v>
          </cell>
          <cell r="D2772" t="str">
            <v>PHP</v>
          </cell>
          <cell r="E2772">
            <v>7</v>
          </cell>
          <cell r="F2772" t="str">
            <v>PC</v>
          </cell>
          <cell r="G2772">
            <v>0</v>
          </cell>
        </row>
        <row r="2773">
          <cell r="B2773">
            <v>9400</v>
          </cell>
          <cell r="C2773">
            <v>5850</v>
          </cell>
          <cell r="D2773" t="str">
            <v>PHP</v>
          </cell>
          <cell r="E2773">
            <v>1</v>
          </cell>
          <cell r="F2773" t="str">
            <v>PC</v>
          </cell>
          <cell r="G2773">
            <v>0</v>
          </cell>
        </row>
        <row r="2774">
          <cell r="B2774">
            <v>9510</v>
          </cell>
          <cell r="C2774">
            <v>15300</v>
          </cell>
          <cell r="D2774" t="str">
            <v>PHP</v>
          </cell>
          <cell r="E2774">
            <v>102</v>
          </cell>
          <cell r="F2774" t="str">
            <v>PC</v>
          </cell>
          <cell r="G2774">
            <v>0</v>
          </cell>
        </row>
        <row r="2775">
          <cell r="B2775">
            <v>9511</v>
          </cell>
          <cell r="C2775">
            <v>99965</v>
          </cell>
          <cell r="D2775" t="str">
            <v>PHP</v>
          </cell>
          <cell r="E2775">
            <v>500</v>
          </cell>
          <cell r="F2775" t="str">
            <v>PC</v>
          </cell>
          <cell r="G2775">
            <v>0</v>
          </cell>
        </row>
        <row r="2776">
          <cell r="B2776">
            <v>9514</v>
          </cell>
          <cell r="C2776">
            <v>27450</v>
          </cell>
          <cell r="D2776" t="str">
            <v>PHP</v>
          </cell>
          <cell r="E2776">
            <v>18</v>
          </cell>
          <cell r="F2776" t="str">
            <v>PC</v>
          </cell>
          <cell r="G2776">
            <v>0</v>
          </cell>
        </row>
        <row r="2777">
          <cell r="B2777">
            <v>9520</v>
          </cell>
          <cell r="C2777">
            <v>169983.42</v>
          </cell>
          <cell r="D2777" t="str">
            <v>PHP</v>
          </cell>
          <cell r="E2777">
            <v>2</v>
          </cell>
          <cell r="F2777" t="str">
            <v>PC</v>
          </cell>
          <cell r="G2777">
            <v>0</v>
          </cell>
        </row>
        <row r="2778">
          <cell r="B2778">
            <v>9523</v>
          </cell>
          <cell r="C2778">
            <v>12139.2</v>
          </cell>
          <cell r="D2778" t="str">
            <v>PHP</v>
          </cell>
          <cell r="E2778">
            <v>2</v>
          </cell>
          <cell r="F2778" t="str">
            <v>PC</v>
          </cell>
          <cell r="G2778">
            <v>0</v>
          </cell>
        </row>
        <row r="2779">
          <cell r="B2779">
            <v>9534</v>
          </cell>
          <cell r="C2779">
            <v>74846.47</v>
          </cell>
          <cell r="D2779" t="str">
            <v>PHP</v>
          </cell>
          <cell r="E2779">
            <v>6</v>
          </cell>
          <cell r="F2779" t="str">
            <v>PC</v>
          </cell>
          <cell r="G2779">
            <v>0</v>
          </cell>
        </row>
        <row r="2780">
          <cell r="B2780">
            <v>9541</v>
          </cell>
          <cell r="C2780">
            <v>4800</v>
          </cell>
          <cell r="D2780" t="str">
            <v>PHP</v>
          </cell>
          <cell r="E2780">
            <v>4</v>
          </cell>
          <cell r="F2780" t="str">
            <v>PC</v>
          </cell>
          <cell r="G2780">
            <v>0</v>
          </cell>
        </row>
        <row r="2781">
          <cell r="B2781">
            <v>9559</v>
          </cell>
          <cell r="C2781">
            <v>11733.96</v>
          </cell>
          <cell r="D2781" t="str">
            <v>PHP</v>
          </cell>
          <cell r="E2781">
            <v>1</v>
          </cell>
          <cell r="F2781" t="str">
            <v>PC</v>
          </cell>
          <cell r="G2781">
            <v>0</v>
          </cell>
        </row>
        <row r="2782">
          <cell r="B2782">
            <v>9578</v>
          </cell>
          <cell r="C2782">
            <v>38827.040000000001</v>
          </cell>
          <cell r="D2782" t="str">
            <v>PHP</v>
          </cell>
          <cell r="E2782">
            <v>68</v>
          </cell>
          <cell r="F2782" t="str">
            <v>PC</v>
          </cell>
          <cell r="G2782">
            <v>0</v>
          </cell>
        </row>
        <row r="2783">
          <cell r="B2783">
            <v>9600</v>
          </cell>
          <cell r="C2783">
            <v>112450</v>
          </cell>
          <cell r="D2783" t="str">
            <v>PHP</v>
          </cell>
          <cell r="E2783">
            <v>10</v>
          </cell>
          <cell r="F2783" t="str">
            <v>PC</v>
          </cell>
          <cell r="G2783">
            <v>0</v>
          </cell>
        </row>
        <row r="2784">
          <cell r="B2784">
            <v>9601</v>
          </cell>
          <cell r="C2784">
            <v>46183.93</v>
          </cell>
          <cell r="D2784" t="str">
            <v>PHP</v>
          </cell>
          <cell r="E2784">
            <v>10</v>
          </cell>
          <cell r="F2784" t="str">
            <v>PC</v>
          </cell>
          <cell r="G2784">
            <v>0</v>
          </cell>
        </row>
        <row r="2785">
          <cell r="B2785">
            <v>9606</v>
          </cell>
          <cell r="C2785">
            <v>840</v>
          </cell>
          <cell r="D2785" t="str">
            <v>PHP</v>
          </cell>
          <cell r="E2785">
            <v>24</v>
          </cell>
          <cell r="F2785" t="str">
            <v>PC</v>
          </cell>
          <cell r="G2785">
            <v>0</v>
          </cell>
        </row>
        <row r="2786">
          <cell r="B2786">
            <v>9607</v>
          </cell>
          <cell r="C2786">
            <v>840</v>
          </cell>
          <cell r="D2786" t="str">
            <v>PHP</v>
          </cell>
          <cell r="E2786">
            <v>24</v>
          </cell>
          <cell r="F2786" t="str">
            <v>PC</v>
          </cell>
          <cell r="G2786">
            <v>0</v>
          </cell>
        </row>
        <row r="2787">
          <cell r="B2787">
            <v>9608</v>
          </cell>
          <cell r="C2787">
            <v>840</v>
          </cell>
          <cell r="D2787" t="str">
            <v>PHP</v>
          </cell>
          <cell r="E2787">
            <v>24</v>
          </cell>
          <cell r="F2787" t="str">
            <v>PC</v>
          </cell>
          <cell r="G2787">
            <v>0</v>
          </cell>
        </row>
        <row r="2788">
          <cell r="B2788">
            <v>9634</v>
          </cell>
          <cell r="C2788">
            <v>574091.28</v>
          </cell>
          <cell r="D2788" t="str">
            <v>PHP</v>
          </cell>
          <cell r="E2788">
            <v>3</v>
          </cell>
          <cell r="F2788" t="str">
            <v>SET</v>
          </cell>
          <cell r="G2788">
            <v>0</v>
          </cell>
        </row>
        <row r="2789">
          <cell r="B2789">
            <v>9673</v>
          </cell>
          <cell r="C2789">
            <v>248000</v>
          </cell>
          <cell r="D2789" t="str">
            <v>PHP</v>
          </cell>
          <cell r="E2789">
            <v>8</v>
          </cell>
          <cell r="F2789" t="str">
            <v>FT</v>
          </cell>
          <cell r="G2789">
            <v>0</v>
          </cell>
        </row>
        <row r="2790">
          <cell r="B2790">
            <v>9704</v>
          </cell>
          <cell r="C2790">
            <v>250626.94</v>
          </cell>
          <cell r="D2790" t="str">
            <v>PHP</v>
          </cell>
          <cell r="E2790">
            <v>1</v>
          </cell>
          <cell r="F2790" t="str">
            <v>PC</v>
          </cell>
          <cell r="G2790">
            <v>0</v>
          </cell>
        </row>
        <row r="2791">
          <cell r="B2791">
            <v>9782</v>
          </cell>
          <cell r="C2791">
            <v>0</v>
          </cell>
          <cell r="D2791" t="str">
            <v>PHP</v>
          </cell>
          <cell r="E2791">
            <v>0</v>
          </cell>
          <cell r="F2791" t="str">
            <v>PC</v>
          </cell>
          <cell r="G2791">
            <v>0</v>
          </cell>
        </row>
        <row r="2792">
          <cell r="B2792">
            <v>9783</v>
          </cell>
          <cell r="C2792">
            <v>75200</v>
          </cell>
          <cell r="D2792" t="str">
            <v>PHP</v>
          </cell>
          <cell r="E2792">
            <v>4</v>
          </cell>
          <cell r="F2792" t="str">
            <v>PC</v>
          </cell>
          <cell r="G2792">
            <v>0</v>
          </cell>
        </row>
        <row r="2793">
          <cell r="B2793">
            <v>9784</v>
          </cell>
          <cell r="C2793">
            <v>29305.16</v>
          </cell>
          <cell r="D2793" t="str">
            <v>PHP</v>
          </cell>
          <cell r="E2793">
            <v>2</v>
          </cell>
          <cell r="F2793" t="str">
            <v>PC</v>
          </cell>
          <cell r="G2793">
            <v>0</v>
          </cell>
        </row>
        <row r="2794">
          <cell r="B2794">
            <v>9786</v>
          </cell>
          <cell r="C2794">
            <v>74403.520000000004</v>
          </cell>
          <cell r="D2794" t="str">
            <v>PHP</v>
          </cell>
          <cell r="E2794">
            <v>4</v>
          </cell>
          <cell r="F2794" t="str">
            <v>PC</v>
          </cell>
          <cell r="G2794">
            <v>0</v>
          </cell>
        </row>
        <row r="2795">
          <cell r="B2795">
            <v>9787</v>
          </cell>
          <cell r="C2795">
            <v>0</v>
          </cell>
          <cell r="D2795" t="str">
            <v>PHP</v>
          </cell>
          <cell r="E2795">
            <v>0</v>
          </cell>
          <cell r="F2795" t="str">
            <v>PC</v>
          </cell>
          <cell r="G2795">
            <v>0</v>
          </cell>
        </row>
        <row r="2796">
          <cell r="B2796">
            <v>9788</v>
          </cell>
          <cell r="C2796">
            <v>91720</v>
          </cell>
          <cell r="D2796" t="str">
            <v>PHP</v>
          </cell>
          <cell r="E2796">
            <v>4</v>
          </cell>
          <cell r="F2796" t="str">
            <v>PC</v>
          </cell>
          <cell r="G2796">
            <v>0</v>
          </cell>
        </row>
        <row r="2797">
          <cell r="B2797">
            <v>9789</v>
          </cell>
          <cell r="C2797">
            <v>91720</v>
          </cell>
          <cell r="D2797" t="str">
            <v>PHP</v>
          </cell>
          <cell r="E2797">
            <v>4</v>
          </cell>
          <cell r="F2797" t="str">
            <v>PC</v>
          </cell>
          <cell r="G2797">
            <v>0</v>
          </cell>
        </row>
        <row r="2798">
          <cell r="B2798">
            <v>9790</v>
          </cell>
          <cell r="C2798">
            <v>115440</v>
          </cell>
          <cell r="D2798" t="str">
            <v>PHP</v>
          </cell>
          <cell r="E2798">
            <v>4</v>
          </cell>
          <cell r="F2798" t="str">
            <v>PC</v>
          </cell>
          <cell r="G2798">
            <v>0</v>
          </cell>
        </row>
        <row r="2799">
          <cell r="B2799">
            <v>9791</v>
          </cell>
          <cell r="C2799">
            <v>115440</v>
          </cell>
          <cell r="D2799" t="str">
            <v>PHP</v>
          </cell>
          <cell r="E2799">
            <v>4</v>
          </cell>
          <cell r="F2799" t="str">
            <v>PC</v>
          </cell>
          <cell r="G2799">
            <v>0</v>
          </cell>
        </row>
        <row r="2800">
          <cell r="B2800">
            <v>9792</v>
          </cell>
          <cell r="C2800">
            <v>73262.899999999994</v>
          </cell>
          <cell r="D2800" t="str">
            <v>PHP</v>
          </cell>
          <cell r="E2800">
            <v>5</v>
          </cell>
          <cell r="F2800" t="str">
            <v>PC</v>
          </cell>
          <cell r="G2800">
            <v>0</v>
          </cell>
        </row>
        <row r="2801">
          <cell r="B2801">
            <v>9793</v>
          </cell>
          <cell r="C2801">
            <v>78527.3</v>
          </cell>
          <cell r="D2801" t="str">
            <v>PHP</v>
          </cell>
          <cell r="E2801">
            <v>5</v>
          </cell>
          <cell r="F2801" t="str">
            <v>PC</v>
          </cell>
          <cell r="G2801">
            <v>0</v>
          </cell>
        </row>
        <row r="2802">
          <cell r="B2802">
            <v>9794</v>
          </cell>
          <cell r="C2802">
            <v>94232.76</v>
          </cell>
          <cell r="D2802" t="str">
            <v>PHP</v>
          </cell>
          <cell r="E2802">
            <v>6</v>
          </cell>
          <cell r="F2802" t="str">
            <v>PC</v>
          </cell>
          <cell r="G2802">
            <v>0</v>
          </cell>
        </row>
        <row r="2803">
          <cell r="B2803">
            <v>9795</v>
          </cell>
          <cell r="C2803">
            <v>187822.98</v>
          </cell>
          <cell r="D2803" t="str">
            <v>PHP</v>
          </cell>
          <cell r="E2803">
            <v>10</v>
          </cell>
          <cell r="F2803" t="str">
            <v>PC</v>
          </cell>
          <cell r="G2803">
            <v>0</v>
          </cell>
        </row>
        <row r="2804">
          <cell r="B2804">
            <v>10146</v>
          </cell>
          <cell r="C2804">
            <v>431444.64</v>
          </cell>
          <cell r="D2804" t="str">
            <v>PHP</v>
          </cell>
          <cell r="E2804">
            <v>2</v>
          </cell>
          <cell r="F2804" t="str">
            <v>LEN</v>
          </cell>
          <cell r="G2804">
            <v>0</v>
          </cell>
        </row>
        <row r="2805">
          <cell r="B2805">
            <v>10172</v>
          </cell>
          <cell r="C2805">
            <v>0</v>
          </cell>
          <cell r="D2805" t="str">
            <v>PHP</v>
          </cell>
          <cell r="E2805">
            <v>0</v>
          </cell>
          <cell r="F2805" t="str">
            <v>PC</v>
          </cell>
          <cell r="G2805">
            <v>0</v>
          </cell>
        </row>
        <row r="2806">
          <cell r="B2806">
            <v>10173</v>
          </cell>
          <cell r="C2806">
            <v>0</v>
          </cell>
          <cell r="D2806" t="str">
            <v>PHP</v>
          </cell>
          <cell r="E2806">
            <v>0</v>
          </cell>
          <cell r="F2806" t="str">
            <v>PC</v>
          </cell>
          <cell r="G2806">
            <v>0</v>
          </cell>
        </row>
        <row r="2807">
          <cell r="B2807">
            <v>10174</v>
          </cell>
          <cell r="C2807">
            <v>202578.5</v>
          </cell>
          <cell r="D2807" t="str">
            <v>PHP</v>
          </cell>
          <cell r="E2807">
            <v>50</v>
          </cell>
          <cell r="F2807" t="str">
            <v>PC</v>
          </cell>
          <cell r="G2807">
            <v>0</v>
          </cell>
        </row>
        <row r="2808">
          <cell r="B2808">
            <v>10175</v>
          </cell>
          <cell r="C2808">
            <v>0</v>
          </cell>
          <cell r="D2808" t="str">
            <v>PHP</v>
          </cell>
          <cell r="E2808">
            <v>0</v>
          </cell>
          <cell r="F2808" t="str">
            <v>PC</v>
          </cell>
          <cell r="G2808">
            <v>0</v>
          </cell>
        </row>
        <row r="2809">
          <cell r="B2809">
            <v>10178</v>
          </cell>
          <cell r="C2809">
            <v>431259.78</v>
          </cell>
          <cell r="D2809" t="str">
            <v>PHP</v>
          </cell>
          <cell r="E2809">
            <v>47</v>
          </cell>
          <cell r="F2809" t="str">
            <v>PC</v>
          </cell>
          <cell r="G2809">
            <v>0</v>
          </cell>
        </row>
        <row r="2810">
          <cell r="B2810">
            <v>10179</v>
          </cell>
          <cell r="C2810">
            <v>0</v>
          </cell>
          <cell r="D2810" t="str">
            <v>PHP</v>
          </cell>
          <cell r="E2810">
            <v>0</v>
          </cell>
          <cell r="F2810" t="str">
            <v>PC</v>
          </cell>
          <cell r="G2810">
            <v>0</v>
          </cell>
        </row>
        <row r="2811">
          <cell r="B2811">
            <v>10180</v>
          </cell>
          <cell r="C2811">
            <v>0</v>
          </cell>
          <cell r="D2811" t="str">
            <v>PHP</v>
          </cell>
          <cell r="E2811">
            <v>0</v>
          </cell>
          <cell r="F2811" t="str">
            <v>PC</v>
          </cell>
          <cell r="G2811">
            <v>0</v>
          </cell>
        </row>
        <row r="2812">
          <cell r="B2812">
            <v>10181</v>
          </cell>
          <cell r="C2812">
            <v>0</v>
          </cell>
          <cell r="D2812" t="str">
            <v>PHP</v>
          </cell>
          <cell r="E2812">
            <v>0</v>
          </cell>
          <cell r="F2812" t="str">
            <v>PC</v>
          </cell>
          <cell r="G2812">
            <v>0</v>
          </cell>
        </row>
        <row r="2813">
          <cell r="B2813">
            <v>10184</v>
          </cell>
          <cell r="C2813">
            <v>73471.64</v>
          </cell>
          <cell r="D2813" t="str">
            <v>PHP</v>
          </cell>
          <cell r="E2813">
            <v>7</v>
          </cell>
          <cell r="F2813" t="str">
            <v>ROL</v>
          </cell>
          <cell r="G2813">
            <v>0</v>
          </cell>
        </row>
        <row r="2814">
          <cell r="B2814">
            <v>10185</v>
          </cell>
          <cell r="C2814">
            <v>0</v>
          </cell>
          <cell r="D2814" t="str">
            <v>PHP</v>
          </cell>
          <cell r="E2814">
            <v>0</v>
          </cell>
          <cell r="F2814" t="str">
            <v>ROL</v>
          </cell>
          <cell r="G2814">
            <v>0</v>
          </cell>
        </row>
        <row r="2815">
          <cell r="B2815">
            <v>10194</v>
          </cell>
          <cell r="C2815">
            <v>0</v>
          </cell>
          <cell r="D2815" t="str">
            <v>PHP</v>
          </cell>
          <cell r="E2815">
            <v>0</v>
          </cell>
          <cell r="F2815" t="str">
            <v>ASY</v>
          </cell>
          <cell r="G2815">
            <v>0</v>
          </cell>
        </row>
        <row r="2816">
          <cell r="B2816">
            <v>10200</v>
          </cell>
          <cell r="C2816">
            <v>151016.41</v>
          </cell>
          <cell r="D2816" t="str">
            <v>PHP</v>
          </cell>
          <cell r="E2816">
            <v>30</v>
          </cell>
          <cell r="F2816" t="str">
            <v>FT</v>
          </cell>
          <cell r="G2816">
            <v>0</v>
          </cell>
        </row>
        <row r="2817">
          <cell r="B2817">
            <v>10201</v>
          </cell>
          <cell r="C2817">
            <v>419431.26</v>
          </cell>
          <cell r="D2817" t="str">
            <v>PHP</v>
          </cell>
          <cell r="E2817">
            <v>85</v>
          </cell>
          <cell r="F2817" t="str">
            <v>FT</v>
          </cell>
          <cell r="G2817">
            <v>0</v>
          </cell>
        </row>
        <row r="2818">
          <cell r="B2818">
            <v>10202</v>
          </cell>
          <cell r="C2818">
            <v>257424.36</v>
          </cell>
          <cell r="D2818" t="str">
            <v>PHP</v>
          </cell>
          <cell r="E2818">
            <v>59</v>
          </cell>
          <cell r="F2818" t="str">
            <v>FT</v>
          </cell>
          <cell r="G2818">
            <v>0</v>
          </cell>
        </row>
        <row r="2819">
          <cell r="B2819">
            <v>10288</v>
          </cell>
          <cell r="C2819">
            <v>4957.3</v>
          </cell>
          <cell r="D2819" t="str">
            <v>PHP</v>
          </cell>
          <cell r="E2819">
            <v>890</v>
          </cell>
          <cell r="F2819" t="str">
            <v>PC</v>
          </cell>
          <cell r="G2819">
            <v>0</v>
          </cell>
        </row>
        <row r="2820">
          <cell r="B2820">
            <v>10294</v>
          </cell>
          <cell r="C2820">
            <v>254767.95</v>
          </cell>
          <cell r="D2820" t="str">
            <v>PHP</v>
          </cell>
          <cell r="E2820">
            <v>1</v>
          </cell>
          <cell r="F2820" t="str">
            <v>PC</v>
          </cell>
          <cell r="G2820">
            <v>0</v>
          </cell>
        </row>
        <row r="2821">
          <cell r="B2821">
            <v>10350</v>
          </cell>
          <cell r="C2821">
            <v>0</v>
          </cell>
          <cell r="D2821" t="str">
            <v>PHP</v>
          </cell>
          <cell r="E2821">
            <v>0</v>
          </cell>
          <cell r="F2821" t="str">
            <v>KIT</v>
          </cell>
          <cell r="G2821">
            <v>0</v>
          </cell>
        </row>
        <row r="2822">
          <cell r="B2822">
            <v>10356</v>
          </cell>
          <cell r="C2822">
            <v>0</v>
          </cell>
          <cell r="D2822" t="str">
            <v>PHP</v>
          </cell>
          <cell r="E2822">
            <v>0</v>
          </cell>
          <cell r="F2822" t="str">
            <v>PC</v>
          </cell>
          <cell r="G2822">
            <v>0</v>
          </cell>
        </row>
        <row r="2823">
          <cell r="B2823">
            <v>10357</v>
          </cell>
          <cell r="C2823">
            <v>0</v>
          </cell>
          <cell r="D2823" t="str">
            <v>PHP</v>
          </cell>
          <cell r="E2823">
            <v>0</v>
          </cell>
          <cell r="F2823" t="str">
            <v>PC</v>
          </cell>
          <cell r="G2823">
            <v>0</v>
          </cell>
        </row>
        <row r="2824">
          <cell r="B2824">
            <v>10358</v>
          </cell>
          <cell r="C2824">
            <v>0</v>
          </cell>
          <cell r="D2824" t="str">
            <v>PHP</v>
          </cell>
          <cell r="E2824">
            <v>0</v>
          </cell>
          <cell r="F2824" t="str">
            <v>PC</v>
          </cell>
          <cell r="G2824">
            <v>0</v>
          </cell>
        </row>
        <row r="2825">
          <cell r="B2825">
            <v>10359</v>
          </cell>
          <cell r="C2825">
            <v>0</v>
          </cell>
          <cell r="D2825" t="str">
            <v>PHP</v>
          </cell>
          <cell r="E2825">
            <v>0</v>
          </cell>
          <cell r="F2825" t="str">
            <v>PC</v>
          </cell>
          <cell r="G2825">
            <v>0</v>
          </cell>
        </row>
        <row r="2826">
          <cell r="B2826">
            <v>10360</v>
          </cell>
          <cell r="C2826">
            <v>0</v>
          </cell>
          <cell r="D2826" t="str">
            <v>PHP</v>
          </cell>
          <cell r="E2826">
            <v>0</v>
          </cell>
          <cell r="F2826" t="str">
            <v>PC</v>
          </cell>
          <cell r="G2826">
            <v>0</v>
          </cell>
        </row>
        <row r="2827">
          <cell r="B2827">
            <v>10362</v>
          </cell>
          <cell r="C2827">
            <v>8127396.3700000001</v>
          </cell>
          <cell r="D2827" t="str">
            <v>PHP</v>
          </cell>
          <cell r="E2827">
            <v>7</v>
          </cell>
          <cell r="F2827" t="str">
            <v>PC</v>
          </cell>
          <cell r="G2827">
            <v>0</v>
          </cell>
        </row>
        <row r="2828">
          <cell r="B2828">
            <v>10370</v>
          </cell>
          <cell r="C2828">
            <v>0</v>
          </cell>
          <cell r="D2828" t="str">
            <v>PHP</v>
          </cell>
          <cell r="E2828">
            <v>0</v>
          </cell>
          <cell r="F2828" t="str">
            <v>PC</v>
          </cell>
          <cell r="G2828">
            <v>0</v>
          </cell>
        </row>
        <row r="2829">
          <cell r="B2829">
            <v>10378</v>
          </cell>
          <cell r="C2829">
            <v>0</v>
          </cell>
          <cell r="D2829" t="str">
            <v>PHP</v>
          </cell>
          <cell r="E2829">
            <v>0</v>
          </cell>
          <cell r="F2829" t="str">
            <v>PC</v>
          </cell>
          <cell r="G2829">
            <v>0</v>
          </cell>
        </row>
        <row r="2830">
          <cell r="B2830">
            <v>10379</v>
          </cell>
          <cell r="C2830">
            <v>0</v>
          </cell>
          <cell r="D2830" t="str">
            <v>PHP</v>
          </cell>
          <cell r="E2830">
            <v>0</v>
          </cell>
          <cell r="F2830" t="str">
            <v>PC</v>
          </cell>
          <cell r="G2830">
            <v>0</v>
          </cell>
        </row>
        <row r="2831">
          <cell r="B2831">
            <v>10417</v>
          </cell>
          <cell r="C2831">
            <v>727659.64</v>
          </cell>
          <cell r="D2831" t="str">
            <v>PHP</v>
          </cell>
          <cell r="E2831">
            <v>70</v>
          </cell>
          <cell r="F2831" t="str">
            <v>PL</v>
          </cell>
          <cell r="G2831">
            <v>0</v>
          </cell>
        </row>
        <row r="2832">
          <cell r="B2832">
            <v>10420</v>
          </cell>
          <cell r="C2832">
            <v>0</v>
          </cell>
          <cell r="D2832" t="str">
            <v>PHP</v>
          </cell>
          <cell r="E2832">
            <v>0</v>
          </cell>
          <cell r="F2832" t="str">
            <v>GAL</v>
          </cell>
          <cell r="G2832">
            <v>0</v>
          </cell>
        </row>
        <row r="2833">
          <cell r="B2833">
            <v>10424</v>
          </cell>
          <cell r="C2833">
            <v>0</v>
          </cell>
          <cell r="D2833" t="str">
            <v>PHP</v>
          </cell>
          <cell r="E2833">
            <v>0</v>
          </cell>
          <cell r="F2833" t="str">
            <v>PC</v>
          </cell>
          <cell r="G2833">
            <v>0</v>
          </cell>
        </row>
        <row r="2834">
          <cell r="B2834">
            <v>10483</v>
          </cell>
          <cell r="C2834">
            <v>0</v>
          </cell>
          <cell r="D2834" t="str">
            <v>PHP</v>
          </cell>
          <cell r="E2834">
            <v>0</v>
          </cell>
          <cell r="F2834" t="str">
            <v>SET</v>
          </cell>
          <cell r="G2834">
            <v>0</v>
          </cell>
        </row>
        <row r="2835">
          <cell r="B2835">
            <v>10501</v>
          </cell>
          <cell r="C2835">
            <v>23500</v>
          </cell>
          <cell r="D2835" t="str">
            <v>PHP</v>
          </cell>
          <cell r="E2835">
            <v>1</v>
          </cell>
          <cell r="F2835" t="str">
            <v>PC</v>
          </cell>
          <cell r="G2835">
            <v>0</v>
          </cell>
        </row>
        <row r="2836">
          <cell r="B2836">
            <v>10509</v>
          </cell>
          <cell r="C2836">
            <v>23500</v>
          </cell>
          <cell r="D2836" t="str">
            <v>PHP</v>
          </cell>
          <cell r="E2836">
            <v>1</v>
          </cell>
          <cell r="F2836" t="str">
            <v>PC</v>
          </cell>
          <cell r="G2836">
            <v>0</v>
          </cell>
        </row>
        <row r="2837">
          <cell r="B2837">
            <v>10515</v>
          </cell>
          <cell r="C2837">
            <v>0</v>
          </cell>
          <cell r="D2837" t="str">
            <v>PHP</v>
          </cell>
          <cell r="E2837">
            <v>0</v>
          </cell>
          <cell r="F2837" t="str">
            <v>PC</v>
          </cell>
          <cell r="G2837">
            <v>0</v>
          </cell>
        </row>
        <row r="2838">
          <cell r="B2838">
            <v>10594</v>
          </cell>
          <cell r="C2838">
            <v>4317.57</v>
          </cell>
          <cell r="D2838" t="str">
            <v>PHP</v>
          </cell>
          <cell r="E2838">
            <v>3</v>
          </cell>
          <cell r="F2838" t="str">
            <v>PC</v>
          </cell>
          <cell r="G2838">
            <v>0</v>
          </cell>
        </row>
        <row r="2839">
          <cell r="B2839">
            <v>10595</v>
          </cell>
          <cell r="C2839">
            <v>33904.480000000003</v>
          </cell>
          <cell r="D2839" t="str">
            <v>PHP</v>
          </cell>
          <cell r="E2839">
            <v>16</v>
          </cell>
          <cell r="F2839" t="str">
            <v>PC</v>
          </cell>
          <cell r="G2839">
            <v>0</v>
          </cell>
        </row>
        <row r="2840">
          <cell r="B2840">
            <v>10596</v>
          </cell>
          <cell r="C2840">
            <v>14171.72</v>
          </cell>
          <cell r="D2840" t="str">
            <v>PHP</v>
          </cell>
          <cell r="E2840">
            <v>1</v>
          </cell>
          <cell r="F2840" t="str">
            <v>PC</v>
          </cell>
          <cell r="G2840">
            <v>0</v>
          </cell>
        </row>
        <row r="2841">
          <cell r="B2841">
            <v>10636</v>
          </cell>
          <cell r="C2841">
            <v>85877.28</v>
          </cell>
          <cell r="D2841" t="str">
            <v>PHP</v>
          </cell>
          <cell r="E2841">
            <v>6</v>
          </cell>
          <cell r="F2841" t="str">
            <v>PC</v>
          </cell>
          <cell r="G2841">
            <v>0</v>
          </cell>
        </row>
        <row r="2842">
          <cell r="B2842">
            <v>10637</v>
          </cell>
          <cell r="C2842">
            <v>0</v>
          </cell>
          <cell r="D2842" t="str">
            <v>PHP</v>
          </cell>
          <cell r="E2842">
            <v>0</v>
          </cell>
          <cell r="F2842" t="str">
            <v>PC</v>
          </cell>
          <cell r="G2842">
            <v>0</v>
          </cell>
        </row>
        <row r="2843">
          <cell r="B2843">
            <v>10644</v>
          </cell>
          <cell r="C2843">
            <v>97047.82</v>
          </cell>
          <cell r="D2843" t="str">
            <v>PHP</v>
          </cell>
          <cell r="E2843">
            <v>20</v>
          </cell>
          <cell r="F2843" t="str">
            <v>PC</v>
          </cell>
          <cell r="G2843">
            <v>0</v>
          </cell>
        </row>
        <row r="2844">
          <cell r="B2844">
            <v>10647</v>
          </cell>
          <cell r="C2844">
            <v>8000</v>
          </cell>
          <cell r="D2844" t="str">
            <v>PHP</v>
          </cell>
          <cell r="E2844">
            <v>4</v>
          </cell>
          <cell r="F2844" t="str">
            <v>PC</v>
          </cell>
          <cell r="G2844">
            <v>0</v>
          </cell>
        </row>
        <row r="2845">
          <cell r="B2845">
            <v>10685</v>
          </cell>
          <cell r="C2845">
            <v>1800</v>
          </cell>
          <cell r="D2845" t="str">
            <v>PHP</v>
          </cell>
          <cell r="E2845">
            <v>2</v>
          </cell>
          <cell r="F2845" t="str">
            <v>ROL</v>
          </cell>
          <cell r="G2845">
            <v>0</v>
          </cell>
        </row>
        <row r="2846">
          <cell r="B2846">
            <v>10688</v>
          </cell>
          <cell r="C2846">
            <v>0</v>
          </cell>
          <cell r="D2846" t="str">
            <v>PHP</v>
          </cell>
          <cell r="E2846">
            <v>0</v>
          </cell>
          <cell r="F2846" t="str">
            <v>PC</v>
          </cell>
          <cell r="G2846">
            <v>0</v>
          </cell>
        </row>
        <row r="2847">
          <cell r="B2847">
            <v>10713</v>
          </cell>
          <cell r="C2847">
            <v>0</v>
          </cell>
          <cell r="D2847" t="str">
            <v>PHP</v>
          </cell>
          <cell r="E2847">
            <v>0</v>
          </cell>
          <cell r="F2847" t="str">
            <v>PC</v>
          </cell>
          <cell r="G2847">
            <v>0</v>
          </cell>
        </row>
        <row r="2848">
          <cell r="B2848">
            <v>10723</v>
          </cell>
          <cell r="C2848">
            <v>2241550.41</v>
          </cell>
          <cell r="D2848" t="str">
            <v>PHP</v>
          </cell>
          <cell r="E2848">
            <v>2</v>
          </cell>
          <cell r="F2848" t="str">
            <v>PC</v>
          </cell>
          <cell r="G2848">
            <v>0</v>
          </cell>
        </row>
        <row r="2849">
          <cell r="B2849">
            <v>10750</v>
          </cell>
          <cell r="C2849">
            <v>51475.28</v>
          </cell>
          <cell r="D2849" t="str">
            <v>PHP</v>
          </cell>
          <cell r="E2849">
            <v>1</v>
          </cell>
          <cell r="F2849" t="str">
            <v>PC</v>
          </cell>
          <cell r="G2849">
            <v>0</v>
          </cell>
        </row>
        <row r="2850">
          <cell r="B2850">
            <v>10788</v>
          </cell>
          <cell r="C2850">
            <v>0</v>
          </cell>
          <cell r="D2850" t="str">
            <v>PHP</v>
          </cell>
          <cell r="E2850">
            <v>0</v>
          </cell>
          <cell r="F2850" t="str">
            <v>PAC</v>
          </cell>
          <cell r="G2850">
            <v>0</v>
          </cell>
        </row>
        <row r="2851">
          <cell r="B2851">
            <v>10878</v>
          </cell>
          <cell r="C2851">
            <v>191146.56</v>
          </cell>
          <cell r="D2851" t="str">
            <v>PHP</v>
          </cell>
          <cell r="E2851">
            <v>2</v>
          </cell>
          <cell r="F2851" t="str">
            <v>PC</v>
          </cell>
          <cell r="G2851">
            <v>0</v>
          </cell>
        </row>
        <row r="2852">
          <cell r="B2852">
            <v>10951</v>
          </cell>
          <cell r="C2852">
            <v>0</v>
          </cell>
          <cell r="D2852" t="str">
            <v>PHP</v>
          </cell>
          <cell r="E2852">
            <v>0</v>
          </cell>
          <cell r="F2852" t="str">
            <v>L</v>
          </cell>
          <cell r="G2852">
            <v>0</v>
          </cell>
        </row>
        <row r="2853">
          <cell r="B2853">
            <v>10982</v>
          </cell>
          <cell r="C2853">
            <v>24103</v>
          </cell>
          <cell r="D2853" t="str">
            <v>PHP</v>
          </cell>
          <cell r="E2853">
            <v>25</v>
          </cell>
          <cell r="F2853" t="str">
            <v>PC</v>
          </cell>
          <cell r="G2853">
            <v>0</v>
          </cell>
        </row>
        <row r="2854">
          <cell r="B2854">
            <v>10994</v>
          </cell>
          <cell r="C2854">
            <v>2267</v>
          </cell>
          <cell r="D2854" t="str">
            <v>PHP</v>
          </cell>
          <cell r="E2854">
            <v>1</v>
          </cell>
          <cell r="F2854" t="str">
            <v>PC</v>
          </cell>
          <cell r="G2854">
            <v>0</v>
          </cell>
        </row>
        <row r="2855">
          <cell r="B2855">
            <v>11004</v>
          </cell>
          <cell r="C2855">
            <v>246676.2</v>
          </cell>
          <cell r="D2855" t="str">
            <v>PHP</v>
          </cell>
          <cell r="E2855">
            <v>6</v>
          </cell>
          <cell r="F2855" t="str">
            <v>PC</v>
          </cell>
          <cell r="G2855">
            <v>0</v>
          </cell>
        </row>
        <row r="2856">
          <cell r="B2856">
            <v>11246</v>
          </cell>
          <cell r="C2856">
            <v>57120</v>
          </cell>
          <cell r="D2856" t="str">
            <v>PHP</v>
          </cell>
          <cell r="E2856">
            <v>6</v>
          </cell>
          <cell r="F2856" t="str">
            <v>PC</v>
          </cell>
          <cell r="G2856">
            <v>0</v>
          </cell>
        </row>
        <row r="2857">
          <cell r="B2857">
            <v>11298</v>
          </cell>
          <cell r="C2857">
            <v>20033.87</v>
          </cell>
          <cell r="D2857" t="str">
            <v>PHP</v>
          </cell>
          <cell r="E2857">
            <v>1</v>
          </cell>
          <cell r="F2857" t="str">
            <v>PC</v>
          </cell>
          <cell r="G2857">
            <v>0</v>
          </cell>
        </row>
        <row r="2858">
          <cell r="B2858">
            <v>11315</v>
          </cell>
          <cell r="C2858">
            <v>0</v>
          </cell>
          <cell r="D2858" t="str">
            <v>PHP</v>
          </cell>
          <cell r="E2858">
            <v>0</v>
          </cell>
          <cell r="F2858" t="str">
            <v>PC</v>
          </cell>
          <cell r="G2858">
            <v>0</v>
          </cell>
        </row>
        <row r="2859">
          <cell r="B2859">
            <v>11316</v>
          </cell>
          <cell r="C2859">
            <v>0</v>
          </cell>
          <cell r="D2859" t="str">
            <v>PHP</v>
          </cell>
          <cell r="E2859">
            <v>0</v>
          </cell>
          <cell r="F2859" t="str">
            <v>PC</v>
          </cell>
          <cell r="G2859">
            <v>0</v>
          </cell>
        </row>
        <row r="2860">
          <cell r="B2860">
            <v>11408</v>
          </cell>
          <cell r="C2860">
            <v>12139.2</v>
          </cell>
          <cell r="D2860" t="str">
            <v>PHP</v>
          </cell>
          <cell r="E2860">
            <v>2</v>
          </cell>
          <cell r="F2860" t="str">
            <v>PC</v>
          </cell>
          <cell r="G2860">
            <v>0</v>
          </cell>
        </row>
        <row r="2861">
          <cell r="B2861">
            <v>11439</v>
          </cell>
          <cell r="C2861">
            <v>2155896.37</v>
          </cell>
          <cell r="D2861" t="str">
            <v>PHP</v>
          </cell>
          <cell r="E2861">
            <v>6</v>
          </cell>
          <cell r="F2861" t="str">
            <v>PC</v>
          </cell>
          <cell r="G2861">
            <v>0</v>
          </cell>
        </row>
        <row r="2862">
          <cell r="B2862">
            <v>11447</v>
          </cell>
          <cell r="C2862">
            <v>2577.2199999999998</v>
          </cell>
          <cell r="D2862" t="str">
            <v>PHP</v>
          </cell>
          <cell r="E2862">
            <v>3</v>
          </cell>
          <cell r="F2862" t="str">
            <v>PC</v>
          </cell>
          <cell r="G2862">
            <v>0</v>
          </cell>
        </row>
        <row r="2863">
          <cell r="B2863">
            <v>11482</v>
          </cell>
          <cell r="C2863">
            <v>3925527.2</v>
          </cell>
          <cell r="D2863" t="str">
            <v>PHP</v>
          </cell>
          <cell r="E2863">
            <v>8</v>
          </cell>
          <cell r="F2863" t="str">
            <v>PC</v>
          </cell>
          <cell r="G2863">
            <v>0</v>
          </cell>
        </row>
        <row r="2864">
          <cell r="B2864">
            <v>11642</v>
          </cell>
          <cell r="C2864">
            <v>33841.5</v>
          </cell>
          <cell r="D2864" t="str">
            <v>PHP</v>
          </cell>
          <cell r="E2864">
            <v>14</v>
          </cell>
          <cell r="F2864" t="str">
            <v>PC</v>
          </cell>
          <cell r="G2864">
            <v>0</v>
          </cell>
        </row>
        <row r="2865">
          <cell r="B2865">
            <v>11643</v>
          </cell>
          <cell r="C2865">
            <v>38676</v>
          </cell>
          <cell r="D2865" t="str">
            <v>PHP</v>
          </cell>
          <cell r="E2865">
            <v>16</v>
          </cell>
          <cell r="F2865" t="str">
            <v>PC</v>
          </cell>
          <cell r="G2865">
            <v>0</v>
          </cell>
        </row>
        <row r="2866">
          <cell r="B2866">
            <v>11644</v>
          </cell>
          <cell r="C2866">
            <v>706158.92</v>
          </cell>
          <cell r="D2866" t="str">
            <v>PHP</v>
          </cell>
          <cell r="E2866">
            <v>2</v>
          </cell>
          <cell r="F2866" t="str">
            <v>PC</v>
          </cell>
          <cell r="G2866">
            <v>0</v>
          </cell>
        </row>
        <row r="2867">
          <cell r="B2867">
            <v>11700</v>
          </cell>
          <cell r="C2867">
            <v>285850.59999999998</v>
          </cell>
          <cell r="D2867" t="str">
            <v>PHP</v>
          </cell>
          <cell r="E2867">
            <v>7</v>
          </cell>
          <cell r="F2867" t="str">
            <v>DR</v>
          </cell>
          <cell r="G2867">
            <v>0</v>
          </cell>
        </row>
        <row r="2868">
          <cell r="B2868">
            <v>11719</v>
          </cell>
          <cell r="C2868">
            <v>107674.19</v>
          </cell>
          <cell r="D2868" t="str">
            <v>PHP</v>
          </cell>
          <cell r="E2868">
            <v>84</v>
          </cell>
          <cell r="F2868" t="str">
            <v>PAD</v>
          </cell>
          <cell r="G2868">
            <v>0</v>
          </cell>
        </row>
        <row r="2869">
          <cell r="B2869">
            <v>11751</v>
          </cell>
          <cell r="C2869">
            <v>0</v>
          </cell>
          <cell r="D2869" t="str">
            <v>PHP</v>
          </cell>
          <cell r="E2869">
            <v>0</v>
          </cell>
          <cell r="F2869" t="str">
            <v>PAD</v>
          </cell>
          <cell r="G2869">
            <v>0</v>
          </cell>
        </row>
        <row r="2870">
          <cell r="B2870">
            <v>11762</v>
          </cell>
          <cell r="C2870">
            <v>8774.69</v>
          </cell>
          <cell r="D2870" t="str">
            <v>PHP</v>
          </cell>
          <cell r="E2870">
            <v>10</v>
          </cell>
          <cell r="F2870" t="str">
            <v>PC</v>
          </cell>
          <cell r="G2870">
            <v>0</v>
          </cell>
        </row>
        <row r="2871">
          <cell r="B2871">
            <v>11763</v>
          </cell>
          <cell r="C2871">
            <v>8774.69</v>
          </cell>
          <cell r="D2871" t="str">
            <v>PHP</v>
          </cell>
          <cell r="E2871">
            <v>10</v>
          </cell>
          <cell r="F2871" t="str">
            <v>PC</v>
          </cell>
          <cell r="G2871">
            <v>0</v>
          </cell>
        </row>
        <row r="2872">
          <cell r="B2872">
            <v>11787</v>
          </cell>
          <cell r="C2872">
            <v>265949.90999999997</v>
          </cell>
          <cell r="D2872" t="str">
            <v>PHP</v>
          </cell>
          <cell r="E2872">
            <v>6</v>
          </cell>
          <cell r="F2872" t="str">
            <v>PC</v>
          </cell>
          <cell r="G2872">
            <v>0</v>
          </cell>
        </row>
        <row r="2873">
          <cell r="B2873">
            <v>11821</v>
          </cell>
          <cell r="C2873">
            <v>32160.66</v>
          </cell>
          <cell r="D2873" t="str">
            <v>PHP</v>
          </cell>
          <cell r="E2873">
            <v>40</v>
          </cell>
          <cell r="F2873" t="str">
            <v>TUB</v>
          </cell>
          <cell r="G2873">
            <v>0</v>
          </cell>
        </row>
        <row r="2874">
          <cell r="B2874">
            <v>11822</v>
          </cell>
          <cell r="C2874">
            <v>46000</v>
          </cell>
          <cell r="D2874" t="str">
            <v>PHP</v>
          </cell>
          <cell r="E2874">
            <v>2</v>
          </cell>
          <cell r="F2874" t="str">
            <v>PL</v>
          </cell>
          <cell r="G2874">
            <v>0</v>
          </cell>
        </row>
        <row r="2875">
          <cell r="B2875">
            <v>11843</v>
          </cell>
          <cell r="C2875">
            <v>252036.51</v>
          </cell>
          <cell r="D2875" t="str">
            <v>PHP</v>
          </cell>
          <cell r="E2875">
            <v>3</v>
          </cell>
          <cell r="F2875" t="str">
            <v>PC</v>
          </cell>
          <cell r="G2875">
            <v>0</v>
          </cell>
        </row>
        <row r="2876">
          <cell r="B2876">
            <v>11934</v>
          </cell>
          <cell r="C2876">
            <v>0</v>
          </cell>
          <cell r="D2876" t="str">
            <v>PHP</v>
          </cell>
          <cell r="E2876">
            <v>0</v>
          </cell>
          <cell r="F2876" t="str">
            <v>PC</v>
          </cell>
          <cell r="G2876">
            <v>0</v>
          </cell>
        </row>
        <row r="2877">
          <cell r="B2877">
            <v>12002</v>
          </cell>
          <cell r="C2877">
            <v>0</v>
          </cell>
          <cell r="D2877" t="str">
            <v>PHP</v>
          </cell>
          <cell r="E2877">
            <v>0</v>
          </cell>
          <cell r="F2877" t="str">
            <v>PC</v>
          </cell>
          <cell r="G2877">
            <v>0</v>
          </cell>
        </row>
        <row r="2878">
          <cell r="B2878">
            <v>12015</v>
          </cell>
          <cell r="C2878">
            <v>245429.44</v>
          </cell>
          <cell r="D2878" t="str">
            <v>PHP</v>
          </cell>
          <cell r="E2878">
            <v>1</v>
          </cell>
          <cell r="F2878" t="str">
            <v>LEN</v>
          </cell>
          <cell r="G2878">
            <v>0</v>
          </cell>
        </row>
        <row r="2879">
          <cell r="B2879">
            <v>12016</v>
          </cell>
          <cell r="C2879">
            <v>0</v>
          </cell>
          <cell r="D2879" t="str">
            <v>PHP</v>
          </cell>
          <cell r="E2879">
            <v>0</v>
          </cell>
          <cell r="F2879" t="str">
            <v>LEN</v>
          </cell>
          <cell r="G2879">
            <v>0</v>
          </cell>
        </row>
        <row r="2880">
          <cell r="B2880">
            <v>12019</v>
          </cell>
          <cell r="C2880">
            <v>0</v>
          </cell>
          <cell r="D2880" t="str">
            <v>PHP</v>
          </cell>
          <cell r="E2880">
            <v>0</v>
          </cell>
          <cell r="F2880" t="str">
            <v>PC</v>
          </cell>
          <cell r="G2880">
            <v>0</v>
          </cell>
        </row>
        <row r="2881">
          <cell r="B2881">
            <v>12029</v>
          </cell>
          <cell r="C2881">
            <v>0</v>
          </cell>
          <cell r="D2881" t="str">
            <v>PHP</v>
          </cell>
          <cell r="E2881">
            <v>0</v>
          </cell>
          <cell r="F2881" t="str">
            <v>PC</v>
          </cell>
          <cell r="G2881">
            <v>0</v>
          </cell>
        </row>
        <row r="2882">
          <cell r="B2882">
            <v>12032</v>
          </cell>
          <cell r="C2882">
            <v>991653.32</v>
          </cell>
          <cell r="D2882" t="str">
            <v>PHP</v>
          </cell>
          <cell r="E2882">
            <v>2</v>
          </cell>
          <cell r="F2882" t="str">
            <v>ASY</v>
          </cell>
          <cell r="G2882">
            <v>0</v>
          </cell>
        </row>
        <row r="2883">
          <cell r="B2883">
            <v>12034</v>
          </cell>
          <cell r="C2883">
            <v>0</v>
          </cell>
          <cell r="D2883" t="str">
            <v>PHP</v>
          </cell>
          <cell r="E2883">
            <v>0</v>
          </cell>
          <cell r="F2883" t="str">
            <v>PC</v>
          </cell>
          <cell r="G2883">
            <v>0</v>
          </cell>
        </row>
        <row r="2884">
          <cell r="B2884">
            <v>12035</v>
          </cell>
          <cell r="C2884">
            <v>0</v>
          </cell>
          <cell r="D2884" t="str">
            <v>PHP</v>
          </cell>
          <cell r="E2884">
            <v>0</v>
          </cell>
          <cell r="F2884" t="str">
            <v>PC</v>
          </cell>
          <cell r="G2884">
            <v>0</v>
          </cell>
        </row>
        <row r="2885">
          <cell r="B2885">
            <v>12071</v>
          </cell>
          <cell r="C2885">
            <v>490084.82</v>
          </cell>
          <cell r="D2885" t="str">
            <v>PHP</v>
          </cell>
          <cell r="E2885">
            <v>2</v>
          </cell>
          <cell r="F2885" t="str">
            <v>ASY</v>
          </cell>
          <cell r="G2885">
            <v>0</v>
          </cell>
        </row>
        <row r="2886">
          <cell r="B2886">
            <v>12085</v>
          </cell>
          <cell r="C2886">
            <v>109376.48</v>
          </cell>
          <cell r="D2886" t="str">
            <v>PHP</v>
          </cell>
          <cell r="E2886">
            <v>3</v>
          </cell>
          <cell r="F2886" t="str">
            <v>SET</v>
          </cell>
          <cell r="G2886">
            <v>0</v>
          </cell>
        </row>
        <row r="2887">
          <cell r="B2887">
            <v>12086</v>
          </cell>
          <cell r="C2887">
            <v>55110.47</v>
          </cell>
          <cell r="D2887" t="str">
            <v>PHP</v>
          </cell>
          <cell r="E2887">
            <v>2</v>
          </cell>
          <cell r="F2887" t="str">
            <v>SET</v>
          </cell>
          <cell r="G2887">
            <v>0</v>
          </cell>
        </row>
        <row r="2888">
          <cell r="B2888">
            <v>12087</v>
          </cell>
          <cell r="C2888">
            <v>104052.7</v>
          </cell>
          <cell r="D2888" t="str">
            <v>PHP</v>
          </cell>
          <cell r="E2888">
            <v>2</v>
          </cell>
          <cell r="F2888" t="str">
            <v>SET</v>
          </cell>
          <cell r="G2888">
            <v>0</v>
          </cell>
        </row>
        <row r="2889">
          <cell r="B2889">
            <v>12128</v>
          </cell>
          <cell r="C2889">
            <v>0</v>
          </cell>
          <cell r="D2889" t="str">
            <v>PHP</v>
          </cell>
          <cell r="E2889">
            <v>0</v>
          </cell>
          <cell r="F2889" t="str">
            <v>PC</v>
          </cell>
          <cell r="G2889">
            <v>0</v>
          </cell>
        </row>
        <row r="2890">
          <cell r="B2890">
            <v>12129</v>
          </cell>
          <cell r="C2890">
            <v>0</v>
          </cell>
          <cell r="D2890" t="str">
            <v>PHP</v>
          </cell>
          <cell r="E2890">
            <v>0</v>
          </cell>
          <cell r="F2890" t="str">
            <v>PC</v>
          </cell>
          <cell r="G2890">
            <v>0</v>
          </cell>
        </row>
        <row r="2891">
          <cell r="B2891">
            <v>12130</v>
          </cell>
          <cell r="C2891">
            <v>0</v>
          </cell>
          <cell r="D2891" t="str">
            <v>PHP</v>
          </cell>
          <cell r="E2891">
            <v>0</v>
          </cell>
          <cell r="F2891" t="str">
            <v>PC</v>
          </cell>
          <cell r="G2891">
            <v>0</v>
          </cell>
        </row>
        <row r="2892">
          <cell r="B2892">
            <v>12131</v>
          </cell>
          <cell r="C2892">
            <v>0</v>
          </cell>
          <cell r="D2892" t="str">
            <v>PHP</v>
          </cell>
          <cell r="E2892">
            <v>0</v>
          </cell>
          <cell r="F2892" t="str">
            <v>PC</v>
          </cell>
          <cell r="G2892">
            <v>0</v>
          </cell>
        </row>
        <row r="2893">
          <cell r="B2893">
            <v>12132</v>
          </cell>
          <cell r="C2893">
            <v>0</v>
          </cell>
          <cell r="D2893" t="str">
            <v>PHP</v>
          </cell>
          <cell r="E2893">
            <v>0</v>
          </cell>
          <cell r="F2893" t="str">
            <v>PC</v>
          </cell>
          <cell r="G2893">
            <v>0</v>
          </cell>
        </row>
        <row r="2894">
          <cell r="B2894">
            <v>12133</v>
          </cell>
          <cell r="C2894">
            <v>11276.28</v>
          </cell>
          <cell r="D2894" t="str">
            <v>PHP</v>
          </cell>
          <cell r="E2894">
            <v>23</v>
          </cell>
          <cell r="F2894" t="str">
            <v>PC</v>
          </cell>
          <cell r="G2894">
            <v>0</v>
          </cell>
        </row>
        <row r="2895">
          <cell r="B2895">
            <v>12134</v>
          </cell>
          <cell r="C2895">
            <v>0</v>
          </cell>
          <cell r="D2895" t="str">
            <v>PHP</v>
          </cell>
          <cell r="E2895">
            <v>0</v>
          </cell>
          <cell r="F2895" t="str">
            <v>PC</v>
          </cell>
          <cell r="G2895">
            <v>0</v>
          </cell>
        </row>
        <row r="2896">
          <cell r="B2896">
            <v>12135</v>
          </cell>
          <cell r="C2896">
            <v>0</v>
          </cell>
          <cell r="D2896" t="str">
            <v>PHP</v>
          </cell>
          <cell r="E2896">
            <v>0</v>
          </cell>
          <cell r="F2896" t="str">
            <v>PC</v>
          </cell>
          <cell r="G2896">
            <v>0</v>
          </cell>
        </row>
        <row r="2897">
          <cell r="B2897">
            <v>12136</v>
          </cell>
          <cell r="C2897">
            <v>16400.62</v>
          </cell>
          <cell r="D2897" t="str">
            <v>PHP</v>
          </cell>
          <cell r="E2897">
            <v>5</v>
          </cell>
          <cell r="F2897" t="str">
            <v>PC</v>
          </cell>
          <cell r="G2897">
            <v>0</v>
          </cell>
        </row>
        <row r="2898">
          <cell r="B2898">
            <v>12139</v>
          </cell>
          <cell r="C2898">
            <v>1261176.6200000001</v>
          </cell>
          <cell r="D2898" t="str">
            <v>PHP</v>
          </cell>
          <cell r="E2898">
            <v>11</v>
          </cell>
          <cell r="F2898" t="str">
            <v>PC</v>
          </cell>
          <cell r="G2898">
            <v>0</v>
          </cell>
        </row>
        <row r="2899">
          <cell r="B2899">
            <v>12146</v>
          </cell>
          <cell r="C2899">
            <v>0</v>
          </cell>
          <cell r="D2899" t="str">
            <v>PHP</v>
          </cell>
          <cell r="E2899">
            <v>0</v>
          </cell>
          <cell r="F2899" t="str">
            <v>PC</v>
          </cell>
          <cell r="G2899">
            <v>0</v>
          </cell>
        </row>
        <row r="2900">
          <cell r="B2900">
            <v>12150</v>
          </cell>
          <cell r="C2900">
            <v>316430.82</v>
          </cell>
          <cell r="D2900" t="str">
            <v>PHP</v>
          </cell>
          <cell r="E2900">
            <v>2</v>
          </cell>
          <cell r="F2900" t="str">
            <v>PC</v>
          </cell>
          <cell r="G2900">
            <v>0</v>
          </cell>
        </row>
        <row r="2901">
          <cell r="B2901">
            <v>12184</v>
          </cell>
          <cell r="C2901">
            <v>111764.28</v>
          </cell>
          <cell r="D2901" t="str">
            <v>PHP</v>
          </cell>
          <cell r="E2901">
            <v>2</v>
          </cell>
          <cell r="F2901" t="str">
            <v>KIT</v>
          </cell>
          <cell r="G2901">
            <v>0</v>
          </cell>
        </row>
        <row r="2902">
          <cell r="B2902">
            <v>12186</v>
          </cell>
          <cell r="C2902">
            <v>91694.64</v>
          </cell>
          <cell r="D2902" t="str">
            <v>PHP</v>
          </cell>
          <cell r="E2902">
            <v>1</v>
          </cell>
          <cell r="F2902" t="str">
            <v>SET</v>
          </cell>
          <cell r="G2902">
            <v>0</v>
          </cell>
        </row>
        <row r="2903">
          <cell r="B2903">
            <v>12189</v>
          </cell>
          <cell r="C2903">
            <v>7542.9</v>
          </cell>
          <cell r="D2903" t="str">
            <v>PHP</v>
          </cell>
          <cell r="E2903">
            <v>1</v>
          </cell>
          <cell r="F2903" t="str">
            <v>KIT</v>
          </cell>
          <cell r="G2903">
            <v>0</v>
          </cell>
        </row>
        <row r="2904">
          <cell r="B2904">
            <v>12190</v>
          </cell>
          <cell r="C2904">
            <v>19767.599999999999</v>
          </cell>
          <cell r="D2904" t="str">
            <v>PHP</v>
          </cell>
          <cell r="E2904">
            <v>1</v>
          </cell>
          <cell r="F2904" t="str">
            <v>KIT</v>
          </cell>
          <cell r="G2904">
            <v>0</v>
          </cell>
        </row>
        <row r="2905">
          <cell r="B2905">
            <v>12191</v>
          </cell>
          <cell r="C2905">
            <v>1541526</v>
          </cell>
          <cell r="D2905" t="str">
            <v>PHP</v>
          </cell>
          <cell r="E2905">
            <v>1</v>
          </cell>
          <cell r="F2905" t="str">
            <v>KIT</v>
          </cell>
          <cell r="G2905">
            <v>0</v>
          </cell>
        </row>
        <row r="2906">
          <cell r="B2906">
            <v>12192</v>
          </cell>
          <cell r="C2906">
            <v>54534.3</v>
          </cell>
          <cell r="D2906" t="str">
            <v>PHP</v>
          </cell>
          <cell r="E2906">
            <v>1</v>
          </cell>
          <cell r="F2906" t="str">
            <v>KIT</v>
          </cell>
          <cell r="G2906">
            <v>0</v>
          </cell>
        </row>
        <row r="2907">
          <cell r="B2907">
            <v>12193</v>
          </cell>
          <cell r="C2907">
            <v>287150.40000000002</v>
          </cell>
          <cell r="D2907" t="str">
            <v>PHP</v>
          </cell>
          <cell r="E2907">
            <v>2</v>
          </cell>
          <cell r="F2907" t="str">
            <v>KIT</v>
          </cell>
          <cell r="G2907">
            <v>0</v>
          </cell>
        </row>
        <row r="2908">
          <cell r="B2908">
            <v>12194</v>
          </cell>
          <cell r="C2908">
            <v>158661</v>
          </cell>
          <cell r="D2908" t="str">
            <v>PHP</v>
          </cell>
          <cell r="E2908">
            <v>1</v>
          </cell>
          <cell r="F2908" t="str">
            <v>KIT</v>
          </cell>
          <cell r="G2908">
            <v>0</v>
          </cell>
        </row>
        <row r="2909">
          <cell r="B2909">
            <v>12219</v>
          </cell>
          <cell r="C2909">
            <v>0</v>
          </cell>
          <cell r="D2909" t="str">
            <v>PHP</v>
          </cell>
          <cell r="E2909">
            <v>0</v>
          </cell>
          <cell r="F2909" t="str">
            <v>KIT</v>
          </cell>
          <cell r="G2909">
            <v>0</v>
          </cell>
        </row>
        <row r="2910">
          <cell r="B2910">
            <v>12223</v>
          </cell>
          <cell r="C2910">
            <v>0</v>
          </cell>
          <cell r="D2910" t="str">
            <v>PHP</v>
          </cell>
          <cell r="E2910">
            <v>0</v>
          </cell>
          <cell r="F2910" t="str">
            <v>KIT</v>
          </cell>
          <cell r="G2910">
            <v>0</v>
          </cell>
        </row>
        <row r="2911">
          <cell r="B2911">
            <v>12248</v>
          </cell>
          <cell r="C2911">
            <v>399736.75</v>
          </cell>
          <cell r="D2911" t="str">
            <v>PHP</v>
          </cell>
          <cell r="E2911">
            <v>20</v>
          </cell>
          <cell r="F2911" t="str">
            <v>ASY</v>
          </cell>
          <cell r="G2911">
            <v>0</v>
          </cell>
        </row>
        <row r="2912">
          <cell r="B2912">
            <v>12312</v>
          </cell>
          <cell r="C2912">
            <v>0</v>
          </cell>
          <cell r="D2912" t="str">
            <v>PHP</v>
          </cell>
          <cell r="E2912">
            <v>0</v>
          </cell>
          <cell r="F2912" t="str">
            <v>LEN</v>
          </cell>
          <cell r="G2912">
            <v>0</v>
          </cell>
        </row>
        <row r="2913">
          <cell r="B2913">
            <v>12313</v>
          </cell>
          <cell r="C2913">
            <v>0</v>
          </cell>
          <cell r="D2913" t="str">
            <v>PHP</v>
          </cell>
          <cell r="E2913">
            <v>0</v>
          </cell>
          <cell r="F2913" t="str">
            <v>LEN</v>
          </cell>
          <cell r="G2913">
            <v>0</v>
          </cell>
        </row>
        <row r="2914">
          <cell r="B2914">
            <v>12314</v>
          </cell>
          <cell r="C2914">
            <v>0</v>
          </cell>
          <cell r="D2914" t="str">
            <v>PHP</v>
          </cell>
          <cell r="E2914">
            <v>0</v>
          </cell>
          <cell r="F2914" t="str">
            <v>LEN</v>
          </cell>
          <cell r="G2914">
            <v>0</v>
          </cell>
        </row>
        <row r="2915">
          <cell r="B2915">
            <v>12315</v>
          </cell>
          <cell r="C2915">
            <v>0</v>
          </cell>
          <cell r="D2915" t="str">
            <v>PHP</v>
          </cell>
          <cell r="E2915">
            <v>0</v>
          </cell>
          <cell r="F2915" t="str">
            <v>LEN</v>
          </cell>
          <cell r="G2915">
            <v>0</v>
          </cell>
        </row>
        <row r="2916">
          <cell r="B2916">
            <v>12320</v>
          </cell>
          <cell r="C2916">
            <v>152956</v>
          </cell>
          <cell r="D2916" t="str">
            <v>PHP</v>
          </cell>
          <cell r="E2916">
            <v>2</v>
          </cell>
          <cell r="F2916" t="str">
            <v>LEN</v>
          </cell>
          <cell r="G2916">
            <v>0</v>
          </cell>
        </row>
        <row r="2917">
          <cell r="B2917">
            <v>12321</v>
          </cell>
          <cell r="C2917">
            <v>1142160</v>
          </cell>
          <cell r="D2917" t="str">
            <v>PHP</v>
          </cell>
          <cell r="E2917">
            <v>2</v>
          </cell>
          <cell r="F2917" t="str">
            <v>LEN</v>
          </cell>
          <cell r="G2917">
            <v>0</v>
          </cell>
        </row>
        <row r="2918">
          <cell r="B2918">
            <v>12322</v>
          </cell>
          <cell r="C2918">
            <v>397314</v>
          </cell>
          <cell r="D2918" t="str">
            <v>PHP</v>
          </cell>
          <cell r="E2918">
            <v>2</v>
          </cell>
          <cell r="F2918" t="str">
            <v>LEN</v>
          </cell>
          <cell r="G2918">
            <v>0</v>
          </cell>
        </row>
        <row r="2919">
          <cell r="B2919">
            <v>12323</v>
          </cell>
          <cell r="C2919">
            <v>256426</v>
          </cell>
          <cell r="D2919" t="str">
            <v>PHP</v>
          </cell>
          <cell r="E2919">
            <v>1</v>
          </cell>
          <cell r="F2919" t="str">
            <v>LEN</v>
          </cell>
          <cell r="G2919">
            <v>0</v>
          </cell>
        </row>
        <row r="2920">
          <cell r="B2920">
            <v>12324</v>
          </cell>
          <cell r="C2920">
            <v>345901</v>
          </cell>
          <cell r="D2920" t="str">
            <v>PHP</v>
          </cell>
          <cell r="E2920">
            <v>1</v>
          </cell>
          <cell r="F2920" t="str">
            <v>LEN</v>
          </cell>
          <cell r="G2920">
            <v>0</v>
          </cell>
        </row>
        <row r="2921">
          <cell r="B2921">
            <v>12346</v>
          </cell>
          <cell r="C2921">
            <v>479190.26</v>
          </cell>
          <cell r="D2921" t="str">
            <v>PHP</v>
          </cell>
          <cell r="E2921">
            <v>19</v>
          </cell>
          <cell r="F2921" t="str">
            <v>PC</v>
          </cell>
          <cell r="G2921">
            <v>0</v>
          </cell>
        </row>
        <row r="2922">
          <cell r="B2922">
            <v>12347</v>
          </cell>
          <cell r="C2922">
            <v>512703.32</v>
          </cell>
          <cell r="D2922" t="str">
            <v>PHP</v>
          </cell>
          <cell r="E2922">
            <v>20</v>
          </cell>
          <cell r="F2922" t="str">
            <v>PC</v>
          </cell>
          <cell r="G2922">
            <v>0</v>
          </cell>
        </row>
        <row r="2923">
          <cell r="B2923">
            <v>12348</v>
          </cell>
          <cell r="C2923">
            <v>15323.06</v>
          </cell>
          <cell r="D2923" t="str">
            <v>PHP</v>
          </cell>
          <cell r="E2923">
            <v>1</v>
          </cell>
          <cell r="F2923" t="str">
            <v>PC</v>
          </cell>
          <cell r="G2923">
            <v>0</v>
          </cell>
        </row>
        <row r="2924">
          <cell r="B2924">
            <v>12353</v>
          </cell>
          <cell r="C2924">
            <v>42933.120000000003</v>
          </cell>
          <cell r="D2924" t="str">
            <v>PHP</v>
          </cell>
          <cell r="E2924">
            <v>4</v>
          </cell>
          <cell r="F2924" t="str">
            <v>PC</v>
          </cell>
          <cell r="G2924">
            <v>0</v>
          </cell>
        </row>
        <row r="2925">
          <cell r="B2925">
            <v>12354</v>
          </cell>
          <cell r="C2925">
            <v>6514.52</v>
          </cell>
          <cell r="D2925" t="str">
            <v>PHP</v>
          </cell>
          <cell r="E2925">
            <v>4</v>
          </cell>
          <cell r="F2925" t="str">
            <v>PC</v>
          </cell>
          <cell r="G2925">
            <v>0</v>
          </cell>
        </row>
        <row r="2926">
          <cell r="B2926">
            <v>12355</v>
          </cell>
          <cell r="C2926">
            <v>434.32</v>
          </cell>
          <cell r="D2926" t="str">
            <v>PHP</v>
          </cell>
          <cell r="E2926">
            <v>4</v>
          </cell>
          <cell r="F2926" t="str">
            <v>PC</v>
          </cell>
          <cell r="G2926">
            <v>0</v>
          </cell>
        </row>
        <row r="2927">
          <cell r="B2927">
            <v>12369</v>
          </cell>
          <cell r="C2927">
            <v>0</v>
          </cell>
          <cell r="D2927" t="str">
            <v>PHP</v>
          </cell>
          <cell r="E2927">
            <v>0</v>
          </cell>
          <cell r="F2927" t="str">
            <v>L</v>
          </cell>
          <cell r="G2927">
            <v>0</v>
          </cell>
        </row>
        <row r="2928">
          <cell r="B2928">
            <v>12397</v>
          </cell>
          <cell r="C2928">
            <v>55000</v>
          </cell>
          <cell r="D2928" t="str">
            <v>PHP</v>
          </cell>
          <cell r="E2928">
            <v>2</v>
          </cell>
          <cell r="F2928" t="str">
            <v>PC</v>
          </cell>
          <cell r="G2928">
            <v>0</v>
          </cell>
        </row>
        <row r="2929">
          <cell r="B2929">
            <v>12412</v>
          </cell>
          <cell r="C2929">
            <v>0</v>
          </cell>
          <cell r="D2929" t="str">
            <v>PHP</v>
          </cell>
          <cell r="E2929">
            <v>0</v>
          </cell>
          <cell r="F2929" t="str">
            <v>PC</v>
          </cell>
          <cell r="G2929">
            <v>0</v>
          </cell>
        </row>
        <row r="2930">
          <cell r="B2930">
            <v>12614</v>
          </cell>
          <cell r="C2930">
            <v>0</v>
          </cell>
          <cell r="D2930" t="str">
            <v>PHP</v>
          </cell>
          <cell r="E2930">
            <v>0</v>
          </cell>
          <cell r="F2930" t="str">
            <v>PC</v>
          </cell>
          <cell r="G2930">
            <v>0</v>
          </cell>
        </row>
        <row r="2931">
          <cell r="B2931">
            <v>12634</v>
          </cell>
          <cell r="C2931">
            <v>225142.2</v>
          </cell>
          <cell r="D2931" t="str">
            <v>PHP</v>
          </cell>
          <cell r="E2931">
            <v>2</v>
          </cell>
          <cell r="F2931" t="str">
            <v>PC</v>
          </cell>
          <cell r="G2931">
            <v>0</v>
          </cell>
        </row>
        <row r="2932">
          <cell r="B2932">
            <v>12635</v>
          </cell>
          <cell r="C2932">
            <v>0</v>
          </cell>
          <cell r="D2932" t="str">
            <v>PHP</v>
          </cell>
          <cell r="E2932">
            <v>0</v>
          </cell>
          <cell r="F2932" t="str">
            <v>PC</v>
          </cell>
          <cell r="G2932">
            <v>0</v>
          </cell>
        </row>
        <row r="2933">
          <cell r="B2933">
            <v>12639</v>
          </cell>
          <cell r="C2933">
            <v>0</v>
          </cell>
          <cell r="D2933" t="str">
            <v>PHP</v>
          </cell>
          <cell r="E2933">
            <v>0</v>
          </cell>
          <cell r="F2933" t="str">
            <v>PC</v>
          </cell>
          <cell r="G2933">
            <v>0</v>
          </cell>
        </row>
        <row r="2934">
          <cell r="B2934">
            <v>12646</v>
          </cell>
          <cell r="C2934">
            <v>0</v>
          </cell>
          <cell r="D2934" t="str">
            <v>PHP</v>
          </cell>
          <cell r="E2934">
            <v>0</v>
          </cell>
          <cell r="F2934" t="str">
            <v>PC</v>
          </cell>
          <cell r="G2934">
            <v>0</v>
          </cell>
        </row>
        <row r="2935">
          <cell r="B2935">
            <v>12675</v>
          </cell>
          <cell r="C2935">
            <v>115542.61</v>
          </cell>
          <cell r="D2935" t="str">
            <v>PHP</v>
          </cell>
          <cell r="E2935">
            <v>1</v>
          </cell>
          <cell r="F2935" t="str">
            <v>PC</v>
          </cell>
          <cell r="G2935">
            <v>0</v>
          </cell>
        </row>
        <row r="2936">
          <cell r="B2936">
            <v>12676</v>
          </cell>
          <cell r="C2936">
            <v>67555.41</v>
          </cell>
          <cell r="D2936" t="str">
            <v>PHP</v>
          </cell>
          <cell r="E2936">
            <v>1</v>
          </cell>
          <cell r="F2936" t="str">
            <v>PC</v>
          </cell>
          <cell r="G2936">
            <v>0</v>
          </cell>
        </row>
        <row r="2937">
          <cell r="B2937">
            <v>12706</v>
          </cell>
          <cell r="C2937">
            <v>30855.919999999998</v>
          </cell>
          <cell r="D2937" t="str">
            <v>PHP</v>
          </cell>
          <cell r="E2937">
            <v>37</v>
          </cell>
          <cell r="F2937" t="str">
            <v>PC</v>
          </cell>
          <cell r="G2937">
            <v>0</v>
          </cell>
        </row>
        <row r="2938">
          <cell r="B2938">
            <v>12728</v>
          </cell>
          <cell r="C2938">
            <v>158343.97</v>
          </cell>
          <cell r="D2938" t="str">
            <v>PHP</v>
          </cell>
          <cell r="E2938">
            <v>5</v>
          </cell>
          <cell r="F2938" t="str">
            <v>PC</v>
          </cell>
          <cell r="G2938">
            <v>0</v>
          </cell>
        </row>
        <row r="2939">
          <cell r="B2939">
            <v>12806</v>
          </cell>
          <cell r="C2939">
            <v>0</v>
          </cell>
          <cell r="D2939" t="str">
            <v>PHP</v>
          </cell>
          <cell r="E2939">
            <v>0</v>
          </cell>
          <cell r="F2939" t="str">
            <v>PC</v>
          </cell>
          <cell r="G2939">
            <v>0</v>
          </cell>
        </row>
        <row r="2940">
          <cell r="B2940">
            <v>12823</v>
          </cell>
          <cell r="C2940">
            <v>84708</v>
          </cell>
          <cell r="D2940" t="str">
            <v>PHP</v>
          </cell>
          <cell r="E2940">
            <v>10</v>
          </cell>
          <cell r="F2940" t="str">
            <v>PC</v>
          </cell>
          <cell r="G2940">
            <v>0</v>
          </cell>
        </row>
        <row r="2941">
          <cell r="B2941">
            <v>12824</v>
          </cell>
          <cell r="C2941">
            <v>152474.4</v>
          </cell>
          <cell r="D2941" t="str">
            <v>PHP</v>
          </cell>
          <cell r="E2941">
            <v>18</v>
          </cell>
          <cell r="F2941" t="str">
            <v>PC</v>
          </cell>
          <cell r="G2941">
            <v>0</v>
          </cell>
        </row>
        <row r="2942">
          <cell r="B2942">
            <v>12825</v>
          </cell>
          <cell r="C2942">
            <v>67766.399999999994</v>
          </cell>
          <cell r="D2942" t="str">
            <v>PHP</v>
          </cell>
          <cell r="E2942">
            <v>8</v>
          </cell>
          <cell r="F2942" t="str">
            <v>PC</v>
          </cell>
          <cell r="G2942">
            <v>0</v>
          </cell>
        </row>
        <row r="2943">
          <cell r="B2943">
            <v>12834</v>
          </cell>
          <cell r="C2943">
            <v>83620.800000000003</v>
          </cell>
          <cell r="D2943" t="str">
            <v>PHP</v>
          </cell>
          <cell r="E2943">
            <v>8</v>
          </cell>
          <cell r="F2943" t="str">
            <v>PC</v>
          </cell>
          <cell r="G2943">
            <v>0</v>
          </cell>
        </row>
        <row r="2944">
          <cell r="B2944">
            <v>12835</v>
          </cell>
          <cell r="C2944">
            <v>52128</v>
          </cell>
          <cell r="D2944" t="str">
            <v>PHP</v>
          </cell>
          <cell r="E2944">
            <v>5</v>
          </cell>
          <cell r="F2944" t="str">
            <v>PC</v>
          </cell>
          <cell r="G2944">
            <v>0</v>
          </cell>
        </row>
        <row r="2945">
          <cell r="B2945">
            <v>12840</v>
          </cell>
          <cell r="C2945">
            <v>135532.79999999999</v>
          </cell>
          <cell r="D2945" t="str">
            <v>PHP</v>
          </cell>
          <cell r="E2945">
            <v>16</v>
          </cell>
          <cell r="F2945" t="str">
            <v>PC</v>
          </cell>
          <cell r="G2945">
            <v>0</v>
          </cell>
        </row>
        <row r="2946">
          <cell r="B2946">
            <v>12887</v>
          </cell>
          <cell r="C2946">
            <v>0</v>
          </cell>
          <cell r="D2946" t="str">
            <v>PHP</v>
          </cell>
          <cell r="E2946">
            <v>0</v>
          </cell>
          <cell r="F2946" t="str">
            <v>PC</v>
          </cell>
          <cell r="G2946">
            <v>0</v>
          </cell>
        </row>
        <row r="2947">
          <cell r="B2947">
            <v>12888</v>
          </cell>
          <cell r="C2947">
            <v>0</v>
          </cell>
          <cell r="D2947" t="str">
            <v>PHP</v>
          </cell>
          <cell r="E2947">
            <v>0</v>
          </cell>
          <cell r="F2947" t="str">
            <v>PC</v>
          </cell>
          <cell r="G2947">
            <v>0</v>
          </cell>
        </row>
        <row r="2948">
          <cell r="B2948">
            <v>12889</v>
          </cell>
          <cell r="C2948">
            <v>0</v>
          </cell>
          <cell r="D2948" t="str">
            <v>PHP</v>
          </cell>
          <cell r="E2948">
            <v>0</v>
          </cell>
          <cell r="F2948" t="str">
            <v>PC</v>
          </cell>
          <cell r="G2948">
            <v>0</v>
          </cell>
        </row>
        <row r="2949">
          <cell r="B2949">
            <v>12898</v>
          </cell>
          <cell r="C2949">
            <v>0</v>
          </cell>
          <cell r="D2949" t="str">
            <v>PHP</v>
          </cell>
          <cell r="E2949">
            <v>0</v>
          </cell>
          <cell r="F2949" t="str">
            <v>PC</v>
          </cell>
          <cell r="G2949">
            <v>0</v>
          </cell>
        </row>
        <row r="2950">
          <cell r="B2950">
            <v>12901</v>
          </cell>
          <cell r="C2950">
            <v>0</v>
          </cell>
          <cell r="D2950" t="str">
            <v>PHP</v>
          </cell>
          <cell r="E2950">
            <v>0</v>
          </cell>
          <cell r="F2950" t="str">
            <v>DR</v>
          </cell>
          <cell r="G2950">
            <v>0</v>
          </cell>
        </row>
        <row r="2951">
          <cell r="B2951">
            <v>12902</v>
          </cell>
          <cell r="C2951">
            <v>0</v>
          </cell>
          <cell r="D2951" t="str">
            <v>PHP</v>
          </cell>
          <cell r="E2951">
            <v>0</v>
          </cell>
          <cell r="F2951" t="str">
            <v>DR</v>
          </cell>
          <cell r="G2951">
            <v>0</v>
          </cell>
        </row>
        <row r="2952">
          <cell r="B2952">
            <v>12910</v>
          </cell>
          <cell r="C2952">
            <v>0</v>
          </cell>
          <cell r="D2952" t="str">
            <v>PHP</v>
          </cell>
          <cell r="E2952">
            <v>0</v>
          </cell>
          <cell r="F2952" t="str">
            <v>DR</v>
          </cell>
          <cell r="G2952">
            <v>0</v>
          </cell>
        </row>
        <row r="2953">
          <cell r="B2953">
            <v>12939</v>
          </cell>
          <cell r="C2953">
            <v>711.81</v>
          </cell>
          <cell r="D2953" t="str">
            <v>PHP</v>
          </cell>
          <cell r="E2953">
            <v>4</v>
          </cell>
          <cell r="F2953" t="str">
            <v>PC</v>
          </cell>
          <cell r="G2953">
            <v>0</v>
          </cell>
        </row>
        <row r="2954">
          <cell r="B2954">
            <v>12964</v>
          </cell>
          <cell r="C2954">
            <v>121.8</v>
          </cell>
          <cell r="D2954" t="str">
            <v>PHP</v>
          </cell>
          <cell r="E2954">
            <v>4</v>
          </cell>
          <cell r="F2954" t="str">
            <v>PC</v>
          </cell>
          <cell r="G2954">
            <v>0</v>
          </cell>
        </row>
        <row r="2955">
          <cell r="B2955">
            <v>12981</v>
          </cell>
          <cell r="C2955">
            <v>18118</v>
          </cell>
          <cell r="D2955" t="str">
            <v>PHP</v>
          </cell>
          <cell r="E2955">
            <v>2</v>
          </cell>
          <cell r="F2955" t="str">
            <v>PC</v>
          </cell>
          <cell r="G2955">
            <v>0</v>
          </cell>
        </row>
        <row r="2956">
          <cell r="B2956">
            <v>13046</v>
          </cell>
          <cell r="C2956">
            <v>0</v>
          </cell>
          <cell r="D2956" t="str">
            <v>PHP</v>
          </cell>
          <cell r="E2956">
            <v>0</v>
          </cell>
          <cell r="F2956" t="str">
            <v>PC</v>
          </cell>
          <cell r="G2956">
            <v>0</v>
          </cell>
        </row>
        <row r="2957">
          <cell r="B2957">
            <v>13133</v>
          </cell>
          <cell r="C2957">
            <v>0</v>
          </cell>
          <cell r="D2957" t="str">
            <v>PHP</v>
          </cell>
          <cell r="E2957">
            <v>0</v>
          </cell>
          <cell r="F2957" t="str">
            <v>SET</v>
          </cell>
          <cell r="G2957">
            <v>0</v>
          </cell>
        </row>
        <row r="2958">
          <cell r="B2958">
            <v>13141</v>
          </cell>
          <cell r="C2958">
            <v>260620.2</v>
          </cell>
          <cell r="D2958" t="str">
            <v>PHP</v>
          </cell>
          <cell r="E2958">
            <v>1</v>
          </cell>
          <cell r="F2958" t="str">
            <v>ASY</v>
          </cell>
          <cell r="G2958">
            <v>0</v>
          </cell>
        </row>
        <row r="2959">
          <cell r="B2959">
            <v>13314</v>
          </cell>
          <cell r="C2959">
            <v>0</v>
          </cell>
          <cell r="D2959" t="str">
            <v>PHP</v>
          </cell>
          <cell r="E2959">
            <v>0</v>
          </cell>
          <cell r="F2959" t="str">
            <v>PC</v>
          </cell>
          <cell r="G2959">
            <v>0</v>
          </cell>
        </row>
        <row r="2960">
          <cell r="B2960">
            <v>13376</v>
          </cell>
          <cell r="C2960">
            <v>137961.17000000001</v>
          </cell>
          <cell r="D2960" t="str">
            <v>PHP</v>
          </cell>
          <cell r="E2960">
            <v>17</v>
          </cell>
          <cell r="F2960" t="str">
            <v>PC</v>
          </cell>
          <cell r="G2960">
            <v>0</v>
          </cell>
        </row>
        <row r="2961">
          <cell r="B2961">
            <v>13377</v>
          </cell>
          <cell r="C2961">
            <v>78934.27</v>
          </cell>
          <cell r="D2961" t="str">
            <v>PHP</v>
          </cell>
          <cell r="E2961">
            <v>12</v>
          </cell>
          <cell r="F2961" t="str">
            <v>PC</v>
          </cell>
          <cell r="G2961">
            <v>0</v>
          </cell>
        </row>
        <row r="2962">
          <cell r="B2962">
            <v>13378</v>
          </cell>
          <cell r="C2962">
            <v>0</v>
          </cell>
          <cell r="D2962" t="str">
            <v>PHP</v>
          </cell>
          <cell r="E2962">
            <v>0</v>
          </cell>
          <cell r="F2962" t="str">
            <v>ASY</v>
          </cell>
          <cell r="G2962">
            <v>0</v>
          </cell>
        </row>
        <row r="2963">
          <cell r="B2963">
            <v>13379</v>
          </cell>
          <cell r="C2963">
            <v>98586.76</v>
          </cell>
          <cell r="D2963" t="str">
            <v>PHP</v>
          </cell>
          <cell r="E2963">
            <v>18</v>
          </cell>
          <cell r="F2963" t="str">
            <v>ASY</v>
          </cell>
          <cell r="G2963">
            <v>0</v>
          </cell>
        </row>
        <row r="2964">
          <cell r="B2964">
            <v>13465</v>
          </cell>
          <cell r="C2964">
            <v>179115.18</v>
          </cell>
          <cell r="D2964" t="str">
            <v>PHP</v>
          </cell>
          <cell r="E2964">
            <v>5</v>
          </cell>
          <cell r="F2964" t="str">
            <v>PC</v>
          </cell>
          <cell r="G2964">
            <v>0</v>
          </cell>
        </row>
        <row r="2965">
          <cell r="B2965">
            <v>13466</v>
          </cell>
          <cell r="C2965">
            <v>201649.97</v>
          </cell>
          <cell r="D2965" t="str">
            <v>PHP</v>
          </cell>
          <cell r="E2965">
            <v>3</v>
          </cell>
          <cell r="F2965" t="str">
            <v>PC</v>
          </cell>
          <cell r="G2965">
            <v>0</v>
          </cell>
        </row>
        <row r="2966">
          <cell r="B2966">
            <v>13470</v>
          </cell>
          <cell r="C2966">
            <v>0</v>
          </cell>
          <cell r="D2966" t="str">
            <v>PHP</v>
          </cell>
          <cell r="E2966">
            <v>0</v>
          </cell>
          <cell r="F2966" t="str">
            <v>PC</v>
          </cell>
          <cell r="G2966">
            <v>0</v>
          </cell>
        </row>
        <row r="2967">
          <cell r="B2967">
            <v>13476</v>
          </cell>
          <cell r="C2967">
            <v>0</v>
          </cell>
          <cell r="D2967" t="str">
            <v>PHP</v>
          </cell>
          <cell r="E2967">
            <v>0</v>
          </cell>
          <cell r="F2967" t="str">
            <v>PC</v>
          </cell>
          <cell r="G2967">
            <v>0</v>
          </cell>
        </row>
        <row r="2968">
          <cell r="B2968">
            <v>13506</v>
          </cell>
          <cell r="C2968">
            <v>0</v>
          </cell>
          <cell r="D2968" t="str">
            <v>PHP</v>
          </cell>
          <cell r="E2968">
            <v>0</v>
          </cell>
          <cell r="F2968" t="str">
            <v>PC</v>
          </cell>
          <cell r="G2968">
            <v>0</v>
          </cell>
        </row>
        <row r="2969">
          <cell r="B2969">
            <v>13531</v>
          </cell>
          <cell r="C2969">
            <v>6703.08</v>
          </cell>
          <cell r="D2969" t="str">
            <v>PHP</v>
          </cell>
          <cell r="E2969">
            <v>2</v>
          </cell>
          <cell r="F2969" t="str">
            <v>PC</v>
          </cell>
          <cell r="G2969">
            <v>0</v>
          </cell>
        </row>
        <row r="2970">
          <cell r="B2970">
            <v>13537</v>
          </cell>
          <cell r="C2970">
            <v>47879.1</v>
          </cell>
          <cell r="D2970" t="str">
            <v>PHP</v>
          </cell>
          <cell r="E2970">
            <v>2</v>
          </cell>
          <cell r="F2970" t="str">
            <v>PC</v>
          </cell>
          <cell r="G2970">
            <v>0</v>
          </cell>
        </row>
        <row r="2971">
          <cell r="B2971">
            <v>13591</v>
          </cell>
          <cell r="C2971">
            <v>19858.46</v>
          </cell>
          <cell r="D2971" t="str">
            <v>PHP</v>
          </cell>
          <cell r="E2971">
            <v>2</v>
          </cell>
          <cell r="F2971" t="str">
            <v>PC</v>
          </cell>
          <cell r="G2971">
            <v>0</v>
          </cell>
        </row>
        <row r="2972">
          <cell r="B2972">
            <v>13592</v>
          </cell>
          <cell r="C2972">
            <v>0</v>
          </cell>
          <cell r="D2972" t="str">
            <v>PHP</v>
          </cell>
          <cell r="E2972">
            <v>0</v>
          </cell>
          <cell r="F2972" t="str">
            <v>PC</v>
          </cell>
          <cell r="G2972">
            <v>0</v>
          </cell>
        </row>
        <row r="2973">
          <cell r="B2973">
            <v>13599</v>
          </cell>
          <cell r="C2973">
            <v>137929.07</v>
          </cell>
          <cell r="D2973" t="str">
            <v>PHP</v>
          </cell>
          <cell r="E2973">
            <v>8</v>
          </cell>
          <cell r="F2973" t="str">
            <v>PC</v>
          </cell>
          <cell r="G2973">
            <v>0</v>
          </cell>
        </row>
        <row r="2974">
          <cell r="B2974">
            <v>13600</v>
          </cell>
          <cell r="C2974">
            <v>488894.2</v>
          </cell>
          <cell r="D2974" t="str">
            <v>PHP</v>
          </cell>
          <cell r="E2974">
            <v>12</v>
          </cell>
          <cell r="F2974" t="str">
            <v>PC</v>
          </cell>
          <cell r="G2974">
            <v>0</v>
          </cell>
        </row>
        <row r="2975">
          <cell r="B2975">
            <v>13601</v>
          </cell>
          <cell r="C2975">
            <v>0</v>
          </cell>
          <cell r="D2975" t="str">
            <v>PHP</v>
          </cell>
          <cell r="E2975">
            <v>0</v>
          </cell>
          <cell r="F2975" t="str">
            <v>PC</v>
          </cell>
          <cell r="G2975">
            <v>0</v>
          </cell>
        </row>
        <row r="2976">
          <cell r="B2976">
            <v>13602</v>
          </cell>
          <cell r="C2976">
            <v>86712.75</v>
          </cell>
          <cell r="D2976" t="str">
            <v>PHP</v>
          </cell>
          <cell r="E2976">
            <v>9</v>
          </cell>
          <cell r="F2976" t="str">
            <v>PC</v>
          </cell>
          <cell r="G2976">
            <v>0</v>
          </cell>
        </row>
        <row r="2977">
          <cell r="B2977">
            <v>13603</v>
          </cell>
          <cell r="C2977">
            <v>130829.77</v>
          </cell>
          <cell r="D2977" t="str">
            <v>PHP</v>
          </cell>
          <cell r="E2977">
            <v>12</v>
          </cell>
          <cell r="F2977" t="str">
            <v>PC</v>
          </cell>
          <cell r="G2977">
            <v>0</v>
          </cell>
        </row>
        <row r="2978">
          <cell r="B2978">
            <v>13604</v>
          </cell>
          <cell r="C2978">
            <v>812815.5</v>
          </cell>
          <cell r="D2978" t="str">
            <v>PHP</v>
          </cell>
          <cell r="E2978">
            <v>150</v>
          </cell>
          <cell r="F2978" t="str">
            <v>PC</v>
          </cell>
          <cell r="G2978">
            <v>0</v>
          </cell>
        </row>
        <row r="2979">
          <cell r="B2979">
            <v>13608</v>
          </cell>
          <cell r="C2979">
            <v>70391.100000000006</v>
          </cell>
          <cell r="D2979" t="str">
            <v>PHP</v>
          </cell>
          <cell r="E2979">
            <v>135</v>
          </cell>
          <cell r="F2979" t="str">
            <v>PC</v>
          </cell>
          <cell r="G2979">
            <v>0</v>
          </cell>
        </row>
        <row r="2980">
          <cell r="B2980">
            <v>13611</v>
          </cell>
          <cell r="C2980">
            <v>144521.28</v>
          </cell>
          <cell r="D2980" t="str">
            <v>PHP</v>
          </cell>
          <cell r="E2980">
            <v>15</v>
          </cell>
          <cell r="F2980" t="str">
            <v>PC</v>
          </cell>
          <cell r="G2980">
            <v>0</v>
          </cell>
        </row>
        <row r="2981">
          <cell r="B2981">
            <v>13613</v>
          </cell>
          <cell r="C2981">
            <v>110670.19</v>
          </cell>
          <cell r="D2981" t="str">
            <v>PHP</v>
          </cell>
          <cell r="E2981">
            <v>6</v>
          </cell>
          <cell r="F2981" t="str">
            <v>PC</v>
          </cell>
          <cell r="G2981">
            <v>0</v>
          </cell>
        </row>
        <row r="2982">
          <cell r="B2982">
            <v>13622</v>
          </cell>
          <cell r="C2982">
            <v>20854.400000000001</v>
          </cell>
          <cell r="D2982" t="str">
            <v>PHP</v>
          </cell>
          <cell r="E2982">
            <v>1</v>
          </cell>
          <cell r="F2982" t="str">
            <v>PC</v>
          </cell>
          <cell r="G2982">
            <v>0</v>
          </cell>
        </row>
        <row r="2983">
          <cell r="B2983">
            <v>13647</v>
          </cell>
          <cell r="C2983">
            <v>0</v>
          </cell>
          <cell r="D2983" t="str">
            <v>PHP</v>
          </cell>
          <cell r="E2983">
            <v>0</v>
          </cell>
          <cell r="F2983" t="str">
            <v>ASY</v>
          </cell>
          <cell r="G2983">
            <v>0</v>
          </cell>
        </row>
        <row r="2984">
          <cell r="B2984">
            <v>13697</v>
          </cell>
          <cell r="C2984">
            <v>62898.21</v>
          </cell>
          <cell r="D2984" t="str">
            <v>PHP</v>
          </cell>
          <cell r="E2984">
            <v>66</v>
          </cell>
          <cell r="F2984" t="str">
            <v>PC</v>
          </cell>
          <cell r="G2984">
            <v>0</v>
          </cell>
        </row>
        <row r="2985">
          <cell r="B2985">
            <v>13698</v>
          </cell>
          <cell r="C2985">
            <v>62580</v>
          </cell>
          <cell r="D2985" t="str">
            <v>PHP</v>
          </cell>
          <cell r="E2985">
            <v>21</v>
          </cell>
          <cell r="F2985" t="str">
            <v>PC</v>
          </cell>
          <cell r="G2985">
            <v>0</v>
          </cell>
        </row>
        <row r="2986">
          <cell r="B2986">
            <v>13728</v>
          </cell>
          <cell r="C2986">
            <v>0</v>
          </cell>
          <cell r="D2986" t="str">
            <v>PHP</v>
          </cell>
          <cell r="E2986">
            <v>0</v>
          </cell>
          <cell r="F2986" t="str">
            <v>PC</v>
          </cell>
          <cell r="G2986">
            <v>0</v>
          </cell>
        </row>
        <row r="2987">
          <cell r="B2987">
            <v>13729</v>
          </cell>
          <cell r="C2987">
            <v>2030</v>
          </cell>
          <cell r="D2987" t="str">
            <v>PHP</v>
          </cell>
          <cell r="E2987">
            <v>2</v>
          </cell>
          <cell r="F2987" t="str">
            <v>PC</v>
          </cell>
          <cell r="G2987">
            <v>0</v>
          </cell>
        </row>
        <row r="2988">
          <cell r="B2988">
            <v>13783</v>
          </cell>
          <cell r="C2988">
            <v>790</v>
          </cell>
          <cell r="D2988" t="str">
            <v>PHP</v>
          </cell>
          <cell r="E2988">
            <v>1</v>
          </cell>
          <cell r="F2988" t="str">
            <v>PC</v>
          </cell>
          <cell r="G2988">
            <v>0</v>
          </cell>
        </row>
        <row r="2989">
          <cell r="B2989">
            <v>13786</v>
          </cell>
          <cell r="C2989">
            <v>575</v>
          </cell>
          <cell r="D2989" t="str">
            <v>PHP</v>
          </cell>
          <cell r="E2989">
            <v>1</v>
          </cell>
          <cell r="F2989" t="str">
            <v>PC</v>
          </cell>
          <cell r="G2989">
            <v>0</v>
          </cell>
        </row>
        <row r="2990">
          <cell r="B2990">
            <v>13852</v>
          </cell>
          <cell r="C2990">
            <v>2875</v>
          </cell>
          <cell r="D2990" t="str">
            <v>PHP</v>
          </cell>
          <cell r="E2990">
            <v>2</v>
          </cell>
          <cell r="F2990" t="str">
            <v>PC</v>
          </cell>
          <cell r="G2990">
            <v>0</v>
          </cell>
        </row>
        <row r="2991">
          <cell r="B2991">
            <v>13853</v>
          </cell>
          <cell r="C2991">
            <v>6864.4</v>
          </cell>
          <cell r="D2991" t="str">
            <v>PHP</v>
          </cell>
          <cell r="E2991">
            <v>2</v>
          </cell>
          <cell r="F2991" t="str">
            <v>PC</v>
          </cell>
          <cell r="G2991">
            <v>0</v>
          </cell>
        </row>
        <row r="2992">
          <cell r="B2992">
            <v>13860</v>
          </cell>
          <cell r="C2992">
            <v>1502212.73</v>
          </cell>
          <cell r="D2992" t="str">
            <v>PHP</v>
          </cell>
          <cell r="E2992">
            <v>1</v>
          </cell>
          <cell r="F2992" t="str">
            <v>ASY</v>
          </cell>
          <cell r="G2992">
            <v>0</v>
          </cell>
        </row>
        <row r="2993">
          <cell r="B2993">
            <v>13879</v>
          </cell>
          <cell r="C2993">
            <v>417751.98</v>
          </cell>
          <cell r="D2993" t="str">
            <v>PHP</v>
          </cell>
          <cell r="E2993">
            <v>9</v>
          </cell>
          <cell r="F2993" t="str">
            <v>PC</v>
          </cell>
          <cell r="G2993">
            <v>0</v>
          </cell>
        </row>
        <row r="2994">
          <cell r="B2994">
            <v>13909</v>
          </cell>
          <cell r="C2994">
            <v>0</v>
          </cell>
          <cell r="D2994" t="str">
            <v>PHP</v>
          </cell>
          <cell r="E2994">
            <v>0</v>
          </cell>
          <cell r="F2994" t="str">
            <v>PC</v>
          </cell>
          <cell r="G2994">
            <v>0</v>
          </cell>
        </row>
        <row r="2995">
          <cell r="B2995">
            <v>13913</v>
          </cell>
          <cell r="C2995">
            <v>11676.32</v>
          </cell>
          <cell r="D2995" t="str">
            <v>PHP</v>
          </cell>
          <cell r="E2995">
            <v>2</v>
          </cell>
          <cell r="F2995" t="str">
            <v>PC</v>
          </cell>
          <cell r="G2995">
            <v>0</v>
          </cell>
        </row>
        <row r="2996">
          <cell r="B2996">
            <v>13919</v>
          </cell>
          <cell r="C2996">
            <v>139498.4</v>
          </cell>
          <cell r="D2996" t="str">
            <v>PHP</v>
          </cell>
          <cell r="E2996">
            <v>12</v>
          </cell>
          <cell r="F2996" t="str">
            <v>PC</v>
          </cell>
          <cell r="G2996">
            <v>0</v>
          </cell>
        </row>
        <row r="2997">
          <cell r="B2997">
            <v>13940</v>
          </cell>
          <cell r="C2997">
            <v>0</v>
          </cell>
          <cell r="D2997" t="str">
            <v>PHP</v>
          </cell>
          <cell r="E2997">
            <v>0</v>
          </cell>
          <cell r="F2997" t="str">
            <v>PC</v>
          </cell>
          <cell r="G2997">
            <v>0</v>
          </cell>
        </row>
        <row r="2998">
          <cell r="B2998">
            <v>13942</v>
          </cell>
          <cell r="C2998">
            <v>246265.65</v>
          </cell>
          <cell r="D2998" t="str">
            <v>PHP</v>
          </cell>
          <cell r="E2998">
            <v>1</v>
          </cell>
          <cell r="F2998" t="str">
            <v>PC</v>
          </cell>
          <cell r="G2998">
            <v>0</v>
          </cell>
        </row>
        <row r="2999">
          <cell r="B2999">
            <v>13943</v>
          </cell>
          <cell r="C2999">
            <v>0</v>
          </cell>
          <cell r="D2999" t="str">
            <v>PHP</v>
          </cell>
          <cell r="E2999">
            <v>0</v>
          </cell>
          <cell r="F2999" t="str">
            <v>PC</v>
          </cell>
          <cell r="G2999">
            <v>0</v>
          </cell>
        </row>
        <row r="3000">
          <cell r="B3000">
            <v>13944</v>
          </cell>
          <cell r="C3000">
            <v>0</v>
          </cell>
          <cell r="D3000" t="str">
            <v>PHP</v>
          </cell>
          <cell r="E3000">
            <v>0</v>
          </cell>
          <cell r="F3000" t="str">
            <v>PC</v>
          </cell>
          <cell r="G3000">
            <v>0</v>
          </cell>
        </row>
        <row r="3001">
          <cell r="B3001">
            <v>13945</v>
          </cell>
          <cell r="C3001">
            <v>0</v>
          </cell>
          <cell r="D3001" t="str">
            <v>PHP</v>
          </cell>
          <cell r="E3001">
            <v>0</v>
          </cell>
          <cell r="F3001" t="str">
            <v>PC</v>
          </cell>
          <cell r="G3001">
            <v>0</v>
          </cell>
        </row>
        <row r="3002">
          <cell r="B3002">
            <v>13948</v>
          </cell>
          <cell r="C3002">
            <v>0</v>
          </cell>
          <cell r="D3002" t="str">
            <v>PHP</v>
          </cell>
          <cell r="E3002">
            <v>0</v>
          </cell>
          <cell r="F3002" t="str">
            <v>PC</v>
          </cell>
          <cell r="G3002">
            <v>0</v>
          </cell>
        </row>
        <row r="3003">
          <cell r="B3003">
            <v>13949</v>
          </cell>
          <cell r="C3003">
            <v>0</v>
          </cell>
          <cell r="D3003" t="str">
            <v>PHP</v>
          </cell>
          <cell r="E3003">
            <v>0</v>
          </cell>
          <cell r="F3003" t="str">
            <v>PC</v>
          </cell>
          <cell r="G3003">
            <v>0</v>
          </cell>
        </row>
        <row r="3004">
          <cell r="B3004">
            <v>13950</v>
          </cell>
          <cell r="C3004">
            <v>0</v>
          </cell>
          <cell r="D3004" t="str">
            <v>PHP</v>
          </cell>
          <cell r="E3004">
            <v>0</v>
          </cell>
          <cell r="F3004" t="str">
            <v>PC</v>
          </cell>
          <cell r="G3004">
            <v>0</v>
          </cell>
        </row>
        <row r="3005">
          <cell r="B3005">
            <v>13951</v>
          </cell>
          <cell r="C3005">
            <v>5288166.1100000003</v>
          </cell>
          <cell r="D3005" t="str">
            <v>PHP</v>
          </cell>
          <cell r="E3005">
            <v>8</v>
          </cell>
          <cell r="F3005" t="str">
            <v>PC</v>
          </cell>
          <cell r="G3005">
            <v>0</v>
          </cell>
        </row>
        <row r="3006">
          <cell r="B3006">
            <v>13952</v>
          </cell>
          <cell r="C3006">
            <v>1343021.45</v>
          </cell>
          <cell r="D3006" t="str">
            <v>PHP</v>
          </cell>
          <cell r="E3006">
            <v>2</v>
          </cell>
          <cell r="F3006" t="str">
            <v>PC</v>
          </cell>
          <cell r="G3006">
            <v>0</v>
          </cell>
        </row>
        <row r="3007">
          <cell r="B3007">
            <v>13954</v>
          </cell>
          <cell r="C3007">
            <v>0</v>
          </cell>
          <cell r="D3007" t="str">
            <v>PHP</v>
          </cell>
          <cell r="E3007">
            <v>0</v>
          </cell>
          <cell r="F3007" t="str">
            <v>PC</v>
          </cell>
          <cell r="G3007">
            <v>0</v>
          </cell>
        </row>
        <row r="3008">
          <cell r="B3008">
            <v>13955</v>
          </cell>
          <cell r="C3008">
            <v>0</v>
          </cell>
          <cell r="D3008" t="str">
            <v>PHP</v>
          </cell>
          <cell r="E3008">
            <v>0</v>
          </cell>
          <cell r="F3008" t="str">
            <v>PC</v>
          </cell>
          <cell r="G3008">
            <v>0</v>
          </cell>
        </row>
        <row r="3009">
          <cell r="B3009">
            <v>13956</v>
          </cell>
          <cell r="C3009">
            <v>0</v>
          </cell>
          <cell r="D3009" t="str">
            <v>PHP</v>
          </cell>
          <cell r="E3009">
            <v>0</v>
          </cell>
          <cell r="F3009" t="str">
            <v>PC</v>
          </cell>
          <cell r="G3009">
            <v>0</v>
          </cell>
        </row>
        <row r="3010">
          <cell r="B3010">
            <v>13957</v>
          </cell>
          <cell r="C3010">
            <v>6462149.1799999997</v>
          </cell>
          <cell r="D3010" t="str">
            <v>PHP</v>
          </cell>
          <cell r="E3010">
            <v>4</v>
          </cell>
          <cell r="F3010" t="str">
            <v>PC</v>
          </cell>
          <cell r="G3010">
            <v>0</v>
          </cell>
        </row>
        <row r="3011">
          <cell r="B3011">
            <v>13958</v>
          </cell>
          <cell r="C3011">
            <v>0</v>
          </cell>
          <cell r="D3011" t="str">
            <v>PHP</v>
          </cell>
          <cell r="E3011">
            <v>0</v>
          </cell>
          <cell r="F3011" t="str">
            <v>PC</v>
          </cell>
          <cell r="G3011">
            <v>0</v>
          </cell>
        </row>
        <row r="3012">
          <cell r="B3012">
            <v>13959</v>
          </cell>
          <cell r="C3012">
            <v>0</v>
          </cell>
          <cell r="D3012" t="str">
            <v>PHP</v>
          </cell>
          <cell r="E3012">
            <v>0</v>
          </cell>
          <cell r="F3012" t="str">
            <v>PC</v>
          </cell>
          <cell r="G3012">
            <v>0</v>
          </cell>
        </row>
        <row r="3013">
          <cell r="B3013">
            <v>13960</v>
          </cell>
          <cell r="C3013">
            <v>0</v>
          </cell>
          <cell r="D3013" t="str">
            <v>PHP</v>
          </cell>
          <cell r="E3013">
            <v>0</v>
          </cell>
          <cell r="F3013" t="str">
            <v>PC</v>
          </cell>
          <cell r="G3013">
            <v>0</v>
          </cell>
        </row>
        <row r="3014">
          <cell r="B3014">
            <v>13961</v>
          </cell>
          <cell r="C3014">
            <v>0</v>
          </cell>
          <cell r="D3014" t="str">
            <v>PHP</v>
          </cell>
          <cell r="E3014">
            <v>0</v>
          </cell>
          <cell r="F3014" t="str">
            <v>PC</v>
          </cell>
          <cell r="G3014">
            <v>0</v>
          </cell>
        </row>
        <row r="3015">
          <cell r="B3015">
            <v>13967</v>
          </cell>
          <cell r="C3015">
            <v>0</v>
          </cell>
          <cell r="D3015" t="str">
            <v>PHP</v>
          </cell>
          <cell r="E3015">
            <v>0</v>
          </cell>
          <cell r="F3015" t="str">
            <v>PC</v>
          </cell>
          <cell r="G3015">
            <v>0</v>
          </cell>
        </row>
        <row r="3016">
          <cell r="B3016">
            <v>13968</v>
          </cell>
          <cell r="C3016">
            <v>0</v>
          </cell>
          <cell r="D3016" t="str">
            <v>PHP</v>
          </cell>
          <cell r="E3016">
            <v>0</v>
          </cell>
          <cell r="F3016" t="str">
            <v>PC</v>
          </cell>
          <cell r="G3016">
            <v>0</v>
          </cell>
        </row>
        <row r="3017">
          <cell r="B3017">
            <v>13969</v>
          </cell>
          <cell r="C3017">
            <v>0</v>
          </cell>
          <cell r="D3017" t="str">
            <v>PHP</v>
          </cell>
          <cell r="E3017">
            <v>0</v>
          </cell>
          <cell r="F3017" t="str">
            <v>PC</v>
          </cell>
          <cell r="G3017">
            <v>0</v>
          </cell>
        </row>
        <row r="3018">
          <cell r="B3018">
            <v>13971</v>
          </cell>
          <cell r="C3018">
            <v>0</v>
          </cell>
          <cell r="D3018" t="str">
            <v>PHP</v>
          </cell>
          <cell r="E3018">
            <v>0</v>
          </cell>
          <cell r="F3018" t="str">
            <v>PC</v>
          </cell>
          <cell r="G3018">
            <v>0</v>
          </cell>
        </row>
        <row r="3019">
          <cell r="B3019">
            <v>13973</v>
          </cell>
          <cell r="C3019">
            <v>2079026.91</v>
          </cell>
          <cell r="D3019" t="str">
            <v>PHP</v>
          </cell>
          <cell r="E3019">
            <v>1</v>
          </cell>
          <cell r="F3019" t="str">
            <v>PC</v>
          </cell>
          <cell r="G3019">
            <v>0</v>
          </cell>
        </row>
        <row r="3020">
          <cell r="B3020">
            <v>13990</v>
          </cell>
          <cell r="C3020">
            <v>0</v>
          </cell>
          <cell r="D3020" t="str">
            <v>PHP</v>
          </cell>
          <cell r="E3020">
            <v>0</v>
          </cell>
          <cell r="F3020" t="str">
            <v>KG</v>
          </cell>
          <cell r="G3020">
            <v>0</v>
          </cell>
        </row>
        <row r="3021">
          <cell r="B3021">
            <v>14002</v>
          </cell>
          <cell r="C3021">
            <v>0</v>
          </cell>
          <cell r="D3021" t="str">
            <v>PHP</v>
          </cell>
          <cell r="E3021">
            <v>0</v>
          </cell>
          <cell r="F3021" t="str">
            <v>ROL</v>
          </cell>
          <cell r="G3021">
            <v>0</v>
          </cell>
        </row>
        <row r="3022">
          <cell r="B3022">
            <v>14005</v>
          </cell>
          <cell r="C3022">
            <v>0</v>
          </cell>
          <cell r="D3022" t="str">
            <v>PHP</v>
          </cell>
          <cell r="E3022">
            <v>0</v>
          </cell>
          <cell r="F3022" t="str">
            <v>ROL</v>
          </cell>
          <cell r="G3022">
            <v>0</v>
          </cell>
        </row>
        <row r="3023">
          <cell r="B3023">
            <v>14006</v>
          </cell>
          <cell r="C3023">
            <v>93155.82</v>
          </cell>
          <cell r="D3023" t="str">
            <v>PHP</v>
          </cell>
          <cell r="E3023">
            <v>7</v>
          </cell>
          <cell r="F3023" t="str">
            <v>ROL</v>
          </cell>
          <cell r="G3023">
            <v>0</v>
          </cell>
        </row>
        <row r="3024">
          <cell r="B3024">
            <v>14008</v>
          </cell>
          <cell r="C3024">
            <v>0</v>
          </cell>
          <cell r="D3024" t="str">
            <v>PHP</v>
          </cell>
          <cell r="E3024">
            <v>0</v>
          </cell>
          <cell r="F3024" t="str">
            <v>M</v>
          </cell>
          <cell r="G3024">
            <v>0</v>
          </cell>
        </row>
        <row r="3025">
          <cell r="B3025">
            <v>14009</v>
          </cell>
          <cell r="C3025">
            <v>0</v>
          </cell>
          <cell r="D3025" t="str">
            <v>PHP</v>
          </cell>
          <cell r="E3025">
            <v>0</v>
          </cell>
          <cell r="F3025" t="str">
            <v>FT</v>
          </cell>
          <cell r="G3025">
            <v>0</v>
          </cell>
        </row>
        <row r="3026">
          <cell r="B3026">
            <v>14013</v>
          </cell>
          <cell r="C3026">
            <v>422198.4</v>
          </cell>
          <cell r="D3026" t="str">
            <v>PHP</v>
          </cell>
          <cell r="E3026">
            <v>2985</v>
          </cell>
          <cell r="F3026" t="str">
            <v>FT</v>
          </cell>
          <cell r="G3026">
            <v>0</v>
          </cell>
        </row>
        <row r="3027">
          <cell r="B3027">
            <v>14014</v>
          </cell>
          <cell r="C3027">
            <v>33874.449999999997</v>
          </cell>
          <cell r="D3027" t="str">
            <v>PHP</v>
          </cell>
          <cell r="E3027">
            <v>769</v>
          </cell>
          <cell r="F3027" t="str">
            <v>FT</v>
          </cell>
          <cell r="G3027">
            <v>0</v>
          </cell>
        </row>
        <row r="3028">
          <cell r="B3028">
            <v>14016</v>
          </cell>
          <cell r="C3028">
            <v>61372.5</v>
          </cell>
          <cell r="D3028" t="str">
            <v>PHP</v>
          </cell>
          <cell r="E3028">
            <v>1050</v>
          </cell>
          <cell r="F3028" t="str">
            <v>FT</v>
          </cell>
          <cell r="G3028">
            <v>0</v>
          </cell>
        </row>
        <row r="3029">
          <cell r="B3029">
            <v>14017</v>
          </cell>
          <cell r="C3029">
            <v>1675800</v>
          </cell>
          <cell r="D3029" t="str">
            <v>PHP</v>
          </cell>
          <cell r="E3029">
            <v>1</v>
          </cell>
          <cell r="F3029" t="str">
            <v>LEN</v>
          </cell>
          <cell r="G3029">
            <v>0</v>
          </cell>
        </row>
        <row r="3030">
          <cell r="B3030">
            <v>14018</v>
          </cell>
          <cell r="C3030">
            <v>0</v>
          </cell>
          <cell r="D3030" t="str">
            <v>PHP</v>
          </cell>
          <cell r="E3030">
            <v>0</v>
          </cell>
          <cell r="F3030" t="str">
            <v>LEN</v>
          </cell>
          <cell r="G3030">
            <v>0</v>
          </cell>
        </row>
        <row r="3031">
          <cell r="B3031">
            <v>14019</v>
          </cell>
          <cell r="C3031">
            <v>55426.8</v>
          </cell>
          <cell r="D3031" t="str">
            <v>PHP</v>
          </cell>
          <cell r="E3031">
            <v>2145</v>
          </cell>
          <cell r="F3031" t="str">
            <v>FT</v>
          </cell>
          <cell r="G3031">
            <v>0</v>
          </cell>
        </row>
        <row r="3032">
          <cell r="B3032">
            <v>14020</v>
          </cell>
          <cell r="C3032">
            <v>0</v>
          </cell>
          <cell r="D3032" t="str">
            <v>PHP</v>
          </cell>
          <cell r="E3032">
            <v>0</v>
          </cell>
          <cell r="F3032" t="str">
            <v>FT</v>
          </cell>
          <cell r="G3032">
            <v>0</v>
          </cell>
        </row>
        <row r="3033">
          <cell r="B3033">
            <v>14021</v>
          </cell>
          <cell r="C3033">
            <v>259140</v>
          </cell>
          <cell r="D3033" t="str">
            <v>PHP</v>
          </cell>
          <cell r="E3033">
            <v>3000</v>
          </cell>
          <cell r="F3033" t="str">
            <v>FT</v>
          </cell>
          <cell r="G3033">
            <v>0</v>
          </cell>
        </row>
        <row r="3034">
          <cell r="B3034">
            <v>14022</v>
          </cell>
          <cell r="C3034">
            <v>126141.69</v>
          </cell>
          <cell r="D3034" t="str">
            <v>PHP</v>
          </cell>
          <cell r="E3034">
            <v>8</v>
          </cell>
          <cell r="F3034" t="str">
            <v>ROL</v>
          </cell>
          <cell r="G3034">
            <v>0</v>
          </cell>
        </row>
        <row r="3035">
          <cell r="B3035">
            <v>14031</v>
          </cell>
          <cell r="C3035">
            <v>29436</v>
          </cell>
          <cell r="D3035" t="str">
            <v>PHP</v>
          </cell>
          <cell r="E3035">
            <v>12</v>
          </cell>
          <cell r="F3035" t="str">
            <v>PC</v>
          </cell>
          <cell r="G3035">
            <v>0</v>
          </cell>
        </row>
        <row r="3036">
          <cell r="B3036">
            <v>14032</v>
          </cell>
          <cell r="C3036">
            <v>45091.39</v>
          </cell>
          <cell r="D3036" t="str">
            <v>PHP</v>
          </cell>
          <cell r="E3036">
            <v>12</v>
          </cell>
          <cell r="F3036" t="str">
            <v>PC</v>
          </cell>
          <cell r="G3036">
            <v>0</v>
          </cell>
        </row>
        <row r="3037">
          <cell r="B3037">
            <v>14034</v>
          </cell>
          <cell r="C3037">
            <v>0</v>
          </cell>
          <cell r="D3037" t="str">
            <v>PHP</v>
          </cell>
          <cell r="E3037">
            <v>0</v>
          </cell>
          <cell r="F3037" t="str">
            <v>PC</v>
          </cell>
          <cell r="G3037">
            <v>0</v>
          </cell>
        </row>
        <row r="3038">
          <cell r="B3038">
            <v>14036</v>
          </cell>
          <cell r="C3038">
            <v>11369.15</v>
          </cell>
          <cell r="D3038" t="str">
            <v>PHP</v>
          </cell>
          <cell r="E3038">
            <v>6</v>
          </cell>
          <cell r="F3038" t="str">
            <v>PC</v>
          </cell>
          <cell r="G3038">
            <v>0</v>
          </cell>
        </row>
        <row r="3039">
          <cell r="B3039">
            <v>14040</v>
          </cell>
          <cell r="C3039">
            <v>49949.37</v>
          </cell>
          <cell r="D3039" t="str">
            <v>PHP</v>
          </cell>
          <cell r="E3039">
            <v>49</v>
          </cell>
          <cell r="F3039" t="str">
            <v>PAA</v>
          </cell>
          <cell r="G3039">
            <v>0</v>
          </cell>
        </row>
        <row r="3040">
          <cell r="B3040">
            <v>14049</v>
          </cell>
          <cell r="C3040">
            <v>0</v>
          </cell>
          <cell r="D3040" t="str">
            <v>PHP</v>
          </cell>
          <cell r="E3040">
            <v>0</v>
          </cell>
          <cell r="F3040" t="str">
            <v>PC</v>
          </cell>
          <cell r="G3040">
            <v>0</v>
          </cell>
        </row>
        <row r="3041">
          <cell r="B3041">
            <v>14052</v>
          </cell>
          <cell r="C3041">
            <v>211888.74</v>
          </cell>
          <cell r="D3041" t="str">
            <v>PHP</v>
          </cell>
          <cell r="E3041">
            <v>1</v>
          </cell>
          <cell r="F3041" t="str">
            <v>PC</v>
          </cell>
          <cell r="G3041">
            <v>0</v>
          </cell>
        </row>
        <row r="3042">
          <cell r="B3042">
            <v>14067</v>
          </cell>
          <cell r="C3042">
            <v>0</v>
          </cell>
          <cell r="D3042" t="str">
            <v>PHP</v>
          </cell>
          <cell r="E3042">
            <v>0</v>
          </cell>
          <cell r="F3042" t="str">
            <v>PC</v>
          </cell>
          <cell r="G3042">
            <v>0</v>
          </cell>
        </row>
        <row r="3043">
          <cell r="B3043">
            <v>14081</v>
          </cell>
          <cell r="C3043">
            <v>1070696.31</v>
          </cell>
          <cell r="D3043" t="str">
            <v>PHP</v>
          </cell>
          <cell r="E3043">
            <v>13</v>
          </cell>
          <cell r="F3043" t="str">
            <v>UT</v>
          </cell>
          <cell r="G3043">
            <v>0</v>
          </cell>
        </row>
        <row r="3044">
          <cell r="B3044">
            <v>14106</v>
          </cell>
          <cell r="C3044">
            <v>463.62</v>
          </cell>
          <cell r="D3044" t="str">
            <v>PHP</v>
          </cell>
          <cell r="E3044">
            <v>6</v>
          </cell>
          <cell r="F3044" t="str">
            <v>PC</v>
          </cell>
          <cell r="G3044">
            <v>0</v>
          </cell>
        </row>
        <row r="3045">
          <cell r="B3045">
            <v>14118</v>
          </cell>
          <cell r="C3045">
            <v>8430.8799999999992</v>
          </cell>
          <cell r="D3045" t="str">
            <v>PHP</v>
          </cell>
          <cell r="E3045">
            <v>1</v>
          </cell>
          <cell r="F3045" t="str">
            <v>PC</v>
          </cell>
          <cell r="G3045">
            <v>0</v>
          </cell>
        </row>
        <row r="3046">
          <cell r="B3046">
            <v>14131</v>
          </cell>
          <cell r="C3046">
            <v>0</v>
          </cell>
          <cell r="D3046" t="str">
            <v>PHP</v>
          </cell>
          <cell r="E3046">
            <v>0</v>
          </cell>
          <cell r="F3046" t="str">
            <v>PC</v>
          </cell>
          <cell r="G3046">
            <v>0</v>
          </cell>
        </row>
        <row r="3047">
          <cell r="B3047">
            <v>14132</v>
          </cell>
          <cell r="C3047">
            <v>0</v>
          </cell>
          <cell r="D3047" t="str">
            <v>PHP</v>
          </cell>
          <cell r="E3047">
            <v>0</v>
          </cell>
          <cell r="F3047" t="str">
            <v>PC</v>
          </cell>
          <cell r="G3047">
            <v>0</v>
          </cell>
        </row>
        <row r="3048">
          <cell r="B3048">
            <v>14135</v>
          </cell>
          <cell r="C3048">
            <v>1520</v>
          </cell>
          <cell r="D3048" t="str">
            <v>PHP</v>
          </cell>
          <cell r="E3048">
            <v>2</v>
          </cell>
          <cell r="F3048" t="str">
            <v>PC</v>
          </cell>
          <cell r="G3048">
            <v>0</v>
          </cell>
        </row>
        <row r="3049">
          <cell r="B3049">
            <v>14141</v>
          </cell>
          <cell r="C3049">
            <v>16892.88</v>
          </cell>
          <cell r="D3049" t="str">
            <v>PHP</v>
          </cell>
          <cell r="E3049">
            <v>8</v>
          </cell>
          <cell r="F3049" t="str">
            <v>PC</v>
          </cell>
          <cell r="G3049">
            <v>0</v>
          </cell>
        </row>
        <row r="3050">
          <cell r="B3050">
            <v>14142</v>
          </cell>
          <cell r="C3050">
            <v>0</v>
          </cell>
          <cell r="D3050" t="str">
            <v>PHP</v>
          </cell>
          <cell r="E3050">
            <v>0</v>
          </cell>
          <cell r="F3050" t="str">
            <v>KIT</v>
          </cell>
          <cell r="G3050">
            <v>0</v>
          </cell>
        </row>
        <row r="3051">
          <cell r="B3051">
            <v>14144</v>
          </cell>
          <cell r="C3051">
            <v>3150.81</v>
          </cell>
          <cell r="D3051" t="str">
            <v>PHP</v>
          </cell>
          <cell r="E3051">
            <v>3</v>
          </cell>
          <cell r="F3051" t="str">
            <v>PC</v>
          </cell>
          <cell r="G3051">
            <v>0</v>
          </cell>
        </row>
        <row r="3052">
          <cell r="B3052">
            <v>14150</v>
          </cell>
          <cell r="C3052">
            <v>29600</v>
          </cell>
          <cell r="D3052" t="str">
            <v>PHP</v>
          </cell>
          <cell r="E3052">
            <v>2</v>
          </cell>
          <cell r="F3052" t="str">
            <v>PC</v>
          </cell>
          <cell r="G3052">
            <v>0</v>
          </cell>
        </row>
        <row r="3053">
          <cell r="B3053">
            <v>14151</v>
          </cell>
          <cell r="C3053">
            <v>662</v>
          </cell>
          <cell r="D3053" t="str">
            <v>PHP</v>
          </cell>
          <cell r="E3053">
            <v>2</v>
          </cell>
          <cell r="F3053" t="str">
            <v>PC</v>
          </cell>
          <cell r="G3053">
            <v>0</v>
          </cell>
        </row>
        <row r="3054">
          <cell r="B3054">
            <v>14159</v>
          </cell>
          <cell r="C3054">
            <v>0</v>
          </cell>
          <cell r="D3054" t="str">
            <v>PHP</v>
          </cell>
          <cell r="E3054">
            <v>0</v>
          </cell>
          <cell r="F3054" t="str">
            <v>PC</v>
          </cell>
          <cell r="G3054">
            <v>0</v>
          </cell>
        </row>
        <row r="3055">
          <cell r="B3055">
            <v>14162</v>
          </cell>
          <cell r="C3055">
            <v>0</v>
          </cell>
          <cell r="D3055" t="str">
            <v>PHP</v>
          </cell>
          <cell r="E3055">
            <v>0</v>
          </cell>
          <cell r="F3055" t="str">
            <v>PC</v>
          </cell>
          <cell r="G3055">
            <v>0</v>
          </cell>
        </row>
        <row r="3056">
          <cell r="B3056">
            <v>14163</v>
          </cell>
          <cell r="C3056">
            <v>8227.31</v>
          </cell>
          <cell r="D3056" t="str">
            <v>PHP</v>
          </cell>
          <cell r="E3056">
            <v>1</v>
          </cell>
          <cell r="F3056" t="str">
            <v>PC</v>
          </cell>
          <cell r="G3056">
            <v>0</v>
          </cell>
        </row>
        <row r="3057">
          <cell r="B3057">
            <v>14193</v>
          </cell>
          <cell r="C3057">
            <v>0</v>
          </cell>
          <cell r="D3057" t="str">
            <v>PHP</v>
          </cell>
          <cell r="E3057">
            <v>0</v>
          </cell>
          <cell r="F3057" t="str">
            <v>PC</v>
          </cell>
          <cell r="G3057">
            <v>0</v>
          </cell>
        </row>
        <row r="3058">
          <cell r="B3058">
            <v>14195</v>
          </cell>
          <cell r="C3058">
            <v>0</v>
          </cell>
          <cell r="D3058" t="str">
            <v>PHP</v>
          </cell>
          <cell r="E3058">
            <v>0</v>
          </cell>
          <cell r="F3058" t="str">
            <v>PC</v>
          </cell>
          <cell r="G3058">
            <v>0</v>
          </cell>
        </row>
        <row r="3059">
          <cell r="B3059">
            <v>14218</v>
          </cell>
          <cell r="C3059">
            <v>0</v>
          </cell>
          <cell r="D3059" t="str">
            <v>PHP</v>
          </cell>
          <cell r="E3059">
            <v>0</v>
          </cell>
          <cell r="F3059" t="str">
            <v>PC</v>
          </cell>
          <cell r="G3059">
            <v>0</v>
          </cell>
        </row>
        <row r="3060">
          <cell r="B3060">
            <v>14257</v>
          </cell>
          <cell r="C3060">
            <v>5481.44</v>
          </cell>
          <cell r="D3060" t="str">
            <v>PHP</v>
          </cell>
          <cell r="E3060">
            <v>2</v>
          </cell>
          <cell r="F3060" t="str">
            <v>PC</v>
          </cell>
          <cell r="G3060">
            <v>0</v>
          </cell>
        </row>
        <row r="3061">
          <cell r="B3061">
            <v>14258</v>
          </cell>
          <cell r="C3061">
            <v>2677.68</v>
          </cell>
          <cell r="D3061" t="str">
            <v>PHP</v>
          </cell>
          <cell r="E3061">
            <v>2</v>
          </cell>
          <cell r="F3061" t="str">
            <v>PC</v>
          </cell>
          <cell r="G3061">
            <v>0</v>
          </cell>
        </row>
        <row r="3062">
          <cell r="B3062">
            <v>14259</v>
          </cell>
          <cell r="C3062">
            <v>16552</v>
          </cell>
          <cell r="D3062" t="str">
            <v>PHP</v>
          </cell>
          <cell r="E3062">
            <v>8</v>
          </cell>
          <cell r="F3062" t="str">
            <v>PC</v>
          </cell>
          <cell r="G3062">
            <v>0</v>
          </cell>
        </row>
        <row r="3063">
          <cell r="B3063">
            <v>14260</v>
          </cell>
          <cell r="C3063">
            <v>44150</v>
          </cell>
          <cell r="D3063" t="str">
            <v>PHP</v>
          </cell>
          <cell r="E3063">
            <v>12</v>
          </cell>
          <cell r="F3063" t="str">
            <v>PC</v>
          </cell>
          <cell r="G3063">
            <v>0</v>
          </cell>
        </row>
        <row r="3064">
          <cell r="B3064">
            <v>14261</v>
          </cell>
          <cell r="C3064">
            <v>101257.25</v>
          </cell>
          <cell r="D3064" t="str">
            <v>PHP</v>
          </cell>
          <cell r="E3064">
            <v>6</v>
          </cell>
          <cell r="F3064" t="str">
            <v>PC</v>
          </cell>
          <cell r="G3064">
            <v>0</v>
          </cell>
        </row>
        <row r="3065">
          <cell r="B3065">
            <v>14266</v>
          </cell>
          <cell r="C3065">
            <v>14200</v>
          </cell>
          <cell r="D3065" t="str">
            <v>PHP</v>
          </cell>
          <cell r="E3065">
            <v>2</v>
          </cell>
          <cell r="F3065" t="str">
            <v>PC</v>
          </cell>
          <cell r="G3065">
            <v>0</v>
          </cell>
        </row>
        <row r="3066">
          <cell r="B3066">
            <v>14304</v>
          </cell>
          <cell r="C3066">
            <v>182806.95</v>
          </cell>
          <cell r="D3066" t="str">
            <v>PHP</v>
          </cell>
          <cell r="E3066">
            <v>1</v>
          </cell>
          <cell r="F3066" t="str">
            <v>PC</v>
          </cell>
          <cell r="G3066">
            <v>0</v>
          </cell>
        </row>
        <row r="3067">
          <cell r="B3067">
            <v>14305</v>
          </cell>
          <cell r="C3067">
            <v>319056</v>
          </cell>
          <cell r="D3067" t="str">
            <v>PHP</v>
          </cell>
          <cell r="E3067">
            <v>1</v>
          </cell>
          <cell r="F3067" t="str">
            <v>PC</v>
          </cell>
          <cell r="G3067">
            <v>0</v>
          </cell>
        </row>
        <row r="3068">
          <cell r="B3068">
            <v>14326</v>
          </cell>
          <cell r="C3068">
            <v>0</v>
          </cell>
          <cell r="D3068" t="str">
            <v>PHP</v>
          </cell>
          <cell r="E3068">
            <v>0</v>
          </cell>
          <cell r="F3068" t="str">
            <v>PC</v>
          </cell>
          <cell r="G3068">
            <v>0</v>
          </cell>
        </row>
        <row r="3069">
          <cell r="B3069">
            <v>14327</v>
          </cell>
          <cell r="C3069">
            <v>0</v>
          </cell>
          <cell r="D3069" t="str">
            <v>PHP</v>
          </cell>
          <cell r="E3069">
            <v>0</v>
          </cell>
          <cell r="F3069" t="str">
            <v>PC</v>
          </cell>
          <cell r="G3069">
            <v>0</v>
          </cell>
        </row>
        <row r="3070">
          <cell r="B3070">
            <v>14328</v>
          </cell>
          <cell r="C3070">
            <v>0</v>
          </cell>
          <cell r="D3070" t="str">
            <v>PHP</v>
          </cell>
          <cell r="E3070">
            <v>0</v>
          </cell>
          <cell r="F3070" t="str">
            <v>PC</v>
          </cell>
          <cell r="G3070">
            <v>0</v>
          </cell>
        </row>
        <row r="3071">
          <cell r="B3071">
            <v>14342</v>
          </cell>
          <cell r="C3071">
            <v>136799.44</v>
          </cell>
          <cell r="D3071" t="str">
            <v>PHP</v>
          </cell>
          <cell r="E3071">
            <v>42</v>
          </cell>
          <cell r="F3071" t="str">
            <v>PAA</v>
          </cell>
          <cell r="G3071">
            <v>0</v>
          </cell>
        </row>
        <row r="3072">
          <cell r="B3072">
            <v>14348</v>
          </cell>
          <cell r="C3072">
            <v>6040.8</v>
          </cell>
          <cell r="D3072" t="str">
            <v>PHP</v>
          </cell>
          <cell r="E3072">
            <v>6</v>
          </cell>
          <cell r="F3072" t="str">
            <v>PAA</v>
          </cell>
          <cell r="G3072">
            <v>0</v>
          </cell>
        </row>
        <row r="3073">
          <cell r="B3073">
            <v>14377</v>
          </cell>
          <cell r="C3073">
            <v>0</v>
          </cell>
          <cell r="D3073" t="str">
            <v>PHP</v>
          </cell>
          <cell r="E3073">
            <v>0</v>
          </cell>
          <cell r="F3073" t="str">
            <v>PC</v>
          </cell>
          <cell r="G3073">
            <v>0</v>
          </cell>
        </row>
        <row r="3074">
          <cell r="B3074">
            <v>14379</v>
          </cell>
          <cell r="C3074">
            <v>0</v>
          </cell>
          <cell r="D3074" t="str">
            <v>PHP</v>
          </cell>
          <cell r="E3074">
            <v>0</v>
          </cell>
          <cell r="F3074" t="str">
            <v>PAA</v>
          </cell>
          <cell r="G3074">
            <v>0</v>
          </cell>
        </row>
        <row r="3075">
          <cell r="B3075">
            <v>14384</v>
          </cell>
          <cell r="C3075">
            <v>68096</v>
          </cell>
          <cell r="D3075" t="str">
            <v>PHP</v>
          </cell>
          <cell r="E3075">
            <v>56</v>
          </cell>
          <cell r="F3075" t="str">
            <v>PC</v>
          </cell>
          <cell r="G3075">
            <v>0</v>
          </cell>
        </row>
        <row r="3076">
          <cell r="B3076">
            <v>14385</v>
          </cell>
          <cell r="C3076">
            <v>68096</v>
          </cell>
          <cell r="D3076" t="str">
            <v>PHP</v>
          </cell>
          <cell r="E3076">
            <v>56</v>
          </cell>
          <cell r="F3076" t="str">
            <v>PC</v>
          </cell>
          <cell r="G3076">
            <v>0</v>
          </cell>
        </row>
        <row r="3077">
          <cell r="B3077">
            <v>14398</v>
          </cell>
          <cell r="C3077">
            <v>94314.37</v>
          </cell>
          <cell r="D3077" t="str">
            <v>PHP</v>
          </cell>
          <cell r="E3077">
            <v>6</v>
          </cell>
          <cell r="F3077" t="str">
            <v>PC</v>
          </cell>
          <cell r="G3077">
            <v>0</v>
          </cell>
        </row>
        <row r="3078">
          <cell r="B3078">
            <v>14406</v>
          </cell>
          <cell r="C3078">
            <v>785471.4</v>
          </cell>
          <cell r="D3078" t="str">
            <v>PHP</v>
          </cell>
          <cell r="E3078">
            <v>6</v>
          </cell>
          <cell r="F3078" t="str">
            <v>PC</v>
          </cell>
          <cell r="G3078">
            <v>0</v>
          </cell>
        </row>
        <row r="3079">
          <cell r="B3079">
            <v>14407</v>
          </cell>
          <cell r="C3079">
            <v>880</v>
          </cell>
          <cell r="D3079" t="str">
            <v>PHP</v>
          </cell>
          <cell r="E3079">
            <v>2</v>
          </cell>
          <cell r="F3079" t="str">
            <v>PC</v>
          </cell>
          <cell r="G3079">
            <v>0</v>
          </cell>
        </row>
        <row r="3080">
          <cell r="B3080">
            <v>14409</v>
          </cell>
          <cell r="C3080">
            <v>190401.62</v>
          </cell>
          <cell r="D3080" t="str">
            <v>PHP</v>
          </cell>
          <cell r="E3080">
            <v>2</v>
          </cell>
          <cell r="F3080" t="str">
            <v>PC</v>
          </cell>
          <cell r="G3080">
            <v>0</v>
          </cell>
        </row>
        <row r="3081">
          <cell r="B3081">
            <v>14432</v>
          </cell>
          <cell r="C3081">
            <v>12577.42</v>
          </cell>
          <cell r="D3081" t="str">
            <v>PHP</v>
          </cell>
          <cell r="E3081">
            <v>6</v>
          </cell>
          <cell r="F3081" t="str">
            <v>SET</v>
          </cell>
          <cell r="G3081">
            <v>0</v>
          </cell>
        </row>
        <row r="3082">
          <cell r="B3082">
            <v>14450</v>
          </cell>
          <cell r="C3082">
            <v>0</v>
          </cell>
          <cell r="D3082" t="str">
            <v>PHP</v>
          </cell>
          <cell r="E3082">
            <v>0</v>
          </cell>
          <cell r="F3082" t="str">
            <v>PC</v>
          </cell>
          <cell r="G3082">
            <v>0</v>
          </cell>
        </row>
        <row r="3083">
          <cell r="B3083">
            <v>14462</v>
          </cell>
          <cell r="C3083">
            <v>12027.78</v>
          </cell>
          <cell r="D3083" t="str">
            <v>PHP</v>
          </cell>
          <cell r="E3083">
            <v>43</v>
          </cell>
          <cell r="F3083" t="str">
            <v>PC</v>
          </cell>
          <cell r="G3083">
            <v>0</v>
          </cell>
        </row>
        <row r="3084">
          <cell r="B3084">
            <v>14583</v>
          </cell>
          <cell r="C3084">
            <v>13994.1</v>
          </cell>
          <cell r="D3084" t="str">
            <v>PHP</v>
          </cell>
          <cell r="E3084">
            <v>6</v>
          </cell>
          <cell r="F3084" t="str">
            <v>PC</v>
          </cell>
          <cell r="G3084">
            <v>0</v>
          </cell>
        </row>
        <row r="3085">
          <cell r="B3085">
            <v>14607</v>
          </cell>
          <cell r="C3085">
            <v>0</v>
          </cell>
          <cell r="D3085" t="str">
            <v>PHP</v>
          </cell>
          <cell r="E3085">
            <v>0</v>
          </cell>
          <cell r="F3085" t="str">
            <v>PC</v>
          </cell>
          <cell r="G3085">
            <v>0</v>
          </cell>
        </row>
        <row r="3086">
          <cell r="B3086">
            <v>14639</v>
          </cell>
          <cell r="C3086">
            <v>2018414.29</v>
          </cell>
          <cell r="D3086" t="str">
            <v>PHP</v>
          </cell>
          <cell r="E3086">
            <v>4</v>
          </cell>
          <cell r="F3086" t="str">
            <v>PC</v>
          </cell>
          <cell r="G3086">
            <v>0</v>
          </cell>
        </row>
        <row r="3087">
          <cell r="B3087">
            <v>14640</v>
          </cell>
          <cell r="C3087">
            <v>5937110.8399999999</v>
          </cell>
          <cell r="D3087" t="str">
            <v>PHP</v>
          </cell>
          <cell r="E3087">
            <v>8</v>
          </cell>
          <cell r="F3087" t="str">
            <v>PC</v>
          </cell>
          <cell r="G3087">
            <v>0</v>
          </cell>
        </row>
        <row r="3088">
          <cell r="B3088">
            <v>14648</v>
          </cell>
          <cell r="C3088">
            <v>0</v>
          </cell>
          <cell r="D3088" t="str">
            <v>PHP</v>
          </cell>
          <cell r="E3088">
            <v>0</v>
          </cell>
          <cell r="F3088" t="str">
            <v>PC</v>
          </cell>
          <cell r="G3088">
            <v>0</v>
          </cell>
        </row>
        <row r="3089">
          <cell r="B3089">
            <v>14674</v>
          </cell>
          <cell r="C3089">
            <v>538938.6</v>
          </cell>
          <cell r="D3089" t="str">
            <v>PHP</v>
          </cell>
          <cell r="E3089">
            <v>3</v>
          </cell>
          <cell r="F3089" t="str">
            <v>ASY</v>
          </cell>
          <cell r="G3089">
            <v>0</v>
          </cell>
        </row>
        <row r="3090">
          <cell r="B3090">
            <v>14676</v>
          </cell>
          <cell r="C3090">
            <v>0</v>
          </cell>
          <cell r="D3090" t="str">
            <v>PHP</v>
          </cell>
          <cell r="E3090">
            <v>0</v>
          </cell>
          <cell r="F3090" t="str">
            <v>ASY</v>
          </cell>
          <cell r="G3090">
            <v>0</v>
          </cell>
        </row>
        <row r="3091">
          <cell r="B3091">
            <v>14677</v>
          </cell>
          <cell r="C3091">
            <v>0</v>
          </cell>
          <cell r="D3091" t="str">
            <v>PHP</v>
          </cell>
          <cell r="E3091">
            <v>0</v>
          </cell>
          <cell r="F3091" t="str">
            <v>ASY</v>
          </cell>
          <cell r="G3091">
            <v>0</v>
          </cell>
        </row>
        <row r="3092">
          <cell r="B3092">
            <v>14685</v>
          </cell>
          <cell r="C3092">
            <v>0</v>
          </cell>
          <cell r="D3092" t="str">
            <v>PHP</v>
          </cell>
          <cell r="E3092">
            <v>0</v>
          </cell>
          <cell r="F3092" t="str">
            <v>PC</v>
          </cell>
          <cell r="G3092">
            <v>0</v>
          </cell>
        </row>
        <row r="3093">
          <cell r="B3093">
            <v>14720</v>
          </cell>
          <cell r="C3093">
            <v>29280</v>
          </cell>
          <cell r="D3093" t="str">
            <v>PHP</v>
          </cell>
          <cell r="E3093">
            <v>4</v>
          </cell>
          <cell r="F3093" t="str">
            <v>PC</v>
          </cell>
          <cell r="G3093">
            <v>0</v>
          </cell>
        </row>
        <row r="3094">
          <cell r="B3094">
            <v>14724</v>
          </cell>
          <cell r="C3094">
            <v>65344</v>
          </cell>
          <cell r="D3094" t="str">
            <v>PHP</v>
          </cell>
          <cell r="E3094">
            <v>4</v>
          </cell>
          <cell r="F3094" t="str">
            <v>PC</v>
          </cell>
          <cell r="G3094">
            <v>0</v>
          </cell>
        </row>
        <row r="3095">
          <cell r="B3095">
            <v>14725</v>
          </cell>
          <cell r="C3095">
            <v>35000</v>
          </cell>
          <cell r="D3095" t="str">
            <v>PHP</v>
          </cell>
          <cell r="E3095">
            <v>5</v>
          </cell>
          <cell r="F3095" t="str">
            <v>ASY</v>
          </cell>
          <cell r="G3095">
            <v>0</v>
          </cell>
        </row>
        <row r="3096">
          <cell r="B3096">
            <v>14768</v>
          </cell>
          <cell r="C3096">
            <v>330</v>
          </cell>
          <cell r="D3096" t="str">
            <v>PHP</v>
          </cell>
          <cell r="E3096">
            <v>10</v>
          </cell>
          <cell r="F3096" t="str">
            <v>PC</v>
          </cell>
          <cell r="G3096">
            <v>0</v>
          </cell>
        </row>
        <row r="3097">
          <cell r="B3097">
            <v>14796</v>
          </cell>
          <cell r="C3097">
            <v>420675.34</v>
          </cell>
          <cell r="D3097" t="str">
            <v>PHP</v>
          </cell>
          <cell r="E3097">
            <v>5</v>
          </cell>
          <cell r="F3097" t="str">
            <v>PC</v>
          </cell>
          <cell r="G3097">
            <v>0</v>
          </cell>
        </row>
        <row r="3098">
          <cell r="B3098">
            <v>14797</v>
          </cell>
          <cell r="C3098">
            <v>334211.53999999998</v>
          </cell>
          <cell r="D3098" t="str">
            <v>PHP</v>
          </cell>
          <cell r="E3098">
            <v>5</v>
          </cell>
          <cell r="F3098" t="str">
            <v>PC</v>
          </cell>
          <cell r="G3098">
            <v>0</v>
          </cell>
        </row>
        <row r="3099">
          <cell r="B3099">
            <v>14798</v>
          </cell>
          <cell r="C3099">
            <v>164398.35999999999</v>
          </cell>
          <cell r="D3099" t="str">
            <v>PHP</v>
          </cell>
          <cell r="E3099">
            <v>2</v>
          </cell>
          <cell r="F3099" t="str">
            <v>PC</v>
          </cell>
          <cell r="G3099">
            <v>0</v>
          </cell>
        </row>
        <row r="3100">
          <cell r="B3100">
            <v>14812</v>
          </cell>
          <cell r="C3100">
            <v>0</v>
          </cell>
          <cell r="D3100" t="str">
            <v>PHP</v>
          </cell>
          <cell r="E3100">
            <v>0</v>
          </cell>
          <cell r="F3100" t="str">
            <v>SET</v>
          </cell>
          <cell r="G3100">
            <v>0</v>
          </cell>
        </row>
        <row r="3101">
          <cell r="B3101">
            <v>14849</v>
          </cell>
          <cell r="C3101">
            <v>23967.360000000001</v>
          </cell>
          <cell r="D3101" t="str">
            <v>PHP</v>
          </cell>
          <cell r="E3101">
            <v>2</v>
          </cell>
          <cell r="F3101" t="str">
            <v>PC</v>
          </cell>
          <cell r="G3101">
            <v>0</v>
          </cell>
        </row>
        <row r="3102">
          <cell r="B3102">
            <v>14986</v>
          </cell>
          <cell r="C3102">
            <v>0</v>
          </cell>
          <cell r="D3102" t="str">
            <v>PHP</v>
          </cell>
          <cell r="E3102">
            <v>0</v>
          </cell>
          <cell r="F3102" t="str">
            <v>PC</v>
          </cell>
          <cell r="G3102">
            <v>0</v>
          </cell>
        </row>
        <row r="3103">
          <cell r="B3103">
            <v>14991</v>
          </cell>
          <cell r="C3103">
            <v>270517.95</v>
          </cell>
          <cell r="D3103" t="str">
            <v>PHP</v>
          </cell>
          <cell r="E3103">
            <v>4</v>
          </cell>
          <cell r="F3103" t="str">
            <v>PC</v>
          </cell>
          <cell r="G3103">
            <v>0</v>
          </cell>
        </row>
        <row r="3104">
          <cell r="B3104">
            <v>14992</v>
          </cell>
          <cell r="C3104">
            <v>256041.35</v>
          </cell>
          <cell r="D3104" t="str">
            <v>PHP</v>
          </cell>
          <cell r="E3104">
            <v>6</v>
          </cell>
          <cell r="F3104" t="str">
            <v>PC</v>
          </cell>
          <cell r="G3104">
            <v>0</v>
          </cell>
        </row>
        <row r="3105">
          <cell r="B3105">
            <v>14993</v>
          </cell>
          <cell r="C3105">
            <v>212082.29</v>
          </cell>
          <cell r="D3105" t="str">
            <v>PHP</v>
          </cell>
          <cell r="E3105">
            <v>5</v>
          </cell>
          <cell r="F3105" t="str">
            <v>PC</v>
          </cell>
          <cell r="G3105">
            <v>0</v>
          </cell>
        </row>
        <row r="3106">
          <cell r="B3106">
            <v>15051</v>
          </cell>
          <cell r="C3106">
            <v>0</v>
          </cell>
          <cell r="D3106" t="str">
            <v>PHP</v>
          </cell>
          <cell r="E3106">
            <v>0</v>
          </cell>
          <cell r="F3106" t="str">
            <v>PC</v>
          </cell>
          <cell r="G3106">
            <v>0</v>
          </cell>
        </row>
        <row r="3107">
          <cell r="B3107">
            <v>15089</v>
          </cell>
          <cell r="C3107">
            <v>6690</v>
          </cell>
          <cell r="D3107" t="str">
            <v>PHP</v>
          </cell>
          <cell r="E3107">
            <v>6</v>
          </cell>
          <cell r="F3107" t="str">
            <v>PC</v>
          </cell>
          <cell r="G3107">
            <v>0</v>
          </cell>
        </row>
        <row r="3108">
          <cell r="B3108">
            <v>15174</v>
          </cell>
          <cell r="C3108">
            <v>966821.35</v>
          </cell>
          <cell r="D3108" t="str">
            <v>PHP</v>
          </cell>
          <cell r="E3108">
            <v>1</v>
          </cell>
          <cell r="F3108" t="str">
            <v>SET</v>
          </cell>
          <cell r="G3108">
            <v>0</v>
          </cell>
        </row>
        <row r="3109">
          <cell r="B3109">
            <v>15176</v>
          </cell>
          <cell r="C3109">
            <v>0</v>
          </cell>
          <cell r="D3109" t="str">
            <v>PHP</v>
          </cell>
          <cell r="E3109">
            <v>0</v>
          </cell>
          <cell r="F3109" t="str">
            <v>PC</v>
          </cell>
          <cell r="G3109">
            <v>0</v>
          </cell>
        </row>
        <row r="3110">
          <cell r="B3110">
            <v>15229</v>
          </cell>
          <cell r="C3110">
            <v>132938.25</v>
          </cell>
          <cell r="D3110" t="str">
            <v>PHP</v>
          </cell>
          <cell r="E3110">
            <v>6</v>
          </cell>
          <cell r="F3110" t="str">
            <v>PC</v>
          </cell>
          <cell r="G3110">
            <v>0</v>
          </cell>
        </row>
        <row r="3111">
          <cell r="B3111">
            <v>15230</v>
          </cell>
          <cell r="C3111">
            <v>96941.64</v>
          </cell>
          <cell r="D3111" t="str">
            <v>PHP</v>
          </cell>
          <cell r="E3111">
            <v>4</v>
          </cell>
          <cell r="F3111" t="str">
            <v>PC</v>
          </cell>
          <cell r="G3111">
            <v>0</v>
          </cell>
        </row>
        <row r="3112">
          <cell r="B3112">
            <v>15231</v>
          </cell>
          <cell r="C3112">
            <v>223600.99</v>
          </cell>
          <cell r="D3112" t="str">
            <v>PHP</v>
          </cell>
          <cell r="E3112">
            <v>5</v>
          </cell>
          <cell r="F3112" t="str">
            <v>PC</v>
          </cell>
          <cell r="G3112">
            <v>0</v>
          </cell>
        </row>
        <row r="3113">
          <cell r="B3113">
            <v>15276</v>
          </cell>
          <cell r="C3113">
            <v>0</v>
          </cell>
          <cell r="D3113" t="str">
            <v>PHP</v>
          </cell>
          <cell r="E3113">
            <v>0</v>
          </cell>
          <cell r="F3113" t="str">
            <v>PC</v>
          </cell>
          <cell r="G3113">
            <v>0</v>
          </cell>
        </row>
        <row r="3114">
          <cell r="B3114">
            <v>15356</v>
          </cell>
          <cell r="C3114">
            <v>9113.61</v>
          </cell>
          <cell r="D3114" t="str">
            <v>PHP</v>
          </cell>
          <cell r="E3114">
            <v>60</v>
          </cell>
          <cell r="F3114" t="str">
            <v>PC</v>
          </cell>
          <cell r="G3114">
            <v>0</v>
          </cell>
        </row>
        <row r="3115">
          <cell r="B3115">
            <v>15360</v>
          </cell>
          <cell r="C3115">
            <v>0</v>
          </cell>
          <cell r="D3115" t="str">
            <v>PHP</v>
          </cell>
          <cell r="E3115">
            <v>0</v>
          </cell>
          <cell r="F3115" t="str">
            <v>PC</v>
          </cell>
          <cell r="G3115">
            <v>0</v>
          </cell>
        </row>
        <row r="3116">
          <cell r="B3116">
            <v>15447</v>
          </cell>
          <cell r="C3116">
            <v>182266.99</v>
          </cell>
          <cell r="D3116" t="str">
            <v>PHP</v>
          </cell>
          <cell r="E3116">
            <v>5</v>
          </cell>
          <cell r="F3116" t="str">
            <v>PC</v>
          </cell>
          <cell r="G3116">
            <v>0</v>
          </cell>
        </row>
        <row r="3117">
          <cell r="B3117">
            <v>15448</v>
          </cell>
          <cell r="C3117">
            <v>3407.46</v>
          </cell>
          <cell r="D3117" t="str">
            <v>PHP</v>
          </cell>
          <cell r="E3117">
            <v>7</v>
          </cell>
          <cell r="F3117" t="str">
            <v>PC</v>
          </cell>
          <cell r="G3117">
            <v>0</v>
          </cell>
        </row>
        <row r="3118">
          <cell r="B3118">
            <v>15449</v>
          </cell>
          <cell r="C3118">
            <v>96915.34</v>
          </cell>
          <cell r="D3118" t="str">
            <v>PHP</v>
          </cell>
          <cell r="E3118">
            <v>5</v>
          </cell>
          <cell r="F3118" t="str">
            <v>PC</v>
          </cell>
          <cell r="G3118">
            <v>0</v>
          </cell>
        </row>
        <row r="3119">
          <cell r="B3119">
            <v>15450</v>
          </cell>
          <cell r="C3119">
            <v>164826.67000000001</v>
          </cell>
          <cell r="D3119" t="str">
            <v>PHP</v>
          </cell>
          <cell r="E3119">
            <v>15</v>
          </cell>
          <cell r="F3119" t="str">
            <v>PC</v>
          </cell>
          <cell r="G3119">
            <v>0</v>
          </cell>
        </row>
        <row r="3120">
          <cell r="B3120">
            <v>15451</v>
          </cell>
          <cell r="C3120">
            <v>356394.1</v>
          </cell>
          <cell r="D3120" t="str">
            <v>PHP</v>
          </cell>
          <cell r="E3120">
            <v>23</v>
          </cell>
          <cell r="F3120" t="str">
            <v>PC</v>
          </cell>
          <cell r="G3120">
            <v>0</v>
          </cell>
        </row>
        <row r="3121">
          <cell r="B3121">
            <v>15452</v>
          </cell>
          <cell r="C3121">
            <v>18131.259999999998</v>
          </cell>
          <cell r="D3121" t="str">
            <v>PHP</v>
          </cell>
          <cell r="E3121">
            <v>7</v>
          </cell>
          <cell r="F3121" t="str">
            <v>PC</v>
          </cell>
          <cell r="G3121">
            <v>0</v>
          </cell>
        </row>
        <row r="3122">
          <cell r="B3122">
            <v>15454</v>
          </cell>
          <cell r="C3122">
            <v>0</v>
          </cell>
          <cell r="D3122" t="str">
            <v>PHP</v>
          </cell>
          <cell r="E3122">
            <v>0</v>
          </cell>
          <cell r="F3122" t="str">
            <v>PC</v>
          </cell>
          <cell r="G3122">
            <v>0</v>
          </cell>
        </row>
        <row r="3123">
          <cell r="B3123">
            <v>15455</v>
          </cell>
          <cell r="C3123">
            <v>26071.439999999999</v>
          </cell>
          <cell r="D3123" t="str">
            <v>PHP</v>
          </cell>
          <cell r="E3123">
            <v>4</v>
          </cell>
          <cell r="F3123" t="str">
            <v>PC</v>
          </cell>
          <cell r="G3123">
            <v>0</v>
          </cell>
        </row>
        <row r="3124">
          <cell r="B3124">
            <v>15456</v>
          </cell>
          <cell r="C3124">
            <v>175214.02</v>
          </cell>
          <cell r="D3124" t="str">
            <v>PHP</v>
          </cell>
          <cell r="E3124">
            <v>16</v>
          </cell>
          <cell r="F3124" t="str">
            <v>PC</v>
          </cell>
          <cell r="G3124">
            <v>0</v>
          </cell>
        </row>
        <row r="3125">
          <cell r="B3125">
            <v>15461</v>
          </cell>
          <cell r="C3125">
            <v>0</v>
          </cell>
          <cell r="D3125" t="str">
            <v>PHP</v>
          </cell>
          <cell r="E3125">
            <v>0</v>
          </cell>
          <cell r="F3125" t="str">
            <v>PC</v>
          </cell>
          <cell r="G3125">
            <v>0</v>
          </cell>
        </row>
        <row r="3126">
          <cell r="B3126">
            <v>15487</v>
          </cell>
          <cell r="C3126">
            <v>935258.37</v>
          </cell>
          <cell r="D3126" t="str">
            <v>PHP</v>
          </cell>
          <cell r="E3126">
            <v>10</v>
          </cell>
          <cell r="F3126" t="str">
            <v>PC</v>
          </cell>
          <cell r="G3126">
            <v>0</v>
          </cell>
        </row>
        <row r="3127">
          <cell r="B3127">
            <v>15514</v>
          </cell>
          <cell r="C3127">
            <v>0</v>
          </cell>
          <cell r="D3127" t="str">
            <v>PHP</v>
          </cell>
          <cell r="E3127">
            <v>0</v>
          </cell>
          <cell r="F3127" t="str">
            <v>PC</v>
          </cell>
          <cell r="G3127">
            <v>0</v>
          </cell>
        </row>
        <row r="3128">
          <cell r="B3128">
            <v>15515</v>
          </cell>
          <cell r="C3128">
            <v>313313</v>
          </cell>
          <cell r="D3128" t="str">
            <v>PHP</v>
          </cell>
          <cell r="E3128">
            <v>2</v>
          </cell>
          <cell r="F3128" t="str">
            <v>PC</v>
          </cell>
          <cell r="G3128">
            <v>0</v>
          </cell>
        </row>
        <row r="3129">
          <cell r="B3129">
            <v>15518</v>
          </cell>
          <cell r="C3129">
            <v>0</v>
          </cell>
          <cell r="D3129" t="str">
            <v>PHP</v>
          </cell>
          <cell r="E3129">
            <v>0</v>
          </cell>
          <cell r="F3129" t="str">
            <v>PC</v>
          </cell>
          <cell r="G3129">
            <v>0</v>
          </cell>
        </row>
        <row r="3130">
          <cell r="B3130">
            <v>15617</v>
          </cell>
          <cell r="C3130">
            <v>0</v>
          </cell>
          <cell r="D3130" t="str">
            <v>PHP</v>
          </cell>
          <cell r="E3130">
            <v>0</v>
          </cell>
          <cell r="F3130" t="str">
            <v>PC</v>
          </cell>
          <cell r="G3130">
            <v>0</v>
          </cell>
        </row>
        <row r="3131">
          <cell r="B3131">
            <v>15618</v>
          </cell>
          <cell r="C3131">
            <v>130316.41</v>
          </cell>
          <cell r="D3131" t="str">
            <v>PHP</v>
          </cell>
          <cell r="E3131">
            <v>6</v>
          </cell>
          <cell r="F3131" t="str">
            <v>PC</v>
          </cell>
          <cell r="G3131">
            <v>0</v>
          </cell>
        </row>
        <row r="3132">
          <cell r="B3132">
            <v>15637</v>
          </cell>
          <cell r="C3132">
            <v>293547.55</v>
          </cell>
          <cell r="D3132" t="str">
            <v>PHP</v>
          </cell>
          <cell r="E3132">
            <v>16</v>
          </cell>
          <cell r="F3132" t="str">
            <v>PC</v>
          </cell>
          <cell r="G3132">
            <v>0</v>
          </cell>
        </row>
        <row r="3133">
          <cell r="B3133">
            <v>15638</v>
          </cell>
          <cell r="C3133">
            <v>364034.22</v>
          </cell>
          <cell r="D3133" t="str">
            <v>PHP</v>
          </cell>
          <cell r="E3133">
            <v>13</v>
          </cell>
          <cell r="F3133" t="str">
            <v>PC</v>
          </cell>
          <cell r="G3133">
            <v>0</v>
          </cell>
        </row>
        <row r="3134">
          <cell r="B3134">
            <v>15655</v>
          </cell>
          <cell r="C3134">
            <v>0</v>
          </cell>
          <cell r="D3134" t="str">
            <v>PHP</v>
          </cell>
          <cell r="E3134">
            <v>0</v>
          </cell>
          <cell r="F3134" t="str">
            <v>PC</v>
          </cell>
          <cell r="G3134">
            <v>0</v>
          </cell>
        </row>
        <row r="3135">
          <cell r="B3135">
            <v>15704</v>
          </cell>
          <cell r="C3135">
            <v>6200466.29</v>
          </cell>
          <cell r="D3135" t="str">
            <v>PHP</v>
          </cell>
          <cell r="E3135">
            <v>4</v>
          </cell>
          <cell r="F3135" t="str">
            <v>PC</v>
          </cell>
          <cell r="G3135">
            <v>0</v>
          </cell>
        </row>
        <row r="3136">
          <cell r="B3136">
            <v>15732</v>
          </cell>
          <cell r="C3136">
            <v>3330432</v>
          </cell>
          <cell r="D3136" t="str">
            <v>PHP</v>
          </cell>
          <cell r="E3136">
            <v>3</v>
          </cell>
          <cell r="F3136" t="str">
            <v>PC</v>
          </cell>
          <cell r="G3136">
            <v>0</v>
          </cell>
        </row>
        <row r="3137">
          <cell r="B3137">
            <v>15733</v>
          </cell>
          <cell r="C3137">
            <v>2363074</v>
          </cell>
          <cell r="D3137" t="str">
            <v>PHP</v>
          </cell>
          <cell r="E3137">
            <v>2</v>
          </cell>
          <cell r="F3137" t="str">
            <v>PC</v>
          </cell>
          <cell r="G3137">
            <v>0</v>
          </cell>
        </row>
        <row r="3138">
          <cell r="B3138">
            <v>15734</v>
          </cell>
          <cell r="C3138">
            <v>1188000</v>
          </cell>
          <cell r="D3138" t="str">
            <v>PHP</v>
          </cell>
          <cell r="E3138">
            <v>6</v>
          </cell>
          <cell r="F3138" t="str">
            <v>PC</v>
          </cell>
          <cell r="G3138">
            <v>0</v>
          </cell>
        </row>
        <row r="3139">
          <cell r="B3139">
            <v>15785</v>
          </cell>
          <cell r="C3139">
            <v>0</v>
          </cell>
          <cell r="D3139" t="str">
            <v>PHP</v>
          </cell>
          <cell r="E3139">
            <v>0</v>
          </cell>
          <cell r="F3139" t="str">
            <v>PC</v>
          </cell>
          <cell r="G3139">
            <v>0</v>
          </cell>
        </row>
        <row r="3140">
          <cell r="B3140">
            <v>15880</v>
          </cell>
          <cell r="C3140">
            <v>35169.550000000003</v>
          </cell>
          <cell r="D3140" t="str">
            <v>PHP</v>
          </cell>
          <cell r="E3140">
            <v>62</v>
          </cell>
          <cell r="F3140" t="str">
            <v>PC</v>
          </cell>
          <cell r="G3140">
            <v>0</v>
          </cell>
        </row>
        <row r="3141">
          <cell r="B3141">
            <v>15884</v>
          </cell>
          <cell r="C3141">
            <v>0</v>
          </cell>
          <cell r="D3141" t="str">
            <v>PHP</v>
          </cell>
          <cell r="E3141">
            <v>0</v>
          </cell>
          <cell r="F3141" t="str">
            <v>PC</v>
          </cell>
          <cell r="G3141">
            <v>0</v>
          </cell>
        </row>
        <row r="3142">
          <cell r="B3142">
            <v>15909</v>
          </cell>
          <cell r="C3142">
            <v>0</v>
          </cell>
          <cell r="D3142" t="str">
            <v>PHP</v>
          </cell>
          <cell r="E3142">
            <v>0</v>
          </cell>
          <cell r="F3142" t="str">
            <v>SET</v>
          </cell>
          <cell r="G3142">
            <v>0</v>
          </cell>
        </row>
        <row r="3143">
          <cell r="B3143">
            <v>16022</v>
          </cell>
          <cell r="C3143">
            <v>76265.73</v>
          </cell>
          <cell r="D3143" t="str">
            <v>PHP</v>
          </cell>
          <cell r="E3143">
            <v>3</v>
          </cell>
          <cell r="F3143" t="str">
            <v>PC</v>
          </cell>
          <cell r="G3143">
            <v>0</v>
          </cell>
        </row>
        <row r="3144">
          <cell r="B3144">
            <v>16078</v>
          </cell>
          <cell r="C3144">
            <v>0</v>
          </cell>
          <cell r="D3144" t="str">
            <v>PHP</v>
          </cell>
          <cell r="E3144">
            <v>0</v>
          </cell>
          <cell r="F3144" t="str">
            <v>PC</v>
          </cell>
          <cell r="G3144">
            <v>0</v>
          </cell>
        </row>
        <row r="3145">
          <cell r="B3145">
            <v>16080</v>
          </cell>
          <cell r="C3145">
            <v>113571.42</v>
          </cell>
          <cell r="D3145" t="str">
            <v>PHP</v>
          </cell>
          <cell r="E3145">
            <v>6</v>
          </cell>
          <cell r="F3145" t="str">
            <v>PC</v>
          </cell>
          <cell r="G3145">
            <v>0</v>
          </cell>
        </row>
        <row r="3146">
          <cell r="B3146">
            <v>16097</v>
          </cell>
          <cell r="C3146">
            <v>0</v>
          </cell>
          <cell r="D3146" t="str">
            <v>PHP</v>
          </cell>
          <cell r="E3146">
            <v>0</v>
          </cell>
          <cell r="F3146" t="str">
            <v>ROL</v>
          </cell>
          <cell r="G3146">
            <v>0</v>
          </cell>
        </row>
        <row r="3147">
          <cell r="B3147">
            <v>16100</v>
          </cell>
          <cell r="C3147">
            <v>58962</v>
          </cell>
          <cell r="D3147" t="str">
            <v>PHP</v>
          </cell>
          <cell r="E3147">
            <v>600</v>
          </cell>
          <cell r="F3147" t="str">
            <v>FT</v>
          </cell>
          <cell r="G3147">
            <v>0</v>
          </cell>
        </row>
        <row r="3148">
          <cell r="B3148">
            <v>16101</v>
          </cell>
          <cell r="C3148">
            <v>725000</v>
          </cell>
          <cell r="D3148" t="str">
            <v>PHP</v>
          </cell>
          <cell r="E3148">
            <v>2</v>
          </cell>
          <cell r="F3148" t="str">
            <v>ROL</v>
          </cell>
          <cell r="G3148">
            <v>0</v>
          </cell>
        </row>
        <row r="3149">
          <cell r="B3149">
            <v>20344</v>
          </cell>
          <cell r="C3149">
            <v>4300</v>
          </cell>
          <cell r="D3149" t="str">
            <v>PHP</v>
          </cell>
          <cell r="E3149">
            <v>1</v>
          </cell>
          <cell r="F3149" t="str">
            <v>PC</v>
          </cell>
          <cell r="G3149">
            <v>0</v>
          </cell>
        </row>
        <row r="3150">
          <cell r="B3150">
            <v>20433</v>
          </cell>
          <cell r="C3150">
            <v>140</v>
          </cell>
          <cell r="D3150" t="str">
            <v>PHP</v>
          </cell>
          <cell r="E3150">
            <v>1</v>
          </cell>
          <cell r="F3150" t="str">
            <v>PC</v>
          </cell>
          <cell r="G3150">
            <v>0</v>
          </cell>
        </row>
        <row r="3151">
          <cell r="B3151">
            <v>23581</v>
          </cell>
          <cell r="C3151">
            <v>196020.26</v>
          </cell>
          <cell r="D3151" t="str">
            <v>PHP</v>
          </cell>
          <cell r="E3151">
            <v>4</v>
          </cell>
          <cell r="F3151" t="str">
            <v>PC</v>
          </cell>
          <cell r="G3151">
            <v>0</v>
          </cell>
        </row>
        <row r="3152">
          <cell r="B3152">
            <v>23582</v>
          </cell>
          <cell r="C3152">
            <v>47038.34</v>
          </cell>
          <cell r="D3152" t="str">
            <v>PHP</v>
          </cell>
          <cell r="E3152">
            <v>1</v>
          </cell>
          <cell r="F3152" t="str">
            <v>PC</v>
          </cell>
          <cell r="G3152">
            <v>0</v>
          </cell>
        </row>
        <row r="3153">
          <cell r="B3153">
            <v>23586</v>
          </cell>
          <cell r="C3153">
            <v>247079.98</v>
          </cell>
          <cell r="D3153" t="str">
            <v>PHP</v>
          </cell>
          <cell r="E3153">
            <v>14</v>
          </cell>
          <cell r="F3153" t="str">
            <v>ASY</v>
          </cell>
          <cell r="G3153">
            <v>0</v>
          </cell>
        </row>
        <row r="3154">
          <cell r="B3154">
            <v>23589</v>
          </cell>
          <cell r="C3154">
            <v>67238.960000000006</v>
          </cell>
          <cell r="D3154" t="str">
            <v>PHP</v>
          </cell>
          <cell r="E3154">
            <v>97</v>
          </cell>
          <cell r="F3154" t="str">
            <v>PC</v>
          </cell>
          <cell r="G3154">
            <v>0</v>
          </cell>
        </row>
        <row r="3155">
          <cell r="B3155">
            <v>23596</v>
          </cell>
          <cell r="C3155">
            <v>0</v>
          </cell>
          <cell r="D3155" t="str">
            <v>PHP</v>
          </cell>
          <cell r="E3155">
            <v>0</v>
          </cell>
          <cell r="F3155" t="str">
            <v>PC</v>
          </cell>
          <cell r="G3155">
            <v>0</v>
          </cell>
        </row>
        <row r="3156">
          <cell r="B3156">
            <v>23599</v>
          </cell>
          <cell r="C3156">
            <v>0</v>
          </cell>
          <cell r="D3156" t="str">
            <v>PHP</v>
          </cell>
          <cell r="E3156">
            <v>0</v>
          </cell>
          <cell r="F3156" t="str">
            <v>PC</v>
          </cell>
          <cell r="G3156">
            <v>0</v>
          </cell>
        </row>
        <row r="3157">
          <cell r="B3157">
            <v>23614</v>
          </cell>
          <cell r="C3157">
            <v>35161.89</v>
          </cell>
          <cell r="D3157" t="str">
            <v>PHP</v>
          </cell>
          <cell r="E3157">
            <v>7</v>
          </cell>
          <cell r="F3157" t="str">
            <v>PC</v>
          </cell>
          <cell r="G3157">
            <v>0</v>
          </cell>
        </row>
        <row r="3158">
          <cell r="B3158">
            <v>23619</v>
          </cell>
          <cell r="C3158">
            <v>15120.07</v>
          </cell>
          <cell r="D3158" t="str">
            <v>PHP</v>
          </cell>
          <cell r="E3158">
            <v>22</v>
          </cell>
          <cell r="F3158" t="str">
            <v>PC</v>
          </cell>
          <cell r="G3158">
            <v>0</v>
          </cell>
        </row>
        <row r="3159">
          <cell r="B3159">
            <v>23650</v>
          </cell>
          <cell r="C3159">
            <v>18913.22</v>
          </cell>
          <cell r="D3159" t="str">
            <v>PHP</v>
          </cell>
          <cell r="E3159">
            <v>6</v>
          </cell>
          <cell r="F3159" t="str">
            <v>PC</v>
          </cell>
          <cell r="G3159">
            <v>0</v>
          </cell>
        </row>
        <row r="3160">
          <cell r="B3160">
            <v>23657</v>
          </cell>
          <cell r="C3160">
            <v>11220.44</v>
          </cell>
          <cell r="D3160" t="str">
            <v>PHP</v>
          </cell>
          <cell r="E3160">
            <v>6</v>
          </cell>
          <cell r="F3160" t="str">
            <v>PC</v>
          </cell>
          <cell r="G3160">
            <v>0</v>
          </cell>
        </row>
        <row r="3161">
          <cell r="B3161">
            <v>23669</v>
          </cell>
          <cell r="C3161">
            <v>0</v>
          </cell>
          <cell r="D3161" t="str">
            <v>PHP</v>
          </cell>
          <cell r="E3161">
            <v>0</v>
          </cell>
          <cell r="F3161" t="str">
            <v>PC</v>
          </cell>
          <cell r="G3161">
            <v>0</v>
          </cell>
        </row>
        <row r="3162">
          <cell r="B3162">
            <v>23677</v>
          </cell>
          <cell r="C3162">
            <v>17500</v>
          </cell>
          <cell r="D3162" t="str">
            <v>PHP</v>
          </cell>
          <cell r="E3162">
            <v>7</v>
          </cell>
          <cell r="F3162" t="str">
            <v>PC</v>
          </cell>
          <cell r="G3162">
            <v>0</v>
          </cell>
        </row>
        <row r="3163">
          <cell r="B3163">
            <v>23691</v>
          </cell>
          <cell r="C3163">
            <v>3900.7</v>
          </cell>
          <cell r="D3163" t="str">
            <v>PHP</v>
          </cell>
          <cell r="E3163">
            <v>5</v>
          </cell>
          <cell r="F3163" t="str">
            <v>PC</v>
          </cell>
          <cell r="G3163">
            <v>0</v>
          </cell>
        </row>
        <row r="3164">
          <cell r="B3164">
            <v>23702</v>
          </cell>
          <cell r="C3164">
            <v>2921.76</v>
          </cell>
          <cell r="D3164" t="str">
            <v>PHP</v>
          </cell>
          <cell r="E3164">
            <v>12</v>
          </cell>
          <cell r="F3164" t="str">
            <v>PC</v>
          </cell>
          <cell r="G3164">
            <v>0</v>
          </cell>
        </row>
        <row r="3165">
          <cell r="B3165">
            <v>23707</v>
          </cell>
          <cell r="C3165">
            <v>192606.33</v>
          </cell>
          <cell r="D3165" t="str">
            <v>PHP</v>
          </cell>
          <cell r="E3165">
            <v>3</v>
          </cell>
          <cell r="F3165" t="str">
            <v>PC</v>
          </cell>
          <cell r="G3165">
            <v>0</v>
          </cell>
        </row>
        <row r="3166">
          <cell r="B3166">
            <v>23731</v>
          </cell>
          <cell r="C3166">
            <v>0</v>
          </cell>
          <cell r="D3166" t="str">
            <v>PHP</v>
          </cell>
          <cell r="E3166">
            <v>0</v>
          </cell>
          <cell r="F3166" t="str">
            <v>PC</v>
          </cell>
          <cell r="G3166">
            <v>0</v>
          </cell>
        </row>
        <row r="3167">
          <cell r="B3167">
            <v>23762</v>
          </cell>
          <cell r="C3167">
            <v>0</v>
          </cell>
          <cell r="D3167" t="str">
            <v>PHP</v>
          </cell>
          <cell r="E3167">
            <v>0</v>
          </cell>
          <cell r="F3167" t="str">
            <v>PC</v>
          </cell>
          <cell r="G3167">
            <v>0</v>
          </cell>
        </row>
        <row r="3168">
          <cell r="B3168">
            <v>29769</v>
          </cell>
          <cell r="C3168">
            <v>0</v>
          </cell>
          <cell r="D3168" t="str">
            <v>PHP</v>
          </cell>
          <cell r="E3168">
            <v>0</v>
          </cell>
          <cell r="F3168" t="str">
            <v>PC</v>
          </cell>
          <cell r="G3168">
            <v>0</v>
          </cell>
        </row>
        <row r="3169">
          <cell r="B3169">
            <v>29771</v>
          </cell>
          <cell r="C3169">
            <v>247724.92</v>
          </cell>
          <cell r="D3169" t="str">
            <v>PHP</v>
          </cell>
          <cell r="E3169">
            <v>7</v>
          </cell>
          <cell r="F3169" t="str">
            <v>PC</v>
          </cell>
          <cell r="G3169">
            <v>0</v>
          </cell>
        </row>
        <row r="3170">
          <cell r="B3170">
            <v>29772</v>
          </cell>
          <cell r="C3170">
            <v>0</v>
          </cell>
          <cell r="D3170" t="str">
            <v>PHP</v>
          </cell>
          <cell r="E3170">
            <v>0</v>
          </cell>
          <cell r="F3170" t="str">
            <v>PC</v>
          </cell>
          <cell r="G3170">
            <v>0</v>
          </cell>
        </row>
        <row r="3171">
          <cell r="B3171">
            <v>29773</v>
          </cell>
          <cell r="C3171">
            <v>0</v>
          </cell>
          <cell r="D3171" t="str">
            <v>PHP</v>
          </cell>
          <cell r="E3171">
            <v>0</v>
          </cell>
          <cell r="F3171" t="str">
            <v>PC</v>
          </cell>
          <cell r="G3171">
            <v>0</v>
          </cell>
        </row>
        <row r="3172">
          <cell r="B3172">
            <v>29774</v>
          </cell>
          <cell r="C3172">
            <v>190098.56</v>
          </cell>
          <cell r="D3172" t="str">
            <v>PHP</v>
          </cell>
          <cell r="E3172">
            <v>15</v>
          </cell>
          <cell r="F3172" t="str">
            <v>PC</v>
          </cell>
          <cell r="G3172">
            <v>0</v>
          </cell>
        </row>
        <row r="3173">
          <cell r="B3173">
            <v>29777</v>
          </cell>
          <cell r="C3173">
            <v>149508.71</v>
          </cell>
          <cell r="D3173" t="str">
            <v>PHP</v>
          </cell>
          <cell r="E3173">
            <v>2</v>
          </cell>
          <cell r="F3173" t="str">
            <v>PC</v>
          </cell>
          <cell r="G3173">
            <v>0</v>
          </cell>
        </row>
        <row r="3174">
          <cell r="B3174">
            <v>29778</v>
          </cell>
          <cell r="C3174">
            <v>93503.61</v>
          </cell>
          <cell r="D3174" t="str">
            <v>PHP</v>
          </cell>
          <cell r="E3174">
            <v>18</v>
          </cell>
          <cell r="F3174" t="str">
            <v>PC</v>
          </cell>
          <cell r="G3174">
            <v>0</v>
          </cell>
        </row>
        <row r="3175">
          <cell r="B3175">
            <v>29779</v>
          </cell>
          <cell r="C3175">
            <v>89954.8</v>
          </cell>
          <cell r="D3175" t="str">
            <v>PHP</v>
          </cell>
          <cell r="E3175">
            <v>10</v>
          </cell>
          <cell r="F3175" t="str">
            <v>PC</v>
          </cell>
          <cell r="G3175">
            <v>0</v>
          </cell>
        </row>
        <row r="3176">
          <cell r="B3176">
            <v>29780</v>
          </cell>
          <cell r="C3176">
            <v>47565</v>
          </cell>
          <cell r="D3176" t="str">
            <v>PHP</v>
          </cell>
          <cell r="E3176">
            <v>2</v>
          </cell>
          <cell r="F3176" t="str">
            <v>PC</v>
          </cell>
          <cell r="G3176">
            <v>0</v>
          </cell>
        </row>
        <row r="3177">
          <cell r="B3177">
            <v>29782</v>
          </cell>
          <cell r="C3177">
            <v>57613.05</v>
          </cell>
          <cell r="D3177" t="str">
            <v>PHP</v>
          </cell>
          <cell r="E3177">
            <v>8</v>
          </cell>
          <cell r="F3177" t="str">
            <v>PC</v>
          </cell>
          <cell r="G3177">
            <v>0</v>
          </cell>
        </row>
        <row r="3178">
          <cell r="B3178">
            <v>29783</v>
          </cell>
          <cell r="C3178">
            <v>51942.6</v>
          </cell>
          <cell r="D3178" t="str">
            <v>PHP</v>
          </cell>
          <cell r="E3178">
            <v>2</v>
          </cell>
          <cell r="F3178" t="str">
            <v>PC</v>
          </cell>
          <cell r="G3178">
            <v>0</v>
          </cell>
        </row>
        <row r="3179">
          <cell r="B3179">
            <v>29784</v>
          </cell>
          <cell r="C3179">
            <v>50560.5</v>
          </cell>
          <cell r="D3179" t="str">
            <v>PHP</v>
          </cell>
          <cell r="E3179">
            <v>2</v>
          </cell>
          <cell r="F3179" t="str">
            <v>PC</v>
          </cell>
          <cell r="G3179">
            <v>0</v>
          </cell>
        </row>
        <row r="3180">
          <cell r="B3180">
            <v>29785</v>
          </cell>
          <cell r="C3180">
            <v>0</v>
          </cell>
          <cell r="D3180" t="str">
            <v>PHP</v>
          </cell>
          <cell r="E3180">
            <v>0</v>
          </cell>
          <cell r="F3180" t="str">
            <v>PC</v>
          </cell>
          <cell r="G3180">
            <v>0</v>
          </cell>
        </row>
        <row r="3181">
          <cell r="B3181">
            <v>29786</v>
          </cell>
          <cell r="C3181">
            <v>40900</v>
          </cell>
          <cell r="D3181" t="str">
            <v>PHP</v>
          </cell>
          <cell r="E3181">
            <v>1</v>
          </cell>
          <cell r="F3181" t="str">
            <v>PC</v>
          </cell>
          <cell r="G3181">
            <v>0</v>
          </cell>
        </row>
        <row r="3182">
          <cell r="B3182">
            <v>29787</v>
          </cell>
          <cell r="C3182">
            <v>36942</v>
          </cell>
          <cell r="D3182" t="str">
            <v>PHP</v>
          </cell>
          <cell r="E3182">
            <v>4</v>
          </cell>
          <cell r="F3182" t="str">
            <v>PC</v>
          </cell>
          <cell r="G3182">
            <v>0</v>
          </cell>
        </row>
        <row r="3183">
          <cell r="B3183">
            <v>29788</v>
          </cell>
          <cell r="C3183">
            <v>33148.74</v>
          </cell>
          <cell r="D3183" t="str">
            <v>PHP</v>
          </cell>
          <cell r="E3183">
            <v>6</v>
          </cell>
          <cell r="F3183" t="str">
            <v>SET</v>
          </cell>
          <cell r="G3183">
            <v>0</v>
          </cell>
        </row>
        <row r="3184">
          <cell r="B3184">
            <v>29789</v>
          </cell>
          <cell r="C3184">
            <v>29379.14</v>
          </cell>
          <cell r="D3184" t="str">
            <v>PHP</v>
          </cell>
          <cell r="E3184">
            <v>29</v>
          </cell>
          <cell r="F3184" t="str">
            <v>PC</v>
          </cell>
          <cell r="G3184">
            <v>0</v>
          </cell>
        </row>
        <row r="3185">
          <cell r="B3185">
            <v>29790</v>
          </cell>
          <cell r="C3185">
            <v>27327.279999999999</v>
          </cell>
          <cell r="D3185" t="str">
            <v>PHP</v>
          </cell>
          <cell r="E3185">
            <v>6</v>
          </cell>
          <cell r="F3185" t="str">
            <v>PC</v>
          </cell>
          <cell r="G3185">
            <v>0</v>
          </cell>
        </row>
        <row r="3186">
          <cell r="B3186">
            <v>29791</v>
          </cell>
          <cell r="C3186">
            <v>0</v>
          </cell>
          <cell r="D3186" t="str">
            <v>PHP</v>
          </cell>
          <cell r="E3186">
            <v>0</v>
          </cell>
          <cell r="F3186" t="str">
            <v>PC</v>
          </cell>
          <cell r="G3186">
            <v>0</v>
          </cell>
        </row>
        <row r="3187">
          <cell r="B3187">
            <v>29792</v>
          </cell>
          <cell r="C3187">
            <v>12199.68</v>
          </cell>
          <cell r="D3187" t="str">
            <v>PHP</v>
          </cell>
          <cell r="E3187">
            <v>1</v>
          </cell>
          <cell r="F3187" t="str">
            <v>PC</v>
          </cell>
          <cell r="G3187">
            <v>0</v>
          </cell>
        </row>
        <row r="3188">
          <cell r="B3188">
            <v>29794</v>
          </cell>
          <cell r="C3188">
            <v>22641.75</v>
          </cell>
          <cell r="D3188" t="str">
            <v>PHP</v>
          </cell>
          <cell r="E3188">
            <v>6</v>
          </cell>
          <cell r="F3188" t="str">
            <v>ASY</v>
          </cell>
          <cell r="G3188">
            <v>0</v>
          </cell>
        </row>
        <row r="3189">
          <cell r="B3189">
            <v>29796</v>
          </cell>
          <cell r="C3189">
            <v>0</v>
          </cell>
          <cell r="D3189" t="str">
            <v>PHP</v>
          </cell>
          <cell r="E3189">
            <v>0</v>
          </cell>
          <cell r="F3189" t="str">
            <v>PC</v>
          </cell>
          <cell r="G3189">
            <v>0</v>
          </cell>
        </row>
        <row r="3190">
          <cell r="B3190">
            <v>29800</v>
          </cell>
          <cell r="C3190">
            <v>12768.35</v>
          </cell>
          <cell r="D3190" t="str">
            <v>PHP</v>
          </cell>
          <cell r="E3190">
            <v>10</v>
          </cell>
          <cell r="F3190" t="str">
            <v>PC</v>
          </cell>
          <cell r="G3190">
            <v>0</v>
          </cell>
        </row>
        <row r="3191">
          <cell r="B3191">
            <v>29803</v>
          </cell>
          <cell r="C3191">
            <v>9721.7999999999993</v>
          </cell>
          <cell r="D3191" t="str">
            <v>PHP</v>
          </cell>
          <cell r="E3191">
            <v>7</v>
          </cell>
          <cell r="F3191" t="str">
            <v>PC</v>
          </cell>
          <cell r="G3191">
            <v>0</v>
          </cell>
        </row>
        <row r="3192">
          <cell r="B3192">
            <v>29804</v>
          </cell>
          <cell r="C3192">
            <v>9527.9599999999991</v>
          </cell>
          <cell r="D3192" t="str">
            <v>PHP</v>
          </cell>
          <cell r="E3192">
            <v>5</v>
          </cell>
          <cell r="F3192" t="str">
            <v>SET</v>
          </cell>
          <cell r="G3192">
            <v>0</v>
          </cell>
        </row>
        <row r="3193">
          <cell r="B3193">
            <v>29805</v>
          </cell>
          <cell r="C3193">
            <v>9388.9599999999991</v>
          </cell>
          <cell r="D3193" t="str">
            <v>PHP</v>
          </cell>
          <cell r="E3193">
            <v>8</v>
          </cell>
          <cell r="F3193" t="str">
            <v>PC</v>
          </cell>
          <cell r="G3193">
            <v>0</v>
          </cell>
        </row>
        <row r="3194">
          <cell r="B3194">
            <v>29806</v>
          </cell>
          <cell r="C3194">
            <v>8266.59</v>
          </cell>
          <cell r="D3194" t="str">
            <v>PHP</v>
          </cell>
          <cell r="E3194">
            <v>2</v>
          </cell>
          <cell r="F3194" t="str">
            <v>PC</v>
          </cell>
          <cell r="G3194">
            <v>0</v>
          </cell>
        </row>
        <row r="3195">
          <cell r="B3195">
            <v>29808</v>
          </cell>
          <cell r="C3195">
            <v>7978.65</v>
          </cell>
          <cell r="D3195" t="str">
            <v>PHP</v>
          </cell>
          <cell r="E3195">
            <v>6</v>
          </cell>
          <cell r="F3195" t="str">
            <v>PC</v>
          </cell>
          <cell r="G3195">
            <v>0</v>
          </cell>
        </row>
        <row r="3196">
          <cell r="B3196">
            <v>29809</v>
          </cell>
          <cell r="C3196">
            <v>4743.75</v>
          </cell>
          <cell r="D3196" t="str">
            <v>PHP</v>
          </cell>
          <cell r="E3196">
            <v>5</v>
          </cell>
          <cell r="F3196" t="str">
            <v>PC</v>
          </cell>
          <cell r="G3196">
            <v>0</v>
          </cell>
        </row>
        <row r="3197">
          <cell r="B3197">
            <v>29819</v>
          </cell>
          <cell r="C3197">
            <v>3310.14</v>
          </cell>
          <cell r="D3197" t="str">
            <v>PHP</v>
          </cell>
          <cell r="E3197">
            <v>2</v>
          </cell>
          <cell r="F3197" t="str">
            <v>PC</v>
          </cell>
          <cell r="G3197">
            <v>0</v>
          </cell>
        </row>
        <row r="3198">
          <cell r="B3198">
            <v>29821</v>
          </cell>
          <cell r="C3198">
            <v>0</v>
          </cell>
          <cell r="D3198" t="str">
            <v>PHP</v>
          </cell>
          <cell r="E3198">
            <v>0</v>
          </cell>
          <cell r="F3198" t="str">
            <v>PC</v>
          </cell>
          <cell r="G3198">
            <v>0</v>
          </cell>
        </row>
        <row r="3199">
          <cell r="B3199">
            <v>29822</v>
          </cell>
          <cell r="C3199">
            <v>3085.15</v>
          </cell>
          <cell r="D3199" t="str">
            <v>PHP</v>
          </cell>
          <cell r="E3199">
            <v>8</v>
          </cell>
          <cell r="F3199" t="str">
            <v>PC</v>
          </cell>
          <cell r="G3199">
            <v>0</v>
          </cell>
        </row>
        <row r="3200">
          <cell r="B3200">
            <v>29823</v>
          </cell>
          <cell r="C3200">
            <v>1500</v>
          </cell>
          <cell r="D3200" t="str">
            <v>PHP</v>
          </cell>
          <cell r="E3200">
            <v>6</v>
          </cell>
          <cell r="F3200" t="str">
            <v>PC</v>
          </cell>
          <cell r="G3200">
            <v>0</v>
          </cell>
        </row>
        <row r="3201">
          <cell r="B3201">
            <v>29824</v>
          </cell>
          <cell r="C3201">
            <v>0</v>
          </cell>
          <cell r="D3201" t="str">
            <v>PHP</v>
          </cell>
          <cell r="E3201">
            <v>0</v>
          </cell>
          <cell r="F3201" t="str">
            <v>PC</v>
          </cell>
          <cell r="G3201">
            <v>0</v>
          </cell>
        </row>
        <row r="3202">
          <cell r="B3202">
            <v>29826</v>
          </cell>
          <cell r="C3202">
            <v>2870.01</v>
          </cell>
          <cell r="D3202" t="str">
            <v>PHP</v>
          </cell>
          <cell r="E3202">
            <v>13</v>
          </cell>
          <cell r="F3202" t="str">
            <v>PC</v>
          </cell>
          <cell r="G3202">
            <v>0</v>
          </cell>
        </row>
        <row r="3203">
          <cell r="B3203">
            <v>29828</v>
          </cell>
          <cell r="C3203">
            <v>2606.63</v>
          </cell>
          <cell r="D3203" t="str">
            <v>PHP</v>
          </cell>
          <cell r="E3203">
            <v>6</v>
          </cell>
          <cell r="F3203" t="str">
            <v>PC</v>
          </cell>
          <cell r="G3203">
            <v>0</v>
          </cell>
        </row>
        <row r="3204">
          <cell r="B3204">
            <v>29829</v>
          </cell>
          <cell r="C3204">
            <v>2587.1999999999998</v>
          </cell>
          <cell r="D3204" t="str">
            <v>PHP</v>
          </cell>
          <cell r="E3204">
            <v>20</v>
          </cell>
          <cell r="F3204" t="str">
            <v>PC</v>
          </cell>
          <cell r="G3204">
            <v>0</v>
          </cell>
        </row>
        <row r="3205">
          <cell r="B3205">
            <v>29830</v>
          </cell>
          <cell r="C3205">
            <v>0</v>
          </cell>
          <cell r="D3205" t="str">
            <v>PHP</v>
          </cell>
          <cell r="E3205">
            <v>0</v>
          </cell>
          <cell r="F3205" t="str">
            <v>PC</v>
          </cell>
          <cell r="G3205">
            <v>0</v>
          </cell>
        </row>
        <row r="3206">
          <cell r="B3206">
            <v>29833</v>
          </cell>
          <cell r="C3206">
            <v>2183.25</v>
          </cell>
          <cell r="D3206" t="str">
            <v>PHP</v>
          </cell>
          <cell r="E3206">
            <v>5</v>
          </cell>
          <cell r="F3206" t="str">
            <v>PC</v>
          </cell>
          <cell r="G3206">
            <v>0</v>
          </cell>
        </row>
        <row r="3207">
          <cell r="B3207">
            <v>29834</v>
          </cell>
          <cell r="C3207">
            <v>2183.25</v>
          </cell>
          <cell r="D3207" t="str">
            <v>PHP</v>
          </cell>
          <cell r="E3207">
            <v>5</v>
          </cell>
          <cell r="F3207" t="str">
            <v>PC</v>
          </cell>
          <cell r="G3207">
            <v>0</v>
          </cell>
        </row>
        <row r="3208">
          <cell r="B3208">
            <v>29835</v>
          </cell>
          <cell r="C3208">
            <v>2183.25</v>
          </cell>
          <cell r="D3208" t="str">
            <v>PHP</v>
          </cell>
          <cell r="E3208">
            <v>5</v>
          </cell>
          <cell r="F3208" t="str">
            <v>PC</v>
          </cell>
          <cell r="G3208">
            <v>0</v>
          </cell>
        </row>
        <row r="3209">
          <cell r="B3209">
            <v>29839</v>
          </cell>
          <cell r="C3209">
            <v>1641.46</v>
          </cell>
          <cell r="D3209" t="str">
            <v>PHP</v>
          </cell>
          <cell r="E3209">
            <v>13</v>
          </cell>
          <cell r="F3209" t="str">
            <v>PC</v>
          </cell>
          <cell r="G3209">
            <v>0</v>
          </cell>
        </row>
        <row r="3210">
          <cell r="B3210">
            <v>29840</v>
          </cell>
          <cell r="C3210">
            <v>1480</v>
          </cell>
          <cell r="D3210" t="str">
            <v>PHP</v>
          </cell>
          <cell r="E3210">
            <v>2</v>
          </cell>
          <cell r="F3210" t="str">
            <v>PC</v>
          </cell>
          <cell r="G3210">
            <v>0</v>
          </cell>
        </row>
        <row r="3211">
          <cell r="B3211">
            <v>29843</v>
          </cell>
          <cell r="C3211">
            <v>0</v>
          </cell>
          <cell r="D3211" t="str">
            <v>PHP</v>
          </cell>
          <cell r="E3211">
            <v>0</v>
          </cell>
          <cell r="F3211" t="str">
            <v>PC</v>
          </cell>
          <cell r="G3211">
            <v>0</v>
          </cell>
        </row>
        <row r="3212">
          <cell r="B3212">
            <v>29845</v>
          </cell>
          <cell r="C3212">
            <v>0</v>
          </cell>
          <cell r="D3212" t="str">
            <v>PHP</v>
          </cell>
          <cell r="E3212">
            <v>0</v>
          </cell>
          <cell r="F3212" t="str">
            <v>PC</v>
          </cell>
          <cell r="G3212">
            <v>0</v>
          </cell>
        </row>
        <row r="3213">
          <cell r="B3213">
            <v>29848</v>
          </cell>
          <cell r="C3213">
            <v>550</v>
          </cell>
          <cell r="D3213" t="str">
            <v>PHP</v>
          </cell>
          <cell r="E3213">
            <v>1</v>
          </cell>
          <cell r="F3213" t="str">
            <v>PC</v>
          </cell>
          <cell r="G3213">
            <v>0</v>
          </cell>
        </row>
        <row r="3214">
          <cell r="B3214">
            <v>29849</v>
          </cell>
          <cell r="C3214">
            <v>0</v>
          </cell>
          <cell r="D3214" t="str">
            <v>PHP</v>
          </cell>
          <cell r="E3214">
            <v>0</v>
          </cell>
          <cell r="F3214" t="str">
            <v>PC</v>
          </cell>
          <cell r="G3214">
            <v>0</v>
          </cell>
        </row>
        <row r="3215">
          <cell r="B3215">
            <v>29855</v>
          </cell>
          <cell r="C3215">
            <v>109.45</v>
          </cell>
          <cell r="D3215" t="str">
            <v>PHP</v>
          </cell>
          <cell r="E3215">
            <v>5</v>
          </cell>
          <cell r="F3215" t="str">
            <v>PC</v>
          </cell>
          <cell r="G3215">
            <v>0</v>
          </cell>
        </row>
        <row r="3216">
          <cell r="B3216">
            <v>29856</v>
          </cell>
          <cell r="C3216">
            <v>90</v>
          </cell>
          <cell r="D3216" t="str">
            <v>PHP</v>
          </cell>
          <cell r="E3216">
            <v>6</v>
          </cell>
          <cell r="F3216" t="str">
            <v>PC</v>
          </cell>
          <cell r="G3216">
            <v>0</v>
          </cell>
        </row>
        <row r="3217">
          <cell r="B3217">
            <v>29857</v>
          </cell>
          <cell r="C3217">
            <v>84</v>
          </cell>
          <cell r="D3217" t="str">
            <v>PHP</v>
          </cell>
          <cell r="E3217">
            <v>2</v>
          </cell>
          <cell r="F3217" t="str">
            <v>PC</v>
          </cell>
          <cell r="G3217">
            <v>0</v>
          </cell>
        </row>
        <row r="3218">
          <cell r="B3218">
            <v>29858</v>
          </cell>
          <cell r="C3218">
            <v>76.52</v>
          </cell>
          <cell r="D3218" t="str">
            <v>PHP</v>
          </cell>
          <cell r="E3218">
            <v>1</v>
          </cell>
          <cell r="F3218" t="str">
            <v>PC</v>
          </cell>
          <cell r="G3218">
            <v>0</v>
          </cell>
        </row>
        <row r="3219">
          <cell r="B3219">
            <v>29860</v>
          </cell>
          <cell r="C3219">
            <v>13.46</v>
          </cell>
          <cell r="D3219" t="str">
            <v>PHP</v>
          </cell>
          <cell r="E3219">
            <v>9</v>
          </cell>
          <cell r="F3219" t="str">
            <v>PC</v>
          </cell>
          <cell r="G3219">
            <v>0</v>
          </cell>
        </row>
        <row r="3220">
          <cell r="B3220">
            <v>29863</v>
          </cell>
          <cell r="C3220">
            <v>212310</v>
          </cell>
          <cell r="D3220" t="str">
            <v>PHP</v>
          </cell>
          <cell r="E3220">
            <v>7</v>
          </cell>
          <cell r="F3220" t="str">
            <v>PC</v>
          </cell>
          <cell r="G3220">
            <v>0</v>
          </cell>
        </row>
        <row r="3221">
          <cell r="B3221">
            <v>29900</v>
          </cell>
          <cell r="C3221">
            <v>198778.02</v>
          </cell>
          <cell r="D3221" t="str">
            <v>PHP</v>
          </cell>
          <cell r="E3221">
            <v>8</v>
          </cell>
          <cell r="F3221" t="str">
            <v>PC</v>
          </cell>
          <cell r="G3221">
            <v>0</v>
          </cell>
        </row>
        <row r="3222">
          <cell r="B3222">
            <v>29923</v>
          </cell>
          <cell r="C3222">
            <v>0</v>
          </cell>
          <cell r="D3222" t="str">
            <v>PHP</v>
          </cell>
          <cell r="E3222">
            <v>0</v>
          </cell>
          <cell r="F3222" t="str">
            <v>PC</v>
          </cell>
          <cell r="G3222">
            <v>0</v>
          </cell>
        </row>
        <row r="3223">
          <cell r="B3223">
            <v>30897</v>
          </cell>
          <cell r="C3223">
            <v>22978.48</v>
          </cell>
          <cell r="D3223" t="str">
            <v>PHP</v>
          </cell>
          <cell r="E3223">
            <v>20</v>
          </cell>
          <cell r="F3223" t="str">
            <v>PC</v>
          </cell>
          <cell r="G3223">
            <v>0</v>
          </cell>
        </row>
        <row r="3224">
          <cell r="B3224">
            <v>30898</v>
          </cell>
          <cell r="C3224">
            <v>5060.71</v>
          </cell>
          <cell r="D3224" t="str">
            <v>PHP</v>
          </cell>
          <cell r="E3224">
            <v>5</v>
          </cell>
          <cell r="F3224" t="str">
            <v>PC</v>
          </cell>
          <cell r="G3224">
            <v>0</v>
          </cell>
        </row>
        <row r="3225">
          <cell r="B3225">
            <v>30904</v>
          </cell>
          <cell r="C3225">
            <v>108800</v>
          </cell>
          <cell r="D3225" t="str">
            <v>PHP</v>
          </cell>
          <cell r="E3225">
            <v>2</v>
          </cell>
          <cell r="F3225" t="str">
            <v>PC</v>
          </cell>
          <cell r="G3225">
            <v>0</v>
          </cell>
        </row>
        <row r="3226">
          <cell r="B3226">
            <v>30905</v>
          </cell>
          <cell r="C3226">
            <v>12340.55</v>
          </cell>
          <cell r="D3226" t="str">
            <v>PHP</v>
          </cell>
          <cell r="E3226">
            <v>3</v>
          </cell>
          <cell r="F3226" t="str">
            <v>PC</v>
          </cell>
          <cell r="G3226">
            <v>0</v>
          </cell>
        </row>
        <row r="3227">
          <cell r="B3227">
            <v>30906</v>
          </cell>
          <cell r="C3227">
            <v>33001.379999999997</v>
          </cell>
          <cell r="D3227" t="str">
            <v>PHP</v>
          </cell>
          <cell r="E3227">
            <v>22</v>
          </cell>
          <cell r="F3227" t="str">
            <v>PC</v>
          </cell>
          <cell r="G3227">
            <v>0</v>
          </cell>
        </row>
        <row r="3228">
          <cell r="B3228">
            <v>30907</v>
          </cell>
          <cell r="C3228">
            <v>2474.66</v>
          </cell>
          <cell r="D3228" t="str">
            <v>PHP</v>
          </cell>
          <cell r="E3228">
            <v>2</v>
          </cell>
          <cell r="F3228" t="str">
            <v>PC</v>
          </cell>
          <cell r="G3228">
            <v>0</v>
          </cell>
        </row>
        <row r="3229">
          <cell r="B3229">
            <v>30909</v>
          </cell>
          <cell r="C3229">
            <v>12950</v>
          </cell>
          <cell r="D3229" t="str">
            <v>PHP</v>
          </cell>
          <cell r="E3229">
            <v>1</v>
          </cell>
          <cell r="F3229" t="str">
            <v>PC</v>
          </cell>
          <cell r="G3229">
            <v>0</v>
          </cell>
        </row>
        <row r="3230">
          <cell r="B3230">
            <v>30911</v>
          </cell>
          <cell r="C3230">
            <v>104650</v>
          </cell>
          <cell r="D3230" t="str">
            <v>PHP</v>
          </cell>
          <cell r="E3230">
            <v>1</v>
          </cell>
          <cell r="F3230" t="str">
            <v>PC</v>
          </cell>
          <cell r="G3230">
            <v>0</v>
          </cell>
        </row>
        <row r="3231">
          <cell r="B3231">
            <v>30915</v>
          </cell>
          <cell r="C3231">
            <v>227284.85</v>
          </cell>
          <cell r="D3231" t="str">
            <v>PHP</v>
          </cell>
          <cell r="E3231">
            <v>5</v>
          </cell>
          <cell r="F3231" t="str">
            <v>PC</v>
          </cell>
          <cell r="G3231">
            <v>0</v>
          </cell>
        </row>
        <row r="3232">
          <cell r="B3232">
            <v>30916</v>
          </cell>
          <cell r="C3232">
            <v>8290.33</v>
          </cell>
          <cell r="D3232" t="str">
            <v>PHP</v>
          </cell>
          <cell r="E3232">
            <v>5</v>
          </cell>
          <cell r="F3232" t="str">
            <v>PC</v>
          </cell>
          <cell r="G3232">
            <v>0</v>
          </cell>
        </row>
        <row r="3233">
          <cell r="B3233">
            <v>30990</v>
          </cell>
          <cell r="C3233">
            <v>7534.65</v>
          </cell>
          <cell r="D3233" t="str">
            <v>PHP</v>
          </cell>
          <cell r="E3233">
            <v>6</v>
          </cell>
          <cell r="F3233" t="str">
            <v>PC</v>
          </cell>
          <cell r="G3233">
            <v>0</v>
          </cell>
        </row>
        <row r="3234">
          <cell r="B3234">
            <v>31009</v>
          </cell>
          <cell r="C3234">
            <v>18062.7</v>
          </cell>
          <cell r="D3234" t="str">
            <v>PHP</v>
          </cell>
          <cell r="E3234">
            <v>15</v>
          </cell>
          <cell r="F3234" t="str">
            <v>PC</v>
          </cell>
          <cell r="G3234">
            <v>0</v>
          </cell>
        </row>
        <row r="3235">
          <cell r="B3235">
            <v>31010</v>
          </cell>
          <cell r="C3235">
            <v>2168.21</v>
          </cell>
          <cell r="D3235" t="str">
            <v>PHP</v>
          </cell>
          <cell r="E3235">
            <v>19</v>
          </cell>
          <cell r="F3235" t="str">
            <v>PC</v>
          </cell>
          <cell r="G3235">
            <v>0</v>
          </cell>
        </row>
        <row r="3236">
          <cell r="B3236">
            <v>31011</v>
          </cell>
          <cell r="C3236">
            <v>29528.55</v>
          </cell>
          <cell r="D3236" t="str">
            <v>PHP</v>
          </cell>
          <cell r="E3236">
            <v>6</v>
          </cell>
          <cell r="F3236" t="str">
            <v>PC</v>
          </cell>
          <cell r="G3236">
            <v>0</v>
          </cell>
        </row>
        <row r="3237">
          <cell r="B3237">
            <v>31037</v>
          </cell>
          <cell r="C3237">
            <v>0</v>
          </cell>
          <cell r="D3237" t="str">
            <v>PHP</v>
          </cell>
          <cell r="E3237">
            <v>0</v>
          </cell>
          <cell r="F3237" t="str">
            <v>QT</v>
          </cell>
          <cell r="G3237">
            <v>0</v>
          </cell>
        </row>
        <row r="3238">
          <cell r="B3238">
            <v>31038</v>
          </cell>
          <cell r="C3238">
            <v>37859.4</v>
          </cell>
          <cell r="D3238" t="str">
            <v>PHP</v>
          </cell>
          <cell r="E3238">
            <v>19</v>
          </cell>
          <cell r="F3238" t="str">
            <v>QT</v>
          </cell>
          <cell r="G3238">
            <v>0</v>
          </cell>
        </row>
        <row r="3239">
          <cell r="B3239">
            <v>31052</v>
          </cell>
          <cell r="C3239">
            <v>3226.66</v>
          </cell>
          <cell r="D3239" t="str">
            <v>PHP</v>
          </cell>
          <cell r="E3239">
            <v>4</v>
          </cell>
          <cell r="F3239" t="str">
            <v>PC</v>
          </cell>
          <cell r="G3239">
            <v>0</v>
          </cell>
        </row>
        <row r="3240">
          <cell r="B3240">
            <v>31061</v>
          </cell>
          <cell r="C3240">
            <v>2327.7199999999998</v>
          </cell>
          <cell r="D3240" t="str">
            <v>PHP</v>
          </cell>
          <cell r="E3240">
            <v>2</v>
          </cell>
          <cell r="F3240" t="str">
            <v>PC</v>
          </cell>
          <cell r="G3240">
            <v>0</v>
          </cell>
        </row>
        <row r="3241">
          <cell r="B3241">
            <v>31062</v>
          </cell>
          <cell r="C3241">
            <v>1087</v>
          </cell>
          <cell r="D3241" t="str">
            <v>PHP</v>
          </cell>
          <cell r="E3241">
            <v>2</v>
          </cell>
          <cell r="F3241" t="str">
            <v>PC</v>
          </cell>
          <cell r="G3241">
            <v>0</v>
          </cell>
        </row>
        <row r="3242">
          <cell r="B3242">
            <v>31063</v>
          </cell>
          <cell r="C3242">
            <v>80.2</v>
          </cell>
          <cell r="D3242" t="str">
            <v>PHP</v>
          </cell>
          <cell r="E3242">
            <v>1</v>
          </cell>
          <cell r="F3242" t="str">
            <v>PC</v>
          </cell>
          <cell r="G3242">
            <v>0</v>
          </cell>
        </row>
        <row r="3243">
          <cell r="B3243">
            <v>31064</v>
          </cell>
          <cell r="C3243">
            <v>88.2</v>
          </cell>
          <cell r="D3243" t="str">
            <v>PHP</v>
          </cell>
          <cell r="E3243">
            <v>1</v>
          </cell>
          <cell r="F3243" t="str">
            <v>PC</v>
          </cell>
          <cell r="G3243">
            <v>0</v>
          </cell>
        </row>
        <row r="3244">
          <cell r="B3244">
            <v>31065</v>
          </cell>
          <cell r="C3244">
            <v>2483</v>
          </cell>
          <cell r="D3244" t="str">
            <v>PHP</v>
          </cell>
          <cell r="E3244">
            <v>1</v>
          </cell>
          <cell r="F3244" t="str">
            <v>PC</v>
          </cell>
          <cell r="G3244">
            <v>0</v>
          </cell>
        </row>
        <row r="3245">
          <cell r="B3245">
            <v>31066</v>
          </cell>
          <cell r="C3245">
            <v>2483</v>
          </cell>
          <cell r="D3245" t="str">
            <v>PHP</v>
          </cell>
          <cell r="E3245">
            <v>1</v>
          </cell>
          <cell r="F3245" t="str">
            <v>PC</v>
          </cell>
          <cell r="G3245">
            <v>0</v>
          </cell>
        </row>
        <row r="3246">
          <cell r="B3246">
            <v>31069</v>
          </cell>
          <cell r="C3246">
            <v>274</v>
          </cell>
          <cell r="D3246" t="str">
            <v>PHP</v>
          </cell>
          <cell r="E3246">
            <v>1</v>
          </cell>
          <cell r="F3246" t="str">
            <v>PC</v>
          </cell>
          <cell r="G3246">
            <v>0</v>
          </cell>
        </row>
        <row r="3247">
          <cell r="B3247">
            <v>31074</v>
          </cell>
          <cell r="C3247">
            <v>1279.23</v>
          </cell>
          <cell r="D3247" t="str">
            <v>PHP</v>
          </cell>
          <cell r="E3247">
            <v>2</v>
          </cell>
          <cell r="F3247" t="str">
            <v>PC</v>
          </cell>
          <cell r="G3247">
            <v>0</v>
          </cell>
        </row>
        <row r="3248">
          <cell r="B3248">
            <v>31076</v>
          </cell>
          <cell r="C3248">
            <v>80</v>
          </cell>
          <cell r="D3248" t="str">
            <v>PHP</v>
          </cell>
          <cell r="E3248">
            <v>2</v>
          </cell>
          <cell r="F3248" t="str">
            <v>PC</v>
          </cell>
          <cell r="G3248">
            <v>0</v>
          </cell>
        </row>
        <row r="3249">
          <cell r="B3249">
            <v>31087</v>
          </cell>
          <cell r="C3249">
            <v>1035.25</v>
          </cell>
          <cell r="D3249" t="str">
            <v>PHP</v>
          </cell>
          <cell r="E3249">
            <v>1</v>
          </cell>
          <cell r="F3249" t="str">
            <v>PC</v>
          </cell>
          <cell r="G3249">
            <v>0</v>
          </cell>
        </row>
        <row r="3250">
          <cell r="B3250">
            <v>31088</v>
          </cell>
          <cell r="C3250">
            <v>235.37</v>
          </cell>
          <cell r="D3250" t="str">
            <v>PHP</v>
          </cell>
          <cell r="E3250">
            <v>2</v>
          </cell>
          <cell r="F3250" t="str">
            <v>PC</v>
          </cell>
          <cell r="G3250">
            <v>0</v>
          </cell>
        </row>
        <row r="3251">
          <cell r="B3251">
            <v>31089</v>
          </cell>
          <cell r="C3251">
            <v>93</v>
          </cell>
          <cell r="D3251" t="str">
            <v>PHP</v>
          </cell>
          <cell r="E3251">
            <v>1</v>
          </cell>
          <cell r="F3251" t="str">
            <v>PC</v>
          </cell>
          <cell r="G3251">
            <v>0</v>
          </cell>
        </row>
        <row r="3252">
          <cell r="B3252">
            <v>31111</v>
          </cell>
          <cell r="C3252">
            <v>7112.25</v>
          </cell>
          <cell r="D3252" t="str">
            <v>PHP</v>
          </cell>
          <cell r="E3252">
            <v>2</v>
          </cell>
          <cell r="F3252" t="str">
            <v>PC</v>
          </cell>
          <cell r="G3252">
            <v>0</v>
          </cell>
        </row>
        <row r="3253">
          <cell r="B3253">
            <v>31125</v>
          </cell>
          <cell r="C3253">
            <v>1049.3800000000001</v>
          </cell>
          <cell r="D3253" t="str">
            <v>PHP</v>
          </cell>
          <cell r="E3253">
            <v>2</v>
          </cell>
          <cell r="F3253" t="str">
            <v>PC</v>
          </cell>
          <cell r="G3253">
            <v>0</v>
          </cell>
        </row>
        <row r="3254">
          <cell r="B3254">
            <v>31126</v>
          </cell>
          <cell r="C3254">
            <v>77.400000000000006</v>
          </cell>
          <cell r="D3254" t="str">
            <v>PHP</v>
          </cell>
          <cell r="E3254">
            <v>2</v>
          </cell>
          <cell r="F3254" t="str">
            <v>PC</v>
          </cell>
          <cell r="G3254">
            <v>0</v>
          </cell>
        </row>
        <row r="3255">
          <cell r="B3255">
            <v>31127</v>
          </cell>
          <cell r="C3255">
            <v>7.5</v>
          </cell>
          <cell r="D3255" t="str">
            <v>PHP</v>
          </cell>
          <cell r="E3255">
            <v>2</v>
          </cell>
          <cell r="F3255" t="str">
            <v>PC</v>
          </cell>
          <cell r="G3255">
            <v>0</v>
          </cell>
        </row>
        <row r="3256">
          <cell r="B3256">
            <v>31128</v>
          </cell>
          <cell r="C3256">
            <v>517.66999999999996</v>
          </cell>
          <cell r="D3256" t="str">
            <v>PHP</v>
          </cell>
          <cell r="E3256">
            <v>2</v>
          </cell>
          <cell r="F3256" t="str">
            <v>PC</v>
          </cell>
          <cell r="G3256">
            <v>0</v>
          </cell>
        </row>
        <row r="3257">
          <cell r="B3257">
            <v>31129</v>
          </cell>
          <cell r="C3257">
            <v>110.43</v>
          </cell>
          <cell r="D3257" t="str">
            <v>PHP</v>
          </cell>
          <cell r="E3257">
            <v>2</v>
          </cell>
          <cell r="F3257" t="str">
            <v>PC</v>
          </cell>
          <cell r="G3257">
            <v>0</v>
          </cell>
        </row>
        <row r="3258">
          <cell r="B3258">
            <v>31130</v>
          </cell>
          <cell r="C3258">
            <v>163.29</v>
          </cell>
          <cell r="D3258" t="str">
            <v>PHP</v>
          </cell>
          <cell r="E3258">
            <v>2</v>
          </cell>
          <cell r="F3258" t="str">
            <v>PC</v>
          </cell>
          <cell r="G3258">
            <v>0</v>
          </cell>
        </row>
        <row r="3259">
          <cell r="B3259">
            <v>31131</v>
          </cell>
          <cell r="C3259">
            <v>203.33</v>
          </cell>
          <cell r="D3259" t="str">
            <v>PHP</v>
          </cell>
          <cell r="E3259">
            <v>4</v>
          </cell>
          <cell r="F3259" t="str">
            <v>PC</v>
          </cell>
          <cell r="G3259">
            <v>0</v>
          </cell>
        </row>
        <row r="3260">
          <cell r="B3260">
            <v>31133</v>
          </cell>
          <cell r="C3260">
            <v>1300</v>
          </cell>
          <cell r="D3260" t="str">
            <v>PHP</v>
          </cell>
          <cell r="E3260">
            <v>1</v>
          </cell>
          <cell r="F3260" t="str">
            <v>PC</v>
          </cell>
          <cell r="G3260">
            <v>0</v>
          </cell>
        </row>
        <row r="3261">
          <cell r="B3261">
            <v>31134</v>
          </cell>
          <cell r="C3261">
            <v>3440</v>
          </cell>
          <cell r="D3261" t="str">
            <v>PHP</v>
          </cell>
          <cell r="E3261">
            <v>1</v>
          </cell>
          <cell r="F3261" t="str">
            <v>PC</v>
          </cell>
          <cell r="G3261">
            <v>0</v>
          </cell>
        </row>
        <row r="3262">
          <cell r="B3262">
            <v>31135</v>
          </cell>
          <cell r="C3262">
            <v>2269.92</v>
          </cell>
          <cell r="D3262" t="str">
            <v>PHP</v>
          </cell>
          <cell r="E3262">
            <v>1</v>
          </cell>
          <cell r="F3262" t="str">
            <v>PC</v>
          </cell>
          <cell r="G3262">
            <v>0</v>
          </cell>
        </row>
        <row r="3263">
          <cell r="B3263">
            <v>31145</v>
          </cell>
          <cell r="C3263">
            <v>4231.6099999999997</v>
          </cell>
          <cell r="D3263" t="str">
            <v>PHP</v>
          </cell>
          <cell r="E3263">
            <v>1</v>
          </cell>
          <cell r="F3263" t="str">
            <v>PC</v>
          </cell>
          <cell r="G3263">
            <v>0</v>
          </cell>
        </row>
        <row r="3264">
          <cell r="B3264">
            <v>31146</v>
          </cell>
          <cell r="C3264">
            <v>2877.99</v>
          </cell>
          <cell r="D3264" t="str">
            <v>PHP</v>
          </cell>
          <cell r="E3264">
            <v>1</v>
          </cell>
          <cell r="F3264" t="str">
            <v>PC</v>
          </cell>
          <cell r="G3264">
            <v>0</v>
          </cell>
        </row>
        <row r="3265">
          <cell r="B3265">
            <v>31147</v>
          </cell>
          <cell r="C3265">
            <v>908</v>
          </cell>
          <cell r="D3265" t="str">
            <v>PHP</v>
          </cell>
          <cell r="E3265">
            <v>2</v>
          </cell>
          <cell r="F3265" t="str">
            <v>PC</v>
          </cell>
          <cell r="G3265">
            <v>0</v>
          </cell>
        </row>
        <row r="3266">
          <cell r="B3266">
            <v>31151</v>
          </cell>
          <cell r="C3266">
            <v>78.180000000000007</v>
          </cell>
          <cell r="D3266" t="str">
            <v>PHP</v>
          </cell>
          <cell r="E3266">
            <v>1</v>
          </cell>
          <cell r="F3266" t="str">
            <v>PC</v>
          </cell>
          <cell r="G3266">
            <v>0</v>
          </cell>
        </row>
        <row r="3267">
          <cell r="B3267">
            <v>31152</v>
          </cell>
          <cell r="C3267">
            <v>1194.3499999999999</v>
          </cell>
          <cell r="D3267" t="str">
            <v>PHP</v>
          </cell>
          <cell r="E3267">
            <v>2</v>
          </cell>
          <cell r="F3267" t="str">
            <v>PC</v>
          </cell>
          <cell r="G3267">
            <v>0</v>
          </cell>
        </row>
        <row r="3268">
          <cell r="B3268">
            <v>31153</v>
          </cell>
          <cell r="C3268">
            <v>456.14</v>
          </cell>
          <cell r="D3268" t="str">
            <v>PHP</v>
          </cell>
          <cell r="E3268">
            <v>2</v>
          </cell>
          <cell r="F3268" t="str">
            <v>PC</v>
          </cell>
          <cell r="G3268">
            <v>0</v>
          </cell>
        </row>
        <row r="3269">
          <cell r="B3269">
            <v>31154</v>
          </cell>
          <cell r="C3269">
            <v>813.88</v>
          </cell>
          <cell r="D3269" t="str">
            <v>PHP</v>
          </cell>
          <cell r="E3269">
            <v>1</v>
          </cell>
          <cell r="F3269" t="str">
            <v>PC</v>
          </cell>
          <cell r="G3269">
            <v>0</v>
          </cell>
        </row>
        <row r="3270">
          <cell r="B3270">
            <v>31167</v>
          </cell>
          <cell r="C3270">
            <v>14835</v>
          </cell>
          <cell r="D3270" t="str">
            <v>PHP</v>
          </cell>
          <cell r="E3270">
            <v>3</v>
          </cell>
          <cell r="F3270" t="str">
            <v>PC</v>
          </cell>
          <cell r="G3270">
            <v>0</v>
          </cell>
        </row>
        <row r="3271">
          <cell r="B3271">
            <v>31168</v>
          </cell>
          <cell r="C3271">
            <v>646.52</v>
          </cell>
          <cell r="D3271" t="str">
            <v>PHP</v>
          </cell>
          <cell r="E3271">
            <v>1</v>
          </cell>
          <cell r="F3271" t="str">
            <v>PC</v>
          </cell>
          <cell r="G3271">
            <v>0</v>
          </cell>
        </row>
        <row r="3272">
          <cell r="B3272">
            <v>31169</v>
          </cell>
          <cell r="C3272">
            <v>4086.11</v>
          </cell>
          <cell r="D3272" t="str">
            <v>PHP</v>
          </cell>
          <cell r="E3272">
            <v>1</v>
          </cell>
          <cell r="F3272" t="str">
            <v>PC</v>
          </cell>
          <cell r="G3272">
            <v>0</v>
          </cell>
        </row>
        <row r="3273">
          <cell r="B3273">
            <v>31170</v>
          </cell>
          <cell r="C3273">
            <v>3826.86</v>
          </cell>
          <cell r="D3273" t="str">
            <v>PHP</v>
          </cell>
          <cell r="E3273">
            <v>1</v>
          </cell>
          <cell r="F3273" t="str">
            <v>PC</v>
          </cell>
          <cell r="G3273">
            <v>0</v>
          </cell>
        </row>
        <row r="3274">
          <cell r="B3274">
            <v>31171</v>
          </cell>
          <cell r="C3274">
            <v>6612.8</v>
          </cell>
          <cell r="D3274" t="str">
            <v>PHP</v>
          </cell>
          <cell r="E3274">
            <v>3</v>
          </cell>
          <cell r="F3274" t="str">
            <v>PC</v>
          </cell>
          <cell r="G3274">
            <v>0</v>
          </cell>
        </row>
        <row r="3275">
          <cell r="B3275">
            <v>31172</v>
          </cell>
          <cell r="C3275">
            <v>1710</v>
          </cell>
          <cell r="D3275" t="str">
            <v>PHP</v>
          </cell>
          <cell r="E3275">
            <v>1</v>
          </cell>
          <cell r="F3275" t="str">
            <v>SET</v>
          </cell>
          <cell r="G3275">
            <v>0</v>
          </cell>
        </row>
        <row r="3276">
          <cell r="B3276">
            <v>31173</v>
          </cell>
          <cell r="C3276">
            <v>8996.5400000000009</v>
          </cell>
          <cell r="D3276" t="str">
            <v>PHP</v>
          </cell>
          <cell r="E3276">
            <v>2</v>
          </cell>
          <cell r="F3276" t="str">
            <v>PC</v>
          </cell>
          <cell r="G3276">
            <v>0</v>
          </cell>
        </row>
        <row r="3277">
          <cell r="B3277">
            <v>31174</v>
          </cell>
          <cell r="C3277">
            <v>9470.35</v>
          </cell>
          <cell r="D3277" t="str">
            <v>PHP</v>
          </cell>
          <cell r="E3277">
            <v>2</v>
          </cell>
          <cell r="F3277" t="str">
            <v>PC</v>
          </cell>
          <cell r="G3277">
            <v>0</v>
          </cell>
        </row>
        <row r="3278">
          <cell r="B3278">
            <v>31175</v>
          </cell>
          <cell r="C3278">
            <v>3158</v>
          </cell>
          <cell r="D3278" t="str">
            <v>PHP</v>
          </cell>
          <cell r="E3278">
            <v>2</v>
          </cell>
          <cell r="F3278" t="str">
            <v>PC</v>
          </cell>
          <cell r="G3278">
            <v>0</v>
          </cell>
        </row>
        <row r="3279">
          <cell r="B3279">
            <v>31181</v>
          </cell>
          <cell r="C3279">
            <v>434.02</v>
          </cell>
          <cell r="D3279" t="str">
            <v>PHP</v>
          </cell>
          <cell r="E3279">
            <v>2</v>
          </cell>
          <cell r="F3279" t="str">
            <v>PC</v>
          </cell>
          <cell r="G3279">
            <v>0</v>
          </cell>
        </row>
        <row r="3280">
          <cell r="B3280">
            <v>31182</v>
          </cell>
          <cell r="C3280">
            <v>51.08</v>
          </cell>
          <cell r="D3280" t="str">
            <v>PHP</v>
          </cell>
          <cell r="E3280">
            <v>2</v>
          </cell>
          <cell r="F3280" t="str">
            <v>PC</v>
          </cell>
          <cell r="G3280">
            <v>0</v>
          </cell>
        </row>
        <row r="3281">
          <cell r="B3281">
            <v>31183</v>
          </cell>
          <cell r="C3281">
            <v>128.99</v>
          </cell>
          <cell r="D3281" t="str">
            <v>PHP</v>
          </cell>
          <cell r="E3281">
            <v>2</v>
          </cell>
          <cell r="F3281" t="str">
            <v>PC</v>
          </cell>
          <cell r="G3281">
            <v>0</v>
          </cell>
        </row>
        <row r="3282">
          <cell r="B3282">
            <v>31285</v>
          </cell>
          <cell r="C3282">
            <v>0</v>
          </cell>
          <cell r="D3282" t="str">
            <v>PHP</v>
          </cell>
          <cell r="E3282">
            <v>0</v>
          </cell>
          <cell r="F3282" t="str">
            <v>PC</v>
          </cell>
          <cell r="G3282">
            <v>0</v>
          </cell>
        </row>
        <row r="3283">
          <cell r="B3283">
            <v>31360</v>
          </cell>
          <cell r="C3283">
            <v>0</v>
          </cell>
          <cell r="D3283" t="str">
            <v>PHP</v>
          </cell>
          <cell r="E3283">
            <v>0</v>
          </cell>
          <cell r="F3283" t="str">
            <v>PC</v>
          </cell>
          <cell r="G3283">
            <v>0</v>
          </cell>
        </row>
        <row r="3284">
          <cell r="B3284">
            <v>31374</v>
          </cell>
          <cell r="C3284">
            <v>3016</v>
          </cell>
          <cell r="D3284" t="str">
            <v>PHP</v>
          </cell>
          <cell r="E3284">
            <v>1</v>
          </cell>
          <cell r="F3284" t="str">
            <v>PC</v>
          </cell>
          <cell r="G3284">
            <v>0</v>
          </cell>
        </row>
        <row r="3285">
          <cell r="B3285">
            <v>31382</v>
          </cell>
          <cell r="C3285">
            <v>0</v>
          </cell>
          <cell r="D3285" t="str">
            <v>PHP</v>
          </cell>
          <cell r="E3285">
            <v>0</v>
          </cell>
          <cell r="F3285" t="str">
            <v>PC</v>
          </cell>
          <cell r="G3285">
            <v>0</v>
          </cell>
        </row>
        <row r="3286">
          <cell r="B3286">
            <v>31408</v>
          </cell>
          <cell r="C3286">
            <v>249</v>
          </cell>
          <cell r="D3286" t="str">
            <v>PHP</v>
          </cell>
          <cell r="E3286">
            <v>1</v>
          </cell>
          <cell r="F3286" t="str">
            <v>PC</v>
          </cell>
          <cell r="G3286">
            <v>0</v>
          </cell>
        </row>
        <row r="3287">
          <cell r="B3287">
            <v>31409</v>
          </cell>
          <cell r="C3287">
            <v>0</v>
          </cell>
          <cell r="D3287" t="str">
            <v>PHP</v>
          </cell>
          <cell r="E3287">
            <v>0</v>
          </cell>
          <cell r="F3287" t="str">
            <v>PC</v>
          </cell>
          <cell r="G3287">
            <v>0</v>
          </cell>
        </row>
        <row r="3288">
          <cell r="B3288">
            <v>31502</v>
          </cell>
          <cell r="C3288">
            <v>60890.93</v>
          </cell>
          <cell r="D3288" t="str">
            <v>PHP</v>
          </cell>
          <cell r="E3288">
            <v>1</v>
          </cell>
          <cell r="F3288" t="str">
            <v>PC</v>
          </cell>
          <cell r="G3288">
            <v>0</v>
          </cell>
        </row>
        <row r="3289">
          <cell r="B3289">
            <v>31503</v>
          </cell>
          <cell r="C3289">
            <v>0</v>
          </cell>
          <cell r="D3289" t="str">
            <v>PHP</v>
          </cell>
          <cell r="E3289">
            <v>0</v>
          </cell>
          <cell r="F3289" t="str">
            <v>PC</v>
          </cell>
          <cell r="G3289">
            <v>0</v>
          </cell>
        </row>
        <row r="3290">
          <cell r="B3290">
            <v>31508</v>
          </cell>
          <cell r="C3290">
            <v>1746.6</v>
          </cell>
          <cell r="D3290" t="str">
            <v>PHP</v>
          </cell>
          <cell r="E3290">
            <v>4</v>
          </cell>
          <cell r="F3290" t="str">
            <v>PC</v>
          </cell>
          <cell r="G3290">
            <v>0</v>
          </cell>
        </row>
        <row r="3291">
          <cell r="B3291">
            <v>31509</v>
          </cell>
          <cell r="C3291">
            <v>474</v>
          </cell>
          <cell r="D3291" t="str">
            <v>PHP</v>
          </cell>
          <cell r="E3291">
            <v>3</v>
          </cell>
          <cell r="F3291" t="str">
            <v>PC</v>
          </cell>
          <cell r="G3291">
            <v>0</v>
          </cell>
        </row>
        <row r="3292">
          <cell r="B3292">
            <v>31510</v>
          </cell>
          <cell r="C3292">
            <v>157.80000000000001</v>
          </cell>
          <cell r="D3292" t="str">
            <v>PHP</v>
          </cell>
          <cell r="E3292">
            <v>6</v>
          </cell>
          <cell r="F3292" t="str">
            <v>PC</v>
          </cell>
          <cell r="G3292">
            <v>0</v>
          </cell>
        </row>
        <row r="3293">
          <cell r="B3293">
            <v>31511</v>
          </cell>
          <cell r="C3293">
            <v>42583.35</v>
          </cell>
          <cell r="D3293" t="str">
            <v>PHP</v>
          </cell>
          <cell r="E3293">
            <v>7</v>
          </cell>
          <cell r="F3293" t="str">
            <v>PC</v>
          </cell>
          <cell r="G3293">
            <v>0</v>
          </cell>
        </row>
        <row r="3294">
          <cell r="B3294">
            <v>31512</v>
          </cell>
          <cell r="C3294">
            <v>5925.37</v>
          </cell>
          <cell r="D3294" t="str">
            <v>PHP</v>
          </cell>
          <cell r="E3294">
            <v>2</v>
          </cell>
          <cell r="F3294" t="str">
            <v>PC</v>
          </cell>
          <cell r="G3294">
            <v>0</v>
          </cell>
        </row>
        <row r="3295">
          <cell r="B3295">
            <v>31513</v>
          </cell>
          <cell r="C3295">
            <v>19858.849999999999</v>
          </cell>
          <cell r="D3295" t="str">
            <v>PHP</v>
          </cell>
          <cell r="E3295">
            <v>5</v>
          </cell>
          <cell r="F3295" t="str">
            <v>PC</v>
          </cell>
          <cell r="G3295">
            <v>0</v>
          </cell>
        </row>
        <row r="3296">
          <cell r="B3296">
            <v>31523</v>
          </cell>
          <cell r="C3296">
            <v>12012</v>
          </cell>
          <cell r="D3296" t="str">
            <v>PHP</v>
          </cell>
          <cell r="E3296">
            <v>7</v>
          </cell>
          <cell r="F3296" t="str">
            <v>PC</v>
          </cell>
          <cell r="G3296">
            <v>0</v>
          </cell>
        </row>
        <row r="3297">
          <cell r="B3297">
            <v>31524</v>
          </cell>
          <cell r="C3297">
            <v>3131.23</v>
          </cell>
          <cell r="D3297" t="str">
            <v>PHP</v>
          </cell>
          <cell r="E3297">
            <v>5</v>
          </cell>
          <cell r="F3297" t="str">
            <v>PC</v>
          </cell>
          <cell r="G3297">
            <v>0</v>
          </cell>
        </row>
        <row r="3298">
          <cell r="B3298">
            <v>31530</v>
          </cell>
          <cell r="C3298">
            <v>4733.6000000000004</v>
          </cell>
          <cell r="D3298" t="str">
            <v>PHP</v>
          </cell>
          <cell r="E3298">
            <v>4</v>
          </cell>
          <cell r="F3298" t="str">
            <v>PC</v>
          </cell>
          <cell r="G3298">
            <v>0</v>
          </cell>
        </row>
        <row r="3299">
          <cell r="B3299">
            <v>31533</v>
          </cell>
          <cell r="C3299">
            <v>393.57</v>
          </cell>
          <cell r="D3299" t="str">
            <v>PHP</v>
          </cell>
          <cell r="E3299">
            <v>23</v>
          </cell>
          <cell r="F3299" t="str">
            <v>PC</v>
          </cell>
          <cell r="G3299">
            <v>0</v>
          </cell>
        </row>
        <row r="3300">
          <cell r="B3300">
            <v>31550</v>
          </cell>
          <cell r="C3300">
            <v>95709.93</v>
          </cell>
          <cell r="D3300" t="str">
            <v>PHP</v>
          </cell>
          <cell r="E3300">
            <v>4</v>
          </cell>
          <cell r="F3300" t="str">
            <v>PC</v>
          </cell>
          <cell r="G3300">
            <v>0</v>
          </cell>
        </row>
        <row r="3301">
          <cell r="B3301">
            <v>31553</v>
          </cell>
          <cell r="C3301">
            <v>80968.11</v>
          </cell>
          <cell r="D3301" t="str">
            <v>PHP</v>
          </cell>
          <cell r="E3301">
            <v>16</v>
          </cell>
          <cell r="F3301" t="str">
            <v>PC</v>
          </cell>
          <cell r="G3301">
            <v>0</v>
          </cell>
        </row>
        <row r="3302">
          <cell r="B3302">
            <v>31569</v>
          </cell>
          <cell r="C3302">
            <v>18720</v>
          </cell>
          <cell r="D3302" t="str">
            <v>PHP</v>
          </cell>
          <cell r="E3302">
            <v>16</v>
          </cell>
          <cell r="F3302" t="str">
            <v>PC</v>
          </cell>
          <cell r="G3302">
            <v>0</v>
          </cell>
        </row>
        <row r="3303">
          <cell r="B3303">
            <v>31570</v>
          </cell>
          <cell r="C3303">
            <v>17071.54</v>
          </cell>
          <cell r="D3303" t="str">
            <v>PHP</v>
          </cell>
          <cell r="E3303">
            <v>24</v>
          </cell>
          <cell r="F3303" t="str">
            <v>PC</v>
          </cell>
          <cell r="G3303">
            <v>0</v>
          </cell>
        </row>
        <row r="3304">
          <cell r="B3304">
            <v>31571</v>
          </cell>
          <cell r="C3304">
            <v>9474.43</v>
          </cell>
          <cell r="D3304" t="str">
            <v>PHP</v>
          </cell>
          <cell r="E3304">
            <v>27</v>
          </cell>
          <cell r="F3304" t="str">
            <v>PC</v>
          </cell>
          <cell r="G3304">
            <v>0</v>
          </cell>
        </row>
        <row r="3305">
          <cell r="B3305">
            <v>31572</v>
          </cell>
          <cell r="C3305">
            <v>11745.4</v>
          </cell>
          <cell r="D3305" t="str">
            <v>PHP</v>
          </cell>
          <cell r="E3305">
            <v>22</v>
          </cell>
          <cell r="F3305" t="str">
            <v>PC</v>
          </cell>
          <cell r="G3305">
            <v>0</v>
          </cell>
        </row>
        <row r="3306">
          <cell r="B3306">
            <v>31573</v>
          </cell>
          <cell r="C3306">
            <v>5458.03</v>
          </cell>
          <cell r="D3306" t="str">
            <v>PHP</v>
          </cell>
          <cell r="E3306">
            <v>5</v>
          </cell>
          <cell r="F3306" t="str">
            <v>PC</v>
          </cell>
          <cell r="G3306">
            <v>0</v>
          </cell>
        </row>
        <row r="3307">
          <cell r="B3307">
            <v>31574</v>
          </cell>
          <cell r="C3307">
            <v>86812.95</v>
          </cell>
          <cell r="D3307" t="str">
            <v>PHP</v>
          </cell>
          <cell r="E3307">
            <v>18</v>
          </cell>
          <cell r="F3307" t="str">
            <v>PC</v>
          </cell>
          <cell r="G3307">
            <v>0</v>
          </cell>
        </row>
        <row r="3308">
          <cell r="B3308">
            <v>31575</v>
          </cell>
          <cell r="C3308">
            <v>2414</v>
          </cell>
          <cell r="D3308" t="str">
            <v>PHP</v>
          </cell>
          <cell r="E3308">
            <v>2</v>
          </cell>
          <cell r="F3308" t="str">
            <v>PC</v>
          </cell>
          <cell r="G3308">
            <v>0</v>
          </cell>
        </row>
        <row r="3309">
          <cell r="B3309">
            <v>31576</v>
          </cell>
          <cell r="C3309">
            <v>8146.1</v>
          </cell>
          <cell r="D3309" t="str">
            <v>PHP</v>
          </cell>
          <cell r="E3309">
            <v>16</v>
          </cell>
          <cell r="F3309" t="str">
            <v>PC</v>
          </cell>
          <cell r="G3309">
            <v>0</v>
          </cell>
        </row>
        <row r="3310">
          <cell r="B3310">
            <v>31577</v>
          </cell>
          <cell r="C3310">
            <v>7038.13</v>
          </cell>
          <cell r="D3310" t="str">
            <v>PHP</v>
          </cell>
          <cell r="E3310">
            <v>11</v>
          </cell>
          <cell r="F3310" t="str">
            <v>PC</v>
          </cell>
          <cell r="G3310">
            <v>0</v>
          </cell>
        </row>
        <row r="3311">
          <cell r="B3311">
            <v>31578</v>
          </cell>
          <cell r="C3311">
            <v>11967.51</v>
          </cell>
          <cell r="D3311" t="str">
            <v>PHP</v>
          </cell>
          <cell r="E3311">
            <v>15</v>
          </cell>
          <cell r="F3311" t="str">
            <v>PC</v>
          </cell>
          <cell r="G3311">
            <v>0</v>
          </cell>
        </row>
        <row r="3312">
          <cell r="B3312">
            <v>31585</v>
          </cell>
          <cell r="C3312">
            <v>0</v>
          </cell>
          <cell r="D3312" t="str">
            <v>PHP</v>
          </cell>
          <cell r="E3312">
            <v>0</v>
          </cell>
          <cell r="F3312" t="str">
            <v>PC</v>
          </cell>
          <cell r="G3312">
            <v>0</v>
          </cell>
        </row>
        <row r="3313">
          <cell r="B3313">
            <v>31592</v>
          </cell>
          <cell r="C3313">
            <v>0</v>
          </cell>
          <cell r="D3313" t="str">
            <v>PHP</v>
          </cell>
          <cell r="E3313">
            <v>0</v>
          </cell>
          <cell r="F3313" t="str">
            <v>PC</v>
          </cell>
          <cell r="G3313">
            <v>0</v>
          </cell>
        </row>
        <row r="3314">
          <cell r="B3314">
            <v>31833</v>
          </cell>
          <cell r="C3314">
            <v>13578.41</v>
          </cell>
          <cell r="D3314" t="str">
            <v>PHP</v>
          </cell>
          <cell r="E3314">
            <v>34</v>
          </cell>
          <cell r="F3314" t="str">
            <v>PC</v>
          </cell>
          <cell r="G3314">
            <v>0</v>
          </cell>
        </row>
        <row r="3315">
          <cell r="B3315">
            <v>31875</v>
          </cell>
          <cell r="C3315">
            <v>200599.3</v>
          </cell>
          <cell r="D3315" t="str">
            <v>PHP</v>
          </cell>
          <cell r="E3315">
            <v>1</v>
          </cell>
          <cell r="F3315" t="str">
            <v>PC</v>
          </cell>
          <cell r="G3315">
            <v>0</v>
          </cell>
        </row>
        <row r="3316">
          <cell r="B3316">
            <v>31923</v>
          </cell>
          <cell r="C3316">
            <v>667.88</v>
          </cell>
          <cell r="D3316" t="str">
            <v>PHP</v>
          </cell>
          <cell r="E3316">
            <v>1</v>
          </cell>
          <cell r="F3316" t="str">
            <v>PC</v>
          </cell>
          <cell r="G3316">
            <v>0</v>
          </cell>
        </row>
        <row r="3317">
          <cell r="B3317">
            <v>31971</v>
          </cell>
          <cell r="C3317">
            <v>45118.2</v>
          </cell>
          <cell r="D3317" t="str">
            <v>PHP</v>
          </cell>
          <cell r="E3317">
            <v>14</v>
          </cell>
          <cell r="F3317" t="str">
            <v>PC</v>
          </cell>
          <cell r="G3317">
            <v>0</v>
          </cell>
        </row>
        <row r="3318">
          <cell r="B3318">
            <v>31972</v>
          </cell>
          <cell r="C3318">
            <v>16.2</v>
          </cell>
          <cell r="D3318" t="str">
            <v>PHP</v>
          </cell>
          <cell r="E3318">
            <v>2</v>
          </cell>
          <cell r="F3318" t="str">
            <v>PC</v>
          </cell>
          <cell r="G3318">
            <v>0</v>
          </cell>
        </row>
        <row r="3319">
          <cell r="B3319">
            <v>31976</v>
          </cell>
          <cell r="C3319">
            <v>201745</v>
          </cell>
          <cell r="D3319" t="str">
            <v>PHP</v>
          </cell>
          <cell r="E3319">
            <v>1</v>
          </cell>
          <cell r="F3319" t="str">
            <v>PC</v>
          </cell>
          <cell r="G3319">
            <v>0</v>
          </cell>
        </row>
        <row r="3320">
          <cell r="B3320">
            <v>31977</v>
          </cell>
          <cell r="C3320">
            <v>728204.66</v>
          </cell>
          <cell r="D3320" t="str">
            <v>PHP</v>
          </cell>
          <cell r="E3320">
            <v>2</v>
          </cell>
          <cell r="F3320" t="str">
            <v>ASY</v>
          </cell>
          <cell r="G3320">
            <v>0</v>
          </cell>
        </row>
        <row r="3321">
          <cell r="B3321">
            <v>31985</v>
          </cell>
          <cell r="C3321">
            <v>1265.56</v>
          </cell>
          <cell r="D3321" t="str">
            <v>PHP</v>
          </cell>
          <cell r="E3321">
            <v>42</v>
          </cell>
          <cell r="F3321" t="str">
            <v>PC</v>
          </cell>
          <cell r="G3321">
            <v>0</v>
          </cell>
        </row>
        <row r="3322">
          <cell r="B3322">
            <v>31986</v>
          </cell>
          <cell r="C3322">
            <v>5747.95</v>
          </cell>
          <cell r="D3322" t="str">
            <v>PHP</v>
          </cell>
          <cell r="E3322">
            <v>2</v>
          </cell>
          <cell r="F3322" t="str">
            <v>PC</v>
          </cell>
          <cell r="G3322">
            <v>0</v>
          </cell>
        </row>
        <row r="3323">
          <cell r="B3323">
            <v>31993</v>
          </cell>
          <cell r="C3323">
            <v>32721.23</v>
          </cell>
          <cell r="D3323" t="str">
            <v>PHP</v>
          </cell>
          <cell r="E3323">
            <v>138</v>
          </cell>
          <cell r="F3323" t="str">
            <v>PC</v>
          </cell>
          <cell r="G3323">
            <v>0</v>
          </cell>
        </row>
        <row r="3324">
          <cell r="B3324">
            <v>31995</v>
          </cell>
          <cell r="C3324">
            <v>154.83000000000001</v>
          </cell>
          <cell r="D3324" t="str">
            <v>PHP</v>
          </cell>
          <cell r="E3324">
            <v>1</v>
          </cell>
          <cell r="F3324" t="str">
            <v>PC</v>
          </cell>
          <cell r="G3324">
            <v>0</v>
          </cell>
        </row>
        <row r="3325">
          <cell r="B3325">
            <v>32000</v>
          </cell>
          <cell r="C3325">
            <v>2173.02</v>
          </cell>
          <cell r="D3325" t="str">
            <v>PHP</v>
          </cell>
          <cell r="E3325">
            <v>8</v>
          </cell>
          <cell r="F3325" t="str">
            <v>PC</v>
          </cell>
          <cell r="G3325">
            <v>0</v>
          </cell>
        </row>
        <row r="3326">
          <cell r="B3326">
            <v>32005</v>
          </cell>
          <cell r="C3326">
            <v>399.54</v>
          </cell>
          <cell r="D3326" t="str">
            <v>PHP</v>
          </cell>
          <cell r="E3326">
            <v>13</v>
          </cell>
          <cell r="F3326" t="str">
            <v>PC</v>
          </cell>
          <cell r="G3326">
            <v>0</v>
          </cell>
        </row>
        <row r="3327">
          <cell r="B3327">
            <v>32006</v>
          </cell>
          <cell r="C3327">
            <v>34.51</v>
          </cell>
          <cell r="D3327" t="str">
            <v>PHP</v>
          </cell>
          <cell r="E3327">
            <v>1</v>
          </cell>
          <cell r="F3327" t="str">
            <v>PC</v>
          </cell>
          <cell r="G3327">
            <v>0</v>
          </cell>
        </row>
        <row r="3328">
          <cell r="B3328">
            <v>32007</v>
          </cell>
          <cell r="C3328">
            <v>239.54</v>
          </cell>
          <cell r="D3328" t="str">
            <v>PHP</v>
          </cell>
          <cell r="E3328">
            <v>10</v>
          </cell>
          <cell r="F3328" t="str">
            <v>PC</v>
          </cell>
          <cell r="G3328">
            <v>0</v>
          </cell>
        </row>
        <row r="3329">
          <cell r="B3329">
            <v>32008</v>
          </cell>
          <cell r="C3329">
            <v>730.73</v>
          </cell>
          <cell r="D3329" t="str">
            <v>PHP</v>
          </cell>
          <cell r="E3329">
            <v>2</v>
          </cell>
          <cell r="F3329" t="str">
            <v>PAA</v>
          </cell>
          <cell r="G3329">
            <v>0</v>
          </cell>
        </row>
        <row r="3330">
          <cell r="B3330">
            <v>32009</v>
          </cell>
          <cell r="C3330">
            <v>976.73</v>
          </cell>
          <cell r="D3330" t="str">
            <v>PHP</v>
          </cell>
          <cell r="E3330">
            <v>5</v>
          </cell>
          <cell r="F3330" t="str">
            <v>PC</v>
          </cell>
          <cell r="G3330">
            <v>0</v>
          </cell>
        </row>
        <row r="3331">
          <cell r="B3331">
            <v>32011</v>
          </cell>
          <cell r="C3331">
            <v>18312.45</v>
          </cell>
          <cell r="D3331" t="str">
            <v>PHP</v>
          </cell>
          <cell r="E3331">
            <v>7</v>
          </cell>
          <cell r="F3331" t="str">
            <v>PC</v>
          </cell>
          <cell r="G3331">
            <v>0</v>
          </cell>
        </row>
        <row r="3332">
          <cell r="B3332">
            <v>32018</v>
          </cell>
          <cell r="C3332">
            <v>6536.22</v>
          </cell>
          <cell r="D3332" t="str">
            <v>PHP</v>
          </cell>
          <cell r="E3332">
            <v>1</v>
          </cell>
          <cell r="F3332" t="str">
            <v>PC</v>
          </cell>
          <cell r="G3332">
            <v>0</v>
          </cell>
        </row>
        <row r="3333">
          <cell r="B3333">
            <v>32032</v>
          </cell>
          <cell r="C3333">
            <v>384.73</v>
          </cell>
          <cell r="D3333" t="str">
            <v>PHP</v>
          </cell>
          <cell r="E3333">
            <v>6</v>
          </cell>
          <cell r="F3333" t="str">
            <v>PC</v>
          </cell>
          <cell r="G3333">
            <v>0</v>
          </cell>
        </row>
        <row r="3334">
          <cell r="B3334">
            <v>32034</v>
          </cell>
          <cell r="C3334">
            <v>5444.47</v>
          </cell>
          <cell r="D3334" t="str">
            <v>PHP</v>
          </cell>
          <cell r="E3334">
            <v>13</v>
          </cell>
          <cell r="F3334" t="str">
            <v>PC</v>
          </cell>
          <cell r="G3334">
            <v>0</v>
          </cell>
        </row>
        <row r="3335">
          <cell r="B3335">
            <v>32044</v>
          </cell>
          <cell r="C3335">
            <v>134736.65</v>
          </cell>
          <cell r="D3335" t="str">
            <v>PHP</v>
          </cell>
          <cell r="E3335">
            <v>1</v>
          </cell>
          <cell r="F3335" t="str">
            <v>PC</v>
          </cell>
          <cell r="G3335">
            <v>0</v>
          </cell>
        </row>
        <row r="3336">
          <cell r="B3336">
            <v>32047</v>
          </cell>
          <cell r="C3336">
            <v>1670</v>
          </cell>
          <cell r="D3336" t="str">
            <v>PHP</v>
          </cell>
          <cell r="E3336">
            <v>1</v>
          </cell>
          <cell r="F3336" t="str">
            <v>PC</v>
          </cell>
          <cell r="G3336">
            <v>0</v>
          </cell>
        </row>
        <row r="3337">
          <cell r="B3337">
            <v>32048</v>
          </cell>
          <cell r="C3337">
            <v>20635.14</v>
          </cell>
          <cell r="D3337" t="str">
            <v>PHP</v>
          </cell>
          <cell r="E3337">
            <v>12</v>
          </cell>
          <cell r="F3337" t="str">
            <v>PC</v>
          </cell>
          <cell r="G3337">
            <v>0</v>
          </cell>
        </row>
        <row r="3338">
          <cell r="B3338">
            <v>32049</v>
          </cell>
          <cell r="C3338">
            <v>3173.33</v>
          </cell>
          <cell r="D3338" t="str">
            <v>PHP</v>
          </cell>
          <cell r="E3338">
            <v>3</v>
          </cell>
          <cell r="F3338" t="str">
            <v>PC</v>
          </cell>
          <cell r="G3338">
            <v>0</v>
          </cell>
        </row>
        <row r="3339">
          <cell r="B3339">
            <v>32052</v>
          </cell>
          <cell r="C3339">
            <v>81200</v>
          </cell>
          <cell r="D3339" t="str">
            <v>PHP</v>
          </cell>
          <cell r="E3339">
            <v>1</v>
          </cell>
          <cell r="F3339" t="str">
            <v>PC</v>
          </cell>
          <cell r="G3339">
            <v>0</v>
          </cell>
        </row>
        <row r="3340">
          <cell r="B3340">
            <v>32060</v>
          </cell>
          <cell r="C3340">
            <v>74457.5</v>
          </cell>
          <cell r="D3340" t="str">
            <v>PHP</v>
          </cell>
          <cell r="E3340">
            <v>1</v>
          </cell>
          <cell r="F3340" t="str">
            <v>PC</v>
          </cell>
          <cell r="G3340">
            <v>0</v>
          </cell>
        </row>
        <row r="3341">
          <cell r="B3341">
            <v>32073</v>
          </cell>
          <cell r="C3341">
            <v>85518.080000000002</v>
          </cell>
          <cell r="D3341" t="str">
            <v>PHP</v>
          </cell>
          <cell r="E3341">
            <v>1</v>
          </cell>
          <cell r="F3341" t="str">
            <v>ASY</v>
          </cell>
          <cell r="G3341">
            <v>0</v>
          </cell>
        </row>
        <row r="3342">
          <cell r="B3342">
            <v>32074</v>
          </cell>
          <cell r="C3342">
            <v>22630.799999999999</v>
          </cell>
          <cell r="D3342" t="str">
            <v>PHP</v>
          </cell>
          <cell r="E3342">
            <v>1</v>
          </cell>
          <cell r="F3342" t="str">
            <v>ASY</v>
          </cell>
          <cell r="G3342">
            <v>0</v>
          </cell>
        </row>
        <row r="3343">
          <cell r="B3343">
            <v>32084</v>
          </cell>
          <cell r="C3343">
            <v>101830</v>
          </cell>
          <cell r="D3343" t="str">
            <v>PHP</v>
          </cell>
          <cell r="E3343">
            <v>1</v>
          </cell>
          <cell r="F3343" t="str">
            <v>ASY</v>
          </cell>
          <cell r="G3343">
            <v>0</v>
          </cell>
        </row>
        <row r="3344">
          <cell r="B3344">
            <v>32098</v>
          </cell>
          <cell r="C3344">
            <v>6708.76</v>
          </cell>
          <cell r="D3344" t="str">
            <v>PHP</v>
          </cell>
          <cell r="E3344">
            <v>2</v>
          </cell>
          <cell r="F3344" t="str">
            <v>ASY</v>
          </cell>
          <cell r="G3344">
            <v>0</v>
          </cell>
        </row>
        <row r="3345">
          <cell r="B3345">
            <v>32103</v>
          </cell>
          <cell r="C3345">
            <v>192860</v>
          </cell>
          <cell r="D3345" t="str">
            <v>PHP</v>
          </cell>
          <cell r="E3345">
            <v>2</v>
          </cell>
          <cell r="F3345" t="str">
            <v>PC</v>
          </cell>
          <cell r="G3345">
            <v>0</v>
          </cell>
        </row>
        <row r="3346">
          <cell r="B3346">
            <v>32132</v>
          </cell>
          <cell r="C3346">
            <v>310.22000000000003</v>
          </cell>
          <cell r="D3346" t="str">
            <v>PHP</v>
          </cell>
          <cell r="E3346">
            <v>1</v>
          </cell>
          <cell r="F3346" t="str">
            <v>PC</v>
          </cell>
          <cell r="G3346">
            <v>0</v>
          </cell>
        </row>
        <row r="3347">
          <cell r="B3347">
            <v>32151</v>
          </cell>
          <cell r="C3347">
            <v>5025.5200000000004</v>
          </cell>
          <cell r="D3347" t="str">
            <v>PHP</v>
          </cell>
          <cell r="E3347">
            <v>2</v>
          </cell>
          <cell r="F3347" t="str">
            <v>ASY</v>
          </cell>
          <cell r="G3347">
            <v>0</v>
          </cell>
        </row>
        <row r="3348">
          <cell r="B3348">
            <v>32152</v>
          </cell>
          <cell r="C3348">
            <v>9260.2999999999993</v>
          </cell>
          <cell r="D3348" t="str">
            <v>PHP</v>
          </cell>
          <cell r="E3348">
            <v>3</v>
          </cell>
          <cell r="F3348" t="str">
            <v>ASY</v>
          </cell>
          <cell r="G3348">
            <v>0</v>
          </cell>
        </row>
        <row r="3349">
          <cell r="B3349">
            <v>32622</v>
          </cell>
          <cell r="C3349">
            <v>26750.31</v>
          </cell>
          <cell r="D3349" t="str">
            <v>PHP</v>
          </cell>
          <cell r="E3349">
            <v>40</v>
          </cell>
          <cell r="F3349" t="str">
            <v>PC</v>
          </cell>
          <cell r="G3349">
            <v>0</v>
          </cell>
        </row>
        <row r="3350">
          <cell r="B3350">
            <v>32752</v>
          </cell>
          <cell r="C3350">
            <v>6800</v>
          </cell>
          <cell r="D3350" t="str">
            <v>PHP</v>
          </cell>
          <cell r="E3350">
            <v>2</v>
          </cell>
          <cell r="F3350" t="str">
            <v>SET</v>
          </cell>
          <cell r="G3350">
            <v>0</v>
          </cell>
        </row>
        <row r="3351">
          <cell r="B3351">
            <v>33497</v>
          </cell>
          <cell r="C3351">
            <v>0</v>
          </cell>
          <cell r="D3351" t="str">
            <v>PHP</v>
          </cell>
          <cell r="E3351">
            <v>0</v>
          </cell>
          <cell r="F3351" t="str">
            <v>ASY</v>
          </cell>
          <cell r="G3351">
            <v>0</v>
          </cell>
        </row>
        <row r="3352">
          <cell r="B3352">
            <v>33680</v>
          </cell>
          <cell r="C3352">
            <v>0</v>
          </cell>
          <cell r="D3352" t="str">
            <v>PHP</v>
          </cell>
          <cell r="E3352">
            <v>0</v>
          </cell>
          <cell r="F3352" t="str">
            <v>PC</v>
          </cell>
          <cell r="G3352">
            <v>0</v>
          </cell>
        </row>
        <row r="3353">
          <cell r="B3353">
            <v>33681</v>
          </cell>
          <cell r="C3353">
            <v>0</v>
          </cell>
          <cell r="D3353" t="str">
            <v>PHP</v>
          </cell>
          <cell r="E3353">
            <v>0</v>
          </cell>
          <cell r="F3353" t="str">
            <v>PC</v>
          </cell>
          <cell r="G3353">
            <v>0</v>
          </cell>
        </row>
        <row r="3354">
          <cell r="B3354">
            <v>33682</v>
          </cell>
          <cell r="C3354">
            <v>0</v>
          </cell>
          <cell r="D3354" t="str">
            <v>PHP</v>
          </cell>
          <cell r="E3354">
            <v>0</v>
          </cell>
          <cell r="F3354" t="str">
            <v>PC</v>
          </cell>
          <cell r="G3354">
            <v>0</v>
          </cell>
        </row>
        <row r="3355">
          <cell r="B3355">
            <v>33683</v>
          </cell>
          <cell r="C3355">
            <v>0</v>
          </cell>
          <cell r="D3355" t="str">
            <v>PHP</v>
          </cell>
          <cell r="E3355">
            <v>0</v>
          </cell>
          <cell r="F3355" t="str">
            <v>PC</v>
          </cell>
          <cell r="G3355">
            <v>0</v>
          </cell>
        </row>
        <row r="3356">
          <cell r="B3356">
            <v>33684</v>
          </cell>
          <cell r="C3356">
            <v>0</v>
          </cell>
          <cell r="D3356" t="str">
            <v>PHP</v>
          </cell>
          <cell r="E3356">
            <v>0</v>
          </cell>
          <cell r="F3356" t="str">
            <v>PC</v>
          </cell>
          <cell r="G3356">
            <v>0</v>
          </cell>
        </row>
        <row r="3357">
          <cell r="B3357">
            <v>33685</v>
          </cell>
          <cell r="C3357">
            <v>0</v>
          </cell>
          <cell r="D3357" t="str">
            <v>PHP</v>
          </cell>
          <cell r="E3357">
            <v>0</v>
          </cell>
          <cell r="F3357" t="str">
            <v>PC</v>
          </cell>
          <cell r="G3357">
            <v>0</v>
          </cell>
        </row>
        <row r="3358">
          <cell r="B3358">
            <v>33686</v>
          </cell>
          <cell r="C3358">
            <v>0</v>
          </cell>
          <cell r="D3358" t="str">
            <v>PHP</v>
          </cell>
          <cell r="E3358">
            <v>0</v>
          </cell>
          <cell r="F3358" t="str">
            <v>PC</v>
          </cell>
          <cell r="G3358">
            <v>0</v>
          </cell>
        </row>
        <row r="3359">
          <cell r="B3359">
            <v>33687</v>
          </cell>
          <cell r="C3359">
            <v>0</v>
          </cell>
          <cell r="D3359" t="str">
            <v>PHP</v>
          </cell>
          <cell r="E3359">
            <v>0</v>
          </cell>
          <cell r="F3359" t="str">
            <v>PC</v>
          </cell>
          <cell r="G3359">
            <v>0</v>
          </cell>
        </row>
        <row r="3360">
          <cell r="B3360">
            <v>33688</v>
          </cell>
          <cell r="C3360">
            <v>0</v>
          </cell>
          <cell r="D3360" t="str">
            <v>PHP</v>
          </cell>
          <cell r="E3360">
            <v>0</v>
          </cell>
          <cell r="F3360" t="str">
            <v>PC</v>
          </cell>
          <cell r="G3360">
            <v>0</v>
          </cell>
        </row>
        <row r="3361">
          <cell r="B3361">
            <v>33689</v>
          </cell>
          <cell r="C3361">
            <v>0</v>
          </cell>
          <cell r="D3361" t="str">
            <v>PHP</v>
          </cell>
          <cell r="E3361">
            <v>0</v>
          </cell>
          <cell r="F3361" t="str">
            <v>PC</v>
          </cell>
          <cell r="G3361">
            <v>0</v>
          </cell>
        </row>
        <row r="3362">
          <cell r="B3362">
            <v>33690</v>
          </cell>
          <cell r="C3362">
            <v>0</v>
          </cell>
          <cell r="D3362" t="str">
            <v>PHP</v>
          </cell>
          <cell r="E3362">
            <v>0</v>
          </cell>
          <cell r="F3362" t="str">
            <v>PC</v>
          </cell>
          <cell r="G3362">
            <v>0</v>
          </cell>
        </row>
        <row r="3363">
          <cell r="B3363">
            <v>33691</v>
          </cell>
          <cell r="C3363">
            <v>0</v>
          </cell>
          <cell r="D3363" t="str">
            <v>PHP</v>
          </cell>
          <cell r="E3363">
            <v>0</v>
          </cell>
          <cell r="F3363" t="str">
            <v>PC</v>
          </cell>
          <cell r="G3363">
            <v>0</v>
          </cell>
        </row>
        <row r="3364">
          <cell r="B3364">
            <v>33693</v>
          </cell>
          <cell r="C3364">
            <v>0</v>
          </cell>
          <cell r="D3364" t="str">
            <v>PHP</v>
          </cell>
          <cell r="E3364">
            <v>0</v>
          </cell>
          <cell r="F3364" t="str">
            <v>PC</v>
          </cell>
          <cell r="G3364">
            <v>0</v>
          </cell>
        </row>
        <row r="3365">
          <cell r="B3365">
            <v>33694</v>
          </cell>
          <cell r="C3365">
            <v>0</v>
          </cell>
          <cell r="D3365" t="str">
            <v>PHP</v>
          </cell>
          <cell r="E3365">
            <v>0</v>
          </cell>
          <cell r="F3365" t="str">
            <v>PC</v>
          </cell>
          <cell r="G3365">
            <v>0</v>
          </cell>
        </row>
        <row r="3366">
          <cell r="B3366">
            <v>33695</v>
          </cell>
          <cell r="C3366">
            <v>0</v>
          </cell>
          <cell r="D3366" t="str">
            <v>PHP</v>
          </cell>
          <cell r="E3366">
            <v>0</v>
          </cell>
          <cell r="F3366" t="str">
            <v>PC</v>
          </cell>
          <cell r="G3366">
            <v>0</v>
          </cell>
        </row>
        <row r="3367">
          <cell r="B3367">
            <v>33696</v>
          </cell>
          <cell r="C3367">
            <v>0</v>
          </cell>
          <cell r="D3367" t="str">
            <v>PHP</v>
          </cell>
          <cell r="E3367">
            <v>0</v>
          </cell>
          <cell r="F3367" t="str">
            <v>PC</v>
          </cell>
          <cell r="G3367">
            <v>0</v>
          </cell>
        </row>
        <row r="3368">
          <cell r="B3368">
            <v>33697</v>
          </cell>
          <cell r="C3368">
            <v>0</v>
          </cell>
          <cell r="D3368" t="str">
            <v>PHP</v>
          </cell>
          <cell r="E3368">
            <v>0</v>
          </cell>
          <cell r="F3368" t="str">
            <v>PC</v>
          </cell>
          <cell r="G3368">
            <v>0</v>
          </cell>
        </row>
        <row r="3369">
          <cell r="B3369">
            <v>33698</v>
          </cell>
          <cell r="C3369">
            <v>0</v>
          </cell>
          <cell r="D3369" t="str">
            <v>PHP</v>
          </cell>
          <cell r="E3369">
            <v>0</v>
          </cell>
          <cell r="F3369" t="str">
            <v>PC</v>
          </cell>
          <cell r="G3369">
            <v>0</v>
          </cell>
        </row>
        <row r="3370">
          <cell r="B3370">
            <v>33699</v>
          </cell>
          <cell r="C3370">
            <v>0</v>
          </cell>
          <cell r="D3370" t="str">
            <v>PHP</v>
          </cell>
          <cell r="E3370">
            <v>0</v>
          </cell>
          <cell r="F3370" t="str">
            <v>PC</v>
          </cell>
          <cell r="G3370">
            <v>0</v>
          </cell>
        </row>
        <row r="3371">
          <cell r="B3371">
            <v>33700</v>
          </cell>
          <cell r="C3371">
            <v>0</v>
          </cell>
          <cell r="D3371" t="str">
            <v>PHP</v>
          </cell>
          <cell r="E3371">
            <v>0</v>
          </cell>
          <cell r="F3371" t="str">
            <v>PC</v>
          </cell>
          <cell r="G3371">
            <v>0</v>
          </cell>
        </row>
        <row r="3372">
          <cell r="B3372">
            <v>33701</v>
          </cell>
          <cell r="C3372">
            <v>0</v>
          </cell>
          <cell r="D3372" t="str">
            <v>PHP</v>
          </cell>
          <cell r="E3372">
            <v>0</v>
          </cell>
          <cell r="F3372" t="str">
            <v>PC</v>
          </cell>
          <cell r="G3372">
            <v>0</v>
          </cell>
        </row>
        <row r="3373">
          <cell r="B3373">
            <v>33703</v>
          </cell>
          <cell r="C3373">
            <v>0</v>
          </cell>
          <cell r="D3373" t="str">
            <v>PHP</v>
          </cell>
          <cell r="E3373">
            <v>0</v>
          </cell>
          <cell r="F3373" t="str">
            <v>PC</v>
          </cell>
          <cell r="G3373">
            <v>0</v>
          </cell>
        </row>
        <row r="3374">
          <cell r="B3374">
            <v>33704</v>
          </cell>
          <cell r="C3374">
            <v>0</v>
          </cell>
          <cell r="D3374" t="str">
            <v>PHP</v>
          </cell>
          <cell r="E3374">
            <v>0</v>
          </cell>
          <cell r="F3374" t="str">
            <v>PC</v>
          </cell>
          <cell r="G3374">
            <v>0</v>
          </cell>
        </row>
        <row r="3375">
          <cell r="B3375">
            <v>33705</v>
          </cell>
          <cell r="C3375">
            <v>0</v>
          </cell>
          <cell r="D3375" t="str">
            <v>PHP</v>
          </cell>
          <cell r="E3375">
            <v>0</v>
          </cell>
          <cell r="F3375" t="str">
            <v>PC</v>
          </cell>
          <cell r="G3375">
            <v>0</v>
          </cell>
        </row>
        <row r="3376">
          <cell r="B3376">
            <v>33706</v>
          </cell>
          <cell r="C3376">
            <v>6815.4</v>
          </cell>
          <cell r="D3376" t="str">
            <v>PHP</v>
          </cell>
          <cell r="E3376">
            <v>3</v>
          </cell>
          <cell r="F3376" t="str">
            <v>PC</v>
          </cell>
          <cell r="G3376">
            <v>0</v>
          </cell>
        </row>
        <row r="3377">
          <cell r="B3377">
            <v>33707</v>
          </cell>
          <cell r="C3377">
            <v>11782.77</v>
          </cell>
          <cell r="D3377" t="str">
            <v>PHP</v>
          </cell>
          <cell r="E3377">
            <v>4</v>
          </cell>
          <cell r="F3377" t="str">
            <v>PC</v>
          </cell>
          <cell r="G3377">
            <v>0</v>
          </cell>
        </row>
        <row r="3378">
          <cell r="B3378">
            <v>33708</v>
          </cell>
          <cell r="C3378">
            <v>0</v>
          </cell>
          <cell r="D3378" t="str">
            <v>PHP</v>
          </cell>
          <cell r="E3378">
            <v>0</v>
          </cell>
          <cell r="F3378" t="str">
            <v>PC</v>
          </cell>
          <cell r="G3378">
            <v>0</v>
          </cell>
        </row>
        <row r="3379">
          <cell r="B3379">
            <v>33709</v>
          </cell>
          <cell r="C3379">
            <v>0</v>
          </cell>
          <cell r="D3379" t="str">
            <v>PHP</v>
          </cell>
          <cell r="E3379">
            <v>0</v>
          </cell>
          <cell r="F3379" t="str">
            <v>PC</v>
          </cell>
          <cell r="G3379">
            <v>0</v>
          </cell>
        </row>
        <row r="3380">
          <cell r="B3380">
            <v>33710</v>
          </cell>
          <cell r="C3380">
            <v>0</v>
          </cell>
          <cell r="D3380" t="str">
            <v>PHP</v>
          </cell>
          <cell r="E3380">
            <v>0</v>
          </cell>
          <cell r="F3380" t="str">
            <v>PC</v>
          </cell>
          <cell r="G3380">
            <v>0</v>
          </cell>
        </row>
        <row r="3381">
          <cell r="B3381">
            <v>33711</v>
          </cell>
          <cell r="C3381">
            <v>0</v>
          </cell>
          <cell r="D3381" t="str">
            <v>PHP</v>
          </cell>
          <cell r="E3381">
            <v>0</v>
          </cell>
          <cell r="F3381" t="str">
            <v>PC</v>
          </cell>
          <cell r="G3381">
            <v>0</v>
          </cell>
        </row>
        <row r="3382">
          <cell r="B3382">
            <v>33713</v>
          </cell>
          <cell r="C3382">
            <v>0</v>
          </cell>
          <cell r="D3382" t="str">
            <v>PHP</v>
          </cell>
          <cell r="E3382">
            <v>0</v>
          </cell>
          <cell r="F3382" t="str">
            <v>PC</v>
          </cell>
          <cell r="G3382">
            <v>0</v>
          </cell>
        </row>
        <row r="3383">
          <cell r="B3383">
            <v>33714</v>
          </cell>
          <cell r="C3383">
            <v>0</v>
          </cell>
          <cell r="D3383" t="str">
            <v>PHP</v>
          </cell>
          <cell r="E3383">
            <v>0</v>
          </cell>
          <cell r="F3383" t="str">
            <v>PC</v>
          </cell>
          <cell r="G3383">
            <v>0</v>
          </cell>
        </row>
        <row r="3384">
          <cell r="B3384">
            <v>33715</v>
          </cell>
          <cell r="C3384">
            <v>0</v>
          </cell>
          <cell r="D3384" t="str">
            <v>PHP</v>
          </cell>
          <cell r="E3384">
            <v>0</v>
          </cell>
          <cell r="F3384" t="str">
            <v>PC</v>
          </cell>
          <cell r="G3384">
            <v>0</v>
          </cell>
        </row>
        <row r="3385">
          <cell r="B3385">
            <v>33779</v>
          </cell>
          <cell r="C3385">
            <v>176852.64</v>
          </cell>
          <cell r="D3385" t="str">
            <v>PHP</v>
          </cell>
          <cell r="E3385">
            <v>2</v>
          </cell>
          <cell r="F3385" t="str">
            <v>PC</v>
          </cell>
          <cell r="G3385">
            <v>0</v>
          </cell>
        </row>
        <row r="3386">
          <cell r="B3386">
            <v>33813</v>
          </cell>
          <cell r="C3386">
            <v>8250.07</v>
          </cell>
          <cell r="D3386" t="str">
            <v>PHP</v>
          </cell>
          <cell r="E3386">
            <v>3</v>
          </cell>
          <cell r="F3386" t="str">
            <v>PC</v>
          </cell>
          <cell r="G3386">
            <v>0</v>
          </cell>
        </row>
        <row r="3387">
          <cell r="B3387">
            <v>33866</v>
          </cell>
          <cell r="C3387">
            <v>12344.86</v>
          </cell>
          <cell r="D3387" t="str">
            <v>PHP</v>
          </cell>
          <cell r="E3387">
            <v>12</v>
          </cell>
          <cell r="F3387" t="str">
            <v>ASY</v>
          </cell>
          <cell r="G3387">
            <v>0</v>
          </cell>
        </row>
        <row r="3388">
          <cell r="B3388">
            <v>33867</v>
          </cell>
          <cell r="C3388">
            <v>5300.69</v>
          </cell>
          <cell r="D3388" t="str">
            <v>PHP</v>
          </cell>
          <cell r="E3388">
            <v>12</v>
          </cell>
          <cell r="F3388" t="str">
            <v>PC</v>
          </cell>
          <cell r="G3388">
            <v>0</v>
          </cell>
        </row>
        <row r="3389">
          <cell r="B3389">
            <v>33868</v>
          </cell>
          <cell r="C3389">
            <v>0</v>
          </cell>
          <cell r="D3389" t="str">
            <v>PHP</v>
          </cell>
          <cell r="E3389">
            <v>0</v>
          </cell>
          <cell r="F3389" t="str">
            <v>PC</v>
          </cell>
          <cell r="G3389">
            <v>0</v>
          </cell>
        </row>
        <row r="3390">
          <cell r="B3390">
            <v>33869</v>
          </cell>
          <cell r="C3390">
            <v>0</v>
          </cell>
          <cell r="D3390" t="str">
            <v>PHP</v>
          </cell>
          <cell r="E3390">
            <v>0</v>
          </cell>
          <cell r="F3390" t="str">
            <v>PC</v>
          </cell>
          <cell r="G3390">
            <v>0</v>
          </cell>
        </row>
        <row r="3391">
          <cell r="B3391">
            <v>33870</v>
          </cell>
          <cell r="C3391">
            <v>0</v>
          </cell>
          <cell r="D3391" t="str">
            <v>PHP</v>
          </cell>
          <cell r="E3391">
            <v>0</v>
          </cell>
          <cell r="F3391" t="str">
            <v>PC</v>
          </cell>
          <cell r="G3391">
            <v>0</v>
          </cell>
        </row>
        <row r="3392">
          <cell r="B3392">
            <v>33871</v>
          </cell>
          <cell r="C3392">
            <v>0</v>
          </cell>
          <cell r="D3392" t="str">
            <v>PHP</v>
          </cell>
          <cell r="E3392">
            <v>0</v>
          </cell>
          <cell r="F3392" t="str">
            <v>PC</v>
          </cell>
          <cell r="G3392">
            <v>0</v>
          </cell>
        </row>
        <row r="3393">
          <cell r="B3393">
            <v>33874</v>
          </cell>
          <cell r="C3393">
            <v>68476.95</v>
          </cell>
          <cell r="D3393" t="str">
            <v>PHP</v>
          </cell>
          <cell r="E3393">
            <v>2</v>
          </cell>
          <cell r="F3393" t="str">
            <v>PC</v>
          </cell>
          <cell r="G3393">
            <v>0</v>
          </cell>
        </row>
        <row r="3394">
          <cell r="B3394">
            <v>33875</v>
          </cell>
          <cell r="C3394">
            <v>386360.81</v>
          </cell>
          <cell r="D3394" t="str">
            <v>PHP</v>
          </cell>
          <cell r="E3394">
            <v>3</v>
          </cell>
          <cell r="F3394" t="str">
            <v>SET</v>
          </cell>
          <cell r="G3394">
            <v>0</v>
          </cell>
        </row>
        <row r="3395">
          <cell r="B3395">
            <v>33876</v>
          </cell>
          <cell r="C3395">
            <v>300123.78000000003</v>
          </cell>
          <cell r="D3395" t="str">
            <v>PHP</v>
          </cell>
          <cell r="E3395">
            <v>1</v>
          </cell>
          <cell r="F3395" t="str">
            <v>SET</v>
          </cell>
          <cell r="G3395">
            <v>0</v>
          </cell>
        </row>
        <row r="3396">
          <cell r="B3396">
            <v>33877</v>
          </cell>
          <cell r="C3396">
            <v>581.5</v>
          </cell>
          <cell r="D3396" t="str">
            <v>PHP</v>
          </cell>
          <cell r="E3396">
            <v>3</v>
          </cell>
          <cell r="F3396" t="str">
            <v>PC</v>
          </cell>
          <cell r="G3396">
            <v>0</v>
          </cell>
        </row>
        <row r="3397">
          <cell r="B3397">
            <v>33878</v>
          </cell>
          <cell r="C3397">
            <v>28806.53</v>
          </cell>
          <cell r="D3397" t="str">
            <v>PHP</v>
          </cell>
          <cell r="E3397">
            <v>1</v>
          </cell>
          <cell r="F3397" t="str">
            <v>PC</v>
          </cell>
          <cell r="G3397">
            <v>0</v>
          </cell>
        </row>
        <row r="3398">
          <cell r="B3398">
            <v>33879</v>
          </cell>
          <cell r="C3398">
            <v>6888</v>
          </cell>
          <cell r="D3398" t="str">
            <v>PHP</v>
          </cell>
          <cell r="E3398">
            <v>48</v>
          </cell>
          <cell r="F3398" t="str">
            <v>PC</v>
          </cell>
          <cell r="G3398">
            <v>0</v>
          </cell>
        </row>
        <row r="3399">
          <cell r="B3399">
            <v>33880</v>
          </cell>
          <cell r="C3399">
            <v>366</v>
          </cell>
          <cell r="D3399" t="str">
            <v>PHP</v>
          </cell>
          <cell r="E3399">
            <v>8</v>
          </cell>
          <cell r="F3399" t="str">
            <v>PC</v>
          </cell>
          <cell r="G3399">
            <v>0</v>
          </cell>
        </row>
        <row r="3400">
          <cell r="B3400">
            <v>33881</v>
          </cell>
          <cell r="C3400">
            <v>89648.09</v>
          </cell>
          <cell r="D3400" t="str">
            <v>PHP</v>
          </cell>
          <cell r="E3400">
            <v>1</v>
          </cell>
          <cell r="F3400" t="str">
            <v>PC</v>
          </cell>
          <cell r="G3400">
            <v>0</v>
          </cell>
        </row>
        <row r="3401">
          <cell r="B3401">
            <v>33882</v>
          </cell>
          <cell r="C3401">
            <v>244302.57</v>
          </cell>
          <cell r="D3401" t="str">
            <v>PHP</v>
          </cell>
          <cell r="E3401">
            <v>6</v>
          </cell>
          <cell r="F3401" t="str">
            <v>PC</v>
          </cell>
          <cell r="G3401">
            <v>0</v>
          </cell>
        </row>
        <row r="3402">
          <cell r="B3402">
            <v>33884</v>
          </cell>
          <cell r="C3402">
            <v>202803.43</v>
          </cell>
          <cell r="D3402" t="str">
            <v>PHP</v>
          </cell>
          <cell r="E3402">
            <v>5</v>
          </cell>
          <cell r="F3402" t="str">
            <v>PC</v>
          </cell>
          <cell r="G3402">
            <v>0</v>
          </cell>
        </row>
        <row r="3403">
          <cell r="B3403">
            <v>33886</v>
          </cell>
          <cell r="C3403">
            <v>0</v>
          </cell>
          <cell r="D3403" t="str">
            <v>PHP</v>
          </cell>
          <cell r="E3403">
            <v>0</v>
          </cell>
          <cell r="F3403" t="str">
            <v>PC</v>
          </cell>
          <cell r="G3403">
            <v>0</v>
          </cell>
        </row>
        <row r="3404">
          <cell r="B3404">
            <v>33887</v>
          </cell>
          <cell r="C3404">
            <v>7150</v>
          </cell>
          <cell r="D3404" t="str">
            <v>PHP</v>
          </cell>
          <cell r="E3404">
            <v>22</v>
          </cell>
          <cell r="F3404" t="str">
            <v>PC</v>
          </cell>
          <cell r="G3404">
            <v>0</v>
          </cell>
        </row>
        <row r="3405">
          <cell r="B3405">
            <v>33888</v>
          </cell>
          <cell r="C3405">
            <v>11280</v>
          </cell>
          <cell r="D3405" t="str">
            <v>PHP</v>
          </cell>
          <cell r="E3405">
            <v>24</v>
          </cell>
          <cell r="F3405" t="str">
            <v>PC</v>
          </cell>
          <cell r="G3405">
            <v>0</v>
          </cell>
        </row>
        <row r="3406">
          <cell r="B3406">
            <v>33889</v>
          </cell>
          <cell r="C3406">
            <v>98737.22</v>
          </cell>
          <cell r="D3406" t="str">
            <v>PHP</v>
          </cell>
          <cell r="E3406">
            <v>1</v>
          </cell>
          <cell r="F3406" t="str">
            <v>ASY</v>
          </cell>
          <cell r="G3406">
            <v>0</v>
          </cell>
        </row>
        <row r="3407">
          <cell r="B3407">
            <v>33892</v>
          </cell>
          <cell r="C3407">
            <v>3041.68</v>
          </cell>
          <cell r="D3407" t="str">
            <v>PHP</v>
          </cell>
          <cell r="E3407">
            <v>6</v>
          </cell>
          <cell r="F3407" t="str">
            <v>PC</v>
          </cell>
          <cell r="G3407">
            <v>0</v>
          </cell>
        </row>
        <row r="3408">
          <cell r="B3408">
            <v>33893</v>
          </cell>
          <cell r="C3408">
            <v>9385.24</v>
          </cell>
          <cell r="D3408" t="str">
            <v>PHP</v>
          </cell>
          <cell r="E3408">
            <v>12</v>
          </cell>
          <cell r="F3408" t="str">
            <v>ASY</v>
          </cell>
          <cell r="G3408">
            <v>0</v>
          </cell>
        </row>
        <row r="3409">
          <cell r="B3409">
            <v>33894</v>
          </cell>
          <cell r="C3409">
            <v>46675.54</v>
          </cell>
          <cell r="D3409" t="str">
            <v>PHP</v>
          </cell>
          <cell r="E3409">
            <v>9</v>
          </cell>
          <cell r="F3409" t="str">
            <v>PC</v>
          </cell>
          <cell r="G3409">
            <v>0</v>
          </cell>
        </row>
        <row r="3410">
          <cell r="B3410">
            <v>33895</v>
          </cell>
          <cell r="C3410">
            <v>13104.2</v>
          </cell>
          <cell r="D3410" t="str">
            <v>PHP</v>
          </cell>
          <cell r="E3410">
            <v>16</v>
          </cell>
          <cell r="F3410" t="str">
            <v>PC</v>
          </cell>
          <cell r="G3410">
            <v>0</v>
          </cell>
        </row>
        <row r="3411">
          <cell r="B3411">
            <v>33896</v>
          </cell>
          <cell r="C3411">
            <v>173812.5</v>
          </cell>
          <cell r="D3411" t="str">
            <v>PHP</v>
          </cell>
          <cell r="E3411">
            <v>2</v>
          </cell>
          <cell r="F3411" t="str">
            <v>ASY</v>
          </cell>
          <cell r="G3411">
            <v>0</v>
          </cell>
        </row>
        <row r="3412">
          <cell r="B3412">
            <v>33898</v>
          </cell>
          <cell r="C3412">
            <v>139140.75</v>
          </cell>
          <cell r="D3412" t="str">
            <v>PHP</v>
          </cell>
          <cell r="E3412">
            <v>4</v>
          </cell>
          <cell r="F3412" t="str">
            <v>PC</v>
          </cell>
          <cell r="G3412">
            <v>0</v>
          </cell>
        </row>
        <row r="3413">
          <cell r="B3413">
            <v>33899</v>
          </cell>
          <cell r="C3413">
            <v>226031.26</v>
          </cell>
          <cell r="D3413" t="str">
            <v>PHP</v>
          </cell>
          <cell r="E3413">
            <v>2</v>
          </cell>
          <cell r="F3413" t="str">
            <v>PC</v>
          </cell>
          <cell r="G3413">
            <v>0</v>
          </cell>
        </row>
        <row r="3414">
          <cell r="B3414">
            <v>33900</v>
          </cell>
          <cell r="C3414">
            <v>5719.76</v>
          </cell>
          <cell r="D3414" t="str">
            <v>PHP</v>
          </cell>
          <cell r="E3414">
            <v>92</v>
          </cell>
          <cell r="F3414" t="str">
            <v>PC</v>
          </cell>
          <cell r="G3414">
            <v>0</v>
          </cell>
        </row>
        <row r="3415">
          <cell r="B3415">
            <v>33901</v>
          </cell>
          <cell r="C3415">
            <v>4485.6000000000004</v>
          </cell>
          <cell r="D3415" t="str">
            <v>PHP</v>
          </cell>
          <cell r="E3415">
            <v>36</v>
          </cell>
          <cell r="F3415" t="str">
            <v>PC</v>
          </cell>
          <cell r="G3415">
            <v>0</v>
          </cell>
        </row>
        <row r="3416">
          <cell r="B3416">
            <v>33902</v>
          </cell>
          <cell r="C3416">
            <v>102.55</v>
          </cell>
          <cell r="D3416" t="str">
            <v>PHP</v>
          </cell>
          <cell r="E3416">
            <v>5</v>
          </cell>
          <cell r="F3416" t="str">
            <v>PC</v>
          </cell>
          <cell r="G3416">
            <v>0</v>
          </cell>
        </row>
        <row r="3417">
          <cell r="B3417">
            <v>33903</v>
          </cell>
          <cell r="C3417">
            <v>3325.02</v>
          </cell>
          <cell r="D3417" t="str">
            <v>PHP</v>
          </cell>
          <cell r="E3417">
            <v>39</v>
          </cell>
          <cell r="F3417" t="str">
            <v>PC</v>
          </cell>
          <cell r="G3417">
            <v>0</v>
          </cell>
        </row>
        <row r="3418">
          <cell r="B3418">
            <v>33904</v>
          </cell>
          <cell r="C3418">
            <v>1542.84</v>
          </cell>
          <cell r="D3418" t="str">
            <v>PHP</v>
          </cell>
          <cell r="E3418">
            <v>91</v>
          </cell>
          <cell r="F3418" t="str">
            <v>PC</v>
          </cell>
          <cell r="G3418">
            <v>0</v>
          </cell>
        </row>
        <row r="3419">
          <cell r="B3419">
            <v>33905</v>
          </cell>
          <cell r="C3419">
            <v>5339.22</v>
          </cell>
          <cell r="D3419" t="str">
            <v>PHP</v>
          </cell>
          <cell r="E3419">
            <v>96</v>
          </cell>
          <cell r="F3419" t="str">
            <v>PC</v>
          </cell>
          <cell r="G3419">
            <v>0</v>
          </cell>
        </row>
        <row r="3420">
          <cell r="B3420">
            <v>33906</v>
          </cell>
          <cell r="C3420">
            <v>3591.33</v>
          </cell>
          <cell r="D3420" t="str">
            <v>PHP</v>
          </cell>
          <cell r="E3420">
            <v>75</v>
          </cell>
          <cell r="F3420" t="str">
            <v>PC</v>
          </cell>
          <cell r="G3420">
            <v>0</v>
          </cell>
        </row>
        <row r="3421">
          <cell r="B3421">
            <v>33908</v>
          </cell>
          <cell r="C3421">
            <v>1756.77</v>
          </cell>
          <cell r="D3421" t="str">
            <v>PHP</v>
          </cell>
          <cell r="E3421">
            <v>36</v>
          </cell>
          <cell r="F3421" t="str">
            <v>PC</v>
          </cell>
          <cell r="G3421">
            <v>0</v>
          </cell>
        </row>
        <row r="3422">
          <cell r="B3422">
            <v>33909</v>
          </cell>
          <cell r="C3422">
            <v>4321.8599999999997</v>
          </cell>
          <cell r="D3422" t="str">
            <v>PHP</v>
          </cell>
          <cell r="E3422">
            <v>4</v>
          </cell>
          <cell r="F3422" t="str">
            <v>PC</v>
          </cell>
          <cell r="G3422">
            <v>0</v>
          </cell>
        </row>
        <row r="3423">
          <cell r="B3423">
            <v>33910</v>
          </cell>
          <cell r="C3423">
            <v>58343.63</v>
          </cell>
          <cell r="D3423" t="str">
            <v>PHP</v>
          </cell>
          <cell r="E3423">
            <v>9</v>
          </cell>
          <cell r="F3423" t="str">
            <v>PC</v>
          </cell>
          <cell r="G3423">
            <v>0</v>
          </cell>
        </row>
        <row r="3424">
          <cell r="B3424">
            <v>33911</v>
          </cell>
          <cell r="C3424">
            <v>854.33</v>
          </cell>
          <cell r="D3424" t="str">
            <v>PHP</v>
          </cell>
          <cell r="E3424">
            <v>3</v>
          </cell>
          <cell r="F3424" t="str">
            <v>PC</v>
          </cell>
          <cell r="G3424">
            <v>0</v>
          </cell>
        </row>
        <row r="3425">
          <cell r="B3425">
            <v>33912</v>
          </cell>
          <cell r="C3425">
            <v>24562.5</v>
          </cell>
          <cell r="D3425" t="str">
            <v>PHP</v>
          </cell>
          <cell r="E3425">
            <v>2</v>
          </cell>
          <cell r="F3425" t="str">
            <v>PC</v>
          </cell>
          <cell r="G3425">
            <v>0</v>
          </cell>
        </row>
        <row r="3426">
          <cell r="B3426">
            <v>33913</v>
          </cell>
          <cell r="C3426">
            <v>2283.48</v>
          </cell>
          <cell r="D3426" t="str">
            <v>PHP</v>
          </cell>
          <cell r="E3426">
            <v>13</v>
          </cell>
          <cell r="F3426" t="str">
            <v>PC</v>
          </cell>
          <cell r="G3426">
            <v>0</v>
          </cell>
        </row>
        <row r="3427">
          <cell r="B3427">
            <v>33914</v>
          </cell>
          <cell r="C3427">
            <v>1698.24</v>
          </cell>
          <cell r="D3427" t="str">
            <v>PHP</v>
          </cell>
          <cell r="E3427">
            <v>4</v>
          </cell>
          <cell r="F3427" t="str">
            <v>PC</v>
          </cell>
          <cell r="G3427">
            <v>0</v>
          </cell>
        </row>
        <row r="3428">
          <cell r="B3428">
            <v>33915</v>
          </cell>
          <cell r="C3428">
            <v>839.02</v>
          </cell>
          <cell r="D3428" t="str">
            <v>PHP</v>
          </cell>
          <cell r="E3428">
            <v>8</v>
          </cell>
          <cell r="F3428" t="str">
            <v>PC</v>
          </cell>
          <cell r="G3428">
            <v>0</v>
          </cell>
        </row>
        <row r="3429">
          <cell r="B3429">
            <v>33916</v>
          </cell>
          <cell r="C3429">
            <v>32380.74</v>
          </cell>
          <cell r="D3429" t="str">
            <v>PHP</v>
          </cell>
          <cell r="E3429">
            <v>18</v>
          </cell>
          <cell r="F3429" t="str">
            <v>PC</v>
          </cell>
          <cell r="G3429">
            <v>0</v>
          </cell>
        </row>
        <row r="3430">
          <cell r="B3430">
            <v>33917</v>
          </cell>
          <cell r="C3430">
            <v>3671.32</v>
          </cell>
          <cell r="D3430" t="str">
            <v>PHP</v>
          </cell>
          <cell r="E3430">
            <v>3</v>
          </cell>
          <cell r="F3430" t="str">
            <v>PC</v>
          </cell>
          <cell r="G3430">
            <v>0</v>
          </cell>
        </row>
        <row r="3431">
          <cell r="B3431">
            <v>33918</v>
          </cell>
          <cell r="C3431">
            <v>13600</v>
          </cell>
          <cell r="D3431" t="str">
            <v>PHP</v>
          </cell>
          <cell r="E3431">
            <v>16</v>
          </cell>
          <cell r="F3431" t="str">
            <v>PC</v>
          </cell>
          <cell r="G3431">
            <v>0</v>
          </cell>
        </row>
        <row r="3432">
          <cell r="B3432">
            <v>33919</v>
          </cell>
          <cell r="C3432">
            <v>11294.65</v>
          </cell>
          <cell r="D3432" t="str">
            <v>PHP</v>
          </cell>
          <cell r="E3432">
            <v>22</v>
          </cell>
          <cell r="F3432" t="str">
            <v>PC</v>
          </cell>
          <cell r="G3432">
            <v>0</v>
          </cell>
        </row>
        <row r="3433">
          <cell r="B3433">
            <v>33920</v>
          </cell>
          <cell r="C3433">
            <v>10292.1</v>
          </cell>
          <cell r="D3433" t="str">
            <v>PHP</v>
          </cell>
          <cell r="E3433">
            <v>11</v>
          </cell>
          <cell r="F3433" t="str">
            <v>PC</v>
          </cell>
          <cell r="G3433">
            <v>0</v>
          </cell>
        </row>
        <row r="3434">
          <cell r="B3434">
            <v>33921</v>
          </cell>
          <cell r="C3434">
            <v>0</v>
          </cell>
          <cell r="D3434" t="str">
            <v>PHP</v>
          </cell>
          <cell r="E3434">
            <v>0</v>
          </cell>
          <cell r="F3434" t="str">
            <v>PC</v>
          </cell>
          <cell r="G3434">
            <v>0</v>
          </cell>
        </row>
        <row r="3435">
          <cell r="B3435">
            <v>33922</v>
          </cell>
          <cell r="C3435">
            <v>1252.45</v>
          </cell>
          <cell r="D3435" t="str">
            <v>PHP</v>
          </cell>
          <cell r="E3435">
            <v>8</v>
          </cell>
          <cell r="F3435" t="str">
            <v>PC</v>
          </cell>
          <cell r="G3435">
            <v>0</v>
          </cell>
        </row>
        <row r="3436">
          <cell r="B3436">
            <v>33923</v>
          </cell>
          <cell r="C3436">
            <v>1017.01</v>
          </cell>
          <cell r="D3436" t="str">
            <v>PHP</v>
          </cell>
          <cell r="E3436">
            <v>2</v>
          </cell>
          <cell r="F3436" t="str">
            <v>PC</v>
          </cell>
          <cell r="G3436">
            <v>0</v>
          </cell>
        </row>
        <row r="3437">
          <cell r="B3437">
            <v>33924</v>
          </cell>
          <cell r="C3437">
            <v>3035.55</v>
          </cell>
          <cell r="D3437" t="str">
            <v>PHP</v>
          </cell>
          <cell r="E3437">
            <v>11</v>
          </cell>
          <cell r="F3437" t="str">
            <v>PC</v>
          </cell>
          <cell r="G3437">
            <v>0</v>
          </cell>
        </row>
        <row r="3438">
          <cell r="B3438">
            <v>33958</v>
          </cell>
          <cell r="C3438">
            <v>412.44</v>
          </cell>
          <cell r="D3438" t="str">
            <v>PHP</v>
          </cell>
          <cell r="E3438">
            <v>7</v>
          </cell>
          <cell r="F3438" t="str">
            <v>PC</v>
          </cell>
          <cell r="G3438">
            <v>0</v>
          </cell>
        </row>
        <row r="3439">
          <cell r="B3439">
            <v>33964</v>
          </cell>
          <cell r="C3439">
            <v>31834.639999999999</v>
          </cell>
          <cell r="D3439" t="str">
            <v>PHP</v>
          </cell>
          <cell r="E3439">
            <v>3</v>
          </cell>
          <cell r="F3439" t="str">
            <v>PC</v>
          </cell>
          <cell r="G3439">
            <v>0</v>
          </cell>
        </row>
        <row r="3440">
          <cell r="B3440">
            <v>33965</v>
          </cell>
          <cell r="C3440">
            <v>1530.4</v>
          </cell>
          <cell r="D3440" t="str">
            <v>PHP</v>
          </cell>
          <cell r="E3440">
            <v>10</v>
          </cell>
          <cell r="F3440" t="str">
            <v>PC</v>
          </cell>
          <cell r="G3440">
            <v>0</v>
          </cell>
        </row>
        <row r="3441">
          <cell r="B3441">
            <v>33967</v>
          </cell>
          <cell r="C3441">
            <v>17041</v>
          </cell>
          <cell r="D3441" t="str">
            <v>PHP</v>
          </cell>
          <cell r="E3441">
            <v>1</v>
          </cell>
          <cell r="F3441" t="str">
            <v>PC</v>
          </cell>
          <cell r="G3441">
            <v>0</v>
          </cell>
        </row>
        <row r="3442">
          <cell r="B3442">
            <v>33968</v>
          </cell>
          <cell r="C3442">
            <v>22550</v>
          </cell>
          <cell r="D3442" t="str">
            <v>PHP</v>
          </cell>
          <cell r="E3442">
            <v>1</v>
          </cell>
          <cell r="F3442" t="str">
            <v>PC</v>
          </cell>
          <cell r="G3442">
            <v>0</v>
          </cell>
        </row>
        <row r="3443">
          <cell r="B3443">
            <v>33969</v>
          </cell>
          <cell r="C3443">
            <v>0</v>
          </cell>
          <cell r="D3443" t="str">
            <v>PHP</v>
          </cell>
          <cell r="E3443">
            <v>0</v>
          </cell>
          <cell r="F3443" t="str">
            <v>PC</v>
          </cell>
          <cell r="G3443">
            <v>0</v>
          </cell>
        </row>
        <row r="3444">
          <cell r="B3444">
            <v>33970</v>
          </cell>
          <cell r="C3444">
            <v>848.58</v>
          </cell>
          <cell r="D3444" t="str">
            <v>PHP</v>
          </cell>
          <cell r="E3444">
            <v>12</v>
          </cell>
          <cell r="F3444" t="str">
            <v>PC</v>
          </cell>
          <cell r="G3444">
            <v>0</v>
          </cell>
        </row>
        <row r="3445">
          <cell r="B3445">
            <v>33971</v>
          </cell>
          <cell r="C3445">
            <v>275800</v>
          </cell>
          <cell r="D3445" t="str">
            <v>PHP</v>
          </cell>
          <cell r="E3445">
            <v>1</v>
          </cell>
          <cell r="F3445" t="str">
            <v>PC</v>
          </cell>
          <cell r="G3445">
            <v>0</v>
          </cell>
        </row>
        <row r="3446">
          <cell r="B3446">
            <v>33972</v>
          </cell>
          <cell r="C3446">
            <v>0</v>
          </cell>
          <cell r="D3446" t="str">
            <v>PHP</v>
          </cell>
          <cell r="E3446">
            <v>0</v>
          </cell>
          <cell r="F3446" t="str">
            <v>PC</v>
          </cell>
          <cell r="G3446">
            <v>0</v>
          </cell>
        </row>
        <row r="3447">
          <cell r="B3447">
            <v>33973</v>
          </cell>
          <cell r="C3447">
            <v>5290</v>
          </cell>
          <cell r="D3447" t="str">
            <v>PHP</v>
          </cell>
          <cell r="E3447">
            <v>1</v>
          </cell>
          <cell r="F3447" t="str">
            <v>PC</v>
          </cell>
          <cell r="G3447">
            <v>0</v>
          </cell>
        </row>
        <row r="3448">
          <cell r="B3448">
            <v>33974</v>
          </cell>
          <cell r="C3448">
            <v>0</v>
          </cell>
          <cell r="D3448" t="str">
            <v>PHP</v>
          </cell>
          <cell r="E3448">
            <v>0</v>
          </cell>
          <cell r="F3448" t="str">
            <v>PC</v>
          </cell>
          <cell r="G3448">
            <v>0</v>
          </cell>
        </row>
        <row r="3449">
          <cell r="B3449">
            <v>33976</v>
          </cell>
          <cell r="C3449">
            <v>30641.72</v>
          </cell>
          <cell r="D3449" t="str">
            <v>PHP</v>
          </cell>
          <cell r="E3449">
            <v>2</v>
          </cell>
          <cell r="F3449" t="str">
            <v>PC</v>
          </cell>
          <cell r="G3449">
            <v>0</v>
          </cell>
        </row>
        <row r="3450">
          <cell r="B3450">
            <v>33981</v>
          </cell>
          <cell r="C3450">
            <v>880</v>
          </cell>
          <cell r="D3450" t="str">
            <v>PHP</v>
          </cell>
          <cell r="E3450">
            <v>2</v>
          </cell>
          <cell r="F3450" t="str">
            <v>PC</v>
          </cell>
          <cell r="G3450">
            <v>0</v>
          </cell>
        </row>
        <row r="3451">
          <cell r="B3451">
            <v>33982</v>
          </cell>
          <cell r="C3451">
            <v>0</v>
          </cell>
          <cell r="D3451" t="str">
            <v>PHP</v>
          </cell>
          <cell r="E3451">
            <v>0</v>
          </cell>
          <cell r="F3451" t="str">
            <v>PC</v>
          </cell>
          <cell r="G3451">
            <v>0</v>
          </cell>
        </row>
        <row r="3452">
          <cell r="B3452">
            <v>33983</v>
          </cell>
          <cell r="C3452">
            <v>0</v>
          </cell>
          <cell r="D3452" t="str">
            <v>PHP</v>
          </cell>
          <cell r="E3452">
            <v>0</v>
          </cell>
          <cell r="F3452" t="str">
            <v>PC</v>
          </cell>
          <cell r="G3452">
            <v>0</v>
          </cell>
        </row>
        <row r="3453">
          <cell r="B3453">
            <v>33984</v>
          </cell>
          <cell r="C3453">
            <v>129.99</v>
          </cell>
          <cell r="D3453" t="str">
            <v>PHP</v>
          </cell>
          <cell r="E3453">
            <v>3</v>
          </cell>
          <cell r="F3453" t="str">
            <v>PC</v>
          </cell>
          <cell r="G3453">
            <v>0</v>
          </cell>
        </row>
        <row r="3454">
          <cell r="B3454">
            <v>33985</v>
          </cell>
          <cell r="C3454">
            <v>17139.849999999999</v>
          </cell>
          <cell r="D3454" t="str">
            <v>PHP</v>
          </cell>
          <cell r="E3454">
            <v>4</v>
          </cell>
          <cell r="F3454" t="str">
            <v>PC</v>
          </cell>
          <cell r="G3454">
            <v>0</v>
          </cell>
        </row>
        <row r="3455">
          <cell r="B3455">
            <v>33986</v>
          </cell>
          <cell r="C3455">
            <v>14239.23</v>
          </cell>
          <cell r="D3455" t="str">
            <v>PHP</v>
          </cell>
          <cell r="E3455">
            <v>4</v>
          </cell>
          <cell r="F3455" t="str">
            <v>PC</v>
          </cell>
          <cell r="G3455">
            <v>0</v>
          </cell>
        </row>
        <row r="3456">
          <cell r="B3456">
            <v>33987</v>
          </cell>
          <cell r="C3456">
            <v>2140</v>
          </cell>
          <cell r="D3456" t="str">
            <v>PHP</v>
          </cell>
          <cell r="E3456">
            <v>4</v>
          </cell>
          <cell r="F3456" t="str">
            <v>PC</v>
          </cell>
          <cell r="G3456">
            <v>0</v>
          </cell>
        </row>
        <row r="3457">
          <cell r="B3457">
            <v>33988</v>
          </cell>
          <cell r="C3457">
            <v>1101</v>
          </cell>
          <cell r="D3457" t="str">
            <v>PHP</v>
          </cell>
          <cell r="E3457">
            <v>2</v>
          </cell>
          <cell r="F3457" t="str">
            <v>PC</v>
          </cell>
          <cell r="G3457">
            <v>0</v>
          </cell>
        </row>
        <row r="3458">
          <cell r="B3458">
            <v>33989</v>
          </cell>
          <cell r="C3458">
            <v>0</v>
          </cell>
          <cell r="D3458" t="str">
            <v>PHP</v>
          </cell>
          <cell r="E3458">
            <v>0</v>
          </cell>
          <cell r="F3458" t="str">
            <v>PC</v>
          </cell>
          <cell r="G3458">
            <v>0</v>
          </cell>
        </row>
        <row r="3459">
          <cell r="B3459">
            <v>33990</v>
          </cell>
          <cell r="C3459">
            <v>8308.0300000000007</v>
          </cell>
          <cell r="D3459" t="str">
            <v>PHP</v>
          </cell>
          <cell r="E3459">
            <v>12</v>
          </cell>
          <cell r="F3459" t="str">
            <v>PC</v>
          </cell>
          <cell r="G3459">
            <v>0</v>
          </cell>
        </row>
        <row r="3460">
          <cell r="B3460">
            <v>33991</v>
          </cell>
          <cell r="C3460">
            <v>75600</v>
          </cell>
          <cell r="D3460" t="str">
            <v>PHP</v>
          </cell>
          <cell r="E3460">
            <v>4</v>
          </cell>
          <cell r="F3460" t="str">
            <v>PC</v>
          </cell>
          <cell r="G3460">
            <v>0</v>
          </cell>
        </row>
        <row r="3461">
          <cell r="B3461">
            <v>33992</v>
          </cell>
          <cell r="C3461">
            <v>60600</v>
          </cell>
          <cell r="D3461" t="str">
            <v>PHP</v>
          </cell>
          <cell r="E3461">
            <v>4</v>
          </cell>
          <cell r="F3461" t="str">
            <v>PC</v>
          </cell>
          <cell r="G3461">
            <v>0</v>
          </cell>
        </row>
        <row r="3462">
          <cell r="B3462">
            <v>33993</v>
          </cell>
          <cell r="C3462">
            <v>6025</v>
          </cell>
          <cell r="D3462" t="str">
            <v>PHP</v>
          </cell>
          <cell r="E3462">
            <v>1</v>
          </cell>
          <cell r="F3462" t="str">
            <v>ASY</v>
          </cell>
          <cell r="G3462">
            <v>0</v>
          </cell>
        </row>
        <row r="3463">
          <cell r="B3463">
            <v>33994</v>
          </cell>
          <cell r="C3463">
            <v>75600</v>
          </cell>
          <cell r="D3463" t="str">
            <v>PHP</v>
          </cell>
          <cell r="E3463">
            <v>2</v>
          </cell>
          <cell r="F3463" t="str">
            <v>PC</v>
          </cell>
          <cell r="G3463">
            <v>0</v>
          </cell>
        </row>
        <row r="3464">
          <cell r="B3464">
            <v>33995</v>
          </cell>
          <cell r="C3464">
            <v>5391</v>
          </cell>
          <cell r="D3464" t="str">
            <v>PHP</v>
          </cell>
          <cell r="E3464">
            <v>1</v>
          </cell>
          <cell r="F3464" t="str">
            <v>PC</v>
          </cell>
          <cell r="G3464">
            <v>0</v>
          </cell>
        </row>
        <row r="3465">
          <cell r="B3465">
            <v>33996</v>
          </cell>
          <cell r="C3465">
            <v>0</v>
          </cell>
          <cell r="D3465" t="str">
            <v>PHP</v>
          </cell>
          <cell r="E3465">
            <v>0</v>
          </cell>
          <cell r="F3465" t="str">
            <v>PC</v>
          </cell>
          <cell r="G3465">
            <v>0</v>
          </cell>
        </row>
        <row r="3466">
          <cell r="B3466">
            <v>33997</v>
          </cell>
          <cell r="C3466">
            <v>0</v>
          </cell>
          <cell r="D3466" t="str">
            <v>PHP</v>
          </cell>
          <cell r="E3466">
            <v>0</v>
          </cell>
          <cell r="F3466" t="str">
            <v>PC</v>
          </cell>
          <cell r="G3466">
            <v>0</v>
          </cell>
        </row>
        <row r="3467">
          <cell r="B3467">
            <v>33999</v>
          </cell>
          <cell r="C3467">
            <v>0</v>
          </cell>
          <cell r="D3467" t="str">
            <v>PHP</v>
          </cell>
          <cell r="E3467">
            <v>0</v>
          </cell>
          <cell r="F3467" t="str">
            <v>PC</v>
          </cell>
          <cell r="G3467">
            <v>0</v>
          </cell>
        </row>
        <row r="3468">
          <cell r="B3468">
            <v>34000</v>
          </cell>
          <cell r="C3468">
            <v>29500</v>
          </cell>
          <cell r="D3468" t="str">
            <v>PHP</v>
          </cell>
          <cell r="E3468">
            <v>2</v>
          </cell>
          <cell r="F3468" t="str">
            <v>PC</v>
          </cell>
          <cell r="G3468">
            <v>0</v>
          </cell>
        </row>
        <row r="3469">
          <cell r="B3469">
            <v>34001</v>
          </cell>
          <cell r="C3469">
            <v>39226.61</v>
          </cell>
          <cell r="D3469" t="str">
            <v>PHP</v>
          </cell>
          <cell r="E3469">
            <v>6</v>
          </cell>
          <cell r="F3469" t="str">
            <v>PC</v>
          </cell>
          <cell r="G3469">
            <v>0</v>
          </cell>
        </row>
        <row r="3470">
          <cell r="B3470">
            <v>34002</v>
          </cell>
          <cell r="C3470">
            <v>12921.79</v>
          </cell>
          <cell r="D3470" t="str">
            <v>PHP</v>
          </cell>
          <cell r="E3470">
            <v>2</v>
          </cell>
          <cell r="F3470" t="str">
            <v>PC</v>
          </cell>
          <cell r="G3470">
            <v>0</v>
          </cell>
        </row>
        <row r="3471">
          <cell r="B3471">
            <v>34003</v>
          </cell>
          <cell r="C3471">
            <v>3226</v>
          </cell>
          <cell r="D3471" t="str">
            <v>PHP</v>
          </cell>
          <cell r="E3471">
            <v>2</v>
          </cell>
          <cell r="F3471" t="str">
            <v>PC</v>
          </cell>
          <cell r="G3471">
            <v>0</v>
          </cell>
        </row>
        <row r="3472">
          <cell r="B3472">
            <v>34007</v>
          </cell>
          <cell r="C3472">
            <v>0</v>
          </cell>
          <cell r="D3472" t="str">
            <v>PHP</v>
          </cell>
          <cell r="E3472">
            <v>0</v>
          </cell>
          <cell r="F3472" t="str">
            <v>PC</v>
          </cell>
          <cell r="G3472">
            <v>0</v>
          </cell>
        </row>
        <row r="3473">
          <cell r="B3473">
            <v>34008</v>
          </cell>
          <cell r="C3473">
            <v>1630.66</v>
          </cell>
          <cell r="D3473" t="str">
            <v>PHP</v>
          </cell>
          <cell r="E3473">
            <v>1</v>
          </cell>
          <cell r="F3473" t="str">
            <v>PC</v>
          </cell>
          <cell r="G3473">
            <v>0</v>
          </cell>
        </row>
        <row r="3474">
          <cell r="B3474">
            <v>34009</v>
          </cell>
          <cell r="C3474">
            <v>583.03</v>
          </cell>
          <cell r="D3474" t="str">
            <v>PHP</v>
          </cell>
          <cell r="E3474">
            <v>4</v>
          </cell>
          <cell r="F3474" t="str">
            <v>PC</v>
          </cell>
          <cell r="G3474">
            <v>0</v>
          </cell>
        </row>
        <row r="3475">
          <cell r="B3475">
            <v>34010</v>
          </cell>
          <cell r="C3475">
            <v>0</v>
          </cell>
          <cell r="D3475" t="str">
            <v>PHP</v>
          </cell>
          <cell r="E3475">
            <v>0</v>
          </cell>
          <cell r="F3475" t="str">
            <v>PC</v>
          </cell>
          <cell r="G3475">
            <v>0</v>
          </cell>
        </row>
        <row r="3476">
          <cell r="B3476">
            <v>34011</v>
          </cell>
          <cell r="C3476">
            <v>9652.2900000000009</v>
          </cell>
          <cell r="D3476" t="str">
            <v>PHP</v>
          </cell>
          <cell r="E3476">
            <v>2</v>
          </cell>
          <cell r="F3476" t="str">
            <v>PC</v>
          </cell>
          <cell r="G3476">
            <v>0</v>
          </cell>
        </row>
        <row r="3477">
          <cell r="B3477">
            <v>34012</v>
          </cell>
          <cell r="C3477">
            <v>0</v>
          </cell>
          <cell r="D3477" t="str">
            <v>PHP</v>
          </cell>
          <cell r="E3477">
            <v>0</v>
          </cell>
          <cell r="F3477" t="str">
            <v>PC</v>
          </cell>
          <cell r="G3477">
            <v>0</v>
          </cell>
        </row>
        <row r="3478">
          <cell r="B3478">
            <v>34013</v>
          </cell>
          <cell r="C3478">
            <v>17746.95</v>
          </cell>
          <cell r="D3478" t="str">
            <v>PHP</v>
          </cell>
          <cell r="E3478">
            <v>2</v>
          </cell>
          <cell r="F3478" t="str">
            <v>ASY</v>
          </cell>
          <cell r="G3478">
            <v>0</v>
          </cell>
        </row>
        <row r="3479">
          <cell r="B3479">
            <v>34014</v>
          </cell>
          <cell r="C3479">
            <v>293332</v>
          </cell>
          <cell r="D3479" t="str">
            <v>PHP</v>
          </cell>
          <cell r="E3479">
            <v>2</v>
          </cell>
          <cell r="F3479" t="str">
            <v>PC</v>
          </cell>
          <cell r="G3479">
            <v>0</v>
          </cell>
        </row>
        <row r="3480">
          <cell r="B3480">
            <v>34015</v>
          </cell>
          <cell r="C3480">
            <v>248716.79999999999</v>
          </cell>
          <cell r="D3480" t="str">
            <v>PHP</v>
          </cell>
          <cell r="E3480">
            <v>7</v>
          </cell>
          <cell r="F3480" t="str">
            <v>PC</v>
          </cell>
          <cell r="G3480">
            <v>0</v>
          </cell>
        </row>
        <row r="3481">
          <cell r="B3481">
            <v>34017</v>
          </cell>
          <cell r="C3481">
            <v>233739.17</v>
          </cell>
          <cell r="D3481" t="str">
            <v>PHP</v>
          </cell>
          <cell r="E3481">
            <v>9</v>
          </cell>
          <cell r="F3481" t="str">
            <v>PC</v>
          </cell>
          <cell r="G3481">
            <v>0</v>
          </cell>
        </row>
        <row r="3482">
          <cell r="B3482">
            <v>34018</v>
          </cell>
          <cell r="C3482">
            <v>7399.06</v>
          </cell>
          <cell r="D3482" t="str">
            <v>PHP</v>
          </cell>
          <cell r="E3482">
            <v>3</v>
          </cell>
          <cell r="F3482" t="str">
            <v>ASY</v>
          </cell>
          <cell r="G3482">
            <v>0</v>
          </cell>
        </row>
        <row r="3483">
          <cell r="B3483">
            <v>34019</v>
          </cell>
          <cell r="C3483">
            <v>0</v>
          </cell>
          <cell r="D3483" t="str">
            <v>PHP</v>
          </cell>
          <cell r="E3483">
            <v>0</v>
          </cell>
          <cell r="F3483" t="str">
            <v>PC</v>
          </cell>
          <cell r="G3483">
            <v>0</v>
          </cell>
        </row>
        <row r="3484">
          <cell r="B3484">
            <v>34020</v>
          </cell>
          <cell r="C3484">
            <v>11675</v>
          </cell>
          <cell r="D3484" t="str">
            <v>PHP</v>
          </cell>
          <cell r="E3484">
            <v>1</v>
          </cell>
          <cell r="F3484" t="str">
            <v>PC</v>
          </cell>
          <cell r="G3484">
            <v>0</v>
          </cell>
        </row>
        <row r="3485">
          <cell r="B3485">
            <v>34021</v>
          </cell>
          <cell r="C3485">
            <v>11852</v>
          </cell>
          <cell r="D3485" t="str">
            <v>PHP</v>
          </cell>
          <cell r="E3485">
            <v>2</v>
          </cell>
          <cell r="F3485" t="str">
            <v>PC</v>
          </cell>
          <cell r="G3485">
            <v>0</v>
          </cell>
        </row>
        <row r="3486">
          <cell r="B3486">
            <v>34022</v>
          </cell>
          <cell r="C3486">
            <v>0</v>
          </cell>
          <cell r="D3486" t="str">
            <v>PHP</v>
          </cell>
          <cell r="E3486">
            <v>0</v>
          </cell>
          <cell r="F3486" t="str">
            <v>PC</v>
          </cell>
          <cell r="G3486">
            <v>0</v>
          </cell>
        </row>
        <row r="3487">
          <cell r="B3487">
            <v>34023</v>
          </cell>
          <cell r="C3487">
            <v>3217.12</v>
          </cell>
          <cell r="D3487" t="str">
            <v>PHP</v>
          </cell>
          <cell r="E3487">
            <v>3</v>
          </cell>
          <cell r="F3487" t="str">
            <v>PC</v>
          </cell>
          <cell r="G3487">
            <v>0</v>
          </cell>
        </row>
        <row r="3488">
          <cell r="B3488">
            <v>34025</v>
          </cell>
          <cell r="C3488">
            <v>1088.33</v>
          </cell>
          <cell r="D3488" t="str">
            <v>PHP</v>
          </cell>
          <cell r="E3488">
            <v>5</v>
          </cell>
          <cell r="F3488" t="str">
            <v>PC</v>
          </cell>
          <cell r="G3488">
            <v>0</v>
          </cell>
        </row>
        <row r="3489">
          <cell r="B3489">
            <v>34026</v>
          </cell>
          <cell r="C3489">
            <v>0</v>
          </cell>
          <cell r="D3489" t="str">
            <v>PHP</v>
          </cell>
          <cell r="E3489">
            <v>0</v>
          </cell>
          <cell r="F3489" t="str">
            <v>PC</v>
          </cell>
          <cell r="G3489">
            <v>0</v>
          </cell>
        </row>
        <row r="3490">
          <cell r="B3490">
            <v>34027</v>
          </cell>
          <cell r="C3490">
            <v>0</v>
          </cell>
          <cell r="D3490" t="str">
            <v>PHP</v>
          </cell>
          <cell r="E3490">
            <v>0</v>
          </cell>
          <cell r="F3490" t="str">
            <v>PC</v>
          </cell>
          <cell r="G3490">
            <v>0</v>
          </cell>
        </row>
        <row r="3491">
          <cell r="B3491">
            <v>34028</v>
          </cell>
          <cell r="C3491">
            <v>80.25</v>
          </cell>
          <cell r="D3491" t="str">
            <v>PHP</v>
          </cell>
          <cell r="E3491">
            <v>6</v>
          </cell>
          <cell r="F3491" t="str">
            <v>PC</v>
          </cell>
          <cell r="G3491">
            <v>0</v>
          </cell>
        </row>
        <row r="3492">
          <cell r="B3492">
            <v>34029</v>
          </cell>
          <cell r="C3492">
            <v>56</v>
          </cell>
          <cell r="D3492" t="str">
            <v>PHP</v>
          </cell>
          <cell r="E3492">
            <v>2</v>
          </cell>
          <cell r="F3492" t="str">
            <v>PC</v>
          </cell>
          <cell r="G3492">
            <v>0</v>
          </cell>
        </row>
        <row r="3493">
          <cell r="B3493">
            <v>34031</v>
          </cell>
          <cell r="C3493">
            <v>0</v>
          </cell>
          <cell r="D3493" t="str">
            <v>PHP</v>
          </cell>
          <cell r="E3493">
            <v>0</v>
          </cell>
          <cell r="F3493" t="str">
            <v>PC</v>
          </cell>
          <cell r="G3493">
            <v>0</v>
          </cell>
        </row>
        <row r="3494">
          <cell r="B3494">
            <v>34032</v>
          </cell>
          <cell r="C3494">
            <v>0</v>
          </cell>
          <cell r="D3494" t="str">
            <v>PHP</v>
          </cell>
          <cell r="E3494">
            <v>0</v>
          </cell>
          <cell r="F3494" t="str">
            <v>PC</v>
          </cell>
          <cell r="G3494">
            <v>0</v>
          </cell>
        </row>
        <row r="3495">
          <cell r="B3495">
            <v>34033</v>
          </cell>
          <cell r="C3495">
            <v>0</v>
          </cell>
          <cell r="D3495" t="str">
            <v>PHP</v>
          </cell>
          <cell r="E3495">
            <v>0</v>
          </cell>
          <cell r="F3495" t="str">
            <v>PC</v>
          </cell>
          <cell r="G3495">
            <v>0</v>
          </cell>
        </row>
        <row r="3496">
          <cell r="B3496">
            <v>34034</v>
          </cell>
          <cell r="C3496">
            <v>0</v>
          </cell>
          <cell r="D3496" t="str">
            <v>PHP</v>
          </cell>
          <cell r="E3496">
            <v>0</v>
          </cell>
          <cell r="F3496" t="str">
            <v>PC</v>
          </cell>
          <cell r="G3496">
            <v>0</v>
          </cell>
        </row>
        <row r="3497">
          <cell r="B3497">
            <v>34037</v>
          </cell>
          <cell r="C3497">
            <v>0</v>
          </cell>
          <cell r="D3497" t="str">
            <v>PHP</v>
          </cell>
          <cell r="E3497">
            <v>0</v>
          </cell>
          <cell r="F3497" t="str">
            <v>PC</v>
          </cell>
          <cell r="G3497">
            <v>0</v>
          </cell>
        </row>
        <row r="3498">
          <cell r="B3498">
            <v>34039</v>
          </cell>
          <cell r="C3498">
            <v>1311.02</v>
          </cell>
          <cell r="D3498" t="str">
            <v>PHP</v>
          </cell>
          <cell r="E3498">
            <v>3</v>
          </cell>
          <cell r="F3498" t="str">
            <v>PC</v>
          </cell>
          <cell r="G3498">
            <v>0</v>
          </cell>
        </row>
        <row r="3499">
          <cell r="B3499">
            <v>34040</v>
          </cell>
          <cell r="C3499">
            <v>18</v>
          </cell>
          <cell r="D3499" t="str">
            <v>PHP</v>
          </cell>
          <cell r="E3499">
            <v>2</v>
          </cell>
          <cell r="F3499" t="str">
            <v>PC</v>
          </cell>
          <cell r="G3499">
            <v>0</v>
          </cell>
        </row>
        <row r="3500">
          <cell r="B3500">
            <v>34041</v>
          </cell>
          <cell r="C3500">
            <v>0</v>
          </cell>
          <cell r="D3500" t="str">
            <v>PHP</v>
          </cell>
          <cell r="E3500">
            <v>0</v>
          </cell>
          <cell r="F3500" t="str">
            <v>PC</v>
          </cell>
          <cell r="G3500">
            <v>0</v>
          </cell>
        </row>
        <row r="3501">
          <cell r="B3501">
            <v>34042</v>
          </cell>
          <cell r="C3501">
            <v>113264.92</v>
          </cell>
          <cell r="D3501" t="str">
            <v>PHP</v>
          </cell>
          <cell r="E3501">
            <v>3</v>
          </cell>
          <cell r="F3501" t="str">
            <v>PC</v>
          </cell>
          <cell r="G3501">
            <v>0</v>
          </cell>
        </row>
        <row r="3502">
          <cell r="B3502">
            <v>34044</v>
          </cell>
          <cell r="C3502">
            <v>1</v>
          </cell>
          <cell r="D3502" t="str">
            <v>PHP</v>
          </cell>
          <cell r="E3502">
            <v>2</v>
          </cell>
          <cell r="F3502" t="str">
            <v>PC</v>
          </cell>
          <cell r="G3502">
            <v>0</v>
          </cell>
        </row>
        <row r="3503">
          <cell r="B3503">
            <v>34045</v>
          </cell>
          <cell r="C3503">
            <v>24933</v>
          </cell>
          <cell r="D3503" t="str">
            <v>PHP</v>
          </cell>
          <cell r="E3503">
            <v>8</v>
          </cell>
          <cell r="F3503" t="str">
            <v>PC</v>
          </cell>
          <cell r="G3503">
            <v>0</v>
          </cell>
        </row>
        <row r="3504">
          <cell r="B3504">
            <v>34046</v>
          </cell>
          <cell r="C3504">
            <v>36300.18</v>
          </cell>
          <cell r="D3504" t="str">
            <v>PHP</v>
          </cell>
          <cell r="E3504">
            <v>2</v>
          </cell>
          <cell r="F3504" t="str">
            <v>PC</v>
          </cell>
          <cell r="G3504">
            <v>0</v>
          </cell>
        </row>
        <row r="3505">
          <cell r="B3505">
            <v>34047</v>
          </cell>
          <cell r="C3505">
            <v>12029</v>
          </cell>
          <cell r="D3505" t="str">
            <v>PHP</v>
          </cell>
          <cell r="E3505">
            <v>1</v>
          </cell>
          <cell r="F3505" t="str">
            <v>PC</v>
          </cell>
          <cell r="G3505">
            <v>0</v>
          </cell>
        </row>
        <row r="3506">
          <cell r="B3506">
            <v>34049</v>
          </cell>
          <cell r="C3506">
            <v>69720</v>
          </cell>
          <cell r="D3506" t="str">
            <v>PHP</v>
          </cell>
          <cell r="E3506">
            <v>6</v>
          </cell>
          <cell r="F3506" t="str">
            <v>PC</v>
          </cell>
          <cell r="G3506">
            <v>0</v>
          </cell>
        </row>
        <row r="3507">
          <cell r="B3507">
            <v>34050</v>
          </cell>
          <cell r="C3507">
            <v>0</v>
          </cell>
          <cell r="D3507" t="str">
            <v>PHP</v>
          </cell>
          <cell r="E3507">
            <v>0</v>
          </cell>
          <cell r="F3507" t="str">
            <v>PC</v>
          </cell>
          <cell r="G3507">
            <v>0</v>
          </cell>
        </row>
        <row r="3508">
          <cell r="B3508">
            <v>34051</v>
          </cell>
          <cell r="C3508">
            <v>8883.66</v>
          </cell>
          <cell r="D3508" t="str">
            <v>PHP</v>
          </cell>
          <cell r="E3508">
            <v>3</v>
          </cell>
          <cell r="F3508" t="str">
            <v>PC</v>
          </cell>
          <cell r="G3508">
            <v>0</v>
          </cell>
        </row>
        <row r="3509">
          <cell r="B3509">
            <v>34052</v>
          </cell>
          <cell r="C3509">
            <v>106987.66</v>
          </cell>
          <cell r="D3509" t="str">
            <v>PHP</v>
          </cell>
          <cell r="E3509">
            <v>6</v>
          </cell>
          <cell r="F3509" t="str">
            <v>PC</v>
          </cell>
          <cell r="G3509">
            <v>0</v>
          </cell>
        </row>
        <row r="3510">
          <cell r="B3510">
            <v>34053</v>
          </cell>
          <cell r="C3510">
            <v>0</v>
          </cell>
          <cell r="D3510" t="str">
            <v>PHP</v>
          </cell>
          <cell r="E3510">
            <v>0</v>
          </cell>
          <cell r="F3510" t="str">
            <v>PC</v>
          </cell>
          <cell r="G3510">
            <v>0</v>
          </cell>
        </row>
        <row r="3511">
          <cell r="B3511">
            <v>34054</v>
          </cell>
          <cell r="C3511">
            <v>1410.28</v>
          </cell>
          <cell r="D3511" t="str">
            <v>PHP</v>
          </cell>
          <cell r="E3511">
            <v>1</v>
          </cell>
          <cell r="F3511" t="str">
            <v>PC</v>
          </cell>
          <cell r="G3511">
            <v>0</v>
          </cell>
        </row>
        <row r="3512">
          <cell r="B3512">
            <v>34056</v>
          </cell>
          <cell r="C3512">
            <v>0</v>
          </cell>
          <cell r="D3512" t="str">
            <v>PHP</v>
          </cell>
          <cell r="E3512">
            <v>0</v>
          </cell>
          <cell r="F3512" t="str">
            <v>PC</v>
          </cell>
          <cell r="G3512">
            <v>0</v>
          </cell>
        </row>
        <row r="3513">
          <cell r="B3513">
            <v>34057</v>
          </cell>
          <cell r="C3513">
            <v>0</v>
          </cell>
          <cell r="D3513" t="str">
            <v>PHP</v>
          </cell>
          <cell r="E3513">
            <v>0</v>
          </cell>
          <cell r="F3513" t="str">
            <v>PC</v>
          </cell>
          <cell r="G3513">
            <v>0</v>
          </cell>
        </row>
        <row r="3514">
          <cell r="B3514">
            <v>34058</v>
          </cell>
          <cell r="C3514">
            <v>1210459.26</v>
          </cell>
          <cell r="D3514" t="str">
            <v>PHP</v>
          </cell>
          <cell r="E3514">
            <v>2</v>
          </cell>
          <cell r="F3514" t="str">
            <v>PC</v>
          </cell>
          <cell r="G3514">
            <v>0</v>
          </cell>
        </row>
        <row r="3515">
          <cell r="B3515">
            <v>34059</v>
          </cell>
          <cell r="C3515">
            <v>0</v>
          </cell>
          <cell r="D3515" t="str">
            <v>PHP</v>
          </cell>
          <cell r="E3515">
            <v>0</v>
          </cell>
          <cell r="F3515" t="str">
            <v>PC</v>
          </cell>
          <cell r="G3515">
            <v>0</v>
          </cell>
        </row>
        <row r="3516">
          <cell r="B3516">
            <v>34060</v>
          </cell>
          <cell r="C3516">
            <v>0</v>
          </cell>
          <cell r="D3516" t="str">
            <v>PHP</v>
          </cell>
          <cell r="E3516">
            <v>0</v>
          </cell>
          <cell r="F3516" t="str">
            <v>PC</v>
          </cell>
          <cell r="G3516">
            <v>0</v>
          </cell>
        </row>
        <row r="3517">
          <cell r="B3517">
            <v>34061</v>
          </cell>
          <cell r="C3517">
            <v>21112</v>
          </cell>
          <cell r="D3517" t="str">
            <v>PHP</v>
          </cell>
          <cell r="E3517">
            <v>2</v>
          </cell>
          <cell r="F3517" t="str">
            <v>PC</v>
          </cell>
          <cell r="G3517">
            <v>0</v>
          </cell>
        </row>
        <row r="3518">
          <cell r="B3518">
            <v>34063</v>
          </cell>
          <cell r="C3518">
            <v>0</v>
          </cell>
          <cell r="D3518" t="str">
            <v>PHP</v>
          </cell>
          <cell r="E3518">
            <v>0</v>
          </cell>
          <cell r="F3518" t="str">
            <v>PC</v>
          </cell>
          <cell r="G3518">
            <v>0</v>
          </cell>
        </row>
        <row r="3519">
          <cell r="B3519">
            <v>34064</v>
          </cell>
          <cell r="C3519">
            <v>16104.9</v>
          </cell>
          <cell r="D3519" t="str">
            <v>PHP</v>
          </cell>
          <cell r="E3519">
            <v>4</v>
          </cell>
          <cell r="F3519" t="str">
            <v>ASY</v>
          </cell>
          <cell r="G3519">
            <v>0</v>
          </cell>
        </row>
        <row r="3520">
          <cell r="B3520">
            <v>34065</v>
          </cell>
          <cell r="C3520">
            <v>0</v>
          </cell>
          <cell r="D3520" t="str">
            <v>PHP</v>
          </cell>
          <cell r="E3520">
            <v>0</v>
          </cell>
          <cell r="F3520" t="str">
            <v>PC</v>
          </cell>
          <cell r="G3520">
            <v>0</v>
          </cell>
        </row>
        <row r="3521">
          <cell r="B3521">
            <v>34066</v>
          </cell>
          <cell r="C3521">
            <v>0</v>
          </cell>
          <cell r="D3521" t="str">
            <v>PHP</v>
          </cell>
          <cell r="E3521">
            <v>0</v>
          </cell>
          <cell r="F3521" t="str">
            <v>PC</v>
          </cell>
          <cell r="G3521">
            <v>0</v>
          </cell>
        </row>
        <row r="3522">
          <cell r="B3522">
            <v>34067</v>
          </cell>
          <cell r="C3522">
            <v>0</v>
          </cell>
          <cell r="D3522" t="str">
            <v>PHP</v>
          </cell>
          <cell r="E3522">
            <v>0</v>
          </cell>
          <cell r="F3522" t="str">
            <v>PC</v>
          </cell>
          <cell r="G3522">
            <v>0</v>
          </cell>
        </row>
        <row r="3523">
          <cell r="B3523">
            <v>34068</v>
          </cell>
          <cell r="C3523">
            <v>11508</v>
          </cell>
          <cell r="D3523" t="str">
            <v>PHP</v>
          </cell>
          <cell r="E3523">
            <v>2</v>
          </cell>
          <cell r="F3523" t="str">
            <v>PC</v>
          </cell>
          <cell r="G3523">
            <v>0</v>
          </cell>
        </row>
        <row r="3524">
          <cell r="B3524">
            <v>34069</v>
          </cell>
          <cell r="C3524">
            <v>320936.27</v>
          </cell>
          <cell r="D3524" t="str">
            <v>PHP</v>
          </cell>
          <cell r="E3524">
            <v>19</v>
          </cell>
          <cell r="F3524" t="str">
            <v>PC</v>
          </cell>
          <cell r="G3524">
            <v>0</v>
          </cell>
        </row>
        <row r="3525">
          <cell r="B3525">
            <v>34071</v>
          </cell>
          <cell r="C3525">
            <v>0</v>
          </cell>
          <cell r="D3525" t="str">
            <v>PHP</v>
          </cell>
          <cell r="E3525">
            <v>0</v>
          </cell>
          <cell r="F3525" t="str">
            <v>PC</v>
          </cell>
          <cell r="G3525">
            <v>0</v>
          </cell>
        </row>
        <row r="3526">
          <cell r="B3526">
            <v>34073</v>
          </cell>
          <cell r="C3526">
            <v>9570</v>
          </cell>
          <cell r="D3526" t="str">
            <v>PHP</v>
          </cell>
          <cell r="E3526">
            <v>2</v>
          </cell>
          <cell r="F3526" t="str">
            <v>PC</v>
          </cell>
          <cell r="G3526">
            <v>0</v>
          </cell>
        </row>
        <row r="3527">
          <cell r="B3527">
            <v>34074</v>
          </cell>
          <cell r="C3527">
            <v>964.31</v>
          </cell>
          <cell r="D3527" t="str">
            <v>PHP</v>
          </cell>
          <cell r="E3527">
            <v>1</v>
          </cell>
          <cell r="F3527" t="str">
            <v>PC</v>
          </cell>
          <cell r="G3527">
            <v>0</v>
          </cell>
        </row>
        <row r="3528">
          <cell r="B3528">
            <v>34075</v>
          </cell>
          <cell r="C3528">
            <v>579.72</v>
          </cell>
          <cell r="D3528" t="str">
            <v>PHP</v>
          </cell>
          <cell r="E3528">
            <v>1</v>
          </cell>
          <cell r="F3528" t="str">
            <v>PC</v>
          </cell>
          <cell r="G3528">
            <v>0</v>
          </cell>
        </row>
        <row r="3529">
          <cell r="B3529">
            <v>34076</v>
          </cell>
          <cell r="C3529">
            <v>5953.32</v>
          </cell>
          <cell r="D3529" t="str">
            <v>PHP</v>
          </cell>
          <cell r="E3529">
            <v>12</v>
          </cell>
          <cell r="F3529" t="str">
            <v>PC</v>
          </cell>
          <cell r="G3529">
            <v>0</v>
          </cell>
        </row>
        <row r="3530">
          <cell r="B3530">
            <v>34077</v>
          </cell>
          <cell r="C3530">
            <v>4166.3999999999996</v>
          </cell>
          <cell r="D3530" t="str">
            <v>PHP</v>
          </cell>
          <cell r="E3530">
            <v>6</v>
          </cell>
          <cell r="F3530" t="str">
            <v>PC</v>
          </cell>
          <cell r="G3530">
            <v>0</v>
          </cell>
        </row>
        <row r="3531">
          <cell r="B3531">
            <v>34078</v>
          </cell>
          <cell r="C3531">
            <v>3531</v>
          </cell>
          <cell r="D3531" t="str">
            <v>PHP</v>
          </cell>
          <cell r="E3531">
            <v>6</v>
          </cell>
          <cell r="F3531" t="str">
            <v>PC</v>
          </cell>
          <cell r="G3531">
            <v>0</v>
          </cell>
        </row>
        <row r="3532">
          <cell r="B3532">
            <v>34079</v>
          </cell>
          <cell r="C3532">
            <v>0</v>
          </cell>
          <cell r="D3532" t="str">
            <v>PHP</v>
          </cell>
          <cell r="E3532">
            <v>0</v>
          </cell>
          <cell r="F3532" t="str">
            <v>PC</v>
          </cell>
          <cell r="G3532">
            <v>0</v>
          </cell>
        </row>
        <row r="3533">
          <cell r="B3533">
            <v>34080</v>
          </cell>
          <cell r="C3533">
            <v>5635.24</v>
          </cell>
          <cell r="D3533" t="str">
            <v>PHP</v>
          </cell>
          <cell r="E3533">
            <v>15</v>
          </cell>
          <cell r="F3533" t="str">
            <v>PC</v>
          </cell>
          <cell r="G3533">
            <v>0</v>
          </cell>
        </row>
        <row r="3534">
          <cell r="B3534">
            <v>34081</v>
          </cell>
          <cell r="C3534">
            <v>5619.96</v>
          </cell>
          <cell r="D3534" t="str">
            <v>PHP</v>
          </cell>
          <cell r="E3534">
            <v>12</v>
          </cell>
          <cell r="F3534" t="str">
            <v>PC</v>
          </cell>
          <cell r="G3534">
            <v>0</v>
          </cell>
        </row>
        <row r="3535">
          <cell r="B3535">
            <v>34082</v>
          </cell>
          <cell r="C3535">
            <v>0</v>
          </cell>
          <cell r="D3535" t="str">
            <v>PHP</v>
          </cell>
          <cell r="E3535">
            <v>0</v>
          </cell>
          <cell r="F3535" t="str">
            <v>ASY</v>
          </cell>
          <cell r="G3535">
            <v>0</v>
          </cell>
        </row>
        <row r="3536">
          <cell r="B3536">
            <v>34085</v>
          </cell>
          <cell r="C3536">
            <v>0</v>
          </cell>
          <cell r="D3536" t="str">
            <v>PHP</v>
          </cell>
          <cell r="E3536">
            <v>0</v>
          </cell>
          <cell r="F3536" t="str">
            <v>PC</v>
          </cell>
          <cell r="G3536">
            <v>0</v>
          </cell>
        </row>
        <row r="3537">
          <cell r="B3537">
            <v>34086</v>
          </cell>
          <cell r="C3537">
            <v>0</v>
          </cell>
          <cell r="D3537" t="str">
            <v>PHP</v>
          </cell>
          <cell r="E3537">
            <v>0</v>
          </cell>
          <cell r="F3537" t="str">
            <v>PC</v>
          </cell>
          <cell r="G3537">
            <v>0</v>
          </cell>
        </row>
        <row r="3538">
          <cell r="B3538">
            <v>34090</v>
          </cell>
          <cell r="C3538">
            <v>14286</v>
          </cell>
          <cell r="D3538" t="str">
            <v>PHP</v>
          </cell>
          <cell r="E3538">
            <v>2</v>
          </cell>
          <cell r="F3538" t="str">
            <v>PC</v>
          </cell>
          <cell r="G3538">
            <v>0</v>
          </cell>
        </row>
        <row r="3539">
          <cell r="B3539">
            <v>34091</v>
          </cell>
          <cell r="C3539">
            <v>9534.27</v>
          </cell>
          <cell r="D3539" t="str">
            <v>PHP</v>
          </cell>
          <cell r="E3539">
            <v>12</v>
          </cell>
          <cell r="F3539" t="str">
            <v>PC</v>
          </cell>
          <cell r="G3539">
            <v>0</v>
          </cell>
        </row>
        <row r="3540">
          <cell r="B3540">
            <v>34092</v>
          </cell>
          <cell r="C3540">
            <v>6510.52</v>
          </cell>
          <cell r="D3540" t="str">
            <v>PHP</v>
          </cell>
          <cell r="E3540">
            <v>4</v>
          </cell>
          <cell r="F3540" t="str">
            <v>PC</v>
          </cell>
          <cell r="G3540">
            <v>0</v>
          </cell>
        </row>
        <row r="3541">
          <cell r="B3541">
            <v>34096</v>
          </cell>
          <cell r="C3541">
            <v>0</v>
          </cell>
          <cell r="D3541" t="str">
            <v>PHP</v>
          </cell>
          <cell r="E3541">
            <v>0</v>
          </cell>
          <cell r="F3541" t="str">
            <v>PC</v>
          </cell>
          <cell r="G3541">
            <v>0</v>
          </cell>
        </row>
        <row r="3542">
          <cell r="B3542">
            <v>34097</v>
          </cell>
          <cell r="C3542">
            <v>0</v>
          </cell>
          <cell r="D3542" t="str">
            <v>PHP</v>
          </cell>
          <cell r="E3542">
            <v>0</v>
          </cell>
          <cell r="F3542" t="str">
            <v>PC</v>
          </cell>
          <cell r="G3542">
            <v>0</v>
          </cell>
        </row>
        <row r="3543">
          <cell r="B3543">
            <v>34098</v>
          </cell>
          <cell r="C3543">
            <v>0</v>
          </cell>
          <cell r="D3543" t="str">
            <v>PHP</v>
          </cell>
          <cell r="E3543">
            <v>0</v>
          </cell>
          <cell r="F3543" t="str">
            <v>PC</v>
          </cell>
          <cell r="G3543">
            <v>0</v>
          </cell>
        </row>
        <row r="3544">
          <cell r="B3544">
            <v>34099</v>
          </cell>
          <cell r="C3544">
            <v>7610</v>
          </cell>
          <cell r="D3544" t="str">
            <v>PHP</v>
          </cell>
          <cell r="E3544">
            <v>2</v>
          </cell>
          <cell r="F3544" t="str">
            <v>ASY</v>
          </cell>
          <cell r="G3544">
            <v>0</v>
          </cell>
        </row>
        <row r="3545">
          <cell r="B3545">
            <v>34102</v>
          </cell>
          <cell r="C3545">
            <v>2466.19</v>
          </cell>
          <cell r="D3545" t="str">
            <v>PHP</v>
          </cell>
          <cell r="E3545">
            <v>7</v>
          </cell>
          <cell r="F3545" t="str">
            <v>PC</v>
          </cell>
          <cell r="G3545">
            <v>0</v>
          </cell>
        </row>
        <row r="3546">
          <cell r="B3546">
            <v>34103</v>
          </cell>
          <cell r="C3546">
            <v>17184.599999999999</v>
          </cell>
          <cell r="D3546" t="str">
            <v>PHP</v>
          </cell>
          <cell r="E3546">
            <v>21</v>
          </cell>
          <cell r="F3546" t="str">
            <v>PC</v>
          </cell>
          <cell r="G3546">
            <v>0</v>
          </cell>
        </row>
        <row r="3547">
          <cell r="B3547">
            <v>34104</v>
          </cell>
          <cell r="C3547">
            <v>8662.7900000000009</v>
          </cell>
          <cell r="D3547" t="str">
            <v>PHP</v>
          </cell>
          <cell r="E3547">
            <v>2</v>
          </cell>
          <cell r="F3547" t="str">
            <v>PC</v>
          </cell>
          <cell r="G3547">
            <v>0</v>
          </cell>
        </row>
        <row r="3548">
          <cell r="B3548">
            <v>34106</v>
          </cell>
          <cell r="C3548">
            <v>0</v>
          </cell>
          <cell r="D3548" t="str">
            <v>PHP</v>
          </cell>
          <cell r="E3548">
            <v>0</v>
          </cell>
          <cell r="F3548" t="str">
            <v>PC</v>
          </cell>
          <cell r="G3548">
            <v>0</v>
          </cell>
        </row>
        <row r="3549">
          <cell r="B3549">
            <v>34108</v>
          </cell>
          <cell r="C3549">
            <v>806.67</v>
          </cell>
          <cell r="D3549" t="str">
            <v>PHP</v>
          </cell>
          <cell r="E3549">
            <v>12</v>
          </cell>
          <cell r="F3549" t="str">
            <v>PC</v>
          </cell>
          <cell r="G3549">
            <v>0</v>
          </cell>
        </row>
        <row r="3550">
          <cell r="B3550">
            <v>34110</v>
          </cell>
          <cell r="C3550">
            <v>0</v>
          </cell>
          <cell r="D3550" t="str">
            <v>PHP</v>
          </cell>
          <cell r="E3550">
            <v>0</v>
          </cell>
          <cell r="F3550" t="str">
            <v>PC</v>
          </cell>
          <cell r="G3550">
            <v>0</v>
          </cell>
        </row>
        <row r="3551">
          <cell r="B3551">
            <v>34111</v>
          </cell>
          <cell r="C3551">
            <v>23738.99</v>
          </cell>
          <cell r="D3551" t="str">
            <v>PHP</v>
          </cell>
          <cell r="E3551">
            <v>2</v>
          </cell>
          <cell r="F3551" t="str">
            <v>PC</v>
          </cell>
          <cell r="G3551">
            <v>0</v>
          </cell>
        </row>
        <row r="3552">
          <cell r="B3552">
            <v>34112</v>
          </cell>
          <cell r="C3552">
            <v>0</v>
          </cell>
          <cell r="D3552" t="str">
            <v>PHP</v>
          </cell>
          <cell r="E3552">
            <v>0</v>
          </cell>
          <cell r="F3552" t="str">
            <v>ASY</v>
          </cell>
          <cell r="G3552">
            <v>0</v>
          </cell>
        </row>
        <row r="3553">
          <cell r="B3553">
            <v>34113</v>
          </cell>
          <cell r="C3553">
            <v>0</v>
          </cell>
          <cell r="D3553" t="str">
            <v>PHP</v>
          </cell>
          <cell r="E3553">
            <v>0</v>
          </cell>
          <cell r="F3553" t="str">
            <v>PC</v>
          </cell>
          <cell r="G3553">
            <v>0</v>
          </cell>
        </row>
        <row r="3554">
          <cell r="B3554">
            <v>34114</v>
          </cell>
          <cell r="C3554">
            <v>2064.42</v>
          </cell>
          <cell r="D3554" t="str">
            <v>PHP</v>
          </cell>
          <cell r="E3554">
            <v>2</v>
          </cell>
          <cell r="F3554" t="str">
            <v>PC</v>
          </cell>
          <cell r="G3554">
            <v>0</v>
          </cell>
        </row>
        <row r="3555">
          <cell r="B3555">
            <v>34115</v>
          </cell>
          <cell r="C3555">
            <v>17420.23</v>
          </cell>
          <cell r="D3555" t="str">
            <v>PHP</v>
          </cell>
          <cell r="E3555">
            <v>5</v>
          </cell>
          <cell r="F3555" t="str">
            <v>PC</v>
          </cell>
          <cell r="G3555">
            <v>0</v>
          </cell>
        </row>
        <row r="3556">
          <cell r="B3556">
            <v>34116</v>
          </cell>
          <cell r="C3556">
            <v>117136.65</v>
          </cell>
          <cell r="D3556" t="str">
            <v>PHP</v>
          </cell>
          <cell r="E3556">
            <v>2</v>
          </cell>
          <cell r="F3556" t="str">
            <v>PC</v>
          </cell>
          <cell r="G3556">
            <v>0</v>
          </cell>
        </row>
        <row r="3557">
          <cell r="B3557">
            <v>34118</v>
          </cell>
          <cell r="C3557">
            <v>0</v>
          </cell>
          <cell r="D3557" t="str">
            <v>PHP</v>
          </cell>
          <cell r="E3557">
            <v>0</v>
          </cell>
          <cell r="F3557" t="str">
            <v>PC</v>
          </cell>
          <cell r="G3557">
            <v>0</v>
          </cell>
        </row>
        <row r="3558">
          <cell r="B3558">
            <v>34120</v>
          </cell>
          <cell r="C3558">
            <v>7958.1</v>
          </cell>
          <cell r="D3558" t="str">
            <v>PHP</v>
          </cell>
          <cell r="E3558">
            <v>3</v>
          </cell>
          <cell r="F3558" t="str">
            <v>PC</v>
          </cell>
          <cell r="G3558">
            <v>0</v>
          </cell>
        </row>
        <row r="3559">
          <cell r="B3559">
            <v>34122</v>
          </cell>
          <cell r="C3559">
            <v>1825.98</v>
          </cell>
          <cell r="D3559" t="str">
            <v>PHP</v>
          </cell>
          <cell r="E3559">
            <v>2</v>
          </cell>
          <cell r="F3559" t="str">
            <v>PC</v>
          </cell>
          <cell r="G3559">
            <v>0</v>
          </cell>
        </row>
        <row r="3560">
          <cell r="B3560">
            <v>34124</v>
          </cell>
          <cell r="C3560">
            <v>11441.06</v>
          </cell>
          <cell r="D3560" t="str">
            <v>PHP</v>
          </cell>
          <cell r="E3560">
            <v>2</v>
          </cell>
          <cell r="F3560" t="str">
            <v>PC</v>
          </cell>
          <cell r="G3560">
            <v>0</v>
          </cell>
        </row>
        <row r="3561">
          <cell r="B3561">
            <v>34125</v>
          </cell>
          <cell r="C3561">
            <v>45397.97</v>
          </cell>
          <cell r="D3561" t="str">
            <v>PHP</v>
          </cell>
          <cell r="E3561">
            <v>3</v>
          </cell>
          <cell r="F3561" t="str">
            <v>PC</v>
          </cell>
          <cell r="G3561">
            <v>0</v>
          </cell>
        </row>
        <row r="3562">
          <cell r="B3562">
            <v>34126</v>
          </cell>
          <cell r="C3562">
            <v>38154.69</v>
          </cell>
          <cell r="D3562" t="str">
            <v>PHP</v>
          </cell>
          <cell r="E3562">
            <v>4</v>
          </cell>
          <cell r="F3562" t="str">
            <v>PC</v>
          </cell>
          <cell r="G3562">
            <v>0</v>
          </cell>
        </row>
        <row r="3563">
          <cell r="B3563">
            <v>34127</v>
          </cell>
          <cell r="C3563">
            <v>21265.07</v>
          </cell>
          <cell r="D3563" t="str">
            <v>PHP</v>
          </cell>
          <cell r="E3563">
            <v>3</v>
          </cell>
          <cell r="F3563" t="str">
            <v>PC</v>
          </cell>
          <cell r="G3563">
            <v>0</v>
          </cell>
        </row>
        <row r="3564">
          <cell r="B3564">
            <v>34128</v>
          </cell>
          <cell r="C3564">
            <v>63002.27</v>
          </cell>
          <cell r="D3564" t="str">
            <v>PHP</v>
          </cell>
          <cell r="E3564">
            <v>4</v>
          </cell>
          <cell r="F3564" t="str">
            <v>PC</v>
          </cell>
          <cell r="G3564">
            <v>0</v>
          </cell>
        </row>
        <row r="3565">
          <cell r="B3565">
            <v>34129</v>
          </cell>
          <cell r="C3565">
            <v>45397.97</v>
          </cell>
          <cell r="D3565" t="str">
            <v>PHP</v>
          </cell>
          <cell r="E3565">
            <v>3</v>
          </cell>
          <cell r="F3565" t="str">
            <v>PC</v>
          </cell>
          <cell r="G3565">
            <v>0</v>
          </cell>
        </row>
        <row r="3566">
          <cell r="B3566">
            <v>34130</v>
          </cell>
          <cell r="C3566">
            <v>30265.32</v>
          </cell>
          <cell r="D3566" t="str">
            <v>PHP</v>
          </cell>
          <cell r="E3566">
            <v>2</v>
          </cell>
          <cell r="F3566" t="str">
            <v>PC</v>
          </cell>
          <cell r="G3566">
            <v>0</v>
          </cell>
        </row>
        <row r="3567">
          <cell r="B3567">
            <v>34131</v>
          </cell>
          <cell r="C3567">
            <v>51624.5</v>
          </cell>
          <cell r="D3567" t="str">
            <v>PHP</v>
          </cell>
          <cell r="E3567">
            <v>3</v>
          </cell>
          <cell r="F3567" t="str">
            <v>PC</v>
          </cell>
          <cell r="G3567">
            <v>0</v>
          </cell>
        </row>
        <row r="3568">
          <cell r="B3568">
            <v>34132</v>
          </cell>
          <cell r="C3568">
            <v>19795.25</v>
          </cell>
          <cell r="D3568" t="str">
            <v>PHP</v>
          </cell>
          <cell r="E3568">
            <v>2</v>
          </cell>
          <cell r="F3568" t="str">
            <v>PC</v>
          </cell>
          <cell r="G3568">
            <v>0</v>
          </cell>
        </row>
        <row r="3569">
          <cell r="B3569">
            <v>34135</v>
          </cell>
          <cell r="C3569">
            <v>45397.97</v>
          </cell>
          <cell r="D3569" t="str">
            <v>PHP</v>
          </cell>
          <cell r="E3569">
            <v>3</v>
          </cell>
          <cell r="F3569" t="str">
            <v>PC</v>
          </cell>
          <cell r="G3569">
            <v>0</v>
          </cell>
        </row>
        <row r="3570">
          <cell r="B3570">
            <v>34136</v>
          </cell>
          <cell r="C3570">
            <v>59674.7</v>
          </cell>
          <cell r="D3570" t="str">
            <v>PHP</v>
          </cell>
          <cell r="E3570">
            <v>8</v>
          </cell>
          <cell r="F3570" t="str">
            <v>PC</v>
          </cell>
          <cell r="G3570">
            <v>0</v>
          </cell>
        </row>
        <row r="3571">
          <cell r="B3571">
            <v>34137</v>
          </cell>
          <cell r="C3571">
            <v>5333.93</v>
          </cell>
          <cell r="D3571" t="str">
            <v>PHP</v>
          </cell>
          <cell r="E3571">
            <v>1</v>
          </cell>
          <cell r="F3571" t="str">
            <v>PC</v>
          </cell>
          <cell r="G3571">
            <v>0</v>
          </cell>
        </row>
        <row r="3572">
          <cell r="B3572">
            <v>34138</v>
          </cell>
          <cell r="C3572">
            <v>68686.89</v>
          </cell>
          <cell r="D3572" t="str">
            <v>PHP</v>
          </cell>
          <cell r="E3572">
            <v>5</v>
          </cell>
          <cell r="F3572" t="str">
            <v>PC</v>
          </cell>
          <cell r="G3572">
            <v>0</v>
          </cell>
        </row>
        <row r="3573">
          <cell r="B3573">
            <v>34139</v>
          </cell>
          <cell r="C3573">
            <v>68101.960000000006</v>
          </cell>
          <cell r="D3573" t="str">
            <v>PHP</v>
          </cell>
          <cell r="E3573">
            <v>5</v>
          </cell>
          <cell r="F3573" t="str">
            <v>PC</v>
          </cell>
          <cell r="G3573">
            <v>0</v>
          </cell>
        </row>
        <row r="3574">
          <cell r="B3574">
            <v>34141</v>
          </cell>
          <cell r="C3574">
            <v>0</v>
          </cell>
          <cell r="D3574" t="str">
            <v>PHP</v>
          </cell>
          <cell r="E3574">
            <v>0</v>
          </cell>
          <cell r="F3574" t="str">
            <v>PC</v>
          </cell>
          <cell r="G3574">
            <v>0</v>
          </cell>
        </row>
        <row r="3575">
          <cell r="B3575">
            <v>34142</v>
          </cell>
          <cell r="C3575">
            <v>22279.01</v>
          </cell>
          <cell r="D3575" t="str">
            <v>PHP</v>
          </cell>
          <cell r="E3575">
            <v>3</v>
          </cell>
          <cell r="F3575" t="str">
            <v>PC</v>
          </cell>
          <cell r="G3575">
            <v>0</v>
          </cell>
        </row>
        <row r="3576">
          <cell r="B3576">
            <v>34143</v>
          </cell>
          <cell r="C3576">
            <v>31853.040000000001</v>
          </cell>
          <cell r="D3576" t="str">
            <v>PHP</v>
          </cell>
          <cell r="E3576">
            <v>9</v>
          </cell>
          <cell r="F3576" t="str">
            <v>PC</v>
          </cell>
          <cell r="G3576">
            <v>0</v>
          </cell>
        </row>
        <row r="3577">
          <cell r="B3577">
            <v>34146</v>
          </cell>
          <cell r="C3577">
            <v>6244.03</v>
          </cell>
          <cell r="D3577" t="str">
            <v>PHP</v>
          </cell>
          <cell r="E3577">
            <v>1</v>
          </cell>
          <cell r="F3577" t="str">
            <v>PC</v>
          </cell>
          <cell r="G3577">
            <v>0</v>
          </cell>
        </row>
        <row r="3578">
          <cell r="B3578">
            <v>34147</v>
          </cell>
          <cell r="C3578">
            <v>55546.29</v>
          </cell>
          <cell r="D3578" t="str">
            <v>PHP</v>
          </cell>
          <cell r="E3578">
            <v>7</v>
          </cell>
          <cell r="F3578" t="str">
            <v>PC</v>
          </cell>
          <cell r="G3578">
            <v>0</v>
          </cell>
        </row>
        <row r="3579">
          <cell r="B3579">
            <v>34148</v>
          </cell>
          <cell r="C3579">
            <v>19273.21</v>
          </cell>
          <cell r="D3579" t="str">
            <v>PHP</v>
          </cell>
          <cell r="E3579">
            <v>6</v>
          </cell>
          <cell r="F3579" t="str">
            <v>PC</v>
          </cell>
          <cell r="G3579">
            <v>0</v>
          </cell>
        </row>
        <row r="3580">
          <cell r="B3580">
            <v>34149</v>
          </cell>
          <cell r="C3580">
            <v>38459.06</v>
          </cell>
          <cell r="D3580" t="str">
            <v>PHP</v>
          </cell>
          <cell r="E3580">
            <v>4</v>
          </cell>
          <cell r="F3580" t="str">
            <v>PC</v>
          </cell>
          <cell r="G3580">
            <v>0</v>
          </cell>
        </row>
        <row r="3581">
          <cell r="B3581">
            <v>34151</v>
          </cell>
          <cell r="C3581">
            <v>33647.449999999997</v>
          </cell>
          <cell r="D3581" t="str">
            <v>PHP</v>
          </cell>
          <cell r="E3581">
            <v>6</v>
          </cell>
          <cell r="F3581" t="str">
            <v>PC</v>
          </cell>
          <cell r="G3581">
            <v>0</v>
          </cell>
        </row>
        <row r="3582">
          <cell r="B3582">
            <v>34152</v>
          </cell>
          <cell r="C3582">
            <v>14910.03</v>
          </cell>
          <cell r="D3582" t="str">
            <v>PHP</v>
          </cell>
          <cell r="E3582">
            <v>1</v>
          </cell>
          <cell r="F3582" t="str">
            <v>PC</v>
          </cell>
          <cell r="G3582">
            <v>0</v>
          </cell>
        </row>
        <row r="3583">
          <cell r="B3583">
            <v>34153</v>
          </cell>
          <cell r="C3583">
            <v>95214.35</v>
          </cell>
          <cell r="D3583" t="str">
            <v>PHP</v>
          </cell>
          <cell r="E3583">
            <v>6</v>
          </cell>
          <cell r="F3583" t="str">
            <v>PC</v>
          </cell>
          <cell r="G3583">
            <v>0</v>
          </cell>
        </row>
        <row r="3584">
          <cell r="B3584">
            <v>34154</v>
          </cell>
          <cell r="C3584">
            <v>21691</v>
          </cell>
          <cell r="D3584" t="str">
            <v>PHP</v>
          </cell>
          <cell r="E3584">
            <v>4</v>
          </cell>
          <cell r="F3584" t="str">
            <v>PC</v>
          </cell>
          <cell r="G3584">
            <v>0</v>
          </cell>
        </row>
        <row r="3585">
          <cell r="B3585">
            <v>34155</v>
          </cell>
          <cell r="C3585">
            <v>104173.48</v>
          </cell>
          <cell r="D3585" t="str">
            <v>PHP</v>
          </cell>
          <cell r="E3585">
            <v>7</v>
          </cell>
          <cell r="F3585" t="str">
            <v>PC</v>
          </cell>
          <cell r="G3585">
            <v>0</v>
          </cell>
        </row>
        <row r="3586">
          <cell r="B3586">
            <v>34156</v>
          </cell>
          <cell r="C3586">
            <v>64258.39</v>
          </cell>
          <cell r="D3586" t="str">
            <v>PHP</v>
          </cell>
          <cell r="E3586">
            <v>2</v>
          </cell>
          <cell r="F3586" t="str">
            <v>PC</v>
          </cell>
          <cell r="G3586">
            <v>0</v>
          </cell>
        </row>
        <row r="3587">
          <cell r="B3587">
            <v>34157</v>
          </cell>
          <cell r="C3587">
            <v>3477.81</v>
          </cell>
          <cell r="D3587" t="str">
            <v>PHP</v>
          </cell>
          <cell r="E3587">
            <v>3</v>
          </cell>
          <cell r="F3587" t="str">
            <v>PC</v>
          </cell>
          <cell r="G3587">
            <v>0</v>
          </cell>
        </row>
        <row r="3588">
          <cell r="B3588">
            <v>34159</v>
          </cell>
          <cell r="C3588">
            <v>38427.39</v>
          </cell>
          <cell r="D3588" t="str">
            <v>PHP</v>
          </cell>
          <cell r="E3588">
            <v>4</v>
          </cell>
          <cell r="F3588" t="str">
            <v>PC</v>
          </cell>
          <cell r="G3588">
            <v>0</v>
          </cell>
        </row>
        <row r="3589">
          <cell r="B3589">
            <v>34160</v>
          </cell>
          <cell r="C3589">
            <v>5672.26</v>
          </cell>
          <cell r="D3589" t="str">
            <v>PHP</v>
          </cell>
          <cell r="E3589">
            <v>2</v>
          </cell>
          <cell r="F3589" t="str">
            <v>PC</v>
          </cell>
          <cell r="G3589">
            <v>0</v>
          </cell>
        </row>
        <row r="3590">
          <cell r="B3590">
            <v>34161</v>
          </cell>
          <cell r="C3590">
            <v>5229.9799999999996</v>
          </cell>
          <cell r="D3590" t="str">
            <v>PHP</v>
          </cell>
          <cell r="E3590">
            <v>2</v>
          </cell>
          <cell r="F3590" t="str">
            <v>PC</v>
          </cell>
          <cell r="G3590">
            <v>0</v>
          </cell>
        </row>
        <row r="3591">
          <cell r="B3591">
            <v>34162</v>
          </cell>
          <cell r="C3591">
            <v>54681.36</v>
          </cell>
          <cell r="D3591" t="str">
            <v>PHP</v>
          </cell>
          <cell r="E3591">
            <v>6</v>
          </cell>
          <cell r="F3591" t="str">
            <v>PC</v>
          </cell>
          <cell r="G3591">
            <v>0</v>
          </cell>
        </row>
        <row r="3592">
          <cell r="B3592">
            <v>34166</v>
          </cell>
          <cell r="C3592">
            <v>14992.16</v>
          </cell>
          <cell r="D3592" t="str">
            <v>PHP</v>
          </cell>
          <cell r="E3592">
            <v>5</v>
          </cell>
          <cell r="F3592" t="str">
            <v>PC</v>
          </cell>
          <cell r="G3592">
            <v>0</v>
          </cell>
        </row>
        <row r="3593">
          <cell r="B3593">
            <v>34167</v>
          </cell>
          <cell r="C3593">
            <v>3824.25</v>
          </cell>
          <cell r="D3593" t="str">
            <v>PHP</v>
          </cell>
          <cell r="E3593">
            <v>1</v>
          </cell>
          <cell r="F3593" t="str">
            <v>PC</v>
          </cell>
          <cell r="G3593">
            <v>0</v>
          </cell>
        </row>
        <row r="3594">
          <cell r="B3594">
            <v>34168</v>
          </cell>
          <cell r="C3594">
            <v>2919.67</v>
          </cell>
          <cell r="D3594" t="str">
            <v>PHP</v>
          </cell>
          <cell r="E3594">
            <v>1</v>
          </cell>
          <cell r="F3594" t="str">
            <v>PC</v>
          </cell>
          <cell r="G3594">
            <v>0</v>
          </cell>
        </row>
        <row r="3595">
          <cell r="B3595">
            <v>34170</v>
          </cell>
          <cell r="C3595">
            <v>16757.25</v>
          </cell>
          <cell r="D3595" t="str">
            <v>PHP</v>
          </cell>
          <cell r="E3595">
            <v>4</v>
          </cell>
          <cell r="F3595" t="str">
            <v>PC</v>
          </cell>
          <cell r="G3595">
            <v>0</v>
          </cell>
        </row>
        <row r="3596">
          <cell r="B3596">
            <v>34172</v>
          </cell>
          <cell r="C3596">
            <v>63648.2</v>
          </cell>
          <cell r="D3596" t="str">
            <v>PHP</v>
          </cell>
          <cell r="E3596">
            <v>3</v>
          </cell>
          <cell r="F3596" t="str">
            <v>PC</v>
          </cell>
          <cell r="G3596">
            <v>0</v>
          </cell>
        </row>
        <row r="3597">
          <cell r="B3597">
            <v>34173</v>
          </cell>
          <cell r="C3597">
            <v>33838.68</v>
          </cell>
          <cell r="D3597" t="str">
            <v>PHP</v>
          </cell>
          <cell r="E3597">
            <v>4</v>
          </cell>
          <cell r="F3597" t="str">
            <v>PC</v>
          </cell>
          <cell r="G3597">
            <v>0</v>
          </cell>
        </row>
        <row r="3598">
          <cell r="B3598">
            <v>34174</v>
          </cell>
          <cell r="C3598">
            <v>11160.57</v>
          </cell>
          <cell r="D3598" t="str">
            <v>PHP</v>
          </cell>
          <cell r="E3598">
            <v>5</v>
          </cell>
          <cell r="F3598" t="str">
            <v>PC</v>
          </cell>
          <cell r="G3598">
            <v>0</v>
          </cell>
        </row>
        <row r="3599">
          <cell r="B3599">
            <v>34175</v>
          </cell>
          <cell r="C3599">
            <v>50040.49</v>
          </cell>
          <cell r="D3599" t="str">
            <v>PHP</v>
          </cell>
          <cell r="E3599">
            <v>6</v>
          </cell>
          <cell r="F3599" t="str">
            <v>PC</v>
          </cell>
          <cell r="G3599">
            <v>0</v>
          </cell>
        </row>
        <row r="3600">
          <cell r="B3600">
            <v>34176</v>
          </cell>
          <cell r="C3600">
            <v>3583.52</v>
          </cell>
          <cell r="D3600" t="str">
            <v>PHP</v>
          </cell>
          <cell r="E3600">
            <v>10</v>
          </cell>
          <cell r="F3600" t="str">
            <v>PC</v>
          </cell>
          <cell r="G3600">
            <v>0</v>
          </cell>
        </row>
        <row r="3601">
          <cell r="B3601">
            <v>34177</v>
          </cell>
          <cell r="C3601">
            <v>6240.74</v>
          </cell>
          <cell r="D3601" t="str">
            <v>PHP</v>
          </cell>
          <cell r="E3601">
            <v>10</v>
          </cell>
          <cell r="F3601" t="str">
            <v>PC</v>
          </cell>
          <cell r="G3601">
            <v>0</v>
          </cell>
        </row>
        <row r="3602">
          <cell r="B3602">
            <v>34178</v>
          </cell>
          <cell r="C3602">
            <v>3986.49</v>
          </cell>
          <cell r="D3602" t="str">
            <v>PHP</v>
          </cell>
          <cell r="E3602">
            <v>10</v>
          </cell>
          <cell r="F3602" t="str">
            <v>PC</v>
          </cell>
          <cell r="G3602">
            <v>0</v>
          </cell>
        </row>
        <row r="3603">
          <cell r="B3603">
            <v>34179</v>
          </cell>
          <cell r="C3603">
            <v>5285.87</v>
          </cell>
          <cell r="D3603" t="str">
            <v>PHP</v>
          </cell>
          <cell r="E3603">
            <v>12</v>
          </cell>
          <cell r="F3603" t="str">
            <v>PC</v>
          </cell>
          <cell r="G3603">
            <v>0</v>
          </cell>
        </row>
        <row r="3604">
          <cell r="B3604">
            <v>34180</v>
          </cell>
          <cell r="C3604">
            <v>4616.1899999999996</v>
          </cell>
          <cell r="D3604" t="str">
            <v>PHP</v>
          </cell>
          <cell r="E3604">
            <v>7</v>
          </cell>
          <cell r="F3604" t="str">
            <v>PC</v>
          </cell>
          <cell r="G3604">
            <v>0</v>
          </cell>
        </row>
        <row r="3605">
          <cell r="B3605">
            <v>34182</v>
          </cell>
          <cell r="C3605">
            <v>4142.37</v>
          </cell>
          <cell r="D3605" t="str">
            <v>PHP</v>
          </cell>
          <cell r="E3605">
            <v>5</v>
          </cell>
          <cell r="F3605" t="str">
            <v>PC</v>
          </cell>
          <cell r="G3605">
            <v>0</v>
          </cell>
        </row>
        <row r="3606">
          <cell r="B3606">
            <v>34183</v>
          </cell>
          <cell r="C3606">
            <v>1425.84</v>
          </cell>
          <cell r="D3606" t="str">
            <v>PHP</v>
          </cell>
          <cell r="E3606">
            <v>2</v>
          </cell>
          <cell r="F3606" t="str">
            <v>PC</v>
          </cell>
          <cell r="G3606">
            <v>0</v>
          </cell>
        </row>
        <row r="3607">
          <cell r="B3607">
            <v>34184</v>
          </cell>
          <cell r="C3607">
            <v>1034.19</v>
          </cell>
          <cell r="D3607" t="str">
            <v>PHP</v>
          </cell>
          <cell r="E3607">
            <v>1</v>
          </cell>
          <cell r="F3607" t="str">
            <v>PC</v>
          </cell>
          <cell r="G3607">
            <v>0</v>
          </cell>
        </row>
        <row r="3608">
          <cell r="B3608">
            <v>34185</v>
          </cell>
          <cell r="C3608">
            <v>68259.600000000006</v>
          </cell>
          <cell r="D3608" t="str">
            <v>PHP</v>
          </cell>
          <cell r="E3608">
            <v>7</v>
          </cell>
          <cell r="F3608" t="str">
            <v>PC</v>
          </cell>
          <cell r="G3608">
            <v>0</v>
          </cell>
        </row>
        <row r="3609">
          <cell r="B3609">
            <v>34186</v>
          </cell>
          <cell r="C3609">
            <v>2379.1999999999998</v>
          </cell>
          <cell r="D3609" t="str">
            <v>PHP</v>
          </cell>
          <cell r="E3609">
            <v>5</v>
          </cell>
          <cell r="F3609" t="str">
            <v>PC</v>
          </cell>
          <cell r="G3609">
            <v>0</v>
          </cell>
        </row>
        <row r="3610">
          <cell r="B3610">
            <v>34187</v>
          </cell>
          <cell r="C3610">
            <v>12309</v>
          </cell>
          <cell r="D3610" t="str">
            <v>PHP</v>
          </cell>
          <cell r="E3610">
            <v>2</v>
          </cell>
          <cell r="F3610" t="str">
            <v>PC</v>
          </cell>
          <cell r="G3610">
            <v>0</v>
          </cell>
        </row>
        <row r="3611">
          <cell r="B3611">
            <v>34188</v>
          </cell>
          <cell r="C3611">
            <v>106728.22</v>
          </cell>
          <cell r="D3611" t="str">
            <v>PHP</v>
          </cell>
          <cell r="E3611">
            <v>5</v>
          </cell>
          <cell r="F3611" t="str">
            <v>PC</v>
          </cell>
          <cell r="G3611">
            <v>0</v>
          </cell>
        </row>
        <row r="3612">
          <cell r="B3612">
            <v>34189</v>
          </cell>
          <cell r="C3612">
            <v>28956.6</v>
          </cell>
          <cell r="D3612" t="str">
            <v>PHP</v>
          </cell>
          <cell r="E3612">
            <v>3</v>
          </cell>
          <cell r="F3612" t="str">
            <v>PC</v>
          </cell>
          <cell r="G3612">
            <v>0</v>
          </cell>
        </row>
        <row r="3613">
          <cell r="B3613">
            <v>34190</v>
          </cell>
          <cell r="C3613">
            <v>28956.6</v>
          </cell>
          <cell r="D3613" t="str">
            <v>PHP</v>
          </cell>
          <cell r="E3613">
            <v>3</v>
          </cell>
          <cell r="F3613" t="str">
            <v>PC</v>
          </cell>
          <cell r="G3613">
            <v>0</v>
          </cell>
        </row>
        <row r="3614">
          <cell r="B3614">
            <v>34192</v>
          </cell>
          <cell r="C3614">
            <v>28956.6</v>
          </cell>
          <cell r="D3614" t="str">
            <v>PHP</v>
          </cell>
          <cell r="E3614">
            <v>3</v>
          </cell>
          <cell r="F3614" t="str">
            <v>PC</v>
          </cell>
          <cell r="G3614">
            <v>0</v>
          </cell>
        </row>
        <row r="3615">
          <cell r="B3615">
            <v>34193</v>
          </cell>
          <cell r="C3615">
            <v>22861.58</v>
          </cell>
          <cell r="D3615" t="str">
            <v>PHP</v>
          </cell>
          <cell r="E3615">
            <v>6</v>
          </cell>
          <cell r="F3615" t="str">
            <v>PC</v>
          </cell>
          <cell r="G3615">
            <v>0</v>
          </cell>
        </row>
        <row r="3616">
          <cell r="B3616">
            <v>34194</v>
          </cell>
          <cell r="C3616">
            <v>43104.37</v>
          </cell>
          <cell r="D3616" t="str">
            <v>PHP</v>
          </cell>
          <cell r="E3616">
            <v>4</v>
          </cell>
          <cell r="F3616" t="str">
            <v>PC</v>
          </cell>
          <cell r="G3616">
            <v>0</v>
          </cell>
        </row>
        <row r="3617">
          <cell r="B3617">
            <v>34195</v>
          </cell>
          <cell r="C3617">
            <v>28956.6</v>
          </cell>
          <cell r="D3617" t="str">
            <v>PHP</v>
          </cell>
          <cell r="E3617">
            <v>3</v>
          </cell>
          <cell r="F3617" t="str">
            <v>PC</v>
          </cell>
          <cell r="G3617">
            <v>0</v>
          </cell>
        </row>
        <row r="3618">
          <cell r="B3618">
            <v>34196</v>
          </cell>
          <cell r="C3618">
            <v>9511.0400000000009</v>
          </cell>
          <cell r="D3618" t="str">
            <v>PHP</v>
          </cell>
          <cell r="E3618">
            <v>4</v>
          </cell>
          <cell r="F3618" t="str">
            <v>PC</v>
          </cell>
          <cell r="G3618">
            <v>0</v>
          </cell>
        </row>
        <row r="3619">
          <cell r="B3619">
            <v>34197</v>
          </cell>
          <cell r="C3619">
            <v>12749.33</v>
          </cell>
          <cell r="D3619" t="str">
            <v>PHP</v>
          </cell>
          <cell r="E3619">
            <v>5</v>
          </cell>
          <cell r="F3619" t="str">
            <v>PC</v>
          </cell>
          <cell r="G3619">
            <v>0</v>
          </cell>
        </row>
        <row r="3620">
          <cell r="B3620">
            <v>34198</v>
          </cell>
          <cell r="C3620">
            <v>1805.04</v>
          </cell>
          <cell r="D3620" t="str">
            <v>PHP</v>
          </cell>
          <cell r="E3620">
            <v>2</v>
          </cell>
          <cell r="F3620" t="str">
            <v>PC</v>
          </cell>
          <cell r="G3620">
            <v>0</v>
          </cell>
        </row>
        <row r="3621">
          <cell r="B3621">
            <v>34199</v>
          </cell>
          <cell r="C3621">
            <v>3837.81</v>
          </cell>
          <cell r="D3621" t="str">
            <v>PHP</v>
          </cell>
          <cell r="E3621">
            <v>8</v>
          </cell>
          <cell r="F3621" t="str">
            <v>PC</v>
          </cell>
          <cell r="G3621">
            <v>0</v>
          </cell>
        </row>
        <row r="3622">
          <cell r="B3622">
            <v>34200</v>
          </cell>
          <cell r="C3622">
            <v>5994.43</v>
          </cell>
          <cell r="D3622" t="str">
            <v>PHP</v>
          </cell>
          <cell r="E3622">
            <v>11</v>
          </cell>
          <cell r="F3622" t="str">
            <v>PC</v>
          </cell>
          <cell r="G3622">
            <v>0</v>
          </cell>
        </row>
        <row r="3623">
          <cell r="B3623">
            <v>34201</v>
          </cell>
          <cell r="C3623">
            <v>2950.12</v>
          </cell>
          <cell r="D3623" t="str">
            <v>PHP</v>
          </cell>
          <cell r="E3623">
            <v>4</v>
          </cell>
          <cell r="F3623" t="str">
            <v>PC</v>
          </cell>
          <cell r="G3623">
            <v>0</v>
          </cell>
        </row>
        <row r="3624">
          <cell r="B3624">
            <v>34202</v>
          </cell>
          <cell r="C3624">
            <v>4267.04</v>
          </cell>
          <cell r="D3624" t="str">
            <v>PHP</v>
          </cell>
          <cell r="E3624">
            <v>13</v>
          </cell>
          <cell r="F3624" t="str">
            <v>PC</v>
          </cell>
          <cell r="G3624">
            <v>0</v>
          </cell>
        </row>
        <row r="3625">
          <cell r="B3625">
            <v>34203</v>
          </cell>
          <cell r="C3625">
            <v>12794.67</v>
          </cell>
          <cell r="D3625" t="str">
            <v>PHP</v>
          </cell>
          <cell r="E3625">
            <v>8</v>
          </cell>
          <cell r="F3625" t="str">
            <v>PC</v>
          </cell>
          <cell r="G3625">
            <v>0</v>
          </cell>
        </row>
        <row r="3626">
          <cell r="B3626">
            <v>34204</v>
          </cell>
          <cell r="C3626">
            <v>2401.5</v>
          </cell>
          <cell r="D3626" t="str">
            <v>PHP</v>
          </cell>
          <cell r="E3626">
            <v>4</v>
          </cell>
          <cell r="F3626" t="str">
            <v>PC</v>
          </cell>
          <cell r="G3626">
            <v>0</v>
          </cell>
        </row>
        <row r="3627">
          <cell r="B3627">
            <v>34206</v>
          </cell>
          <cell r="C3627">
            <v>6075.03</v>
          </cell>
          <cell r="D3627" t="str">
            <v>PHP</v>
          </cell>
          <cell r="E3627">
            <v>11</v>
          </cell>
          <cell r="F3627" t="str">
            <v>PC</v>
          </cell>
          <cell r="G3627">
            <v>0</v>
          </cell>
        </row>
        <row r="3628">
          <cell r="B3628">
            <v>34207</v>
          </cell>
          <cell r="C3628">
            <v>6007.31</v>
          </cell>
          <cell r="D3628" t="str">
            <v>PHP</v>
          </cell>
          <cell r="E3628">
            <v>10</v>
          </cell>
          <cell r="F3628" t="str">
            <v>PC</v>
          </cell>
          <cell r="G3628">
            <v>0</v>
          </cell>
        </row>
        <row r="3629">
          <cell r="B3629">
            <v>34210</v>
          </cell>
          <cell r="C3629">
            <v>1421.97</v>
          </cell>
          <cell r="D3629" t="str">
            <v>PHP</v>
          </cell>
          <cell r="E3629">
            <v>33</v>
          </cell>
          <cell r="F3629" t="str">
            <v>PC</v>
          </cell>
          <cell r="G3629">
            <v>0</v>
          </cell>
        </row>
        <row r="3630">
          <cell r="B3630">
            <v>34211</v>
          </cell>
          <cell r="C3630">
            <v>792.52</v>
          </cell>
          <cell r="D3630" t="str">
            <v>PHP</v>
          </cell>
          <cell r="E3630">
            <v>8</v>
          </cell>
          <cell r="F3630" t="str">
            <v>PC</v>
          </cell>
          <cell r="G3630">
            <v>0</v>
          </cell>
        </row>
        <row r="3631">
          <cell r="B3631">
            <v>34213</v>
          </cell>
          <cell r="C3631">
            <v>1966.57</v>
          </cell>
          <cell r="D3631" t="str">
            <v>PHP</v>
          </cell>
          <cell r="E3631">
            <v>38</v>
          </cell>
          <cell r="F3631" t="str">
            <v>PC</v>
          </cell>
          <cell r="G3631">
            <v>0</v>
          </cell>
        </row>
        <row r="3632">
          <cell r="B3632">
            <v>34214</v>
          </cell>
          <cell r="C3632">
            <v>172.5</v>
          </cell>
          <cell r="D3632" t="str">
            <v>PHP</v>
          </cell>
          <cell r="E3632">
            <v>5</v>
          </cell>
          <cell r="F3632" t="str">
            <v>PC</v>
          </cell>
          <cell r="G3632">
            <v>0</v>
          </cell>
        </row>
        <row r="3633">
          <cell r="B3633">
            <v>34215</v>
          </cell>
          <cell r="C3633">
            <v>699.95</v>
          </cell>
          <cell r="D3633" t="str">
            <v>PHP</v>
          </cell>
          <cell r="E3633">
            <v>6</v>
          </cell>
          <cell r="F3633" t="str">
            <v>PC</v>
          </cell>
          <cell r="G3633">
            <v>0</v>
          </cell>
        </row>
        <row r="3634">
          <cell r="B3634">
            <v>34216</v>
          </cell>
          <cell r="C3634">
            <v>68896.05</v>
          </cell>
          <cell r="D3634" t="str">
            <v>PHP</v>
          </cell>
          <cell r="E3634">
            <v>2</v>
          </cell>
          <cell r="F3634" t="str">
            <v>PC</v>
          </cell>
          <cell r="G3634">
            <v>0</v>
          </cell>
        </row>
        <row r="3635">
          <cell r="B3635">
            <v>34217</v>
          </cell>
          <cell r="C3635">
            <v>1500</v>
          </cell>
          <cell r="D3635" t="str">
            <v>PHP</v>
          </cell>
          <cell r="E3635">
            <v>2</v>
          </cell>
          <cell r="F3635" t="str">
            <v>PC</v>
          </cell>
          <cell r="G3635">
            <v>0</v>
          </cell>
        </row>
        <row r="3636">
          <cell r="B3636">
            <v>34218</v>
          </cell>
          <cell r="C3636">
            <v>56041.279999999999</v>
          </cell>
          <cell r="D3636" t="str">
            <v>PHP</v>
          </cell>
          <cell r="E3636">
            <v>5</v>
          </cell>
          <cell r="F3636" t="str">
            <v>PC</v>
          </cell>
          <cell r="G3636">
            <v>0</v>
          </cell>
        </row>
        <row r="3637">
          <cell r="B3637">
            <v>34219</v>
          </cell>
          <cell r="C3637">
            <v>28579</v>
          </cell>
          <cell r="D3637" t="str">
            <v>PHP</v>
          </cell>
          <cell r="E3637">
            <v>3</v>
          </cell>
          <cell r="F3637" t="str">
            <v>PC</v>
          </cell>
          <cell r="G3637">
            <v>0</v>
          </cell>
        </row>
        <row r="3638">
          <cell r="B3638">
            <v>34224</v>
          </cell>
          <cell r="C3638">
            <v>23824.94</v>
          </cell>
          <cell r="D3638" t="str">
            <v>PHP</v>
          </cell>
          <cell r="E3638">
            <v>4</v>
          </cell>
          <cell r="F3638" t="str">
            <v>PC</v>
          </cell>
          <cell r="G3638">
            <v>0</v>
          </cell>
        </row>
        <row r="3639">
          <cell r="B3639">
            <v>34225</v>
          </cell>
          <cell r="C3639">
            <v>208939.46</v>
          </cell>
          <cell r="D3639" t="str">
            <v>PHP</v>
          </cell>
          <cell r="E3639">
            <v>4</v>
          </cell>
          <cell r="F3639" t="str">
            <v>PAA</v>
          </cell>
          <cell r="G3639">
            <v>0</v>
          </cell>
        </row>
        <row r="3640">
          <cell r="B3640">
            <v>34226</v>
          </cell>
          <cell r="C3640">
            <v>825.62</v>
          </cell>
          <cell r="D3640" t="str">
            <v>PHP</v>
          </cell>
          <cell r="E3640">
            <v>8</v>
          </cell>
          <cell r="F3640" t="str">
            <v>PC</v>
          </cell>
          <cell r="G3640">
            <v>0</v>
          </cell>
        </row>
        <row r="3641">
          <cell r="B3641">
            <v>34228</v>
          </cell>
          <cell r="C3641">
            <v>11794.52</v>
          </cell>
          <cell r="D3641" t="str">
            <v>PHP</v>
          </cell>
          <cell r="E3641">
            <v>4</v>
          </cell>
          <cell r="F3641" t="str">
            <v>PC</v>
          </cell>
          <cell r="G3641">
            <v>0</v>
          </cell>
        </row>
        <row r="3642">
          <cell r="B3642">
            <v>34229</v>
          </cell>
          <cell r="C3642">
            <v>1474.31</v>
          </cell>
          <cell r="D3642" t="str">
            <v>PHP</v>
          </cell>
          <cell r="E3642">
            <v>2</v>
          </cell>
          <cell r="F3642" t="str">
            <v>PC</v>
          </cell>
          <cell r="G3642">
            <v>0</v>
          </cell>
        </row>
        <row r="3643">
          <cell r="B3643">
            <v>34232</v>
          </cell>
          <cell r="C3643">
            <v>1288.72</v>
          </cell>
          <cell r="D3643" t="str">
            <v>PHP</v>
          </cell>
          <cell r="E3643">
            <v>6</v>
          </cell>
          <cell r="F3643" t="str">
            <v>PC</v>
          </cell>
          <cell r="G3643">
            <v>0</v>
          </cell>
        </row>
        <row r="3644">
          <cell r="B3644">
            <v>34233</v>
          </cell>
          <cell r="C3644">
            <v>3028.12</v>
          </cell>
          <cell r="D3644" t="str">
            <v>PHP</v>
          </cell>
          <cell r="E3644">
            <v>12</v>
          </cell>
          <cell r="F3644" t="str">
            <v>PC</v>
          </cell>
          <cell r="G3644">
            <v>0</v>
          </cell>
        </row>
        <row r="3645">
          <cell r="B3645">
            <v>34235</v>
          </cell>
          <cell r="C3645">
            <v>1816.77</v>
          </cell>
          <cell r="D3645" t="str">
            <v>PHP</v>
          </cell>
          <cell r="E3645">
            <v>3</v>
          </cell>
          <cell r="F3645" t="str">
            <v>PC</v>
          </cell>
          <cell r="G3645">
            <v>0</v>
          </cell>
        </row>
        <row r="3646">
          <cell r="B3646">
            <v>34239</v>
          </cell>
          <cell r="C3646">
            <v>76246.820000000007</v>
          </cell>
          <cell r="D3646" t="str">
            <v>PHP</v>
          </cell>
          <cell r="E3646">
            <v>6</v>
          </cell>
          <cell r="F3646" t="str">
            <v>PC</v>
          </cell>
          <cell r="G3646">
            <v>0</v>
          </cell>
        </row>
        <row r="3647">
          <cell r="B3647">
            <v>34240</v>
          </cell>
          <cell r="C3647">
            <v>1064</v>
          </cell>
          <cell r="D3647" t="str">
            <v>PHP</v>
          </cell>
          <cell r="E3647">
            <v>2</v>
          </cell>
          <cell r="F3647" t="str">
            <v>PC</v>
          </cell>
          <cell r="G3647">
            <v>0</v>
          </cell>
        </row>
        <row r="3648">
          <cell r="B3648">
            <v>34247</v>
          </cell>
          <cell r="C3648">
            <v>0</v>
          </cell>
          <cell r="D3648" t="str">
            <v>PHP</v>
          </cell>
          <cell r="E3648">
            <v>0</v>
          </cell>
          <cell r="F3648" t="str">
            <v>PC</v>
          </cell>
          <cell r="G3648">
            <v>0</v>
          </cell>
        </row>
        <row r="3649">
          <cell r="B3649">
            <v>34248</v>
          </cell>
          <cell r="C3649">
            <v>277862.64</v>
          </cell>
          <cell r="D3649" t="str">
            <v>PHP</v>
          </cell>
          <cell r="E3649">
            <v>1</v>
          </cell>
          <cell r="F3649" t="str">
            <v>PC</v>
          </cell>
          <cell r="G3649">
            <v>0</v>
          </cell>
        </row>
        <row r="3650">
          <cell r="B3650">
            <v>34250</v>
          </cell>
          <cell r="C3650">
            <v>30255.89</v>
          </cell>
          <cell r="D3650" t="str">
            <v>PHP</v>
          </cell>
          <cell r="E3650">
            <v>5</v>
          </cell>
          <cell r="F3650" t="str">
            <v>PC</v>
          </cell>
          <cell r="G3650">
            <v>0</v>
          </cell>
        </row>
        <row r="3651">
          <cell r="B3651">
            <v>34251</v>
          </cell>
          <cell r="C3651">
            <v>7621.29</v>
          </cell>
          <cell r="D3651" t="str">
            <v>PHP</v>
          </cell>
          <cell r="E3651">
            <v>5</v>
          </cell>
          <cell r="F3651" t="str">
            <v>PC</v>
          </cell>
          <cell r="G3651">
            <v>0</v>
          </cell>
        </row>
        <row r="3652">
          <cell r="B3652">
            <v>34253</v>
          </cell>
          <cell r="C3652">
            <v>1391.51</v>
          </cell>
          <cell r="D3652" t="str">
            <v>PHP</v>
          </cell>
          <cell r="E3652">
            <v>5</v>
          </cell>
          <cell r="F3652" t="str">
            <v>PC</v>
          </cell>
          <cell r="G3652">
            <v>0</v>
          </cell>
        </row>
        <row r="3653">
          <cell r="B3653">
            <v>34254</v>
          </cell>
          <cell r="C3653">
            <v>0</v>
          </cell>
          <cell r="D3653" t="str">
            <v>PHP</v>
          </cell>
          <cell r="E3653">
            <v>0</v>
          </cell>
          <cell r="F3653" t="str">
            <v>PC</v>
          </cell>
          <cell r="G3653">
            <v>0</v>
          </cell>
        </row>
        <row r="3654">
          <cell r="B3654">
            <v>34255</v>
          </cell>
          <cell r="C3654">
            <v>53316.01</v>
          </cell>
          <cell r="D3654" t="str">
            <v>PHP</v>
          </cell>
          <cell r="E3654">
            <v>14</v>
          </cell>
          <cell r="F3654" t="str">
            <v>PC</v>
          </cell>
          <cell r="G3654">
            <v>0</v>
          </cell>
        </row>
        <row r="3655">
          <cell r="B3655">
            <v>34258</v>
          </cell>
          <cell r="C3655">
            <v>0</v>
          </cell>
          <cell r="D3655" t="str">
            <v>PHP</v>
          </cell>
          <cell r="E3655">
            <v>0</v>
          </cell>
          <cell r="F3655" t="str">
            <v>PC</v>
          </cell>
          <cell r="G3655">
            <v>0</v>
          </cell>
        </row>
        <row r="3656">
          <cell r="B3656">
            <v>34259</v>
          </cell>
          <cell r="C3656">
            <v>0</v>
          </cell>
          <cell r="D3656" t="str">
            <v>PHP</v>
          </cell>
          <cell r="E3656">
            <v>0</v>
          </cell>
          <cell r="F3656" t="str">
            <v>PC</v>
          </cell>
          <cell r="G3656">
            <v>0</v>
          </cell>
        </row>
        <row r="3657">
          <cell r="B3657">
            <v>34260</v>
          </cell>
          <cell r="C3657">
            <v>0</v>
          </cell>
          <cell r="D3657" t="str">
            <v>PHP</v>
          </cell>
          <cell r="E3657">
            <v>0</v>
          </cell>
          <cell r="F3657" t="str">
            <v>PC</v>
          </cell>
          <cell r="G3657">
            <v>0</v>
          </cell>
        </row>
        <row r="3658">
          <cell r="B3658">
            <v>34261</v>
          </cell>
          <cell r="C3658">
            <v>0</v>
          </cell>
          <cell r="D3658" t="str">
            <v>PHP</v>
          </cell>
          <cell r="E3658">
            <v>0</v>
          </cell>
          <cell r="F3658" t="str">
            <v>PC</v>
          </cell>
          <cell r="G3658">
            <v>0</v>
          </cell>
        </row>
        <row r="3659">
          <cell r="B3659">
            <v>34262</v>
          </cell>
          <cell r="C3659">
            <v>0</v>
          </cell>
          <cell r="D3659" t="str">
            <v>PHP</v>
          </cell>
          <cell r="E3659">
            <v>0</v>
          </cell>
          <cell r="F3659" t="str">
            <v>PC</v>
          </cell>
          <cell r="G3659">
            <v>0</v>
          </cell>
        </row>
        <row r="3660">
          <cell r="B3660">
            <v>34263</v>
          </cell>
          <cell r="C3660">
            <v>0</v>
          </cell>
          <cell r="D3660" t="str">
            <v>PHP</v>
          </cell>
          <cell r="E3660">
            <v>0</v>
          </cell>
          <cell r="F3660" t="str">
            <v>PC</v>
          </cell>
          <cell r="G3660">
            <v>0</v>
          </cell>
        </row>
        <row r="3661">
          <cell r="B3661">
            <v>34264</v>
          </cell>
          <cell r="C3661">
            <v>0</v>
          </cell>
          <cell r="D3661" t="str">
            <v>PHP</v>
          </cell>
          <cell r="E3661">
            <v>0</v>
          </cell>
          <cell r="F3661" t="str">
            <v>PC</v>
          </cell>
          <cell r="G3661">
            <v>0</v>
          </cell>
        </row>
        <row r="3662">
          <cell r="B3662">
            <v>34265</v>
          </cell>
          <cell r="C3662">
            <v>0</v>
          </cell>
          <cell r="D3662" t="str">
            <v>PHP</v>
          </cell>
          <cell r="E3662">
            <v>0</v>
          </cell>
          <cell r="F3662" t="str">
            <v>PC</v>
          </cell>
          <cell r="G3662">
            <v>0</v>
          </cell>
        </row>
        <row r="3663">
          <cell r="B3663">
            <v>34266</v>
          </cell>
          <cell r="C3663">
            <v>0</v>
          </cell>
          <cell r="D3663" t="str">
            <v>PHP</v>
          </cell>
          <cell r="E3663">
            <v>0</v>
          </cell>
          <cell r="F3663" t="str">
            <v>PC</v>
          </cell>
          <cell r="G3663">
            <v>0</v>
          </cell>
        </row>
        <row r="3664">
          <cell r="B3664">
            <v>34273</v>
          </cell>
          <cell r="C3664">
            <v>0</v>
          </cell>
          <cell r="D3664" t="str">
            <v>PHP</v>
          </cell>
          <cell r="E3664">
            <v>0</v>
          </cell>
          <cell r="F3664" t="str">
            <v>PC</v>
          </cell>
          <cell r="G3664">
            <v>0</v>
          </cell>
        </row>
        <row r="3665">
          <cell r="B3665">
            <v>34277</v>
          </cell>
          <cell r="C3665">
            <v>11478.2</v>
          </cell>
          <cell r="D3665" t="str">
            <v>PHP</v>
          </cell>
          <cell r="E3665">
            <v>9</v>
          </cell>
          <cell r="F3665" t="str">
            <v>PC</v>
          </cell>
          <cell r="G3665">
            <v>0</v>
          </cell>
        </row>
        <row r="3666">
          <cell r="B3666">
            <v>34283</v>
          </cell>
          <cell r="C3666">
            <v>0</v>
          </cell>
          <cell r="D3666" t="str">
            <v>PHP</v>
          </cell>
          <cell r="E3666">
            <v>0</v>
          </cell>
          <cell r="F3666" t="str">
            <v>PC</v>
          </cell>
          <cell r="G3666">
            <v>0</v>
          </cell>
        </row>
        <row r="3667">
          <cell r="B3667">
            <v>34284</v>
          </cell>
          <cell r="C3667">
            <v>0</v>
          </cell>
          <cell r="D3667" t="str">
            <v>PHP</v>
          </cell>
          <cell r="E3667">
            <v>0</v>
          </cell>
          <cell r="F3667" t="str">
            <v>PC</v>
          </cell>
          <cell r="G3667">
            <v>0</v>
          </cell>
        </row>
        <row r="3668">
          <cell r="B3668">
            <v>34286</v>
          </cell>
          <cell r="C3668">
            <v>0</v>
          </cell>
          <cell r="D3668" t="str">
            <v>PHP</v>
          </cell>
          <cell r="E3668">
            <v>0</v>
          </cell>
          <cell r="F3668" t="str">
            <v>PC</v>
          </cell>
          <cell r="G3668">
            <v>0</v>
          </cell>
        </row>
        <row r="3669">
          <cell r="B3669">
            <v>34288</v>
          </cell>
          <cell r="C3669">
            <v>0</v>
          </cell>
          <cell r="D3669" t="str">
            <v>PHP</v>
          </cell>
          <cell r="E3669">
            <v>0</v>
          </cell>
          <cell r="F3669" t="str">
            <v>PC</v>
          </cell>
          <cell r="G3669">
            <v>0</v>
          </cell>
        </row>
        <row r="3670">
          <cell r="B3670">
            <v>34289</v>
          </cell>
          <cell r="C3670">
            <v>0</v>
          </cell>
          <cell r="D3670" t="str">
            <v>PHP</v>
          </cell>
          <cell r="E3670">
            <v>0</v>
          </cell>
          <cell r="F3670" t="str">
            <v>PC</v>
          </cell>
          <cell r="G3670">
            <v>0</v>
          </cell>
        </row>
        <row r="3671">
          <cell r="B3671">
            <v>34290</v>
          </cell>
          <cell r="C3671">
            <v>0</v>
          </cell>
          <cell r="D3671" t="str">
            <v>PHP</v>
          </cell>
          <cell r="E3671">
            <v>0</v>
          </cell>
          <cell r="F3671" t="str">
            <v>PC</v>
          </cell>
          <cell r="G3671">
            <v>0</v>
          </cell>
        </row>
        <row r="3672">
          <cell r="B3672">
            <v>34291</v>
          </cell>
          <cell r="C3672">
            <v>0</v>
          </cell>
          <cell r="D3672" t="str">
            <v>PHP</v>
          </cell>
          <cell r="E3672">
            <v>0</v>
          </cell>
          <cell r="F3672" t="str">
            <v>PC</v>
          </cell>
          <cell r="G3672">
            <v>0</v>
          </cell>
        </row>
        <row r="3673">
          <cell r="B3673">
            <v>34294</v>
          </cell>
          <cell r="C3673">
            <v>0</v>
          </cell>
          <cell r="D3673" t="str">
            <v>PHP</v>
          </cell>
          <cell r="E3673">
            <v>0</v>
          </cell>
          <cell r="F3673" t="str">
            <v>PC</v>
          </cell>
          <cell r="G3673">
            <v>0</v>
          </cell>
        </row>
        <row r="3674">
          <cell r="B3674">
            <v>34295</v>
          </cell>
          <cell r="C3674">
            <v>19258.54</v>
          </cell>
          <cell r="D3674" t="str">
            <v>PHP</v>
          </cell>
          <cell r="E3674">
            <v>1</v>
          </cell>
          <cell r="F3674" t="str">
            <v>PC</v>
          </cell>
          <cell r="G3674">
            <v>0</v>
          </cell>
        </row>
        <row r="3675">
          <cell r="B3675">
            <v>34296</v>
          </cell>
          <cell r="C3675">
            <v>0</v>
          </cell>
          <cell r="D3675" t="str">
            <v>PHP</v>
          </cell>
          <cell r="E3675">
            <v>0</v>
          </cell>
          <cell r="F3675" t="str">
            <v>PC</v>
          </cell>
          <cell r="G3675">
            <v>0</v>
          </cell>
        </row>
        <row r="3676">
          <cell r="B3676">
            <v>34297</v>
          </cell>
          <cell r="C3676">
            <v>0</v>
          </cell>
          <cell r="D3676" t="str">
            <v>PHP</v>
          </cell>
          <cell r="E3676">
            <v>0</v>
          </cell>
          <cell r="F3676" t="str">
            <v>PC</v>
          </cell>
          <cell r="G3676">
            <v>0</v>
          </cell>
        </row>
        <row r="3677">
          <cell r="B3677">
            <v>34298</v>
          </cell>
          <cell r="C3677">
            <v>0</v>
          </cell>
          <cell r="D3677" t="str">
            <v>PHP</v>
          </cell>
          <cell r="E3677">
            <v>0</v>
          </cell>
          <cell r="F3677" t="str">
            <v>PC</v>
          </cell>
          <cell r="G3677">
            <v>0</v>
          </cell>
        </row>
        <row r="3678">
          <cell r="B3678">
            <v>34299</v>
          </cell>
          <cell r="C3678">
            <v>0</v>
          </cell>
          <cell r="D3678" t="str">
            <v>PHP</v>
          </cell>
          <cell r="E3678">
            <v>0</v>
          </cell>
          <cell r="F3678" t="str">
            <v>PC</v>
          </cell>
          <cell r="G3678">
            <v>0</v>
          </cell>
        </row>
        <row r="3679">
          <cell r="B3679">
            <v>34300</v>
          </cell>
          <cell r="C3679">
            <v>0</v>
          </cell>
          <cell r="D3679" t="str">
            <v>PHP</v>
          </cell>
          <cell r="E3679">
            <v>0</v>
          </cell>
          <cell r="F3679" t="str">
            <v>PC</v>
          </cell>
          <cell r="G3679">
            <v>0</v>
          </cell>
        </row>
        <row r="3680">
          <cell r="B3680">
            <v>34301</v>
          </cell>
          <cell r="C3680">
            <v>0</v>
          </cell>
          <cell r="D3680" t="str">
            <v>PHP</v>
          </cell>
          <cell r="E3680">
            <v>0</v>
          </cell>
          <cell r="F3680" t="str">
            <v>PC</v>
          </cell>
          <cell r="G3680">
            <v>0</v>
          </cell>
        </row>
        <row r="3681">
          <cell r="B3681">
            <v>34302</v>
          </cell>
          <cell r="C3681">
            <v>0</v>
          </cell>
          <cell r="D3681" t="str">
            <v>PHP</v>
          </cell>
          <cell r="E3681">
            <v>0</v>
          </cell>
          <cell r="F3681" t="str">
            <v>PC</v>
          </cell>
          <cell r="G3681">
            <v>0</v>
          </cell>
        </row>
        <row r="3682">
          <cell r="B3682">
            <v>34303</v>
          </cell>
          <cell r="C3682">
            <v>0</v>
          </cell>
          <cell r="D3682" t="str">
            <v>PHP</v>
          </cell>
          <cell r="E3682">
            <v>0</v>
          </cell>
          <cell r="F3682" t="str">
            <v>PC</v>
          </cell>
          <cell r="G3682">
            <v>0</v>
          </cell>
        </row>
        <row r="3683">
          <cell r="B3683">
            <v>34304</v>
          </cell>
          <cell r="C3683">
            <v>0</v>
          </cell>
          <cell r="D3683" t="str">
            <v>PHP</v>
          </cell>
          <cell r="E3683">
            <v>0</v>
          </cell>
          <cell r="F3683" t="str">
            <v>PC</v>
          </cell>
          <cell r="G3683">
            <v>0</v>
          </cell>
        </row>
        <row r="3684">
          <cell r="B3684">
            <v>34305</v>
          </cell>
          <cell r="C3684">
            <v>0</v>
          </cell>
          <cell r="D3684" t="str">
            <v>PHP</v>
          </cell>
          <cell r="E3684">
            <v>0</v>
          </cell>
          <cell r="F3684" t="str">
            <v>SET</v>
          </cell>
          <cell r="G3684">
            <v>0</v>
          </cell>
        </row>
        <row r="3685">
          <cell r="B3685">
            <v>34306</v>
          </cell>
          <cell r="C3685">
            <v>0</v>
          </cell>
          <cell r="D3685" t="str">
            <v>PHP</v>
          </cell>
          <cell r="E3685">
            <v>0</v>
          </cell>
          <cell r="F3685" t="str">
            <v>PC</v>
          </cell>
          <cell r="G3685">
            <v>0</v>
          </cell>
        </row>
        <row r="3686">
          <cell r="B3686">
            <v>34308</v>
          </cell>
          <cell r="C3686">
            <v>0</v>
          </cell>
          <cell r="D3686" t="str">
            <v>PHP</v>
          </cell>
          <cell r="E3686">
            <v>0</v>
          </cell>
          <cell r="F3686" t="str">
            <v>PC</v>
          </cell>
          <cell r="G3686">
            <v>0</v>
          </cell>
        </row>
        <row r="3687">
          <cell r="B3687">
            <v>34309</v>
          </cell>
          <cell r="C3687">
            <v>0</v>
          </cell>
          <cell r="D3687" t="str">
            <v>PHP</v>
          </cell>
          <cell r="E3687">
            <v>0</v>
          </cell>
          <cell r="F3687" t="str">
            <v>PC</v>
          </cell>
          <cell r="G3687">
            <v>0</v>
          </cell>
        </row>
        <row r="3688">
          <cell r="B3688">
            <v>34310</v>
          </cell>
          <cell r="C3688">
            <v>330.76</v>
          </cell>
          <cell r="D3688" t="str">
            <v>PHP</v>
          </cell>
          <cell r="E3688">
            <v>66</v>
          </cell>
          <cell r="F3688" t="str">
            <v>PC</v>
          </cell>
          <cell r="G3688">
            <v>0</v>
          </cell>
        </row>
        <row r="3689">
          <cell r="B3689">
            <v>34311</v>
          </cell>
          <cell r="C3689">
            <v>0</v>
          </cell>
          <cell r="D3689" t="str">
            <v>PHP</v>
          </cell>
          <cell r="E3689">
            <v>0</v>
          </cell>
          <cell r="F3689" t="str">
            <v>PC</v>
          </cell>
          <cell r="G3689">
            <v>0</v>
          </cell>
        </row>
        <row r="3690">
          <cell r="B3690">
            <v>34312</v>
          </cell>
          <cell r="C3690">
            <v>0</v>
          </cell>
          <cell r="D3690" t="str">
            <v>PHP</v>
          </cell>
          <cell r="E3690">
            <v>0</v>
          </cell>
          <cell r="F3690" t="str">
            <v>PC</v>
          </cell>
          <cell r="G3690">
            <v>0</v>
          </cell>
        </row>
        <row r="3691">
          <cell r="B3691">
            <v>34313</v>
          </cell>
          <cell r="C3691">
            <v>0</v>
          </cell>
          <cell r="D3691" t="str">
            <v>PHP</v>
          </cell>
          <cell r="E3691">
            <v>0</v>
          </cell>
          <cell r="F3691" t="str">
            <v>PC</v>
          </cell>
          <cell r="G3691">
            <v>0</v>
          </cell>
        </row>
        <row r="3692">
          <cell r="B3692">
            <v>34315</v>
          </cell>
          <cell r="C3692">
            <v>0</v>
          </cell>
          <cell r="D3692" t="str">
            <v>PHP</v>
          </cell>
          <cell r="E3692">
            <v>0</v>
          </cell>
          <cell r="F3692" t="str">
            <v>PC</v>
          </cell>
          <cell r="G3692">
            <v>0</v>
          </cell>
        </row>
        <row r="3693">
          <cell r="B3693">
            <v>34316</v>
          </cell>
          <cell r="C3693">
            <v>0</v>
          </cell>
          <cell r="D3693" t="str">
            <v>PHP</v>
          </cell>
          <cell r="E3693">
            <v>0</v>
          </cell>
          <cell r="F3693" t="str">
            <v>PC</v>
          </cell>
          <cell r="G3693">
            <v>0</v>
          </cell>
        </row>
        <row r="3694">
          <cell r="B3694">
            <v>34317</v>
          </cell>
          <cell r="C3694">
            <v>0</v>
          </cell>
          <cell r="D3694" t="str">
            <v>PHP</v>
          </cell>
          <cell r="E3694">
            <v>0</v>
          </cell>
          <cell r="F3694" t="str">
            <v>PC</v>
          </cell>
          <cell r="G3694">
            <v>0</v>
          </cell>
        </row>
        <row r="3695">
          <cell r="B3695">
            <v>34318</v>
          </cell>
          <cell r="C3695">
            <v>1215.82</v>
          </cell>
          <cell r="D3695" t="str">
            <v>PHP</v>
          </cell>
          <cell r="E3695">
            <v>35</v>
          </cell>
          <cell r="F3695" t="str">
            <v>PC</v>
          </cell>
          <cell r="G3695">
            <v>0</v>
          </cell>
        </row>
        <row r="3696">
          <cell r="B3696">
            <v>34319</v>
          </cell>
          <cell r="C3696">
            <v>6368.45</v>
          </cell>
          <cell r="D3696" t="str">
            <v>PHP</v>
          </cell>
          <cell r="E3696">
            <v>1</v>
          </cell>
          <cell r="F3696" t="str">
            <v>PC</v>
          </cell>
          <cell r="G3696">
            <v>0</v>
          </cell>
        </row>
        <row r="3697">
          <cell r="B3697">
            <v>34320</v>
          </cell>
          <cell r="C3697">
            <v>0</v>
          </cell>
          <cell r="D3697" t="str">
            <v>PHP</v>
          </cell>
          <cell r="E3697">
            <v>0</v>
          </cell>
          <cell r="F3697" t="str">
            <v>PC</v>
          </cell>
          <cell r="G3697">
            <v>0</v>
          </cell>
        </row>
        <row r="3698">
          <cell r="B3698">
            <v>34321</v>
          </cell>
          <cell r="C3698">
            <v>0</v>
          </cell>
          <cell r="D3698" t="str">
            <v>PHP</v>
          </cell>
          <cell r="E3698">
            <v>0</v>
          </cell>
          <cell r="F3698" t="str">
            <v>PC</v>
          </cell>
          <cell r="G3698">
            <v>0</v>
          </cell>
        </row>
        <row r="3699">
          <cell r="B3699">
            <v>34322</v>
          </cell>
          <cell r="C3699">
            <v>0</v>
          </cell>
          <cell r="D3699" t="str">
            <v>PHP</v>
          </cell>
          <cell r="E3699">
            <v>0</v>
          </cell>
          <cell r="F3699" t="str">
            <v>PC</v>
          </cell>
          <cell r="G3699">
            <v>0</v>
          </cell>
        </row>
        <row r="3700">
          <cell r="B3700">
            <v>34323</v>
          </cell>
          <cell r="C3700">
            <v>0</v>
          </cell>
          <cell r="D3700" t="str">
            <v>PHP</v>
          </cell>
          <cell r="E3700">
            <v>0</v>
          </cell>
          <cell r="F3700" t="str">
            <v>PC</v>
          </cell>
          <cell r="G3700">
            <v>0</v>
          </cell>
        </row>
        <row r="3701">
          <cell r="B3701">
            <v>34324</v>
          </cell>
          <cell r="C3701">
            <v>0</v>
          </cell>
          <cell r="D3701" t="str">
            <v>PHP</v>
          </cell>
          <cell r="E3701">
            <v>0</v>
          </cell>
          <cell r="F3701" t="str">
            <v>PC</v>
          </cell>
          <cell r="G3701">
            <v>0</v>
          </cell>
        </row>
        <row r="3702">
          <cell r="B3702">
            <v>34325</v>
          </cell>
          <cell r="C3702">
            <v>0</v>
          </cell>
          <cell r="D3702" t="str">
            <v>PHP</v>
          </cell>
          <cell r="E3702">
            <v>0</v>
          </cell>
          <cell r="F3702" t="str">
            <v>PC</v>
          </cell>
          <cell r="G3702">
            <v>0</v>
          </cell>
        </row>
        <row r="3703">
          <cell r="B3703">
            <v>34327</v>
          </cell>
          <cell r="C3703">
            <v>0</v>
          </cell>
          <cell r="D3703" t="str">
            <v>PHP</v>
          </cell>
          <cell r="E3703">
            <v>0</v>
          </cell>
          <cell r="F3703" t="str">
            <v>PC</v>
          </cell>
          <cell r="G3703">
            <v>0</v>
          </cell>
        </row>
        <row r="3704">
          <cell r="B3704">
            <v>34329</v>
          </cell>
          <cell r="C3704">
            <v>0</v>
          </cell>
          <cell r="D3704" t="str">
            <v>PHP</v>
          </cell>
          <cell r="E3704">
            <v>0</v>
          </cell>
          <cell r="F3704" t="str">
            <v>PC</v>
          </cell>
          <cell r="G3704">
            <v>0</v>
          </cell>
        </row>
        <row r="3705">
          <cell r="B3705">
            <v>34331</v>
          </cell>
          <cell r="C3705">
            <v>2307.8000000000002</v>
          </cell>
          <cell r="D3705" t="str">
            <v>PHP</v>
          </cell>
          <cell r="E3705">
            <v>4</v>
          </cell>
          <cell r="F3705" t="str">
            <v>PC</v>
          </cell>
          <cell r="G3705">
            <v>0</v>
          </cell>
        </row>
        <row r="3706">
          <cell r="B3706">
            <v>34332</v>
          </cell>
          <cell r="C3706">
            <v>1183</v>
          </cell>
          <cell r="D3706" t="str">
            <v>PHP</v>
          </cell>
          <cell r="E3706">
            <v>7</v>
          </cell>
          <cell r="F3706" t="str">
            <v>PC</v>
          </cell>
          <cell r="G3706">
            <v>0</v>
          </cell>
        </row>
        <row r="3707">
          <cell r="B3707">
            <v>34333</v>
          </cell>
          <cell r="C3707">
            <v>1096.3</v>
          </cell>
          <cell r="D3707" t="str">
            <v>PHP</v>
          </cell>
          <cell r="E3707">
            <v>6</v>
          </cell>
          <cell r="F3707" t="str">
            <v>PC</v>
          </cell>
          <cell r="G3707">
            <v>0</v>
          </cell>
        </row>
        <row r="3708">
          <cell r="B3708">
            <v>34334</v>
          </cell>
          <cell r="C3708">
            <v>484</v>
          </cell>
          <cell r="D3708" t="str">
            <v>PHP</v>
          </cell>
          <cell r="E3708">
            <v>4</v>
          </cell>
          <cell r="F3708" t="str">
            <v>PC</v>
          </cell>
          <cell r="G3708">
            <v>0</v>
          </cell>
        </row>
        <row r="3709">
          <cell r="B3709">
            <v>34335</v>
          </cell>
          <cell r="C3709">
            <v>261.33</v>
          </cell>
          <cell r="D3709" t="str">
            <v>PHP</v>
          </cell>
          <cell r="E3709">
            <v>4</v>
          </cell>
          <cell r="F3709" t="str">
            <v>PC</v>
          </cell>
          <cell r="G3709">
            <v>0</v>
          </cell>
        </row>
        <row r="3710">
          <cell r="B3710">
            <v>34336</v>
          </cell>
          <cell r="C3710">
            <v>4837.1000000000004</v>
          </cell>
          <cell r="D3710" t="str">
            <v>PHP</v>
          </cell>
          <cell r="E3710">
            <v>8</v>
          </cell>
          <cell r="F3710" t="str">
            <v>PC</v>
          </cell>
          <cell r="G3710">
            <v>0</v>
          </cell>
        </row>
        <row r="3711">
          <cell r="B3711">
            <v>34349</v>
          </cell>
          <cell r="C3711">
            <v>0</v>
          </cell>
          <cell r="D3711" t="str">
            <v>PHP</v>
          </cell>
          <cell r="E3711">
            <v>0</v>
          </cell>
          <cell r="F3711" t="str">
            <v>PC</v>
          </cell>
          <cell r="G3711">
            <v>0</v>
          </cell>
        </row>
        <row r="3712">
          <cell r="B3712">
            <v>34350</v>
          </cell>
          <cell r="C3712">
            <v>0</v>
          </cell>
          <cell r="D3712" t="str">
            <v>PHP</v>
          </cell>
          <cell r="E3712">
            <v>0</v>
          </cell>
          <cell r="F3712" t="str">
            <v>PC</v>
          </cell>
          <cell r="G3712">
            <v>0</v>
          </cell>
        </row>
        <row r="3713">
          <cell r="B3713">
            <v>34351</v>
          </cell>
          <cell r="C3713">
            <v>0</v>
          </cell>
          <cell r="D3713" t="str">
            <v>PHP</v>
          </cell>
          <cell r="E3713">
            <v>0</v>
          </cell>
          <cell r="F3713" t="str">
            <v>PC</v>
          </cell>
          <cell r="G3713">
            <v>0</v>
          </cell>
        </row>
        <row r="3714">
          <cell r="B3714">
            <v>34352</v>
          </cell>
          <cell r="C3714">
            <v>0</v>
          </cell>
          <cell r="D3714" t="str">
            <v>PHP</v>
          </cell>
          <cell r="E3714">
            <v>0</v>
          </cell>
          <cell r="F3714" t="str">
            <v>PC</v>
          </cell>
          <cell r="G3714">
            <v>0</v>
          </cell>
        </row>
        <row r="3715">
          <cell r="B3715">
            <v>34353</v>
          </cell>
          <cell r="C3715">
            <v>0</v>
          </cell>
          <cell r="D3715" t="str">
            <v>PHP</v>
          </cell>
          <cell r="E3715">
            <v>0</v>
          </cell>
          <cell r="F3715" t="str">
            <v>PC</v>
          </cell>
          <cell r="G3715">
            <v>0</v>
          </cell>
        </row>
        <row r="3716">
          <cell r="B3716">
            <v>34354</v>
          </cell>
          <cell r="C3716">
            <v>0</v>
          </cell>
          <cell r="D3716" t="str">
            <v>PHP</v>
          </cell>
          <cell r="E3716">
            <v>0</v>
          </cell>
          <cell r="F3716" t="str">
            <v>PC</v>
          </cell>
          <cell r="G3716">
            <v>0</v>
          </cell>
        </row>
        <row r="3717">
          <cell r="B3717">
            <v>34355</v>
          </cell>
          <cell r="C3717">
            <v>0</v>
          </cell>
          <cell r="D3717" t="str">
            <v>PHP</v>
          </cell>
          <cell r="E3717">
            <v>0</v>
          </cell>
          <cell r="F3717" t="str">
            <v>PC</v>
          </cell>
          <cell r="G3717">
            <v>0</v>
          </cell>
        </row>
        <row r="3718">
          <cell r="B3718">
            <v>34356</v>
          </cell>
          <cell r="C3718">
            <v>0</v>
          </cell>
          <cell r="D3718" t="str">
            <v>PHP</v>
          </cell>
          <cell r="E3718">
            <v>0</v>
          </cell>
          <cell r="F3718" t="str">
            <v>PC</v>
          </cell>
          <cell r="G3718">
            <v>0</v>
          </cell>
        </row>
        <row r="3719">
          <cell r="B3719">
            <v>34357</v>
          </cell>
          <cell r="C3719">
            <v>0</v>
          </cell>
          <cell r="D3719" t="str">
            <v>PHP</v>
          </cell>
          <cell r="E3719">
            <v>0</v>
          </cell>
          <cell r="F3719" t="str">
            <v>PC</v>
          </cell>
          <cell r="G3719">
            <v>0</v>
          </cell>
        </row>
        <row r="3720">
          <cell r="B3720">
            <v>34358</v>
          </cell>
          <cell r="C3720">
            <v>0</v>
          </cell>
          <cell r="D3720" t="str">
            <v>PHP</v>
          </cell>
          <cell r="E3720">
            <v>0</v>
          </cell>
          <cell r="F3720" t="str">
            <v>PC</v>
          </cell>
          <cell r="G3720">
            <v>0</v>
          </cell>
        </row>
        <row r="3721">
          <cell r="B3721">
            <v>34359</v>
          </cell>
          <cell r="C3721">
            <v>0</v>
          </cell>
          <cell r="D3721" t="str">
            <v>PHP</v>
          </cell>
          <cell r="E3721">
            <v>0</v>
          </cell>
          <cell r="F3721" t="str">
            <v>PC</v>
          </cell>
          <cell r="G3721">
            <v>0</v>
          </cell>
        </row>
        <row r="3722">
          <cell r="B3722">
            <v>34360</v>
          </cell>
          <cell r="C3722">
            <v>0</v>
          </cell>
          <cell r="D3722" t="str">
            <v>PHP</v>
          </cell>
          <cell r="E3722">
            <v>0</v>
          </cell>
          <cell r="F3722" t="str">
            <v>PC</v>
          </cell>
          <cell r="G3722">
            <v>0</v>
          </cell>
        </row>
        <row r="3723">
          <cell r="B3723">
            <v>34361</v>
          </cell>
          <cell r="C3723">
            <v>0</v>
          </cell>
          <cell r="D3723" t="str">
            <v>PHP</v>
          </cell>
          <cell r="E3723">
            <v>0</v>
          </cell>
          <cell r="F3723" t="str">
            <v>PC</v>
          </cell>
          <cell r="G3723">
            <v>0</v>
          </cell>
        </row>
        <row r="3724">
          <cell r="B3724">
            <v>34362</v>
          </cell>
          <cell r="C3724">
            <v>0</v>
          </cell>
          <cell r="D3724" t="str">
            <v>PHP</v>
          </cell>
          <cell r="E3724">
            <v>0</v>
          </cell>
          <cell r="F3724" t="str">
            <v>PC</v>
          </cell>
          <cell r="G3724">
            <v>0</v>
          </cell>
        </row>
        <row r="3725">
          <cell r="B3725">
            <v>34363</v>
          </cell>
          <cell r="C3725">
            <v>0</v>
          </cell>
          <cell r="D3725" t="str">
            <v>PHP</v>
          </cell>
          <cell r="E3725">
            <v>0</v>
          </cell>
          <cell r="F3725" t="str">
            <v>PC</v>
          </cell>
          <cell r="G3725">
            <v>0</v>
          </cell>
        </row>
        <row r="3726">
          <cell r="B3726">
            <v>34364</v>
          </cell>
          <cell r="C3726">
            <v>0</v>
          </cell>
          <cell r="D3726" t="str">
            <v>PHP</v>
          </cell>
          <cell r="E3726">
            <v>0</v>
          </cell>
          <cell r="F3726" t="str">
            <v>PC</v>
          </cell>
          <cell r="G3726">
            <v>0</v>
          </cell>
        </row>
        <row r="3727">
          <cell r="B3727">
            <v>34365</v>
          </cell>
          <cell r="C3727">
            <v>0</v>
          </cell>
          <cell r="D3727" t="str">
            <v>PHP</v>
          </cell>
          <cell r="E3727">
            <v>0</v>
          </cell>
          <cell r="F3727" t="str">
            <v>PC</v>
          </cell>
          <cell r="G3727">
            <v>0</v>
          </cell>
        </row>
        <row r="3728">
          <cell r="B3728">
            <v>34366</v>
          </cell>
          <cell r="C3728">
            <v>0</v>
          </cell>
          <cell r="D3728" t="str">
            <v>PHP</v>
          </cell>
          <cell r="E3728">
            <v>0</v>
          </cell>
          <cell r="F3728" t="str">
            <v>PC</v>
          </cell>
          <cell r="G3728">
            <v>0</v>
          </cell>
        </row>
        <row r="3729">
          <cell r="B3729">
            <v>34367</v>
          </cell>
          <cell r="C3729">
            <v>910</v>
          </cell>
          <cell r="D3729" t="str">
            <v>PHP</v>
          </cell>
          <cell r="E3729">
            <v>2</v>
          </cell>
          <cell r="F3729" t="str">
            <v>PC</v>
          </cell>
          <cell r="G3729">
            <v>0</v>
          </cell>
        </row>
        <row r="3730">
          <cell r="B3730">
            <v>34368</v>
          </cell>
          <cell r="C3730">
            <v>626.41999999999996</v>
          </cell>
          <cell r="D3730" t="str">
            <v>PHP</v>
          </cell>
          <cell r="E3730">
            <v>100</v>
          </cell>
          <cell r="F3730" t="str">
            <v>PC</v>
          </cell>
          <cell r="G3730">
            <v>0</v>
          </cell>
        </row>
        <row r="3731">
          <cell r="B3731">
            <v>34372</v>
          </cell>
          <cell r="C3731">
            <v>33832.32</v>
          </cell>
          <cell r="D3731" t="str">
            <v>PHP</v>
          </cell>
          <cell r="E3731">
            <v>2</v>
          </cell>
          <cell r="F3731" t="str">
            <v>SET</v>
          </cell>
          <cell r="G3731">
            <v>0</v>
          </cell>
        </row>
        <row r="3732">
          <cell r="B3732">
            <v>34373</v>
          </cell>
          <cell r="C3732">
            <v>104.75</v>
          </cell>
          <cell r="D3732" t="str">
            <v>PHP</v>
          </cell>
          <cell r="E3732">
            <v>12</v>
          </cell>
          <cell r="F3732" t="str">
            <v>PC</v>
          </cell>
          <cell r="G3732">
            <v>0</v>
          </cell>
        </row>
        <row r="3733">
          <cell r="B3733">
            <v>34374</v>
          </cell>
          <cell r="C3733">
            <v>771.02</v>
          </cell>
          <cell r="D3733" t="str">
            <v>PHP</v>
          </cell>
          <cell r="E3733">
            <v>8</v>
          </cell>
          <cell r="F3733" t="str">
            <v>PC</v>
          </cell>
          <cell r="G3733">
            <v>0</v>
          </cell>
        </row>
        <row r="3734">
          <cell r="B3734">
            <v>34378</v>
          </cell>
          <cell r="C3734">
            <v>6077</v>
          </cell>
          <cell r="D3734" t="str">
            <v>PHP</v>
          </cell>
          <cell r="E3734">
            <v>2</v>
          </cell>
          <cell r="F3734" t="str">
            <v>PC</v>
          </cell>
          <cell r="G3734">
            <v>0</v>
          </cell>
        </row>
        <row r="3735">
          <cell r="B3735">
            <v>34379</v>
          </cell>
          <cell r="C3735">
            <v>317.2</v>
          </cell>
          <cell r="D3735" t="str">
            <v>PHP</v>
          </cell>
          <cell r="E3735">
            <v>6</v>
          </cell>
          <cell r="F3735" t="str">
            <v>PC</v>
          </cell>
          <cell r="G3735">
            <v>0</v>
          </cell>
        </row>
        <row r="3736">
          <cell r="B3736">
            <v>34381</v>
          </cell>
          <cell r="C3736">
            <v>377.41</v>
          </cell>
          <cell r="D3736" t="str">
            <v>PHP</v>
          </cell>
          <cell r="E3736">
            <v>12</v>
          </cell>
          <cell r="F3736" t="str">
            <v>PC</v>
          </cell>
          <cell r="G3736">
            <v>0</v>
          </cell>
        </row>
        <row r="3737">
          <cell r="B3737">
            <v>34384</v>
          </cell>
          <cell r="C3737">
            <v>308.45</v>
          </cell>
          <cell r="D3737" t="str">
            <v>PHP</v>
          </cell>
          <cell r="E3737">
            <v>12</v>
          </cell>
          <cell r="F3737" t="str">
            <v>PC</v>
          </cell>
          <cell r="G3737">
            <v>0</v>
          </cell>
        </row>
        <row r="3738">
          <cell r="B3738">
            <v>34385</v>
          </cell>
          <cell r="C3738">
            <v>216685.2</v>
          </cell>
          <cell r="D3738" t="str">
            <v>PHP</v>
          </cell>
          <cell r="E3738">
            <v>4</v>
          </cell>
          <cell r="F3738" t="str">
            <v>SET</v>
          </cell>
          <cell r="G3738">
            <v>0</v>
          </cell>
        </row>
        <row r="3739">
          <cell r="B3739">
            <v>34386</v>
          </cell>
          <cell r="C3739">
            <v>1985.14</v>
          </cell>
          <cell r="D3739" t="str">
            <v>PHP</v>
          </cell>
          <cell r="E3739">
            <v>2</v>
          </cell>
          <cell r="F3739" t="str">
            <v>PC</v>
          </cell>
          <cell r="G3739">
            <v>0</v>
          </cell>
        </row>
        <row r="3740">
          <cell r="B3740">
            <v>34387</v>
          </cell>
          <cell r="C3740">
            <v>2010.72</v>
          </cell>
          <cell r="D3740" t="str">
            <v>PHP</v>
          </cell>
          <cell r="E3740">
            <v>2</v>
          </cell>
          <cell r="F3740" t="str">
            <v>PC</v>
          </cell>
          <cell r="G3740">
            <v>0</v>
          </cell>
        </row>
        <row r="3741">
          <cell r="B3741">
            <v>34388</v>
          </cell>
          <cell r="C3741">
            <v>4962.8500000000004</v>
          </cell>
          <cell r="D3741" t="str">
            <v>PHP</v>
          </cell>
          <cell r="E3741">
            <v>2</v>
          </cell>
          <cell r="F3741" t="str">
            <v>ASY</v>
          </cell>
          <cell r="G3741">
            <v>0</v>
          </cell>
        </row>
        <row r="3742">
          <cell r="B3742">
            <v>34395</v>
          </cell>
          <cell r="C3742">
            <v>7090.2</v>
          </cell>
          <cell r="D3742" t="str">
            <v>PHP</v>
          </cell>
          <cell r="E3742">
            <v>2</v>
          </cell>
          <cell r="F3742" t="str">
            <v>PC</v>
          </cell>
          <cell r="G3742">
            <v>0</v>
          </cell>
        </row>
        <row r="3743">
          <cell r="B3743">
            <v>34396</v>
          </cell>
          <cell r="C3743">
            <v>3315.38</v>
          </cell>
          <cell r="D3743" t="str">
            <v>PHP</v>
          </cell>
          <cell r="E3743">
            <v>2</v>
          </cell>
          <cell r="F3743" t="str">
            <v>PC</v>
          </cell>
          <cell r="G3743">
            <v>0</v>
          </cell>
        </row>
        <row r="3744">
          <cell r="B3744">
            <v>34397</v>
          </cell>
          <cell r="C3744">
            <v>195161.67</v>
          </cell>
          <cell r="D3744" t="str">
            <v>PHP</v>
          </cell>
          <cell r="E3744">
            <v>3</v>
          </cell>
          <cell r="F3744" t="str">
            <v>SET</v>
          </cell>
          <cell r="G3744">
            <v>0</v>
          </cell>
        </row>
        <row r="3745">
          <cell r="B3745">
            <v>34398</v>
          </cell>
          <cell r="C3745">
            <v>3128.31</v>
          </cell>
          <cell r="D3745" t="str">
            <v>PHP</v>
          </cell>
          <cell r="E3745">
            <v>1</v>
          </cell>
          <cell r="F3745" t="str">
            <v>SET</v>
          </cell>
          <cell r="G3745">
            <v>0</v>
          </cell>
        </row>
        <row r="3746">
          <cell r="B3746">
            <v>34399</v>
          </cell>
          <cell r="C3746">
            <v>120246.63</v>
          </cell>
          <cell r="D3746" t="str">
            <v>PHP</v>
          </cell>
          <cell r="E3746">
            <v>1</v>
          </cell>
          <cell r="F3746" t="str">
            <v>ASY</v>
          </cell>
          <cell r="G3746">
            <v>0</v>
          </cell>
        </row>
        <row r="3747">
          <cell r="B3747">
            <v>34402</v>
          </cell>
          <cell r="C3747">
            <v>17541.259999999998</v>
          </cell>
          <cell r="D3747" t="str">
            <v>PHP</v>
          </cell>
          <cell r="E3747">
            <v>4</v>
          </cell>
          <cell r="F3747" t="str">
            <v>SET</v>
          </cell>
          <cell r="G3747">
            <v>0</v>
          </cell>
        </row>
        <row r="3748">
          <cell r="B3748">
            <v>34403</v>
          </cell>
          <cell r="C3748">
            <v>256509.19</v>
          </cell>
          <cell r="D3748" t="str">
            <v>PHP</v>
          </cell>
          <cell r="E3748">
            <v>1</v>
          </cell>
          <cell r="F3748" t="str">
            <v>PC</v>
          </cell>
          <cell r="G3748">
            <v>0</v>
          </cell>
        </row>
        <row r="3749">
          <cell r="B3749">
            <v>34405</v>
          </cell>
          <cell r="C3749">
            <v>61948.15</v>
          </cell>
          <cell r="D3749" t="str">
            <v>PHP</v>
          </cell>
          <cell r="E3749">
            <v>9</v>
          </cell>
          <cell r="F3749" t="str">
            <v>PC</v>
          </cell>
          <cell r="G3749">
            <v>0</v>
          </cell>
        </row>
        <row r="3750">
          <cell r="B3750">
            <v>34410</v>
          </cell>
          <cell r="C3750">
            <v>3720.02</v>
          </cell>
          <cell r="D3750" t="str">
            <v>PHP</v>
          </cell>
          <cell r="E3750">
            <v>4</v>
          </cell>
          <cell r="F3750" t="str">
            <v>PC</v>
          </cell>
          <cell r="G3750">
            <v>0</v>
          </cell>
        </row>
        <row r="3751">
          <cell r="B3751">
            <v>34411</v>
          </cell>
          <cell r="C3751">
            <v>9925.48</v>
          </cell>
          <cell r="D3751" t="str">
            <v>PHP</v>
          </cell>
          <cell r="E3751">
            <v>3</v>
          </cell>
          <cell r="F3751" t="str">
            <v>PC</v>
          </cell>
          <cell r="G3751">
            <v>0</v>
          </cell>
        </row>
        <row r="3752">
          <cell r="B3752">
            <v>34416</v>
          </cell>
          <cell r="C3752">
            <v>6526.72</v>
          </cell>
          <cell r="D3752" t="str">
            <v>PHP</v>
          </cell>
          <cell r="E3752">
            <v>3</v>
          </cell>
          <cell r="F3752" t="str">
            <v>PC</v>
          </cell>
          <cell r="G3752">
            <v>0</v>
          </cell>
        </row>
        <row r="3753">
          <cell r="B3753">
            <v>34421</v>
          </cell>
          <cell r="C3753">
            <v>103634.67</v>
          </cell>
          <cell r="D3753" t="str">
            <v>PHP</v>
          </cell>
          <cell r="E3753">
            <v>2</v>
          </cell>
          <cell r="F3753" t="str">
            <v>PC</v>
          </cell>
          <cell r="G3753">
            <v>0</v>
          </cell>
        </row>
        <row r="3754">
          <cell r="B3754">
            <v>34422</v>
          </cell>
          <cell r="C3754">
            <v>141985.95000000001</v>
          </cell>
          <cell r="D3754" t="str">
            <v>PHP</v>
          </cell>
          <cell r="E3754">
            <v>8</v>
          </cell>
          <cell r="F3754" t="str">
            <v>PC</v>
          </cell>
          <cell r="G3754">
            <v>0</v>
          </cell>
        </row>
        <row r="3755">
          <cell r="B3755">
            <v>34423</v>
          </cell>
          <cell r="C3755">
            <v>189819.35</v>
          </cell>
          <cell r="D3755" t="str">
            <v>PHP</v>
          </cell>
          <cell r="E3755">
            <v>5</v>
          </cell>
          <cell r="F3755" t="str">
            <v>SET</v>
          </cell>
          <cell r="G3755">
            <v>0</v>
          </cell>
        </row>
        <row r="3756">
          <cell r="B3756">
            <v>34424</v>
          </cell>
          <cell r="C3756">
            <v>13612.82</v>
          </cell>
          <cell r="D3756" t="str">
            <v>PHP</v>
          </cell>
          <cell r="E3756">
            <v>2</v>
          </cell>
          <cell r="F3756" t="str">
            <v>SET</v>
          </cell>
          <cell r="G3756">
            <v>0</v>
          </cell>
        </row>
        <row r="3757">
          <cell r="B3757">
            <v>34425</v>
          </cell>
          <cell r="C3757">
            <v>41785.67</v>
          </cell>
          <cell r="D3757" t="str">
            <v>PHP</v>
          </cell>
          <cell r="E3757">
            <v>6</v>
          </cell>
          <cell r="F3757" t="str">
            <v>PC</v>
          </cell>
          <cell r="G3757">
            <v>0</v>
          </cell>
        </row>
        <row r="3758">
          <cell r="B3758">
            <v>34426</v>
          </cell>
          <cell r="C3758">
            <v>966.72</v>
          </cell>
          <cell r="D3758" t="str">
            <v>PHP</v>
          </cell>
          <cell r="E3758">
            <v>4</v>
          </cell>
          <cell r="F3758" t="str">
            <v>SET</v>
          </cell>
          <cell r="G3758">
            <v>0</v>
          </cell>
        </row>
        <row r="3759">
          <cell r="B3759">
            <v>34432</v>
          </cell>
          <cell r="C3759">
            <v>3297.83</v>
          </cell>
          <cell r="D3759" t="str">
            <v>PHP</v>
          </cell>
          <cell r="E3759">
            <v>9</v>
          </cell>
          <cell r="F3759" t="str">
            <v>PC</v>
          </cell>
          <cell r="G3759">
            <v>0</v>
          </cell>
        </row>
        <row r="3760">
          <cell r="B3760">
            <v>34433</v>
          </cell>
          <cell r="C3760">
            <v>0</v>
          </cell>
          <cell r="D3760" t="str">
            <v>PHP</v>
          </cell>
          <cell r="E3760">
            <v>0</v>
          </cell>
          <cell r="F3760" t="str">
            <v>PC</v>
          </cell>
          <cell r="G3760">
            <v>0</v>
          </cell>
        </row>
        <row r="3761">
          <cell r="B3761">
            <v>34434</v>
          </cell>
          <cell r="C3761">
            <v>3610</v>
          </cell>
          <cell r="D3761" t="str">
            <v>PHP</v>
          </cell>
          <cell r="E3761">
            <v>1</v>
          </cell>
          <cell r="F3761" t="str">
            <v>PC</v>
          </cell>
          <cell r="G3761">
            <v>0</v>
          </cell>
        </row>
        <row r="3762">
          <cell r="B3762">
            <v>34453</v>
          </cell>
          <cell r="C3762">
            <v>1899.3</v>
          </cell>
          <cell r="D3762" t="str">
            <v>PHP</v>
          </cell>
          <cell r="E3762">
            <v>2</v>
          </cell>
          <cell r="F3762" t="str">
            <v>PC</v>
          </cell>
          <cell r="G3762">
            <v>0</v>
          </cell>
        </row>
        <row r="3763">
          <cell r="B3763">
            <v>34454</v>
          </cell>
          <cell r="C3763">
            <v>115575</v>
          </cell>
          <cell r="D3763" t="str">
            <v>PHP</v>
          </cell>
          <cell r="E3763">
            <v>5</v>
          </cell>
          <cell r="F3763" t="str">
            <v>PC</v>
          </cell>
          <cell r="G3763">
            <v>0</v>
          </cell>
        </row>
        <row r="3764">
          <cell r="B3764">
            <v>34458</v>
          </cell>
          <cell r="C3764">
            <v>9201.69</v>
          </cell>
          <cell r="D3764" t="str">
            <v>PHP</v>
          </cell>
          <cell r="E3764">
            <v>4</v>
          </cell>
          <cell r="F3764" t="str">
            <v>PC</v>
          </cell>
          <cell r="G3764">
            <v>0</v>
          </cell>
        </row>
        <row r="3765">
          <cell r="B3765">
            <v>34459</v>
          </cell>
          <cell r="C3765">
            <v>15033.49</v>
          </cell>
          <cell r="D3765" t="str">
            <v>PHP</v>
          </cell>
          <cell r="E3765">
            <v>2</v>
          </cell>
          <cell r="F3765" t="str">
            <v>PC</v>
          </cell>
          <cell r="G3765">
            <v>0</v>
          </cell>
        </row>
        <row r="3766">
          <cell r="B3766">
            <v>34460</v>
          </cell>
          <cell r="C3766">
            <v>36</v>
          </cell>
          <cell r="D3766" t="str">
            <v>PHP</v>
          </cell>
          <cell r="E3766">
            <v>2</v>
          </cell>
          <cell r="F3766" t="str">
            <v>PC</v>
          </cell>
          <cell r="G3766">
            <v>0</v>
          </cell>
        </row>
        <row r="3767">
          <cell r="B3767">
            <v>34514</v>
          </cell>
          <cell r="C3767">
            <v>4083.92</v>
          </cell>
          <cell r="D3767" t="str">
            <v>PHP</v>
          </cell>
          <cell r="E3767">
            <v>4</v>
          </cell>
          <cell r="F3767" t="str">
            <v>PC</v>
          </cell>
          <cell r="G3767">
            <v>0</v>
          </cell>
        </row>
        <row r="3768">
          <cell r="B3768">
            <v>34515</v>
          </cell>
          <cell r="C3768">
            <v>190992.96</v>
          </cell>
          <cell r="D3768" t="str">
            <v>PHP</v>
          </cell>
          <cell r="E3768">
            <v>16</v>
          </cell>
          <cell r="F3768" t="str">
            <v>PC</v>
          </cell>
          <cell r="G3768">
            <v>0</v>
          </cell>
        </row>
        <row r="3769">
          <cell r="B3769">
            <v>34517</v>
          </cell>
          <cell r="C3769">
            <v>36116.81</v>
          </cell>
          <cell r="D3769" t="str">
            <v>PHP</v>
          </cell>
          <cell r="E3769">
            <v>4</v>
          </cell>
          <cell r="F3769" t="str">
            <v>PC</v>
          </cell>
          <cell r="G3769">
            <v>0</v>
          </cell>
        </row>
        <row r="3770">
          <cell r="B3770">
            <v>34518</v>
          </cell>
          <cell r="C3770">
            <v>1542.65</v>
          </cell>
          <cell r="D3770" t="str">
            <v>PHP</v>
          </cell>
          <cell r="E3770">
            <v>294</v>
          </cell>
          <cell r="F3770" t="str">
            <v>PC</v>
          </cell>
          <cell r="G3770">
            <v>0</v>
          </cell>
        </row>
        <row r="3771">
          <cell r="B3771">
            <v>34521</v>
          </cell>
          <cell r="C3771">
            <v>7050</v>
          </cell>
          <cell r="D3771" t="str">
            <v>PHP</v>
          </cell>
          <cell r="E3771">
            <v>3</v>
          </cell>
          <cell r="F3771" t="str">
            <v>PC</v>
          </cell>
          <cell r="G3771">
            <v>0</v>
          </cell>
        </row>
        <row r="3772">
          <cell r="B3772">
            <v>34523</v>
          </cell>
          <cell r="C3772">
            <v>32930.25</v>
          </cell>
          <cell r="D3772" t="str">
            <v>PHP</v>
          </cell>
          <cell r="E3772">
            <v>12</v>
          </cell>
          <cell r="F3772" t="str">
            <v>PC</v>
          </cell>
          <cell r="G3772">
            <v>0</v>
          </cell>
        </row>
        <row r="3773">
          <cell r="B3773">
            <v>34524</v>
          </cell>
          <cell r="C3773">
            <v>2065.1799999999998</v>
          </cell>
          <cell r="D3773" t="str">
            <v>PHP</v>
          </cell>
          <cell r="E3773">
            <v>1</v>
          </cell>
          <cell r="F3773" t="str">
            <v>PC</v>
          </cell>
          <cell r="G3773">
            <v>0</v>
          </cell>
        </row>
        <row r="3774">
          <cell r="B3774">
            <v>34525</v>
          </cell>
          <cell r="C3774">
            <v>14141.25</v>
          </cell>
          <cell r="D3774" t="str">
            <v>PHP</v>
          </cell>
          <cell r="E3774">
            <v>71</v>
          </cell>
          <cell r="F3774" t="str">
            <v>PC</v>
          </cell>
          <cell r="G3774">
            <v>0</v>
          </cell>
        </row>
        <row r="3775">
          <cell r="B3775">
            <v>34526</v>
          </cell>
          <cell r="C3775">
            <v>108372.06</v>
          </cell>
          <cell r="D3775" t="str">
            <v>PHP</v>
          </cell>
          <cell r="E3775">
            <v>4</v>
          </cell>
          <cell r="F3775" t="str">
            <v>PC</v>
          </cell>
          <cell r="G3775">
            <v>0</v>
          </cell>
        </row>
        <row r="3776">
          <cell r="B3776">
            <v>34528</v>
          </cell>
          <cell r="C3776">
            <v>3875.05</v>
          </cell>
          <cell r="D3776" t="str">
            <v>PHP</v>
          </cell>
          <cell r="E3776">
            <v>2</v>
          </cell>
          <cell r="F3776" t="str">
            <v>PC</v>
          </cell>
          <cell r="G3776">
            <v>0</v>
          </cell>
        </row>
        <row r="3777">
          <cell r="B3777">
            <v>34529</v>
          </cell>
          <cell r="C3777">
            <v>6284.84</v>
          </cell>
          <cell r="D3777" t="str">
            <v>PHP</v>
          </cell>
          <cell r="E3777">
            <v>3</v>
          </cell>
          <cell r="F3777" t="str">
            <v>PC</v>
          </cell>
          <cell r="G3777">
            <v>0</v>
          </cell>
        </row>
        <row r="3778">
          <cell r="B3778">
            <v>34530</v>
          </cell>
          <cell r="C3778">
            <v>1424.4</v>
          </cell>
          <cell r="D3778" t="str">
            <v>PHP</v>
          </cell>
          <cell r="E3778">
            <v>1</v>
          </cell>
          <cell r="F3778" t="str">
            <v>PC</v>
          </cell>
          <cell r="G3778">
            <v>0</v>
          </cell>
        </row>
        <row r="3779">
          <cell r="B3779">
            <v>34531</v>
          </cell>
          <cell r="C3779">
            <v>3109.06</v>
          </cell>
          <cell r="D3779" t="str">
            <v>PHP</v>
          </cell>
          <cell r="E3779">
            <v>4</v>
          </cell>
          <cell r="F3779" t="str">
            <v>PC</v>
          </cell>
          <cell r="G3779">
            <v>0</v>
          </cell>
        </row>
        <row r="3780">
          <cell r="B3780">
            <v>34532</v>
          </cell>
          <cell r="C3780">
            <v>9102.8700000000008</v>
          </cell>
          <cell r="D3780" t="str">
            <v>PHP</v>
          </cell>
          <cell r="E3780">
            <v>21</v>
          </cell>
          <cell r="F3780" t="str">
            <v>PC</v>
          </cell>
          <cell r="G3780">
            <v>0</v>
          </cell>
        </row>
        <row r="3781">
          <cell r="B3781">
            <v>34533</v>
          </cell>
          <cell r="C3781">
            <v>124416.97</v>
          </cell>
          <cell r="D3781" t="str">
            <v>PHP</v>
          </cell>
          <cell r="E3781">
            <v>10</v>
          </cell>
          <cell r="F3781" t="str">
            <v>SET</v>
          </cell>
          <cell r="G3781">
            <v>0</v>
          </cell>
        </row>
        <row r="3782">
          <cell r="B3782">
            <v>34534</v>
          </cell>
          <cell r="C3782">
            <v>8748.8799999999992</v>
          </cell>
          <cell r="D3782" t="str">
            <v>PHP</v>
          </cell>
          <cell r="E3782">
            <v>8</v>
          </cell>
          <cell r="F3782" t="str">
            <v>SET</v>
          </cell>
          <cell r="G3782">
            <v>0</v>
          </cell>
        </row>
        <row r="3783">
          <cell r="B3783">
            <v>34535</v>
          </cell>
          <cell r="C3783">
            <v>66.819999999999993</v>
          </cell>
          <cell r="D3783" t="str">
            <v>PHP</v>
          </cell>
          <cell r="E3783">
            <v>8</v>
          </cell>
          <cell r="F3783" t="str">
            <v>PC</v>
          </cell>
          <cell r="G3783">
            <v>0</v>
          </cell>
        </row>
        <row r="3784">
          <cell r="B3784">
            <v>34538</v>
          </cell>
          <cell r="C3784">
            <v>150.66999999999999</v>
          </cell>
          <cell r="D3784" t="str">
            <v>PHP</v>
          </cell>
          <cell r="E3784">
            <v>7</v>
          </cell>
          <cell r="F3784" t="str">
            <v>PC</v>
          </cell>
          <cell r="G3784">
            <v>0</v>
          </cell>
        </row>
        <row r="3785">
          <cell r="B3785">
            <v>34539</v>
          </cell>
          <cell r="C3785">
            <v>420.47</v>
          </cell>
          <cell r="D3785" t="str">
            <v>PHP</v>
          </cell>
          <cell r="E3785">
            <v>48</v>
          </cell>
          <cell r="F3785" t="str">
            <v>PC</v>
          </cell>
          <cell r="G3785">
            <v>0</v>
          </cell>
        </row>
        <row r="3786">
          <cell r="B3786">
            <v>34540</v>
          </cell>
          <cell r="C3786">
            <v>959.65</v>
          </cell>
          <cell r="D3786" t="str">
            <v>PHP</v>
          </cell>
          <cell r="E3786">
            <v>6</v>
          </cell>
          <cell r="F3786" t="str">
            <v>PC</v>
          </cell>
          <cell r="G3786">
            <v>0</v>
          </cell>
        </row>
        <row r="3787">
          <cell r="B3787">
            <v>34541</v>
          </cell>
          <cell r="C3787">
            <v>863.41</v>
          </cell>
          <cell r="D3787" t="str">
            <v>PHP</v>
          </cell>
          <cell r="E3787">
            <v>8</v>
          </cell>
          <cell r="F3787" t="str">
            <v>PC</v>
          </cell>
          <cell r="G3787">
            <v>0</v>
          </cell>
        </row>
        <row r="3788">
          <cell r="B3788">
            <v>34542</v>
          </cell>
          <cell r="C3788">
            <v>107.36</v>
          </cell>
          <cell r="D3788" t="str">
            <v>PHP</v>
          </cell>
          <cell r="E3788">
            <v>4</v>
          </cell>
          <cell r="F3788" t="str">
            <v>PC</v>
          </cell>
          <cell r="G3788">
            <v>0</v>
          </cell>
        </row>
        <row r="3789">
          <cell r="B3789">
            <v>34544</v>
          </cell>
          <cell r="C3789">
            <v>16854.580000000002</v>
          </cell>
          <cell r="D3789" t="str">
            <v>PHP</v>
          </cell>
          <cell r="E3789">
            <v>2</v>
          </cell>
          <cell r="F3789" t="str">
            <v>PC</v>
          </cell>
          <cell r="G3789">
            <v>0</v>
          </cell>
        </row>
        <row r="3790">
          <cell r="B3790">
            <v>34545</v>
          </cell>
          <cell r="C3790">
            <v>427.08</v>
          </cell>
          <cell r="D3790" t="str">
            <v>PHP</v>
          </cell>
          <cell r="E3790">
            <v>5</v>
          </cell>
          <cell r="F3790" t="str">
            <v>PC</v>
          </cell>
          <cell r="G3790">
            <v>0</v>
          </cell>
        </row>
        <row r="3791">
          <cell r="B3791">
            <v>34548</v>
          </cell>
          <cell r="C3791">
            <v>1472.92</v>
          </cell>
          <cell r="D3791" t="str">
            <v>PHP</v>
          </cell>
          <cell r="E3791">
            <v>13</v>
          </cell>
          <cell r="F3791" t="str">
            <v>PC</v>
          </cell>
          <cell r="G3791">
            <v>0</v>
          </cell>
        </row>
        <row r="3792">
          <cell r="B3792">
            <v>34549</v>
          </cell>
          <cell r="C3792">
            <v>31923.22</v>
          </cell>
          <cell r="D3792" t="str">
            <v>PHP</v>
          </cell>
          <cell r="E3792">
            <v>25</v>
          </cell>
          <cell r="F3792" t="str">
            <v>PC</v>
          </cell>
          <cell r="G3792">
            <v>0</v>
          </cell>
        </row>
        <row r="3793">
          <cell r="B3793">
            <v>34551</v>
          </cell>
          <cell r="C3793">
            <v>72734.92</v>
          </cell>
          <cell r="D3793" t="str">
            <v>PHP</v>
          </cell>
          <cell r="E3793">
            <v>7</v>
          </cell>
          <cell r="F3793" t="str">
            <v>PC</v>
          </cell>
          <cell r="G3793">
            <v>0</v>
          </cell>
        </row>
        <row r="3794">
          <cell r="B3794">
            <v>34552</v>
          </cell>
          <cell r="C3794">
            <v>31593.05</v>
          </cell>
          <cell r="D3794" t="str">
            <v>PHP</v>
          </cell>
          <cell r="E3794">
            <v>8</v>
          </cell>
          <cell r="F3794" t="str">
            <v>PC</v>
          </cell>
          <cell r="G3794">
            <v>0</v>
          </cell>
        </row>
        <row r="3795">
          <cell r="B3795">
            <v>34553</v>
          </cell>
          <cell r="C3795">
            <v>223938.33</v>
          </cell>
          <cell r="D3795" t="str">
            <v>PHP</v>
          </cell>
          <cell r="E3795">
            <v>4</v>
          </cell>
          <cell r="F3795" t="str">
            <v>ASY</v>
          </cell>
          <cell r="G3795">
            <v>0</v>
          </cell>
        </row>
        <row r="3796">
          <cell r="B3796">
            <v>34565</v>
          </cell>
          <cell r="C3796">
            <v>168.91</v>
          </cell>
          <cell r="D3796" t="str">
            <v>PHP</v>
          </cell>
          <cell r="E3796">
            <v>10</v>
          </cell>
          <cell r="F3796" t="str">
            <v>PC</v>
          </cell>
          <cell r="G3796">
            <v>0</v>
          </cell>
        </row>
        <row r="3797">
          <cell r="B3797">
            <v>34566</v>
          </cell>
          <cell r="C3797">
            <v>1348.65</v>
          </cell>
          <cell r="D3797" t="str">
            <v>PHP</v>
          </cell>
          <cell r="E3797">
            <v>8</v>
          </cell>
          <cell r="F3797" t="str">
            <v>PC</v>
          </cell>
          <cell r="G3797">
            <v>0</v>
          </cell>
        </row>
        <row r="3798">
          <cell r="B3798">
            <v>34567</v>
          </cell>
          <cell r="C3798">
            <v>2401.71</v>
          </cell>
          <cell r="D3798" t="str">
            <v>PHP</v>
          </cell>
          <cell r="E3798">
            <v>8</v>
          </cell>
          <cell r="F3798" t="str">
            <v>PC</v>
          </cell>
          <cell r="G3798">
            <v>0</v>
          </cell>
        </row>
        <row r="3799">
          <cell r="B3799">
            <v>34568</v>
          </cell>
          <cell r="C3799">
            <v>2037</v>
          </cell>
          <cell r="D3799" t="str">
            <v>PHP</v>
          </cell>
          <cell r="E3799">
            <v>1</v>
          </cell>
          <cell r="F3799" t="str">
            <v>PC</v>
          </cell>
          <cell r="G3799">
            <v>0</v>
          </cell>
        </row>
        <row r="3800">
          <cell r="B3800">
            <v>34569</v>
          </cell>
          <cell r="C3800">
            <v>1058.8</v>
          </cell>
          <cell r="D3800" t="str">
            <v>PHP</v>
          </cell>
          <cell r="E3800">
            <v>4</v>
          </cell>
          <cell r="F3800" t="str">
            <v>PC</v>
          </cell>
          <cell r="G3800">
            <v>0</v>
          </cell>
        </row>
        <row r="3801">
          <cell r="B3801">
            <v>34571</v>
          </cell>
          <cell r="C3801">
            <v>33277.54</v>
          </cell>
          <cell r="D3801" t="str">
            <v>PHP</v>
          </cell>
          <cell r="E3801">
            <v>3</v>
          </cell>
          <cell r="F3801" t="str">
            <v>ASY</v>
          </cell>
          <cell r="G3801">
            <v>0</v>
          </cell>
        </row>
        <row r="3802">
          <cell r="B3802">
            <v>34572</v>
          </cell>
          <cell r="C3802">
            <v>78459.66</v>
          </cell>
          <cell r="D3802" t="str">
            <v>PHP</v>
          </cell>
          <cell r="E3802">
            <v>5</v>
          </cell>
          <cell r="F3802" t="str">
            <v>PC</v>
          </cell>
          <cell r="G3802">
            <v>0</v>
          </cell>
        </row>
        <row r="3803">
          <cell r="B3803">
            <v>34573</v>
          </cell>
          <cell r="C3803">
            <v>32285.439999999999</v>
          </cell>
          <cell r="D3803" t="str">
            <v>PHP</v>
          </cell>
          <cell r="E3803">
            <v>2</v>
          </cell>
          <cell r="F3803" t="str">
            <v>PC</v>
          </cell>
          <cell r="G3803">
            <v>0</v>
          </cell>
        </row>
        <row r="3804">
          <cell r="B3804">
            <v>34574</v>
          </cell>
          <cell r="C3804">
            <v>5546.67</v>
          </cell>
          <cell r="D3804" t="str">
            <v>PHP</v>
          </cell>
          <cell r="E3804">
            <v>2</v>
          </cell>
          <cell r="F3804" t="str">
            <v>PC</v>
          </cell>
          <cell r="G3804">
            <v>0</v>
          </cell>
        </row>
        <row r="3805">
          <cell r="B3805">
            <v>34575</v>
          </cell>
          <cell r="C3805">
            <v>8320</v>
          </cell>
          <cell r="D3805" t="str">
            <v>PHP</v>
          </cell>
          <cell r="E3805">
            <v>3</v>
          </cell>
          <cell r="F3805" t="str">
            <v>PC</v>
          </cell>
          <cell r="G3805">
            <v>0</v>
          </cell>
        </row>
        <row r="3806">
          <cell r="B3806">
            <v>34576</v>
          </cell>
          <cell r="C3806">
            <v>8320</v>
          </cell>
          <cell r="D3806" t="str">
            <v>PHP</v>
          </cell>
          <cell r="E3806">
            <v>3</v>
          </cell>
          <cell r="F3806" t="str">
            <v>PC</v>
          </cell>
          <cell r="G3806">
            <v>0</v>
          </cell>
        </row>
        <row r="3807">
          <cell r="B3807">
            <v>34577</v>
          </cell>
          <cell r="C3807">
            <v>6811.8</v>
          </cell>
          <cell r="D3807" t="str">
            <v>PHP</v>
          </cell>
          <cell r="E3807">
            <v>1</v>
          </cell>
          <cell r="F3807" t="str">
            <v>PC</v>
          </cell>
          <cell r="G3807">
            <v>0</v>
          </cell>
        </row>
        <row r="3808">
          <cell r="B3808">
            <v>34581</v>
          </cell>
          <cell r="C3808">
            <v>63336</v>
          </cell>
          <cell r="D3808" t="str">
            <v>PHP</v>
          </cell>
          <cell r="E3808">
            <v>2</v>
          </cell>
          <cell r="F3808" t="str">
            <v>PC</v>
          </cell>
          <cell r="G3808">
            <v>0</v>
          </cell>
        </row>
        <row r="3809">
          <cell r="B3809">
            <v>34582</v>
          </cell>
          <cell r="C3809">
            <v>96230.31</v>
          </cell>
          <cell r="D3809" t="str">
            <v>PHP</v>
          </cell>
          <cell r="E3809">
            <v>1</v>
          </cell>
          <cell r="F3809" t="str">
            <v>ASY</v>
          </cell>
          <cell r="G3809">
            <v>0</v>
          </cell>
        </row>
        <row r="3810">
          <cell r="B3810">
            <v>34583</v>
          </cell>
          <cell r="C3810">
            <v>0</v>
          </cell>
          <cell r="D3810" t="str">
            <v>PHP</v>
          </cell>
          <cell r="E3810">
            <v>0</v>
          </cell>
          <cell r="F3810" t="str">
            <v>PC</v>
          </cell>
          <cell r="G3810">
            <v>0</v>
          </cell>
        </row>
        <row r="3811">
          <cell r="B3811">
            <v>34584</v>
          </cell>
          <cell r="C3811">
            <v>17887.43</v>
          </cell>
          <cell r="D3811" t="str">
            <v>PHP</v>
          </cell>
          <cell r="E3811">
            <v>5</v>
          </cell>
          <cell r="F3811" t="str">
            <v>PC</v>
          </cell>
          <cell r="G3811">
            <v>0</v>
          </cell>
        </row>
        <row r="3812">
          <cell r="B3812">
            <v>34585</v>
          </cell>
          <cell r="C3812">
            <v>0</v>
          </cell>
          <cell r="D3812" t="str">
            <v>PHP</v>
          </cell>
          <cell r="E3812">
            <v>0</v>
          </cell>
          <cell r="F3812" t="str">
            <v>PC</v>
          </cell>
          <cell r="G3812">
            <v>0</v>
          </cell>
        </row>
        <row r="3813">
          <cell r="B3813">
            <v>34586</v>
          </cell>
          <cell r="C3813">
            <v>87051.1</v>
          </cell>
          <cell r="D3813" t="str">
            <v>PHP</v>
          </cell>
          <cell r="E3813">
            <v>2</v>
          </cell>
          <cell r="F3813" t="str">
            <v>PC</v>
          </cell>
          <cell r="G3813">
            <v>0</v>
          </cell>
        </row>
        <row r="3814">
          <cell r="B3814">
            <v>34588</v>
          </cell>
          <cell r="C3814">
            <v>178513.7</v>
          </cell>
          <cell r="D3814" t="str">
            <v>PHP</v>
          </cell>
          <cell r="E3814">
            <v>1</v>
          </cell>
          <cell r="F3814" t="str">
            <v>PC</v>
          </cell>
          <cell r="G3814">
            <v>0</v>
          </cell>
        </row>
        <row r="3815">
          <cell r="B3815">
            <v>34589</v>
          </cell>
          <cell r="C3815">
            <v>148849.12</v>
          </cell>
          <cell r="D3815" t="str">
            <v>PHP</v>
          </cell>
          <cell r="E3815">
            <v>1</v>
          </cell>
          <cell r="F3815" t="str">
            <v>PC</v>
          </cell>
          <cell r="G3815">
            <v>0</v>
          </cell>
        </row>
        <row r="3816">
          <cell r="B3816">
            <v>34590</v>
          </cell>
          <cell r="C3816">
            <v>10383.93</v>
          </cell>
          <cell r="D3816" t="str">
            <v>PHP</v>
          </cell>
          <cell r="E3816">
            <v>1</v>
          </cell>
          <cell r="F3816" t="str">
            <v>PC</v>
          </cell>
          <cell r="G3816">
            <v>0</v>
          </cell>
        </row>
        <row r="3817">
          <cell r="B3817">
            <v>34591</v>
          </cell>
          <cell r="C3817">
            <v>0</v>
          </cell>
          <cell r="D3817" t="str">
            <v>PHP</v>
          </cell>
          <cell r="E3817">
            <v>0</v>
          </cell>
          <cell r="F3817" t="str">
            <v>PC</v>
          </cell>
          <cell r="G3817">
            <v>0</v>
          </cell>
        </row>
        <row r="3818">
          <cell r="B3818">
            <v>34592</v>
          </cell>
          <cell r="C3818">
            <v>4159</v>
          </cell>
          <cell r="D3818" t="str">
            <v>PHP</v>
          </cell>
          <cell r="E3818">
            <v>2</v>
          </cell>
          <cell r="F3818" t="str">
            <v>PC</v>
          </cell>
          <cell r="G3818">
            <v>0</v>
          </cell>
        </row>
        <row r="3819">
          <cell r="B3819">
            <v>34593</v>
          </cell>
          <cell r="C3819">
            <v>24605.9</v>
          </cell>
          <cell r="D3819" t="str">
            <v>PHP</v>
          </cell>
          <cell r="E3819">
            <v>3</v>
          </cell>
          <cell r="F3819" t="str">
            <v>PC</v>
          </cell>
          <cell r="G3819">
            <v>0</v>
          </cell>
        </row>
        <row r="3820">
          <cell r="B3820">
            <v>34594</v>
          </cell>
          <cell r="C3820">
            <v>5728.97</v>
          </cell>
          <cell r="D3820" t="str">
            <v>PHP</v>
          </cell>
          <cell r="E3820">
            <v>3</v>
          </cell>
          <cell r="F3820" t="str">
            <v>ASY</v>
          </cell>
          <cell r="G3820">
            <v>0</v>
          </cell>
        </row>
        <row r="3821">
          <cell r="B3821">
            <v>34595</v>
          </cell>
          <cell r="C3821">
            <v>33976.49</v>
          </cell>
          <cell r="D3821" t="str">
            <v>PHP</v>
          </cell>
          <cell r="E3821">
            <v>4</v>
          </cell>
          <cell r="F3821" t="str">
            <v>PC</v>
          </cell>
          <cell r="G3821">
            <v>0</v>
          </cell>
        </row>
        <row r="3822">
          <cell r="B3822">
            <v>34596</v>
          </cell>
          <cell r="C3822">
            <v>17518.8</v>
          </cell>
          <cell r="D3822" t="str">
            <v>PHP</v>
          </cell>
          <cell r="E3822">
            <v>6</v>
          </cell>
          <cell r="F3822" t="str">
            <v>PC</v>
          </cell>
          <cell r="G3822">
            <v>0</v>
          </cell>
        </row>
        <row r="3823">
          <cell r="B3823">
            <v>34597</v>
          </cell>
          <cell r="C3823">
            <v>213037.19</v>
          </cell>
          <cell r="D3823" t="str">
            <v>PHP</v>
          </cell>
          <cell r="E3823">
            <v>1</v>
          </cell>
          <cell r="F3823" t="str">
            <v>PC</v>
          </cell>
          <cell r="G3823">
            <v>0</v>
          </cell>
        </row>
        <row r="3824">
          <cell r="B3824">
            <v>34599</v>
          </cell>
          <cell r="C3824">
            <v>9636.09</v>
          </cell>
          <cell r="D3824" t="str">
            <v>PHP</v>
          </cell>
          <cell r="E3824">
            <v>8</v>
          </cell>
          <cell r="F3824" t="str">
            <v>PC</v>
          </cell>
          <cell r="G3824">
            <v>0</v>
          </cell>
        </row>
        <row r="3825">
          <cell r="B3825">
            <v>34600</v>
          </cell>
          <cell r="C3825">
            <v>25922.92</v>
          </cell>
          <cell r="D3825" t="str">
            <v>PHP</v>
          </cell>
          <cell r="E3825">
            <v>1</v>
          </cell>
          <cell r="F3825" t="str">
            <v>PC</v>
          </cell>
          <cell r="G3825">
            <v>0</v>
          </cell>
        </row>
        <row r="3826">
          <cell r="B3826">
            <v>34601</v>
          </cell>
          <cell r="C3826">
            <v>5620</v>
          </cell>
          <cell r="D3826" t="str">
            <v>PHP</v>
          </cell>
          <cell r="E3826">
            <v>2</v>
          </cell>
          <cell r="F3826" t="str">
            <v>PC</v>
          </cell>
          <cell r="G3826">
            <v>0</v>
          </cell>
        </row>
        <row r="3827">
          <cell r="B3827">
            <v>34603</v>
          </cell>
          <cell r="C3827">
            <v>158329.69</v>
          </cell>
          <cell r="D3827" t="str">
            <v>PHP</v>
          </cell>
          <cell r="E3827">
            <v>10</v>
          </cell>
          <cell r="F3827" t="str">
            <v>ASY</v>
          </cell>
          <cell r="G3827">
            <v>0</v>
          </cell>
        </row>
        <row r="3828">
          <cell r="B3828">
            <v>34604</v>
          </cell>
          <cell r="C3828">
            <v>101945.91</v>
          </cell>
          <cell r="D3828" t="str">
            <v>PHP</v>
          </cell>
          <cell r="E3828">
            <v>1</v>
          </cell>
          <cell r="F3828" t="str">
            <v>PC</v>
          </cell>
          <cell r="G3828">
            <v>0</v>
          </cell>
        </row>
        <row r="3829">
          <cell r="B3829">
            <v>34605</v>
          </cell>
          <cell r="C3829">
            <v>148102.70000000001</v>
          </cell>
          <cell r="D3829" t="str">
            <v>PHP</v>
          </cell>
          <cell r="E3829">
            <v>1</v>
          </cell>
          <cell r="F3829" t="str">
            <v>PC</v>
          </cell>
          <cell r="G3829">
            <v>0</v>
          </cell>
        </row>
        <row r="3830">
          <cell r="B3830">
            <v>34606</v>
          </cell>
          <cell r="C3830">
            <v>114692.51</v>
          </cell>
          <cell r="D3830" t="str">
            <v>PHP</v>
          </cell>
          <cell r="E3830">
            <v>1</v>
          </cell>
          <cell r="F3830" t="str">
            <v>PC</v>
          </cell>
          <cell r="G3830">
            <v>0</v>
          </cell>
        </row>
        <row r="3831">
          <cell r="B3831">
            <v>34607</v>
          </cell>
          <cell r="C3831">
            <v>0</v>
          </cell>
          <cell r="D3831" t="str">
            <v>PHP</v>
          </cell>
          <cell r="E3831">
            <v>0</v>
          </cell>
          <cell r="F3831" t="str">
            <v>PC</v>
          </cell>
          <cell r="G3831">
            <v>0</v>
          </cell>
        </row>
        <row r="3832">
          <cell r="B3832">
            <v>34608</v>
          </cell>
          <cell r="C3832">
            <v>401.49</v>
          </cell>
          <cell r="D3832" t="str">
            <v>PHP</v>
          </cell>
          <cell r="E3832">
            <v>2</v>
          </cell>
          <cell r="F3832" t="str">
            <v>PC</v>
          </cell>
          <cell r="G3832">
            <v>0</v>
          </cell>
        </row>
        <row r="3833">
          <cell r="B3833">
            <v>34609</v>
          </cell>
          <cell r="C3833">
            <v>42142.28</v>
          </cell>
          <cell r="D3833" t="str">
            <v>PHP</v>
          </cell>
          <cell r="E3833">
            <v>4</v>
          </cell>
          <cell r="F3833" t="str">
            <v>PC</v>
          </cell>
          <cell r="G3833">
            <v>0</v>
          </cell>
        </row>
        <row r="3834">
          <cell r="B3834">
            <v>34610</v>
          </cell>
          <cell r="C3834">
            <v>0</v>
          </cell>
          <cell r="D3834" t="str">
            <v>PHP</v>
          </cell>
          <cell r="E3834">
            <v>0</v>
          </cell>
          <cell r="F3834" t="str">
            <v>PC</v>
          </cell>
          <cell r="G3834">
            <v>0</v>
          </cell>
        </row>
        <row r="3835">
          <cell r="B3835">
            <v>34611</v>
          </cell>
          <cell r="C3835">
            <v>0</v>
          </cell>
          <cell r="D3835" t="str">
            <v>PHP</v>
          </cell>
          <cell r="E3835">
            <v>0</v>
          </cell>
          <cell r="F3835" t="str">
            <v>PC</v>
          </cell>
          <cell r="G3835">
            <v>0</v>
          </cell>
        </row>
        <row r="3836">
          <cell r="B3836">
            <v>34612</v>
          </cell>
          <cell r="C3836">
            <v>0</v>
          </cell>
          <cell r="D3836" t="str">
            <v>PHP</v>
          </cell>
          <cell r="E3836">
            <v>0</v>
          </cell>
          <cell r="F3836" t="str">
            <v>PC</v>
          </cell>
          <cell r="G3836">
            <v>0</v>
          </cell>
        </row>
        <row r="3837">
          <cell r="B3837">
            <v>34613</v>
          </cell>
          <cell r="C3837">
            <v>95790.18</v>
          </cell>
          <cell r="D3837" t="str">
            <v>PHP</v>
          </cell>
          <cell r="E3837">
            <v>3</v>
          </cell>
          <cell r="F3837" t="str">
            <v>PC</v>
          </cell>
          <cell r="G3837">
            <v>0</v>
          </cell>
        </row>
        <row r="3838">
          <cell r="B3838">
            <v>34614</v>
          </cell>
          <cell r="C3838">
            <v>48696.34</v>
          </cell>
          <cell r="D3838" t="str">
            <v>PHP</v>
          </cell>
          <cell r="E3838">
            <v>1</v>
          </cell>
          <cell r="F3838" t="str">
            <v>PC</v>
          </cell>
          <cell r="G3838">
            <v>0</v>
          </cell>
        </row>
        <row r="3839">
          <cell r="B3839">
            <v>34615</v>
          </cell>
          <cell r="C3839">
            <v>344239.16</v>
          </cell>
          <cell r="D3839" t="str">
            <v>PHP</v>
          </cell>
          <cell r="E3839">
            <v>1</v>
          </cell>
          <cell r="F3839" t="str">
            <v>PC</v>
          </cell>
          <cell r="G3839">
            <v>0</v>
          </cell>
        </row>
        <row r="3840">
          <cell r="B3840">
            <v>34618</v>
          </cell>
          <cell r="C3840">
            <v>0</v>
          </cell>
          <cell r="D3840" t="str">
            <v>PHP</v>
          </cell>
          <cell r="E3840">
            <v>0</v>
          </cell>
          <cell r="F3840" t="str">
            <v>PC</v>
          </cell>
          <cell r="G3840">
            <v>0</v>
          </cell>
        </row>
        <row r="3841">
          <cell r="B3841">
            <v>34619</v>
          </cell>
          <cell r="C3841">
            <v>74132.77</v>
          </cell>
          <cell r="D3841" t="str">
            <v>PHP</v>
          </cell>
          <cell r="E3841">
            <v>5</v>
          </cell>
          <cell r="F3841" t="str">
            <v>PC</v>
          </cell>
          <cell r="G3841">
            <v>0</v>
          </cell>
        </row>
        <row r="3842">
          <cell r="B3842">
            <v>34620</v>
          </cell>
          <cell r="C3842">
            <v>0</v>
          </cell>
          <cell r="D3842" t="str">
            <v>PHP</v>
          </cell>
          <cell r="E3842">
            <v>0</v>
          </cell>
          <cell r="F3842" t="str">
            <v>PC</v>
          </cell>
          <cell r="G3842">
            <v>0</v>
          </cell>
        </row>
        <row r="3843">
          <cell r="B3843">
            <v>34621</v>
          </cell>
          <cell r="C3843">
            <v>0</v>
          </cell>
          <cell r="D3843" t="str">
            <v>PHP</v>
          </cell>
          <cell r="E3843">
            <v>0</v>
          </cell>
          <cell r="F3843" t="str">
            <v>PC</v>
          </cell>
          <cell r="G3843">
            <v>0</v>
          </cell>
        </row>
        <row r="3844">
          <cell r="B3844">
            <v>34622</v>
          </cell>
          <cell r="C3844">
            <v>845</v>
          </cell>
          <cell r="D3844" t="str">
            <v>PHP</v>
          </cell>
          <cell r="E3844">
            <v>2</v>
          </cell>
          <cell r="F3844" t="str">
            <v>PC</v>
          </cell>
          <cell r="G3844">
            <v>0</v>
          </cell>
        </row>
        <row r="3845">
          <cell r="B3845">
            <v>34624</v>
          </cell>
          <cell r="C3845">
            <v>0</v>
          </cell>
          <cell r="D3845" t="str">
            <v>PHP</v>
          </cell>
          <cell r="E3845">
            <v>0</v>
          </cell>
          <cell r="F3845" t="str">
            <v>PC</v>
          </cell>
          <cell r="G3845">
            <v>0</v>
          </cell>
        </row>
        <row r="3846">
          <cell r="B3846">
            <v>34625</v>
          </cell>
          <cell r="C3846">
            <v>0</v>
          </cell>
          <cell r="D3846" t="str">
            <v>PHP</v>
          </cell>
          <cell r="E3846">
            <v>0</v>
          </cell>
          <cell r="F3846" t="str">
            <v>PC</v>
          </cell>
          <cell r="G3846">
            <v>0</v>
          </cell>
        </row>
        <row r="3847">
          <cell r="B3847">
            <v>34626</v>
          </cell>
          <cell r="C3847">
            <v>0</v>
          </cell>
          <cell r="D3847" t="str">
            <v>PHP</v>
          </cell>
          <cell r="E3847">
            <v>0</v>
          </cell>
          <cell r="F3847" t="str">
            <v>PC</v>
          </cell>
          <cell r="G3847">
            <v>0</v>
          </cell>
        </row>
        <row r="3848">
          <cell r="B3848">
            <v>34627</v>
          </cell>
          <cell r="C3848">
            <v>0</v>
          </cell>
          <cell r="D3848" t="str">
            <v>PHP</v>
          </cell>
          <cell r="E3848">
            <v>0</v>
          </cell>
          <cell r="F3848" t="str">
            <v>PC</v>
          </cell>
          <cell r="G3848">
            <v>0</v>
          </cell>
        </row>
        <row r="3849">
          <cell r="B3849">
            <v>34628</v>
          </cell>
          <cell r="C3849">
            <v>0</v>
          </cell>
          <cell r="D3849" t="str">
            <v>PHP</v>
          </cell>
          <cell r="E3849">
            <v>0</v>
          </cell>
          <cell r="F3849" t="str">
            <v>PC</v>
          </cell>
          <cell r="G3849">
            <v>0</v>
          </cell>
        </row>
        <row r="3850">
          <cell r="B3850">
            <v>34629</v>
          </cell>
          <cell r="C3850">
            <v>436.8</v>
          </cell>
          <cell r="D3850" t="str">
            <v>PHP</v>
          </cell>
          <cell r="E3850">
            <v>4</v>
          </cell>
          <cell r="F3850" t="str">
            <v>PC</v>
          </cell>
          <cell r="G3850">
            <v>0</v>
          </cell>
        </row>
        <row r="3851">
          <cell r="B3851">
            <v>34630</v>
          </cell>
          <cell r="C3851">
            <v>10352.299999999999</v>
          </cell>
          <cell r="D3851" t="str">
            <v>PHP</v>
          </cell>
          <cell r="E3851">
            <v>4</v>
          </cell>
          <cell r="F3851" t="str">
            <v>PC</v>
          </cell>
          <cell r="G3851">
            <v>0</v>
          </cell>
        </row>
        <row r="3852">
          <cell r="B3852">
            <v>34631</v>
          </cell>
          <cell r="C3852">
            <v>0</v>
          </cell>
          <cell r="D3852" t="str">
            <v>PHP</v>
          </cell>
          <cell r="E3852">
            <v>0</v>
          </cell>
          <cell r="F3852" t="str">
            <v>PC</v>
          </cell>
          <cell r="G3852">
            <v>0</v>
          </cell>
        </row>
        <row r="3853">
          <cell r="B3853">
            <v>34632</v>
          </cell>
          <cell r="C3853">
            <v>675000</v>
          </cell>
          <cell r="D3853" t="str">
            <v>PHP</v>
          </cell>
          <cell r="E3853">
            <v>1</v>
          </cell>
          <cell r="F3853" t="str">
            <v>ASY</v>
          </cell>
          <cell r="G3853">
            <v>0</v>
          </cell>
        </row>
        <row r="3854">
          <cell r="B3854">
            <v>34633</v>
          </cell>
          <cell r="C3854">
            <v>39228.639999999999</v>
          </cell>
          <cell r="D3854" t="str">
            <v>PHP</v>
          </cell>
          <cell r="E3854">
            <v>12</v>
          </cell>
          <cell r="F3854" t="str">
            <v>PC</v>
          </cell>
          <cell r="G3854">
            <v>0</v>
          </cell>
        </row>
        <row r="3855">
          <cell r="B3855">
            <v>34634</v>
          </cell>
          <cell r="C3855">
            <v>0</v>
          </cell>
          <cell r="D3855" t="str">
            <v>PHP</v>
          </cell>
          <cell r="E3855">
            <v>0</v>
          </cell>
          <cell r="F3855" t="str">
            <v>PC</v>
          </cell>
          <cell r="G3855">
            <v>0</v>
          </cell>
        </row>
        <row r="3856">
          <cell r="B3856">
            <v>34635</v>
          </cell>
          <cell r="C3856">
            <v>0</v>
          </cell>
          <cell r="D3856" t="str">
            <v>PHP</v>
          </cell>
          <cell r="E3856">
            <v>0</v>
          </cell>
          <cell r="F3856" t="str">
            <v>PC</v>
          </cell>
          <cell r="G3856">
            <v>0</v>
          </cell>
        </row>
        <row r="3857">
          <cell r="B3857">
            <v>34637</v>
          </cell>
          <cell r="C3857">
            <v>130125</v>
          </cell>
          <cell r="D3857" t="str">
            <v>PHP</v>
          </cell>
          <cell r="E3857">
            <v>2</v>
          </cell>
          <cell r="F3857" t="str">
            <v>PC</v>
          </cell>
          <cell r="G3857">
            <v>0</v>
          </cell>
        </row>
        <row r="3858">
          <cell r="B3858">
            <v>34638</v>
          </cell>
          <cell r="C3858">
            <v>30545.02</v>
          </cell>
          <cell r="D3858" t="str">
            <v>PHP</v>
          </cell>
          <cell r="E3858">
            <v>1</v>
          </cell>
          <cell r="F3858" t="str">
            <v>PC</v>
          </cell>
          <cell r="G3858">
            <v>0</v>
          </cell>
        </row>
        <row r="3859">
          <cell r="B3859">
            <v>34639</v>
          </cell>
          <cell r="C3859">
            <v>279110.43</v>
          </cell>
          <cell r="D3859" t="str">
            <v>PHP</v>
          </cell>
          <cell r="E3859">
            <v>1</v>
          </cell>
          <cell r="F3859" t="str">
            <v>PC</v>
          </cell>
          <cell r="G3859">
            <v>0</v>
          </cell>
        </row>
        <row r="3860">
          <cell r="B3860">
            <v>34640</v>
          </cell>
          <cell r="C3860">
            <v>34655.85</v>
          </cell>
          <cell r="D3860" t="str">
            <v>PHP</v>
          </cell>
          <cell r="E3860">
            <v>2</v>
          </cell>
          <cell r="F3860" t="str">
            <v>PC</v>
          </cell>
          <cell r="G3860">
            <v>0</v>
          </cell>
        </row>
        <row r="3861">
          <cell r="B3861">
            <v>34642</v>
          </cell>
          <cell r="C3861">
            <v>214932.3</v>
          </cell>
          <cell r="D3861" t="str">
            <v>PHP</v>
          </cell>
          <cell r="E3861">
            <v>1</v>
          </cell>
          <cell r="F3861" t="str">
            <v>PC</v>
          </cell>
          <cell r="G3861">
            <v>0</v>
          </cell>
        </row>
        <row r="3862">
          <cell r="B3862">
            <v>34644</v>
          </cell>
          <cell r="C3862">
            <v>886.87</v>
          </cell>
          <cell r="D3862" t="str">
            <v>PHP</v>
          </cell>
          <cell r="E3862">
            <v>5</v>
          </cell>
          <cell r="F3862" t="str">
            <v>PC</v>
          </cell>
          <cell r="G3862">
            <v>0</v>
          </cell>
        </row>
        <row r="3863">
          <cell r="B3863">
            <v>34645</v>
          </cell>
          <cell r="C3863">
            <v>446.93</v>
          </cell>
          <cell r="D3863" t="str">
            <v>PHP</v>
          </cell>
          <cell r="E3863">
            <v>1</v>
          </cell>
          <cell r="F3863" t="str">
            <v>PC</v>
          </cell>
          <cell r="G3863">
            <v>0</v>
          </cell>
        </row>
        <row r="3864">
          <cell r="B3864">
            <v>34646</v>
          </cell>
          <cell r="C3864">
            <v>30300</v>
          </cell>
          <cell r="D3864" t="str">
            <v>PHP</v>
          </cell>
          <cell r="E3864">
            <v>8</v>
          </cell>
          <cell r="F3864" t="str">
            <v>PC</v>
          </cell>
          <cell r="G3864">
            <v>0</v>
          </cell>
        </row>
        <row r="3865">
          <cell r="B3865">
            <v>34648</v>
          </cell>
          <cell r="C3865">
            <v>9523.74</v>
          </cell>
          <cell r="D3865" t="str">
            <v>PHP</v>
          </cell>
          <cell r="E3865">
            <v>3</v>
          </cell>
          <cell r="F3865" t="str">
            <v>ASY</v>
          </cell>
          <cell r="G3865">
            <v>0</v>
          </cell>
        </row>
        <row r="3866">
          <cell r="B3866">
            <v>34649</v>
          </cell>
          <cell r="C3866">
            <v>4819.5</v>
          </cell>
          <cell r="D3866" t="str">
            <v>PHP</v>
          </cell>
          <cell r="E3866">
            <v>6</v>
          </cell>
          <cell r="F3866" t="str">
            <v>ASY</v>
          </cell>
          <cell r="G3866">
            <v>0</v>
          </cell>
        </row>
        <row r="3867">
          <cell r="B3867">
            <v>34650</v>
          </cell>
          <cell r="C3867">
            <v>8030.07</v>
          </cell>
          <cell r="D3867" t="str">
            <v>PHP</v>
          </cell>
          <cell r="E3867">
            <v>4</v>
          </cell>
          <cell r="F3867" t="str">
            <v>ASY</v>
          </cell>
          <cell r="G3867">
            <v>0</v>
          </cell>
        </row>
        <row r="3868">
          <cell r="B3868">
            <v>34654</v>
          </cell>
          <cell r="C3868">
            <v>0</v>
          </cell>
          <cell r="D3868" t="str">
            <v>PHP</v>
          </cell>
          <cell r="E3868">
            <v>0</v>
          </cell>
          <cell r="F3868" t="str">
            <v>PC</v>
          </cell>
          <cell r="G3868">
            <v>0</v>
          </cell>
        </row>
        <row r="3869">
          <cell r="B3869">
            <v>34657</v>
          </cell>
          <cell r="C3869">
            <v>44315.48</v>
          </cell>
          <cell r="D3869" t="str">
            <v>PHP</v>
          </cell>
          <cell r="E3869">
            <v>1</v>
          </cell>
          <cell r="F3869" t="str">
            <v>SET</v>
          </cell>
          <cell r="G3869">
            <v>0</v>
          </cell>
        </row>
        <row r="3870">
          <cell r="B3870">
            <v>34658</v>
          </cell>
          <cell r="C3870">
            <v>0</v>
          </cell>
          <cell r="D3870" t="str">
            <v>PHP</v>
          </cell>
          <cell r="E3870">
            <v>0</v>
          </cell>
          <cell r="F3870" t="str">
            <v>PC</v>
          </cell>
          <cell r="G3870">
            <v>0</v>
          </cell>
        </row>
        <row r="3871">
          <cell r="B3871">
            <v>34659</v>
          </cell>
          <cell r="C3871">
            <v>198885.17</v>
          </cell>
          <cell r="D3871" t="str">
            <v>PHP</v>
          </cell>
          <cell r="E3871">
            <v>4</v>
          </cell>
          <cell r="F3871" t="str">
            <v>SET</v>
          </cell>
          <cell r="G3871">
            <v>0</v>
          </cell>
        </row>
        <row r="3872">
          <cell r="B3872">
            <v>34661</v>
          </cell>
          <cell r="C3872">
            <v>23224.19</v>
          </cell>
          <cell r="D3872" t="str">
            <v>PHP</v>
          </cell>
          <cell r="E3872">
            <v>1</v>
          </cell>
          <cell r="F3872" t="str">
            <v>PC</v>
          </cell>
          <cell r="G3872">
            <v>0</v>
          </cell>
        </row>
        <row r="3873">
          <cell r="B3873">
            <v>34662</v>
          </cell>
          <cell r="C3873">
            <v>43606.91</v>
          </cell>
          <cell r="D3873" t="str">
            <v>PHP</v>
          </cell>
          <cell r="E3873">
            <v>10</v>
          </cell>
          <cell r="F3873" t="str">
            <v>PC</v>
          </cell>
          <cell r="G3873">
            <v>0</v>
          </cell>
        </row>
        <row r="3874">
          <cell r="B3874">
            <v>34663</v>
          </cell>
          <cell r="C3874">
            <v>16607.45</v>
          </cell>
          <cell r="D3874" t="str">
            <v>PHP</v>
          </cell>
          <cell r="E3874">
            <v>1</v>
          </cell>
          <cell r="F3874" t="str">
            <v>ASY</v>
          </cell>
          <cell r="G3874">
            <v>0</v>
          </cell>
        </row>
        <row r="3875">
          <cell r="B3875">
            <v>34665</v>
          </cell>
          <cell r="C3875">
            <v>25760</v>
          </cell>
          <cell r="D3875" t="str">
            <v>PHP</v>
          </cell>
          <cell r="E3875">
            <v>8</v>
          </cell>
          <cell r="F3875" t="str">
            <v>PC</v>
          </cell>
          <cell r="G3875">
            <v>0</v>
          </cell>
        </row>
        <row r="3876">
          <cell r="B3876">
            <v>34666</v>
          </cell>
          <cell r="C3876">
            <v>64680.01</v>
          </cell>
          <cell r="D3876" t="str">
            <v>PHP</v>
          </cell>
          <cell r="E3876">
            <v>24</v>
          </cell>
          <cell r="F3876" t="str">
            <v>PC</v>
          </cell>
          <cell r="G3876">
            <v>0</v>
          </cell>
        </row>
        <row r="3877">
          <cell r="B3877">
            <v>34667</v>
          </cell>
          <cell r="C3877">
            <v>0</v>
          </cell>
          <cell r="D3877" t="str">
            <v>PHP</v>
          </cell>
          <cell r="E3877">
            <v>0</v>
          </cell>
          <cell r="F3877" t="str">
            <v>PC</v>
          </cell>
          <cell r="G3877">
            <v>0</v>
          </cell>
        </row>
        <row r="3878">
          <cell r="B3878">
            <v>34668</v>
          </cell>
          <cell r="C3878">
            <v>3982.32</v>
          </cell>
          <cell r="D3878" t="str">
            <v>PHP</v>
          </cell>
          <cell r="E3878">
            <v>1</v>
          </cell>
          <cell r="F3878" t="str">
            <v>PC</v>
          </cell>
          <cell r="G3878">
            <v>0</v>
          </cell>
        </row>
        <row r="3879">
          <cell r="B3879">
            <v>34669</v>
          </cell>
          <cell r="C3879">
            <v>6099.68</v>
          </cell>
          <cell r="D3879" t="str">
            <v>PHP</v>
          </cell>
          <cell r="E3879">
            <v>1</v>
          </cell>
          <cell r="F3879" t="str">
            <v>PC</v>
          </cell>
          <cell r="G3879">
            <v>0</v>
          </cell>
        </row>
        <row r="3880">
          <cell r="B3880">
            <v>34670</v>
          </cell>
          <cell r="C3880">
            <v>2033.23</v>
          </cell>
          <cell r="D3880" t="str">
            <v>PHP</v>
          </cell>
          <cell r="E3880">
            <v>1</v>
          </cell>
          <cell r="F3880" t="str">
            <v>PC</v>
          </cell>
          <cell r="G3880">
            <v>0</v>
          </cell>
        </row>
        <row r="3881">
          <cell r="B3881">
            <v>34673</v>
          </cell>
          <cell r="C3881">
            <v>1845.03</v>
          </cell>
          <cell r="D3881" t="str">
            <v>PHP</v>
          </cell>
          <cell r="E3881">
            <v>7</v>
          </cell>
          <cell r="F3881" t="str">
            <v>PC</v>
          </cell>
          <cell r="G3881">
            <v>0</v>
          </cell>
        </row>
        <row r="3882">
          <cell r="B3882">
            <v>34674</v>
          </cell>
          <cell r="C3882">
            <v>7682.32</v>
          </cell>
          <cell r="D3882" t="str">
            <v>PHP</v>
          </cell>
          <cell r="E3882">
            <v>32</v>
          </cell>
          <cell r="F3882" t="str">
            <v>PC</v>
          </cell>
          <cell r="G3882">
            <v>0</v>
          </cell>
        </row>
        <row r="3883">
          <cell r="B3883">
            <v>34675</v>
          </cell>
          <cell r="C3883">
            <v>5966.2</v>
          </cell>
          <cell r="D3883" t="str">
            <v>PHP</v>
          </cell>
          <cell r="E3883">
            <v>5</v>
          </cell>
          <cell r="F3883" t="str">
            <v>PC</v>
          </cell>
          <cell r="G3883">
            <v>0</v>
          </cell>
        </row>
        <row r="3884">
          <cell r="B3884">
            <v>34676</v>
          </cell>
          <cell r="C3884">
            <v>8114.99</v>
          </cell>
          <cell r="D3884" t="str">
            <v>PHP</v>
          </cell>
          <cell r="E3884">
            <v>12</v>
          </cell>
          <cell r="F3884" t="str">
            <v>PC</v>
          </cell>
          <cell r="G3884">
            <v>0</v>
          </cell>
        </row>
        <row r="3885">
          <cell r="B3885">
            <v>34677</v>
          </cell>
          <cell r="C3885">
            <v>802.55</v>
          </cell>
          <cell r="D3885" t="str">
            <v>PHP</v>
          </cell>
          <cell r="E3885">
            <v>12</v>
          </cell>
          <cell r="F3885" t="str">
            <v>PC</v>
          </cell>
          <cell r="G3885">
            <v>0</v>
          </cell>
        </row>
        <row r="3886">
          <cell r="B3886">
            <v>34678</v>
          </cell>
          <cell r="C3886">
            <v>637.5</v>
          </cell>
          <cell r="D3886" t="str">
            <v>PHP</v>
          </cell>
          <cell r="E3886">
            <v>5</v>
          </cell>
          <cell r="F3886" t="str">
            <v>PC</v>
          </cell>
          <cell r="G3886">
            <v>0</v>
          </cell>
        </row>
        <row r="3887">
          <cell r="B3887">
            <v>34679</v>
          </cell>
          <cell r="C3887">
            <v>0</v>
          </cell>
          <cell r="D3887" t="str">
            <v>PHP</v>
          </cell>
          <cell r="E3887">
            <v>0</v>
          </cell>
          <cell r="F3887" t="str">
            <v>PC</v>
          </cell>
          <cell r="G3887">
            <v>0</v>
          </cell>
        </row>
        <row r="3888">
          <cell r="B3888">
            <v>34680</v>
          </cell>
          <cell r="C3888">
            <v>827</v>
          </cell>
          <cell r="D3888" t="str">
            <v>PHP</v>
          </cell>
          <cell r="E3888">
            <v>12</v>
          </cell>
          <cell r="F3888" t="str">
            <v>PC</v>
          </cell>
          <cell r="G3888">
            <v>0</v>
          </cell>
        </row>
        <row r="3889">
          <cell r="B3889">
            <v>34681</v>
          </cell>
          <cell r="C3889">
            <v>1382.35</v>
          </cell>
          <cell r="D3889" t="str">
            <v>PHP</v>
          </cell>
          <cell r="E3889">
            <v>2</v>
          </cell>
          <cell r="F3889" t="str">
            <v>PC</v>
          </cell>
          <cell r="G3889">
            <v>0</v>
          </cell>
        </row>
        <row r="3890">
          <cell r="B3890">
            <v>34682</v>
          </cell>
          <cell r="C3890">
            <v>1188.96</v>
          </cell>
          <cell r="D3890" t="str">
            <v>PHP</v>
          </cell>
          <cell r="E3890">
            <v>2</v>
          </cell>
          <cell r="F3890" t="str">
            <v>PC</v>
          </cell>
          <cell r="G3890">
            <v>0</v>
          </cell>
        </row>
        <row r="3891">
          <cell r="B3891">
            <v>34683</v>
          </cell>
          <cell r="C3891">
            <v>330.06</v>
          </cell>
          <cell r="D3891" t="str">
            <v>PHP</v>
          </cell>
          <cell r="E3891">
            <v>3</v>
          </cell>
          <cell r="F3891" t="str">
            <v>PC</v>
          </cell>
          <cell r="G3891">
            <v>0</v>
          </cell>
        </row>
        <row r="3892">
          <cell r="B3892">
            <v>34684</v>
          </cell>
          <cell r="C3892">
            <v>62475.42</v>
          </cell>
          <cell r="D3892" t="str">
            <v>PHP</v>
          </cell>
          <cell r="E3892">
            <v>4</v>
          </cell>
          <cell r="F3892" t="str">
            <v>ASY</v>
          </cell>
          <cell r="G3892">
            <v>0</v>
          </cell>
        </row>
        <row r="3893">
          <cell r="B3893">
            <v>34685</v>
          </cell>
          <cell r="C3893">
            <v>6280.83</v>
          </cell>
          <cell r="D3893" t="str">
            <v>PHP</v>
          </cell>
          <cell r="E3893">
            <v>2</v>
          </cell>
          <cell r="F3893" t="str">
            <v>PC</v>
          </cell>
          <cell r="G3893">
            <v>0</v>
          </cell>
        </row>
        <row r="3894">
          <cell r="B3894">
            <v>34686</v>
          </cell>
          <cell r="C3894">
            <v>5520.89</v>
          </cell>
          <cell r="D3894" t="str">
            <v>PHP</v>
          </cell>
          <cell r="E3894">
            <v>2</v>
          </cell>
          <cell r="F3894" t="str">
            <v>PC</v>
          </cell>
          <cell r="G3894">
            <v>0</v>
          </cell>
        </row>
        <row r="3895">
          <cell r="B3895">
            <v>34687</v>
          </cell>
          <cell r="C3895">
            <v>1420.89</v>
          </cell>
          <cell r="D3895" t="str">
            <v>PHP</v>
          </cell>
          <cell r="E3895">
            <v>6</v>
          </cell>
          <cell r="F3895" t="str">
            <v>PC</v>
          </cell>
          <cell r="G3895">
            <v>0</v>
          </cell>
        </row>
        <row r="3896">
          <cell r="B3896">
            <v>34688</v>
          </cell>
          <cell r="C3896">
            <v>448.27</v>
          </cell>
          <cell r="D3896" t="str">
            <v>PHP</v>
          </cell>
          <cell r="E3896">
            <v>1</v>
          </cell>
          <cell r="F3896" t="str">
            <v>PC</v>
          </cell>
          <cell r="G3896">
            <v>0</v>
          </cell>
        </row>
        <row r="3897">
          <cell r="B3897">
            <v>34689</v>
          </cell>
          <cell r="C3897">
            <v>1473.86</v>
          </cell>
          <cell r="D3897" t="str">
            <v>PHP</v>
          </cell>
          <cell r="E3897">
            <v>3</v>
          </cell>
          <cell r="F3897" t="str">
            <v>PC</v>
          </cell>
          <cell r="G3897">
            <v>0</v>
          </cell>
        </row>
        <row r="3898">
          <cell r="B3898">
            <v>34690</v>
          </cell>
          <cell r="C3898">
            <v>4796.22</v>
          </cell>
          <cell r="D3898" t="str">
            <v>PHP</v>
          </cell>
          <cell r="E3898">
            <v>6</v>
          </cell>
          <cell r="F3898" t="str">
            <v>PC</v>
          </cell>
          <cell r="G3898">
            <v>0</v>
          </cell>
        </row>
        <row r="3899">
          <cell r="B3899">
            <v>34691</v>
          </cell>
          <cell r="C3899">
            <v>2908.34</v>
          </cell>
          <cell r="D3899" t="str">
            <v>PHP</v>
          </cell>
          <cell r="E3899">
            <v>6</v>
          </cell>
          <cell r="F3899" t="str">
            <v>PC</v>
          </cell>
          <cell r="G3899">
            <v>0</v>
          </cell>
        </row>
        <row r="3900">
          <cell r="B3900">
            <v>34692</v>
          </cell>
          <cell r="C3900">
            <v>5044.1099999999997</v>
          </cell>
          <cell r="D3900" t="str">
            <v>PHP</v>
          </cell>
          <cell r="E3900">
            <v>1</v>
          </cell>
          <cell r="F3900" t="str">
            <v>PC</v>
          </cell>
          <cell r="G3900">
            <v>0</v>
          </cell>
        </row>
        <row r="3901">
          <cell r="B3901">
            <v>34693</v>
          </cell>
          <cell r="C3901">
            <v>28915.73</v>
          </cell>
          <cell r="D3901" t="str">
            <v>PHP</v>
          </cell>
          <cell r="E3901">
            <v>2</v>
          </cell>
          <cell r="F3901" t="str">
            <v>PC</v>
          </cell>
          <cell r="G3901">
            <v>0</v>
          </cell>
        </row>
        <row r="3902">
          <cell r="B3902">
            <v>34694</v>
          </cell>
          <cell r="C3902">
            <v>41833.760000000002</v>
          </cell>
          <cell r="D3902" t="str">
            <v>PHP</v>
          </cell>
          <cell r="E3902">
            <v>2</v>
          </cell>
          <cell r="F3902" t="str">
            <v>PC</v>
          </cell>
          <cell r="G3902">
            <v>0</v>
          </cell>
        </row>
        <row r="3903">
          <cell r="B3903">
            <v>34697</v>
          </cell>
          <cell r="C3903">
            <v>3679.75</v>
          </cell>
          <cell r="D3903" t="str">
            <v>PHP</v>
          </cell>
          <cell r="E3903">
            <v>7</v>
          </cell>
          <cell r="F3903" t="str">
            <v>PC</v>
          </cell>
          <cell r="G3903">
            <v>0</v>
          </cell>
        </row>
        <row r="3904">
          <cell r="B3904">
            <v>34698</v>
          </cell>
          <cell r="C3904">
            <v>12290.97</v>
          </cell>
          <cell r="D3904" t="str">
            <v>PHP</v>
          </cell>
          <cell r="E3904">
            <v>2</v>
          </cell>
          <cell r="F3904" t="str">
            <v>PC</v>
          </cell>
          <cell r="G3904">
            <v>0</v>
          </cell>
        </row>
        <row r="3905">
          <cell r="B3905">
            <v>34699</v>
          </cell>
          <cell r="C3905">
            <v>38052</v>
          </cell>
          <cell r="D3905" t="str">
            <v>PHP</v>
          </cell>
          <cell r="E3905">
            <v>3</v>
          </cell>
          <cell r="F3905" t="str">
            <v>PC</v>
          </cell>
          <cell r="G3905">
            <v>0</v>
          </cell>
        </row>
        <row r="3906">
          <cell r="B3906">
            <v>34700</v>
          </cell>
          <cell r="C3906">
            <v>0</v>
          </cell>
          <cell r="D3906" t="str">
            <v>PHP</v>
          </cell>
          <cell r="E3906">
            <v>0</v>
          </cell>
          <cell r="F3906" t="str">
            <v>PC</v>
          </cell>
          <cell r="G3906">
            <v>0</v>
          </cell>
        </row>
        <row r="3907">
          <cell r="B3907">
            <v>34701</v>
          </cell>
          <cell r="C3907">
            <v>40454</v>
          </cell>
          <cell r="D3907" t="str">
            <v>PHP</v>
          </cell>
          <cell r="E3907">
            <v>1</v>
          </cell>
          <cell r="F3907" t="str">
            <v>PC</v>
          </cell>
          <cell r="G3907">
            <v>0</v>
          </cell>
        </row>
        <row r="3908">
          <cell r="B3908">
            <v>34702</v>
          </cell>
          <cell r="C3908">
            <v>28637.34</v>
          </cell>
          <cell r="D3908" t="str">
            <v>PHP</v>
          </cell>
          <cell r="E3908">
            <v>2</v>
          </cell>
          <cell r="F3908" t="str">
            <v>PC</v>
          </cell>
          <cell r="G3908">
            <v>0</v>
          </cell>
        </row>
        <row r="3909">
          <cell r="B3909">
            <v>34704</v>
          </cell>
          <cell r="C3909">
            <v>22820.42</v>
          </cell>
          <cell r="D3909" t="str">
            <v>PHP</v>
          </cell>
          <cell r="E3909">
            <v>11</v>
          </cell>
          <cell r="F3909" t="str">
            <v>PC</v>
          </cell>
          <cell r="G3909">
            <v>0</v>
          </cell>
        </row>
        <row r="3910">
          <cell r="B3910">
            <v>34705</v>
          </cell>
          <cell r="C3910">
            <v>69259.48</v>
          </cell>
          <cell r="D3910" t="str">
            <v>PHP</v>
          </cell>
          <cell r="E3910">
            <v>9</v>
          </cell>
          <cell r="F3910" t="str">
            <v>PC</v>
          </cell>
          <cell r="G3910">
            <v>0</v>
          </cell>
        </row>
        <row r="3911">
          <cell r="B3911">
            <v>34706</v>
          </cell>
          <cell r="C3911">
            <v>15984.7</v>
          </cell>
          <cell r="D3911" t="str">
            <v>PHP</v>
          </cell>
          <cell r="E3911">
            <v>1</v>
          </cell>
          <cell r="F3911" t="str">
            <v>PC</v>
          </cell>
          <cell r="G3911">
            <v>0</v>
          </cell>
        </row>
        <row r="3912">
          <cell r="B3912">
            <v>34707</v>
          </cell>
          <cell r="C3912">
            <v>15068.56</v>
          </cell>
          <cell r="D3912" t="str">
            <v>PHP</v>
          </cell>
          <cell r="E3912">
            <v>8</v>
          </cell>
          <cell r="F3912" t="str">
            <v>PC</v>
          </cell>
          <cell r="G3912">
            <v>0</v>
          </cell>
        </row>
        <row r="3913">
          <cell r="B3913">
            <v>34708</v>
          </cell>
          <cell r="C3913">
            <v>0</v>
          </cell>
          <cell r="D3913" t="str">
            <v>PHP</v>
          </cell>
          <cell r="E3913">
            <v>0</v>
          </cell>
          <cell r="F3913" t="str">
            <v>PC</v>
          </cell>
          <cell r="G3913">
            <v>0</v>
          </cell>
        </row>
        <row r="3914">
          <cell r="B3914">
            <v>34709</v>
          </cell>
          <cell r="C3914">
            <v>14541.78</v>
          </cell>
          <cell r="D3914" t="str">
            <v>PHP</v>
          </cell>
          <cell r="E3914">
            <v>1</v>
          </cell>
          <cell r="F3914" t="str">
            <v>PC</v>
          </cell>
          <cell r="G3914">
            <v>0</v>
          </cell>
        </row>
        <row r="3915">
          <cell r="B3915">
            <v>34710</v>
          </cell>
          <cell r="C3915">
            <v>2352.4</v>
          </cell>
          <cell r="D3915" t="str">
            <v>PHP</v>
          </cell>
          <cell r="E3915">
            <v>3</v>
          </cell>
          <cell r="F3915" t="str">
            <v>PC</v>
          </cell>
          <cell r="G3915">
            <v>0</v>
          </cell>
        </row>
        <row r="3916">
          <cell r="B3916">
            <v>34711</v>
          </cell>
          <cell r="C3916">
            <v>20874</v>
          </cell>
          <cell r="D3916" t="str">
            <v>PHP</v>
          </cell>
          <cell r="E3916">
            <v>2</v>
          </cell>
          <cell r="F3916" t="str">
            <v>PC</v>
          </cell>
          <cell r="G3916">
            <v>0</v>
          </cell>
        </row>
        <row r="3917">
          <cell r="B3917">
            <v>34712</v>
          </cell>
          <cell r="C3917">
            <v>10187</v>
          </cell>
          <cell r="D3917" t="str">
            <v>PHP</v>
          </cell>
          <cell r="E3917">
            <v>1</v>
          </cell>
          <cell r="F3917" t="str">
            <v>PC</v>
          </cell>
          <cell r="G3917">
            <v>0</v>
          </cell>
        </row>
        <row r="3918">
          <cell r="B3918">
            <v>34713</v>
          </cell>
          <cell r="C3918">
            <v>54.53</v>
          </cell>
          <cell r="D3918" t="str">
            <v>PHP</v>
          </cell>
          <cell r="E3918">
            <v>7</v>
          </cell>
          <cell r="F3918" t="str">
            <v>PC</v>
          </cell>
          <cell r="G3918">
            <v>0</v>
          </cell>
        </row>
        <row r="3919">
          <cell r="B3919">
            <v>34714</v>
          </cell>
          <cell r="C3919">
            <v>100</v>
          </cell>
          <cell r="D3919" t="str">
            <v>PHP</v>
          </cell>
          <cell r="E3919">
            <v>2</v>
          </cell>
          <cell r="F3919" t="str">
            <v>PC</v>
          </cell>
          <cell r="G3919">
            <v>0</v>
          </cell>
        </row>
        <row r="3920">
          <cell r="B3920">
            <v>34715</v>
          </cell>
          <cell r="C3920">
            <v>5980.51</v>
          </cell>
          <cell r="D3920" t="str">
            <v>PHP</v>
          </cell>
          <cell r="E3920">
            <v>9</v>
          </cell>
          <cell r="F3920" t="str">
            <v>PC</v>
          </cell>
          <cell r="G3920">
            <v>0</v>
          </cell>
        </row>
        <row r="3921">
          <cell r="B3921">
            <v>34716</v>
          </cell>
          <cell r="C3921">
            <v>608.27</v>
          </cell>
          <cell r="D3921" t="str">
            <v>PHP</v>
          </cell>
          <cell r="E3921">
            <v>3</v>
          </cell>
          <cell r="F3921" t="str">
            <v>PC</v>
          </cell>
          <cell r="G3921">
            <v>0</v>
          </cell>
        </row>
        <row r="3922">
          <cell r="B3922">
            <v>34717</v>
          </cell>
          <cell r="C3922">
            <v>0</v>
          </cell>
          <cell r="D3922" t="str">
            <v>PHP</v>
          </cell>
          <cell r="E3922">
            <v>0</v>
          </cell>
          <cell r="F3922" t="str">
            <v>PC</v>
          </cell>
          <cell r="G3922">
            <v>0</v>
          </cell>
        </row>
        <row r="3923">
          <cell r="B3923">
            <v>34719</v>
          </cell>
          <cell r="C3923">
            <v>14406</v>
          </cell>
          <cell r="D3923" t="str">
            <v>PHP</v>
          </cell>
          <cell r="E3923">
            <v>1</v>
          </cell>
          <cell r="F3923" t="str">
            <v>ASY</v>
          </cell>
          <cell r="G3923">
            <v>0</v>
          </cell>
        </row>
        <row r="3924">
          <cell r="B3924">
            <v>34720</v>
          </cell>
          <cell r="C3924">
            <v>11340</v>
          </cell>
          <cell r="D3924" t="str">
            <v>PHP</v>
          </cell>
          <cell r="E3924">
            <v>1</v>
          </cell>
          <cell r="F3924" t="str">
            <v>ASY</v>
          </cell>
          <cell r="G3924">
            <v>0</v>
          </cell>
        </row>
        <row r="3925">
          <cell r="B3925">
            <v>34721</v>
          </cell>
          <cell r="C3925">
            <v>9074.64</v>
          </cell>
          <cell r="D3925" t="str">
            <v>PHP</v>
          </cell>
          <cell r="E3925">
            <v>4</v>
          </cell>
          <cell r="F3925" t="str">
            <v>PC</v>
          </cell>
          <cell r="G3925">
            <v>0</v>
          </cell>
        </row>
        <row r="3926">
          <cell r="B3926">
            <v>34726</v>
          </cell>
          <cell r="C3926">
            <v>6301.61</v>
          </cell>
          <cell r="D3926" t="str">
            <v>PHP</v>
          </cell>
          <cell r="E3926">
            <v>4</v>
          </cell>
          <cell r="F3926" t="str">
            <v>PC</v>
          </cell>
          <cell r="G3926">
            <v>0</v>
          </cell>
        </row>
        <row r="3927">
          <cell r="B3927">
            <v>34727</v>
          </cell>
          <cell r="C3927">
            <v>2413.9499999999998</v>
          </cell>
          <cell r="D3927" t="str">
            <v>PHP</v>
          </cell>
          <cell r="E3927">
            <v>11</v>
          </cell>
          <cell r="F3927" t="str">
            <v>PC</v>
          </cell>
          <cell r="G3927">
            <v>0</v>
          </cell>
        </row>
        <row r="3928">
          <cell r="B3928">
            <v>34728</v>
          </cell>
          <cell r="C3928">
            <v>5899.14</v>
          </cell>
          <cell r="D3928" t="str">
            <v>PHP</v>
          </cell>
          <cell r="E3928">
            <v>12</v>
          </cell>
          <cell r="F3928" t="str">
            <v>PC</v>
          </cell>
          <cell r="G3928">
            <v>0</v>
          </cell>
        </row>
        <row r="3929">
          <cell r="B3929">
            <v>34729</v>
          </cell>
          <cell r="C3929">
            <v>19726.53</v>
          </cell>
          <cell r="D3929" t="str">
            <v>PHP</v>
          </cell>
          <cell r="E3929">
            <v>3</v>
          </cell>
          <cell r="F3929" t="str">
            <v>PC</v>
          </cell>
          <cell r="G3929">
            <v>0</v>
          </cell>
        </row>
        <row r="3930">
          <cell r="B3930">
            <v>34730</v>
          </cell>
          <cell r="C3930">
            <v>1230</v>
          </cell>
          <cell r="D3930" t="str">
            <v>PHP</v>
          </cell>
          <cell r="E3930">
            <v>1</v>
          </cell>
          <cell r="F3930" t="str">
            <v>PC</v>
          </cell>
          <cell r="G3930">
            <v>0</v>
          </cell>
        </row>
        <row r="3931">
          <cell r="B3931">
            <v>34731</v>
          </cell>
          <cell r="C3931">
            <v>3884.14</v>
          </cell>
          <cell r="D3931" t="str">
            <v>PHP</v>
          </cell>
          <cell r="E3931">
            <v>11</v>
          </cell>
          <cell r="F3931" t="str">
            <v>PC</v>
          </cell>
          <cell r="G3931">
            <v>0</v>
          </cell>
        </row>
        <row r="3932">
          <cell r="B3932">
            <v>34732</v>
          </cell>
          <cell r="C3932">
            <v>0</v>
          </cell>
          <cell r="D3932" t="str">
            <v>PHP</v>
          </cell>
          <cell r="E3932">
            <v>0</v>
          </cell>
          <cell r="F3932" t="str">
            <v>PC</v>
          </cell>
          <cell r="G3932">
            <v>0</v>
          </cell>
        </row>
        <row r="3933">
          <cell r="B3933">
            <v>34734</v>
          </cell>
          <cell r="C3933">
            <v>6625.01</v>
          </cell>
          <cell r="D3933" t="str">
            <v>PHP</v>
          </cell>
          <cell r="E3933">
            <v>4</v>
          </cell>
          <cell r="F3933" t="str">
            <v>PC</v>
          </cell>
          <cell r="G3933">
            <v>0</v>
          </cell>
        </row>
        <row r="3934">
          <cell r="B3934">
            <v>34736</v>
          </cell>
          <cell r="C3934">
            <v>63531.56</v>
          </cell>
          <cell r="D3934" t="str">
            <v>PHP</v>
          </cell>
          <cell r="E3934">
            <v>4</v>
          </cell>
          <cell r="F3934" t="str">
            <v>PC</v>
          </cell>
          <cell r="G3934">
            <v>0</v>
          </cell>
        </row>
        <row r="3935">
          <cell r="B3935">
            <v>34737</v>
          </cell>
          <cell r="C3935">
            <v>9688.89</v>
          </cell>
          <cell r="D3935" t="str">
            <v>PHP</v>
          </cell>
          <cell r="E3935">
            <v>2</v>
          </cell>
          <cell r="F3935" t="str">
            <v>PC</v>
          </cell>
          <cell r="G3935">
            <v>0</v>
          </cell>
        </row>
        <row r="3936">
          <cell r="B3936">
            <v>34739</v>
          </cell>
          <cell r="C3936">
            <v>839.59</v>
          </cell>
          <cell r="D3936" t="str">
            <v>PHP</v>
          </cell>
          <cell r="E3936">
            <v>6</v>
          </cell>
          <cell r="F3936" t="str">
            <v>PC</v>
          </cell>
          <cell r="G3936">
            <v>0</v>
          </cell>
        </row>
        <row r="3937">
          <cell r="B3937">
            <v>34740</v>
          </cell>
          <cell r="C3937">
            <v>45557.72</v>
          </cell>
          <cell r="D3937" t="str">
            <v>PHP</v>
          </cell>
          <cell r="E3937">
            <v>1</v>
          </cell>
          <cell r="F3937" t="str">
            <v>PC</v>
          </cell>
          <cell r="G3937">
            <v>0</v>
          </cell>
        </row>
        <row r="3938">
          <cell r="B3938">
            <v>34741</v>
          </cell>
          <cell r="C3938">
            <v>164644.34</v>
          </cell>
          <cell r="D3938" t="str">
            <v>PHP</v>
          </cell>
          <cell r="E3938">
            <v>1</v>
          </cell>
          <cell r="F3938" t="str">
            <v>PC</v>
          </cell>
          <cell r="G3938">
            <v>0</v>
          </cell>
        </row>
        <row r="3939">
          <cell r="B3939">
            <v>34742</v>
          </cell>
          <cell r="C3939">
            <v>9645.75</v>
          </cell>
          <cell r="D3939" t="str">
            <v>PHP</v>
          </cell>
          <cell r="E3939">
            <v>2</v>
          </cell>
          <cell r="F3939" t="str">
            <v>SET</v>
          </cell>
          <cell r="G3939">
            <v>0</v>
          </cell>
        </row>
        <row r="3940">
          <cell r="B3940">
            <v>34743</v>
          </cell>
          <cell r="C3940">
            <v>10399.030000000001</v>
          </cell>
          <cell r="D3940" t="str">
            <v>PHP</v>
          </cell>
          <cell r="E3940">
            <v>3</v>
          </cell>
          <cell r="F3940" t="str">
            <v>PC</v>
          </cell>
          <cell r="G3940">
            <v>0</v>
          </cell>
        </row>
        <row r="3941">
          <cell r="B3941">
            <v>34744</v>
          </cell>
          <cell r="C3941">
            <v>10903.59</v>
          </cell>
          <cell r="D3941" t="str">
            <v>PHP</v>
          </cell>
          <cell r="E3941">
            <v>4</v>
          </cell>
          <cell r="F3941" t="str">
            <v>PC</v>
          </cell>
          <cell r="G3941">
            <v>0</v>
          </cell>
        </row>
        <row r="3942">
          <cell r="B3942">
            <v>34745</v>
          </cell>
          <cell r="C3942">
            <v>8843.52</v>
          </cell>
          <cell r="D3942" t="str">
            <v>PHP</v>
          </cell>
          <cell r="E3942">
            <v>3</v>
          </cell>
          <cell r="F3942" t="str">
            <v>PC</v>
          </cell>
          <cell r="G3942">
            <v>0</v>
          </cell>
        </row>
        <row r="3943">
          <cell r="B3943">
            <v>34746</v>
          </cell>
          <cell r="C3943">
            <v>664.3</v>
          </cell>
          <cell r="D3943" t="str">
            <v>PHP</v>
          </cell>
          <cell r="E3943">
            <v>3</v>
          </cell>
          <cell r="F3943" t="str">
            <v>PC</v>
          </cell>
          <cell r="G3943">
            <v>0</v>
          </cell>
        </row>
        <row r="3944">
          <cell r="B3944">
            <v>34747</v>
          </cell>
          <cell r="C3944">
            <v>845.91</v>
          </cell>
          <cell r="D3944" t="str">
            <v>PHP</v>
          </cell>
          <cell r="E3944">
            <v>3</v>
          </cell>
          <cell r="F3944" t="str">
            <v>PC</v>
          </cell>
          <cell r="G3944">
            <v>0</v>
          </cell>
        </row>
        <row r="3945">
          <cell r="B3945">
            <v>34748</v>
          </cell>
          <cell r="C3945">
            <v>2018.27</v>
          </cell>
          <cell r="D3945" t="str">
            <v>PHP</v>
          </cell>
          <cell r="E3945">
            <v>5</v>
          </cell>
          <cell r="F3945" t="str">
            <v>PC</v>
          </cell>
          <cell r="G3945">
            <v>0</v>
          </cell>
        </row>
        <row r="3946">
          <cell r="B3946">
            <v>34749</v>
          </cell>
          <cell r="C3946">
            <v>6589.18</v>
          </cell>
          <cell r="D3946" t="str">
            <v>PHP</v>
          </cell>
          <cell r="E3946">
            <v>9</v>
          </cell>
          <cell r="F3946" t="str">
            <v>PC</v>
          </cell>
          <cell r="G3946">
            <v>0</v>
          </cell>
        </row>
        <row r="3947">
          <cell r="B3947">
            <v>34750</v>
          </cell>
          <cell r="C3947">
            <v>9176</v>
          </cell>
          <cell r="D3947" t="str">
            <v>PHP</v>
          </cell>
          <cell r="E3947">
            <v>2</v>
          </cell>
          <cell r="F3947" t="str">
            <v>SET</v>
          </cell>
          <cell r="G3947">
            <v>0</v>
          </cell>
        </row>
        <row r="3948">
          <cell r="B3948">
            <v>34751</v>
          </cell>
          <cell r="C3948">
            <v>0</v>
          </cell>
          <cell r="D3948" t="str">
            <v>PHP</v>
          </cell>
          <cell r="E3948">
            <v>0</v>
          </cell>
          <cell r="F3948" t="str">
            <v>SET</v>
          </cell>
          <cell r="G3948">
            <v>0</v>
          </cell>
        </row>
        <row r="3949">
          <cell r="B3949">
            <v>34752</v>
          </cell>
          <cell r="C3949">
            <v>8640.39</v>
          </cell>
          <cell r="D3949" t="str">
            <v>PHP</v>
          </cell>
          <cell r="E3949">
            <v>24</v>
          </cell>
          <cell r="F3949" t="str">
            <v>PC</v>
          </cell>
          <cell r="G3949">
            <v>0</v>
          </cell>
        </row>
        <row r="3950">
          <cell r="B3950">
            <v>34753</v>
          </cell>
          <cell r="C3950">
            <v>0</v>
          </cell>
          <cell r="D3950" t="str">
            <v>PHP</v>
          </cell>
          <cell r="E3950">
            <v>0</v>
          </cell>
          <cell r="F3950" t="str">
            <v>PC</v>
          </cell>
          <cell r="G3950">
            <v>0</v>
          </cell>
        </row>
        <row r="3951">
          <cell r="B3951">
            <v>34754</v>
          </cell>
          <cell r="C3951">
            <v>0</v>
          </cell>
          <cell r="D3951" t="str">
            <v>PHP</v>
          </cell>
          <cell r="E3951">
            <v>0</v>
          </cell>
          <cell r="F3951" t="str">
            <v>PC</v>
          </cell>
          <cell r="G3951">
            <v>0</v>
          </cell>
        </row>
        <row r="3952">
          <cell r="B3952">
            <v>34755</v>
          </cell>
          <cell r="C3952">
            <v>0</v>
          </cell>
          <cell r="D3952" t="str">
            <v>PHP</v>
          </cell>
          <cell r="E3952">
            <v>0</v>
          </cell>
          <cell r="F3952" t="str">
            <v>PC</v>
          </cell>
          <cell r="G3952">
            <v>0</v>
          </cell>
        </row>
        <row r="3953">
          <cell r="B3953">
            <v>34757</v>
          </cell>
          <cell r="C3953">
            <v>20341.330000000002</v>
          </cell>
          <cell r="D3953" t="str">
            <v>PHP</v>
          </cell>
          <cell r="E3953">
            <v>34</v>
          </cell>
          <cell r="F3953" t="str">
            <v>ASY</v>
          </cell>
          <cell r="G3953">
            <v>0</v>
          </cell>
        </row>
        <row r="3954">
          <cell r="B3954">
            <v>34758</v>
          </cell>
          <cell r="C3954">
            <v>0</v>
          </cell>
          <cell r="D3954" t="str">
            <v>PHP</v>
          </cell>
          <cell r="E3954">
            <v>0</v>
          </cell>
          <cell r="F3954" t="str">
            <v>PC</v>
          </cell>
          <cell r="G3954">
            <v>0</v>
          </cell>
        </row>
        <row r="3955">
          <cell r="B3955">
            <v>34759</v>
          </cell>
          <cell r="C3955">
            <v>63670</v>
          </cell>
          <cell r="D3955" t="str">
            <v>PHP</v>
          </cell>
          <cell r="E3955">
            <v>5</v>
          </cell>
          <cell r="F3955" t="str">
            <v>PC</v>
          </cell>
          <cell r="G3955">
            <v>0</v>
          </cell>
        </row>
        <row r="3956">
          <cell r="B3956">
            <v>34760</v>
          </cell>
          <cell r="C3956">
            <v>0</v>
          </cell>
          <cell r="D3956" t="str">
            <v>PHP</v>
          </cell>
          <cell r="E3956">
            <v>0</v>
          </cell>
          <cell r="F3956" t="str">
            <v>PC</v>
          </cell>
          <cell r="G3956">
            <v>0</v>
          </cell>
        </row>
        <row r="3957">
          <cell r="B3957">
            <v>34762</v>
          </cell>
          <cell r="C3957">
            <v>64838.44</v>
          </cell>
          <cell r="D3957" t="str">
            <v>PHP</v>
          </cell>
          <cell r="E3957">
            <v>2</v>
          </cell>
          <cell r="F3957" t="str">
            <v>PC</v>
          </cell>
          <cell r="G3957">
            <v>0</v>
          </cell>
        </row>
        <row r="3958">
          <cell r="B3958">
            <v>34763</v>
          </cell>
          <cell r="C3958">
            <v>165349.47</v>
          </cell>
          <cell r="D3958" t="str">
            <v>PHP</v>
          </cell>
          <cell r="E3958">
            <v>5</v>
          </cell>
          <cell r="F3958" t="str">
            <v>PC</v>
          </cell>
          <cell r="G3958">
            <v>0</v>
          </cell>
        </row>
        <row r="3959">
          <cell r="B3959">
            <v>34764</v>
          </cell>
          <cell r="C3959">
            <v>182.21</v>
          </cell>
          <cell r="D3959" t="str">
            <v>PHP</v>
          </cell>
          <cell r="E3959">
            <v>14</v>
          </cell>
          <cell r="F3959" t="str">
            <v>PC</v>
          </cell>
          <cell r="G3959">
            <v>0</v>
          </cell>
        </row>
        <row r="3960">
          <cell r="B3960">
            <v>34765</v>
          </cell>
          <cell r="C3960">
            <v>17130</v>
          </cell>
          <cell r="D3960" t="str">
            <v>PHP</v>
          </cell>
          <cell r="E3960">
            <v>4</v>
          </cell>
          <cell r="F3960" t="str">
            <v>PC</v>
          </cell>
          <cell r="G3960">
            <v>0</v>
          </cell>
        </row>
        <row r="3961">
          <cell r="B3961">
            <v>34766</v>
          </cell>
          <cell r="C3961">
            <v>0</v>
          </cell>
          <cell r="D3961" t="str">
            <v>PHP</v>
          </cell>
          <cell r="E3961">
            <v>0</v>
          </cell>
          <cell r="F3961" t="str">
            <v>PC</v>
          </cell>
          <cell r="G3961">
            <v>0</v>
          </cell>
        </row>
        <row r="3962">
          <cell r="B3962">
            <v>34767</v>
          </cell>
          <cell r="C3962">
            <v>0</v>
          </cell>
          <cell r="D3962" t="str">
            <v>PHP</v>
          </cell>
          <cell r="E3962">
            <v>0</v>
          </cell>
          <cell r="F3962" t="str">
            <v>PC</v>
          </cell>
          <cell r="G3962">
            <v>0</v>
          </cell>
        </row>
        <row r="3963">
          <cell r="B3963">
            <v>34768</v>
          </cell>
          <cell r="C3963">
            <v>18011.71</v>
          </cell>
          <cell r="D3963" t="str">
            <v>PHP</v>
          </cell>
          <cell r="E3963">
            <v>1</v>
          </cell>
          <cell r="F3963" t="str">
            <v>PC</v>
          </cell>
          <cell r="G3963">
            <v>0</v>
          </cell>
        </row>
        <row r="3964">
          <cell r="B3964">
            <v>34769</v>
          </cell>
          <cell r="C3964">
            <v>9074.52</v>
          </cell>
          <cell r="D3964" t="str">
            <v>PHP</v>
          </cell>
          <cell r="E3964">
            <v>9</v>
          </cell>
          <cell r="F3964" t="str">
            <v>PC</v>
          </cell>
          <cell r="G3964">
            <v>0</v>
          </cell>
        </row>
        <row r="3965">
          <cell r="B3965">
            <v>34770</v>
          </cell>
          <cell r="C3965">
            <v>8371.9599999999991</v>
          </cell>
          <cell r="D3965" t="str">
            <v>PHP</v>
          </cell>
          <cell r="E3965">
            <v>9</v>
          </cell>
          <cell r="F3965" t="str">
            <v>PC</v>
          </cell>
          <cell r="G3965">
            <v>0</v>
          </cell>
        </row>
        <row r="3966">
          <cell r="B3966">
            <v>34771</v>
          </cell>
          <cell r="C3966">
            <v>27063.040000000001</v>
          </cell>
          <cell r="D3966" t="str">
            <v>PHP</v>
          </cell>
          <cell r="E3966">
            <v>9</v>
          </cell>
          <cell r="F3966" t="str">
            <v>PC</v>
          </cell>
          <cell r="G3966">
            <v>0</v>
          </cell>
        </row>
        <row r="3967">
          <cell r="B3967">
            <v>34772</v>
          </cell>
          <cell r="C3967">
            <v>13580.14</v>
          </cell>
          <cell r="D3967" t="str">
            <v>PHP</v>
          </cell>
          <cell r="E3967">
            <v>1</v>
          </cell>
          <cell r="F3967" t="str">
            <v>PC</v>
          </cell>
          <cell r="G3967">
            <v>0</v>
          </cell>
        </row>
        <row r="3968">
          <cell r="B3968">
            <v>34773</v>
          </cell>
          <cell r="C3968">
            <v>456.18</v>
          </cell>
          <cell r="D3968" t="str">
            <v>PHP</v>
          </cell>
          <cell r="E3968">
            <v>4</v>
          </cell>
          <cell r="F3968" t="str">
            <v>PC</v>
          </cell>
          <cell r="G3968">
            <v>0</v>
          </cell>
        </row>
        <row r="3969">
          <cell r="B3969">
            <v>34774</v>
          </cell>
          <cell r="C3969">
            <v>380.73</v>
          </cell>
          <cell r="D3969" t="str">
            <v>PHP</v>
          </cell>
          <cell r="E3969">
            <v>1</v>
          </cell>
          <cell r="F3969" t="str">
            <v>PC</v>
          </cell>
          <cell r="G3969">
            <v>0</v>
          </cell>
        </row>
        <row r="3970">
          <cell r="B3970">
            <v>34775</v>
          </cell>
          <cell r="C3970">
            <v>1613.06</v>
          </cell>
          <cell r="D3970" t="str">
            <v>PHP</v>
          </cell>
          <cell r="E3970">
            <v>7</v>
          </cell>
          <cell r="F3970" t="str">
            <v>PC</v>
          </cell>
          <cell r="G3970">
            <v>0</v>
          </cell>
        </row>
        <row r="3971">
          <cell r="B3971">
            <v>34776</v>
          </cell>
          <cell r="C3971">
            <v>337700</v>
          </cell>
          <cell r="D3971" t="str">
            <v>PHP</v>
          </cell>
          <cell r="E3971">
            <v>2</v>
          </cell>
          <cell r="F3971" t="str">
            <v>PC</v>
          </cell>
          <cell r="G3971">
            <v>0</v>
          </cell>
        </row>
        <row r="3972">
          <cell r="B3972">
            <v>34777</v>
          </cell>
          <cell r="C3972">
            <v>7593.31</v>
          </cell>
          <cell r="D3972" t="str">
            <v>PHP</v>
          </cell>
          <cell r="E3972">
            <v>36</v>
          </cell>
          <cell r="F3972" t="str">
            <v>PC</v>
          </cell>
          <cell r="G3972">
            <v>0</v>
          </cell>
        </row>
        <row r="3973">
          <cell r="B3973">
            <v>34778</v>
          </cell>
          <cell r="C3973">
            <v>6107.65</v>
          </cell>
          <cell r="D3973" t="str">
            <v>PHP</v>
          </cell>
          <cell r="E3973">
            <v>143</v>
          </cell>
          <cell r="F3973" t="str">
            <v>PC</v>
          </cell>
          <cell r="G3973">
            <v>0</v>
          </cell>
        </row>
        <row r="3974">
          <cell r="B3974">
            <v>34779</v>
          </cell>
          <cell r="C3974">
            <v>3980</v>
          </cell>
          <cell r="D3974" t="str">
            <v>PHP</v>
          </cell>
          <cell r="E3974">
            <v>30</v>
          </cell>
          <cell r="F3974" t="str">
            <v>PC</v>
          </cell>
          <cell r="G3974">
            <v>0</v>
          </cell>
        </row>
        <row r="3975">
          <cell r="B3975">
            <v>34780</v>
          </cell>
          <cell r="C3975">
            <v>2546.8000000000002</v>
          </cell>
          <cell r="D3975" t="str">
            <v>PHP</v>
          </cell>
          <cell r="E3975">
            <v>119</v>
          </cell>
          <cell r="F3975" t="str">
            <v>PC</v>
          </cell>
          <cell r="G3975">
            <v>0</v>
          </cell>
        </row>
        <row r="3976">
          <cell r="B3976">
            <v>34781</v>
          </cell>
          <cell r="C3976">
            <v>2241.98</v>
          </cell>
          <cell r="D3976" t="str">
            <v>PHP</v>
          </cell>
          <cell r="E3976">
            <v>26</v>
          </cell>
          <cell r="F3976" t="str">
            <v>PC</v>
          </cell>
          <cell r="G3976">
            <v>0</v>
          </cell>
        </row>
        <row r="3977">
          <cell r="B3977">
            <v>34782</v>
          </cell>
          <cell r="C3977">
            <v>10040.959999999999</v>
          </cell>
          <cell r="D3977" t="str">
            <v>PHP</v>
          </cell>
          <cell r="E3977">
            <v>37</v>
          </cell>
          <cell r="F3977" t="str">
            <v>PC</v>
          </cell>
          <cell r="G3977">
            <v>0</v>
          </cell>
        </row>
        <row r="3978">
          <cell r="B3978">
            <v>34783</v>
          </cell>
          <cell r="C3978">
            <v>26536.34</v>
          </cell>
          <cell r="D3978" t="str">
            <v>PHP</v>
          </cell>
          <cell r="E3978">
            <v>2</v>
          </cell>
          <cell r="F3978" t="str">
            <v>PC</v>
          </cell>
          <cell r="G3978">
            <v>0</v>
          </cell>
        </row>
        <row r="3979">
          <cell r="B3979">
            <v>34785</v>
          </cell>
          <cell r="C3979">
            <v>0</v>
          </cell>
          <cell r="D3979" t="str">
            <v>PHP</v>
          </cell>
          <cell r="E3979">
            <v>0</v>
          </cell>
          <cell r="F3979" t="str">
            <v>PC</v>
          </cell>
          <cell r="G3979">
            <v>0</v>
          </cell>
        </row>
        <row r="3980">
          <cell r="B3980">
            <v>34786</v>
          </cell>
          <cell r="C3980">
            <v>4051.51</v>
          </cell>
          <cell r="D3980" t="str">
            <v>PHP</v>
          </cell>
          <cell r="E3980">
            <v>16</v>
          </cell>
          <cell r="F3980" t="str">
            <v>PC</v>
          </cell>
          <cell r="G3980">
            <v>0</v>
          </cell>
        </row>
        <row r="3981">
          <cell r="B3981">
            <v>34787</v>
          </cell>
          <cell r="C3981">
            <v>38834.639999999999</v>
          </cell>
          <cell r="D3981" t="str">
            <v>PHP</v>
          </cell>
          <cell r="E3981">
            <v>1</v>
          </cell>
          <cell r="F3981" t="str">
            <v>PC</v>
          </cell>
          <cell r="G3981">
            <v>0</v>
          </cell>
        </row>
        <row r="3982">
          <cell r="B3982">
            <v>34788</v>
          </cell>
          <cell r="C3982">
            <v>3124.85</v>
          </cell>
          <cell r="D3982" t="str">
            <v>PHP</v>
          </cell>
          <cell r="E3982">
            <v>2</v>
          </cell>
          <cell r="F3982" t="str">
            <v>PC</v>
          </cell>
          <cell r="G3982">
            <v>0</v>
          </cell>
        </row>
        <row r="3983">
          <cell r="B3983">
            <v>34789</v>
          </cell>
          <cell r="C3983">
            <v>0</v>
          </cell>
          <cell r="D3983" t="str">
            <v>PHP</v>
          </cell>
          <cell r="E3983">
            <v>0</v>
          </cell>
          <cell r="F3983" t="str">
            <v>PC</v>
          </cell>
          <cell r="G3983">
            <v>0</v>
          </cell>
        </row>
        <row r="3984">
          <cell r="B3984">
            <v>34790</v>
          </cell>
          <cell r="C3984">
            <v>29385.38</v>
          </cell>
          <cell r="D3984" t="str">
            <v>PHP</v>
          </cell>
          <cell r="E3984">
            <v>6</v>
          </cell>
          <cell r="F3984" t="str">
            <v>PC</v>
          </cell>
          <cell r="G3984">
            <v>0</v>
          </cell>
        </row>
        <row r="3985">
          <cell r="B3985">
            <v>34792</v>
          </cell>
          <cell r="C3985">
            <v>4699.76</v>
          </cell>
          <cell r="D3985" t="str">
            <v>PHP</v>
          </cell>
          <cell r="E3985">
            <v>1</v>
          </cell>
          <cell r="F3985" t="str">
            <v>PC</v>
          </cell>
          <cell r="G3985">
            <v>0</v>
          </cell>
        </row>
        <row r="3986">
          <cell r="B3986">
            <v>34795</v>
          </cell>
          <cell r="C3986">
            <v>23110</v>
          </cell>
          <cell r="D3986" t="str">
            <v>PHP</v>
          </cell>
          <cell r="E3986">
            <v>2</v>
          </cell>
          <cell r="F3986" t="str">
            <v>PC</v>
          </cell>
          <cell r="G3986">
            <v>0</v>
          </cell>
        </row>
        <row r="3987">
          <cell r="B3987">
            <v>34796</v>
          </cell>
          <cell r="C3987">
            <v>29263</v>
          </cell>
          <cell r="D3987" t="str">
            <v>PHP</v>
          </cell>
          <cell r="E3987">
            <v>1</v>
          </cell>
          <cell r="F3987" t="str">
            <v>PC</v>
          </cell>
          <cell r="G3987">
            <v>0</v>
          </cell>
        </row>
        <row r="3988">
          <cell r="B3988">
            <v>34797</v>
          </cell>
          <cell r="C3988">
            <v>18123</v>
          </cell>
          <cell r="D3988" t="str">
            <v>PHP</v>
          </cell>
          <cell r="E3988">
            <v>1</v>
          </cell>
          <cell r="F3988" t="str">
            <v>PC</v>
          </cell>
          <cell r="G3988">
            <v>0</v>
          </cell>
        </row>
        <row r="3989">
          <cell r="B3989">
            <v>34798</v>
          </cell>
          <cell r="C3989">
            <v>36230</v>
          </cell>
          <cell r="D3989" t="str">
            <v>PHP</v>
          </cell>
          <cell r="E3989">
            <v>1</v>
          </cell>
          <cell r="F3989" t="str">
            <v>PC</v>
          </cell>
          <cell r="G3989">
            <v>0</v>
          </cell>
        </row>
        <row r="3990">
          <cell r="B3990">
            <v>34799</v>
          </cell>
          <cell r="C3990">
            <v>25535</v>
          </cell>
          <cell r="D3990" t="str">
            <v>PHP</v>
          </cell>
          <cell r="E3990">
            <v>1</v>
          </cell>
          <cell r="F3990" t="str">
            <v>PC</v>
          </cell>
          <cell r="G3990">
            <v>0</v>
          </cell>
        </row>
        <row r="3991">
          <cell r="B3991">
            <v>34800</v>
          </cell>
          <cell r="C3991">
            <v>24665</v>
          </cell>
          <cell r="D3991" t="str">
            <v>PHP</v>
          </cell>
          <cell r="E3991">
            <v>1</v>
          </cell>
          <cell r="F3991" t="str">
            <v>PC</v>
          </cell>
          <cell r="G3991">
            <v>0</v>
          </cell>
        </row>
        <row r="3992">
          <cell r="B3992">
            <v>34801</v>
          </cell>
          <cell r="C3992">
            <v>54853</v>
          </cell>
          <cell r="D3992" t="str">
            <v>PHP</v>
          </cell>
          <cell r="E3992">
            <v>1</v>
          </cell>
          <cell r="F3992" t="str">
            <v>PC</v>
          </cell>
          <cell r="G3992">
            <v>0</v>
          </cell>
        </row>
        <row r="3993">
          <cell r="B3993">
            <v>34802</v>
          </cell>
          <cell r="C3993">
            <v>20499</v>
          </cell>
          <cell r="D3993" t="str">
            <v>PHP</v>
          </cell>
          <cell r="E3993">
            <v>1</v>
          </cell>
          <cell r="F3993" t="str">
            <v>PC</v>
          </cell>
          <cell r="G3993">
            <v>0</v>
          </cell>
        </row>
        <row r="3994">
          <cell r="B3994">
            <v>34803</v>
          </cell>
          <cell r="C3994">
            <v>51891</v>
          </cell>
          <cell r="D3994" t="str">
            <v>PHP</v>
          </cell>
          <cell r="E3994">
            <v>1</v>
          </cell>
          <cell r="F3994" t="str">
            <v>PC</v>
          </cell>
          <cell r="G3994">
            <v>0</v>
          </cell>
        </row>
        <row r="3995">
          <cell r="B3995">
            <v>34804</v>
          </cell>
          <cell r="C3995">
            <v>833.45</v>
          </cell>
          <cell r="D3995" t="str">
            <v>PHP</v>
          </cell>
          <cell r="E3995">
            <v>1</v>
          </cell>
          <cell r="F3995" t="str">
            <v>PC</v>
          </cell>
          <cell r="G3995">
            <v>0</v>
          </cell>
        </row>
        <row r="3996">
          <cell r="B3996">
            <v>34805</v>
          </cell>
          <cell r="C3996">
            <v>84787.78</v>
          </cell>
          <cell r="D3996" t="str">
            <v>PHP</v>
          </cell>
          <cell r="E3996">
            <v>1</v>
          </cell>
          <cell r="F3996" t="str">
            <v>PC</v>
          </cell>
          <cell r="G3996">
            <v>0</v>
          </cell>
        </row>
        <row r="3997">
          <cell r="B3997">
            <v>34806</v>
          </cell>
          <cell r="C3997">
            <v>0</v>
          </cell>
          <cell r="D3997" t="str">
            <v>PHP</v>
          </cell>
          <cell r="E3997">
            <v>0</v>
          </cell>
          <cell r="F3997" t="str">
            <v>PC</v>
          </cell>
          <cell r="G3997">
            <v>0</v>
          </cell>
        </row>
        <row r="3998">
          <cell r="B3998">
            <v>34807</v>
          </cell>
          <cell r="C3998">
            <v>344636.08</v>
          </cell>
          <cell r="D3998" t="str">
            <v>PHP</v>
          </cell>
          <cell r="E3998">
            <v>45</v>
          </cell>
          <cell r="F3998" t="str">
            <v>PC</v>
          </cell>
          <cell r="G3998">
            <v>0</v>
          </cell>
        </row>
        <row r="3999">
          <cell r="B3999">
            <v>34808</v>
          </cell>
          <cell r="C3999">
            <v>6552.09</v>
          </cell>
          <cell r="D3999" t="str">
            <v>PHP</v>
          </cell>
          <cell r="E3999">
            <v>40</v>
          </cell>
          <cell r="F3999" t="str">
            <v>PC</v>
          </cell>
          <cell r="G3999">
            <v>0</v>
          </cell>
        </row>
        <row r="4000">
          <cell r="B4000">
            <v>34809</v>
          </cell>
          <cell r="C4000">
            <v>25576.37</v>
          </cell>
          <cell r="D4000" t="str">
            <v>PHP</v>
          </cell>
          <cell r="E4000">
            <v>40</v>
          </cell>
          <cell r="F4000" t="str">
            <v>PC</v>
          </cell>
          <cell r="G4000">
            <v>0</v>
          </cell>
        </row>
        <row r="4001">
          <cell r="B4001">
            <v>34810</v>
          </cell>
          <cell r="C4001">
            <v>0</v>
          </cell>
          <cell r="D4001" t="str">
            <v>PHP</v>
          </cell>
          <cell r="E4001">
            <v>0</v>
          </cell>
          <cell r="F4001" t="str">
            <v>PC</v>
          </cell>
          <cell r="G4001">
            <v>0</v>
          </cell>
        </row>
        <row r="4002">
          <cell r="B4002">
            <v>34811</v>
          </cell>
          <cell r="C4002">
            <v>0</v>
          </cell>
          <cell r="D4002" t="str">
            <v>PHP</v>
          </cell>
          <cell r="E4002">
            <v>0</v>
          </cell>
          <cell r="F4002" t="str">
            <v>PC</v>
          </cell>
          <cell r="G4002">
            <v>0</v>
          </cell>
        </row>
        <row r="4003">
          <cell r="B4003">
            <v>34812</v>
          </cell>
          <cell r="C4003">
            <v>0</v>
          </cell>
          <cell r="D4003" t="str">
            <v>PHP</v>
          </cell>
          <cell r="E4003">
            <v>0</v>
          </cell>
          <cell r="F4003" t="str">
            <v>PC</v>
          </cell>
          <cell r="G4003">
            <v>0</v>
          </cell>
        </row>
        <row r="4004">
          <cell r="B4004">
            <v>34813</v>
          </cell>
          <cell r="C4004">
            <v>0</v>
          </cell>
          <cell r="D4004" t="str">
            <v>PHP</v>
          </cell>
          <cell r="E4004">
            <v>0</v>
          </cell>
          <cell r="F4004" t="str">
            <v>PC</v>
          </cell>
          <cell r="G4004">
            <v>0</v>
          </cell>
        </row>
        <row r="4005">
          <cell r="B4005">
            <v>34814</v>
          </cell>
          <cell r="C4005">
            <v>0</v>
          </cell>
          <cell r="D4005" t="str">
            <v>PHP</v>
          </cell>
          <cell r="E4005">
            <v>0</v>
          </cell>
          <cell r="F4005" t="str">
            <v>PC</v>
          </cell>
          <cell r="G4005">
            <v>0</v>
          </cell>
        </row>
        <row r="4006">
          <cell r="B4006">
            <v>34815</v>
          </cell>
          <cell r="C4006">
            <v>0</v>
          </cell>
          <cell r="D4006" t="str">
            <v>PHP</v>
          </cell>
          <cell r="E4006">
            <v>0</v>
          </cell>
          <cell r="F4006" t="str">
            <v>PC</v>
          </cell>
          <cell r="G4006">
            <v>0</v>
          </cell>
        </row>
        <row r="4007">
          <cell r="B4007">
            <v>34816</v>
          </cell>
          <cell r="C4007">
            <v>0</v>
          </cell>
          <cell r="D4007" t="str">
            <v>PHP</v>
          </cell>
          <cell r="E4007">
            <v>0</v>
          </cell>
          <cell r="F4007" t="str">
            <v>PC</v>
          </cell>
          <cell r="G4007">
            <v>0</v>
          </cell>
        </row>
        <row r="4008">
          <cell r="B4008">
            <v>34817</v>
          </cell>
          <cell r="C4008">
            <v>0</v>
          </cell>
          <cell r="D4008" t="str">
            <v>PHP</v>
          </cell>
          <cell r="E4008">
            <v>0</v>
          </cell>
          <cell r="F4008" t="str">
            <v>PC</v>
          </cell>
          <cell r="G4008">
            <v>0</v>
          </cell>
        </row>
        <row r="4009">
          <cell r="B4009">
            <v>34818</v>
          </cell>
          <cell r="C4009">
            <v>0</v>
          </cell>
          <cell r="D4009" t="str">
            <v>PHP</v>
          </cell>
          <cell r="E4009">
            <v>0</v>
          </cell>
          <cell r="F4009" t="str">
            <v>PC</v>
          </cell>
          <cell r="G4009">
            <v>0</v>
          </cell>
        </row>
        <row r="4010">
          <cell r="B4010">
            <v>34819</v>
          </cell>
          <cell r="C4010">
            <v>47.87</v>
          </cell>
          <cell r="D4010" t="str">
            <v>PHP</v>
          </cell>
          <cell r="E4010">
            <v>2</v>
          </cell>
          <cell r="F4010" t="str">
            <v>PC</v>
          </cell>
          <cell r="G4010">
            <v>0</v>
          </cell>
        </row>
        <row r="4011">
          <cell r="B4011">
            <v>34820</v>
          </cell>
          <cell r="C4011">
            <v>0</v>
          </cell>
          <cell r="D4011" t="str">
            <v>PHP</v>
          </cell>
          <cell r="E4011">
            <v>0</v>
          </cell>
          <cell r="F4011" t="str">
            <v>PC</v>
          </cell>
          <cell r="G4011">
            <v>0</v>
          </cell>
        </row>
        <row r="4012">
          <cell r="B4012">
            <v>34821</v>
          </cell>
          <cell r="C4012">
            <v>10</v>
          </cell>
          <cell r="D4012" t="str">
            <v>PHP</v>
          </cell>
          <cell r="E4012">
            <v>1</v>
          </cell>
          <cell r="F4012" t="str">
            <v>PC</v>
          </cell>
          <cell r="G4012">
            <v>0</v>
          </cell>
        </row>
        <row r="4013">
          <cell r="B4013">
            <v>34822</v>
          </cell>
          <cell r="C4013">
            <v>6595.36</v>
          </cell>
          <cell r="D4013" t="str">
            <v>PHP</v>
          </cell>
          <cell r="E4013">
            <v>4</v>
          </cell>
          <cell r="F4013" t="str">
            <v>PC</v>
          </cell>
          <cell r="G4013">
            <v>0</v>
          </cell>
        </row>
        <row r="4014">
          <cell r="B4014">
            <v>34823</v>
          </cell>
          <cell r="C4014">
            <v>934.5</v>
          </cell>
          <cell r="D4014" t="str">
            <v>PHP</v>
          </cell>
          <cell r="E4014">
            <v>4</v>
          </cell>
          <cell r="F4014" t="str">
            <v>PC</v>
          </cell>
          <cell r="G4014">
            <v>0</v>
          </cell>
        </row>
        <row r="4015">
          <cell r="B4015">
            <v>34824</v>
          </cell>
          <cell r="C4015">
            <v>625</v>
          </cell>
          <cell r="D4015" t="str">
            <v>PHP</v>
          </cell>
          <cell r="E4015">
            <v>1</v>
          </cell>
          <cell r="F4015" t="str">
            <v>PC</v>
          </cell>
          <cell r="G4015">
            <v>0</v>
          </cell>
        </row>
        <row r="4016">
          <cell r="B4016">
            <v>34826</v>
          </cell>
          <cell r="C4016">
            <v>0</v>
          </cell>
          <cell r="D4016" t="str">
            <v>PHP</v>
          </cell>
          <cell r="E4016">
            <v>0</v>
          </cell>
          <cell r="F4016" t="str">
            <v>PC</v>
          </cell>
          <cell r="G4016">
            <v>0</v>
          </cell>
        </row>
        <row r="4017">
          <cell r="B4017">
            <v>34827</v>
          </cell>
          <cell r="C4017">
            <v>73676.009999999995</v>
          </cell>
          <cell r="D4017" t="str">
            <v>PHP</v>
          </cell>
          <cell r="E4017">
            <v>26</v>
          </cell>
          <cell r="F4017" t="str">
            <v>PC</v>
          </cell>
          <cell r="G4017">
            <v>0</v>
          </cell>
        </row>
        <row r="4018">
          <cell r="B4018">
            <v>34828</v>
          </cell>
          <cell r="C4018">
            <v>3434.3</v>
          </cell>
          <cell r="D4018" t="str">
            <v>PHP</v>
          </cell>
          <cell r="E4018">
            <v>5</v>
          </cell>
          <cell r="F4018" t="str">
            <v>PC</v>
          </cell>
          <cell r="G4018">
            <v>0</v>
          </cell>
        </row>
        <row r="4019">
          <cell r="B4019">
            <v>34829</v>
          </cell>
          <cell r="C4019">
            <v>0</v>
          </cell>
          <cell r="D4019" t="str">
            <v>PHP</v>
          </cell>
          <cell r="E4019">
            <v>0</v>
          </cell>
          <cell r="F4019" t="str">
            <v>PC</v>
          </cell>
          <cell r="G4019">
            <v>0</v>
          </cell>
        </row>
        <row r="4020">
          <cell r="B4020">
            <v>34831</v>
          </cell>
          <cell r="C4020">
            <v>0</v>
          </cell>
          <cell r="D4020" t="str">
            <v>PHP</v>
          </cell>
          <cell r="E4020">
            <v>0</v>
          </cell>
          <cell r="F4020" t="str">
            <v>PC</v>
          </cell>
          <cell r="G4020">
            <v>0</v>
          </cell>
        </row>
        <row r="4021">
          <cell r="B4021">
            <v>34832</v>
          </cell>
          <cell r="C4021">
            <v>2239.33</v>
          </cell>
          <cell r="D4021" t="str">
            <v>PHP</v>
          </cell>
          <cell r="E4021">
            <v>5</v>
          </cell>
          <cell r="F4021" t="str">
            <v>PC</v>
          </cell>
          <cell r="G4021">
            <v>0</v>
          </cell>
        </row>
        <row r="4022">
          <cell r="B4022">
            <v>34833</v>
          </cell>
          <cell r="C4022">
            <v>670.77</v>
          </cell>
          <cell r="D4022" t="str">
            <v>PHP</v>
          </cell>
          <cell r="E4022">
            <v>5</v>
          </cell>
          <cell r="F4022" t="str">
            <v>PC</v>
          </cell>
          <cell r="G4022">
            <v>0</v>
          </cell>
        </row>
        <row r="4023">
          <cell r="B4023">
            <v>34834</v>
          </cell>
          <cell r="C4023">
            <v>274</v>
          </cell>
          <cell r="D4023" t="str">
            <v>PHP</v>
          </cell>
          <cell r="E4023">
            <v>4</v>
          </cell>
          <cell r="F4023" t="str">
            <v>PC</v>
          </cell>
          <cell r="G4023">
            <v>0</v>
          </cell>
        </row>
        <row r="4024">
          <cell r="B4024">
            <v>34835</v>
          </cell>
          <cell r="C4024">
            <v>93.6</v>
          </cell>
          <cell r="D4024" t="str">
            <v>PHP</v>
          </cell>
          <cell r="E4024">
            <v>12</v>
          </cell>
          <cell r="F4024" t="str">
            <v>PC</v>
          </cell>
          <cell r="G4024">
            <v>0</v>
          </cell>
        </row>
        <row r="4025">
          <cell r="B4025">
            <v>34836</v>
          </cell>
          <cell r="C4025">
            <v>4299.3100000000004</v>
          </cell>
          <cell r="D4025" t="str">
            <v>PHP</v>
          </cell>
          <cell r="E4025">
            <v>10</v>
          </cell>
          <cell r="F4025" t="str">
            <v>PC</v>
          </cell>
          <cell r="G4025">
            <v>0</v>
          </cell>
        </row>
        <row r="4026">
          <cell r="B4026">
            <v>34837</v>
          </cell>
          <cell r="C4026">
            <v>191.01</v>
          </cell>
          <cell r="D4026" t="str">
            <v>PHP</v>
          </cell>
          <cell r="E4026">
            <v>18</v>
          </cell>
          <cell r="F4026" t="str">
            <v>PC</v>
          </cell>
          <cell r="G4026">
            <v>0</v>
          </cell>
        </row>
        <row r="4027">
          <cell r="B4027">
            <v>34838</v>
          </cell>
          <cell r="C4027">
            <v>180.8</v>
          </cell>
          <cell r="D4027" t="str">
            <v>PHP</v>
          </cell>
          <cell r="E4027">
            <v>20</v>
          </cell>
          <cell r="F4027" t="str">
            <v>PC</v>
          </cell>
          <cell r="G4027">
            <v>0</v>
          </cell>
        </row>
        <row r="4028">
          <cell r="B4028">
            <v>34841</v>
          </cell>
          <cell r="C4028">
            <v>538919.32999999996</v>
          </cell>
          <cell r="D4028" t="str">
            <v>PHP</v>
          </cell>
          <cell r="E4028">
            <v>2</v>
          </cell>
          <cell r="F4028" t="str">
            <v>PC</v>
          </cell>
          <cell r="G4028">
            <v>0</v>
          </cell>
        </row>
        <row r="4029">
          <cell r="B4029">
            <v>34842</v>
          </cell>
          <cell r="C4029">
            <v>884688.73</v>
          </cell>
          <cell r="D4029" t="str">
            <v>PHP</v>
          </cell>
          <cell r="E4029">
            <v>3</v>
          </cell>
          <cell r="F4029" t="str">
            <v>PC</v>
          </cell>
          <cell r="G4029">
            <v>0</v>
          </cell>
        </row>
        <row r="4030">
          <cell r="B4030">
            <v>34843</v>
          </cell>
          <cell r="C4030">
            <v>0</v>
          </cell>
          <cell r="D4030" t="str">
            <v>PHP</v>
          </cell>
          <cell r="E4030">
            <v>0</v>
          </cell>
          <cell r="F4030" t="str">
            <v>PC</v>
          </cell>
          <cell r="G4030">
            <v>0</v>
          </cell>
        </row>
        <row r="4031">
          <cell r="B4031">
            <v>34844</v>
          </cell>
          <cell r="C4031">
            <v>0</v>
          </cell>
          <cell r="D4031" t="str">
            <v>PHP</v>
          </cell>
          <cell r="E4031">
            <v>0</v>
          </cell>
          <cell r="F4031" t="str">
            <v>PC</v>
          </cell>
          <cell r="G4031">
            <v>0</v>
          </cell>
        </row>
        <row r="4032">
          <cell r="B4032">
            <v>34845</v>
          </cell>
          <cell r="C4032">
            <v>295258.92</v>
          </cell>
          <cell r="D4032" t="str">
            <v>PHP</v>
          </cell>
          <cell r="E4032">
            <v>16</v>
          </cell>
          <cell r="F4032" t="str">
            <v>PC</v>
          </cell>
          <cell r="G4032">
            <v>0</v>
          </cell>
        </row>
        <row r="4033">
          <cell r="B4033">
            <v>34849</v>
          </cell>
          <cell r="C4033">
            <v>237697.77</v>
          </cell>
          <cell r="D4033" t="str">
            <v>PHP</v>
          </cell>
          <cell r="E4033">
            <v>2</v>
          </cell>
          <cell r="F4033" t="str">
            <v>PC</v>
          </cell>
          <cell r="G4033">
            <v>0</v>
          </cell>
        </row>
        <row r="4034">
          <cell r="B4034">
            <v>34854</v>
          </cell>
          <cell r="C4034">
            <v>1963.47</v>
          </cell>
          <cell r="D4034" t="str">
            <v>PHP</v>
          </cell>
          <cell r="E4034">
            <v>20</v>
          </cell>
          <cell r="F4034" t="str">
            <v>PC</v>
          </cell>
          <cell r="G4034">
            <v>0</v>
          </cell>
        </row>
        <row r="4035">
          <cell r="B4035">
            <v>34855</v>
          </cell>
          <cell r="C4035">
            <v>0</v>
          </cell>
          <cell r="D4035" t="str">
            <v>PHP</v>
          </cell>
          <cell r="E4035">
            <v>0</v>
          </cell>
          <cell r="F4035" t="str">
            <v>PC</v>
          </cell>
          <cell r="G4035">
            <v>0</v>
          </cell>
        </row>
        <row r="4036">
          <cell r="B4036">
            <v>34861</v>
          </cell>
          <cell r="C4036">
            <v>126198</v>
          </cell>
          <cell r="D4036" t="str">
            <v>PHP</v>
          </cell>
          <cell r="E4036">
            <v>6</v>
          </cell>
          <cell r="F4036" t="str">
            <v>PC</v>
          </cell>
          <cell r="G4036">
            <v>0</v>
          </cell>
        </row>
        <row r="4037">
          <cell r="B4037">
            <v>34862</v>
          </cell>
          <cell r="C4037">
            <v>243929.94</v>
          </cell>
          <cell r="D4037" t="str">
            <v>PHP</v>
          </cell>
          <cell r="E4037">
            <v>3</v>
          </cell>
          <cell r="F4037" t="str">
            <v>PC</v>
          </cell>
          <cell r="G4037">
            <v>0</v>
          </cell>
        </row>
        <row r="4038">
          <cell r="B4038">
            <v>34863</v>
          </cell>
          <cell r="C4038">
            <v>84971.97</v>
          </cell>
          <cell r="D4038" t="str">
            <v>PHP</v>
          </cell>
          <cell r="E4038">
            <v>6</v>
          </cell>
          <cell r="F4038" t="str">
            <v>PC</v>
          </cell>
          <cell r="G4038">
            <v>0</v>
          </cell>
        </row>
        <row r="4039">
          <cell r="B4039">
            <v>34865</v>
          </cell>
          <cell r="C4039">
            <v>245424.5</v>
          </cell>
          <cell r="D4039" t="str">
            <v>PHP</v>
          </cell>
          <cell r="E4039">
            <v>9</v>
          </cell>
          <cell r="F4039" t="str">
            <v>PC</v>
          </cell>
          <cell r="G4039">
            <v>0</v>
          </cell>
        </row>
        <row r="4040">
          <cell r="B4040">
            <v>34866</v>
          </cell>
          <cell r="C4040">
            <v>823.68</v>
          </cell>
          <cell r="D4040" t="str">
            <v>PHP</v>
          </cell>
          <cell r="E4040">
            <v>8</v>
          </cell>
          <cell r="F4040" t="str">
            <v>PC</v>
          </cell>
          <cell r="G4040">
            <v>0</v>
          </cell>
        </row>
        <row r="4041">
          <cell r="B4041">
            <v>34867</v>
          </cell>
          <cell r="C4041">
            <v>4207.67</v>
          </cell>
          <cell r="D4041" t="str">
            <v>PHP</v>
          </cell>
          <cell r="E4041">
            <v>34</v>
          </cell>
          <cell r="F4041" t="str">
            <v>PC</v>
          </cell>
          <cell r="G4041">
            <v>0</v>
          </cell>
        </row>
        <row r="4042">
          <cell r="B4042">
            <v>34868</v>
          </cell>
          <cell r="C4042">
            <v>8842.52</v>
          </cell>
          <cell r="D4042" t="str">
            <v>PHP</v>
          </cell>
          <cell r="E4042">
            <v>64</v>
          </cell>
          <cell r="F4042" t="str">
            <v>PC</v>
          </cell>
          <cell r="G4042">
            <v>0</v>
          </cell>
        </row>
        <row r="4043">
          <cell r="B4043">
            <v>34870</v>
          </cell>
          <cell r="C4043">
            <v>298077.65999999997</v>
          </cell>
          <cell r="D4043" t="str">
            <v>PHP</v>
          </cell>
          <cell r="E4043">
            <v>2</v>
          </cell>
          <cell r="F4043" t="str">
            <v>PC</v>
          </cell>
          <cell r="G4043">
            <v>0</v>
          </cell>
        </row>
        <row r="4044">
          <cell r="B4044">
            <v>34876</v>
          </cell>
          <cell r="C4044">
            <v>94821.21</v>
          </cell>
          <cell r="D4044" t="str">
            <v>PHP</v>
          </cell>
          <cell r="E4044">
            <v>4</v>
          </cell>
          <cell r="F4044" t="str">
            <v>ASY</v>
          </cell>
          <cell r="G4044">
            <v>0</v>
          </cell>
        </row>
        <row r="4045">
          <cell r="B4045">
            <v>34880</v>
          </cell>
          <cell r="C4045">
            <v>42268.639999999999</v>
          </cell>
          <cell r="D4045" t="str">
            <v>PHP</v>
          </cell>
          <cell r="E4045">
            <v>2</v>
          </cell>
          <cell r="F4045" t="str">
            <v>ASY</v>
          </cell>
          <cell r="G4045">
            <v>0</v>
          </cell>
        </row>
        <row r="4046">
          <cell r="B4046">
            <v>34881</v>
          </cell>
          <cell r="C4046">
            <v>1202.99</v>
          </cell>
          <cell r="D4046" t="str">
            <v>PHP</v>
          </cell>
          <cell r="E4046">
            <v>4</v>
          </cell>
          <cell r="F4046" t="str">
            <v>PC</v>
          </cell>
          <cell r="G4046">
            <v>0</v>
          </cell>
        </row>
        <row r="4047">
          <cell r="B4047">
            <v>34882</v>
          </cell>
          <cell r="C4047">
            <v>0</v>
          </cell>
          <cell r="D4047" t="str">
            <v>PHP</v>
          </cell>
          <cell r="E4047">
            <v>0</v>
          </cell>
          <cell r="F4047" t="str">
            <v>PC</v>
          </cell>
          <cell r="G4047">
            <v>0</v>
          </cell>
        </row>
        <row r="4048">
          <cell r="B4048">
            <v>34883</v>
          </cell>
          <cell r="C4048">
            <v>1219.0899999999999</v>
          </cell>
          <cell r="D4048" t="str">
            <v>PHP</v>
          </cell>
          <cell r="E4048">
            <v>4</v>
          </cell>
          <cell r="F4048" t="str">
            <v>PC</v>
          </cell>
          <cell r="G4048">
            <v>0</v>
          </cell>
        </row>
        <row r="4049">
          <cell r="B4049">
            <v>34884</v>
          </cell>
          <cell r="C4049">
            <v>432392.55</v>
          </cell>
          <cell r="D4049" t="str">
            <v>PHP</v>
          </cell>
          <cell r="E4049">
            <v>28</v>
          </cell>
          <cell r="F4049" t="str">
            <v>PC</v>
          </cell>
          <cell r="G4049">
            <v>0</v>
          </cell>
        </row>
        <row r="4050">
          <cell r="B4050">
            <v>34886</v>
          </cell>
          <cell r="C4050">
            <v>143986.68</v>
          </cell>
          <cell r="D4050" t="str">
            <v>PHP</v>
          </cell>
          <cell r="E4050">
            <v>2</v>
          </cell>
          <cell r="F4050" t="str">
            <v>PC</v>
          </cell>
          <cell r="G4050">
            <v>0</v>
          </cell>
        </row>
        <row r="4051">
          <cell r="B4051">
            <v>34888</v>
          </cell>
          <cell r="C4051">
            <v>367563.35</v>
          </cell>
          <cell r="D4051" t="str">
            <v>PHP</v>
          </cell>
          <cell r="E4051">
            <v>10</v>
          </cell>
          <cell r="F4051" t="str">
            <v>PC</v>
          </cell>
          <cell r="G4051">
            <v>0</v>
          </cell>
        </row>
        <row r="4052">
          <cell r="B4052">
            <v>34892</v>
          </cell>
          <cell r="C4052">
            <v>124876.72</v>
          </cell>
          <cell r="D4052" t="str">
            <v>PHP</v>
          </cell>
          <cell r="E4052">
            <v>4</v>
          </cell>
          <cell r="F4052" t="str">
            <v>PC</v>
          </cell>
          <cell r="G4052">
            <v>0</v>
          </cell>
        </row>
        <row r="4053">
          <cell r="B4053">
            <v>34893</v>
          </cell>
          <cell r="C4053">
            <v>0</v>
          </cell>
          <cell r="D4053" t="str">
            <v>PHP</v>
          </cell>
          <cell r="E4053">
            <v>0</v>
          </cell>
          <cell r="F4053" t="str">
            <v>PC</v>
          </cell>
          <cell r="G4053">
            <v>0</v>
          </cell>
        </row>
        <row r="4054">
          <cell r="B4054">
            <v>34895</v>
          </cell>
          <cell r="C4054">
            <v>4314.57</v>
          </cell>
          <cell r="D4054" t="str">
            <v>PHP</v>
          </cell>
          <cell r="E4054">
            <v>3</v>
          </cell>
          <cell r="F4054" t="str">
            <v>PC</v>
          </cell>
          <cell r="G4054">
            <v>0</v>
          </cell>
        </row>
        <row r="4055">
          <cell r="B4055">
            <v>34896</v>
          </cell>
          <cell r="C4055">
            <v>831878.43</v>
          </cell>
          <cell r="D4055" t="str">
            <v>PHP</v>
          </cell>
          <cell r="E4055">
            <v>44</v>
          </cell>
          <cell r="F4055" t="str">
            <v>PC</v>
          </cell>
          <cell r="G4055">
            <v>0</v>
          </cell>
        </row>
        <row r="4056">
          <cell r="B4056">
            <v>34900</v>
          </cell>
          <cell r="C4056">
            <v>53215.24</v>
          </cell>
          <cell r="D4056" t="str">
            <v>PHP</v>
          </cell>
          <cell r="E4056">
            <v>7</v>
          </cell>
          <cell r="F4056" t="str">
            <v>PC</v>
          </cell>
          <cell r="G4056">
            <v>0</v>
          </cell>
        </row>
        <row r="4057">
          <cell r="B4057">
            <v>34901</v>
          </cell>
          <cell r="C4057">
            <v>26848.43</v>
          </cell>
          <cell r="D4057" t="str">
            <v>PHP</v>
          </cell>
          <cell r="E4057">
            <v>6</v>
          </cell>
          <cell r="F4057" t="str">
            <v>PC</v>
          </cell>
          <cell r="G4057">
            <v>0</v>
          </cell>
        </row>
        <row r="4058">
          <cell r="B4058">
            <v>34909</v>
          </cell>
          <cell r="C4058">
            <v>475865.09</v>
          </cell>
          <cell r="D4058" t="str">
            <v>PHP</v>
          </cell>
          <cell r="E4058">
            <v>1</v>
          </cell>
          <cell r="F4058" t="str">
            <v>PC</v>
          </cell>
          <cell r="G4058">
            <v>0</v>
          </cell>
        </row>
        <row r="4059">
          <cell r="B4059">
            <v>34910</v>
          </cell>
          <cell r="C4059">
            <v>506393.71</v>
          </cell>
          <cell r="D4059" t="str">
            <v>PHP</v>
          </cell>
          <cell r="E4059">
            <v>1</v>
          </cell>
          <cell r="F4059" t="str">
            <v>PC</v>
          </cell>
          <cell r="G4059">
            <v>0</v>
          </cell>
        </row>
        <row r="4060">
          <cell r="B4060">
            <v>34912</v>
          </cell>
          <cell r="C4060">
            <v>0</v>
          </cell>
          <cell r="D4060" t="str">
            <v>PHP</v>
          </cell>
          <cell r="E4060">
            <v>0</v>
          </cell>
          <cell r="F4060" t="str">
            <v>PC</v>
          </cell>
          <cell r="G4060">
            <v>0</v>
          </cell>
        </row>
        <row r="4061">
          <cell r="B4061">
            <v>34915</v>
          </cell>
          <cell r="C4061">
            <v>285936.96000000002</v>
          </cell>
          <cell r="D4061" t="str">
            <v>PHP</v>
          </cell>
          <cell r="E4061">
            <v>4</v>
          </cell>
          <cell r="F4061" t="str">
            <v>ASY</v>
          </cell>
          <cell r="G4061">
            <v>0</v>
          </cell>
        </row>
        <row r="4062">
          <cell r="B4062">
            <v>34919</v>
          </cell>
          <cell r="C4062">
            <v>11163.5</v>
          </cell>
          <cell r="D4062" t="str">
            <v>PHP</v>
          </cell>
          <cell r="E4062">
            <v>2</v>
          </cell>
          <cell r="F4062" t="str">
            <v>PC</v>
          </cell>
          <cell r="G4062">
            <v>0</v>
          </cell>
        </row>
        <row r="4063">
          <cell r="B4063">
            <v>34920</v>
          </cell>
          <cell r="C4063">
            <v>28649.74</v>
          </cell>
          <cell r="D4063" t="str">
            <v>PHP</v>
          </cell>
          <cell r="E4063">
            <v>2</v>
          </cell>
          <cell r="F4063" t="str">
            <v>PC</v>
          </cell>
          <cell r="G4063">
            <v>0</v>
          </cell>
        </row>
        <row r="4064">
          <cell r="B4064">
            <v>34927</v>
          </cell>
          <cell r="C4064">
            <v>13692.07</v>
          </cell>
          <cell r="D4064" t="str">
            <v>PHP</v>
          </cell>
          <cell r="E4064">
            <v>15</v>
          </cell>
          <cell r="F4064" t="str">
            <v>PC</v>
          </cell>
          <cell r="G4064">
            <v>0</v>
          </cell>
        </row>
        <row r="4065">
          <cell r="B4065">
            <v>34928</v>
          </cell>
          <cell r="C4065">
            <v>1095.78</v>
          </cell>
          <cell r="D4065" t="str">
            <v>PHP</v>
          </cell>
          <cell r="E4065">
            <v>8</v>
          </cell>
          <cell r="F4065" t="str">
            <v>PC</v>
          </cell>
          <cell r="G4065">
            <v>0</v>
          </cell>
        </row>
        <row r="4066">
          <cell r="B4066">
            <v>34931</v>
          </cell>
          <cell r="C4066">
            <v>6799.74</v>
          </cell>
          <cell r="D4066" t="str">
            <v>PHP</v>
          </cell>
          <cell r="E4066">
            <v>11</v>
          </cell>
          <cell r="F4066" t="str">
            <v>PC</v>
          </cell>
          <cell r="G4066">
            <v>0</v>
          </cell>
        </row>
        <row r="4067">
          <cell r="B4067">
            <v>34932</v>
          </cell>
          <cell r="C4067">
            <v>3032.8</v>
          </cell>
          <cell r="D4067" t="str">
            <v>PHP</v>
          </cell>
          <cell r="E4067">
            <v>4</v>
          </cell>
          <cell r="F4067" t="str">
            <v>PC</v>
          </cell>
          <cell r="G4067">
            <v>0</v>
          </cell>
        </row>
        <row r="4068">
          <cell r="B4068">
            <v>34934</v>
          </cell>
          <cell r="C4068">
            <v>4539.3900000000003</v>
          </cell>
          <cell r="D4068" t="str">
            <v>PHP</v>
          </cell>
          <cell r="E4068">
            <v>5</v>
          </cell>
          <cell r="F4068" t="str">
            <v>PC</v>
          </cell>
          <cell r="G4068">
            <v>0</v>
          </cell>
        </row>
        <row r="4069">
          <cell r="B4069">
            <v>34935</v>
          </cell>
          <cell r="C4069">
            <v>6452.12</v>
          </cell>
          <cell r="D4069" t="str">
            <v>PHP</v>
          </cell>
          <cell r="E4069">
            <v>17</v>
          </cell>
          <cell r="F4069" t="str">
            <v>PC</v>
          </cell>
          <cell r="G4069">
            <v>0</v>
          </cell>
        </row>
        <row r="4070">
          <cell r="B4070">
            <v>34936</v>
          </cell>
          <cell r="C4070">
            <v>5759.98</v>
          </cell>
          <cell r="D4070" t="str">
            <v>PHP</v>
          </cell>
          <cell r="E4070">
            <v>11</v>
          </cell>
          <cell r="F4070" t="str">
            <v>PC</v>
          </cell>
          <cell r="G4070">
            <v>0</v>
          </cell>
        </row>
        <row r="4071">
          <cell r="B4071">
            <v>34937</v>
          </cell>
          <cell r="C4071">
            <v>6306.43</v>
          </cell>
          <cell r="D4071" t="str">
            <v>PHP</v>
          </cell>
          <cell r="E4071">
            <v>8</v>
          </cell>
          <cell r="F4071" t="str">
            <v>PC</v>
          </cell>
          <cell r="G4071">
            <v>0</v>
          </cell>
        </row>
        <row r="4072">
          <cell r="B4072">
            <v>34938</v>
          </cell>
          <cell r="C4072">
            <v>2617.91</v>
          </cell>
          <cell r="D4072" t="str">
            <v>PHP</v>
          </cell>
          <cell r="E4072">
            <v>4</v>
          </cell>
          <cell r="F4072" t="str">
            <v>PC</v>
          </cell>
          <cell r="G4072">
            <v>0</v>
          </cell>
        </row>
        <row r="4073">
          <cell r="B4073">
            <v>34955</v>
          </cell>
          <cell r="C4073">
            <v>60607.13</v>
          </cell>
          <cell r="D4073" t="str">
            <v>PHP</v>
          </cell>
          <cell r="E4073">
            <v>2</v>
          </cell>
          <cell r="F4073" t="str">
            <v>PC</v>
          </cell>
          <cell r="G4073">
            <v>0</v>
          </cell>
        </row>
        <row r="4074">
          <cell r="B4074">
            <v>34965</v>
          </cell>
          <cell r="C4074">
            <v>6120</v>
          </cell>
          <cell r="D4074" t="str">
            <v>PHP</v>
          </cell>
          <cell r="E4074">
            <v>24</v>
          </cell>
          <cell r="F4074" t="str">
            <v>PC</v>
          </cell>
          <cell r="G4074">
            <v>0</v>
          </cell>
        </row>
        <row r="4075">
          <cell r="B4075">
            <v>34969</v>
          </cell>
          <cell r="C4075">
            <v>30600</v>
          </cell>
          <cell r="D4075" t="str">
            <v>PHP</v>
          </cell>
          <cell r="E4075">
            <v>8</v>
          </cell>
          <cell r="F4075" t="str">
            <v>PC</v>
          </cell>
          <cell r="G4075">
            <v>0</v>
          </cell>
        </row>
        <row r="4076">
          <cell r="B4076">
            <v>34975</v>
          </cell>
          <cell r="C4076">
            <v>67.5</v>
          </cell>
          <cell r="D4076" t="str">
            <v>PHP</v>
          </cell>
          <cell r="E4076">
            <v>6</v>
          </cell>
          <cell r="F4076" t="str">
            <v>PC</v>
          </cell>
          <cell r="G4076">
            <v>0</v>
          </cell>
        </row>
        <row r="4077">
          <cell r="B4077">
            <v>35006</v>
          </cell>
          <cell r="C4077">
            <v>5616.76</v>
          </cell>
          <cell r="D4077" t="str">
            <v>PHP</v>
          </cell>
          <cell r="E4077">
            <v>1</v>
          </cell>
          <cell r="F4077" t="str">
            <v>PC</v>
          </cell>
          <cell r="G4077">
            <v>0</v>
          </cell>
        </row>
        <row r="4078">
          <cell r="B4078">
            <v>35007</v>
          </cell>
          <cell r="C4078">
            <v>57897.7</v>
          </cell>
          <cell r="D4078" t="str">
            <v>PHP</v>
          </cell>
          <cell r="E4078">
            <v>1</v>
          </cell>
          <cell r="F4078" t="str">
            <v>PC</v>
          </cell>
          <cell r="G4078">
            <v>0</v>
          </cell>
        </row>
        <row r="4079">
          <cell r="B4079">
            <v>35009</v>
          </cell>
          <cell r="C4079">
            <v>4583.32</v>
          </cell>
          <cell r="D4079" t="str">
            <v>PHP</v>
          </cell>
          <cell r="E4079">
            <v>100</v>
          </cell>
          <cell r="F4079" t="str">
            <v>PC</v>
          </cell>
          <cell r="G4079">
            <v>0</v>
          </cell>
        </row>
        <row r="4080">
          <cell r="B4080">
            <v>35010</v>
          </cell>
          <cell r="C4080">
            <v>675</v>
          </cell>
          <cell r="D4080" t="str">
            <v>PHP</v>
          </cell>
          <cell r="E4080">
            <v>1</v>
          </cell>
          <cell r="F4080" t="str">
            <v>PC</v>
          </cell>
          <cell r="G4080">
            <v>0</v>
          </cell>
        </row>
        <row r="4081">
          <cell r="B4081">
            <v>35011</v>
          </cell>
          <cell r="C4081">
            <v>902.35</v>
          </cell>
          <cell r="D4081" t="str">
            <v>PHP</v>
          </cell>
          <cell r="E4081">
            <v>2</v>
          </cell>
          <cell r="F4081" t="str">
            <v>PC</v>
          </cell>
          <cell r="G4081">
            <v>0</v>
          </cell>
        </row>
        <row r="4082">
          <cell r="B4082">
            <v>35012</v>
          </cell>
          <cell r="C4082">
            <v>6316.46</v>
          </cell>
          <cell r="D4082" t="str">
            <v>PHP</v>
          </cell>
          <cell r="E4082">
            <v>2</v>
          </cell>
          <cell r="F4082" t="str">
            <v>PC</v>
          </cell>
          <cell r="G4082">
            <v>0</v>
          </cell>
        </row>
        <row r="4083">
          <cell r="B4083">
            <v>35013</v>
          </cell>
          <cell r="C4083">
            <v>1804.7</v>
          </cell>
          <cell r="D4083" t="str">
            <v>PHP</v>
          </cell>
          <cell r="E4083">
            <v>1</v>
          </cell>
          <cell r="F4083" t="str">
            <v>PC</v>
          </cell>
          <cell r="G4083">
            <v>0</v>
          </cell>
        </row>
        <row r="4084">
          <cell r="B4084">
            <v>35014</v>
          </cell>
          <cell r="C4084">
            <v>3116.56</v>
          </cell>
          <cell r="D4084" t="str">
            <v>PHP</v>
          </cell>
          <cell r="E4084">
            <v>2</v>
          </cell>
          <cell r="F4084" t="str">
            <v>PC</v>
          </cell>
          <cell r="G4084">
            <v>0</v>
          </cell>
        </row>
        <row r="4085">
          <cell r="B4085">
            <v>35015</v>
          </cell>
          <cell r="C4085">
            <v>10.210000000000001</v>
          </cell>
          <cell r="D4085" t="str">
            <v>PHP</v>
          </cell>
          <cell r="E4085">
            <v>1</v>
          </cell>
          <cell r="F4085" t="str">
            <v>PC</v>
          </cell>
          <cell r="G4085">
            <v>0</v>
          </cell>
        </row>
        <row r="4086">
          <cell r="B4086">
            <v>35016</v>
          </cell>
          <cell r="C4086">
            <v>515.69000000000005</v>
          </cell>
          <cell r="D4086" t="str">
            <v>PHP</v>
          </cell>
          <cell r="E4086">
            <v>2</v>
          </cell>
          <cell r="F4086" t="str">
            <v>PC</v>
          </cell>
          <cell r="G4086">
            <v>0</v>
          </cell>
        </row>
        <row r="4087">
          <cell r="B4087">
            <v>35017</v>
          </cell>
          <cell r="C4087">
            <v>457.07</v>
          </cell>
          <cell r="D4087" t="str">
            <v>PHP</v>
          </cell>
          <cell r="E4087">
            <v>1</v>
          </cell>
          <cell r="F4087" t="str">
            <v>PC</v>
          </cell>
          <cell r="G4087">
            <v>0</v>
          </cell>
        </row>
        <row r="4088">
          <cell r="B4088">
            <v>35019</v>
          </cell>
          <cell r="C4088">
            <v>97566.81</v>
          </cell>
          <cell r="D4088" t="str">
            <v>PHP</v>
          </cell>
          <cell r="E4088">
            <v>1</v>
          </cell>
          <cell r="F4088" t="str">
            <v>PC</v>
          </cell>
          <cell r="G4088">
            <v>0</v>
          </cell>
        </row>
        <row r="4089">
          <cell r="B4089">
            <v>35020</v>
          </cell>
          <cell r="C4089">
            <v>27535</v>
          </cell>
          <cell r="D4089" t="str">
            <v>PHP</v>
          </cell>
          <cell r="E4089">
            <v>8</v>
          </cell>
          <cell r="F4089" t="str">
            <v>PC</v>
          </cell>
          <cell r="G4089">
            <v>0</v>
          </cell>
        </row>
        <row r="4090">
          <cell r="B4090">
            <v>35021</v>
          </cell>
          <cell r="C4090">
            <v>302.85000000000002</v>
          </cell>
          <cell r="D4090" t="str">
            <v>PHP</v>
          </cell>
          <cell r="E4090">
            <v>2</v>
          </cell>
          <cell r="F4090" t="str">
            <v>PC</v>
          </cell>
          <cell r="G4090">
            <v>0</v>
          </cell>
        </row>
        <row r="4091">
          <cell r="B4091">
            <v>35022</v>
          </cell>
          <cell r="C4091">
            <v>20472.099999999999</v>
          </cell>
          <cell r="D4091" t="str">
            <v>PHP</v>
          </cell>
          <cell r="E4091">
            <v>2</v>
          </cell>
          <cell r="F4091" t="str">
            <v>PC</v>
          </cell>
          <cell r="G4091">
            <v>0</v>
          </cell>
        </row>
        <row r="4092">
          <cell r="B4092">
            <v>35023</v>
          </cell>
          <cell r="C4092">
            <v>4878.51</v>
          </cell>
          <cell r="D4092" t="str">
            <v>PHP</v>
          </cell>
          <cell r="E4092">
            <v>2</v>
          </cell>
          <cell r="F4092" t="str">
            <v>PC</v>
          </cell>
          <cell r="G4092">
            <v>0</v>
          </cell>
        </row>
        <row r="4093">
          <cell r="B4093">
            <v>35024</v>
          </cell>
          <cell r="C4093">
            <v>1916.24</v>
          </cell>
          <cell r="D4093" t="str">
            <v>PHP</v>
          </cell>
          <cell r="E4093">
            <v>1</v>
          </cell>
          <cell r="F4093" t="str">
            <v>PC</v>
          </cell>
          <cell r="G4093">
            <v>0</v>
          </cell>
        </row>
        <row r="4094">
          <cell r="B4094">
            <v>35025</v>
          </cell>
          <cell r="C4094">
            <v>5019.33</v>
          </cell>
          <cell r="D4094" t="str">
            <v>PHP</v>
          </cell>
          <cell r="E4094">
            <v>1</v>
          </cell>
          <cell r="F4094" t="str">
            <v>PC</v>
          </cell>
          <cell r="G4094">
            <v>0</v>
          </cell>
        </row>
        <row r="4095">
          <cell r="B4095">
            <v>35026</v>
          </cell>
          <cell r="C4095">
            <v>395.02</v>
          </cell>
          <cell r="D4095" t="str">
            <v>PHP</v>
          </cell>
          <cell r="E4095">
            <v>1</v>
          </cell>
          <cell r="F4095" t="str">
            <v>PC</v>
          </cell>
          <cell r="G4095">
            <v>0</v>
          </cell>
        </row>
        <row r="4096">
          <cell r="B4096">
            <v>35032</v>
          </cell>
          <cell r="C4096">
            <v>4957.51</v>
          </cell>
          <cell r="D4096" t="str">
            <v>PHP</v>
          </cell>
          <cell r="E4096">
            <v>72</v>
          </cell>
          <cell r="F4096" t="str">
            <v>PC</v>
          </cell>
          <cell r="G4096">
            <v>0</v>
          </cell>
        </row>
        <row r="4097">
          <cell r="B4097">
            <v>35033</v>
          </cell>
          <cell r="C4097">
            <v>13193.98</v>
          </cell>
          <cell r="D4097" t="str">
            <v>PHP</v>
          </cell>
          <cell r="E4097">
            <v>16</v>
          </cell>
          <cell r="F4097" t="str">
            <v>PC</v>
          </cell>
          <cell r="G4097">
            <v>0</v>
          </cell>
        </row>
        <row r="4098">
          <cell r="B4098">
            <v>35034</v>
          </cell>
          <cell r="C4098">
            <v>63305.64</v>
          </cell>
          <cell r="D4098" t="str">
            <v>PHP</v>
          </cell>
          <cell r="E4098">
            <v>1</v>
          </cell>
          <cell r="F4098" t="str">
            <v>PC</v>
          </cell>
          <cell r="G4098">
            <v>0</v>
          </cell>
        </row>
        <row r="4099">
          <cell r="B4099">
            <v>35035</v>
          </cell>
          <cell r="C4099">
            <v>43059.11</v>
          </cell>
          <cell r="D4099" t="str">
            <v>PHP</v>
          </cell>
          <cell r="E4099">
            <v>1</v>
          </cell>
          <cell r="F4099" t="str">
            <v>PC</v>
          </cell>
          <cell r="G4099">
            <v>0</v>
          </cell>
        </row>
        <row r="4100">
          <cell r="B4100">
            <v>35036</v>
          </cell>
          <cell r="C4100">
            <v>594</v>
          </cell>
          <cell r="D4100" t="str">
            <v>PHP</v>
          </cell>
          <cell r="E4100">
            <v>2</v>
          </cell>
          <cell r="F4100" t="str">
            <v>PC</v>
          </cell>
          <cell r="G4100">
            <v>0</v>
          </cell>
        </row>
        <row r="4101">
          <cell r="B4101">
            <v>35037</v>
          </cell>
          <cell r="C4101">
            <v>149.47999999999999</v>
          </cell>
          <cell r="D4101" t="str">
            <v>PHP</v>
          </cell>
          <cell r="E4101">
            <v>2</v>
          </cell>
          <cell r="F4101" t="str">
            <v>PC</v>
          </cell>
          <cell r="G4101">
            <v>0</v>
          </cell>
        </row>
        <row r="4102">
          <cell r="B4102">
            <v>35038</v>
          </cell>
          <cell r="C4102">
            <v>1842</v>
          </cell>
          <cell r="D4102" t="str">
            <v>PHP</v>
          </cell>
          <cell r="E4102">
            <v>2</v>
          </cell>
          <cell r="F4102" t="str">
            <v>PC</v>
          </cell>
          <cell r="G4102">
            <v>0</v>
          </cell>
        </row>
        <row r="4103">
          <cell r="B4103">
            <v>35039</v>
          </cell>
          <cell r="C4103">
            <v>200</v>
          </cell>
          <cell r="D4103" t="str">
            <v>PHP</v>
          </cell>
          <cell r="E4103">
            <v>2</v>
          </cell>
          <cell r="F4103" t="str">
            <v>PC</v>
          </cell>
          <cell r="G4103">
            <v>0</v>
          </cell>
        </row>
        <row r="4104">
          <cell r="B4104">
            <v>35040</v>
          </cell>
          <cell r="C4104">
            <v>847.89</v>
          </cell>
          <cell r="D4104" t="str">
            <v>PHP</v>
          </cell>
          <cell r="E4104">
            <v>2</v>
          </cell>
          <cell r="F4104" t="str">
            <v>PC</v>
          </cell>
          <cell r="G4104">
            <v>0</v>
          </cell>
        </row>
        <row r="4105">
          <cell r="B4105">
            <v>35041</v>
          </cell>
          <cell r="C4105">
            <v>684.37</v>
          </cell>
          <cell r="D4105" t="str">
            <v>PHP</v>
          </cell>
          <cell r="E4105">
            <v>2</v>
          </cell>
          <cell r="F4105" t="str">
            <v>PC</v>
          </cell>
          <cell r="G4105">
            <v>0</v>
          </cell>
        </row>
        <row r="4106">
          <cell r="B4106">
            <v>35042</v>
          </cell>
          <cell r="C4106">
            <v>275</v>
          </cell>
          <cell r="D4106" t="str">
            <v>PHP</v>
          </cell>
          <cell r="E4106">
            <v>1</v>
          </cell>
          <cell r="F4106" t="str">
            <v>PC</v>
          </cell>
          <cell r="G4106">
            <v>0</v>
          </cell>
        </row>
        <row r="4107">
          <cell r="B4107">
            <v>35043</v>
          </cell>
          <cell r="C4107">
            <v>0</v>
          </cell>
          <cell r="D4107" t="str">
            <v>PHP</v>
          </cell>
          <cell r="E4107">
            <v>0</v>
          </cell>
          <cell r="F4107" t="str">
            <v>PC</v>
          </cell>
          <cell r="G4107">
            <v>0</v>
          </cell>
        </row>
        <row r="4108">
          <cell r="B4108">
            <v>35044</v>
          </cell>
          <cell r="C4108">
            <v>0</v>
          </cell>
          <cell r="D4108" t="str">
            <v>PHP</v>
          </cell>
          <cell r="E4108">
            <v>0</v>
          </cell>
          <cell r="F4108" t="str">
            <v>PC</v>
          </cell>
          <cell r="G4108">
            <v>0</v>
          </cell>
        </row>
        <row r="4109">
          <cell r="B4109">
            <v>35045</v>
          </cell>
          <cell r="C4109">
            <v>56</v>
          </cell>
          <cell r="D4109" t="str">
            <v>PHP</v>
          </cell>
          <cell r="E4109">
            <v>2</v>
          </cell>
          <cell r="F4109" t="str">
            <v>PC</v>
          </cell>
          <cell r="G4109">
            <v>0</v>
          </cell>
        </row>
        <row r="4110">
          <cell r="B4110">
            <v>35046</v>
          </cell>
          <cell r="C4110">
            <v>1948.85</v>
          </cell>
          <cell r="D4110" t="str">
            <v>PHP</v>
          </cell>
          <cell r="E4110">
            <v>6</v>
          </cell>
          <cell r="F4110" t="str">
            <v>PC</v>
          </cell>
          <cell r="G4110">
            <v>0</v>
          </cell>
        </row>
        <row r="4111">
          <cell r="B4111">
            <v>35047</v>
          </cell>
          <cell r="C4111">
            <v>57.5</v>
          </cell>
          <cell r="D4111" t="str">
            <v>PHP</v>
          </cell>
          <cell r="E4111">
            <v>2</v>
          </cell>
          <cell r="F4111" t="str">
            <v>PC</v>
          </cell>
          <cell r="G4111">
            <v>0</v>
          </cell>
        </row>
        <row r="4112">
          <cell r="B4112">
            <v>35048</v>
          </cell>
          <cell r="C4112">
            <v>2520.9499999999998</v>
          </cell>
          <cell r="D4112" t="str">
            <v>PHP</v>
          </cell>
          <cell r="E4112">
            <v>1</v>
          </cell>
          <cell r="F4112" t="str">
            <v>PC</v>
          </cell>
          <cell r="G4112">
            <v>0</v>
          </cell>
        </row>
        <row r="4113">
          <cell r="B4113">
            <v>35049</v>
          </cell>
          <cell r="C4113">
            <v>7480.61</v>
          </cell>
          <cell r="D4113" t="str">
            <v>PHP</v>
          </cell>
          <cell r="E4113">
            <v>1</v>
          </cell>
          <cell r="F4113" t="str">
            <v>PC</v>
          </cell>
          <cell r="G4113">
            <v>0</v>
          </cell>
        </row>
        <row r="4114">
          <cell r="B4114">
            <v>35050</v>
          </cell>
          <cell r="C4114">
            <v>29110.27</v>
          </cell>
          <cell r="D4114" t="str">
            <v>PHP</v>
          </cell>
          <cell r="E4114">
            <v>2</v>
          </cell>
          <cell r="F4114" t="str">
            <v>PC</v>
          </cell>
          <cell r="G4114">
            <v>0</v>
          </cell>
        </row>
        <row r="4115">
          <cell r="B4115">
            <v>35051</v>
          </cell>
          <cell r="C4115">
            <v>5220.95</v>
          </cell>
          <cell r="D4115" t="str">
            <v>PHP</v>
          </cell>
          <cell r="E4115">
            <v>1</v>
          </cell>
          <cell r="F4115" t="str">
            <v>PC</v>
          </cell>
          <cell r="G4115">
            <v>0</v>
          </cell>
        </row>
        <row r="4116">
          <cell r="B4116">
            <v>35052</v>
          </cell>
          <cell r="C4116">
            <v>13509.43</v>
          </cell>
          <cell r="D4116" t="str">
            <v>PHP</v>
          </cell>
          <cell r="E4116">
            <v>1</v>
          </cell>
          <cell r="F4116" t="str">
            <v>PC</v>
          </cell>
          <cell r="G4116">
            <v>0</v>
          </cell>
        </row>
        <row r="4117">
          <cell r="B4117">
            <v>35053</v>
          </cell>
          <cell r="C4117">
            <v>10232</v>
          </cell>
          <cell r="D4117" t="str">
            <v>PHP</v>
          </cell>
          <cell r="E4117">
            <v>1</v>
          </cell>
          <cell r="F4117" t="str">
            <v>PC</v>
          </cell>
          <cell r="G4117">
            <v>0</v>
          </cell>
        </row>
        <row r="4118">
          <cell r="B4118">
            <v>35054</v>
          </cell>
          <cell r="C4118">
            <v>1526.7</v>
          </cell>
          <cell r="D4118" t="str">
            <v>PHP</v>
          </cell>
          <cell r="E4118">
            <v>2</v>
          </cell>
          <cell r="F4118" t="str">
            <v>PC</v>
          </cell>
          <cell r="G4118">
            <v>0</v>
          </cell>
        </row>
        <row r="4119">
          <cell r="B4119">
            <v>35055</v>
          </cell>
          <cell r="C4119">
            <v>2503.7199999999998</v>
          </cell>
          <cell r="D4119" t="str">
            <v>PHP</v>
          </cell>
          <cell r="E4119">
            <v>2</v>
          </cell>
          <cell r="F4119" t="str">
            <v>PC</v>
          </cell>
          <cell r="G4119">
            <v>0</v>
          </cell>
        </row>
        <row r="4120">
          <cell r="B4120">
            <v>35056</v>
          </cell>
          <cell r="C4120">
            <v>25973.05</v>
          </cell>
          <cell r="D4120" t="str">
            <v>PHP</v>
          </cell>
          <cell r="E4120">
            <v>1</v>
          </cell>
          <cell r="F4120" t="str">
            <v>PC</v>
          </cell>
          <cell r="G4120">
            <v>0</v>
          </cell>
        </row>
        <row r="4121">
          <cell r="B4121">
            <v>35057</v>
          </cell>
          <cell r="C4121">
            <v>46762.32</v>
          </cell>
          <cell r="D4121" t="str">
            <v>PHP</v>
          </cell>
          <cell r="E4121">
            <v>2</v>
          </cell>
          <cell r="F4121" t="str">
            <v>PC</v>
          </cell>
          <cell r="G4121">
            <v>0</v>
          </cell>
        </row>
        <row r="4122">
          <cell r="B4122">
            <v>35058</v>
          </cell>
          <cell r="C4122">
            <v>250</v>
          </cell>
          <cell r="D4122" t="str">
            <v>PHP</v>
          </cell>
          <cell r="E4122">
            <v>2</v>
          </cell>
          <cell r="F4122" t="str">
            <v>PC</v>
          </cell>
          <cell r="G4122">
            <v>0</v>
          </cell>
        </row>
        <row r="4123">
          <cell r="B4123">
            <v>35061</v>
          </cell>
          <cell r="C4123">
            <v>200</v>
          </cell>
          <cell r="D4123" t="str">
            <v>PHP</v>
          </cell>
          <cell r="E4123">
            <v>2</v>
          </cell>
          <cell r="F4123" t="str">
            <v>PC</v>
          </cell>
          <cell r="G4123">
            <v>0</v>
          </cell>
        </row>
        <row r="4124">
          <cell r="B4124">
            <v>35062</v>
          </cell>
          <cell r="C4124">
            <v>4458.78</v>
          </cell>
          <cell r="D4124" t="str">
            <v>PHP</v>
          </cell>
          <cell r="E4124">
            <v>100</v>
          </cell>
          <cell r="F4124" t="str">
            <v>PC</v>
          </cell>
          <cell r="G4124">
            <v>0</v>
          </cell>
        </row>
        <row r="4125">
          <cell r="B4125">
            <v>35063</v>
          </cell>
          <cell r="C4125">
            <v>0</v>
          </cell>
          <cell r="D4125" t="str">
            <v>PHP</v>
          </cell>
          <cell r="E4125">
            <v>0</v>
          </cell>
          <cell r="F4125" t="str">
            <v>PC</v>
          </cell>
          <cell r="G4125">
            <v>0</v>
          </cell>
        </row>
        <row r="4126">
          <cell r="B4126">
            <v>35064</v>
          </cell>
          <cell r="C4126">
            <v>21696.31</v>
          </cell>
          <cell r="D4126" t="str">
            <v>PHP</v>
          </cell>
          <cell r="E4126">
            <v>2</v>
          </cell>
          <cell r="F4126" t="str">
            <v>PC</v>
          </cell>
          <cell r="G4126">
            <v>0</v>
          </cell>
        </row>
        <row r="4127">
          <cell r="B4127">
            <v>35066</v>
          </cell>
          <cell r="C4127">
            <v>12788.76</v>
          </cell>
          <cell r="D4127" t="str">
            <v>PHP</v>
          </cell>
          <cell r="E4127">
            <v>71</v>
          </cell>
          <cell r="F4127" t="str">
            <v>PC</v>
          </cell>
          <cell r="G4127">
            <v>0</v>
          </cell>
        </row>
        <row r="4128">
          <cell r="B4128">
            <v>35067</v>
          </cell>
          <cell r="C4128">
            <v>15770.72</v>
          </cell>
          <cell r="D4128" t="str">
            <v>PHP</v>
          </cell>
          <cell r="E4128">
            <v>2</v>
          </cell>
          <cell r="F4128" t="str">
            <v>PC</v>
          </cell>
          <cell r="G4128">
            <v>0</v>
          </cell>
        </row>
        <row r="4129">
          <cell r="B4129">
            <v>35069</v>
          </cell>
          <cell r="C4129">
            <v>407345.15</v>
          </cell>
          <cell r="D4129" t="str">
            <v>PHP</v>
          </cell>
          <cell r="E4129">
            <v>13</v>
          </cell>
          <cell r="F4129" t="str">
            <v>PC</v>
          </cell>
          <cell r="G4129">
            <v>0</v>
          </cell>
        </row>
        <row r="4130">
          <cell r="B4130">
            <v>35070</v>
          </cell>
          <cell r="C4130">
            <v>8351.0400000000009</v>
          </cell>
          <cell r="D4130" t="str">
            <v>PHP</v>
          </cell>
          <cell r="E4130">
            <v>8</v>
          </cell>
          <cell r="F4130" t="str">
            <v>PC</v>
          </cell>
          <cell r="G4130">
            <v>0</v>
          </cell>
        </row>
        <row r="4131">
          <cell r="B4131">
            <v>35071</v>
          </cell>
          <cell r="C4131">
            <v>42383.76</v>
          </cell>
          <cell r="D4131" t="str">
            <v>PHP</v>
          </cell>
          <cell r="E4131">
            <v>1</v>
          </cell>
          <cell r="F4131" t="str">
            <v>SET</v>
          </cell>
          <cell r="G4131">
            <v>0</v>
          </cell>
        </row>
        <row r="4132">
          <cell r="B4132">
            <v>35072</v>
          </cell>
          <cell r="C4132">
            <v>0</v>
          </cell>
          <cell r="D4132" t="str">
            <v>PHP</v>
          </cell>
          <cell r="E4132">
            <v>0</v>
          </cell>
          <cell r="F4132" t="str">
            <v>BOX</v>
          </cell>
          <cell r="G4132">
            <v>0</v>
          </cell>
        </row>
        <row r="4133">
          <cell r="B4133">
            <v>35073</v>
          </cell>
          <cell r="C4133">
            <v>9937.7199999999993</v>
          </cell>
          <cell r="D4133" t="str">
            <v>PHP</v>
          </cell>
          <cell r="E4133">
            <v>1</v>
          </cell>
          <cell r="F4133" t="str">
            <v>BOX</v>
          </cell>
          <cell r="G4133">
            <v>0</v>
          </cell>
        </row>
        <row r="4134">
          <cell r="B4134">
            <v>35074</v>
          </cell>
          <cell r="C4134">
            <v>0</v>
          </cell>
          <cell r="D4134" t="str">
            <v>PHP</v>
          </cell>
          <cell r="E4134">
            <v>0</v>
          </cell>
          <cell r="F4134" t="str">
            <v>BOX</v>
          </cell>
          <cell r="G4134">
            <v>0</v>
          </cell>
        </row>
        <row r="4135">
          <cell r="B4135">
            <v>35075</v>
          </cell>
          <cell r="C4135">
            <v>30852.7</v>
          </cell>
          <cell r="D4135" t="str">
            <v>PHP</v>
          </cell>
          <cell r="E4135">
            <v>4</v>
          </cell>
          <cell r="F4135" t="str">
            <v>BOX</v>
          </cell>
          <cell r="G4135">
            <v>0</v>
          </cell>
        </row>
        <row r="4136">
          <cell r="B4136">
            <v>35076</v>
          </cell>
          <cell r="C4136">
            <v>0</v>
          </cell>
          <cell r="D4136" t="str">
            <v>PHP</v>
          </cell>
          <cell r="E4136">
            <v>0</v>
          </cell>
          <cell r="F4136" t="str">
            <v>BOX</v>
          </cell>
          <cell r="G4136">
            <v>0</v>
          </cell>
        </row>
        <row r="4137">
          <cell r="B4137">
            <v>35077</v>
          </cell>
          <cell r="C4137">
            <v>5411.96</v>
          </cell>
          <cell r="D4137" t="str">
            <v>PHP</v>
          </cell>
          <cell r="E4137">
            <v>1</v>
          </cell>
          <cell r="F4137" t="str">
            <v>PC</v>
          </cell>
          <cell r="G4137">
            <v>0</v>
          </cell>
        </row>
        <row r="4138">
          <cell r="B4138">
            <v>35079</v>
          </cell>
          <cell r="C4138">
            <v>29477.53</v>
          </cell>
          <cell r="D4138" t="str">
            <v>PHP</v>
          </cell>
          <cell r="E4138">
            <v>3</v>
          </cell>
          <cell r="F4138" t="str">
            <v>SET</v>
          </cell>
          <cell r="G4138">
            <v>0</v>
          </cell>
        </row>
        <row r="4139">
          <cell r="B4139">
            <v>35080</v>
          </cell>
          <cell r="C4139">
            <v>19093.52</v>
          </cell>
          <cell r="D4139" t="str">
            <v>PHP</v>
          </cell>
          <cell r="E4139">
            <v>3</v>
          </cell>
          <cell r="F4139" t="str">
            <v>BOX</v>
          </cell>
          <cell r="G4139">
            <v>0</v>
          </cell>
        </row>
        <row r="4140">
          <cell r="B4140">
            <v>35081</v>
          </cell>
          <cell r="C4140">
            <v>0</v>
          </cell>
          <cell r="D4140" t="str">
            <v>PHP</v>
          </cell>
          <cell r="E4140">
            <v>0</v>
          </cell>
          <cell r="F4140" t="str">
            <v>BOX</v>
          </cell>
          <cell r="G4140">
            <v>0</v>
          </cell>
        </row>
        <row r="4141">
          <cell r="B4141">
            <v>35082</v>
          </cell>
          <cell r="C4141">
            <v>0</v>
          </cell>
          <cell r="D4141" t="str">
            <v>PHP</v>
          </cell>
          <cell r="E4141">
            <v>0</v>
          </cell>
          <cell r="F4141" t="str">
            <v>PC</v>
          </cell>
          <cell r="G4141">
            <v>0</v>
          </cell>
        </row>
        <row r="4142">
          <cell r="B4142">
            <v>35083</v>
          </cell>
          <cell r="C4142">
            <v>18227</v>
          </cell>
          <cell r="D4142" t="str">
            <v>PHP</v>
          </cell>
          <cell r="E4142">
            <v>1</v>
          </cell>
          <cell r="F4142" t="str">
            <v>BOX</v>
          </cell>
          <cell r="G4142">
            <v>0</v>
          </cell>
        </row>
        <row r="4143">
          <cell r="B4143">
            <v>35084</v>
          </cell>
          <cell r="C4143">
            <v>2062.83</v>
          </cell>
          <cell r="D4143" t="str">
            <v>PHP</v>
          </cell>
          <cell r="E4143">
            <v>53</v>
          </cell>
          <cell r="F4143" t="str">
            <v>PC</v>
          </cell>
          <cell r="G4143">
            <v>0</v>
          </cell>
        </row>
        <row r="4144">
          <cell r="B4144">
            <v>35086</v>
          </cell>
          <cell r="C4144">
            <v>6597.57</v>
          </cell>
          <cell r="D4144" t="str">
            <v>PHP</v>
          </cell>
          <cell r="E4144">
            <v>2</v>
          </cell>
          <cell r="F4144" t="str">
            <v>PC</v>
          </cell>
          <cell r="G4144">
            <v>0</v>
          </cell>
        </row>
        <row r="4145">
          <cell r="B4145">
            <v>35087</v>
          </cell>
          <cell r="C4145">
            <v>140343.76</v>
          </cell>
          <cell r="D4145" t="str">
            <v>PHP</v>
          </cell>
          <cell r="E4145">
            <v>2</v>
          </cell>
          <cell r="F4145" t="str">
            <v>PC</v>
          </cell>
          <cell r="G4145">
            <v>0</v>
          </cell>
        </row>
        <row r="4146">
          <cell r="B4146">
            <v>35088</v>
          </cell>
          <cell r="C4146">
            <v>10092.44</v>
          </cell>
          <cell r="D4146" t="str">
            <v>PHP</v>
          </cell>
          <cell r="E4146">
            <v>2</v>
          </cell>
          <cell r="F4146" t="str">
            <v>PC</v>
          </cell>
          <cell r="G4146">
            <v>0</v>
          </cell>
        </row>
        <row r="4147">
          <cell r="B4147">
            <v>35089</v>
          </cell>
          <cell r="C4147">
            <v>36026.35</v>
          </cell>
          <cell r="D4147" t="str">
            <v>PHP</v>
          </cell>
          <cell r="E4147">
            <v>57</v>
          </cell>
          <cell r="F4147" t="str">
            <v>PC</v>
          </cell>
          <cell r="G4147">
            <v>0</v>
          </cell>
        </row>
        <row r="4148">
          <cell r="B4148">
            <v>35090</v>
          </cell>
          <cell r="C4148">
            <v>0</v>
          </cell>
          <cell r="D4148" t="str">
            <v>PHP</v>
          </cell>
          <cell r="E4148">
            <v>0</v>
          </cell>
          <cell r="F4148" t="str">
            <v>PC</v>
          </cell>
          <cell r="G4148">
            <v>0</v>
          </cell>
        </row>
        <row r="4149">
          <cell r="B4149">
            <v>35091</v>
          </cell>
          <cell r="C4149">
            <v>4800</v>
          </cell>
          <cell r="D4149" t="str">
            <v>PHP</v>
          </cell>
          <cell r="E4149">
            <v>12</v>
          </cell>
          <cell r="F4149" t="str">
            <v>PC</v>
          </cell>
          <cell r="G4149">
            <v>0</v>
          </cell>
        </row>
        <row r="4150">
          <cell r="B4150">
            <v>35092</v>
          </cell>
          <cell r="C4150">
            <v>15343.73</v>
          </cell>
          <cell r="D4150" t="str">
            <v>PHP</v>
          </cell>
          <cell r="E4150">
            <v>11</v>
          </cell>
          <cell r="F4150" t="str">
            <v>PC</v>
          </cell>
          <cell r="G4150">
            <v>0</v>
          </cell>
        </row>
        <row r="4151">
          <cell r="B4151">
            <v>35093</v>
          </cell>
          <cell r="C4151">
            <v>7642.61</v>
          </cell>
          <cell r="D4151" t="str">
            <v>PHP</v>
          </cell>
          <cell r="E4151">
            <v>8</v>
          </cell>
          <cell r="F4151" t="str">
            <v>PC</v>
          </cell>
          <cell r="G4151">
            <v>0</v>
          </cell>
        </row>
        <row r="4152">
          <cell r="B4152">
            <v>35094</v>
          </cell>
          <cell r="C4152">
            <v>345</v>
          </cell>
          <cell r="D4152" t="str">
            <v>PHP</v>
          </cell>
          <cell r="E4152">
            <v>4</v>
          </cell>
          <cell r="F4152" t="str">
            <v>PC</v>
          </cell>
          <cell r="G4152">
            <v>0</v>
          </cell>
        </row>
        <row r="4153">
          <cell r="B4153">
            <v>35095</v>
          </cell>
          <cell r="C4153">
            <v>212.55</v>
          </cell>
          <cell r="D4153" t="str">
            <v>PHP</v>
          </cell>
          <cell r="E4153">
            <v>2</v>
          </cell>
          <cell r="F4153" t="str">
            <v>PC</v>
          </cell>
          <cell r="G4153">
            <v>0</v>
          </cell>
        </row>
        <row r="4154">
          <cell r="B4154">
            <v>35096</v>
          </cell>
          <cell r="C4154">
            <v>30604.18</v>
          </cell>
          <cell r="D4154" t="str">
            <v>PHP</v>
          </cell>
          <cell r="E4154">
            <v>2</v>
          </cell>
          <cell r="F4154" t="str">
            <v>PC</v>
          </cell>
          <cell r="G4154">
            <v>0</v>
          </cell>
        </row>
        <row r="4155">
          <cell r="B4155">
            <v>35097</v>
          </cell>
          <cell r="C4155">
            <v>30604.18</v>
          </cell>
          <cell r="D4155" t="str">
            <v>PHP</v>
          </cell>
          <cell r="E4155">
            <v>2</v>
          </cell>
          <cell r="F4155" t="str">
            <v>PC</v>
          </cell>
          <cell r="G4155">
            <v>0</v>
          </cell>
        </row>
        <row r="4156">
          <cell r="B4156">
            <v>35098</v>
          </cell>
          <cell r="C4156">
            <v>26423.06</v>
          </cell>
          <cell r="D4156" t="str">
            <v>PHP</v>
          </cell>
          <cell r="E4156">
            <v>1</v>
          </cell>
          <cell r="F4156" t="str">
            <v>PC</v>
          </cell>
          <cell r="G4156">
            <v>0</v>
          </cell>
        </row>
        <row r="4157">
          <cell r="B4157">
            <v>35099</v>
          </cell>
          <cell r="C4157">
            <v>26423.06</v>
          </cell>
          <cell r="D4157" t="str">
            <v>PHP</v>
          </cell>
          <cell r="E4157">
            <v>1</v>
          </cell>
          <cell r="F4157" t="str">
            <v>PC</v>
          </cell>
          <cell r="G4157">
            <v>0</v>
          </cell>
        </row>
        <row r="4158">
          <cell r="B4158">
            <v>35100</v>
          </cell>
          <cell r="C4158">
            <v>26423.06</v>
          </cell>
          <cell r="D4158" t="str">
            <v>PHP</v>
          </cell>
          <cell r="E4158">
            <v>1</v>
          </cell>
          <cell r="F4158" t="str">
            <v>PC</v>
          </cell>
          <cell r="G4158">
            <v>0</v>
          </cell>
        </row>
        <row r="4159">
          <cell r="B4159">
            <v>35101</v>
          </cell>
          <cell r="C4159">
            <v>18357.84</v>
          </cell>
          <cell r="D4159" t="str">
            <v>PHP</v>
          </cell>
          <cell r="E4159">
            <v>1</v>
          </cell>
          <cell r="F4159" t="str">
            <v>PC</v>
          </cell>
          <cell r="G4159">
            <v>0</v>
          </cell>
        </row>
        <row r="4160">
          <cell r="B4160">
            <v>35102</v>
          </cell>
          <cell r="C4160">
            <v>3028.97</v>
          </cell>
          <cell r="D4160" t="str">
            <v>PHP</v>
          </cell>
          <cell r="E4160">
            <v>19</v>
          </cell>
          <cell r="F4160" t="str">
            <v>PC</v>
          </cell>
          <cell r="G4160">
            <v>0</v>
          </cell>
        </row>
        <row r="4161">
          <cell r="B4161">
            <v>35103</v>
          </cell>
          <cell r="C4161">
            <v>4164.37</v>
          </cell>
          <cell r="D4161" t="str">
            <v>PHP</v>
          </cell>
          <cell r="E4161">
            <v>3</v>
          </cell>
          <cell r="F4161" t="str">
            <v>PC</v>
          </cell>
          <cell r="G4161">
            <v>0</v>
          </cell>
        </row>
        <row r="4162">
          <cell r="B4162">
            <v>35104</v>
          </cell>
          <cell r="C4162">
            <v>2630</v>
          </cell>
          <cell r="D4162" t="str">
            <v>PHP</v>
          </cell>
          <cell r="E4162">
            <v>16</v>
          </cell>
          <cell r="F4162" t="str">
            <v>PC</v>
          </cell>
          <cell r="G4162">
            <v>0</v>
          </cell>
        </row>
        <row r="4163">
          <cell r="B4163">
            <v>35106</v>
          </cell>
          <cell r="C4163">
            <v>78978.600000000006</v>
          </cell>
          <cell r="D4163" t="str">
            <v>PHP</v>
          </cell>
          <cell r="E4163">
            <v>5</v>
          </cell>
          <cell r="F4163" t="str">
            <v>PC</v>
          </cell>
          <cell r="G4163">
            <v>0</v>
          </cell>
        </row>
        <row r="4164">
          <cell r="B4164">
            <v>35107</v>
          </cell>
          <cell r="C4164">
            <v>1549.72</v>
          </cell>
          <cell r="D4164" t="str">
            <v>PHP</v>
          </cell>
          <cell r="E4164">
            <v>24</v>
          </cell>
          <cell r="F4164" t="str">
            <v>PC</v>
          </cell>
          <cell r="G4164">
            <v>0</v>
          </cell>
        </row>
        <row r="4165">
          <cell r="B4165">
            <v>35108</v>
          </cell>
          <cell r="C4165">
            <v>1549.73</v>
          </cell>
          <cell r="D4165" t="str">
            <v>PHP</v>
          </cell>
          <cell r="E4165">
            <v>24</v>
          </cell>
          <cell r="F4165" t="str">
            <v>PC</v>
          </cell>
          <cell r="G4165">
            <v>0</v>
          </cell>
        </row>
        <row r="4166">
          <cell r="B4166">
            <v>35109</v>
          </cell>
          <cell r="C4166">
            <v>1538.81</v>
          </cell>
          <cell r="D4166" t="str">
            <v>PHP</v>
          </cell>
          <cell r="E4166">
            <v>24</v>
          </cell>
          <cell r="F4166" t="str">
            <v>PC</v>
          </cell>
          <cell r="G4166">
            <v>0</v>
          </cell>
        </row>
        <row r="4167">
          <cell r="B4167">
            <v>35110</v>
          </cell>
          <cell r="C4167">
            <v>816.38</v>
          </cell>
          <cell r="D4167" t="str">
            <v>PHP</v>
          </cell>
          <cell r="E4167">
            <v>13</v>
          </cell>
          <cell r="F4167" t="str">
            <v>PC</v>
          </cell>
          <cell r="G4167">
            <v>0</v>
          </cell>
        </row>
        <row r="4168">
          <cell r="B4168">
            <v>35112</v>
          </cell>
          <cell r="C4168">
            <v>6391.56</v>
          </cell>
          <cell r="D4168" t="str">
            <v>PHP</v>
          </cell>
          <cell r="E4168">
            <v>4</v>
          </cell>
          <cell r="F4168" t="str">
            <v>PC</v>
          </cell>
          <cell r="G4168">
            <v>0</v>
          </cell>
        </row>
        <row r="4169">
          <cell r="B4169">
            <v>35113</v>
          </cell>
          <cell r="C4169">
            <v>380.32</v>
          </cell>
          <cell r="D4169" t="str">
            <v>PHP</v>
          </cell>
          <cell r="E4169">
            <v>8</v>
          </cell>
          <cell r="F4169" t="str">
            <v>PC</v>
          </cell>
          <cell r="G4169">
            <v>0</v>
          </cell>
        </row>
        <row r="4170">
          <cell r="B4170">
            <v>35114</v>
          </cell>
          <cell r="C4170">
            <v>334.62</v>
          </cell>
          <cell r="D4170" t="str">
            <v>PHP</v>
          </cell>
          <cell r="E4170">
            <v>4</v>
          </cell>
          <cell r="F4170" t="str">
            <v>PC</v>
          </cell>
          <cell r="G4170">
            <v>0</v>
          </cell>
        </row>
        <row r="4171">
          <cell r="B4171">
            <v>35115</v>
          </cell>
          <cell r="C4171">
            <v>338.25</v>
          </cell>
          <cell r="D4171" t="str">
            <v>PHP</v>
          </cell>
          <cell r="E4171">
            <v>1</v>
          </cell>
          <cell r="F4171" t="str">
            <v>PC</v>
          </cell>
          <cell r="G4171">
            <v>0</v>
          </cell>
        </row>
        <row r="4172">
          <cell r="B4172">
            <v>35116</v>
          </cell>
          <cell r="C4172">
            <v>858.03</v>
          </cell>
          <cell r="D4172" t="str">
            <v>PHP</v>
          </cell>
          <cell r="E4172">
            <v>4</v>
          </cell>
          <cell r="F4172" t="str">
            <v>PC</v>
          </cell>
          <cell r="G4172">
            <v>0</v>
          </cell>
        </row>
        <row r="4173">
          <cell r="B4173">
            <v>35118</v>
          </cell>
          <cell r="C4173">
            <v>3483.36</v>
          </cell>
          <cell r="D4173" t="str">
            <v>PHP</v>
          </cell>
          <cell r="E4173">
            <v>4</v>
          </cell>
          <cell r="F4173" t="str">
            <v>PC</v>
          </cell>
          <cell r="G4173">
            <v>0</v>
          </cell>
        </row>
        <row r="4174">
          <cell r="B4174">
            <v>35119</v>
          </cell>
          <cell r="C4174">
            <v>1087.28</v>
          </cell>
          <cell r="D4174" t="str">
            <v>PHP</v>
          </cell>
          <cell r="E4174">
            <v>16</v>
          </cell>
          <cell r="F4174" t="str">
            <v>PC</v>
          </cell>
          <cell r="G4174">
            <v>0</v>
          </cell>
        </row>
        <row r="4175">
          <cell r="B4175">
            <v>35120</v>
          </cell>
          <cell r="C4175">
            <v>15000</v>
          </cell>
          <cell r="D4175" t="str">
            <v>PHP</v>
          </cell>
          <cell r="E4175">
            <v>6</v>
          </cell>
          <cell r="F4175" t="str">
            <v>PC</v>
          </cell>
          <cell r="G4175">
            <v>0</v>
          </cell>
        </row>
        <row r="4176">
          <cell r="B4176">
            <v>35122</v>
          </cell>
          <cell r="C4176">
            <v>40188.379999999997</v>
          </cell>
          <cell r="D4176" t="str">
            <v>PHP</v>
          </cell>
          <cell r="E4176">
            <v>2</v>
          </cell>
          <cell r="F4176" t="str">
            <v>PC</v>
          </cell>
          <cell r="G4176">
            <v>0</v>
          </cell>
        </row>
        <row r="4177">
          <cell r="B4177">
            <v>35124</v>
          </cell>
          <cell r="C4177">
            <v>17671.18</v>
          </cell>
          <cell r="D4177" t="str">
            <v>PHP</v>
          </cell>
          <cell r="E4177">
            <v>2</v>
          </cell>
          <cell r="F4177" t="str">
            <v>PC</v>
          </cell>
          <cell r="G4177">
            <v>0</v>
          </cell>
        </row>
        <row r="4178">
          <cell r="B4178">
            <v>35125</v>
          </cell>
          <cell r="C4178">
            <v>0</v>
          </cell>
          <cell r="D4178" t="str">
            <v>PHP</v>
          </cell>
          <cell r="E4178">
            <v>0</v>
          </cell>
          <cell r="F4178" t="str">
            <v>SET</v>
          </cell>
          <cell r="G4178">
            <v>0</v>
          </cell>
        </row>
        <row r="4179">
          <cell r="B4179">
            <v>35126</v>
          </cell>
          <cell r="C4179">
            <v>297798.87</v>
          </cell>
          <cell r="D4179" t="str">
            <v>PHP</v>
          </cell>
          <cell r="E4179">
            <v>1</v>
          </cell>
          <cell r="F4179" t="str">
            <v>PC</v>
          </cell>
          <cell r="G4179">
            <v>0</v>
          </cell>
        </row>
        <row r="4180">
          <cell r="B4180">
            <v>35127</v>
          </cell>
          <cell r="C4180">
            <v>71398.320000000007</v>
          </cell>
          <cell r="D4180" t="str">
            <v>PHP</v>
          </cell>
          <cell r="E4180">
            <v>17</v>
          </cell>
          <cell r="F4180" t="str">
            <v>PC</v>
          </cell>
          <cell r="G4180">
            <v>0</v>
          </cell>
        </row>
        <row r="4181">
          <cell r="B4181">
            <v>35128</v>
          </cell>
          <cell r="C4181">
            <v>79945.63</v>
          </cell>
          <cell r="D4181" t="str">
            <v>PHP</v>
          </cell>
          <cell r="E4181">
            <v>1</v>
          </cell>
          <cell r="F4181" t="str">
            <v>SET</v>
          </cell>
          <cell r="G4181">
            <v>0</v>
          </cell>
        </row>
        <row r="4182">
          <cell r="B4182">
            <v>35129</v>
          </cell>
          <cell r="C4182">
            <v>2732.8</v>
          </cell>
          <cell r="D4182" t="str">
            <v>PHP</v>
          </cell>
          <cell r="E4182">
            <v>13</v>
          </cell>
          <cell r="F4182" t="str">
            <v>PC</v>
          </cell>
          <cell r="G4182">
            <v>0</v>
          </cell>
        </row>
        <row r="4183">
          <cell r="B4183">
            <v>35130</v>
          </cell>
          <cell r="C4183">
            <v>85</v>
          </cell>
          <cell r="D4183" t="str">
            <v>PHP</v>
          </cell>
          <cell r="E4183">
            <v>1</v>
          </cell>
          <cell r="F4183" t="str">
            <v>PC</v>
          </cell>
          <cell r="G4183">
            <v>0</v>
          </cell>
        </row>
        <row r="4184">
          <cell r="B4184">
            <v>35131</v>
          </cell>
          <cell r="C4184">
            <v>4347.58</v>
          </cell>
          <cell r="D4184" t="str">
            <v>PHP</v>
          </cell>
          <cell r="E4184">
            <v>11</v>
          </cell>
          <cell r="F4184" t="str">
            <v>PC</v>
          </cell>
          <cell r="G4184">
            <v>0</v>
          </cell>
        </row>
        <row r="4185">
          <cell r="B4185">
            <v>35133</v>
          </cell>
          <cell r="C4185">
            <v>74</v>
          </cell>
          <cell r="D4185" t="str">
            <v>PHP</v>
          </cell>
          <cell r="E4185">
            <v>8</v>
          </cell>
          <cell r="F4185" t="str">
            <v>PC</v>
          </cell>
          <cell r="G4185">
            <v>0</v>
          </cell>
        </row>
        <row r="4186">
          <cell r="B4186">
            <v>35134</v>
          </cell>
          <cell r="C4186">
            <v>2408.34</v>
          </cell>
          <cell r="D4186" t="str">
            <v>PHP</v>
          </cell>
          <cell r="E4186">
            <v>3</v>
          </cell>
          <cell r="F4186" t="str">
            <v>PC</v>
          </cell>
          <cell r="G4186">
            <v>0</v>
          </cell>
        </row>
        <row r="4187">
          <cell r="B4187">
            <v>35135</v>
          </cell>
          <cell r="C4187">
            <v>300.94</v>
          </cell>
          <cell r="D4187" t="str">
            <v>PHP</v>
          </cell>
          <cell r="E4187">
            <v>8</v>
          </cell>
          <cell r="F4187" t="str">
            <v>PC</v>
          </cell>
          <cell r="G4187">
            <v>0</v>
          </cell>
        </row>
        <row r="4188">
          <cell r="B4188">
            <v>35136</v>
          </cell>
          <cell r="C4188">
            <v>10414.39</v>
          </cell>
          <cell r="D4188" t="str">
            <v>PHP</v>
          </cell>
          <cell r="E4188">
            <v>1</v>
          </cell>
          <cell r="F4188" t="str">
            <v>PC</v>
          </cell>
          <cell r="G4188">
            <v>0</v>
          </cell>
        </row>
        <row r="4189">
          <cell r="B4189">
            <v>35137</v>
          </cell>
          <cell r="C4189">
            <v>3633.49</v>
          </cell>
          <cell r="D4189" t="str">
            <v>PHP</v>
          </cell>
          <cell r="E4189">
            <v>7</v>
          </cell>
          <cell r="F4189" t="str">
            <v>PC</v>
          </cell>
          <cell r="G4189">
            <v>0</v>
          </cell>
        </row>
        <row r="4190">
          <cell r="B4190">
            <v>35138</v>
          </cell>
          <cell r="C4190">
            <v>1314.4</v>
          </cell>
          <cell r="D4190" t="str">
            <v>PHP</v>
          </cell>
          <cell r="E4190">
            <v>8</v>
          </cell>
          <cell r="F4190" t="str">
            <v>PC</v>
          </cell>
          <cell r="G4190">
            <v>0</v>
          </cell>
        </row>
        <row r="4191">
          <cell r="B4191">
            <v>35141</v>
          </cell>
          <cell r="C4191">
            <v>8816.1299999999992</v>
          </cell>
          <cell r="D4191" t="str">
            <v>PHP</v>
          </cell>
          <cell r="E4191">
            <v>1</v>
          </cell>
          <cell r="F4191" t="str">
            <v>PC</v>
          </cell>
          <cell r="G4191">
            <v>0</v>
          </cell>
        </row>
        <row r="4192">
          <cell r="B4192">
            <v>35142</v>
          </cell>
          <cell r="C4192">
            <v>3027.08</v>
          </cell>
          <cell r="D4192" t="str">
            <v>PHP</v>
          </cell>
          <cell r="E4192">
            <v>14</v>
          </cell>
          <cell r="F4192" t="str">
            <v>PC</v>
          </cell>
          <cell r="G4192">
            <v>0</v>
          </cell>
        </row>
        <row r="4193">
          <cell r="B4193">
            <v>35143</v>
          </cell>
          <cell r="C4193">
            <v>5971.42</v>
          </cell>
          <cell r="D4193" t="str">
            <v>PHP</v>
          </cell>
          <cell r="E4193">
            <v>3</v>
          </cell>
          <cell r="F4193" t="str">
            <v>PC</v>
          </cell>
          <cell r="G4193">
            <v>0</v>
          </cell>
        </row>
        <row r="4194">
          <cell r="B4194">
            <v>35145</v>
          </cell>
          <cell r="C4194">
            <v>14515.48</v>
          </cell>
          <cell r="D4194" t="str">
            <v>PHP</v>
          </cell>
          <cell r="E4194">
            <v>2</v>
          </cell>
          <cell r="F4194" t="str">
            <v>PC</v>
          </cell>
          <cell r="G4194">
            <v>0</v>
          </cell>
        </row>
        <row r="4195">
          <cell r="B4195">
            <v>35146</v>
          </cell>
          <cell r="C4195">
            <v>7728.54</v>
          </cell>
          <cell r="D4195" t="str">
            <v>PHP</v>
          </cell>
          <cell r="E4195">
            <v>3</v>
          </cell>
          <cell r="F4195" t="str">
            <v>PC</v>
          </cell>
          <cell r="G4195">
            <v>0</v>
          </cell>
        </row>
        <row r="4196">
          <cell r="B4196">
            <v>35148</v>
          </cell>
          <cell r="C4196">
            <v>8584.73</v>
          </cell>
          <cell r="D4196" t="str">
            <v>PHP</v>
          </cell>
          <cell r="E4196">
            <v>7</v>
          </cell>
          <cell r="F4196" t="str">
            <v>PC</v>
          </cell>
          <cell r="G4196">
            <v>0</v>
          </cell>
        </row>
        <row r="4197">
          <cell r="B4197">
            <v>35149</v>
          </cell>
          <cell r="C4197">
            <v>1353</v>
          </cell>
          <cell r="D4197" t="str">
            <v>PHP</v>
          </cell>
          <cell r="E4197">
            <v>4</v>
          </cell>
          <cell r="F4197" t="str">
            <v>PC</v>
          </cell>
          <cell r="G4197">
            <v>0</v>
          </cell>
        </row>
        <row r="4198">
          <cell r="B4198">
            <v>35150</v>
          </cell>
          <cell r="C4198">
            <v>2715.98</v>
          </cell>
          <cell r="D4198" t="str">
            <v>PHP</v>
          </cell>
          <cell r="E4198">
            <v>3</v>
          </cell>
          <cell r="F4198" t="str">
            <v>PC</v>
          </cell>
          <cell r="G4198">
            <v>0</v>
          </cell>
        </row>
        <row r="4199">
          <cell r="B4199">
            <v>35151</v>
          </cell>
          <cell r="C4199">
            <v>852.84</v>
          </cell>
          <cell r="D4199" t="str">
            <v>PHP</v>
          </cell>
          <cell r="E4199">
            <v>6</v>
          </cell>
          <cell r="F4199" t="str">
            <v>PC</v>
          </cell>
          <cell r="G4199">
            <v>0</v>
          </cell>
        </row>
        <row r="4200">
          <cell r="B4200">
            <v>35152</v>
          </cell>
          <cell r="C4200">
            <v>779.1</v>
          </cell>
          <cell r="D4200" t="str">
            <v>PHP</v>
          </cell>
          <cell r="E4200">
            <v>19</v>
          </cell>
          <cell r="F4200" t="str">
            <v>PC</v>
          </cell>
          <cell r="G4200">
            <v>0</v>
          </cell>
        </row>
        <row r="4201">
          <cell r="B4201">
            <v>35155</v>
          </cell>
          <cell r="C4201">
            <v>39667.32</v>
          </cell>
          <cell r="D4201" t="str">
            <v>PHP</v>
          </cell>
          <cell r="E4201">
            <v>7</v>
          </cell>
          <cell r="F4201" t="str">
            <v>PC</v>
          </cell>
          <cell r="G4201">
            <v>0</v>
          </cell>
        </row>
        <row r="4202">
          <cell r="B4202">
            <v>37459</v>
          </cell>
          <cell r="C4202">
            <v>19022</v>
          </cell>
          <cell r="D4202" t="str">
            <v>PHP</v>
          </cell>
          <cell r="E4202">
            <v>1</v>
          </cell>
          <cell r="F4202" t="str">
            <v>PC</v>
          </cell>
          <cell r="G4202">
            <v>0</v>
          </cell>
        </row>
        <row r="4203">
          <cell r="B4203">
            <v>39629</v>
          </cell>
          <cell r="C4203">
            <v>41564.080000000002</v>
          </cell>
          <cell r="D4203" t="str">
            <v>PHP</v>
          </cell>
          <cell r="E4203">
            <v>7</v>
          </cell>
          <cell r="F4203" t="str">
            <v>PC</v>
          </cell>
          <cell r="G4203">
            <v>0</v>
          </cell>
        </row>
        <row r="4204">
          <cell r="B4204">
            <v>39631</v>
          </cell>
          <cell r="C4204">
            <v>2078.8000000000002</v>
          </cell>
          <cell r="D4204" t="str">
            <v>PHP</v>
          </cell>
          <cell r="E4204">
            <v>36</v>
          </cell>
          <cell r="F4204" t="str">
            <v>PC</v>
          </cell>
          <cell r="G4204">
            <v>0</v>
          </cell>
        </row>
        <row r="4205">
          <cell r="B4205">
            <v>39648</v>
          </cell>
          <cell r="C4205">
            <v>1721.77</v>
          </cell>
          <cell r="D4205" t="str">
            <v>PHP</v>
          </cell>
          <cell r="E4205">
            <v>4</v>
          </cell>
          <cell r="F4205" t="str">
            <v>PC</v>
          </cell>
          <cell r="G4205">
            <v>0</v>
          </cell>
        </row>
        <row r="4206">
          <cell r="B4206">
            <v>39649</v>
          </cell>
          <cell r="C4206">
            <v>291.82</v>
          </cell>
          <cell r="D4206" t="str">
            <v>PHP</v>
          </cell>
          <cell r="E4206">
            <v>3</v>
          </cell>
          <cell r="F4206" t="str">
            <v>PC</v>
          </cell>
          <cell r="G4206">
            <v>0</v>
          </cell>
        </row>
        <row r="4207">
          <cell r="B4207">
            <v>39651</v>
          </cell>
          <cell r="C4207">
            <v>0</v>
          </cell>
          <cell r="D4207" t="str">
            <v>PHP</v>
          </cell>
          <cell r="E4207">
            <v>0</v>
          </cell>
          <cell r="F4207" t="str">
            <v>PC</v>
          </cell>
          <cell r="G4207">
            <v>0</v>
          </cell>
        </row>
        <row r="4208">
          <cell r="B4208">
            <v>39652</v>
          </cell>
          <cell r="C4208">
            <v>0</v>
          </cell>
          <cell r="D4208" t="str">
            <v>PHP</v>
          </cell>
          <cell r="E4208">
            <v>0</v>
          </cell>
          <cell r="F4208" t="str">
            <v>PC</v>
          </cell>
          <cell r="G4208">
            <v>0</v>
          </cell>
        </row>
        <row r="4209">
          <cell r="B4209">
            <v>39653</v>
          </cell>
          <cell r="C4209">
            <v>1375.2</v>
          </cell>
          <cell r="D4209" t="str">
            <v>PHP</v>
          </cell>
          <cell r="E4209">
            <v>3</v>
          </cell>
          <cell r="F4209" t="str">
            <v>PC</v>
          </cell>
          <cell r="G4209">
            <v>0</v>
          </cell>
        </row>
        <row r="4210">
          <cell r="B4210">
            <v>39654</v>
          </cell>
          <cell r="C4210">
            <v>0</v>
          </cell>
          <cell r="D4210" t="str">
            <v>PHP</v>
          </cell>
          <cell r="E4210">
            <v>0</v>
          </cell>
          <cell r="F4210" t="str">
            <v>PC</v>
          </cell>
          <cell r="G4210">
            <v>0</v>
          </cell>
        </row>
        <row r="4211">
          <cell r="B4211">
            <v>39655</v>
          </cell>
          <cell r="C4211">
            <v>1178383.9099999999</v>
          </cell>
          <cell r="D4211" t="str">
            <v>PHP</v>
          </cell>
          <cell r="E4211">
            <v>4</v>
          </cell>
          <cell r="F4211" t="str">
            <v>PC</v>
          </cell>
          <cell r="G4211">
            <v>0</v>
          </cell>
        </row>
        <row r="4212">
          <cell r="B4212">
            <v>39656</v>
          </cell>
          <cell r="C4212">
            <v>0</v>
          </cell>
          <cell r="D4212" t="str">
            <v>PHP</v>
          </cell>
          <cell r="E4212">
            <v>0</v>
          </cell>
          <cell r="F4212" t="str">
            <v>PC</v>
          </cell>
          <cell r="G4212">
            <v>0</v>
          </cell>
        </row>
        <row r="4213">
          <cell r="B4213">
            <v>39657</v>
          </cell>
          <cell r="C4213">
            <v>6738.5</v>
          </cell>
          <cell r="D4213" t="str">
            <v>PHP</v>
          </cell>
          <cell r="E4213">
            <v>1</v>
          </cell>
          <cell r="F4213" t="str">
            <v>PC</v>
          </cell>
          <cell r="G4213">
            <v>0</v>
          </cell>
        </row>
        <row r="4214">
          <cell r="B4214">
            <v>39658</v>
          </cell>
          <cell r="C4214">
            <v>0</v>
          </cell>
          <cell r="D4214" t="str">
            <v>PHP</v>
          </cell>
          <cell r="E4214">
            <v>0</v>
          </cell>
          <cell r="F4214" t="str">
            <v>PC</v>
          </cell>
          <cell r="G4214">
            <v>0</v>
          </cell>
        </row>
        <row r="4215">
          <cell r="B4215">
            <v>39659</v>
          </cell>
          <cell r="C4215">
            <v>109.2</v>
          </cell>
          <cell r="D4215" t="str">
            <v>PHP</v>
          </cell>
          <cell r="E4215">
            <v>2</v>
          </cell>
          <cell r="F4215" t="str">
            <v>PC</v>
          </cell>
          <cell r="G4215">
            <v>0</v>
          </cell>
        </row>
        <row r="4216">
          <cell r="B4216">
            <v>39660</v>
          </cell>
          <cell r="C4216">
            <v>65</v>
          </cell>
          <cell r="D4216" t="str">
            <v>PHP</v>
          </cell>
          <cell r="E4216">
            <v>2</v>
          </cell>
          <cell r="F4216" t="str">
            <v>PC</v>
          </cell>
          <cell r="G4216">
            <v>0</v>
          </cell>
        </row>
        <row r="4217">
          <cell r="B4217">
            <v>39661</v>
          </cell>
          <cell r="C4217">
            <v>0</v>
          </cell>
          <cell r="D4217" t="str">
            <v>PHP</v>
          </cell>
          <cell r="E4217">
            <v>0</v>
          </cell>
          <cell r="F4217" t="str">
            <v>PC</v>
          </cell>
          <cell r="G4217">
            <v>0</v>
          </cell>
        </row>
        <row r="4218">
          <cell r="B4218">
            <v>39662</v>
          </cell>
          <cell r="C4218">
            <v>214031.26</v>
          </cell>
          <cell r="D4218" t="str">
            <v>PHP</v>
          </cell>
          <cell r="E4218">
            <v>6</v>
          </cell>
          <cell r="F4218" t="str">
            <v>PC</v>
          </cell>
          <cell r="G4218">
            <v>0</v>
          </cell>
        </row>
        <row r="4219">
          <cell r="B4219">
            <v>39663</v>
          </cell>
          <cell r="C4219">
            <v>0</v>
          </cell>
          <cell r="D4219" t="str">
            <v>PHP</v>
          </cell>
          <cell r="E4219">
            <v>0</v>
          </cell>
          <cell r="F4219" t="str">
            <v>PC</v>
          </cell>
          <cell r="G4219">
            <v>0</v>
          </cell>
        </row>
        <row r="4220">
          <cell r="B4220">
            <v>39667</v>
          </cell>
          <cell r="C4220">
            <v>0</v>
          </cell>
          <cell r="D4220" t="str">
            <v>PHP</v>
          </cell>
          <cell r="E4220">
            <v>0</v>
          </cell>
          <cell r="F4220" t="str">
            <v>PC</v>
          </cell>
          <cell r="G4220">
            <v>0</v>
          </cell>
        </row>
        <row r="4221">
          <cell r="B4221">
            <v>39669</v>
          </cell>
          <cell r="C4221">
            <v>31149.29</v>
          </cell>
          <cell r="D4221" t="str">
            <v>PHP</v>
          </cell>
          <cell r="E4221">
            <v>4</v>
          </cell>
          <cell r="F4221" t="str">
            <v>SET</v>
          </cell>
          <cell r="G4221">
            <v>0</v>
          </cell>
        </row>
        <row r="4222">
          <cell r="B4222">
            <v>39670</v>
          </cell>
          <cell r="C4222">
            <v>70619.95</v>
          </cell>
          <cell r="D4222" t="str">
            <v>PHP</v>
          </cell>
          <cell r="E4222">
            <v>9</v>
          </cell>
          <cell r="F4222" t="str">
            <v>PC</v>
          </cell>
          <cell r="G4222">
            <v>0</v>
          </cell>
        </row>
        <row r="4223">
          <cell r="B4223">
            <v>39671</v>
          </cell>
          <cell r="C4223">
            <v>0</v>
          </cell>
          <cell r="D4223" t="str">
            <v>PHP</v>
          </cell>
          <cell r="E4223">
            <v>0</v>
          </cell>
          <cell r="F4223" t="str">
            <v>PC</v>
          </cell>
          <cell r="G4223">
            <v>0</v>
          </cell>
        </row>
        <row r="4224">
          <cell r="B4224">
            <v>39672</v>
          </cell>
          <cell r="C4224">
            <v>6864.11</v>
          </cell>
          <cell r="D4224" t="str">
            <v>PHP</v>
          </cell>
          <cell r="E4224">
            <v>4</v>
          </cell>
          <cell r="F4224" t="str">
            <v>PC</v>
          </cell>
          <cell r="G4224">
            <v>0</v>
          </cell>
        </row>
        <row r="4225">
          <cell r="B4225">
            <v>39673</v>
          </cell>
          <cell r="C4225">
            <v>0</v>
          </cell>
          <cell r="D4225" t="str">
            <v>PHP</v>
          </cell>
          <cell r="E4225">
            <v>0</v>
          </cell>
          <cell r="F4225" t="str">
            <v>PC</v>
          </cell>
          <cell r="G4225">
            <v>0</v>
          </cell>
        </row>
        <row r="4226">
          <cell r="B4226">
            <v>39674</v>
          </cell>
          <cell r="C4226">
            <v>0</v>
          </cell>
          <cell r="D4226" t="str">
            <v>PHP</v>
          </cell>
          <cell r="E4226">
            <v>0</v>
          </cell>
          <cell r="F4226" t="str">
            <v>PC</v>
          </cell>
          <cell r="G4226">
            <v>0</v>
          </cell>
        </row>
        <row r="4227">
          <cell r="B4227">
            <v>39675</v>
          </cell>
          <cell r="C4227">
            <v>267.3</v>
          </cell>
          <cell r="D4227" t="str">
            <v>PHP</v>
          </cell>
          <cell r="E4227">
            <v>9</v>
          </cell>
          <cell r="F4227" t="str">
            <v>PC</v>
          </cell>
          <cell r="G4227">
            <v>0</v>
          </cell>
        </row>
        <row r="4228">
          <cell r="B4228">
            <v>39676</v>
          </cell>
          <cell r="C4228">
            <v>8580.66</v>
          </cell>
          <cell r="D4228" t="str">
            <v>PHP</v>
          </cell>
          <cell r="E4228">
            <v>59</v>
          </cell>
          <cell r="F4228" t="str">
            <v>PC</v>
          </cell>
          <cell r="G4228">
            <v>0</v>
          </cell>
        </row>
        <row r="4229">
          <cell r="B4229">
            <v>39677</v>
          </cell>
          <cell r="C4229">
            <v>0</v>
          </cell>
          <cell r="D4229" t="str">
            <v>PHP</v>
          </cell>
          <cell r="E4229">
            <v>0</v>
          </cell>
          <cell r="F4229" t="str">
            <v>PC</v>
          </cell>
          <cell r="G4229">
            <v>0</v>
          </cell>
        </row>
        <row r="4230">
          <cell r="B4230">
            <v>39678</v>
          </cell>
          <cell r="C4230">
            <v>0</v>
          </cell>
          <cell r="D4230" t="str">
            <v>PHP</v>
          </cell>
          <cell r="E4230">
            <v>0</v>
          </cell>
          <cell r="F4230" t="str">
            <v>PC</v>
          </cell>
          <cell r="G4230">
            <v>0</v>
          </cell>
        </row>
        <row r="4231">
          <cell r="B4231">
            <v>39679</v>
          </cell>
          <cell r="C4231">
            <v>591.24</v>
          </cell>
          <cell r="D4231" t="str">
            <v>PHP</v>
          </cell>
          <cell r="E4231">
            <v>8</v>
          </cell>
          <cell r="F4231" t="str">
            <v>PC</v>
          </cell>
          <cell r="G4231">
            <v>0</v>
          </cell>
        </row>
        <row r="4232">
          <cell r="B4232">
            <v>39680</v>
          </cell>
          <cell r="C4232">
            <v>2120.8200000000002</v>
          </cell>
          <cell r="D4232" t="str">
            <v>PHP</v>
          </cell>
          <cell r="E4232">
            <v>6</v>
          </cell>
          <cell r="F4232" t="str">
            <v>PC</v>
          </cell>
          <cell r="G4232">
            <v>0</v>
          </cell>
        </row>
        <row r="4233">
          <cell r="B4233">
            <v>39681</v>
          </cell>
          <cell r="C4233">
            <v>145.46</v>
          </cell>
          <cell r="D4233" t="str">
            <v>PHP</v>
          </cell>
          <cell r="E4233">
            <v>4</v>
          </cell>
          <cell r="F4233" t="str">
            <v>PC</v>
          </cell>
          <cell r="G4233">
            <v>0</v>
          </cell>
        </row>
        <row r="4234">
          <cell r="B4234">
            <v>39682</v>
          </cell>
          <cell r="C4234">
            <v>0</v>
          </cell>
          <cell r="D4234" t="str">
            <v>PHP</v>
          </cell>
          <cell r="E4234">
            <v>0</v>
          </cell>
          <cell r="F4234" t="str">
            <v>PC</v>
          </cell>
          <cell r="G4234">
            <v>0</v>
          </cell>
        </row>
        <row r="4235">
          <cell r="B4235">
            <v>39684</v>
          </cell>
          <cell r="C4235">
            <v>157190.97</v>
          </cell>
          <cell r="D4235" t="str">
            <v>PHP</v>
          </cell>
          <cell r="E4235">
            <v>11</v>
          </cell>
          <cell r="F4235" t="str">
            <v>PC</v>
          </cell>
          <cell r="G4235">
            <v>0</v>
          </cell>
        </row>
        <row r="4236">
          <cell r="B4236">
            <v>39685</v>
          </cell>
          <cell r="C4236">
            <v>24682.58</v>
          </cell>
          <cell r="D4236" t="str">
            <v>PHP</v>
          </cell>
          <cell r="E4236">
            <v>2</v>
          </cell>
          <cell r="F4236" t="str">
            <v>PC</v>
          </cell>
          <cell r="G4236">
            <v>0</v>
          </cell>
        </row>
        <row r="4237">
          <cell r="B4237">
            <v>39686</v>
          </cell>
          <cell r="C4237">
            <v>66895.19</v>
          </cell>
          <cell r="D4237" t="str">
            <v>PHP</v>
          </cell>
          <cell r="E4237">
            <v>2</v>
          </cell>
          <cell r="F4237" t="str">
            <v>PC</v>
          </cell>
          <cell r="G4237">
            <v>0</v>
          </cell>
        </row>
        <row r="4238">
          <cell r="B4238">
            <v>39687</v>
          </cell>
          <cell r="C4238">
            <v>674309.05</v>
          </cell>
          <cell r="D4238" t="str">
            <v>PHP</v>
          </cell>
          <cell r="E4238">
            <v>9</v>
          </cell>
          <cell r="F4238" t="str">
            <v>PC</v>
          </cell>
          <cell r="G4238">
            <v>0</v>
          </cell>
        </row>
        <row r="4239">
          <cell r="B4239">
            <v>39688</v>
          </cell>
          <cell r="C4239">
            <v>601</v>
          </cell>
          <cell r="D4239" t="str">
            <v>PHP</v>
          </cell>
          <cell r="E4239">
            <v>1</v>
          </cell>
          <cell r="F4239" t="str">
            <v>PC</v>
          </cell>
          <cell r="G4239">
            <v>0</v>
          </cell>
        </row>
        <row r="4240">
          <cell r="B4240">
            <v>39689</v>
          </cell>
          <cell r="C4240">
            <v>4500</v>
          </cell>
          <cell r="D4240" t="str">
            <v>PHP</v>
          </cell>
          <cell r="E4240">
            <v>18</v>
          </cell>
          <cell r="F4240" t="str">
            <v>PC</v>
          </cell>
          <cell r="G4240">
            <v>0</v>
          </cell>
        </row>
        <row r="4241">
          <cell r="B4241">
            <v>39691</v>
          </cell>
          <cell r="C4241">
            <v>1050</v>
          </cell>
          <cell r="D4241" t="str">
            <v>PHP</v>
          </cell>
          <cell r="E4241">
            <v>1</v>
          </cell>
          <cell r="F4241" t="str">
            <v>PC</v>
          </cell>
          <cell r="G4241">
            <v>0</v>
          </cell>
        </row>
        <row r="4242">
          <cell r="B4242">
            <v>39693</v>
          </cell>
          <cell r="C4242">
            <v>0</v>
          </cell>
          <cell r="D4242" t="str">
            <v>PHP</v>
          </cell>
          <cell r="E4242">
            <v>0</v>
          </cell>
          <cell r="F4242" t="str">
            <v>PC</v>
          </cell>
          <cell r="G4242">
            <v>0</v>
          </cell>
        </row>
        <row r="4243">
          <cell r="B4243">
            <v>39694</v>
          </cell>
          <cell r="C4243">
            <v>0</v>
          </cell>
          <cell r="D4243" t="str">
            <v>PHP</v>
          </cell>
          <cell r="E4243">
            <v>0</v>
          </cell>
          <cell r="F4243" t="str">
            <v>PC</v>
          </cell>
          <cell r="G4243">
            <v>0</v>
          </cell>
        </row>
        <row r="4244">
          <cell r="B4244">
            <v>39695</v>
          </cell>
          <cell r="C4244">
            <v>186964.44</v>
          </cell>
          <cell r="D4244" t="str">
            <v>PHP</v>
          </cell>
          <cell r="E4244">
            <v>1</v>
          </cell>
          <cell r="F4244" t="str">
            <v>PC</v>
          </cell>
          <cell r="G4244">
            <v>0</v>
          </cell>
        </row>
        <row r="4245">
          <cell r="B4245">
            <v>39696</v>
          </cell>
          <cell r="C4245">
            <v>19642.400000000001</v>
          </cell>
          <cell r="D4245" t="str">
            <v>PHP</v>
          </cell>
          <cell r="E4245">
            <v>15</v>
          </cell>
          <cell r="F4245" t="str">
            <v>PC</v>
          </cell>
          <cell r="G4245">
            <v>0</v>
          </cell>
        </row>
        <row r="4246">
          <cell r="B4246">
            <v>39697</v>
          </cell>
          <cell r="C4246">
            <v>9925.5</v>
          </cell>
          <cell r="D4246" t="str">
            <v>PHP</v>
          </cell>
          <cell r="E4246">
            <v>15</v>
          </cell>
          <cell r="F4246" t="str">
            <v>PC</v>
          </cell>
          <cell r="G4246">
            <v>0</v>
          </cell>
        </row>
        <row r="4247">
          <cell r="B4247">
            <v>39698</v>
          </cell>
          <cell r="C4247">
            <v>87817.19</v>
          </cell>
          <cell r="D4247" t="str">
            <v>PHP</v>
          </cell>
          <cell r="E4247">
            <v>30</v>
          </cell>
          <cell r="F4247" t="str">
            <v>PC</v>
          </cell>
          <cell r="G4247">
            <v>0</v>
          </cell>
        </row>
        <row r="4248">
          <cell r="B4248">
            <v>39699</v>
          </cell>
          <cell r="C4248">
            <v>17935.55</v>
          </cell>
          <cell r="D4248" t="str">
            <v>PHP</v>
          </cell>
          <cell r="E4248">
            <v>10</v>
          </cell>
          <cell r="F4248" t="str">
            <v>PC</v>
          </cell>
          <cell r="G4248">
            <v>0</v>
          </cell>
        </row>
        <row r="4249">
          <cell r="B4249">
            <v>39701</v>
          </cell>
          <cell r="C4249">
            <v>20493.57</v>
          </cell>
          <cell r="D4249" t="str">
            <v>PHP</v>
          </cell>
          <cell r="E4249">
            <v>2</v>
          </cell>
          <cell r="F4249" t="str">
            <v>PC</v>
          </cell>
          <cell r="G4249">
            <v>0</v>
          </cell>
        </row>
        <row r="4250">
          <cell r="B4250">
            <v>39702</v>
          </cell>
          <cell r="C4250">
            <v>445.83</v>
          </cell>
          <cell r="D4250" t="str">
            <v>PHP</v>
          </cell>
          <cell r="E4250">
            <v>5</v>
          </cell>
          <cell r="F4250" t="str">
            <v>PC</v>
          </cell>
          <cell r="G4250">
            <v>0</v>
          </cell>
        </row>
        <row r="4251">
          <cell r="B4251">
            <v>39703</v>
          </cell>
          <cell r="C4251">
            <v>8118</v>
          </cell>
          <cell r="D4251" t="str">
            <v>PHP</v>
          </cell>
          <cell r="E4251">
            <v>3</v>
          </cell>
          <cell r="F4251" t="str">
            <v>PC</v>
          </cell>
          <cell r="G4251">
            <v>0</v>
          </cell>
        </row>
        <row r="4252">
          <cell r="B4252">
            <v>39705</v>
          </cell>
          <cell r="C4252">
            <v>20387.2</v>
          </cell>
          <cell r="D4252" t="str">
            <v>PHP</v>
          </cell>
          <cell r="E4252">
            <v>46</v>
          </cell>
          <cell r="F4252" t="str">
            <v>ASY</v>
          </cell>
          <cell r="G4252">
            <v>0</v>
          </cell>
        </row>
        <row r="4253">
          <cell r="B4253">
            <v>39707</v>
          </cell>
          <cell r="C4253">
            <v>153000</v>
          </cell>
          <cell r="D4253" t="str">
            <v>PHP</v>
          </cell>
          <cell r="E4253">
            <v>1</v>
          </cell>
          <cell r="F4253" t="str">
            <v>PC</v>
          </cell>
          <cell r="G4253">
            <v>0</v>
          </cell>
        </row>
        <row r="4254">
          <cell r="B4254">
            <v>39708</v>
          </cell>
          <cell r="C4254">
            <v>0</v>
          </cell>
          <cell r="D4254" t="str">
            <v>PHP</v>
          </cell>
          <cell r="E4254">
            <v>0</v>
          </cell>
          <cell r="F4254" t="str">
            <v>PC</v>
          </cell>
          <cell r="G4254">
            <v>0</v>
          </cell>
        </row>
        <row r="4255">
          <cell r="B4255">
            <v>39711</v>
          </cell>
          <cell r="C4255">
            <v>0</v>
          </cell>
          <cell r="D4255" t="str">
            <v>PHP</v>
          </cell>
          <cell r="E4255">
            <v>0</v>
          </cell>
          <cell r="F4255" t="str">
            <v>PC</v>
          </cell>
          <cell r="G4255">
            <v>0</v>
          </cell>
        </row>
        <row r="4256">
          <cell r="B4256">
            <v>39712</v>
          </cell>
          <cell r="C4256">
            <v>48190.98</v>
          </cell>
          <cell r="D4256" t="str">
            <v>PHP</v>
          </cell>
          <cell r="E4256">
            <v>9</v>
          </cell>
          <cell r="F4256" t="str">
            <v>PC</v>
          </cell>
          <cell r="G4256">
            <v>0</v>
          </cell>
        </row>
        <row r="4257">
          <cell r="B4257">
            <v>39714</v>
          </cell>
          <cell r="C4257">
            <v>17100</v>
          </cell>
          <cell r="D4257" t="str">
            <v>PHP</v>
          </cell>
          <cell r="E4257">
            <v>6</v>
          </cell>
          <cell r="F4257" t="str">
            <v>PC</v>
          </cell>
          <cell r="G4257">
            <v>0</v>
          </cell>
        </row>
        <row r="4258">
          <cell r="B4258">
            <v>39715</v>
          </cell>
          <cell r="C4258">
            <v>4275</v>
          </cell>
          <cell r="D4258" t="str">
            <v>PHP</v>
          </cell>
          <cell r="E4258">
            <v>6</v>
          </cell>
          <cell r="F4258" t="str">
            <v>PC</v>
          </cell>
          <cell r="G4258">
            <v>0</v>
          </cell>
        </row>
        <row r="4259">
          <cell r="B4259">
            <v>39717</v>
          </cell>
          <cell r="C4259">
            <v>10202.17</v>
          </cell>
          <cell r="D4259" t="str">
            <v>PHP</v>
          </cell>
          <cell r="E4259">
            <v>7</v>
          </cell>
          <cell r="F4259" t="str">
            <v>PC</v>
          </cell>
          <cell r="G4259">
            <v>0</v>
          </cell>
        </row>
        <row r="4260">
          <cell r="B4260">
            <v>39718</v>
          </cell>
          <cell r="C4260">
            <v>825</v>
          </cell>
          <cell r="D4260" t="str">
            <v>PHP</v>
          </cell>
          <cell r="E4260">
            <v>11</v>
          </cell>
          <cell r="F4260" t="str">
            <v>PC</v>
          </cell>
          <cell r="G4260">
            <v>0</v>
          </cell>
        </row>
        <row r="4261">
          <cell r="B4261">
            <v>39719</v>
          </cell>
          <cell r="C4261">
            <v>85834.5</v>
          </cell>
          <cell r="D4261" t="str">
            <v>PHP</v>
          </cell>
          <cell r="E4261">
            <v>78</v>
          </cell>
          <cell r="F4261" t="str">
            <v>PC</v>
          </cell>
          <cell r="G4261">
            <v>0</v>
          </cell>
        </row>
        <row r="4262">
          <cell r="B4262">
            <v>39720</v>
          </cell>
          <cell r="C4262">
            <v>36561.75</v>
          </cell>
          <cell r="D4262" t="str">
            <v>PHP</v>
          </cell>
          <cell r="E4262">
            <v>259</v>
          </cell>
          <cell r="F4262" t="str">
            <v>PC</v>
          </cell>
          <cell r="G4262">
            <v>0</v>
          </cell>
        </row>
        <row r="4263">
          <cell r="B4263">
            <v>39722</v>
          </cell>
          <cell r="C4263">
            <v>0</v>
          </cell>
          <cell r="D4263" t="str">
            <v>PHP</v>
          </cell>
          <cell r="E4263">
            <v>0</v>
          </cell>
          <cell r="F4263" t="str">
            <v>PC</v>
          </cell>
          <cell r="G4263">
            <v>0</v>
          </cell>
        </row>
        <row r="4264">
          <cell r="B4264">
            <v>39723</v>
          </cell>
          <cell r="C4264">
            <v>1731.04</v>
          </cell>
          <cell r="D4264" t="str">
            <v>PHP</v>
          </cell>
          <cell r="E4264">
            <v>5</v>
          </cell>
          <cell r="F4264" t="str">
            <v>PC</v>
          </cell>
          <cell r="G4264">
            <v>0</v>
          </cell>
        </row>
        <row r="4265">
          <cell r="B4265">
            <v>39724</v>
          </cell>
          <cell r="C4265">
            <v>0</v>
          </cell>
          <cell r="D4265" t="str">
            <v>PHP</v>
          </cell>
          <cell r="E4265">
            <v>0</v>
          </cell>
          <cell r="F4265" t="str">
            <v>PC</v>
          </cell>
          <cell r="G4265">
            <v>0</v>
          </cell>
        </row>
        <row r="4266">
          <cell r="B4266">
            <v>39725</v>
          </cell>
          <cell r="C4266">
            <v>0</v>
          </cell>
          <cell r="D4266" t="str">
            <v>PHP</v>
          </cell>
          <cell r="E4266">
            <v>0</v>
          </cell>
          <cell r="F4266" t="str">
            <v>PC</v>
          </cell>
          <cell r="G4266">
            <v>0</v>
          </cell>
        </row>
        <row r="4267">
          <cell r="B4267">
            <v>39726</v>
          </cell>
          <cell r="C4267">
            <v>0</v>
          </cell>
          <cell r="D4267" t="str">
            <v>PHP</v>
          </cell>
          <cell r="E4267">
            <v>0</v>
          </cell>
          <cell r="F4267" t="str">
            <v>PC</v>
          </cell>
          <cell r="G4267">
            <v>0</v>
          </cell>
        </row>
        <row r="4268">
          <cell r="B4268">
            <v>39727</v>
          </cell>
          <cell r="C4268">
            <v>764.4</v>
          </cell>
          <cell r="D4268" t="str">
            <v>PHP</v>
          </cell>
          <cell r="E4268">
            <v>21</v>
          </cell>
          <cell r="F4268" t="str">
            <v>PC</v>
          </cell>
          <cell r="G4268">
            <v>0</v>
          </cell>
        </row>
        <row r="4269">
          <cell r="B4269">
            <v>39728</v>
          </cell>
          <cell r="C4269">
            <v>6181.48</v>
          </cell>
          <cell r="D4269" t="str">
            <v>PHP</v>
          </cell>
          <cell r="E4269">
            <v>25</v>
          </cell>
          <cell r="F4269" t="str">
            <v>PC</v>
          </cell>
          <cell r="G4269">
            <v>0</v>
          </cell>
        </row>
        <row r="4270">
          <cell r="B4270">
            <v>39729</v>
          </cell>
          <cell r="C4270">
            <v>0</v>
          </cell>
          <cell r="D4270" t="str">
            <v>PHP</v>
          </cell>
          <cell r="E4270">
            <v>0</v>
          </cell>
          <cell r="F4270" t="str">
            <v>PC</v>
          </cell>
          <cell r="G4270">
            <v>0</v>
          </cell>
        </row>
        <row r="4271">
          <cell r="B4271">
            <v>39730</v>
          </cell>
          <cell r="C4271">
            <v>829.92</v>
          </cell>
          <cell r="D4271" t="str">
            <v>PHP</v>
          </cell>
          <cell r="E4271">
            <v>3</v>
          </cell>
          <cell r="F4271" t="str">
            <v>PC</v>
          </cell>
          <cell r="G4271">
            <v>0</v>
          </cell>
        </row>
        <row r="4272">
          <cell r="B4272">
            <v>39731</v>
          </cell>
          <cell r="C4272">
            <v>0</v>
          </cell>
          <cell r="D4272" t="str">
            <v>PHP</v>
          </cell>
          <cell r="E4272">
            <v>0</v>
          </cell>
          <cell r="F4272" t="str">
            <v>PC</v>
          </cell>
          <cell r="G4272">
            <v>0</v>
          </cell>
        </row>
        <row r="4273">
          <cell r="B4273">
            <v>39732</v>
          </cell>
          <cell r="C4273">
            <v>54984.6</v>
          </cell>
          <cell r="D4273" t="str">
            <v>PHP</v>
          </cell>
          <cell r="E4273">
            <v>9</v>
          </cell>
          <cell r="F4273" t="str">
            <v>PC</v>
          </cell>
          <cell r="G4273">
            <v>0</v>
          </cell>
        </row>
        <row r="4274">
          <cell r="B4274">
            <v>39733</v>
          </cell>
          <cell r="C4274">
            <v>4087.95</v>
          </cell>
          <cell r="D4274" t="str">
            <v>PHP</v>
          </cell>
          <cell r="E4274">
            <v>23</v>
          </cell>
          <cell r="F4274" t="str">
            <v>PC</v>
          </cell>
          <cell r="G4274">
            <v>0</v>
          </cell>
        </row>
        <row r="4275">
          <cell r="B4275">
            <v>39734</v>
          </cell>
          <cell r="C4275">
            <v>4800</v>
          </cell>
          <cell r="D4275" t="str">
            <v>PHP</v>
          </cell>
          <cell r="E4275">
            <v>32</v>
          </cell>
          <cell r="F4275" t="str">
            <v>PC</v>
          </cell>
          <cell r="G4275">
            <v>0</v>
          </cell>
        </row>
        <row r="4276">
          <cell r="B4276">
            <v>39735</v>
          </cell>
          <cell r="C4276">
            <v>1192.97</v>
          </cell>
          <cell r="D4276" t="str">
            <v>PHP</v>
          </cell>
          <cell r="E4276">
            <v>26</v>
          </cell>
          <cell r="F4276" t="str">
            <v>PC</v>
          </cell>
          <cell r="G4276">
            <v>0</v>
          </cell>
        </row>
        <row r="4277">
          <cell r="B4277">
            <v>39736</v>
          </cell>
          <cell r="C4277">
            <v>27779.47</v>
          </cell>
          <cell r="D4277" t="str">
            <v>PHP</v>
          </cell>
          <cell r="E4277">
            <v>18</v>
          </cell>
          <cell r="F4277" t="str">
            <v>PC</v>
          </cell>
          <cell r="G4277">
            <v>0</v>
          </cell>
        </row>
        <row r="4278">
          <cell r="B4278">
            <v>39738</v>
          </cell>
          <cell r="C4278">
            <v>1783.65</v>
          </cell>
          <cell r="D4278" t="str">
            <v>PHP</v>
          </cell>
          <cell r="E4278">
            <v>2</v>
          </cell>
          <cell r="F4278" t="str">
            <v>PC</v>
          </cell>
          <cell r="G4278">
            <v>0</v>
          </cell>
        </row>
        <row r="4279">
          <cell r="B4279">
            <v>39739</v>
          </cell>
          <cell r="C4279">
            <v>48691</v>
          </cell>
          <cell r="D4279" t="str">
            <v>PHP</v>
          </cell>
          <cell r="E4279">
            <v>4</v>
          </cell>
          <cell r="F4279" t="str">
            <v>PC</v>
          </cell>
          <cell r="G4279">
            <v>0</v>
          </cell>
        </row>
        <row r="4280">
          <cell r="B4280">
            <v>39740</v>
          </cell>
          <cell r="C4280">
            <v>7655.36</v>
          </cell>
          <cell r="D4280" t="str">
            <v>PHP</v>
          </cell>
          <cell r="E4280">
            <v>8</v>
          </cell>
          <cell r="F4280" t="str">
            <v>PC</v>
          </cell>
          <cell r="G4280">
            <v>0</v>
          </cell>
        </row>
        <row r="4281">
          <cell r="B4281">
            <v>39741</v>
          </cell>
          <cell r="C4281">
            <v>24131.65</v>
          </cell>
          <cell r="D4281" t="str">
            <v>PHP</v>
          </cell>
          <cell r="E4281">
            <v>7</v>
          </cell>
          <cell r="F4281" t="str">
            <v>PC</v>
          </cell>
          <cell r="G4281">
            <v>0</v>
          </cell>
        </row>
        <row r="4282">
          <cell r="B4282">
            <v>39742</v>
          </cell>
          <cell r="C4282">
            <v>19083.599999999999</v>
          </cell>
          <cell r="D4282" t="str">
            <v>PHP</v>
          </cell>
          <cell r="E4282">
            <v>31</v>
          </cell>
          <cell r="F4282" t="str">
            <v>PC</v>
          </cell>
          <cell r="G4282">
            <v>0</v>
          </cell>
        </row>
        <row r="4283">
          <cell r="B4283">
            <v>39743</v>
          </cell>
          <cell r="C4283">
            <v>59551.13</v>
          </cell>
          <cell r="D4283" t="str">
            <v>PHP</v>
          </cell>
          <cell r="E4283">
            <v>8</v>
          </cell>
          <cell r="F4283" t="str">
            <v>PC</v>
          </cell>
          <cell r="G4283">
            <v>0</v>
          </cell>
        </row>
        <row r="4284">
          <cell r="B4284">
            <v>39745</v>
          </cell>
          <cell r="C4284">
            <v>0</v>
          </cell>
          <cell r="D4284" t="str">
            <v>PHP</v>
          </cell>
          <cell r="E4284">
            <v>0</v>
          </cell>
          <cell r="F4284" t="str">
            <v>PC</v>
          </cell>
          <cell r="G4284">
            <v>0</v>
          </cell>
        </row>
        <row r="4285">
          <cell r="B4285">
            <v>39746</v>
          </cell>
          <cell r="C4285">
            <v>589907.16</v>
          </cell>
          <cell r="D4285" t="str">
            <v>PHP</v>
          </cell>
          <cell r="E4285">
            <v>12</v>
          </cell>
          <cell r="F4285" t="str">
            <v>PC</v>
          </cell>
          <cell r="G4285">
            <v>0</v>
          </cell>
        </row>
        <row r="4286">
          <cell r="B4286">
            <v>39747</v>
          </cell>
          <cell r="C4286">
            <v>17684.29</v>
          </cell>
          <cell r="D4286" t="str">
            <v>PHP</v>
          </cell>
          <cell r="E4286">
            <v>6</v>
          </cell>
          <cell r="F4286" t="str">
            <v>PC</v>
          </cell>
          <cell r="G4286">
            <v>0</v>
          </cell>
        </row>
        <row r="4287">
          <cell r="B4287">
            <v>39753</v>
          </cell>
          <cell r="C4287">
            <v>164375.13</v>
          </cell>
          <cell r="D4287" t="str">
            <v>PHP</v>
          </cell>
          <cell r="E4287">
            <v>6</v>
          </cell>
          <cell r="F4287" t="str">
            <v>PC</v>
          </cell>
          <cell r="G4287">
            <v>0</v>
          </cell>
        </row>
        <row r="4288">
          <cell r="B4288">
            <v>39754</v>
          </cell>
          <cell r="C4288">
            <v>458</v>
          </cell>
          <cell r="D4288" t="str">
            <v>PHP</v>
          </cell>
          <cell r="E4288">
            <v>4</v>
          </cell>
          <cell r="F4288" t="str">
            <v>PC</v>
          </cell>
          <cell r="G4288">
            <v>0</v>
          </cell>
        </row>
        <row r="4289">
          <cell r="B4289">
            <v>39755</v>
          </cell>
          <cell r="C4289">
            <v>53082.02</v>
          </cell>
          <cell r="D4289" t="str">
            <v>PHP</v>
          </cell>
          <cell r="E4289">
            <v>42</v>
          </cell>
          <cell r="F4289" t="str">
            <v>PC</v>
          </cell>
          <cell r="G4289">
            <v>0</v>
          </cell>
        </row>
        <row r="4290">
          <cell r="B4290">
            <v>39756</v>
          </cell>
          <cell r="C4290">
            <v>0</v>
          </cell>
          <cell r="D4290" t="str">
            <v>PHP</v>
          </cell>
          <cell r="E4290">
            <v>0</v>
          </cell>
          <cell r="F4290" t="str">
            <v>PC</v>
          </cell>
          <cell r="G4290">
            <v>0</v>
          </cell>
        </row>
        <row r="4291">
          <cell r="B4291">
            <v>39757</v>
          </cell>
          <cell r="C4291">
            <v>1685.54</v>
          </cell>
          <cell r="D4291" t="str">
            <v>PHP</v>
          </cell>
          <cell r="E4291">
            <v>12</v>
          </cell>
          <cell r="F4291" t="str">
            <v>PC</v>
          </cell>
          <cell r="G4291">
            <v>0</v>
          </cell>
        </row>
        <row r="4292">
          <cell r="B4292">
            <v>39758</v>
          </cell>
          <cell r="C4292">
            <v>680</v>
          </cell>
          <cell r="D4292" t="str">
            <v>PHP</v>
          </cell>
          <cell r="E4292">
            <v>8</v>
          </cell>
          <cell r="F4292" t="str">
            <v>PC</v>
          </cell>
          <cell r="G4292">
            <v>0</v>
          </cell>
        </row>
        <row r="4293">
          <cell r="B4293">
            <v>39762</v>
          </cell>
          <cell r="C4293">
            <v>2752.86</v>
          </cell>
          <cell r="D4293" t="str">
            <v>PHP</v>
          </cell>
          <cell r="E4293">
            <v>8</v>
          </cell>
          <cell r="F4293" t="str">
            <v>PC</v>
          </cell>
          <cell r="G4293">
            <v>0</v>
          </cell>
        </row>
        <row r="4294">
          <cell r="B4294">
            <v>39763</v>
          </cell>
          <cell r="C4294">
            <v>408.1</v>
          </cell>
          <cell r="D4294" t="str">
            <v>PHP</v>
          </cell>
          <cell r="E4294">
            <v>6</v>
          </cell>
          <cell r="F4294" t="str">
            <v>PC</v>
          </cell>
          <cell r="G4294">
            <v>0</v>
          </cell>
        </row>
        <row r="4295">
          <cell r="B4295">
            <v>39764</v>
          </cell>
          <cell r="C4295">
            <v>1150.3399999999999</v>
          </cell>
          <cell r="D4295" t="str">
            <v>PHP</v>
          </cell>
          <cell r="E4295">
            <v>9</v>
          </cell>
          <cell r="F4295" t="str">
            <v>PC</v>
          </cell>
          <cell r="G4295">
            <v>0</v>
          </cell>
        </row>
        <row r="4296">
          <cell r="B4296">
            <v>39766</v>
          </cell>
          <cell r="C4296">
            <v>83912.639999999999</v>
          </cell>
          <cell r="D4296" t="str">
            <v>PHP</v>
          </cell>
          <cell r="E4296">
            <v>6</v>
          </cell>
          <cell r="F4296" t="str">
            <v>PC</v>
          </cell>
          <cell r="G4296">
            <v>0</v>
          </cell>
        </row>
        <row r="4297">
          <cell r="B4297">
            <v>39767</v>
          </cell>
          <cell r="C4297">
            <v>71.25</v>
          </cell>
          <cell r="D4297" t="str">
            <v>PHP</v>
          </cell>
          <cell r="E4297">
            <v>3</v>
          </cell>
          <cell r="F4297" t="str">
            <v>PC</v>
          </cell>
          <cell r="G4297">
            <v>0</v>
          </cell>
        </row>
        <row r="4298">
          <cell r="B4298">
            <v>39768</v>
          </cell>
          <cell r="C4298">
            <v>188.45</v>
          </cell>
          <cell r="D4298" t="str">
            <v>PHP</v>
          </cell>
          <cell r="E4298">
            <v>8</v>
          </cell>
          <cell r="F4298" t="str">
            <v>PC</v>
          </cell>
          <cell r="G4298">
            <v>0</v>
          </cell>
        </row>
        <row r="4299">
          <cell r="B4299">
            <v>39769</v>
          </cell>
          <cell r="C4299">
            <v>984.42</v>
          </cell>
          <cell r="D4299" t="str">
            <v>PHP</v>
          </cell>
          <cell r="E4299">
            <v>14</v>
          </cell>
          <cell r="F4299" t="str">
            <v>PC</v>
          </cell>
          <cell r="G4299">
            <v>0</v>
          </cell>
        </row>
        <row r="4300">
          <cell r="B4300">
            <v>39770</v>
          </cell>
          <cell r="C4300">
            <v>247</v>
          </cell>
          <cell r="D4300" t="str">
            <v>PHP</v>
          </cell>
          <cell r="E4300">
            <v>1</v>
          </cell>
          <cell r="F4300" t="str">
            <v>PC</v>
          </cell>
          <cell r="G4300">
            <v>0</v>
          </cell>
        </row>
        <row r="4301">
          <cell r="B4301">
            <v>39771</v>
          </cell>
          <cell r="C4301">
            <v>6564.52</v>
          </cell>
          <cell r="D4301" t="str">
            <v>PHP</v>
          </cell>
          <cell r="E4301">
            <v>30</v>
          </cell>
          <cell r="F4301" t="str">
            <v>PC</v>
          </cell>
          <cell r="G4301">
            <v>0</v>
          </cell>
        </row>
        <row r="4302">
          <cell r="B4302">
            <v>39775</v>
          </cell>
          <cell r="C4302">
            <v>8276.26</v>
          </cell>
          <cell r="D4302" t="str">
            <v>PHP</v>
          </cell>
          <cell r="E4302">
            <v>18</v>
          </cell>
          <cell r="F4302" t="str">
            <v>PC</v>
          </cell>
          <cell r="G4302">
            <v>0</v>
          </cell>
        </row>
        <row r="4303">
          <cell r="B4303">
            <v>39776</v>
          </cell>
          <cell r="C4303">
            <v>0</v>
          </cell>
          <cell r="D4303" t="str">
            <v>PHP</v>
          </cell>
          <cell r="E4303">
            <v>0</v>
          </cell>
          <cell r="F4303" t="str">
            <v>PC</v>
          </cell>
          <cell r="G4303">
            <v>0</v>
          </cell>
        </row>
        <row r="4304">
          <cell r="B4304">
            <v>39777</v>
          </cell>
          <cell r="C4304">
            <v>5041.3500000000004</v>
          </cell>
          <cell r="D4304" t="str">
            <v>PHP</v>
          </cell>
          <cell r="E4304">
            <v>6</v>
          </cell>
          <cell r="F4304" t="str">
            <v>PC</v>
          </cell>
          <cell r="G4304">
            <v>0</v>
          </cell>
        </row>
        <row r="4305">
          <cell r="B4305">
            <v>39778</v>
          </cell>
          <cell r="C4305">
            <v>0</v>
          </cell>
          <cell r="D4305" t="str">
            <v>PHP</v>
          </cell>
          <cell r="E4305">
            <v>0</v>
          </cell>
          <cell r="F4305" t="str">
            <v>PC</v>
          </cell>
          <cell r="G4305">
            <v>0</v>
          </cell>
        </row>
        <row r="4306">
          <cell r="B4306">
            <v>39779</v>
          </cell>
          <cell r="C4306">
            <v>263850.09000000003</v>
          </cell>
          <cell r="D4306" t="str">
            <v>PHP</v>
          </cell>
          <cell r="E4306">
            <v>3</v>
          </cell>
          <cell r="F4306" t="str">
            <v>PC</v>
          </cell>
          <cell r="G4306">
            <v>0</v>
          </cell>
        </row>
        <row r="4307">
          <cell r="B4307">
            <v>39782</v>
          </cell>
          <cell r="C4307">
            <v>913.5</v>
          </cell>
          <cell r="D4307" t="str">
            <v>PHP</v>
          </cell>
          <cell r="E4307">
            <v>12</v>
          </cell>
          <cell r="F4307" t="str">
            <v>PC</v>
          </cell>
          <cell r="G4307">
            <v>0</v>
          </cell>
        </row>
        <row r="4308">
          <cell r="B4308">
            <v>39786</v>
          </cell>
          <cell r="C4308">
            <v>1763.68</v>
          </cell>
          <cell r="D4308" t="str">
            <v>PHP</v>
          </cell>
          <cell r="E4308">
            <v>2</v>
          </cell>
          <cell r="F4308" t="str">
            <v>PC</v>
          </cell>
          <cell r="G4308">
            <v>0</v>
          </cell>
        </row>
        <row r="4309">
          <cell r="B4309">
            <v>39787</v>
          </cell>
          <cell r="C4309">
            <v>1513.4</v>
          </cell>
          <cell r="D4309" t="str">
            <v>PHP</v>
          </cell>
          <cell r="E4309">
            <v>27</v>
          </cell>
          <cell r="F4309" t="str">
            <v>PC</v>
          </cell>
          <cell r="G4309">
            <v>0</v>
          </cell>
        </row>
        <row r="4310">
          <cell r="B4310">
            <v>39788</v>
          </cell>
          <cell r="C4310">
            <v>3793.94</v>
          </cell>
          <cell r="D4310" t="str">
            <v>PHP</v>
          </cell>
          <cell r="E4310">
            <v>10</v>
          </cell>
          <cell r="F4310" t="str">
            <v>PC</v>
          </cell>
          <cell r="G4310">
            <v>0</v>
          </cell>
        </row>
        <row r="4311">
          <cell r="B4311">
            <v>39789</v>
          </cell>
          <cell r="C4311">
            <v>34314.97</v>
          </cell>
          <cell r="D4311" t="str">
            <v>PHP</v>
          </cell>
          <cell r="E4311">
            <v>15</v>
          </cell>
          <cell r="F4311" t="str">
            <v>PC</v>
          </cell>
          <cell r="G4311">
            <v>0</v>
          </cell>
        </row>
        <row r="4312">
          <cell r="B4312">
            <v>39790</v>
          </cell>
          <cell r="C4312">
            <v>7863</v>
          </cell>
          <cell r="D4312" t="str">
            <v>PHP</v>
          </cell>
          <cell r="E4312">
            <v>18</v>
          </cell>
          <cell r="F4312" t="str">
            <v>PC</v>
          </cell>
          <cell r="G4312">
            <v>0</v>
          </cell>
        </row>
        <row r="4313">
          <cell r="B4313">
            <v>39791</v>
          </cell>
          <cell r="C4313">
            <v>0</v>
          </cell>
          <cell r="D4313" t="str">
            <v>PHP</v>
          </cell>
          <cell r="E4313">
            <v>0</v>
          </cell>
          <cell r="F4313" t="str">
            <v>PC</v>
          </cell>
          <cell r="G4313">
            <v>0</v>
          </cell>
        </row>
        <row r="4314">
          <cell r="B4314">
            <v>39792</v>
          </cell>
          <cell r="C4314">
            <v>7728.8</v>
          </cell>
          <cell r="D4314" t="str">
            <v>PHP</v>
          </cell>
          <cell r="E4314">
            <v>12</v>
          </cell>
          <cell r="F4314" t="str">
            <v>PC</v>
          </cell>
          <cell r="G4314">
            <v>0</v>
          </cell>
        </row>
        <row r="4315">
          <cell r="B4315">
            <v>39793</v>
          </cell>
          <cell r="C4315">
            <v>1767.16</v>
          </cell>
          <cell r="D4315" t="str">
            <v>PHP</v>
          </cell>
          <cell r="E4315">
            <v>2</v>
          </cell>
          <cell r="F4315" t="str">
            <v>PC</v>
          </cell>
          <cell r="G4315">
            <v>0</v>
          </cell>
        </row>
        <row r="4316">
          <cell r="B4316">
            <v>39794</v>
          </cell>
          <cell r="C4316">
            <v>40375</v>
          </cell>
          <cell r="D4316" t="str">
            <v>PHP</v>
          </cell>
          <cell r="E4316">
            <v>10</v>
          </cell>
          <cell r="F4316" t="str">
            <v>PC</v>
          </cell>
          <cell r="G4316">
            <v>0</v>
          </cell>
        </row>
        <row r="4317">
          <cell r="B4317">
            <v>39796</v>
          </cell>
          <cell r="C4317">
            <v>0</v>
          </cell>
          <cell r="D4317" t="str">
            <v>PHP</v>
          </cell>
          <cell r="E4317">
            <v>0</v>
          </cell>
          <cell r="F4317" t="str">
            <v>PC</v>
          </cell>
          <cell r="G4317">
            <v>0</v>
          </cell>
        </row>
        <row r="4318">
          <cell r="B4318">
            <v>39797</v>
          </cell>
          <cell r="C4318">
            <v>64149.67</v>
          </cell>
          <cell r="D4318" t="str">
            <v>PHP</v>
          </cell>
          <cell r="E4318">
            <v>1</v>
          </cell>
          <cell r="F4318" t="str">
            <v>PC</v>
          </cell>
          <cell r="G4318">
            <v>0</v>
          </cell>
        </row>
        <row r="4319">
          <cell r="B4319">
            <v>39798</v>
          </cell>
          <cell r="C4319">
            <v>64149.68</v>
          </cell>
          <cell r="D4319" t="str">
            <v>PHP</v>
          </cell>
          <cell r="E4319">
            <v>1</v>
          </cell>
          <cell r="F4319" t="str">
            <v>PC</v>
          </cell>
          <cell r="G4319">
            <v>0</v>
          </cell>
        </row>
        <row r="4320">
          <cell r="B4320">
            <v>39800</v>
          </cell>
          <cell r="C4320">
            <v>2576.77</v>
          </cell>
          <cell r="D4320" t="str">
            <v>PHP</v>
          </cell>
          <cell r="E4320">
            <v>25</v>
          </cell>
          <cell r="F4320" t="str">
            <v>PC</v>
          </cell>
          <cell r="G4320">
            <v>0</v>
          </cell>
        </row>
        <row r="4321">
          <cell r="B4321">
            <v>39801</v>
          </cell>
          <cell r="C4321">
            <v>359.86</v>
          </cell>
          <cell r="D4321" t="str">
            <v>PHP</v>
          </cell>
          <cell r="E4321">
            <v>11</v>
          </cell>
          <cell r="F4321" t="str">
            <v>PC</v>
          </cell>
          <cell r="G4321">
            <v>0</v>
          </cell>
        </row>
        <row r="4322">
          <cell r="B4322">
            <v>39802</v>
          </cell>
          <cell r="C4322">
            <v>1499.94</v>
          </cell>
          <cell r="D4322" t="str">
            <v>PHP</v>
          </cell>
          <cell r="E4322">
            <v>35</v>
          </cell>
          <cell r="F4322" t="str">
            <v>PC</v>
          </cell>
          <cell r="G4322">
            <v>0</v>
          </cell>
        </row>
        <row r="4323">
          <cell r="B4323">
            <v>39847</v>
          </cell>
          <cell r="C4323">
            <v>32550.62</v>
          </cell>
          <cell r="D4323" t="str">
            <v>PHP</v>
          </cell>
          <cell r="E4323">
            <v>7</v>
          </cell>
          <cell r="F4323" t="str">
            <v>PC</v>
          </cell>
          <cell r="G4323">
            <v>0</v>
          </cell>
        </row>
        <row r="4324">
          <cell r="B4324">
            <v>39848</v>
          </cell>
          <cell r="C4324">
            <v>6005.92</v>
          </cell>
          <cell r="D4324" t="str">
            <v>PHP</v>
          </cell>
          <cell r="E4324">
            <v>1</v>
          </cell>
          <cell r="F4324" t="str">
            <v>PC</v>
          </cell>
          <cell r="G4324">
            <v>0</v>
          </cell>
        </row>
        <row r="4325">
          <cell r="B4325">
            <v>39849</v>
          </cell>
          <cell r="C4325">
            <v>4924.8</v>
          </cell>
          <cell r="D4325" t="str">
            <v>PHP</v>
          </cell>
          <cell r="E4325">
            <v>16</v>
          </cell>
          <cell r="F4325" t="str">
            <v>PC</v>
          </cell>
          <cell r="G4325">
            <v>0</v>
          </cell>
        </row>
        <row r="4326">
          <cell r="B4326">
            <v>39850</v>
          </cell>
          <cell r="C4326">
            <v>11279.47</v>
          </cell>
          <cell r="D4326" t="str">
            <v>PHP</v>
          </cell>
          <cell r="E4326">
            <v>24</v>
          </cell>
          <cell r="F4326" t="str">
            <v>PC</v>
          </cell>
          <cell r="G4326">
            <v>0</v>
          </cell>
        </row>
        <row r="4327">
          <cell r="B4327">
            <v>39852</v>
          </cell>
          <cell r="C4327">
            <v>34871.519999999997</v>
          </cell>
          <cell r="D4327" t="str">
            <v>PHP</v>
          </cell>
          <cell r="E4327">
            <v>4</v>
          </cell>
          <cell r="F4327" t="str">
            <v>PC</v>
          </cell>
          <cell r="G4327">
            <v>0</v>
          </cell>
        </row>
        <row r="4328">
          <cell r="B4328">
            <v>39854</v>
          </cell>
          <cell r="C4328">
            <v>0</v>
          </cell>
          <cell r="D4328" t="str">
            <v>PHP</v>
          </cell>
          <cell r="E4328">
            <v>0</v>
          </cell>
          <cell r="F4328" t="str">
            <v>PC</v>
          </cell>
          <cell r="G4328">
            <v>0</v>
          </cell>
        </row>
        <row r="4329">
          <cell r="B4329">
            <v>39855</v>
          </cell>
          <cell r="C4329">
            <v>4118</v>
          </cell>
          <cell r="D4329" t="str">
            <v>PHP</v>
          </cell>
          <cell r="E4329">
            <v>5</v>
          </cell>
          <cell r="F4329" t="str">
            <v>PC</v>
          </cell>
          <cell r="G4329">
            <v>0</v>
          </cell>
        </row>
        <row r="4330">
          <cell r="B4330">
            <v>39856</v>
          </cell>
          <cell r="C4330">
            <v>0</v>
          </cell>
          <cell r="D4330" t="str">
            <v>PHP</v>
          </cell>
          <cell r="E4330">
            <v>0</v>
          </cell>
          <cell r="F4330" t="str">
            <v>PC</v>
          </cell>
          <cell r="G4330">
            <v>0</v>
          </cell>
        </row>
        <row r="4331">
          <cell r="B4331">
            <v>39857</v>
          </cell>
          <cell r="C4331">
            <v>7785.41</v>
          </cell>
          <cell r="D4331" t="str">
            <v>PHP</v>
          </cell>
          <cell r="E4331">
            <v>12</v>
          </cell>
          <cell r="F4331" t="str">
            <v>PC</v>
          </cell>
          <cell r="G4331">
            <v>0</v>
          </cell>
        </row>
        <row r="4332">
          <cell r="B4332">
            <v>39858</v>
          </cell>
          <cell r="C4332">
            <v>39234.07</v>
          </cell>
          <cell r="D4332" t="str">
            <v>PHP</v>
          </cell>
          <cell r="E4332">
            <v>24</v>
          </cell>
          <cell r="F4332" t="str">
            <v>PC</v>
          </cell>
          <cell r="G4332">
            <v>0</v>
          </cell>
        </row>
        <row r="4333">
          <cell r="B4333">
            <v>39859</v>
          </cell>
          <cell r="C4333">
            <v>0</v>
          </cell>
          <cell r="D4333" t="str">
            <v>PHP</v>
          </cell>
          <cell r="E4333">
            <v>0</v>
          </cell>
          <cell r="F4333" t="str">
            <v>PC</v>
          </cell>
          <cell r="G4333">
            <v>0</v>
          </cell>
        </row>
        <row r="4334">
          <cell r="B4334">
            <v>39862</v>
          </cell>
          <cell r="C4334">
            <v>87000</v>
          </cell>
          <cell r="D4334" t="str">
            <v>PHP</v>
          </cell>
          <cell r="E4334">
            <v>6</v>
          </cell>
          <cell r="F4334" t="str">
            <v>PC</v>
          </cell>
          <cell r="G4334">
            <v>0</v>
          </cell>
        </row>
        <row r="4335">
          <cell r="B4335">
            <v>39863</v>
          </cell>
          <cell r="C4335">
            <v>10897.69</v>
          </cell>
          <cell r="D4335" t="str">
            <v>PHP</v>
          </cell>
          <cell r="E4335">
            <v>1</v>
          </cell>
          <cell r="F4335" t="str">
            <v>PC</v>
          </cell>
          <cell r="G4335">
            <v>0</v>
          </cell>
        </row>
        <row r="4336">
          <cell r="B4336">
            <v>39864</v>
          </cell>
          <cell r="C4336">
            <v>38000</v>
          </cell>
          <cell r="D4336" t="str">
            <v>PHP</v>
          </cell>
          <cell r="E4336">
            <v>4</v>
          </cell>
          <cell r="F4336" t="str">
            <v>PC</v>
          </cell>
          <cell r="G4336">
            <v>0</v>
          </cell>
        </row>
        <row r="4337">
          <cell r="B4337">
            <v>39865</v>
          </cell>
          <cell r="C4337">
            <v>168904.45</v>
          </cell>
          <cell r="D4337" t="str">
            <v>PHP</v>
          </cell>
          <cell r="E4337">
            <v>5</v>
          </cell>
          <cell r="F4337" t="str">
            <v>PC</v>
          </cell>
          <cell r="G4337">
            <v>0</v>
          </cell>
        </row>
        <row r="4338">
          <cell r="B4338">
            <v>39868</v>
          </cell>
          <cell r="C4338">
            <v>2774.89</v>
          </cell>
          <cell r="D4338" t="str">
            <v>PHP</v>
          </cell>
          <cell r="E4338">
            <v>8</v>
          </cell>
          <cell r="F4338" t="str">
            <v>PC</v>
          </cell>
          <cell r="G4338">
            <v>0</v>
          </cell>
        </row>
        <row r="4339">
          <cell r="B4339">
            <v>39874</v>
          </cell>
          <cell r="C4339">
            <v>5797.26</v>
          </cell>
          <cell r="D4339" t="str">
            <v>PHP</v>
          </cell>
          <cell r="E4339">
            <v>6</v>
          </cell>
          <cell r="F4339" t="str">
            <v>PC</v>
          </cell>
          <cell r="G4339">
            <v>0</v>
          </cell>
        </row>
        <row r="4340">
          <cell r="B4340">
            <v>39886</v>
          </cell>
          <cell r="C4340">
            <v>166831.47</v>
          </cell>
          <cell r="D4340" t="str">
            <v>PHP</v>
          </cell>
          <cell r="E4340">
            <v>4</v>
          </cell>
          <cell r="F4340" t="str">
            <v>PC</v>
          </cell>
          <cell r="G4340">
            <v>0</v>
          </cell>
        </row>
        <row r="4341">
          <cell r="B4341">
            <v>39890</v>
          </cell>
          <cell r="C4341">
            <v>0</v>
          </cell>
          <cell r="D4341" t="str">
            <v>PHP</v>
          </cell>
          <cell r="E4341">
            <v>0</v>
          </cell>
          <cell r="F4341" t="str">
            <v>PC</v>
          </cell>
          <cell r="G4341">
            <v>0</v>
          </cell>
        </row>
        <row r="4342">
          <cell r="B4342">
            <v>39891</v>
          </cell>
          <cell r="C4342">
            <v>5711.56</v>
          </cell>
          <cell r="D4342" t="str">
            <v>PHP</v>
          </cell>
          <cell r="E4342">
            <v>5</v>
          </cell>
          <cell r="F4342" t="str">
            <v>PC</v>
          </cell>
          <cell r="G4342">
            <v>0</v>
          </cell>
        </row>
        <row r="4343">
          <cell r="B4343">
            <v>39893</v>
          </cell>
          <cell r="C4343">
            <v>0</v>
          </cell>
          <cell r="D4343" t="str">
            <v>PHP</v>
          </cell>
          <cell r="E4343">
            <v>0</v>
          </cell>
          <cell r="F4343" t="str">
            <v>PC</v>
          </cell>
          <cell r="G4343">
            <v>0</v>
          </cell>
        </row>
        <row r="4344">
          <cell r="B4344">
            <v>39894</v>
          </cell>
          <cell r="C4344">
            <v>58156.95</v>
          </cell>
          <cell r="D4344" t="str">
            <v>PHP</v>
          </cell>
          <cell r="E4344">
            <v>8</v>
          </cell>
          <cell r="F4344" t="str">
            <v>PC</v>
          </cell>
          <cell r="G4344">
            <v>0</v>
          </cell>
        </row>
        <row r="4345">
          <cell r="B4345">
            <v>39895</v>
          </cell>
          <cell r="C4345">
            <v>21213.96</v>
          </cell>
          <cell r="D4345" t="str">
            <v>PHP</v>
          </cell>
          <cell r="E4345">
            <v>3</v>
          </cell>
          <cell r="F4345" t="str">
            <v>PC</v>
          </cell>
          <cell r="G4345">
            <v>0</v>
          </cell>
        </row>
        <row r="4346">
          <cell r="B4346">
            <v>39896</v>
          </cell>
          <cell r="C4346">
            <v>147135.18</v>
          </cell>
          <cell r="D4346" t="str">
            <v>PHP</v>
          </cell>
          <cell r="E4346">
            <v>6</v>
          </cell>
          <cell r="F4346" t="str">
            <v>PC</v>
          </cell>
          <cell r="G4346">
            <v>0</v>
          </cell>
        </row>
        <row r="4347">
          <cell r="B4347">
            <v>39897</v>
          </cell>
          <cell r="C4347">
            <v>82859.22</v>
          </cell>
          <cell r="D4347" t="str">
            <v>PHP</v>
          </cell>
          <cell r="E4347">
            <v>5</v>
          </cell>
          <cell r="F4347" t="str">
            <v>PC</v>
          </cell>
          <cell r="G4347">
            <v>0</v>
          </cell>
        </row>
        <row r="4348">
          <cell r="B4348">
            <v>39898</v>
          </cell>
          <cell r="C4348">
            <v>24275.22</v>
          </cell>
          <cell r="D4348" t="str">
            <v>PHP</v>
          </cell>
          <cell r="E4348">
            <v>3</v>
          </cell>
          <cell r="F4348" t="str">
            <v>PC</v>
          </cell>
          <cell r="G4348">
            <v>0</v>
          </cell>
        </row>
        <row r="4349">
          <cell r="B4349">
            <v>39899</v>
          </cell>
          <cell r="C4349">
            <v>0</v>
          </cell>
          <cell r="D4349" t="str">
            <v>PHP</v>
          </cell>
          <cell r="E4349">
            <v>0</v>
          </cell>
          <cell r="F4349" t="str">
            <v>PC</v>
          </cell>
          <cell r="G4349">
            <v>0</v>
          </cell>
        </row>
        <row r="4350">
          <cell r="B4350">
            <v>39900</v>
          </cell>
          <cell r="C4350">
            <v>15474.86</v>
          </cell>
          <cell r="D4350" t="str">
            <v>PHP</v>
          </cell>
          <cell r="E4350">
            <v>1</v>
          </cell>
          <cell r="F4350" t="str">
            <v>PC</v>
          </cell>
          <cell r="G4350">
            <v>0</v>
          </cell>
        </row>
        <row r="4351">
          <cell r="B4351">
            <v>39901</v>
          </cell>
          <cell r="C4351">
            <v>67632.490000000005</v>
          </cell>
          <cell r="D4351" t="str">
            <v>PHP</v>
          </cell>
          <cell r="E4351">
            <v>2</v>
          </cell>
          <cell r="F4351" t="str">
            <v>PC</v>
          </cell>
          <cell r="G4351">
            <v>0</v>
          </cell>
        </row>
        <row r="4352">
          <cell r="B4352">
            <v>39903</v>
          </cell>
          <cell r="C4352">
            <v>6029.04</v>
          </cell>
          <cell r="D4352" t="str">
            <v>PHP</v>
          </cell>
          <cell r="E4352">
            <v>1</v>
          </cell>
          <cell r="F4352" t="str">
            <v>PC</v>
          </cell>
          <cell r="G4352">
            <v>0</v>
          </cell>
        </row>
        <row r="4353">
          <cell r="B4353">
            <v>39904</v>
          </cell>
          <cell r="C4353">
            <v>12504.12</v>
          </cell>
          <cell r="D4353" t="str">
            <v>PHP</v>
          </cell>
          <cell r="E4353">
            <v>2</v>
          </cell>
          <cell r="F4353" t="str">
            <v>PC</v>
          </cell>
          <cell r="G4353">
            <v>0</v>
          </cell>
        </row>
        <row r="4354">
          <cell r="B4354">
            <v>39905</v>
          </cell>
          <cell r="C4354">
            <v>17487.75</v>
          </cell>
          <cell r="D4354" t="str">
            <v>PHP</v>
          </cell>
          <cell r="E4354">
            <v>6</v>
          </cell>
          <cell r="F4354" t="str">
            <v>PC</v>
          </cell>
          <cell r="G4354">
            <v>0</v>
          </cell>
        </row>
        <row r="4355">
          <cell r="B4355">
            <v>39906</v>
          </cell>
          <cell r="C4355">
            <v>51730.86</v>
          </cell>
          <cell r="D4355" t="str">
            <v>PHP</v>
          </cell>
          <cell r="E4355">
            <v>6</v>
          </cell>
          <cell r="F4355" t="str">
            <v>PC</v>
          </cell>
          <cell r="G4355">
            <v>0</v>
          </cell>
        </row>
        <row r="4356">
          <cell r="B4356">
            <v>39907</v>
          </cell>
          <cell r="C4356">
            <v>10746.51</v>
          </cell>
          <cell r="D4356" t="str">
            <v>PHP</v>
          </cell>
          <cell r="E4356">
            <v>4</v>
          </cell>
          <cell r="F4356" t="str">
            <v>PC</v>
          </cell>
          <cell r="G4356">
            <v>0</v>
          </cell>
        </row>
        <row r="4357">
          <cell r="B4357">
            <v>39908</v>
          </cell>
          <cell r="C4357">
            <v>35908.86</v>
          </cell>
          <cell r="D4357" t="str">
            <v>PHP</v>
          </cell>
          <cell r="E4357">
            <v>12</v>
          </cell>
          <cell r="F4357" t="str">
            <v>PC</v>
          </cell>
          <cell r="G4357">
            <v>0</v>
          </cell>
        </row>
        <row r="4358">
          <cell r="B4358">
            <v>39909</v>
          </cell>
          <cell r="C4358">
            <v>37292.6</v>
          </cell>
          <cell r="D4358" t="str">
            <v>PHP</v>
          </cell>
          <cell r="E4358">
            <v>10</v>
          </cell>
          <cell r="F4358" t="str">
            <v>PC</v>
          </cell>
          <cell r="G4358">
            <v>0</v>
          </cell>
        </row>
        <row r="4359">
          <cell r="B4359">
            <v>39910</v>
          </cell>
          <cell r="C4359">
            <v>40161.42</v>
          </cell>
          <cell r="D4359" t="str">
            <v>PHP</v>
          </cell>
          <cell r="E4359">
            <v>3</v>
          </cell>
          <cell r="F4359" t="str">
            <v>PC</v>
          </cell>
          <cell r="G4359">
            <v>0</v>
          </cell>
        </row>
        <row r="4360">
          <cell r="B4360">
            <v>39912</v>
          </cell>
          <cell r="C4360">
            <v>28774.68</v>
          </cell>
          <cell r="D4360" t="str">
            <v>PHP</v>
          </cell>
          <cell r="E4360">
            <v>2</v>
          </cell>
          <cell r="F4360" t="str">
            <v>PC</v>
          </cell>
          <cell r="G4360">
            <v>0</v>
          </cell>
        </row>
        <row r="4361">
          <cell r="B4361">
            <v>39913</v>
          </cell>
          <cell r="C4361">
            <v>0</v>
          </cell>
          <cell r="D4361" t="str">
            <v>PHP</v>
          </cell>
          <cell r="E4361">
            <v>0</v>
          </cell>
          <cell r="F4361" t="str">
            <v>PC</v>
          </cell>
          <cell r="G4361">
            <v>0</v>
          </cell>
        </row>
        <row r="4362">
          <cell r="B4362">
            <v>39914</v>
          </cell>
          <cell r="C4362">
            <v>7634.24</v>
          </cell>
          <cell r="D4362" t="str">
            <v>PHP</v>
          </cell>
          <cell r="E4362">
            <v>6</v>
          </cell>
          <cell r="F4362" t="str">
            <v>PC</v>
          </cell>
          <cell r="G4362">
            <v>0</v>
          </cell>
        </row>
        <row r="4363">
          <cell r="B4363">
            <v>39915</v>
          </cell>
          <cell r="C4363">
            <v>31754.74</v>
          </cell>
          <cell r="D4363" t="str">
            <v>PHP</v>
          </cell>
          <cell r="E4363">
            <v>4</v>
          </cell>
          <cell r="F4363" t="str">
            <v>PC</v>
          </cell>
          <cell r="G4363">
            <v>0</v>
          </cell>
        </row>
        <row r="4364">
          <cell r="B4364">
            <v>39916</v>
          </cell>
          <cell r="C4364">
            <v>25051.33</v>
          </cell>
          <cell r="D4364" t="str">
            <v>PHP</v>
          </cell>
          <cell r="E4364">
            <v>6</v>
          </cell>
          <cell r="F4364" t="str">
            <v>PC</v>
          </cell>
          <cell r="G4364">
            <v>0</v>
          </cell>
        </row>
        <row r="4365">
          <cell r="B4365">
            <v>39917</v>
          </cell>
          <cell r="C4365">
            <v>17597.28</v>
          </cell>
          <cell r="D4365" t="str">
            <v>PHP</v>
          </cell>
          <cell r="E4365">
            <v>4</v>
          </cell>
          <cell r="F4365" t="str">
            <v>PC</v>
          </cell>
          <cell r="G4365">
            <v>0</v>
          </cell>
        </row>
        <row r="4366">
          <cell r="B4366">
            <v>39918</v>
          </cell>
          <cell r="C4366">
            <v>15502.28</v>
          </cell>
          <cell r="D4366" t="str">
            <v>PHP</v>
          </cell>
          <cell r="E4366">
            <v>10</v>
          </cell>
          <cell r="F4366" t="str">
            <v>PC</v>
          </cell>
          <cell r="G4366">
            <v>0</v>
          </cell>
        </row>
        <row r="4367">
          <cell r="B4367">
            <v>39919</v>
          </cell>
          <cell r="C4367">
            <v>31033.599999999999</v>
          </cell>
          <cell r="D4367" t="str">
            <v>PHP</v>
          </cell>
          <cell r="E4367">
            <v>3</v>
          </cell>
          <cell r="F4367" t="str">
            <v>PC</v>
          </cell>
          <cell r="G4367">
            <v>0</v>
          </cell>
        </row>
        <row r="4368">
          <cell r="B4368">
            <v>39920</v>
          </cell>
          <cell r="C4368">
            <v>21420.76</v>
          </cell>
          <cell r="D4368" t="str">
            <v>PHP</v>
          </cell>
          <cell r="E4368">
            <v>2</v>
          </cell>
          <cell r="F4368" t="str">
            <v>PC</v>
          </cell>
          <cell r="G4368">
            <v>0</v>
          </cell>
        </row>
        <row r="4369">
          <cell r="B4369">
            <v>39921</v>
          </cell>
          <cell r="C4369">
            <v>58439.59</v>
          </cell>
          <cell r="D4369" t="str">
            <v>PHP</v>
          </cell>
          <cell r="E4369">
            <v>5</v>
          </cell>
          <cell r="F4369" t="str">
            <v>PC</v>
          </cell>
          <cell r="G4369">
            <v>0</v>
          </cell>
        </row>
        <row r="4370">
          <cell r="B4370">
            <v>39923</v>
          </cell>
          <cell r="C4370">
            <v>64639.63</v>
          </cell>
          <cell r="D4370" t="str">
            <v>PHP</v>
          </cell>
          <cell r="E4370">
            <v>5</v>
          </cell>
          <cell r="F4370" t="str">
            <v>PC</v>
          </cell>
          <cell r="G4370">
            <v>0</v>
          </cell>
        </row>
        <row r="4371">
          <cell r="B4371">
            <v>39924</v>
          </cell>
          <cell r="C4371">
            <v>62783.5</v>
          </cell>
          <cell r="D4371" t="str">
            <v>PHP</v>
          </cell>
          <cell r="E4371">
            <v>3</v>
          </cell>
          <cell r="F4371" t="str">
            <v>PC</v>
          </cell>
          <cell r="G4371">
            <v>0</v>
          </cell>
        </row>
        <row r="4372">
          <cell r="B4372">
            <v>39925</v>
          </cell>
          <cell r="C4372">
            <v>19564.71</v>
          </cell>
          <cell r="D4372" t="str">
            <v>PHP</v>
          </cell>
          <cell r="E4372">
            <v>9</v>
          </cell>
          <cell r="F4372" t="str">
            <v>PC</v>
          </cell>
          <cell r="G4372">
            <v>0</v>
          </cell>
        </row>
        <row r="4373">
          <cell r="B4373">
            <v>39927</v>
          </cell>
          <cell r="C4373">
            <v>10262.129999999999</v>
          </cell>
          <cell r="D4373" t="str">
            <v>PHP</v>
          </cell>
          <cell r="E4373">
            <v>5</v>
          </cell>
          <cell r="F4373" t="str">
            <v>PC</v>
          </cell>
          <cell r="G4373">
            <v>0</v>
          </cell>
        </row>
        <row r="4374">
          <cell r="B4374">
            <v>39931</v>
          </cell>
          <cell r="C4374">
            <v>1766.07</v>
          </cell>
          <cell r="D4374" t="str">
            <v>PHP</v>
          </cell>
          <cell r="E4374">
            <v>8</v>
          </cell>
          <cell r="F4374" t="str">
            <v>PC</v>
          </cell>
          <cell r="G4374">
            <v>0</v>
          </cell>
        </row>
        <row r="4375">
          <cell r="B4375">
            <v>39934</v>
          </cell>
          <cell r="C4375">
            <v>4042.06</v>
          </cell>
          <cell r="D4375" t="str">
            <v>PHP</v>
          </cell>
          <cell r="E4375">
            <v>21</v>
          </cell>
          <cell r="F4375" t="str">
            <v>PC</v>
          </cell>
          <cell r="G4375">
            <v>0</v>
          </cell>
        </row>
        <row r="4376">
          <cell r="B4376">
            <v>39935</v>
          </cell>
          <cell r="C4376">
            <v>9460.99</v>
          </cell>
          <cell r="D4376" t="str">
            <v>PHP</v>
          </cell>
          <cell r="E4376">
            <v>10</v>
          </cell>
          <cell r="F4376" t="str">
            <v>PC</v>
          </cell>
          <cell r="G4376">
            <v>0</v>
          </cell>
        </row>
        <row r="4377">
          <cell r="B4377">
            <v>39937</v>
          </cell>
          <cell r="C4377">
            <v>12263.71</v>
          </cell>
          <cell r="D4377" t="str">
            <v>PHP</v>
          </cell>
          <cell r="E4377">
            <v>11</v>
          </cell>
          <cell r="F4377" t="str">
            <v>PC</v>
          </cell>
          <cell r="G4377">
            <v>0</v>
          </cell>
        </row>
        <row r="4378">
          <cell r="B4378">
            <v>39938</v>
          </cell>
          <cell r="C4378">
            <v>6048.8</v>
          </cell>
          <cell r="D4378" t="str">
            <v>PHP</v>
          </cell>
          <cell r="E4378">
            <v>13</v>
          </cell>
          <cell r="F4378" t="str">
            <v>PC</v>
          </cell>
          <cell r="G4378">
            <v>0</v>
          </cell>
        </row>
        <row r="4379">
          <cell r="B4379">
            <v>39939</v>
          </cell>
          <cell r="C4379">
            <v>4747.1099999999997</v>
          </cell>
          <cell r="D4379" t="str">
            <v>PHP</v>
          </cell>
          <cell r="E4379">
            <v>8</v>
          </cell>
          <cell r="F4379" t="str">
            <v>PC</v>
          </cell>
          <cell r="G4379">
            <v>0</v>
          </cell>
        </row>
        <row r="4380">
          <cell r="B4380">
            <v>39945</v>
          </cell>
          <cell r="C4380">
            <v>79254.850000000006</v>
          </cell>
          <cell r="D4380" t="str">
            <v>PHP</v>
          </cell>
          <cell r="E4380">
            <v>4</v>
          </cell>
          <cell r="F4380" t="str">
            <v>PC</v>
          </cell>
          <cell r="G4380">
            <v>0</v>
          </cell>
        </row>
        <row r="4381">
          <cell r="B4381">
            <v>39947</v>
          </cell>
          <cell r="C4381">
            <v>51723.97</v>
          </cell>
          <cell r="D4381" t="str">
            <v>PHP</v>
          </cell>
          <cell r="E4381">
            <v>3</v>
          </cell>
          <cell r="F4381" t="str">
            <v>PC</v>
          </cell>
          <cell r="G4381">
            <v>0</v>
          </cell>
        </row>
        <row r="4382">
          <cell r="B4382">
            <v>39979</v>
          </cell>
          <cell r="C4382">
            <v>0</v>
          </cell>
          <cell r="D4382" t="str">
            <v>PHP</v>
          </cell>
          <cell r="E4382">
            <v>0</v>
          </cell>
          <cell r="F4382" t="str">
            <v>PC</v>
          </cell>
          <cell r="G4382">
            <v>0</v>
          </cell>
        </row>
        <row r="4383">
          <cell r="B4383">
            <v>39982</v>
          </cell>
          <cell r="C4383">
            <v>0</v>
          </cell>
          <cell r="D4383" t="str">
            <v>PHP</v>
          </cell>
          <cell r="E4383">
            <v>0</v>
          </cell>
          <cell r="F4383" t="str">
            <v>PC</v>
          </cell>
          <cell r="G4383">
            <v>0</v>
          </cell>
        </row>
        <row r="4384">
          <cell r="B4384">
            <v>39983</v>
          </cell>
          <cell r="C4384">
            <v>0</v>
          </cell>
          <cell r="D4384" t="str">
            <v>PHP</v>
          </cell>
          <cell r="E4384">
            <v>0</v>
          </cell>
          <cell r="F4384" t="str">
            <v>PC</v>
          </cell>
          <cell r="G4384">
            <v>0</v>
          </cell>
        </row>
        <row r="4385">
          <cell r="B4385">
            <v>39986</v>
          </cell>
          <cell r="C4385">
            <v>0</v>
          </cell>
          <cell r="D4385" t="str">
            <v>PHP</v>
          </cell>
          <cell r="E4385">
            <v>0</v>
          </cell>
          <cell r="F4385" t="str">
            <v>PC</v>
          </cell>
          <cell r="G4385">
            <v>0</v>
          </cell>
        </row>
        <row r="4386">
          <cell r="B4386">
            <v>39991</v>
          </cell>
          <cell r="C4386">
            <v>0</v>
          </cell>
          <cell r="D4386" t="str">
            <v>PHP</v>
          </cell>
          <cell r="E4386">
            <v>0</v>
          </cell>
          <cell r="F4386" t="str">
            <v>PC</v>
          </cell>
          <cell r="G4386">
            <v>0</v>
          </cell>
        </row>
        <row r="4387">
          <cell r="B4387">
            <v>40001</v>
          </cell>
          <cell r="C4387">
            <v>0</v>
          </cell>
          <cell r="D4387" t="str">
            <v>PHP</v>
          </cell>
          <cell r="E4387">
            <v>0</v>
          </cell>
          <cell r="F4387" t="str">
            <v>PC</v>
          </cell>
          <cell r="G4387">
            <v>0</v>
          </cell>
        </row>
        <row r="4388">
          <cell r="B4388">
            <v>40003</v>
          </cell>
          <cell r="C4388">
            <v>0</v>
          </cell>
          <cell r="D4388" t="str">
            <v>PHP</v>
          </cell>
          <cell r="E4388">
            <v>0</v>
          </cell>
          <cell r="F4388" t="str">
            <v>PC</v>
          </cell>
          <cell r="G4388">
            <v>0</v>
          </cell>
        </row>
        <row r="4389">
          <cell r="B4389">
            <v>40005</v>
          </cell>
          <cell r="C4389">
            <v>0</v>
          </cell>
          <cell r="D4389" t="str">
            <v>PHP</v>
          </cell>
          <cell r="E4389">
            <v>0</v>
          </cell>
          <cell r="F4389" t="str">
            <v>PC</v>
          </cell>
          <cell r="G4389">
            <v>0</v>
          </cell>
        </row>
        <row r="4390">
          <cell r="B4390">
            <v>40006</v>
          </cell>
          <cell r="C4390">
            <v>0</v>
          </cell>
          <cell r="D4390" t="str">
            <v>PHP</v>
          </cell>
          <cell r="E4390">
            <v>0</v>
          </cell>
          <cell r="F4390" t="str">
            <v>PC</v>
          </cell>
          <cell r="G4390">
            <v>0</v>
          </cell>
        </row>
        <row r="4391">
          <cell r="B4391">
            <v>40015</v>
          </cell>
          <cell r="C4391">
            <v>0</v>
          </cell>
          <cell r="D4391" t="str">
            <v>PHP</v>
          </cell>
          <cell r="E4391">
            <v>0</v>
          </cell>
          <cell r="F4391" t="str">
            <v>PC</v>
          </cell>
          <cell r="G4391">
            <v>0</v>
          </cell>
        </row>
        <row r="4392">
          <cell r="B4392">
            <v>40016</v>
          </cell>
          <cell r="C4392">
            <v>0</v>
          </cell>
          <cell r="D4392" t="str">
            <v>PHP</v>
          </cell>
          <cell r="E4392">
            <v>0</v>
          </cell>
          <cell r="F4392" t="str">
            <v>PC</v>
          </cell>
          <cell r="G4392">
            <v>0</v>
          </cell>
        </row>
        <row r="4393">
          <cell r="B4393">
            <v>40023</v>
          </cell>
          <cell r="C4393">
            <v>0</v>
          </cell>
          <cell r="D4393" t="str">
            <v>PHP</v>
          </cell>
          <cell r="E4393">
            <v>0</v>
          </cell>
          <cell r="F4393" t="str">
            <v>PC</v>
          </cell>
          <cell r="G4393">
            <v>0</v>
          </cell>
        </row>
        <row r="4394">
          <cell r="B4394">
            <v>40025</v>
          </cell>
          <cell r="C4394">
            <v>0</v>
          </cell>
          <cell r="D4394" t="str">
            <v>PHP</v>
          </cell>
          <cell r="E4394">
            <v>0</v>
          </cell>
          <cell r="F4394" t="str">
            <v>PC</v>
          </cell>
          <cell r="G4394">
            <v>0</v>
          </cell>
        </row>
        <row r="4395">
          <cell r="B4395">
            <v>40026</v>
          </cell>
          <cell r="C4395">
            <v>0</v>
          </cell>
          <cell r="D4395" t="str">
            <v>PHP</v>
          </cell>
          <cell r="E4395">
            <v>0</v>
          </cell>
          <cell r="F4395" t="str">
            <v>PC</v>
          </cell>
          <cell r="G4395">
            <v>0</v>
          </cell>
        </row>
        <row r="4396">
          <cell r="B4396">
            <v>40027</v>
          </cell>
          <cell r="C4396">
            <v>0</v>
          </cell>
          <cell r="D4396" t="str">
            <v>PHP</v>
          </cell>
          <cell r="E4396">
            <v>0</v>
          </cell>
          <cell r="F4396" t="str">
            <v>PC</v>
          </cell>
          <cell r="G4396">
            <v>0</v>
          </cell>
        </row>
        <row r="4397">
          <cell r="B4397">
            <v>40030</v>
          </cell>
          <cell r="C4397">
            <v>0</v>
          </cell>
          <cell r="D4397" t="str">
            <v>PHP</v>
          </cell>
          <cell r="E4397">
            <v>0</v>
          </cell>
          <cell r="F4397" t="str">
            <v>PC</v>
          </cell>
          <cell r="G4397">
            <v>0</v>
          </cell>
        </row>
        <row r="4398">
          <cell r="B4398">
            <v>40031</v>
          </cell>
          <cell r="C4398">
            <v>5408.86</v>
          </cell>
          <cell r="D4398" t="str">
            <v>PHP</v>
          </cell>
          <cell r="E4398">
            <v>6</v>
          </cell>
          <cell r="F4398" t="str">
            <v>PC</v>
          </cell>
          <cell r="G4398">
            <v>0</v>
          </cell>
        </row>
        <row r="4399">
          <cell r="B4399">
            <v>40032</v>
          </cell>
          <cell r="C4399">
            <v>0</v>
          </cell>
          <cell r="D4399" t="str">
            <v>PHP</v>
          </cell>
          <cell r="E4399">
            <v>0</v>
          </cell>
          <cell r="F4399" t="str">
            <v>PC</v>
          </cell>
          <cell r="G4399">
            <v>0</v>
          </cell>
        </row>
        <row r="4400">
          <cell r="B4400">
            <v>40037</v>
          </cell>
          <cell r="C4400">
            <v>0</v>
          </cell>
          <cell r="D4400" t="str">
            <v>PHP</v>
          </cell>
          <cell r="E4400">
            <v>0</v>
          </cell>
          <cell r="F4400" t="str">
            <v>PC</v>
          </cell>
          <cell r="G4400">
            <v>0</v>
          </cell>
        </row>
        <row r="4401">
          <cell r="B4401">
            <v>40038</v>
          </cell>
          <cell r="C4401">
            <v>1344.71</v>
          </cell>
          <cell r="D4401" t="str">
            <v>PHP</v>
          </cell>
          <cell r="E4401">
            <v>4</v>
          </cell>
          <cell r="F4401" t="str">
            <v>PC</v>
          </cell>
          <cell r="G4401">
            <v>0</v>
          </cell>
        </row>
        <row r="4402">
          <cell r="B4402">
            <v>40045</v>
          </cell>
          <cell r="C4402">
            <v>0</v>
          </cell>
          <cell r="D4402" t="str">
            <v>PHP</v>
          </cell>
          <cell r="E4402">
            <v>0</v>
          </cell>
          <cell r="F4402" t="str">
            <v>PC</v>
          </cell>
          <cell r="G4402">
            <v>0</v>
          </cell>
        </row>
        <row r="4403">
          <cell r="B4403">
            <v>40049</v>
          </cell>
          <cell r="C4403">
            <v>18161.52</v>
          </cell>
          <cell r="D4403" t="str">
            <v>PHP</v>
          </cell>
          <cell r="E4403">
            <v>3</v>
          </cell>
          <cell r="F4403" t="str">
            <v>PC</v>
          </cell>
          <cell r="G4403">
            <v>0</v>
          </cell>
        </row>
        <row r="4404">
          <cell r="B4404">
            <v>40059</v>
          </cell>
          <cell r="C4404">
            <v>31.9</v>
          </cell>
          <cell r="D4404" t="str">
            <v>PHP</v>
          </cell>
          <cell r="E4404">
            <v>2</v>
          </cell>
          <cell r="F4404" t="str">
            <v>PC</v>
          </cell>
          <cell r="G4404">
            <v>0</v>
          </cell>
        </row>
        <row r="4405">
          <cell r="B4405">
            <v>40060</v>
          </cell>
          <cell r="C4405">
            <v>0</v>
          </cell>
          <cell r="D4405" t="str">
            <v>PHP</v>
          </cell>
          <cell r="E4405">
            <v>0</v>
          </cell>
          <cell r="F4405" t="str">
            <v>ASY</v>
          </cell>
          <cell r="G4405">
            <v>0</v>
          </cell>
        </row>
        <row r="4406">
          <cell r="B4406">
            <v>40061</v>
          </cell>
          <cell r="C4406">
            <v>0</v>
          </cell>
          <cell r="D4406" t="str">
            <v>PHP</v>
          </cell>
          <cell r="E4406">
            <v>0</v>
          </cell>
          <cell r="F4406" t="str">
            <v>ASY</v>
          </cell>
          <cell r="G4406">
            <v>0</v>
          </cell>
        </row>
        <row r="4407">
          <cell r="B4407">
            <v>40062</v>
          </cell>
          <cell r="C4407">
            <v>0</v>
          </cell>
          <cell r="D4407" t="str">
            <v>PHP</v>
          </cell>
          <cell r="E4407">
            <v>0</v>
          </cell>
          <cell r="F4407" t="str">
            <v>PC</v>
          </cell>
          <cell r="G4407">
            <v>0</v>
          </cell>
        </row>
        <row r="4408">
          <cell r="B4408">
            <v>40063</v>
          </cell>
          <cell r="C4408">
            <v>5033.33</v>
          </cell>
          <cell r="D4408" t="str">
            <v>PHP</v>
          </cell>
          <cell r="E4408">
            <v>1</v>
          </cell>
          <cell r="F4408" t="str">
            <v>PC</v>
          </cell>
          <cell r="G4408">
            <v>0</v>
          </cell>
        </row>
        <row r="4409">
          <cell r="B4409">
            <v>40064</v>
          </cell>
          <cell r="C4409">
            <v>0</v>
          </cell>
          <cell r="D4409" t="str">
            <v>PHP</v>
          </cell>
          <cell r="E4409">
            <v>0</v>
          </cell>
          <cell r="F4409" t="str">
            <v>PC</v>
          </cell>
          <cell r="G4409">
            <v>0</v>
          </cell>
        </row>
        <row r="4410">
          <cell r="B4410">
            <v>40065</v>
          </cell>
          <cell r="C4410">
            <v>0</v>
          </cell>
          <cell r="D4410" t="str">
            <v>PHP</v>
          </cell>
          <cell r="E4410">
            <v>0</v>
          </cell>
          <cell r="F4410" t="str">
            <v>PC</v>
          </cell>
          <cell r="G4410">
            <v>0</v>
          </cell>
        </row>
        <row r="4411">
          <cell r="B4411">
            <v>40066</v>
          </cell>
          <cell r="C4411">
            <v>0</v>
          </cell>
          <cell r="D4411" t="str">
            <v>PHP</v>
          </cell>
          <cell r="E4411">
            <v>0</v>
          </cell>
          <cell r="F4411" t="str">
            <v>PC</v>
          </cell>
          <cell r="G4411">
            <v>0</v>
          </cell>
        </row>
        <row r="4412">
          <cell r="B4412">
            <v>40067</v>
          </cell>
          <cell r="C4412">
            <v>0</v>
          </cell>
          <cell r="D4412" t="str">
            <v>PHP</v>
          </cell>
          <cell r="E4412">
            <v>0</v>
          </cell>
          <cell r="F4412" t="str">
            <v>PC</v>
          </cell>
          <cell r="G4412">
            <v>0</v>
          </cell>
        </row>
        <row r="4413">
          <cell r="B4413">
            <v>40068</v>
          </cell>
          <cell r="C4413">
            <v>0</v>
          </cell>
          <cell r="D4413" t="str">
            <v>PHP</v>
          </cell>
          <cell r="E4413">
            <v>0</v>
          </cell>
          <cell r="F4413" t="str">
            <v>PC</v>
          </cell>
          <cell r="G4413">
            <v>0</v>
          </cell>
        </row>
        <row r="4414">
          <cell r="B4414">
            <v>40069</v>
          </cell>
          <cell r="C4414">
            <v>0</v>
          </cell>
          <cell r="D4414" t="str">
            <v>PHP</v>
          </cell>
          <cell r="E4414">
            <v>0</v>
          </cell>
          <cell r="F4414" t="str">
            <v>PC</v>
          </cell>
          <cell r="G4414">
            <v>0</v>
          </cell>
        </row>
        <row r="4415">
          <cell r="B4415">
            <v>40070</v>
          </cell>
          <cell r="C4415">
            <v>0</v>
          </cell>
          <cell r="D4415" t="str">
            <v>PHP</v>
          </cell>
          <cell r="E4415">
            <v>0</v>
          </cell>
          <cell r="F4415" t="str">
            <v>PC</v>
          </cell>
          <cell r="G4415">
            <v>0</v>
          </cell>
        </row>
        <row r="4416">
          <cell r="B4416">
            <v>40071</v>
          </cell>
          <cell r="C4416">
            <v>0</v>
          </cell>
          <cell r="D4416" t="str">
            <v>PHP</v>
          </cell>
          <cell r="E4416">
            <v>0</v>
          </cell>
          <cell r="F4416" t="str">
            <v>PC</v>
          </cell>
          <cell r="G4416">
            <v>0</v>
          </cell>
        </row>
        <row r="4417">
          <cell r="B4417">
            <v>40075</v>
          </cell>
          <cell r="C4417">
            <v>0</v>
          </cell>
          <cell r="D4417" t="str">
            <v>PHP</v>
          </cell>
          <cell r="E4417">
            <v>0</v>
          </cell>
          <cell r="F4417" t="str">
            <v>PC</v>
          </cell>
          <cell r="G4417">
            <v>0</v>
          </cell>
        </row>
        <row r="4418">
          <cell r="B4418">
            <v>40076</v>
          </cell>
          <cell r="C4418">
            <v>0</v>
          </cell>
          <cell r="D4418" t="str">
            <v>PHP</v>
          </cell>
          <cell r="E4418">
            <v>0</v>
          </cell>
          <cell r="F4418" t="str">
            <v>PC</v>
          </cell>
          <cell r="G4418">
            <v>0</v>
          </cell>
        </row>
        <row r="4419">
          <cell r="B4419">
            <v>40077</v>
          </cell>
          <cell r="C4419">
            <v>0</v>
          </cell>
          <cell r="D4419" t="str">
            <v>PHP</v>
          </cell>
          <cell r="E4419">
            <v>0</v>
          </cell>
          <cell r="F4419" t="str">
            <v>PC</v>
          </cell>
          <cell r="G4419">
            <v>0</v>
          </cell>
        </row>
        <row r="4420">
          <cell r="B4420">
            <v>40083</v>
          </cell>
          <cell r="C4420">
            <v>400.53</v>
          </cell>
          <cell r="D4420" t="str">
            <v>PHP</v>
          </cell>
          <cell r="E4420">
            <v>6</v>
          </cell>
          <cell r="F4420" t="str">
            <v>PC</v>
          </cell>
          <cell r="G4420">
            <v>0</v>
          </cell>
        </row>
        <row r="4421">
          <cell r="B4421">
            <v>40084</v>
          </cell>
          <cell r="C4421">
            <v>0</v>
          </cell>
          <cell r="D4421" t="str">
            <v>PHP</v>
          </cell>
          <cell r="E4421">
            <v>0</v>
          </cell>
          <cell r="F4421" t="str">
            <v>PC</v>
          </cell>
          <cell r="G4421">
            <v>0</v>
          </cell>
        </row>
        <row r="4422">
          <cell r="B4422">
            <v>40085</v>
          </cell>
          <cell r="C4422">
            <v>631.74</v>
          </cell>
          <cell r="D4422" t="str">
            <v>PHP</v>
          </cell>
          <cell r="E4422">
            <v>2</v>
          </cell>
          <cell r="F4422" t="str">
            <v>PC</v>
          </cell>
          <cell r="G4422">
            <v>0</v>
          </cell>
        </row>
        <row r="4423">
          <cell r="B4423">
            <v>40086</v>
          </cell>
          <cell r="C4423">
            <v>0</v>
          </cell>
          <cell r="D4423" t="str">
            <v>PHP</v>
          </cell>
          <cell r="E4423">
            <v>0</v>
          </cell>
          <cell r="F4423" t="str">
            <v>PC</v>
          </cell>
          <cell r="G4423">
            <v>0</v>
          </cell>
        </row>
        <row r="4424">
          <cell r="B4424">
            <v>40087</v>
          </cell>
          <cell r="C4424">
            <v>276.99</v>
          </cell>
          <cell r="D4424" t="str">
            <v>PHP</v>
          </cell>
          <cell r="E4424">
            <v>4</v>
          </cell>
          <cell r="F4424" t="str">
            <v>PC</v>
          </cell>
          <cell r="G4424">
            <v>0</v>
          </cell>
        </row>
        <row r="4425">
          <cell r="B4425">
            <v>40088</v>
          </cell>
          <cell r="C4425">
            <v>0</v>
          </cell>
          <cell r="D4425" t="str">
            <v>PHP</v>
          </cell>
          <cell r="E4425">
            <v>0</v>
          </cell>
          <cell r="F4425" t="str">
            <v>PC</v>
          </cell>
          <cell r="G4425">
            <v>0</v>
          </cell>
        </row>
        <row r="4426">
          <cell r="B4426">
            <v>40089</v>
          </cell>
          <cell r="C4426">
            <v>0</v>
          </cell>
          <cell r="D4426" t="str">
            <v>PHP</v>
          </cell>
          <cell r="E4426">
            <v>0</v>
          </cell>
          <cell r="F4426" t="str">
            <v>PC</v>
          </cell>
          <cell r="G4426">
            <v>0</v>
          </cell>
        </row>
        <row r="4427">
          <cell r="B4427">
            <v>40090</v>
          </cell>
          <cell r="C4427">
            <v>0</v>
          </cell>
          <cell r="D4427" t="str">
            <v>PHP</v>
          </cell>
          <cell r="E4427">
            <v>0</v>
          </cell>
          <cell r="F4427" t="str">
            <v>PC</v>
          </cell>
          <cell r="G4427">
            <v>0</v>
          </cell>
        </row>
        <row r="4428">
          <cell r="B4428">
            <v>40097</v>
          </cell>
          <cell r="C4428">
            <v>46.08</v>
          </cell>
          <cell r="D4428" t="str">
            <v>PHP</v>
          </cell>
          <cell r="E4428">
            <v>6</v>
          </cell>
          <cell r="F4428" t="str">
            <v>PC</v>
          </cell>
          <cell r="G4428">
            <v>0</v>
          </cell>
        </row>
        <row r="4429">
          <cell r="B4429">
            <v>40102</v>
          </cell>
          <cell r="C4429">
            <v>1022.77</v>
          </cell>
          <cell r="D4429" t="str">
            <v>PHP</v>
          </cell>
          <cell r="E4429">
            <v>5</v>
          </cell>
          <cell r="F4429" t="str">
            <v>PC</v>
          </cell>
          <cell r="G4429">
            <v>0</v>
          </cell>
        </row>
        <row r="4430">
          <cell r="B4430">
            <v>40105</v>
          </cell>
          <cell r="C4430">
            <v>5640.31</v>
          </cell>
          <cell r="D4430" t="str">
            <v>PHP</v>
          </cell>
          <cell r="E4430">
            <v>6</v>
          </cell>
          <cell r="F4430" t="str">
            <v>PC</v>
          </cell>
          <cell r="G4430">
            <v>0</v>
          </cell>
        </row>
        <row r="4431">
          <cell r="B4431">
            <v>40106</v>
          </cell>
          <cell r="C4431">
            <v>0</v>
          </cell>
          <cell r="D4431" t="str">
            <v>PHP</v>
          </cell>
          <cell r="E4431">
            <v>0</v>
          </cell>
          <cell r="F4431" t="str">
            <v>PC</v>
          </cell>
          <cell r="G4431">
            <v>0</v>
          </cell>
        </row>
        <row r="4432">
          <cell r="B4432">
            <v>40107</v>
          </cell>
          <cell r="C4432">
            <v>0</v>
          </cell>
          <cell r="D4432" t="str">
            <v>PHP</v>
          </cell>
          <cell r="E4432">
            <v>0</v>
          </cell>
          <cell r="F4432" t="str">
            <v>PC</v>
          </cell>
          <cell r="G4432">
            <v>0</v>
          </cell>
        </row>
        <row r="4433">
          <cell r="B4433">
            <v>40110</v>
          </cell>
          <cell r="C4433">
            <v>13722.54</v>
          </cell>
          <cell r="D4433" t="str">
            <v>PHP</v>
          </cell>
          <cell r="E4433">
            <v>13</v>
          </cell>
          <cell r="F4433" t="str">
            <v>PC</v>
          </cell>
          <cell r="G4433">
            <v>0</v>
          </cell>
        </row>
        <row r="4434">
          <cell r="B4434">
            <v>40216</v>
          </cell>
          <cell r="C4434">
            <v>0</v>
          </cell>
          <cell r="D4434" t="str">
            <v>PHP</v>
          </cell>
          <cell r="E4434">
            <v>0</v>
          </cell>
          <cell r="F4434" t="str">
            <v>PL</v>
          </cell>
          <cell r="G4434">
            <v>0</v>
          </cell>
        </row>
        <row r="4435">
          <cell r="B4435">
            <v>40228</v>
          </cell>
          <cell r="C4435">
            <v>8828.92</v>
          </cell>
          <cell r="D4435" t="str">
            <v>PHP</v>
          </cell>
          <cell r="E4435">
            <v>4</v>
          </cell>
          <cell r="F4435" t="str">
            <v>KIT</v>
          </cell>
          <cell r="G4435">
            <v>0</v>
          </cell>
        </row>
        <row r="4436">
          <cell r="B4436">
            <v>40320</v>
          </cell>
          <cell r="C4436">
            <v>139780.44</v>
          </cell>
          <cell r="D4436" t="str">
            <v>PHP</v>
          </cell>
          <cell r="E4436">
            <v>6</v>
          </cell>
          <cell r="F4436" t="str">
            <v>LEN</v>
          </cell>
          <cell r="G4436">
            <v>0</v>
          </cell>
        </row>
        <row r="4437">
          <cell r="B4437">
            <v>40321</v>
          </cell>
          <cell r="C4437">
            <v>431324.79</v>
          </cell>
          <cell r="D4437" t="str">
            <v>PHP</v>
          </cell>
          <cell r="E4437">
            <v>13</v>
          </cell>
          <cell r="F4437" t="str">
            <v>LEN</v>
          </cell>
          <cell r="G4437">
            <v>0</v>
          </cell>
        </row>
        <row r="4438">
          <cell r="B4438">
            <v>40322</v>
          </cell>
          <cell r="C4438">
            <v>0</v>
          </cell>
          <cell r="D4438" t="str">
            <v>PHP</v>
          </cell>
          <cell r="E4438">
            <v>0</v>
          </cell>
          <cell r="F4438" t="str">
            <v>PC</v>
          </cell>
          <cell r="G4438">
            <v>0</v>
          </cell>
        </row>
        <row r="4439">
          <cell r="B4439">
            <v>40323</v>
          </cell>
          <cell r="C4439">
            <v>94852.92</v>
          </cell>
          <cell r="D4439" t="str">
            <v>PHP</v>
          </cell>
          <cell r="E4439">
            <v>46</v>
          </cell>
          <cell r="F4439" t="str">
            <v>PC</v>
          </cell>
          <cell r="G4439">
            <v>0</v>
          </cell>
        </row>
        <row r="4440">
          <cell r="B4440">
            <v>40324</v>
          </cell>
          <cell r="C4440">
            <v>0</v>
          </cell>
          <cell r="D4440" t="str">
            <v>PHP</v>
          </cell>
          <cell r="E4440">
            <v>0</v>
          </cell>
          <cell r="F4440" t="str">
            <v>PC</v>
          </cell>
          <cell r="G4440">
            <v>0</v>
          </cell>
        </row>
        <row r="4441">
          <cell r="B4441">
            <v>40327</v>
          </cell>
          <cell r="C4441">
            <v>0</v>
          </cell>
          <cell r="D4441" t="str">
            <v>PHP</v>
          </cell>
          <cell r="E4441">
            <v>0</v>
          </cell>
          <cell r="F4441" t="str">
            <v>PC</v>
          </cell>
          <cell r="G4441">
            <v>0</v>
          </cell>
        </row>
        <row r="4442">
          <cell r="B4442">
            <v>40328</v>
          </cell>
          <cell r="C4442">
            <v>0</v>
          </cell>
          <cell r="D4442" t="str">
            <v>PHP</v>
          </cell>
          <cell r="E4442">
            <v>0</v>
          </cell>
          <cell r="F4442" t="str">
            <v>PC</v>
          </cell>
          <cell r="G4442">
            <v>0</v>
          </cell>
        </row>
        <row r="4443">
          <cell r="B4443">
            <v>40330</v>
          </cell>
          <cell r="C4443">
            <v>0</v>
          </cell>
          <cell r="D4443" t="str">
            <v>PHP</v>
          </cell>
          <cell r="E4443">
            <v>0</v>
          </cell>
          <cell r="F4443" t="str">
            <v>PC</v>
          </cell>
          <cell r="G4443">
            <v>0</v>
          </cell>
        </row>
        <row r="4444">
          <cell r="B4444">
            <v>40334</v>
          </cell>
          <cell r="C4444">
            <v>0</v>
          </cell>
          <cell r="D4444" t="str">
            <v>PHP</v>
          </cell>
          <cell r="E4444">
            <v>0</v>
          </cell>
          <cell r="F4444" t="str">
            <v>PC</v>
          </cell>
          <cell r="G4444">
            <v>0</v>
          </cell>
        </row>
        <row r="4445">
          <cell r="B4445">
            <v>40335</v>
          </cell>
          <cell r="C4445">
            <v>104111.66</v>
          </cell>
          <cell r="D4445" t="str">
            <v>PHP</v>
          </cell>
          <cell r="E4445">
            <v>2</v>
          </cell>
          <cell r="F4445" t="str">
            <v>PC</v>
          </cell>
          <cell r="G4445">
            <v>0</v>
          </cell>
        </row>
        <row r="4446">
          <cell r="B4446">
            <v>40337</v>
          </cell>
          <cell r="C4446">
            <v>0</v>
          </cell>
          <cell r="D4446" t="str">
            <v>PHP</v>
          </cell>
          <cell r="E4446">
            <v>0</v>
          </cell>
          <cell r="F4446" t="str">
            <v>SET</v>
          </cell>
          <cell r="G4446">
            <v>0</v>
          </cell>
        </row>
        <row r="4447">
          <cell r="B4447">
            <v>40338</v>
          </cell>
          <cell r="C4447">
            <v>1059981.3500000001</v>
          </cell>
          <cell r="D4447" t="str">
            <v>PHP</v>
          </cell>
          <cell r="E4447">
            <v>2</v>
          </cell>
          <cell r="F4447" t="str">
            <v>PC</v>
          </cell>
          <cell r="G4447">
            <v>0</v>
          </cell>
        </row>
        <row r="4448">
          <cell r="B4448">
            <v>40339</v>
          </cell>
          <cell r="C4448">
            <v>4397331.67</v>
          </cell>
          <cell r="D4448" t="str">
            <v>PHP</v>
          </cell>
          <cell r="E4448">
            <v>8</v>
          </cell>
          <cell r="F4448" t="str">
            <v>PC</v>
          </cell>
          <cell r="G4448">
            <v>0</v>
          </cell>
        </row>
        <row r="4449">
          <cell r="B4449">
            <v>40372</v>
          </cell>
          <cell r="C4449">
            <v>1413.3</v>
          </cell>
          <cell r="D4449" t="str">
            <v>PHP</v>
          </cell>
          <cell r="E4449">
            <v>2</v>
          </cell>
          <cell r="F4449" t="str">
            <v>PC</v>
          </cell>
          <cell r="G4449">
            <v>0</v>
          </cell>
        </row>
        <row r="4450">
          <cell r="B4450">
            <v>40415</v>
          </cell>
          <cell r="C4450">
            <v>754764.52</v>
          </cell>
          <cell r="D4450" t="str">
            <v>PHP</v>
          </cell>
          <cell r="E4450">
            <v>33</v>
          </cell>
          <cell r="F4450" t="str">
            <v>PC</v>
          </cell>
          <cell r="G4450">
            <v>0</v>
          </cell>
        </row>
        <row r="4451">
          <cell r="B4451">
            <v>40439</v>
          </cell>
          <cell r="C4451">
            <v>297.64</v>
          </cell>
          <cell r="D4451" t="str">
            <v>PHP</v>
          </cell>
          <cell r="E4451">
            <v>25</v>
          </cell>
          <cell r="F4451" t="str">
            <v>PC</v>
          </cell>
          <cell r="G4451">
            <v>0</v>
          </cell>
        </row>
        <row r="4452">
          <cell r="B4452">
            <v>40440</v>
          </cell>
          <cell r="C4452">
            <v>1059.6099999999999</v>
          </cell>
          <cell r="D4452" t="str">
            <v>PHP</v>
          </cell>
          <cell r="E4452">
            <v>2</v>
          </cell>
          <cell r="F4452" t="str">
            <v>PC</v>
          </cell>
          <cell r="G4452">
            <v>0</v>
          </cell>
        </row>
        <row r="4453">
          <cell r="B4453">
            <v>40446</v>
          </cell>
          <cell r="C4453">
            <v>208.36</v>
          </cell>
          <cell r="D4453" t="str">
            <v>PHP</v>
          </cell>
          <cell r="E4453">
            <v>2</v>
          </cell>
          <cell r="F4453" t="str">
            <v>PC</v>
          </cell>
          <cell r="G4453">
            <v>0</v>
          </cell>
        </row>
        <row r="4454">
          <cell r="B4454">
            <v>40451</v>
          </cell>
          <cell r="C4454">
            <v>16401.3</v>
          </cell>
          <cell r="D4454" t="str">
            <v>PHP</v>
          </cell>
          <cell r="E4454">
            <v>1</v>
          </cell>
          <cell r="F4454" t="str">
            <v>ASY</v>
          </cell>
          <cell r="G4454">
            <v>0</v>
          </cell>
        </row>
        <row r="4455">
          <cell r="B4455">
            <v>40452</v>
          </cell>
          <cell r="C4455">
            <v>32802.6</v>
          </cell>
          <cell r="D4455" t="str">
            <v>PHP</v>
          </cell>
          <cell r="E4455">
            <v>2</v>
          </cell>
          <cell r="F4455" t="str">
            <v>ASY</v>
          </cell>
          <cell r="G4455">
            <v>0</v>
          </cell>
        </row>
        <row r="4456">
          <cell r="B4456">
            <v>40453</v>
          </cell>
          <cell r="C4456">
            <v>32802.6</v>
          </cell>
          <cell r="D4456" t="str">
            <v>PHP</v>
          </cell>
          <cell r="E4456">
            <v>2</v>
          </cell>
          <cell r="F4456" t="str">
            <v>ASY</v>
          </cell>
          <cell r="G4456">
            <v>0</v>
          </cell>
        </row>
        <row r="4457">
          <cell r="B4457">
            <v>40454</v>
          </cell>
          <cell r="C4457">
            <v>616.17999999999995</v>
          </cell>
          <cell r="D4457" t="str">
            <v>PHP</v>
          </cell>
          <cell r="E4457">
            <v>94</v>
          </cell>
          <cell r="F4457" t="str">
            <v>PC</v>
          </cell>
          <cell r="G4457">
            <v>0</v>
          </cell>
        </row>
        <row r="4458">
          <cell r="B4458">
            <v>40463</v>
          </cell>
          <cell r="C4458">
            <v>33162.160000000003</v>
          </cell>
          <cell r="D4458" t="str">
            <v>PHP</v>
          </cell>
          <cell r="E4458">
            <v>2</v>
          </cell>
          <cell r="F4458" t="str">
            <v>PC</v>
          </cell>
          <cell r="G4458">
            <v>0</v>
          </cell>
        </row>
        <row r="4459">
          <cell r="B4459">
            <v>40470</v>
          </cell>
          <cell r="C4459">
            <v>1899.03</v>
          </cell>
          <cell r="D4459" t="str">
            <v>PHP</v>
          </cell>
          <cell r="E4459">
            <v>10</v>
          </cell>
          <cell r="F4459" t="str">
            <v>PC</v>
          </cell>
          <cell r="G4459">
            <v>0</v>
          </cell>
        </row>
        <row r="4460">
          <cell r="B4460">
            <v>40477</v>
          </cell>
          <cell r="C4460">
            <v>305361.17</v>
          </cell>
          <cell r="D4460" t="str">
            <v>PHP</v>
          </cell>
          <cell r="E4460">
            <v>2</v>
          </cell>
          <cell r="F4460" t="str">
            <v>ASY</v>
          </cell>
          <cell r="G4460">
            <v>0</v>
          </cell>
        </row>
        <row r="4461">
          <cell r="B4461">
            <v>40480</v>
          </cell>
          <cell r="C4461">
            <v>15713.32</v>
          </cell>
          <cell r="D4461" t="str">
            <v>PHP</v>
          </cell>
          <cell r="E4461">
            <v>7</v>
          </cell>
          <cell r="F4461" t="str">
            <v>PC</v>
          </cell>
          <cell r="G4461">
            <v>0</v>
          </cell>
        </row>
        <row r="4462">
          <cell r="B4462">
            <v>40487</v>
          </cell>
          <cell r="C4462">
            <v>63250</v>
          </cell>
          <cell r="D4462" t="str">
            <v>PHP</v>
          </cell>
          <cell r="E4462">
            <v>46</v>
          </cell>
          <cell r="F4462" t="str">
            <v>PC</v>
          </cell>
          <cell r="G4462">
            <v>0</v>
          </cell>
        </row>
        <row r="4463">
          <cell r="B4463">
            <v>40531</v>
          </cell>
          <cell r="C4463">
            <v>0</v>
          </cell>
          <cell r="D4463" t="str">
            <v>PHP</v>
          </cell>
          <cell r="E4463">
            <v>0</v>
          </cell>
          <cell r="F4463" t="str">
            <v>PC</v>
          </cell>
          <cell r="G4463">
            <v>0</v>
          </cell>
        </row>
        <row r="4464">
          <cell r="B4464">
            <v>40542</v>
          </cell>
          <cell r="C4464">
            <v>67857.14</v>
          </cell>
          <cell r="D4464" t="str">
            <v>PHP</v>
          </cell>
          <cell r="E4464">
            <v>8</v>
          </cell>
          <cell r="F4464" t="str">
            <v>PC</v>
          </cell>
          <cell r="G4464">
            <v>0</v>
          </cell>
        </row>
        <row r="4465">
          <cell r="B4465">
            <v>40543</v>
          </cell>
          <cell r="C4465">
            <v>35192.86</v>
          </cell>
          <cell r="D4465" t="str">
            <v>PHP</v>
          </cell>
          <cell r="E4465">
            <v>8</v>
          </cell>
          <cell r="F4465" t="str">
            <v>PC</v>
          </cell>
          <cell r="G4465">
            <v>0</v>
          </cell>
        </row>
        <row r="4466">
          <cell r="B4466">
            <v>40569</v>
          </cell>
          <cell r="C4466">
            <v>0</v>
          </cell>
          <cell r="D4466" t="str">
            <v>PHP</v>
          </cell>
          <cell r="E4466">
            <v>0</v>
          </cell>
          <cell r="F4466" t="str">
            <v>PC</v>
          </cell>
          <cell r="G4466">
            <v>0</v>
          </cell>
        </row>
        <row r="4467">
          <cell r="B4467">
            <v>40571</v>
          </cell>
          <cell r="C4467">
            <v>39560.71</v>
          </cell>
          <cell r="D4467" t="str">
            <v>PHP</v>
          </cell>
          <cell r="E4467">
            <v>2</v>
          </cell>
          <cell r="F4467" t="str">
            <v>KIT</v>
          </cell>
          <cell r="G4467">
            <v>0</v>
          </cell>
        </row>
        <row r="4468">
          <cell r="B4468">
            <v>40572</v>
          </cell>
          <cell r="C4468">
            <v>19625</v>
          </cell>
          <cell r="D4468" t="str">
            <v>PHP</v>
          </cell>
          <cell r="E4468">
            <v>1</v>
          </cell>
          <cell r="F4468" t="str">
            <v>KIT</v>
          </cell>
          <cell r="G4468">
            <v>0</v>
          </cell>
        </row>
        <row r="4469">
          <cell r="B4469">
            <v>40573</v>
          </cell>
          <cell r="C4469">
            <v>30623.21</v>
          </cell>
          <cell r="D4469" t="str">
            <v>PHP</v>
          </cell>
          <cell r="E4469">
            <v>2</v>
          </cell>
          <cell r="F4469" t="str">
            <v>KIT</v>
          </cell>
          <cell r="G4469">
            <v>0</v>
          </cell>
        </row>
        <row r="4470">
          <cell r="B4470">
            <v>40574</v>
          </cell>
          <cell r="C4470">
            <v>30623.21</v>
          </cell>
          <cell r="D4470" t="str">
            <v>PHP</v>
          </cell>
          <cell r="E4470">
            <v>2</v>
          </cell>
          <cell r="F4470" t="str">
            <v>KIT</v>
          </cell>
          <cell r="G4470">
            <v>0</v>
          </cell>
        </row>
        <row r="4471">
          <cell r="B4471">
            <v>40575</v>
          </cell>
          <cell r="C4471">
            <v>5018</v>
          </cell>
          <cell r="D4471" t="str">
            <v>PHP</v>
          </cell>
          <cell r="E4471">
            <v>10</v>
          </cell>
          <cell r="F4471" t="str">
            <v>PC</v>
          </cell>
          <cell r="G4471">
            <v>0</v>
          </cell>
        </row>
        <row r="4472">
          <cell r="B4472">
            <v>40576</v>
          </cell>
          <cell r="C4472">
            <v>3744</v>
          </cell>
          <cell r="D4472" t="str">
            <v>PHP</v>
          </cell>
          <cell r="E4472">
            <v>10</v>
          </cell>
          <cell r="F4472" t="str">
            <v>PC</v>
          </cell>
          <cell r="G4472">
            <v>0</v>
          </cell>
        </row>
        <row r="4473">
          <cell r="B4473">
            <v>40577</v>
          </cell>
          <cell r="C4473">
            <v>13628.57</v>
          </cell>
          <cell r="D4473" t="str">
            <v>PHP</v>
          </cell>
          <cell r="E4473">
            <v>8</v>
          </cell>
          <cell r="F4473" t="str">
            <v>PC</v>
          </cell>
          <cell r="G4473">
            <v>0</v>
          </cell>
        </row>
        <row r="4474">
          <cell r="B4474">
            <v>40578</v>
          </cell>
          <cell r="C4474">
            <v>37910.71</v>
          </cell>
          <cell r="D4474" t="str">
            <v>PHP</v>
          </cell>
          <cell r="E4474">
            <v>20</v>
          </cell>
          <cell r="F4474" t="str">
            <v>PC</v>
          </cell>
          <cell r="G4474">
            <v>0</v>
          </cell>
        </row>
        <row r="4475">
          <cell r="B4475">
            <v>40579</v>
          </cell>
          <cell r="C4475">
            <v>1764.29</v>
          </cell>
          <cell r="D4475" t="str">
            <v>PHP</v>
          </cell>
          <cell r="E4475">
            <v>8</v>
          </cell>
          <cell r="F4475" t="str">
            <v>PC</v>
          </cell>
          <cell r="G4475">
            <v>0</v>
          </cell>
        </row>
        <row r="4476">
          <cell r="B4476">
            <v>40580</v>
          </cell>
          <cell r="C4476">
            <v>2800</v>
          </cell>
          <cell r="D4476" t="str">
            <v>PHP</v>
          </cell>
          <cell r="E4476">
            <v>8</v>
          </cell>
          <cell r="F4476" t="str">
            <v>PC</v>
          </cell>
          <cell r="G4476">
            <v>0</v>
          </cell>
        </row>
        <row r="4477">
          <cell r="B4477">
            <v>40583</v>
          </cell>
          <cell r="C4477">
            <v>2371.1999999999998</v>
          </cell>
          <cell r="D4477" t="str">
            <v>PHP</v>
          </cell>
          <cell r="E4477">
            <v>4</v>
          </cell>
          <cell r="F4477" t="str">
            <v>PC</v>
          </cell>
          <cell r="G4477">
            <v>0</v>
          </cell>
        </row>
        <row r="4478">
          <cell r="B4478">
            <v>40628</v>
          </cell>
          <cell r="C4478">
            <v>70716</v>
          </cell>
          <cell r="D4478" t="str">
            <v>PHP</v>
          </cell>
          <cell r="E4478">
            <v>24</v>
          </cell>
          <cell r="F4478" t="str">
            <v>PC</v>
          </cell>
          <cell r="G4478">
            <v>0</v>
          </cell>
        </row>
        <row r="4479">
          <cell r="B4479">
            <v>40645</v>
          </cell>
          <cell r="C4479">
            <v>0</v>
          </cell>
          <cell r="D4479" t="str">
            <v>PHP</v>
          </cell>
          <cell r="E4479">
            <v>0</v>
          </cell>
          <cell r="F4479" t="str">
            <v>PC</v>
          </cell>
          <cell r="G4479">
            <v>0</v>
          </cell>
        </row>
        <row r="4480">
          <cell r="B4480">
            <v>40653</v>
          </cell>
          <cell r="C4480">
            <v>26097.96</v>
          </cell>
          <cell r="D4480" t="str">
            <v>PHP</v>
          </cell>
          <cell r="E4480">
            <v>1</v>
          </cell>
          <cell r="F4480" t="str">
            <v>PC</v>
          </cell>
          <cell r="G4480">
            <v>0</v>
          </cell>
        </row>
        <row r="4481">
          <cell r="B4481">
            <v>40654</v>
          </cell>
          <cell r="C4481">
            <v>0</v>
          </cell>
          <cell r="D4481" t="str">
            <v>PHP</v>
          </cell>
          <cell r="E4481">
            <v>0</v>
          </cell>
          <cell r="F4481" t="str">
            <v>PC</v>
          </cell>
          <cell r="G4481">
            <v>0</v>
          </cell>
        </row>
        <row r="4482">
          <cell r="B4482">
            <v>40656</v>
          </cell>
          <cell r="C4482">
            <v>0</v>
          </cell>
          <cell r="D4482" t="str">
            <v>PHP</v>
          </cell>
          <cell r="E4482">
            <v>0</v>
          </cell>
          <cell r="F4482" t="str">
            <v>PC</v>
          </cell>
          <cell r="G4482">
            <v>0</v>
          </cell>
        </row>
        <row r="4483">
          <cell r="B4483">
            <v>40657</v>
          </cell>
          <cell r="C4483">
            <v>0</v>
          </cell>
          <cell r="D4483" t="str">
            <v>PHP</v>
          </cell>
          <cell r="E4483">
            <v>0</v>
          </cell>
          <cell r="F4483" t="str">
            <v>PC</v>
          </cell>
          <cell r="G4483">
            <v>0</v>
          </cell>
        </row>
        <row r="4484">
          <cell r="B4484">
            <v>40677</v>
          </cell>
          <cell r="C4484">
            <v>4526.13</v>
          </cell>
          <cell r="D4484" t="str">
            <v>PHP</v>
          </cell>
          <cell r="E4484">
            <v>3</v>
          </cell>
          <cell r="F4484" t="str">
            <v>PC</v>
          </cell>
          <cell r="G4484">
            <v>0</v>
          </cell>
        </row>
        <row r="4485">
          <cell r="B4485">
            <v>40678</v>
          </cell>
          <cell r="C4485">
            <v>0</v>
          </cell>
          <cell r="D4485" t="str">
            <v>PHP</v>
          </cell>
          <cell r="E4485">
            <v>0</v>
          </cell>
          <cell r="F4485" t="str">
            <v>PC</v>
          </cell>
          <cell r="G4485">
            <v>0</v>
          </cell>
        </row>
        <row r="4486">
          <cell r="B4486">
            <v>40684</v>
          </cell>
          <cell r="C4486">
            <v>121300.09</v>
          </cell>
          <cell r="D4486" t="str">
            <v>PHP</v>
          </cell>
          <cell r="E4486">
            <v>14</v>
          </cell>
          <cell r="F4486" t="str">
            <v>PC</v>
          </cell>
          <cell r="G4486">
            <v>0</v>
          </cell>
        </row>
        <row r="4487">
          <cell r="B4487">
            <v>40687</v>
          </cell>
          <cell r="C4487">
            <v>0</v>
          </cell>
          <cell r="D4487" t="str">
            <v>PHP</v>
          </cell>
          <cell r="E4487">
            <v>0</v>
          </cell>
          <cell r="F4487" t="str">
            <v>PC</v>
          </cell>
          <cell r="G4487">
            <v>0</v>
          </cell>
        </row>
        <row r="4488">
          <cell r="B4488">
            <v>40711</v>
          </cell>
          <cell r="C4488">
            <v>10672.64</v>
          </cell>
          <cell r="D4488" t="str">
            <v>PHP</v>
          </cell>
          <cell r="E4488">
            <v>2</v>
          </cell>
          <cell r="F4488" t="str">
            <v>PC</v>
          </cell>
          <cell r="G4488">
            <v>0</v>
          </cell>
        </row>
        <row r="4489">
          <cell r="B4489">
            <v>40775</v>
          </cell>
          <cell r="C4489">
            <v>217232.14</v>
          </cell>
          <cell r="D4489" t="str">
            <v>PHP</v>
          </cell>
          <cell r="E4489">
            <v>2</v>
          </cell>
          <cell r="F4489" t="str">
            <v>PC</v>
          </cell>
          <cell r="G4489">
            <v>0</v>
          </cell>
        </row>
        <row r="4490">
          <cell r="B4490">
            <v>40780</v>
          </cell>
          <cell r="C4490">
            <v>111361.61</v>
          </cell>
          <cell r="D4490" t="str">
            <v>PHP</v>
          </cell>
          <cell r="E4490">
            <v>1</v>
          </cell>
          <cell r="F4490" t="str">
            <v>PC</v>
          </cell>
          <cell r="G4490">
            <v>0</v>
          </cell>
        </row>
        <row r="4491">
          <cell r="B4491">
            <v>40781</v>
          </cell>
          <cell r="C4491">
            <v>158504.46</v>
          </cell>
          <cell r="D4491" t="str">
            <v>PHP</v>
          </cell>
          <cell r="E4491">
            <v>1</v>
          </cell>
          <cell r="F4491" t="str">
            <v>PC</v>
          </cell>
          <cell r="G4491">
            <v>0</v>
          </cell>
        </row>
        <row r="4492">
          <cell r="B4492">
            <v>40782</v>
          </cell>
          <cell r="C4492">
            <v>35558.04</v>
          </cell>
          <cell r="D4492" t="str">
            <v>PHP</v>
          </cell>
          <cell r="E4492">
            <v>1</v>
          </cell>
          <cell r="F4492" t="str">
            <v>PC</v>
          </cell>
          <cell r="G4492">
            <v>0</v>
          </cell>
        </row>
        <row r="4493">
          <cell r="B4493">
            <v>40783</v>
          </cell>
          <cell r="C4493">
            <v>98504.46</v>
          </cell>
          <cell r="D4493" t="str">
            <v>PHP</v>
          </cell>
          <cell r="E4493">
            <v>1</v>
          </cell>
          <cell r="F4493" t="str">
            <v>PC</v>
          </cell>
          <cell r="G4493">
            <v>0</v>
          </cell>
        </row>
        <row r="4494">
          <cell r="B4494">
            <v>40784</v>
          </cell>
          <cell r="C4494">
            <v>43258.93</v>
          </cell>
          <cell r="D4494" t="str">
            <v>PHP</v>
          </cell>
          <cell r="E4494">
            <v>1</v>
          </cell>
          <cell r="F4494" t="str">
            <v>PC</v>
          </cell>
          <cell r="G4494">
            <v>0</v>
          </cell>
        </row>
        <row r="4495">
          <cell r="B4495">
            <v>40785</v>
          </cell>
          <cell r="C4495">
            <v>105736.61</v>
          </cell>
          <cell r="D4495" t="str">
            <v>PHP</v>
          </cell>
          <cell r="E4495">
            <v>1</v>
          </cell>
          <cell r="F4495" t="str">
            <v>PC</v>
          </cell>
          <cell r="G4495">
            <v>0</v>
          </cell>
        </row>
        <row r="4496">
          <cell r="B4496">
            <v>40795</v>
          </cell>
          <cell r="C4496">
            <v>2648.44</v>
          </cell>
          <cell r="D4496" t="str">
            <v>PHP</v>
          </cell>
          <cell r="E4496">
            <v>20</v>
          </cell>
          <cell r="F4496" t="str">
            <v>PC</v>
          </cell>
          <cell r="G4496">
            <v>0</v>
          </cell>
        </row>
        <row r="4497">
          <cell r="B4497">
            <v>40796</v>
          </cell>
          <cell r="C4497">
            <v>418.25</v>
          </cell>
          <cell r="D4497" t="str">
            <v>PHP</v>
          </cell>
          <cell r="E4497">
            <v>12</v>
          </cell>
          <cell r="F4497" t="str">
            <v>PC</v>
          </cell>
          <cell r="G4497">
            <v>0</v>
          </cell>
        </row>
        <row r="4498">
          <cell r="B4498">
            <v>40806</v>
          </cell>
          <cell r="C4498">
            <v>231294.64</v>
          </cell>
          <cell r="D4498" t="str">
            <v>PHP</v>
          </cell>
          <cell r="E4498">
            <v>1</v>
          </cell>
          <cell r="F4498" t="str">
            <v>PC</v>
          </cell>
          <cell r="G4498">
            <v>0</v>
          </cell>
        </row>
        <row r="4499">
          <cell r="B4499">
            <v>40807</v>
          </cell>
          <cell r="C4499">
            <v>288549.11</v>
          </cell>
          <cell r="D4499" t="str">
            <v>PHP</v>
          </cell>
          <cell r="E4499">
            <v>1</v>
          </cell>
          <cell r="F4499" t="str">
            <v>PC</v>
          </cell>
          <cell r="G4499">
            <v>0</v>
          </cell>
        </row>
        <row r="4500">
          <cell r="B4500">
            <v>40808</v>
          </cell>
          <cell r="C4500">
            <v>94193.22</v>
          </cell>
          <cell r="D4500" t="str">
            <v>PHP</v>
          </cell>
          <cell r="E4500">
            <v>4</v>
          </cell>
          <cell r="F4500" t="str">
            <v>PC</v>
          </cell>
          <cell r="G4500">
            <v>0</v>
          </cell>
        </row>
        <row r="4501">
          <cell r="B4501">
            <v>40833</v>
          </cell>
          <cell r="C4501">
            <v>5954.06</v>
          </cell>
          <cell r="D4501" t="str">
            <v>PHP</v>
          </cell>
          <cell r="E4501">
            <v>7</v>
          </cell>
          <cell r="F4501" t="str">
            <v>KIT</v>
          </cell>
          <cell r="G4501">
            <v>0</v>
          </cell>
        </row>
        <row r="4502">
          <cell r="B4502">
            <v>40834</v>
          </cell>
          <cell r="C4502">
            <v>414795.02</v>
          </cell>
          <cell r="D4502" t="str">
            <v>PHP</v>
          </cell>
          <cell r="E4502">
            <v>20</v>
          </cell>
          <cell r="F4502" t="str">
            <v>PC</v>
          </cell>
          <cell r="G4502">
            <v>0</v>
          </cell>
        </row>
        <row r="4503">
          <cell r="B4503">
            <v>40835</v>
          </cell>
          <cell r="C4503">
            <v>337623.98</v>
          </cell>
          <cell r="D4503" t="str">
            <v>PHP</v>
          </cell>
          <cell r="E4503">
            <v>20</v>
          </cell>
          <cell r="F4503" t="str">
            <v>PC</v>
          </cell>
          <cell r="G4503">
            <v>0</v>
          </cell>
        </row>
        <row r="4504">
          <cell r="B4504">
            <v>40863</v>
          </cell>
          <cell r="C4504">
            <v>22266.400000000001</v>
          </cell>
          <cell r="D4504" t="str">
            <v>PHP</v>
          </cell>
          <cell r="E4504">
            <v>2</v>
          </cell>
          <cell r="F4504" t="str">
            <v>PC</v>
          </cell>
          <cell r="G4504">
            <v>0</v>
          </cell>
        </row>
        <row r="4505">
          <cell r="B4505">
            <v>40866</v>
          </cell>
          <cell r="C4505">
            <v>0</v>
          </cell>
          <cell r="D4505" t="str">
            <v>PHP</v>
          </cell>
          <cell r="E4505">
            <v>0</v>
          </cell>
          <cell r="F4505" t="str">
            <v>PC</v>
          </cell>
          <cell r="G4505">
            <v>0</v>
          </cell>
        </row>
        <row r="4506">
          <cell r="B4506">
            <v>40867</v>
          </cell>
          <cell r="C4506">
            <v>108391</v>
          </cell>
          <cell r="D4506" t="str">
            <v>PHP</v>
          </cell>
          <cell r="E4506">
            <v>1</v>
          </cell>
          <cell r="F4506" t="str">
            <v>ASY</v>
          </cell>
          <cell r="G4506">
            <v>0</v>
          </cell>
        </row>
        <row r="4507">
          <cell r="B4507">
            <v>41068</v>
          </cell>
          <cell r="C4507">
            <v>660</v>
          </cell>
          <cell r="D4507" t="str">
            <v>PHP</v>
          </cell>
          <cell r="E4507">
            <v>30</v>
          </cell>
          <cell r="F4507" t="str">
            <v>PC</v>
          </cell>
          <cell r="G4507">
            <v>0</v>
          </cell>
        </row>
        <row r="4508">
          <cell r="B4508">
            <v>41069</v>
          </cell>
          <cell r="C4508">
            <v>840</v>
          </cell>
          <cell r="D4508" t="str">
            <v>PHP</v>
          </cell>
          <cell r="E4508">
            <v>30</v>
          </cell>
          <cell r="F4508" t="str">
            <v>PC</v>
          </cell>
          <cell r="G4508">
            <v>0</v>
          </cell>
        </row>
        <row r="4509">
          <cell r="B4509">
            <v>41070</v>
          </cell>
          <cell r="C4509">
            <v>960</v>
          </cell>
          <cell r="D4509" t="str">
            <v>PHP</v>
          </cell>
          <cell r="E4509">
            <v>30</v>
          </cell>
          <cell r="F4509" t="str">
            <v>PC</v>
          </cell>
          <cell r="G4509">
            <v>0</v>
          </cell>
        </row>
        <row r="4510">
          <cell r="B4510">
            <v>41071</v>
          </cell>
          <cell r="C4510">
            <v>3150</v>
          </cell>
          <cell r="D4510" t="str">
            <v>PHP</v>
          </cell>
          <cell r="E4510">
            <v>30</v>
          </cell>
          <cell r="F4510" t="str">
            <v>PC</v>
          </cell>
          <cell r="G4510">
            <v>0</v>
          </cell>
        </row>
        <row r="4511">
          <cell r="B4511">
            <v>41080</v>
          </cell>
          <cell r="C4511">
            <v>487983.35</v>
          </cell>
          <cell r="D4511" t="str">
            <v>PHP</v>
          </cell>
          <cell r="E4511">
            <v>150</v>
          </cell>
          <cell r="F4511" t="str">
            <v>PC</v>
          </cell>
          <cell r="G4511">
            <v>0</v>
          </cell>
        </row>
        <row r="4512">
          <cell r="B4512">
            <v>41082</v>
          </cell>
          <cell r="C4512">
            <v>312153.07</v>
          </cell>
          <cell r="D4512" t="str">
            <v>PHP</v>
          </cell>
          <cell r="E4512">
            <v>14</v>
          </cell>
          <cell r="F4512" t="str">
            <v>PC</v>
          </cell>
          <cell r="G4512">
            <v>0</v>
          </cell>
        </row>
        <row r="4513">
          <cell r="B4513">
            <v>41083</v>
          </cell>
          <cell r="C4513">
            <v>37744.25</v>
          </cell>
          <cell r="D4513" t="str">
            <v>PHP</v>
          </cell>
          <cell r="E4513">
            <v>4</v>
          </cell>
          <cell r="F4513" t="str">
            <v>PC</v>
          </cell>
          <cell r="G4513">
            <v>0</v>
          </cell>
        </row>
        <row r="4514">
          <cell r="B4514">
            <v>41084</v>
          </cell>
          <cell r="C4514">
            <v>40489.26</v>
          </cell>
          <cell r="D4514" t="str">
            <v>PHP</v>
          </cell>
          <cell r="E4514">
            <v>4</v>
          </cell>
          <cell r="F4514" t="str">
            <v>PC</v>
          </cell>
          <cell r="G4514">
            <v>0</v>
          </cell>
        </row>
        <row r="4515">
          <cell r="B4515">
            <v>41085</v>
          </cell>
          <cell r="C4515">
            <v>0</v>
          </cell>
          <cell r="D4515" t="str">
            <v>PHP</v>
          </cell>
          <cell r="E4515">
            <v>0</v>
          </cell>
          <cell r="F4515" t="str">
            <v>PC</v>
          </cell>
          <cell r="G4515">
            <v>0</v>
          </cell>
        </row>
        <row r="4516">
          <cell r="B4516">
            <v>41094</v>
          </cell>
          <cell r="C4516">
            <v>0</v>
          </cell>
          <cell r="D4516" t="str">
            <v>PHP</v>
          </cell>
          <cell r="E4516">
            <v>0</v>
          </cell>
          <cell r="F4516" t="str">
            <v>PC</v>
          </cell>
          <cell r="G4516">
            <v>0</v>
          </cell>
        </row>
        <row r="4517">
          <cell r="B4517">
            <v>41095</v>
          </cell>
          <cell r="C4517">
            <v>0</v>
          </cell>
          <cell r="D4517" t="str">
            <v>PHP</v>
          </cell>
          <cell r="E4517">
            <v>0</v>
          </cell>
          <cell r="F4517" t="str">
            <v>KIT</v>
          </cell>
          <cell r="G4517">
            <v>0</v>
          </cell>
        </row>
        <row r="4518">
          <cell r="B4518">
            <v>41102</v>
          </cell>
          <cell r="C4518">
            <v>15199.2</v>
          </cell>
          <cell r="D4518" t="str">
            <v>PHP</v>
          </cell>
          <cell r="E4518">
            <v>3</v>
          </cell>
          <cell r="F4518" t="str">
            <v>ASY</v>
          </cell>
          <cell r="G4518">
            <v>0</v>
          </cell>
        </row>
        <row r="4519">
          <cell r="B4519">
            <v>41133</v>
          </cell>
          <cell r="C4519">
            <v>0</v>
          </cell>
          <cell r="D4519" t="str">
            <v>PHP</v>
          </cell>
          <cell r="E4519">
            <v>0</v>
          </cell>
          <cell r="F4519" t="str">
            <v>LEN</v>
          </cell>
          <cell r="G4519">
            <v>0</v>
          </cell>
        </row>
        <row r="4520">
          <cell r="B4520">
            <v>41134</v>
          </cell>
          <cell r="C4520">
            <v>0</v>
          </cell>
          <cell r="D4520" t="str">
            <v>PHP</v>
          </cell>
          <cell r="E4520">
            <v>0</v>
          </cell>
          <cell r="F4520" t="str">
            <v>LEN</v>
          </cell>
          <cell r="G4520">
            <v>0</v>
          </cell>
        </row>
        <row r="4521">
          <cell r="B4521">
            <v>41135</v>
          </cell>
          <cell r="C4521">
            <v>0</v>
          </cell>
          <cell r="D4521" t="str">
            <v>PHP</v>
          </cell>
          <cell r="E4521">
            <v>0</v>
          </cell>
          <cell r="F4521" t="str">
            <v>LEN</v>
          </cell>
          <cell r="G4521">
            <v>0</v>
          </cell>
        </row>
        <row r="4522">
          <cell r="B4522">
            <v>41169</v>
          </cell>
          <cell r="C4522">
            <v>271608.12</v>
          </cell>
          <cell r="D4522" t="str">
            <v>PHP</v>
          </cell>
          <cell r="E4522">
            <v>120</v>
          </cell>
          <cell r="F4522" t="str">
            <v>PC</v>
          </cell>
          <cell r="G4522">
            <v>0</v>
          </cell>
        </row>
        <row r="4523">
          <cell r="B4523">
            <v>41226</v>
          </cell>
          <cell r="C4523">
            <v>59725.19</v>
          </cell>
          <cell r="D4523" t="str">
            <v>PHP</v>
          </cell>
          <cell r="E4523">
            <v>3</v>
          </cell>
          <cell r="F4523" t="str">
            <v>PC</v>
          </cell>
          <cell r="G4523">
            <v>0</v>
          </cell>
        </row>
        <row r="4524">
          <cell r="B4524">
            <v>41227</v>
          </cell>
          <cell r="C4524">
            <v>726248.66</v>
          </cell>
          <cell r="D4524" t="str">
            <v>PHP</v>
          </cell>
          <cell r="E4524">
            <v>10</v>
          </cell>
          <cell r="F4524" t="str">
            <v>PC</v>
          </cell>
          <cell r="G4524">
            <v>0</v>
          </cell>
        </row>
        <row r="4525">
          <cell r="B4525">
            <v>41228</v>
          </cell>
          <cell r="C4525">
            <v>29400</v>
          </cell>
          <cell r="D4525" t="str">
            <v>PHP</v>
          </cell>
          <cell r="E4525">
            <v>3</v>
          </cell>
          <cell r="F4525" t="str">
            <v>PC</v>
          </cell>
          <cell r="G4525">
            <v>0</v>
          </cell>
        </row>
        <row r="4526">
          <cell r="B4526">
            <v>41229</v>
          </cell>
          <cell r="C4526">
            <v>32276</v>
          </cell>
          <cell r="D4526" t="str">
            <v>PHP</v>
          </cell>
          <cell r="E4526">
            <v>2</v>
          </cell>
          <cell r="F4526" t="str">
            <v>PC</v>
          </cell>
          <cell r="G4526">
            <v>0</v>
          </cell>
        </row>
        <row r="4527">
          <cell r="B4527">
            <v>41230</v>
          </cell>
          <cell r="C4527">
            <v>824</v>
          </cell>
          <cell r="D4527" t="str">
            <v>PHP</v>
          </cell>
          <cell r="E4527">
            <v>4</v>
          </cell>
          <cell r="F4527" t="str">
            <v>PC</v>
          </cell>
          <cell r="G4527">
            <v>0</v>
          </cell>
        </row>
        <row r="4528">
          <cell r="B4528">
            <v>41231</v>
          </cell>
          <cell r="C4528">
            <v>1200</v>
          </cell>
          <cell r="D4528" t="str">
            <v>PHP</v>
          </cell>
          <cell r="E4528">
            <v>2</v>
          </cell>
          <cell r="F4528" t="str">
            <v>PC</v>
          </cell>
          <cell r="G4528">
            <v>0</v>
          </cell>
        </row>
        <row r="4529">
          <cell r="B4529">
            <v>41232</v>
          </cell>
          <cell r="C4529">
            <v>140953.75</v>
          </cell>
          <cell r="D4529" t="str">
            <v>PHP</v>
          </cell>
          <cell r="E4529">
            <v>5</v>
          </cell>
          <cell r="F4529" t="str">
            <v>PC</v>
          </cell>
          <cell r="G4529">
            <v>0</v>
          </cell>
        </row>
        <row r="4530">
          <cell r="B4530">
            <v>41233</v>
          </cell>
          <cell r="C4530">
            <v>6449.82</v>
          </cell>
          <cell r="D4530" t="str">
            <v>PHP</v>
          </cell>
          <cell r="E4530">
            <v>4</v>
          </cell>
          <cell r="F4530" t="str">
            <v>PC</v>
          </cell>
          <cell r="G4530">
            <v>0</v>
          </cell>
        </row>
        <row r="4531">
          <cell r="B4531">
            <v>41234</v>
          </cell>
          <cell r="C4531">
            <v>13454.82</v>
          </cell>
          <cell r="D4531" t="str">
            <v>PHP</v>
          </cell>
          <cell r="E4531">
            <v>2</v>
          </cell>
          <cell r="F4531" t="str">
            <v>PC</v>
          </cell>
          <cell r="G4531">
            <v>0</v>
          </cell>
        </row>
        <row r="4532">
          <cell r="B4532">
            <v>41235</v>
          </cell>
          <cell r="C4532">
            <v>4874</v>
          </cell>
          <cell r="D4532" t="str">
            <v>PHP</v>
          </cell>
          <cell r="E4532">
            <v>1</v>
          </cell>
          <cell r="F4532" t="str">
            <v>PC</v>
          </cell>
          <cell r="G4532">
            <v>0</v>
          </cell>
        </row>
        <row r="4533">
          <cell r="B4533">
            <v>41236</v>
          </cell>
          <cell r="C4533">
            <v>62192.88</v>
          </cell>
          <cell r="D4533" t="str">
            <v>PHP</v>
          </cell>
          <cell r="E4533">
            <v>3</v>
          </cell>
          <cell r="F4533" t="str">
            <v>PC</v>
          </cell>
          <cell r="G4533">
            <v>0</v>
          </cell>
        </row>
        <row r="4534">
          <cell r="B4534">
            <v>41240</v>
          </cell>
          <cell r="C4534">
            <v>11460</v>
          </cell>
          <cell r="D4534" t="str">
            <v>PHP</v>
          </cell>
          <cell r="E4534">
            <v>6</v>
          </cell>
          <cell r="F4534" t="str">
            <v>PC</v>
          </cell>
          <cell r="G4534">
            <v>0</v>
          </cell>
        </row>
        <row r="4535">
          <cell r="B4535">
            <v>41243</v>
          </cell>
          <cell r="C4535">
            <v>82656</v>
          </cell>
          <cell r="D4535" t="str">
            <v>PHP</v>
          </cell>
          <cell r="E4535">
            <v>3</v>
          </cell>
          <cell r="F4535" t="str">
            <v>SET</v>
          </cell>
          <cell r="G4535">
            <v>0</v>
          </cell>
        </row>
        <row r="4536">
          <cell r="B4536">
            <v>41244</v>
          </cell>
          <cell r="C4536">
            <v>140254.67000000001</v>
          </cell>
          <cell r="D4536" t="str">
            <v>PHP</v>
          </cell>
          <cell r="E4536">
            <v>16</v>
          </cell>
          <cell r="F4536" t="str">
            <v>PC</v>
          </cell>
          <cell r="G4536">
            <v>0</v>
          </cell>
        </row>
        <row r="4537">
          <cell r="B4537">
            <v>41247</v>
          </cell>
          <cell r="C4537">
            <v>64324</v>
          </cell>
          <cell r="D4537" t="str">
            <v>PHP</v>
          </cell>
          <cell r="E4537">
            <v>10</v>
          </cell>
          <cell r="F4537" t="str">
            <v>PC</v>
          </cell>
          <cell r="G4537">
            <v>0</v>
          </cell>
        </row>
        <row r="4538">
          <cell r="B4538">
            <v>41250</v>
          </cell>
          <cell r="C4538">
            <v>11412</v>
          </cell>
          <cell r="D4538" t="str">
            <v>PHP</v>
          </cell>
          <cell r="E4538">
            <v>3</v>
          </cell>
          <cell r="F4538" t="str">
            <v>PC</v>
          </cell>
          <cell r="G4538">
            <v>0</v>
          </cell>
        </row>
        <row r="4539">
          <cell r="B4539">
            <v>41251</v>
          </cell>
          <cell r="C4539">
            <v>155386.5</v>
          </cell>
          <cell r="D4539" t="str">
            <v>PHP</v>
          </cell>
          <cell r="E4539">
            <v>6</v>
          </cell>
          <cell r="F4539" t="str">
            <v>PC</v>
          </cell>
          <cell r="G4539">
            <v>0</v>
          </cell>
        </row>
        <row r="4540">
          <cell r="B4540">
            <v>41257</v>
          </cell>
          <cell r="C4540">
            <v>1783600.32</v>
          </cell>
          <cell r="D4540" t="str">
            <v>PHP</v>
          </cell>
          <cell r="E4540">
            <v>6</v>
          </cell>
          <cell r="F4540" t="str">
            <v>SET</v>
          </cell>
          <cell r="G4540">
            <v>0</v>
          </cell>
        </row>
        <row r="4541">
          <cell r="B4541">
            <v>41259</v>
          </cell>
          <cell r="C4541">
            <v>0</v>
          </cell>
          <cell r="D4541" t="str">
            <v>PHP</v>
          </cell>
          <cell r="E4541">
            <v>0</v>
          </cell>
          <cell r="F4541" t="str">
            <v>PC</v>
          </cell>
          <cell r="G4541">
            <v>0</v>
          </cell>
        </row>
        <row r="4542">
          <cell r="B4542">
            <v>41284</v>
          </cell>
          <cell r="C4542">
            <v>0</v>
          </cell>
          <cell r="D4542" t="str">
            <v>PHP</v>
          </cell>
          <cell r="E4542">
            <v>0</v>
          </cell>
          <cell r="F4542" t="str">
            <v>GAL</v>
          </cell>
          <cell r="G4542">
            <v>0</v>
          </cell>
        </row>
        <row r="4543">
          <cell r="B4543">
            <v>41306</v>
          </cell>
          <cell r="C4543">
            <v>28506.240000000002</v>
          </cell>
          <cell r="D4543" t="str">
            <v>PHP</v>
          </cell>
          <cell r="E4543">
            <v>6</v>
          </cell>
          <cell r="F4543" t="str">
            <v>PC</v>
          </cell>
          <cell r="G4543">
            <v>0</v>
          </cell>
        </row>
        <row r="4544">
          <cell r="B4544">
            <v>41313</v>
          </cell>
          <cell r="C4544">
            <v>4285.72</v>
          </cell>
          <cell r="D4544" t="str">
            <v>PHP</v>
          </cell>
          <cell r="E4544">
            <v>4</v>
          </cell>
          <cell r="F4544" t="str">
            <v>PC</v>
          </cell>
          <cell r="G4544">
            <v>0</v>
          </cell>
        </row>
        <row r="4545">
          <cell r="B4545">
            <v>41332</v>
          </cell>
          <cell r="C4545">
            <v>80367.839999999997</v>
          </cell>
          <cell r="D4545" t="str">
            <v>PHP</v>
          </cell>
          <cell r="E4545">
            <v>1</v>
          </cell>
          <cell r="F4545" t="str">
            <v>PC</v>
          </cell>
          <cell r="G4545">
            <v>0</v>
          </cell>
        </row>
        <row r="4546">
          <cell r="B4546">
            <v>41334</v>
          </cell>
          <cell r="C4546">
            <v>18725.28</v>
          </cell>
          <cell r="D4546" t="str">
            <v>PHP</v>
          </cell>
          <cell r="E4546">
            <v>3</v>
          </cell>
          <cell r="F4546" t="str">
            <v>PC</v>
          </cell>
          <cell r="G4546">
            <v>0</v>
          </cell>
        </row>
        <row r="4547">
          <cell r="B4547">
            <v>41335</v>
          </cell>
          <cell r="C4547">
            <v>95027.520000000004</v>
          </cell>
          <cell r="D4547" t="str">
            <v>PHP</v>
          </cell>
          <cell r="E4547">
            <v>6</v>
          </cell>
          <cell r="F4547" t="str">
            <v>PC</v>
          </cell>
          <cell r="G4547">
            <v>0</v>
          </cell>
        </row>
        <row r="4548">
          <cell r="B4548">
            <v>41338</v>
          </cell>
          <cell r="C4548">
            <v>0</v>
          </cell>
          <cell r="D4548" t="str">
            <v>PHP</v>
          </cell>
          <cell r="E4548">
            <v>0</v>
          </cell>
          <cell r="F4548" t="str">
            <v>PC</v>
          </cell>
          <cell r="G4548">
            <v>0</v>
          </cell>
        </row>
        <row r="4549">
          <cell r="B4549">
            <v>41342</v>
          </cell>
          <cell r="C4549">
            <v>12855.36</v>
          </cell>
          <cell r="D4549" t="str">
            <v>PHP</v>
          </cell>
          <cell r="E4549">
            <v>3</v>
          </cell>
          <cell r="F4549" t="str">
            <v>PC</v>
          </cell>
          <cell r="G4549">
            <v>0</v>
          </cell>
        </row>
        <row r="4550">
          <cell r="B4550">
            <v>41404</v>
          </cell>
          <cell r="C4550">
            <v>8408.7999999999993</v>
          </cell>
          <cell r="D4550" t="str">
            <v>PHP</v>
          </cell>
          <cell r="E4550">
            <v>1</v>
          </cell>
          <cell r="F4550" t="str">
            <v>PC</v>
          </cell>
          <cell r="G4550">
            <v>0</v>
          </cell>
        </row>
        <row r="4551">
          <cell r="B4551">
            <v>41413</v>
          </cell>
          <cell r="C4551">
            <v>19065.41</v>
          </cell>
          <cell r="D4551" t="str">
            <v>PHP</v>
          </cell>
          <cell r="E4551">
            <v>2</v>
          </cell>
          <cell r="F4551" t="str">
            <v>PC</v>
          </cell>
          <cell r="G4551">
            <v>0</v>
          </cell>
        </row>
        <row r="4552">
          <cell r="B4552">
            <v>41417</v>
          </cell>
          <cell r="C4552">
            <v>268802.53000000003</v>
          </cell>
          <cell r="D4552" t="str">
            <v>PHP</v>
          </cell>
          <cell r="E4552">
            <v>8</v>
          </cell>
          <cell r="F4552" t="str">
            <v>PC</v>
          </cell>
          <cell r="G4552">
            <v>0</v>
          </cell>
        </row>
        <row r="4553">
          <cell r="B4553">
            <v>41419</v>
          </cell>
          <cell r="C4553">
            <v>6074.93</v>
          </cell>
          <cell r="D4553" t="str">
            <v>PHP</v>
          </cell>
          <cell r="E4553">
            <v>6</v>
          </cell>
          <cell r="F4553" t="str">
            <v>PC</v>
          </cell>
          <cell r="G4553">
            <v>0</v>
          </cell>
        </row>
        <row r="4554">
          <cell r="B4554">
            <v>41421</v>
          </cell>
          <cell r="C4554">
            <v>52116.43</v>
          </cell>
          <cell r="D4554" t="str">
            <v>PHP</v>
          </cell>
          <cell r="E4554">
            <v>16</v>
          </cell>
          <cell r="F4554" t="str">
            <v>PC</v>
          </cell>
          <cell r="G4554">
            <v>0</v>
          </cell>
        </row>
        <row r="4555">
          <cell r="B4555">
            <v>41430</v>
          </cell>
          <cell r="C4555">
            <v>1012.53</v>
          </cell>
          <cell r="D4555" t="str">
            <v>PHP</v>
          </cell>
          <cell r="E4555">
            <v>8</v>
          </cell>
          <cell r="F4555" t="str">
            <v>PC</v>
          </cell>
          <cell r="G4555">
            <v>0</v>
          </cell>
        </row>
        <row r="4556">
          <cell r="B4556">
            <v>41432</v>
          </cell>
          <cell r="C4556">
            <v>0</v>
          </cell>
          <cell r="D4556" t="str">
            <v>PHP</v>
          </cell>
          <cell r="E4556">
            <v>0</v>
          </cell>
          <cell r="F4556" t="str">
            <v>PC</v>
          </cell>
          <cell r="G4556">
            <v>0</v>
          </cell>
        </row>
        <row r="4557">
          <cell r="B4557">
            <v>41434</v>
          </cell>
          <cell r="C4557">
            <v>0</v>
          </cell>
          <cell r="D4557" t="str">
            <v>PHP</v>
          </cell>
          <cell r="E4557">
            <v>0</v>
          </cell>
          <cell r="F4557" t="str">
            <v>PC</v>
          </cell>
          <cell r="G4557">
            <v>0</v>
          </cell>
        </row>
        <row r="4558">
          <cell r="B4558">
            <v>41445</v>
          </cell>
          <cell r="C4558">
            <v>0</v>
          </cell>
          <cell r="D4558" t="str">
            <v>PHP</v>
          </cell>
          <cell r="E4558">
            <v>0</v>
          </cell>
          <cell r="F4558" t="str">
            <v>PC</v>
          </cell>
          <cell r="G4558">
            <v>0</v>
          </cell>
        </row>
        <row r="4559">
          <cell r="B4559">
            <v>41467</v>
          </cell>
          <cell r="C4559">
            <v>0</v>
          </cell>
          <cell r="D4559" t="str">
            <v>PHP</v>
          </cell>
          <cell r="E4559">
            <v>0</v>
          </cell>
          <cell r="F4559" t="str">
            <v>PC</v>
          </cell>
          <cell r="G4559">
            <v>0</v>
          </cell>
        </row>
        <row r="4560">
          <cell r="B4560">
            <v>41468</v>
          </cell>
          <cell r="C4560">
            <v>2026</v>
          </cell>
          <cell r="D4560" t="str">
            <v>PHP</v>
          </cell>
          <cell r="E4560">
            <v>2</v>
          </cell>
          <cell r="F4560" t="str">
            <v>PC</v>
          </cell>
          <cell r="G4560">
            <v>0</v>
          </cell>
        </row>
        <row r="4561">
          <cell r="B4561">
            <v>41472</v>
          </cell>
          <cell r="C4561">
            <v>0</v>
          </cell>
          <cell r="D4561" t="str">
            <v>PHP</v>
          </cell>
          <cell r="E4561">
            <v>0</v>
          </cell>
          <cell r="F4561" t="str">
            <v>PC</v>
          </cell>
          <cell r="G4561">
            <v>0</v>
          </cell>
        </row>
        <row r="4562">
          <cell r="B4562">
            <v>41473</v>
          </cell>
          <cell r="C4562">
            <v>0</v>
          </cell>
          <cell r="D4562" t="str">
            <v>PHP</v>
          </cell>
          <cell r="E4562">
            <v>0</v>
          </cell>
          <cell r="F4562" t="str">
            <v>PC</v>
          </cell>
          <cell r="G4562">
            <v>0</v>
          </cell>
        </row>
        <row r="4563">
          <cell r="B4563">
            <v>41480</v>
          </cell>
          <cell r="C4563">
            <v>1395</v>
          </cell>
          <cell r="D4563" t="str">
            <v>PHP</v>
          </cell>
          <cell r="E4563">
            <v>3</v>
          </cell>
          <cell r="F4563" t="str">
            <v>PC</v>
          </cell>
          <cell r="G4563">
            <v>0</v>
          </cell>
        </row>
        <row r="4564">
          <cell r="B4564">
            <v>41481</v>
          </cell>
          <cell r="C4564">
            <v>8806.4</v>
          </cell>
          <cell r="D4564" t="str">
            <v>PHP</v>
          </cell>
          <cell r="E4564">
            <v>20</v>
          </cell>
          <cell r="F4564" t="str">
            <v>PC</v>
          </cell>
          <cell r="G4564">
            <v>0</v>
          </cell>
        </row>
        <row r="4565">
          <cell r="B4565">
            <v>41484</v>
          </cell>
          <cell r="C4565">
            <v>31832</v>
          </cell>
          <cell r="D4565" t="str">
            <v>PHP</v>
          </cell>
          <cell r="E4565">
            <v>12</v>
          </cell>
          <cell r="F4565" t="str">
            <v>PC</v>
          </cell>
          <cell r="G4565">
            <v>0</v>
          </cell>
        </row>
        <row r="4566">
          <cell r="B4566">
            <v>41487</v>
          </cell>
          <cell r="C4566">
            <v>14048.14</v>
          </cell>
          <cell r="D4566" t="str">
            <v>PHP</v>
          </cell>
          <cell r="E4566">
            <v>1</v>
          </cell>
          <cell r="F4566" t="str">
            <v>PC</v>
          </cell>
          <cell r="G4566">
            <v>0</v>
          </cell>
        </row>
        <row r="4567">
          <cell r="B4567">
            <v>41489</v>
          </cell>
          <cell r="C4567">
            <v>3461.14</v>
          </cell>
          <cell r="D4567" t="str">
            <v>PHP</v>
          </cell>
          <cell r="E4567">
            <v>1</v>
          </cell>
          <cell r="F4567" t="str">
            <v>PC</v>
          </cell>
          <cell r="G4567">
            <v>0</v>
          </cell>
        </row>
        <row r="4568">
          <cell r="B4568">
            <v>41498</v>
          </cell>
          <cell r="C4568">
            <v>0</v>
          </cell>
          <cell r="D4568" t="str">
            <v>PHP</v>
          </cell>
          <cell r="E4568">
            <v>0</v>
          </cell>
          <cell r="F4568" t="str">
            <v>ASY</v>
          </cell>
          <cell r="G4568">
            <v>0</v>
          </cell>
        </row>
        <row r="4569">
          <cell r="B4569">
            <v>41502</v>
          </cell>
          <cell r="C4569">
            <v>0</v>
          </cell>
          <cell r="D4569" t="str">
            <v>PHP</v>
          </cell>
          <cell r="E4569">
            <v>0</v>
          </cell>
          <cell r="F4569" t="str">
            <v>PC</v>
          </cell>
          <cell r="G4569">
            <v>0</v>
          </cell>
        </row>
        <row r="4570">
          <cell r="B4570">
            <v>41503</v>
          </cell>
          <cell r="C4570">
            <v>963.48</v>
          </cell>
          <cell r="D4570" t="str">
            <v>PHP</v>
          </cell>
          <cell r="E4570">
            <v>1</v>
          </cell>
          <cell r="F4570" t="str">
            <v>PC</v>
          </cell>
          <cell r="G4570">
            <v>0</v>
          </cell>
        </row>
        <row r="4571">
          <cell r="B4571">
            <v>41504</v>
          </cell>
          <cell r="C4571">
            <v>13253.24</v>
          </cell>
          <cell r="D4571" t="str">
            <v>PHP</v>
          </cell>
          <cell r="E4571">
            <v>14</v>
          </cell>
          <cell r="F4571" t="str">
            <v>PC</v>
          </cell>
          <cell r="G4571">
            <v>0</v>
          </cell>
        </row>
        <row r="4572">
          <cell r="B4572">
            <v>41505</v>
          </cell>
          <cell r="C4572">
            <v>84110.399999999994</v>
          </cell>
          <cell r="D4572" t="str">
            <v>PHP</v>
          </cell>
          <cell r="E4572">
            <v>12</v>
          </cell>
          <cell r="F4572" t="str">
            <v>PC</v>
          </cell>
          <cell r="G4572">
            <v>0</v>
          </cell>
        </row>
        <row r="4573">
          <cell r="B4573">
            <v>41507</v>
          </cell>
          <cell r="C4573">
            <v>35732.620000000003</v>
          </cell>
          <cell r="D4573" t="str">
            <v>PHP</v>
          </cell>
          <cell r="E4573">
            <v>31</v>
          </cell>
          <cell r="F4573" t="str">
            <v>PC</v>
          </cell>
          <cell r="G4573">
            <v>0</v>
          </cell>
        </row>
        <row r="4574">
          <cell r="B4574">
            <v>41508</v>
          </cell>
          <cell r="C4574">
            <v>14640</v>
          </cell>
          <cell r="D4574" t="str">
            <v>PHP</v>
          </cell>
          <cell r="E4574">
            <v>4</v>
          </cell>
          <cell r="F4574" t="str">
            <v>PC</v>
          </cell>
          <cell r="G4574">
            <v>0</v>
          </cell>
        </row>
        <row r="4575">
          <cell r="B4575">
            <v>41509</v>
          </cell>
          <cell r="C4575">
            <v>58400</v>
          </cell>
          <cell r="D4575" t="str">
            <v>PHP</v>
          </cell>
          <cell r="E4575">
            <v>4</v>
          </cell>
          <cell r="F4575" t="str">
            <v>PC</v>
          </cell>
          <cell r="G4575">
            <v>0</v>
          </cell>
        </row>
        <row r="4576">
          <cell r="B4576">
            <v>41523</v>
          </cell>
          <cell r="C4576">
            <v>137639.04000000001</v>
          </cell>
          <cell r="D4576" t="str">
            <v>PHP</v>
          </cell>
          <cell r="E4576">
            <v>66</v>
          </cell>
          <cell r="F4576" t="str">
            <v>PC</v>
          </cell>
          <cell r="G4576">
            <v>0</v>
          </cell>
        </row>
        <row r="4577">
          <cell r="B4577">
            <v>41530</v>
          </cell>
          <cell r="C4577">
            <v>22839.18</v>
          </cell>
          <cell r="D4577" t="str">
            <v>PHP</v>
          </cell>
          <cell r="E4577">
            <v>37</v>
          </cell>
          <cell r="F4577" t="str">
            <v>PC</v>
          </cell>
          <cell r="G4577">
            <v>0</v>
          </cell>
        </row>
        <row r="4578">
          <cell r="B4578">
            <v>41531</v>
          </cell>
          <cell r="C4578">
            <v>40466.69</v>
          </cell>
          <cell r="D4578" t="str">
            <v>PHP</v>
          </cell>
          <cell r="E4578">
            <v>58</v>
          </cell>
          <cell r="F4578" t="str">
            <v>PC</v>
          </cell>
          <cell r="G4578">
            <v>0</v>
          </cell>
        </row>
        <row r="4579">
          <cell r="B4579">
            <v>41532</v>
          </cell>
          <cell r="C4579">
            <v>7950.2</v>
          </cell>
          <cell r="D4579" t="str">
            <v>PHP</v>
          </cell>
          <cell r="E4579">
            <v>11</v>
          </cell>
          <cell r="F4579" t="str">
            <v>PC</v>
          </cell>
          <cell r="G4579">
            <v>0</v>
          </cell>
        </row>
        <row r="4580">
          <cell r="B4580">
            <v>41533</v>
          </cell>
          <cell r="C4580">
            <v>17668.810000000001</v>
          </cell>
          <cell r="D4580" t="str">
            <v>PHP</v>
          </cell>
          <cell r="E4580">
            <v>15</v>
          </cell>
          <cell r="F4580" t="str">
            <v>PC</v>
          </cell>
          <cell r="G4580">
            <v>0</v>
          </cell>
        </row>
        <row r="4581">
          <cell r="B4581">
            <v>41534</v>
          </cell>
          <cell r="C4581">
            <v>11537.96</v>
          </cell>
          <cell r="D4581" t="str">
            <v>PHP</v>
          </cell>
          <cell r="E4581">
            <v>9</v>
          </cell>
          <cell r="F4581" t="str">
            <v>PC</v>
          </cell>
          <cell r="G4581">
            <v>0</v>
          </cell>
        </row>
        <row r="4582">
          <cell r="B4582">
            <v>41535</v>
          </cell>
          <cell r="C4582">
            <v>11425.04</v>
          </cell>
          <cell r="D4582" t="str">
            <v>PHP</v>
          </cell>
          <cell r="E4582">
            <v>7</v>
          </cell>
          <cell r="F4582" t="str">
            <v>PC</v>
          </cell>
          <cell r="G4582">
            <v>0</v>
          </cell>
        </row>
        <row r="4583">
          <cell r="B4583">
            <v>41536</v>
          </cell>
          <cell r="C4583">
            <v>39167.480000000003</v>
          </cell>
          <cell r="D4583" t="str">
            <v>PHP</v>
          </cell>
          <cell r="E4583">
            <v>16</v>
          </cell>
          <cell r="F4583" t="str">
            <v>PC</v>
          </cell>
          <cell r="G4583">
            <v>0</v>
          </cell>
        </row>
        <row r="4584">
          <cell r="B4584">
            <v>41537</v>
          </cell>
          <cell r="C4584">
            <v>29515.42</v>
          </cell>
          <cell r="D4584" t="str">
            <v>PHP</v>
          </cell>
          <cell r="E4584">
            <v>18</v>
          </cell>
          <cell r="F4584" t="str">
            <v>PC</v>
          </cell>
          <cell r="G4584">
            <v>0</v>
          </cell>
        </row>
        <row r="4585">
          <cell r="B4585">
            <v>41538</v>
          </cell>
          <cell r="C4585">
            <v>0</v>
          </cell>
          <cell r="D4585" t="str">
            <v>PHP</v>
          </cell>
          <cell r="E4585">
            <v>0</v>
          </cell>
          <cell r="F4585" t="str">
            <v>PC</v>
          </cell>
          <cell r="G4585">
            <v>0</v>
          </cell>
        </row>
        <row r="4586">
          <cell r="B4586">
            <v>41539</v>
          </cell>
          <cell r="C4586">
            <v>12620.73</v>
          </cell>
          <cell r="D4586" t="str">
            <v>PHP</v>
          </cell>
          <cell r="E4586">
            <v>3</v>
          </cell>
          <cell r="F4586" t="str">
            <v>PC</v>
          </cell>
          <cell r="G4586">
            <v>0</v>
          </cell>
        </row>
        <row r="4587">
          <cell r="B4587">
            <v>41540</v>
          </cell>
          <cell r="C4587">
            <v>0</v>
          </cell>
          <cell r="D4587" t="str">
            <v>PHP</v>
          </cell>
          <cell r="E4587">
            <v>0</v>
          </cell>
          <cell r="F4587" t="str">
            <v>PC</v>
          </cell>
          <cell r="G4587">
            <v>0</v>
          </cell>
        </row>
        <row r="4588">
          <cell r="B4588">
            <v>41541</v>
          </cell>
          <cell r="C4588">
            <v>33035.71</v>
          </cell>
          <cell r="D4588" t="str">
            <v>PHP</v>
          </cell>
          <cell r="E4588">
            <v>2</v>
          </cell>
          <cell r="F4588" t="str">
            <v>PC</v>
          </cell>
          <cell r="G4588">
            <v>0</v>
          </cell>
        </row>
        <row r="4589">
          <cell r="B4589">
            <v>41542</v>
          </cell>
          <cell r="C4589">
            <v>13280.75</v>
          </cell>
          <cell r="D4589" t="str">
            <v>PHP</v>
          </cell>
          <cell r="E4589">
            <v>11</v>
          </cell>
          <cell r="F4589" t="str">
            <v>PC</v>
          </cell>
          <cell r="G4589">
            <v>0</v>
          </cell>
        </row>
        <row r="4590">
          <cell r="B4590">
            <v>41544</v>
          </cell>
          <cell r="C4590">
            <v>0</v>
          </cell>
          <cell r="D4590" t="str">
            <v>PHP</v>
          </cell>
          <cell r="E4590">
            <v>0</v>
          </cell>
          <cell r="F4590" t="str">
            <v>PC</v>
          </cell>
          <cell r="G4590">
            <v>0</v>
          </cell>
        </row>
        <row r="4591">
          <cell r="B4591">
            <v>41546</v>
          </cell>
          <cell r="C4591">
            <v>104911.3</v>
          </cell>
          <cell r="D4591" t="str">
            <v>PHP</v>
          </cell>
          <cell r="E4591">
            <v>21</v>
          </cell>
          <cell r="F4591" t="str">
            <v>PC</v>
          </cell>
          <cell r="G4591">
            <v>0</v>
          </cell>
        </row>
        <row r="4592">
          <cell r="B4592">
            <v>41547</v>
          </cell>
          <cell r="C4592">
            <v>0</v>
          </cell>
          <cell r="D4592" t="str">
            <v>PHP</v>
          </cell>
          <cell r="E4592">
            <v>0</v>
          </cell>
          <cell r="F4592" t="str">
            <v>PC</v>
          </cell>
          <cell r="G4592">
            <v>0</v>
          </cell>
        </row>
        <row r="4593">
          <cell r="B4593">
            <v>41548</v>
          </cell>
          <cell r="C4593">
            <v>131.32</v>
          </cell>
          <cell r="D4593" t="str">
            <v>PHP</v>
          </cell>
          <cell r="E4593">
            <v>1</v>
          </cell>
          <cell r="F4593" t="str">
            <v>PC</v>
          </cell>
          <cell r="G4593">
            <v>0</v>
          </cell>
        </row>
        <row r="4594">
          <cell r="B4594">
            <v>41551</v>
          </cell>
          <cell r="C4594">
            <v>8164.6</v>
          </cell>
          <cell r="D4594" t="str">
            <v>PHP</v>
          </cell>
          <cell r="E4594">
            <v>2</v>
          </cell>
          <cell r="F4594" t="str">
            <v>PC</v>
          </cell>
          <cell r="G4594">
            <v>0</v>
          </cell>
        </row>
        <row r="4595">
          <cell r="B4595">
            <v>41605</v>
          </cell>
          <cell r="C4595">
            <v>0</v>
          </cell>
          <cell r="D4595" t="str">
            <v>PHP</v>
          </cell>
          <cell r="E4595">
            <v>0</v>
          </cell>
          <cell r="F4595" t="str">
            <v>PC</v>
          </cell>
          <cell r="G4595">
            <v>0</v>
          </cell>
        </row>
        <row r="4596">
          <cell r="B4596">
            <v>41635</v>
          </cell>
          <cell r="C4596">
            <v>46051.47</v>
          </cell>
          <cell r="D4596" t="str">
            <v>PHP</v>
          </cell>
          <cell r="E4596">
            <v>12</v>
          </cell>
          <cell r="F4596" t="str">
            <v>PC</v>
          </cell>
          <cell r="G4596">
            <v>0</v>
          </cell>
        </row>
        <row r="4597">
          <cell r="B4597">
            <v>41637</v>
          </cell>
          <cell r="C4597">
            <v>104521.04</v>
          </cell>
          <cell r="D4597" t="str">
            <v>PHP</v>
          </cell>
          <cell r="E4597">
            <v>2</v>
          </cell>
          <cell r="F4597" t="str">
            <v>ASY</v>
          </cell>
          <cell r="G4597">
            <v>0</v>
          </cell>
        </row>
        <row r="4598">
          <cell r="B4598">
            <v>41650</v>
          </cell>
          <cell r="C4598">
            <v>80947.490000000005</v>
          </cell>
          <cell r="D4598" t="str">
            <v>PHP</v>
          </cell>
          <cell r="E4598">
            <v>1</v>
          </cell>
          <cell r="F4598" t="str">
            <v>ASY</v>
          </cell>
          <cell r="G4598">
            <v>0</v>
          </cell>
        </row>
        <row r="4599">
          <cell r="B4599">
            <v>41662</v>
          </cell>
          <cell r="C4599">
            <v>342625.31</v>
          </cell>
          <cell r="D4599" t="str">
            <v>PHP</v>
          </cell>
          <cell r="E4599">
            <v>170</v>
          </cell>
          <cell r="F4599" t="str">
            <v>PC</v>
          </cell>
          <cell r="G4599">
            <v>0</v>
          </cell>
        </row>
        <row r="4600">
          <cell r="B4600">
            <v>41664</v>
          </cell>
          <cell r="C4600">
            <v>560.28</v>
          </cell>
          <cell r="D4600" t="str">
            <v>PHP</v>
          </cell>
          <cell r="E4600">
            <v>2</v>
          </cell>
          <cell r="F4600" t="str">
            <v>PC</v>
          </cell>
          <cell r="G4600">
            <v>0</v>
          </cell>
        </row>
        <row r="4601">
          <cell r="B4601">
            <v>41665</v>
          </cell>
          <cell r="C4601">
            <v>289776</v>
          </cell>
          <cell r="D4601" t="str">
            <v>PHP</v>
          </cell>
          <cell r="E4601">
            <v>48</v>
          </cell>
          <cell r="F4601" t="str">
            <v>PC</v>
          </cell>
          <cell r="G4601">
            <v>0</v>
          </cell>
        </row>
        <row r="4602">
          <cell r="B4602">
            <v>41668</v>
          </cell>
          <cell r="C4602">
            <v>43833.74</v>
          </cell>
          <cell r="D4602" t="str">
            <v>PHP</v>
          </cell>
          <cell r="E4602">
            <v>16</v>
          </cell>
          <cell r="F4602" t="str">
            <v>PC</v>
          </cell>
          <cell r="G4602">
            <v>0</v>
          </cell>
        </row>
        <row r="4603">
          <cell r="B4603">
            <v>41670</v>
          </cell>
          <cell r="C4603">
            <v>227610</v>
          </cell>
          <cell r="D4603" t="str">
            <v>PHP</v>
          </cell>
          <cell r="E4603">
            <v>18</v>
          </cell>
          <cell r="F4603" t="str">
            <v>PC</v>
          </cell>
          <cell r="G4603">
            <v>0</v>
          </cell>
        </row>
        <row r="4604">
          <cell r="B4604">
            <v>41671</v>
          </cell>
          <cell r="C4604">
            <v>15415</v>
          </cell>
          <cell r="D4604" t="str">
            <v>PHP</v>
          </cell>
          <cell r="E4604">
            <v>5</v>
          </cell>
          <cell r="F4604" t="str">
            <v>PC</v>
          </cell>
          <cell r="G4604">
            <v>0</v>
          </cell>
        </row>
        <row r="4605">
          <cell r="B4605">
            <v>41685</v>
          </cell>
          <cell r="C4605">
            <v>5537.2</v>
          </cell>
          <cell r="D4605" t="str">
            <v>PHP</v>
          </cell>
          <cell r="E4605">
            <v>4</v>
          </cell>
          <cell r="F4605" t="str">
            <v>PC</v>
          </cell>
          <cell r="G4605">
            <v>0</v>
          </cell>
        </row>
        <row r="4606">
          <cell r="B4606">
            <v>41689</v>
          </cell>
          <cell r="C4606">
            <v>711.96</v>
          </cell>
          <cell r="D4606" t="str">
            <v>PHP</v>
          </cell>
          <cell r="E4606">
            <v>2</v>
          </cell>
          <cell r="F4606" t="str">
            <v>PC</v>
          </cell>
          <cell r="G4606">
            <v>0</v>
          </cell>
        </row>
        <row r="4607">
          <cell r="B4607">
            <v>41716</v>
          </cell>
          <cell r="C4607">
            <v>2123.48</v>
          </cell>
          <cell r="D4607" t="str">
            <v>PHP</v>
          </cell>
          <cell r="E4607">
            <v>1</v>
          </cell>
          <cell r="F4607" t="str">
            <v>PC</v>
          </cell>
          <cell r="G4607">
            <v>0</v>
          </cell>
        </row>
        <row r="4608">
          <cell r="B4608">
            <v>41741</v>
          </cell>
          <cell r="C4608">
            <v>32.200000000000003</v>
          </cell>
          <cell r="D4608" t="str">
            <v>PHP</v>
          </cell>
          <cell r="E4608">
            <v>10</v>
          </cell>
          <cell r="F4608" t="str">
            <v>PC</v>
          </cell>
          <cell r="G4608">
            <v>0</v>
          </cell>
        </row>
        <row r="4609">
          <cell r="B4609">
            <v>41742</v>
          </cell>
          <cell r="C4609">
            <v>3836.9</v>
          </cell>
          <cell r="D4609" t="str">
            <v>PHP</v>
          </cell>
          <cell r="E4609">
            <v>5</v>
          </cell>
          <cell r="F4609" t="str">
            <v>ASY</v>
          </cell>
          <cell r="G4609">
            <v>0</v>
          </cell>
        </row>
        <row r="4610">
          <cell r="B4610">
            <v>41751</v>
          </cell>
          <cell r="C4610">
            <v>360.64</v>
          </cell>
          <cell r="D4610" t="str">
            <v>PHP</v>
          </cell>
          <cell r="E4610">
            <v>2</v>
          </cell>
          <cell r="F4610" t="str">
            <v>PC</v>
          </cell>
          <cell r="G4610">
            <v>0</v>
          </cell>
        </row>
        <row r="4611">
          <cell r="B4611">
            <v>41756</v>
          </cell>
          <cell r="C4611">
            <v>0.3</v>
          </cell>
          <cell r="D4611" t="str">
            <v>PHP</v>
          </cell>
          <cell r="E4611">
            <v>3</v>
          </cell>
          <cell r="F4611" t="str">
            <v>PC</v>
          </cell>
          <cell r="G4611">
            <v>0</v>
          </cell>
        </row>
        <row r="4612">
          <cell r="B4612">
            <v>41759</v>
          </cell>
          <cell r="C4612">
            <v>20692.57</v>
          </cell>
          <cell r="D4612" t="str">
            <v>PHP</v>
          </cell>
          <cell r="E4612">
            <v>15</v>
          </cell>
          <cell r="F4612" t="str">
            <v>PC</v>
          </cell>
          <cell r="G4612">
            <v>0</v>
          </cell>
        </row>
        <row r="4613">
          <cell r="B4613">
            <v>41760</v>
          </cell>
          <cell r="C4613">
            <v>7275.45</v>
          </cell>
          <cell r="D4613" t="str">
            <v>PHP</v>
          </cell>
          <cell r="E4613">
            <v>6</v>
          </cell>
          <cell r="F4613" t="str">
            <v>PC</v>
          </cell>
          <cell r="G4613">
            <v>0</v>
          </cell>
        </row>
        <row r="4614">
          <cell r="B4614">
            <v>41769</v>
          </cell>
          <cell r="C4614">
            <v>5107.2</v>
          </cell>
          <cell r="D4614" t="str">
            <v>PHP</v>
          </cell>
          <cell r="E4614">
            <v>48</v>
          </cell>
          <cell r="F4614" t="str">
            <v>PC</v>
          </cell>
          <cell r="G4614">
            <v>0</v>
          </cell>
        </row>
        <row r="4615">
          <cell r="B4615">
            <v>41772</v>
          </cell>
          <cell r="C4615">
            <v>2399.0700000000002</v>
          </cell>
          <cell r="D4615" t="str">
            <v>PHP</v>
          </cell>
          <cell r="E4615">
            <v>10</v>
          </cell>
          <cell r="F4615" t="str">
            <v>PC</v>
          </cell>
          <cell r="G4615">
            <v>0</v>
          </cell>
        </row>
        <row r="4616">
          <cell r="B4616">
            <v>41785</v>
          </cell>
          <cell r="C4616">
            <v>889.96</v>
          </cell>
          <cell r="D4616" t="str">
            <v>PHP</v>
          </cell>
          <cell r="E4616">
            <v>2</v>
          </cell>
          <cell r="F4616" t="str">
            <v>PC</v>
          </cell>
          <cell r="G4616">
            <v>0</v>
          </cell>
        </row>
        <row r="4617">
          <cell r="B4617">
            <v>41877</v>
          </cell>
          <cell r="C4617">
            <v>15456</v>
          </cell>
          <cell r="D4617" t="str">
            <v>PHP</v>
          </cell>
          <cell r="E4617">
            <v>2</v>
          </cell>
          <cell r="F4617" t="str">
            <v>PC</v>
          </cell>
          <cell r="G4617">
            <v>0</v>
          </cell>
        </row>
        <row r="4618">
          <cell r="B4618">
            <v>41885</v>
          </cell>
          <cell r="C4618">
            <v>22812.01</v>
          </cell>
          <cell r="D4618" t="str">
            <v>PHP</v>
          </cell>
          <cell r="E4618">
            <v>42</v>
          </cell>
          <cell r="F4618" t="str">
            <v>PC</v>
          </cell>
          <cell r="G4618">
            <v>0</v>
          </cell>
        </row>
        <row r="4619">
          <cell r="B4619">
            <v>41893</v>
          </cell>
          <cell r="C4619">
            <v>766.78</v>
          </cell>
          <cell r="D4619" t="str">
            <v>PHP</v>
          </cell>
          <cell r="E4619">
            <v>8</v>
          </cell>
          <cell r="F4619" t="str">
            <v>PC</v>
          </cell>
          <cell r="G4619">
            <v>0</v>
          </cell>
        </row>
        <row r="4620">
          <cell r="B4620">
            <v>41894</v>
          </cell>
          <cell r="C4620">
            <v>798.45</v>
          </cell>
          <cell r="D4620" t="str">
            <v>PHP</v>
          </cell>
          <cell r="E4620">
            <v>8</v>
          </cell>
          <cell r="F4620" t="str">
            <v>PC</v>
          </cell>
          <cell r="G4620">
            <v>0</v>
          </cell>
        </row>
        <row r="4621">
          <cell r="B4621">
            <v>41904</v>
          </cell>
          <cell r="C4621">
            <v>2249.4</v>
          </cell>
          <cell r="D4621" t="str">
            <v>PHP</v>
          </cell>
          <cell r="E4621">
            <v>10</v>
          </cell>
          <cell r="F4621" t="str">
            <v>PC</v>
          </cell>
          <cell r="G4621">
            <v>0</v>
          </cell>
        </row>
        <row r="4622">
          <cell r="B4622">
            <v>41905</v>
          </cell>
          <cell r="C4622">
            <v>7272.99</v>
          </cell>
          <cell r="D4622" t="str">
            <v>PHP</v>
          </cell>
          <cell r="E4622">
            <v>4</v>
          </cell>
          <cell r="F4622" t="str">
            <v>PC</v>
          </cell>
          <cell r="G4622">
            <v>0</v>
          </cell>
        </row>
        <row r="4623">
          <cell r="B4623">
            <v>41910</v>
          </cell>
          <cell r="C4623">
            <v>3106</v>
          </cell>
          <cell r="D4623" t="str">
            <v>PHP</v>
          </cell>
          <cell r="E4623">
            <v>1</v>
          </cell>
          <cell r="F4623" t="str">
            <v>PC</v>
          </cell>
          <cell r="G4623">
            <v>0</v>
          </cell>
        </row>
        <row r="4624">
          <cell r="B4624">
            <v>41912</v>
          </cell>
          <cell r="C4624">
            <v>5576</v>
          </cell>
          <cell r="D4624" t="str">
            <v>PHP</v>
          </cell>
          <cell r="E4624">
            <v>2</v>
          </cell>
          <cell r="F4624" t="str">
            <v>ASY</v>
          </cell>
          <cell r="G4624">
            <v>0</v>
          </cell>
        </row>
        <row r="4625">
          <cell r="B4625">
            <v>41914</v>
          </cell>
          <cell r="C4625">
            <v>1799</v>
          </cell>
          <cell r="D4625" t="str">
            <v>PHP</v>
          </cell>
          <cell r="E4625">
            <v>1</v>
          </cell>
          <cell r="F4625" t="str">
            <v>PC</v>
          </cell>
          <cell r="G4625">
            <v>0</v>
          </cell>
        </row>
        <row r="4626">
          <cell r="B4626">
            <v>41927</v>
          </cell>
          <cell r="C4626">
            <v>4611.17</v>
          </cell>
          <cell r="D4626" t="str">
            <v>PHP</v>
          </cell>
          <cell r="E4626">
            <v>12</v>
          </cell>
          <cell r="F4626" t="str">
            <v>PC</v>
          </cell>
          <cell r="G4626">
            <v>0</v>
          </cell>
        </row>
        <row r="4627">
          <cell r="B4627">
            <v>41943</v>
          </cell>
          <cell r="C4627">
            <v>9896.49</v>
          </cell>
          <cell r="D4627" t="str">
            <v>PHP</v>
          </cell>
          <cell r="E4627">
            <v>6</v>
          </cell>
          <cell r="F4627" t="str">
            <v>PC</v>
          </cell>
          <cell r="G4627">
            <v>0</v>
          </cell>
        </row>
        <row r="4628">
          <cell r="B4628">
            <v>41949</v>
          </cell>
          <cell r="C4628">
            <v>0</v>
          </cell>
          <cell r="D4628" t="str">
            <v>PHP</v>
          </cell>
          <cell r="E4628">
            <v>0</v>
          </cell>
          <cell r="F4628" t="str">
            <v>PC</v>
          </cell>
          <cell r="G4628">
            <v>0</v>
          </cell>
        </row>
        <row r="4629">
          <cell r="B4629">
            <v>41963</v>
          </cell>
          <cell r="C4629">
            <v>373</v>
          </cell>
          <cell r="D4629" t="str">
            <v>PHP</v>
          </cell>
          <cell r="E4629">
            <v>1</v>
          </cell>
          <cell r="F4629" t="str">
            <v>PC</v>
          </cell>
          <cell r="G4629">
            <v>0</v>
          </cell>
        </row>
        <row r="4630">
          <cell r="B4630">
            <v>41973</v>
          </cell>
          <cell r="C4630">
            <v>10055.01</v>
          </cell>
          <cell r="D4630" t="str">
            <v>PHP</v>
          </cell>
          <cell r="E4630">
            <v>7</v>
          </cell>
          <cell r="F4630" t="str">
            <v>PC</v>
          </cell>
          <cell r="G4630">
            <v>0</v>
          </cell>
        </row>
        <row r="4631">
          <cell r="B4631">
            <v>41998</v>
          </cell>
          <cell r="C4631">
            <v>782</v>
          </cell>
          <cell r="D4631" t="str">
            <v>PHP</v>
          </cell>
          <cell r="E4631">
            <v>10</v>
          </cell>
          <cell r="F4631" t="str">
            <v>PC</v>
          </cell>
          <cell r="G4631">
            <v>0</v>
          </cell>
        </row>
        <row r="4632">
          <cell r="B4632">
            <v>42020</v>
          </cell>
          <cell r="C4632">
            <v>20.78</v>
          </cell>
          <cell r="D4632" t="str">
            <v>PHP</v>
          </cell>
          <cell r="E4632">
            <v>2</v>
          </cell>
          <cell r="F4632" t="str">
            <v>PC</v>
          </cell>
          <cell r="G4632">
            <v>0</v>
          </cell>
        </row>
        <row r="4633">
          <cell r="B4633">
            <v>42027</v>
          </cell>
          <cell r="C4633">
            <v>14697.25</v>
          </cell>
          <cell r="D4633" t="str">
            <v>PHP</v>
          </cell>
          <cell r="E4633">
            <v>19</v>
          </cell>
          <cell r="F4633" t="str">
            <v>PC</v>
          </cell>
          <cell r="G4633">
            <v>0</v>
          </cell>
        </row>
        <row r="4634">
          <cell r="B4634">
            <v>42030</v>
          </cell>
          <cell r="C4634">
            <v>9208</v>
          </cell>
          <cell r="D4634" t="str">
            <v>PHP</v>
          </cell>
          <cell r="E4634">
            <v>4</v>
          </cell>
          <cell r="F4634" t="str">
            <v>PC</v>
          </cell>
          <cell r="G4634">
            <v>0</v>
          </cell>
        </row>
        <row r="4635">
          <cell r="B4635">
            <v>42041</v>
          </cell>
          <cell r="C4635">
            <v>11791.91</v>
          </cell>
          <cell r="D4635" t="str">
            <v>PHP</v>
          </cell>
          <cell r="E4635">
            <v>9</v>
          </cell>
          <cell r="F4635" t="str">
            <v>PC</v>
          </cell>
          <cell r="G4635">
            <v>0</v>
          </cell>
        </row>
        <row r="4636">
          <cell r="B4636">
            <v>42098</v>
          </cell>
          <cell r="C4636">
            <v>18018.509999999998</v>
          </cell>
          <cell r="D4636" t="str">
            <v>PHP</v>
          </cell>
          <cell r="E4636">
            <v>306</v>
          </cell>
          <cell r="F4636" t="str">
            <v>PC</v>
          </cell>
          <cell r="G4636">
            <v>0</v>
          </cell>
        </row>
        <row r="4637">
          <cell r="B4637">
            <v>42109</v>
          </cell>
          <cell r="C4637">
            <v>5782.31</v>
          </cell>
          <cell r="D4637" t="str">
            <v>PHP</v>
          </cell>
          <cell r="E4637">
            <v>16</v>
          </cell>
          <cell r="F4637" t="str">
            <v>SET</v>
          </cell>
          <cell r="G4637">
            <v>0</v>
          </cell>
        </row>
        <row r="4638">
          <cell r="B4638">
            <v>42111</v>
          </cell>
          <cell r="C4638">
            <v>953.56</v>
          </cell>
          <cell r="D4638" t="str">
            <v>PHP</v>
          </cell>
          <cell r="E4638">
            <v>50</v>
          </cell>
          <cell r="F4638" t="str">
            <v>PC</v>
          </cell>
          <cell r="G4638">
            <v>0</v>
          </cell>
        </row>
        <row r="4639">
          <cell r="B4639">
            <v>42114</v>
          </cell>
          <cell r="C4639">
            <v>2201</v>
          </cell>
          <cell r="D4639" t="str">
            <v>PHP</v>
          </cell>
          <cell r="E4639">
            <v>1</v>
          </cell>
          <cell r="F4639" t="str">
            <v>PC</v>
          </cell>
          <cell r="G4639">
            <v>0</v>
          </cell>
        </row>
        <row r="4640">
          <cell r="B4640">
            <v>42118</v>
          </cell>
          <cell r="C4640">
            <v>13098</v>
          </cell>
          <cell r="D4640" t="str">
            <v>PHP</v>
          </cell>
          <cell r="E4640">
            <v>2</v>
          </cell>
          <cell r="F4640" t="str">
            <v>PC</v>
          </cell>
          <cell r="G4640">
            <v>0</v>
          </cell>
        </row>
        <row r="4641">
          <cell r="B4641">
            <v>42121</v>
          </cell>
          <cell r="C4641">
            <v>132</v>
          </cell>
          <cell r="D4641" t="str">
            <v>PHP</v>
          </cell>
          <cell r="E4641">
            <v>2</v>
          </cell>
          <cell r="F4641" t="str">
            <v>PC</v>
          </cell>
          <cell r="G4641">
            <v>0</v>
          </cell>
        </row>
        <row r="4642">
          <cell r="B4642">
            <v>42142</v>
          </cell>
          <cell r="C4642">
            <v>1964.2</v>
          </cell>
          <cell r="D4642" t="str">
            <v>PHP</v>
          </cell>
          <cell r="E4642">
            <v>2</v>
          </cell>
          <cell r="F4642" t="str">
            <v>PC</v>
          </cell>
          <cell r="G4642">
            <v>0</v>
          </cell>
        </row>
        <row r="4643">
          <cell r="B4643">
            <v>42148</v>
          </cell>
          <cell r="C4643">
            <v>3628.86</v>
          </cell>
          <cell r="D4643" t="str">
            <v>PHP</v>
          </cell>
          <cell r="E4643">
            <v>8</v>
          </cell>
          <cell r="F4643" t="str">
            <v>PC</v>
          </cell>
          <cell r="G4643">
            <v>0</v>
          </cell>
        </row>
        <row r="4644">
          <cell r="B4644">
            <v>42149</v>
          </cell>
          <cell r="C4644">
            <v>173.74</v>
          </cell>
          <cell r="D4644" t="str">
            <v>PHP</v>
          </cell>
          <cell r="E4644">
            <v>1</v>
          </cell>
          <cell r="F4644" t="str">
            <v>PC</v>
          </cell>
          <cell r="G4644">
            <v>0</v>
          </cell>
        </row>
        <row r="4645">
          <cell r="B4645">
            <v>42164</v>
          </cell>
          <cell r="C4645">
            <v>3163</v>
          </cell>
          <cell r="D4645" t="str">
            <v>PHP</v>
          </cell>
          <cell r="E4645">
            <v>1</v>
          </cell>
          <cell r="F4645" t="str">
            <v>ASY</v>
          </cell>
          <cell r="G4645">
            <v>0</v>
          </cell>
        </row>
        <row r="4646">
          <cell r="B4646">
            <v>42184</v>
          </cell>
          <cell r="C4646">
            <v>3008.57</v>
          </cell>
          <cell r="D4646" t="str">
            <v>PHP</v>
          </cell>
          <cell r="E4646">
            <v>19</v>
          </cell>
          <cell r="F4646" t="str">
            <v>PC</v>
          </cell>
          <cell r="G4646">
            <v>0</v>
          </cell>
        </row>
        <row r="4647">
          <cell r="B4647">
            <v>42206</v>
          </cell>
          <cell r="C4647">
            <v>65389.59</v>
          </cell>
          <cell r="D4647" t="str">
            <v>PHP</v>
          </cell>
          <cell r="E4647">
            <v>1</v>
          </cell>
          <cell r="F4647" t="str">
            <v>ASY</v>
          </cell>
          <cell r="G4647">
            <v>0</v>
          </cell>
        </row>
        <row r="4648">
          <cell r="B4648">
            <v>42231</v>
          </cell>
          <cell r="C4648">
            <v>55.2</v>
          </cell>
          <cell r="D4648" t="str">
            <v>PHP</v>
          </cell>
          <cell r="E4648">
            <v>8</v>
          </cell>
          <cell r="F4648" t="str">
            <v>PC</v>
          </cell>
          <cell r="G4648">
            <v>0</v>
          </cell>
        </row>
        <row r="4649">
          <cell r="B4649">
            <v>42240</v>
          </cell>
          <cell r="C4649">
            <v>31539.200000000001</v>
          </cell>
          <cell r="D4649" t="str">
            <v>PHP</v>
          </cell>
          <cell r="E4649">
            <v>4</v>
          </cell>
          <cell r="F4649" t="str">
            <v>PC</v>
          </cell>
          <cell r="G4649">
            <v>0</v>
          </cell>
        </row>
        <row r="4650">
          <cell r="B4650">
            <v>42286</v>
          </cell>
          <cell r="C4650">
            <v>1081.08</v>
          </cell>
          <cell r="D4650" t="str">
            <v>PHP</v>
          </cell>
          <cell r="E4650">
            <v>6</v>
          </cell>
          <cell r="F4650" t="str">
            <v>PC</v>
          </cell>
          <cell r="G4650">
            <v>0</v>
          </cell>
        </row>
        <row r="4651">
          <cell r="B4651">
            <v>42287</v>
          </cell>
          <cell r="C4651">
            <v>483.9</v>
          </cell>
          <cell r="D4651" t="str">
            <v>PHP</v>
          </cell>
          <cell r="E4651">
            <v>3</v>
          </cell>
          <cell r="F4651" t="str">
            <v>PC</v>
          </cell>
          <cell r="G4651">
            <v>0</v>
          </cell>
        </row>
        <row r="4652">
          <cell r="B4652">
            <v>42288</v>
          </cell>
          <cell r="C4652">
            <v>7634.49</v>
          </cell>
          <cell r="D4652" t="str">
            <v>PHP</v>
          </cell>
          <cell r="E4652">
            <v>3</v>
          </cell>
          <cell r="F4652" t="str">
            <v>PC</v>
          </cell>
          <cell r="G4652">
            <v>0</v>
          </cell>
        </row>
        <row r="4653">
          <cell r="B4653">
            <v>42289</v>
          </cell>
          <cell r="C4653">
            <v>8579.1299999999992</v>
          </cell>
          <cell r="D4653" t="str">
            <v>PHP</v>
          </cell>
          <cell r="E4653">
            <v>3</v>
          </cell>
          <cell r="F4653" t="str">
            <v>PC</v>
          </cell>
          <cell r="G4653">
            <v>0</v>
          </cell>
        </row>
        <row r="4654">
          <cell r="B4654">
            <v>42290</v>
          </cell>
          <cell r="C4654">
            <v>14331.9</v>
          </cell>
          <cell r="D4654" t="str">
            <v>PHP</v>
          </cell>
          <cell r="E4654">
            <v>2</v>
          </cell>
          <cell r="F4654" t="str">
            <v>PC</v>
          </cell>
          <cell r="G4654">
            <v>0</v>
          </cell>
        </row>
        <row r="4655">
          <cell r="B4655">
            <v>42291</v>
          </cell>
          <cell r="C4655">
            <v>0</v>
          </cell>
          <cell r="D4655" t="str">
            <v>PHP</v>
          </cell>
          <cell r="E4655">
            <v>0</v>
          </cell>
          <cell r="F4655" t="str">
            <v>PC</v>
          </cell>
          <cell r="G4655">
            <v>0</v>
          </cell>
        </row>
        <row r="4656">
          <cell r="B4656">
            <v>42292</v>
          </cell>
          <cell r="C4656">
            <v>9988.9</v>
          </cell>
          <cell r="D4656" t="str">
            <v>PHP</v>
          </cell>
          <cell r="E4656">
            <v>2</v>
          </cell>
          <cell r="F4656" t="str">
            <v>PC</v>
          </cell>
          <cell r="G4656">
            <v>0</v>
          </cell>
        </row>
        <row r="4657">
          <cell r="B4657">
            <v>42293</v>
          </cell>
          <cell r="C4657">
            <v>14331.9</v>
          </cell>
          <cell r="D4657" t="str">
            <v>PHP</v>
          </cell>
          <cell r="E4657">
            <v>2</v>
          </cell>
          <cell r="F4657" t="str">
            <v>PC</v>
          </cell>
          <cell r="G4657">
            <v>0</v>
          </cell>
        </row>
        <row r="4658">
          <cell r="B4658">
            <v>42294</v>
          </cell>
          <cell r="C4658">
            <v>2432.08</v>
          </cell>
          <cell r="D4658" t="str">
            <v>PHP</v>
          </cell>
          <cell r="E4658">
            <v>2</v>
          </cell>
          <cell r="F4658" t="str">
            <v>PC</v>
          </cell>
          <cell r="G4658">
            <v>0</v>
          </cell>
        </row>
        <row r="4659">
          <cell r="B4659">
            <v>42295</v>
          </cell>
          <cell r="C4659">
            <v>7904.26</v>
          </cell>
          <cell r="D4659" t="str">
            <v>PHP</v>
          </cell>
          <cell r="E4659">
            <v>2</v>
          </cell>
          <cell r="F4659" t="str">
            <v>PC</v>
          </cell>
          <cell r="G4659">
            <v>0</v>
          </cell>
        </row>
        <row r="4660">
          <cell r="B4660">
            <v>42296</v>
          </cell>
          <cell r="C4660">
            <v>5279.28</v>
          </cell>
          <cell r="D4660" t="str">
            <v>PHP</v>
          </cell>
          <cell r="E4660">
            <v>3</v>
          </cell>
          <cell r="F4660" t="str">
            <v>PC</v>
          </cell>
          <cell r="G4660">
            <v>0</v>
          </cell>
        </row>
        <row r="4661">
          <cell r="B4661">
            <v>42297</v>
          </cell>
          <cell r="C4661">
            <v>14008.56</v>
          </cell>
          <cell r="D4661" t="str">
            <v>PHP</v>
          </cell>
          <cell r="E4661">
            <v>3</v>
          </cell>
          <cell r="F4661" t="str">
            <v>PC</v>
          </cell>
          <cell r="G4661">
            <v>0</v>
          </cell>
        </row>
        <row r="4662">
          <cell r="B4662">
            <v>42298</v>
          </cell>
          <cell r="C4662">
            <v>11512.56</v>
          </cell>
          <cell r="D4662" t="str">
            <v>PHP</v>
          </cell>
          <cell r="E4662">
            <v>3</v>
          </cell>
          <cell r="F4662" t="str">
            <v>PC</v>
          </cell>
          <cell r="G4662">
            <v>0</v>
          </cell>
        </row>
        <row r="4663">
          <cell r="B4663">
            <v>42299</v>
          </cell>
          <cell r="C4663">
            <v>0</v>
          </cell>
          <cell r="D4663" t="str">
            <v>PHP</v>
          </cell>
          <cell r="E4663">
            <v>0</v>
          </cell>
          <cell r="F4663" t="str">
            <v>PC</v>
          </cell>
          <cell r="G4663">
            <v>0</v>
          </cell>
        </row>
        <row r="4664">
          <cell r="B4664">
            <v>42300</v>
          </cell>
          <cell r="C4664">
            <v>15431.13</v>
          </cell>
          <cell r="D4664" t="str">
            <v>PHP</v>
          </cell>
          <cell r="E4664">
            <v>3</v>
          </cell>
          <cell r="F4664" t="str">
            <v>PC</v>
          </cell>
          <cell r="G4664">
            <v>0</v>
          </cell>
        </row>
        <row r="4665">
          <cell r="B4665">
            <v>42301</v>
          </cell>
          <cell r="C4665">
            <v>147026.88</v>
          </cell>
          <cell r="D4665" t="str">
            <v>PHP</v>
          </cell>
          <cell r="E4665">
            <v>3</v>
          </cell>
          <cell r="F4665" t="str">
            <v>PC</v>
          </cell>
          <cell r="G4665">
            <v>0</v>
          </cell>
        </row>
        <row r="4666">
          <cell r="B4666">
            <v>42302</v>
          </cell>
          <cell r="C4666">
            <v>0</v>
          </cell>
          <cell r="D4666" t="str">
            <v>PHP</v>
          </cell>
          <cell r="E4666">
            <v>0</v>
          </cell>
          <cell r="F4666" t="str">
            <v>KIT</v>
          </cell>
          <cell r="G4666">
            <v>0</v>
          </cell>
        </row>
        <row r="4667">
          <cell r="B4667">
            <v>42303</v>
          </cell>
          <cell r="C4667">
            <v>0</v>
          </cell>
          <cell r="D4667" t="str">
            <v>PHP</v>
          </cell>
          <cell r="E4667">
            <v>0</v>
          </cell>
          <cell r="F4667" t="str">
            <v>KIT</v>
          </cell>
          <cell r="G4667">
            <v>0</v>
          </cell>
        </row>
        <row r="4668">
          <cell r="B4668">
            <v>42382</v>
          </cell>
          <cell r="C4668">
            <v>49054.37</v>
          </cell>
          <cell r="D4668" t="str">
            <v>PHP</v>
          </cell>
          <cell r="E4668">
            <v>170</v>
          </cell>
          <cell r="F4668" t="str">
            <v>FT</v>
          </cell>
          <cell r="G4668">
            <v>0</v>
          </cell>
        </row>
        <row r="4669">
          <cell r="B4669">
            <v>42383</v>
          </cell>
          <cell r="C4669">
            <v>90612</v>
          </cell>
          <cell r="D4669" t="str">
            <v>PHP</v>
          </cell>
          <cell r="E4669">
            <v>6</v>
          </cell>
          <cell r="F4669" t="str">
            <v>PC</v>
          </cell>
          <cell r="G4669">
            <v>0</v>
          </cell>
        </row>
        <row r="4670">
          <cell r="B4670">
            <v>42384</v>
          </cell>
          <cell r="C4670">
            <v>0</v>
          </cell>
          <cell r="D4670" t="str">
            <v>PHP</v>
          </cell>
          <cell r="E4670">
            <v>0</v>
          </cell>
          <cell r="F4670" t="str">
            <v>PC</v>
          </cell>
          <cell r="G4670">
            <v>0</v>
          </cell>
        </row>
        <row r="4671">
          <cell r="B4671">
            <v>42385</v>
          </cell>
          <cell r="C4671">
            <v>0</v>
          </cell>
          <cell r="D4671" t="str">
            <v>PHP</v>
          </cell>
          <cell r="E4671">
            <v>0</v>
          </cell>
          <cell r="F4671" t="str">
            <v>PC</v>
          </cell>
          <cell r="G4671">
            <v>0</v>
          </cell>
        </row>
        <row r="4672">
          <cell r="B4672">
            <v>42386</v>
          </cell>
          <cell r="C4672">
            <v>0</v>
          </cell>
          <cell r="D4672" t="str">
            <v>PHP</v>
          </cell>
          <cell r="E4672">
            <v>0</v>
          </cell>
          <cell r="F4672" t="str">
            <v>PC</v>
          </cell>
          <cell r="G4672">
            <v>0</v>
          </cell>
        </row>
        <row r="4673">
          <cell r="B4673">
            <v>42387</v>
          </cell>
          <cell r="C4673">
            <v>0</v>
          </cell>
          <cell r="D4673" t="str">
            <v>PHP</v>
          </cell>
          <cell r="E4673">
            <v>0</v>
          </cell>
          <cell r="F4673" t="str">
            <v>PC</v>
          </cell>
          <cell r="G4673">
            <v>0</v>
          </cell>
        </row>
        <row r="4674">
          <cell r="B4674">
            <v>42388</v>
          </cell>
          <cell r="C4674">
            <v>0</v>
          </cell>
          <cell r="D4674" t="str">
            <v>PHP</v>
          </cell>
          <cell r="E4674">
            <v>0</v>
          </cell>
          <cell r="F4674" t="str">
            <v>PC</v>
          </cell>
          <cell r="G4674">
            <v>0</v>
          </cell>
        </row>
        <row r="4675">
          <cell r="B4675">
            <v>42389</v>
          </cell>
          <cell r="C4675">
            <v>0</v>
          </cell>
          <cell r="D4675" t="str">
            <v>PHP</v>
          </cell>
          <cell r="E4675">
            <v>0</v>
          </cell>
          <cell r="F4675" t="str">
            <v>PC</v>
          </cell>
          <cell r="G4675">
            <v>0</v>
          </cell>
        </row>
        <row r="4676">
          <cell r="B4676">
            <v>42391</v>
          </cell>
          <cell r="C4676">
            <v>1110</v>
          </cell>
          <cell r="D4676" t="str">
            <v>PHP</v>
          </cell>
          <cell r="E4676">
            <v>1</v>
          </cell>
          <cell r="F4676" t="str">
            <v>PC</v>
          </cell>
          <cell r="G4676">
            <v>0</v>
          </cell>
        </row>
        <row r="4677">
          <cell r="B4677">
            <v>42392</v>
          </cell>
          <cell r="C4677">
            <v>14412.94</v>
          </cell>
          <cell r="D4677" t="str">
            <v>PHP</v>
          </cell>
          <cell r="E4677">
            <v>3</v>
          </cell>
          <cell r="F4677" t="str">
            <v>PC</v>
          </cell>
          <cell r="G4677">
            <v>0</v>
          </cell>
        </row>
        <row r="4678">
          <cell r="B4678">
            <v>42393</v>
          </cell>
          <cell r="C4678">
            <v>0</v>
          </cell>
          <cell r="D4678" t="str">
            <v>PHP</v>
          </cell>
          <cell r="E4678">
            <v>0</v>
          </cell>
          <cell r="F4678" t="str">
            <v>PC</v>
          </cell>
          <cell r="G4678">
            <v>0</v>
          </cell>
        </row>
        <row r="4679">
          <cell r="B4679">
            <v>42395</v>
          </cell>
          <cell r="C4679">
            <v>89347.5</v>
          </cell>
          <cell r="D4679" t="str">
            <v>PHP</v>
          </cell>
          <cell r="E4679">
            <v>1</v>
          </cell>
          <cell r="F4679" t="str">
            <v>PC</v>
          </cell>
          <cell r="G4679">
            <v>0</v>
          </cell>
        </row>
        <row r="4680">
          <cell r="B4680">
            <v>42396</v>
          </cell>
          <cell r="C4680">
            <v>0</v>
          </cell>
          <cell r="D4680" t="str">
            <v>PHP</v>
          </cell>
          <cell r="E4680">
            <v>0</v>
          </cell>
          <cell r="F4680" t="str">
            <v>PC</v>
          </cell>
          <cell r="G4680">
            <v>0</v>
          </cell>
        </row>
        <row r="4681">
          <cell r="B4681">
            <v>42397</v>
          </cell>
          <cell r="C4681">
            <v>0</v>
          </cell>
          <cell r="D4681" t="str">
            <v>PHP</v>
          </cell>
          <cell r="E4681">
            <v>0</v>
          </cell>
          <cell r="F4681" t="str">
            <v>PC</v>
          </cell>
          <cell r="G4681">
            <v>0</v>
          </cell>
        </row>
        <row r="4682">
          <cell r="B4682">
            <v>42398</v>
          </cell>
          <cell r="C4682">
            <v>0</v>
          </cell>
          <cell r="D4682" t="str">
            <v>PHP</v>
          </cell>
          <cell r="E4682">
            <v>0</v>
          </cell>
          <cell r="F4682" t="str">
            <v>PC</v>
          </cell>
          <cell r="G4682">
            <v>0</v>
          </cell>
        </row>
        <row r="4683">
          <cell r="B4683">
            <v>42399</v>
          </cell>
          <cell r="C4683">
            <v>0</v>
          </cell>
          <cell r="D4683" t="str">
            <v>PHP</v>
          </cell>
          <cell r="E4683">
            <v>0</v>
          </cell>
          <cell r="F4683" t="str">
            <v>PC</v>
          </cell>
          <cell r="G4683">
            <v>0</v>
          </cell>
        </row>
        <row r="4684">
          <cell r="B4684">
            <v>42400</v>
          </cell>
          <cell r="C4684">
            <v>0</v>
          </cell>
          <cell r="D4684" t="str">
            <v>PHP</v>
          </cell>
          <cell r="E4684">
            <v>0</v>
          </cell>
          <cell r="F4684" t="str">
            <v>PC</v>
          </cell>
          <cell r="G4684">
            <v>0</v>
          </cell>
        </row>
        <row r="4685">
          <cell r="B4685">
            <v>42404</v>
          </cell>
          <cell r="C4685">
            <v>25000</v>
          </cell>
          <cell r="D4685" t="str">
            <v>PHP</v>
          </cell>
          <cell r="E4685">
            <v>10</v>
          </cell>
          <cell r="F4685" t="str">
            <v>PC</v>
          </cell>
          <cell r="G4685">
            <v>0</v>
          </cell>
        </row>
        <row r="4686">
          <cell r="B4686">
            <v>42430</v>
          </cell>
          <cell r="C4686">
            <v>30000</v>
          </cell>
          <cell r="D4686" t="str">
            <v>PHP</v>
          </cell>
          <cell r="E4686">
            <v>2</v>
          </cell>
          <cell r="F4686" t="str">
            <v>PC</v>
          </cell>
          <cell r="G4686">
            <v>0</v>
          </cell>
        </row>
        <row r="4687">
          <cell r="B4687">
            <v>42431</v>
          </cell>
          <cell r="C4687">
            <v>30000</v>
          </cell>
          <cell r="D4687" t="str">
            <v>PHP</v>
          </cell>
          <cell r="E4687">
            <v>2</v>
          </cell>
          <cell r="F4687" t="str">
            <v>PC</v>
          </cell>
          <cell r="G4687">
            <v>0</v>
          </cell>
        </row>
        <row r="4688">
          <cell r="B4688">
            <v>42435</v>
          </cell>
          <cell r="C4688">
            <v>9761.59</v>
          </cell>
          <cell r="D4688" t="str">
            <v>PHP</v>
          </cell>
          <cell r="E4688">
            <v>3</v>
          </cell>
          <cell r="F4688" t="str">
            <v>ASY</v>
          </cell>
          <cell r="G4688">
            <v>0</v>
          </cell>
        </row>
        <row r="4689">
          <cell r="B4689">
            <v>42436</v>
          </cell>
          <cell r="C4689">
            <v>947.95</v>
          </cell>
          <cell r="D4689" t="str">
            <v>PHP</v>
          </cell>
          <cell r="E4689">
            <v>30</v>
          </cell>
          <cell r="F4689" t="str">
            <v>PC</v>
          </cell>
          <cell r="G4689">
            <v>0</v>
          </cell>
        </row>
        <row r="4690">
          <cell r="B4690">
            <v>42437</v>
          </cell>
          <cell r="C4690">
            <v>114342.75</v>
          </cell>
          <cell r="D4690" t="str">
            <v>PHP</v>
          </cell>
          <cell r="E4690">
            <v>12</v>
          </cell>
          <cell r="F4690" t="str">
            <v>PC</v>
          </cell>
          <cell r="G4690">
            <v>0</v>
          </cell>
        </row>
        <row r="4691">
          <cell r="B4691">
            <v>42438</v>
          </cell>
          <cell r="C4691">
            <v>98857.600000000006</v>
          </cell>
          <cell r="D4691" t="str">
            <v>PHP</v>
          </cell>
          <cell r="E4691">
            <v>160</v>
          </cell>
          <cell r="F4691" t="str">
            <v>PC</v>
          </cell>
          <cell r="G4691">
            <v>0</v>
          </cell>
        </row>
        <row r="4692">
          <cell r="B4692">
            <v>42439</v>
          </cell>
          <cell r="C4692">
            <v>207600.96</v>
          </cell>
          <cell r="D4692" t="str">
            <v>PHP</v>
          </cell>
          <cell r="E4692">
            <v>336</v>
          </cell>
          <cell r="F4692" t="str">
            <v>PC</v>
          </cell>
          <cell r="G4692">
            <v>0</v>
          </cell>
        </row>
        <row r="4693">
          <cell r="B4693">
            <v>42440</v>
          </cell>
          <cell r="C4693">
            <v>56847.69</v>
          </cell>
          <cell r="D4693" t="str">
            <v>PHP</v>
          </cell>
          <cell r="E4693">
            <v>3</v>
          </cell>
          <cell r="F4693" t="str">
            <v>PC</v>
          </cell>
          <cell r="G4693">
            <v>0</v>
          </cell>
        </row>
        <row r="4694">
          <cell r="B4694">
            <v>42441</v>
          </cell>
          <cell r="C4694">
            <v>122139.57</v>
          </cell>
          <cell r="D4694" t="str">
            <v>PHP</v>
          </cell>
          <cell r="E4694">
            <v>7</v>
          </cell>
          <cell r="F4694" t="str">
            <v>PC</v>
          </cell>
          <cell r="G4694">
            <v>0</v>
          </cell>
        </row>
        <row r="4695">
          <cell r="B4695">
            <v>42442</v>
          </cell>
          <cell r="C4695">
            <v>466970.68</v>
          </cell>
          <cell r="D4695" t="str">
            <v>PHP</v>
          </cell>
          <cell r="E4695">
            <v>4</v>
          </cell>
          <cell r="F4695" t="str">
            <v>PC</v>
          </cell>
          <cell r="G4695">
            <v>0</v>
          </cell>
        </row>
        <row r="4696">
          <cell r="B4696">
            <v>42443</v>
          </cell>
          <cell r="C4696">
            <v>0</v>
          </cell>
          <cell r="D4696" t="str">
            <v>PHP</v>
          </cell>
          <cell r="E4696">
            <v>0</v>
          </cell>
          <cell r="F4696" t="str">
            <v>PC</v>
          </cell>
          <cell r="G4696">
            <v>0</v>
          </cell>
        </row>
        <row r="4697">
          <cell r="B4697">
            <v>42444</v>
          </cell>
          <cell r="C4697">
            <v>123566.14</v>
          </cell>
          <cell r="D4697" t="str">
            <v>PHP</v>
          </cell>
          <cell r="E4697">
            <v>7</v>
          </cell>
          <cell r="F4697" t="str">
            <v>PC</v>
          </cell>
          <cell r="G4697">
            <v>0</v>
          </cell>
        </row>
        <row r="4698">
          <cell r="B4698">
            <v>42445</v>
          </cell>
          <cell r="C4698">
            <v>18298.240000000002</v>
          </cell>
          <cell r="D4698" t="str">
            <v>PHP</v>
          </cell>
          <cell r="E4698">
            <v>44</v>
          </cell>
          <cell r="F4698" t="str">
            <v>PC</v>
          </cell>
          <cell r="G4698">
            <v>0</v>
          </cell>
        </row>
        <row r="4699">
          <cell r="B4699">
            <v>42446</v>
          </cell>
          <cell r="C4699">
            <v>26444.880000000001</v>
          </cell>
          <cell r="D4699" t="str">
            <v>PHP</v>
          </cell>
          <cell r="E4699">
            <v>8</v>
          </cell>
          <cell r="F4699" t="str">
            <v>PC</v>
          </cell>
          <cell r="G4699">
            <v>0</v>
          </cell>
        </row>
        <row r="4700">
          <cell r="B4700">
            <v>42447</v>
          </cell>
          <cell r="C4700">
            <v>12106.26</v>
          </cell>
          <cell r="D4700" t="str">
            <v>PHP</v>
          </cell>
          <cell r="E4700">
            <v>2</v>
          </cell>
          <cell r="F4700" t="str">
            <v>PC</v>
          </cell>
          <cell r="G4700">
            <v>0</v>
          </cell>
        </row>
        <row r="4701">
          <cell r="B4701">
            <v>42448</v>
          </cell>
          <cell r="C4701">
            <v>133191.32</v>
          </cell>
          <cell r="D4701" t="str">
            <v>PHP</v>
          </cell>
          <cell r="E4701">
            <v>15</v>
          </cell>
          <cell r="F4701" t="str">
            <v>PC</v>
          </cell>
          <cell r="G4701">
            <v>0</v>
          </cell>
        </row>
        <row r="4702">
          <cell r="B4702">
            <v>42449</v>
          </cell>
          <cell r="C4702">
            <v>237767.13</v>
          </cell>
          <cell r="D4702" t="str">
            <v>PHP</v>
          </cell>
          <cell r="E4702">
            <v>15</v>
          </cell>
          <cell r="F4702" t="str">
            <v>PC</v>
          </cell>
          <cell r="G4702">
            <v>0</v>
          </cell>
        </row>
        <row r="4703">
          <cell r="B4703">
            <v>42450</v>
          </cell>
          <cell r="C4703">
            <v>0</v>
          </cell>
          <cell r="D4703" t="str">
            <v>PHP</v>
          </cell>
          <cell r="E4703">
            <v>0</v>
          </cell>
          <cell r="F4703" t="str">
            <v>PC</v>
          </cell>
          <cell r="G4703">
            <v>0</v>
          </cell>
        </row>
        <row r="4704">
          <cell r="B4704">
            <v>42451</v>
          </cell>
          <cell r="C4704">
            <v>1345.67</v>
          </cell>
          <cell r="D4704" t="str">
            <v>PHP</v>
          </cell>
          <cell r="E4704">
            <v>1</v>
          </cell>
          <cell r="F4704" t="str">
            <v>PC</v>
          </cell>
          <cell r="G4704">
            <v>0</v>
          </cell>
        </row>
        <row r="4705">
          <cell r="B4705">
            <v>42452</v>
          </cell>
          <cell r="C4705">
            <v>2646.36</v>
          </cell>
          <cell r="D4705" t="str">
            <v>PHP</v>
          </cell>
          <cell r="E4705">
            <v>1</v>
          </cell>
          <cell r="F4705" t="str">
            <v>PC</v>
          </cell>
          <cell r="G4705">
            <v>0</v>
          </cell>
        </row>
        <row r="4706">
          <cell r="B4706">
            <v>42453</v>
          </cell>
          <cell r="C4706">
            <v>3060.08</v>
          </cell>
          <cell r="D4706" t="str">
            <v>PHP</v>
          </cell>
          <cell r="E4706">
            <v>2</v>
          </cell>
          <cell r="F4706" t="str">
            <v>PC</v>
          </cell>
          <cell r="G4706">
            <v>0</v>
          </cell>
        </row>
        <row r="4707">
          <cell r="B4707">
            <v>42454</v>
          </cell>
          <cell r="C4707">
            <v>0</v>
          </cell>
          <cell r="D4707" t="str">
            <v>PHP</v>
          </cell>
          <cell r="E4707">
            <v>0</v>
          </cell>
          <cell r="F4707" t="str">
            <v>ASY</v>
          </cell>
          <cell r="G4707">
            <v>0</v>
          </cell>
        </row>
        <row r="4708">
          <cell r="B4708">
            <v>42455</v>
          </cell>
          <cell r="C4708">
            <v>28550.54</v>
          </cell>
          <cell r="D4708" t="str">
            <v>PHP</v>
          </cell>
          <cell r="E4708">
            <v>8</v>
          </cell>
          <cell r="F4708" t="str">
            <v>PC</v>
          </cell>
          <cell r="G4708">
            <v>0</v>
          </cell>
        </row>
        <row r="4709">
          <cell r="B4709">
            <v>42456</v>
          </cell>
          <cell r="C4709">
            <v>0</v>
          </cell>
          <cell r="D4709" t="str">
            <v>PHP</v>
          </cell>
          <cell r="E4709">
            <v>0</v>
          </cell>
          <cell r="F4709" t="str">
            <v>PC</v>
          </cell>
          <cell r="G4709">
            <v>0</v>
          </cell>
        </row>
        <row r="4710">
          <cell r="B4710">
            <v>42459</v>
          </cell>
          <cell r="C4710">
            <v>255654.12</v>
          </cell>
          <cell r="D4710" t="str">
            <v>PHP</v>
          </cell>
          <cell r="E4710">
            <v>1</v>
          </cell>
          <cell r="F4710" t="str">
            <v>ASY</v>
          </cell>
          <cell r="G4710">
            <v>0</v>
          </cell>
        </row>
        <row r="4711">
          <cell r="B4711">
            <v>42461</v>
          </cell>
          <cell r="C4711">
            <v>1752.73</v>
          </cell>
          <cell r="D4711" t="str">
            <v>PHP</v>
          </cell>
          <cell r="E4711">
            <v>1</v>
          </cell>
          <cell r="F4711" t="str">
            <v>PC</v>
          </cell>
          <cell r="G4711">
            <v>0</v>
          </cell>
        </row>
        <row r="4712">
          <cell r="B4712">
            <v>42462</v>
          </cell>
          <cell r="C4712">
            <v>0</v>
          </cell>
          <cell r="D4712" t="str">
            <v>PHP</v>
          </cell>
          <cell r="E4712">
            <v>0</v>
          </cell>
          <cell r="F4712" t="str">
            <v>PC</v>
          </cell>
          <cell r="G4712">
            <v>0</v>
          </cell>
        </row>
        <row r="4713">
          <cell r="B4713">
            <v>42463</v>
          </cell>
          <cell r="C4713">
            <v>21663.439999999999</v>
          </cell>
          <cell r="D4713" t="str">
            <v>PHP</v>
          </cell>
          <cell r="E4713">
            <v>24</v>
          </cell>
          <cell r="F4713" t="str">
            <v>PC</v>
          </cell>
          <cell r="G4713">
            <v>0</v>
          </cell>
        </row>
        <row r="4714">
          <cell r="B4714">
            <v>42464</v>
          </cell>
          <cell r="C4714">
            <v>207865.75</v>
          </cell>
          <cell r="D4714" t="str">
            <v>PHP</v>
          </cell>
          <cell r="E4714">
            <v>24</v>
          </cell>
          <cell r="F4714" t="str">
            <v>PC</v>
          </cell>
          <cell r="G4714">
            <v>0</v>
          </cell>
        </row>
        <row r="4715">
          <cell r="B4715">
            <v>42465</v>
          </cell>
          <cell r="C4715">
            <v>138062.76</v>
          </cell>
          <cell r="D4715" t="str">
            <v>PHP</v>
          </cell>
          <cell r="E4715">
            <v>4</v>
          </cell>
          <cell r="F4715" t="str">
            <v>PC</v>
          </cell>
          <cell r="G4715">
            <v>0</v>
          </cell>
        </row>
        <row r="4716">
          <cell r="B4716">
            <v>42466</v>
          </cell>
          <cell r="C4716">
            <v>3497.33</v>
          </cell>
          <cell r="D4716" t="str">
            <v>PHP</v>
          </cell>
          <cell r="E4716">
            <v>4</v>
          </cell>
          <cell r="F4716" t="str">
            <v>PC</v>
          </cell>
          <cell r="G4716">
            <v>0</v>
          </cell>
        </row>
        <row r="4717">
          <cell r="B4717">
            <v>42467</v>
          </cell>
          <cell r="C4717">
            <v>2860.05</v>
          </cell>
          <cell r="D4717" t="str">
            <v>PHP</v>
          </cell>
          <cell r="E4717">
            <v>3</v>
          </cell>
          <cell r="F4717" t="str">
            <v>PC</v>
          </cell>
          <cell r="G4717">
            <v>0</v>
          </cell>
        </row>
        <row r="4718">
          <cell r="B4718">
            <v>42470</v>
          </cell>
          <cell r="C4718">
            <v>0</v>
          </cell>
          <cell r="D4718" t="str">
            <v>PHP</v>
          </cell>
          <cell r="E4718">
            <v>0</v>
          </cell>
          <cell r="F4718" t="str">
            <v>PC</v>
          </cell>
          <cell r="G4718">
            <v>0</v>
          </cell>
        </row>
        <row r="4719">
          <cell r="B4719">
            <v>42473</v>
          </cell>
          <cell r="C4719">
            <v>326066.21999999997</v>
          </cell>
          <cell r="D4719" t="str">
            <v>PHP</v>
          </cell>
          <cell r="E4719">
            <v>10</v>
          </cell>
          <cell r="F4719" t="str">
            <v>PC</v>
          </cell>
          <cell r="G4719">
            <v>0</v>
          </cell>
        </row>
        <row r="4720">
          <cell r="B4720">
            <v>42474</v>
          </cell>
          <cell r="C4720">
            <v>43408.56</v>
          </cell>
          <cell r="D4720" t="str">
            <v>PHP</v>
          </cell>
          <cell r="E4720">
            <v>9</v>
          </cell>
          <cell r="F4720" t="str">
            <v>PC</v>
          </cell>
          <cell r="G4720">
            <v>0</v>
          </cell>
        </row>
        <row r="4721">
          <cell r="B4721">
            <v>42475</v>
          </cell>
          <cell r="C4721">
            <v>183896.5</v>
          </cell>
          <cell r="D4721" t="str">
            <v>PHP</v>
          </cell>
          <cell r="E4721">
            <v>1</v>
          </cell>
          <cell r="F4721" t="str">
            <v>ASY</v>
          </cell>
          <cell r="G4721">
            <v>0</v>
          </cell>
        </row>
        <row r="4722">
          <cell r="B4722">
            <v>42477</v>
          </cell>
          <cell r="C4722">
            <v>17200.009999999998</v>
          </cell>
          <cell r="D4722" t="str">
            <v>PHP</v>
          </cell>
          <cell r="E4722">
            <v>1</v>
          </cell>
          <cell r="F4722" t="str">
            <v>PC</v>
          </cell>
          <cell r="G4722">
            <v>0</v>
          </cell>
        </row>
        <row r="4723">
          <cell r="B4723">
            <v>42478</v>
          </cell>
          <cell r="C4723">
            <v>5743.3</v>
          </cell>
          <cell r="D4723" t="str">
            <v>PHP</v>
          </cell>
          <cell r="E4723">
            <v>7</v>
          </cell>
          <cell r="F4723" t="str">
            <v>PC</v>
          </cell>
          <cell r="G4723">
            <v>0</v>
          </cell>
        </row>
        <row r="4724">
          <cell r="B4724">
            <v>42479</v>
          </cell>
          <cell r="C4724">
            <v>4935.21</v>
          </cell>
          <cell r="D4724" t="str">
            <v>PHP</v>
          </cell>
          <cell r="E4724">
            <v>6</v>
          </cell>
          <cell r="F4724" t="str">
            <v>PC</v>
          </cell>
          <cell r="G4724">
            <v>0</v>
          </cell>
        </row>
        <row r="4725">
          <cell r="B4725">
            <v>42480</v>
          </cell>
          <cell r="C4725">
            <v>7676.83</v>
          </cell>
          <cell r="D4725" t="str">
            <v>PHP</v>
          </cell>
          <cell r="E4725">
            <v>1</v>
          </cell>
          <cell r="F4725" t="str">
            <v>UT</v>
          </cell>
          <cell r="G4725">
            <v>0</v>
          </cell>
        </row>
        <row r="4726">
          <cell r="B4726">
            <v>42481</v>
          </cell>
          <cell r="C4726">
            <v>4430.2</v>
          </cell>
          <cell r="D4726" t="str">
            <v>PHP</v>
          </cell>
          <cell r="E4726">
            <v>1</v>
          </cell>
          <cell r="F4726" t="str">
            <v>PC</v>
          </cell>
          <cell r="G4726">
            <v>0</v>
          </cell>
        </row>
        <row r="4727">
          <cell r="B4727">
            <v>42482</v>
          </cell>
          <cell r="C4727">
            <v>6021.71</v>
          </cell>
          <cell r="D4727" t="str">
            <v>PHP</v>
          </cell>
          <cell r="E4727">
            <v>1</v>
          </cell>
          <cell r="F4727" t="str">
            <v>PC</v>
          </cell>
          <cell r="G4727">
            <v>0</v>
          </cell>
        </row>
        <row r="4728">
          <cell r="B4728">
            <v>42483</v>
          </cell>
          <cell r="C4728">
            <v>6870.12</v>
          </cell>
          <cell r="D4728" t="str">
            <v>PHP</v>
          </cell>
          <cell r="E4728">
            <v>1</v>
          </cell>
          <cell r="F4728" t="str">
            <v>UT</v>
          </cell>
          <cell r="G4728">
            <v>0</v>
          </cell>
        </row>
        <row r="4729">
          <cell r="B4729">
            <v>42484</v>
          </cell>
          <cell r="C4729">
            <v>0</v>
          </cell>
          <cell r="D4729" t="str">
            <v>PHP</v>
          </cell>
          <cell r="E4729">
            <v>0</v>
          </cell>
          <cell r="F4729" t="str">
            <v>PC</v>
          </cell>
          <cell r="G4729">
            <v>0</v>
          </cell>
        </row>
        <row r="4730">
          <cell r="B4730">
            <v>42485</v>
          </cell>
          <cell r="C4730">
            <v>1919.82</v>
          </cell>
          <cell r="D4730" t="str">
            <v>PHP</v>
          </cell>
          <cell r="E4730">
            <v>1</v>
          </cell>
          <cell r="F4730" t="str">
            <v>PC</v>
          </cell>
          <cell r="G4730">
            <v>0</v>
          </cell>
        </row>
        <row r="4731">
          <cell r="B4731">
            <v>42487</v>
          </cell>
          <cell r="C4731">
            <v>7883.04</v>
          </cell>
          <cell r="D4731" t="str">
            <v>PHP</v>
          </cell>
          <cell r="E4731">
            <v>2</v>
          </cell>
          <cell r="F4731" t="str">
            <v>PC</v>
          </cell>
          <cell r="G4731">
            <v>0</v>
          </cell>
        </row>
        <row r="4732">
          <cell r="B4732">
            <v>42488</v>
          </cell>
          <cell r="C4732">
            <v>7883.04</v>
          </cell>
          <cell r="D4732" t="str">
            <v>PHP</v>
          </cell>
          <cell r="E4732">
            <v>2</v>
          </cell>
          <cell r="F4732" t="str">
            <v>PC</v>
          </cell>
          <cell r="G4732">
            <v>0</v>
          </cell>
        </row>
        <row r="4733">
          <cell r="B4733">
            <v>42489</v>
          </cell>
          <cell r="C4733">
            <v>55812.66</v>
          </cell>
          <cell r="D4733" t="str">
            <v>PHP</v>
          </cell>
          <cell r="E4733">
            <v>6</v>
          </cell>
          <cell r="F4733" t="str">
            <v>PC</v>
          </cell>
          <cell r="G4733">
            <v>0</v>
          </cell>
        </row>
        <row r="4734">
          <cell r="B4734">
            <v>42490</v>
          </cell>
          <cell r="C4734">
            <v>20382.439999999999</v>
          </cell>
          <cell r="D4734" t="str">
            <v>PHP</v>
          </cell>
          <cell r="E4734">
            <v>38</v>
          </cell>
          <cell r="F4734" t="str">
            <v>PC</v>
          </cell>
          <cell r="G4734">
            <v>0</v>
          </cell>
        </row>
        <row r="4735">
          <cell r="B4735">
            <v>42491</v>
          </cell>
          <cell r="C4735">
            <v>92495.89</v>
          </cell>
          <cell r="D4735" t="str">
            <v>PHP</v>
          </cell>
          <cell r="E4735">
            <v>2</v>
          </cell>
          <cell r="F4735" t="str">
            <v>PC</v>
          </cell>
          <cell r="G4735">
            <v>0</v>
          </cell>
        </row>
        <row r="4736">
          <cell r="B4736">
            <v>42492</v>
          </cell>
          <cell r="C4736">
            <v>1687.4</v>
          </cell>
          <cell r="D4736" t="str">
            <v>PHP</v>
          </cell>
          <cell r="E4736">
            <v>2</v>
          </cell>
          <cell r="F4736" t="str">
            <v>PC</v>
          </cell>
          <cell r="G4736">
            <v>0</v>
          </cell>
        </row>
        <row r="4737">
          <cell r="B4737">
            <v>42493</v>
          </cell>
          <cell r="C4737">
            <v>11319.71</v>
          </cell>
          <cell r="D4737" t="str">
            <v>PHP</v>
          </cell>
          <cell r="E4737">
            <v>6</v>
          </cell>
          <cell r="F4737" t="str">
            <v>KIT</v>
          </cell>
          <cell r="G4737">
            <v>0</v>
          </cell>
        </row>
        <row r="4738">
          <cell r="B4738">
            <v>42494</v>
          </cell>
          <cell r="C4738">
            <v>551.88</v>
          </cell>
          <cell r="D4738" t="str">
            <v>PHP</v>
          </cell>
          <cell r="E4738">
            <v>3</v>
          </cell>
          <cell r="F4738" t="str">
            <v>PC</v>
          </cell>
          <cell r="G4738">
            <v>0</v>
          </cell>
        </row>
        <row r="4739">
          <cell r="B4739">
            <v>42495</v>
          </cell>
          <cell r="C4739">
            <v>25379.49</v>
          </cell>
          <cell r="D4739" t="str">
            <v>PHP</v>
          </cell>
          <cell r="E4739">
            <v>3</v>
          </cell>
          <cell r="F4739" t="str">
            <v>PC</v>
          </cell>
          <cell r="G4739">
            <v>0</v>
          </cell>
        </row>
        <row r="4740">
          <cell r="B4740">
            <v>42497</v>
          </cell>
          <cell r="C4740">
            <v>0</v>
          </cell>
          <cell r="D4740" t="str">
            <v>PHP</v>
          </cell>
          <cell r="E4740">
            <v>0</v>
          </cell>
          <cell r="F4740" t="str">
            <v>UT</v>
          </cell>
          <cell r="G4740">
            <v>0</v>
          </cell>
        </row>
        <row r="4741">
          <cell r="B4741">
            <v>42498</v>
          </cell>
          <cell r="C4741">
            <v>1058.8800000000001</v>
          </cell>
          <cell r="D4741" t="str">
            <v>PHP</v>
          </cell>
          <cell r="E4741">
            <v>8</v>
          </cell>
          <cell r="F4741" t="str">
            <v>PC</v>
          </cell>
          <cell r="G4741">
            <v>0</v>
          </cell>
        </row>
        <row r="4742">
          <cell r="B4742">
            <v>42500</v>
          </cell>
          <cell r="C4742">
            <v>0</v>
          </cell>
          <cell r="D4742" t="str">
            <v>PHP</v>
          </cell>
          <cell r="E4742">
            <v>0</v>
          </cell>
          <cell r="F4742" t="str">
            <v>ASY</v>
          </cell>
          <cell r="G4742">
            <v>0</v>
          </cell>
        </row>
        <row r="4743">
          <cell r="B4743">
            <v>42501</v>
          </cell>
          <cell r="C4743">
            <v>0</v>
          </cell>
          <cell r="D4743" t="str">
            <v>PHP</v>
          </cell>
          <cell r="E4743">
            <v>0</v>
          </cell>
          <cell r="F4743" t="str">
            <v>PC</v>
          </cell>
          <cell r="G4743">
            <v>0</v>
          </cell>
        </row>
        <row r="4744">
          <cell r="B4744">
            <v>42502</v>
          </cell>
          <cell r="C4744">
            <v>45494.03</v>
          </cell>
          <cell r="D4744" t="str">
            <v>PHP</v>
          </cell>
          <cell r="E4744">
            <v>2</v>
          </cell>
          <cell r="F4744" t="str">
            <v>PC</v>
          </cell>
          <cell r="G4744">
            <v>0</v>
          </cell>
        </row>
        <row r="4745">
          <cell r="B4745">
            <v>42503</v>
          </cell>
          <cell r="C4745">
            <v>0</v>
          </cell>
          <cell r="D4745" t="str">
            <v>PHP</v>
          </cell>
          <cell r="E4745">
            <v>0</v>
          </cell>
          <cell r="F4745" t="str">
            <v>ASY</v>
          </cell>
          <cell r="G4745">
            <v>0</v>
          </cell>
        </row>
        <row r="4746">
          <cell r="B4746">
            <v>42504</v>
          </cell>
          <cell r="C4746">
            <v>0</v>
          </cell>
          <cell r="D4746" t="str">
            <v>PHP</v>
          </cell>
          <cell r="E4746">
            <v>0</v>
          </cell>
          <cell r="F4746" t="str">
            <v>PC</v>
          </cell>
          <cell r="G4746">
            <v>0</v>
          </cell>
        </row>
        <row r="4747">
          <cell r="B4747">
            <v>42505</v>
          </cell>
          <cell r="C4747">
            <v>0</v>
          </cell>
          <cell r="D4747" t="str">
            <v>PHP</v>
          </cell>
          <cell r="E4747">
            <v>0</v>
          </cell>
          <cell r="F4747" t="str">
            <v>PC</v>
          </cell>
          <cell r="G4747">
            <v>0</v>
          </cell>
        </row>
        <row r="4748">
          <cell r="B4748">
            <v>42506</v>
          </cell>
          <cell r="C4748">
            <v>0</v>
          </cell>
          <cell r="D4748" t="str">
            <v>PHP</v>
          </cell>
          <cell r="E4748">
            <v>0</v>
          </cell>
          <cell r="F4748" t="str">
            <v>PC</v>
          </cell>
          <cell r="G4748">
            <v>0</v>
          </cell>
        </row>
        <row r="4749">
          <cell r="B4749">
            <v>42508</v>
          </cell>
          <cell r="C4749">
            <v>0</v>
          </cell>
          <cell r="D4749" t="str">
            <v>PHP</v>
          </cell>
          <cell r="E4749">
            <v>0</v>
          </cell>
          <cell r="F4749" t="str">
            <v>PC</v>
          </cell>
          <cell r="G4749">
            <v>0</v>
          </cell>
        </row>
        <row r="4750">
          <cell r="B4750">
            <v>42509</v>
          </cell>
          <cell r="C4750">
            <v>0</v>
          </cell>
          <cell r="D4750" t="str">
            <v>PHP</v>
          </cell>
          <cell r="E4750">
            <v>0</v>
          </cell>
          <cell r="F4750" t="str">
            <v>PC</v>
          </cell>
          <cell r="G4750">
            <v>0</v>
          </cell>
        </row>
        <row r="4751">
          <cell r="B4751">
            <v>42512</v>
          </cell>
          <cell r="C4751">
            <v>0</v>
          </cell>
          <cell r="D4751" t="str">
            <v>PHP</v>
          </cell>
          <cell r="E4751">
            <v>0</v>
          </cell>
          <cell r="F4751" t="str">
            <v>PC</v>
          </cell>
          <cell r="G4751">
            <v>0</v>
          </cell>
        </row>
        <row r="4752">
          <cell r="B4752">
            <v>42513</v>
          </cell>
          <cell r="C4752">
            <v>25323.43</v>
          </cell>
          <cell r="D4752" t="str">
            <v>PHP</v>
          </cell>
          <cell r="E4752">
            <v>1</v>
          </cell>
          <cell r="F4752" t="str">
            <v>PC</v>
          </cell>
          <cell r="G4752">
            <v>0</v>
          </cell>
        </row>
        <row r="4753">
          <cell r="B4753">
            <v>42514</v>
          </cell>
          <cell r="C4753">
            <v>65221.2</v>
          </cell>
          <cell r="D4753" t="str">
            <v>PHP</v>
          </cell>
          <cell r="E4753">
            <v>9</v>
          </cell>
          <cell r="F4753" t="str">
            <v>ASY</v>
          </cell>
          <cell r="G4753">
            <v>0</v>
          </cell>
        </row>
        <row r="4754">
          <cell r="B4754">
            <v>42516</v>
          </cell>
          <cell r="C4754">
            <v>91652.18</v>
          </cell>
          <cell r="D4754" t="str">
            <v>PHP</v>
          </cell>
          <cell r="E4754">
            <v>6</v>
          </cell>
          <cell r="F4754" t="str">
            <v>PC</v>
          </cell>
          <cell r="G4754">
            <v>0</v>
          </cell>
        </row>
        <row r="4755">
          <cell r="B4755">
            <v>42518</v>
          </cell>
          <cell r="C4755">
            <v>1417.15</v>
          </cell>
          <cell r="D4755" t="str">
            <v>PHP</v>
          </cell>
          <cell r="E4755">
            <v>2</v>
          </cell>
          <cell r="F4755" t="str">
            <v>PC</v>
          </cell>
          <cell r="G4755">
            <v>0</v>
          </cell>
        </row>
        <row r="4756">
          <cell r="B4756">
            <v>42519</v>
          </cell>
          <cell r="C4756">
            <v>2768.88</v>
          </cell>
          <cell r="D4756" t="str">
            <v>PHP</v>
          </cell>
          <cell r="E4756">
            <v>6</v>
          </cell>
          <cell r="F4756" t="str">
            <v>PC</v>
          </cell>
          <cell r="G4756">
            <v>0</v>
          </cell>
        </row>
        <row r="4757">
          <cell r="B4757">
            <v>42520</v>
          </cell>
          <cell r="C4757">
            <v>10729.92</v>
          </cell>
          <cell r="D4757" t="str">
            <v>PHP</v>
          </cell>
          <cell r="E4757">
            <v>8</v>
          </cell>
          <cell r="F4757" t="str">
            <v>PC</v>
          </cell>
          <cell r="G4757">
            <v>0</v>
          </cell>
        </row>
        <row r="4758">
          <cell r="B4758">
            <v>42521</v>
          </cell>
          <cell r="C4758">
            <v>13486.15</v>
          </cell>
          <cell r="D4758" t="str">
            <v>PHP</v>
          </cell>
          <cell r="E4758">
            <v>2</v>
          </cell>
          <cell r="F4758" t="str">
            <v>PC</v>
          </cell>
          <cell r="G4758">
            <v>0</v>
          </cell>
        </row>
        <row r="4759">
          <cell r="B4759">
            <v>42522</v>
          </cell>
          <cell r="C4759">
            <v>26813.16</v>
          </cell>
          <cell r="D4759" t="str">
            <v>PHP</v>
          </cell>
          <cell r="E4759">
            <v>3</v>
          </cell>
          <cell r="F4759" t="str">
            <v>PC</v>
          </cell>
          <cell r="G4759">
            <v>0</v>
          </cell>
        </row>
        <row r="4760">
          <cell r="B4760">
            <v>42523</v>
          </cell>
          <cell r="C4760">
            <v>52197.65</v>
          </cell>
          <cell r="D4760" t="str">
            <v>PHP</v>
          </cell>
          <cell r="E4760">
            <v>3</v>
          </cell>
          <cell r="F4760" t="str">
            <v>PC</v>
          </cell>
          <cell r="G4760">
            <v>0</v>
          </cell>
        </row>
        <row r="4761">
          <cell r="B4761">
            <v>42524</v>
          </cell>
          <cell r="C4761">
            <v>31195.25</v>
          </cell>
          <cell r="D4761" t="str">
            <v>PHP</v>
          </cell>
          <cell r="E4761">
            <v>3</v>
          </cell>
          <cell r="F4761" t="str">
            <v>PC</v>
          </cell>
          <cell r="G4761">
            <v>0</v>
          </cell>
        </row>
        <row r="4762">
          <cell r="B4762">
            <v>42525</v>
          </cell>
          <cell r="C4762">
            <v>38417.24</v>
          </cell>
          <cell r="D4762" t="str">
            <v>PHP</v>
          </cell>
          <cell r="E4762">
            <v>3</v>
          </cell>
          <cell r="F4762" t="str">
            <v>PC</v>
          </cell>
          <cell r="G4762">
            <v>0</v>
          </cell>
        </row>
        <row r="4763">
          <cell r="B4763">
            <v>42526</v>
          </cell>
          <cell r="C4763">
            <v>2719.22</v>
          </cell>
          <cell r="D4763" t="str">
            <v>PHP</v>
          </cell>
          <cell r="E4763">
            <v>1</v>
          </cell>
          <cell r="F4763" t="str">
            <v>PC</v>
          </cell>
          <cell r="G4763">
            <v>0</v>
          </cell>
        </row>
        <row r="4764">
          <cell r="B4764">
            <v>42527</v>
          </cell>
          <cell r="C4764">
            <v>455173.11</v>
          </cell>
          <cell r="D4764" t="str">
            <v>PHP</v>
          </cell>
          <cell r="E4764">
            <v>13</v>
          </cell>
          <cell r="F4764" t="str">
            <v>SET</v>
          </cell>
          <cell r="G4764">
            <v>0</v>
          </cell>
        </row>
        <row r="4765">
          <cell r="B4765">
            <v>42528</v>
          </cell>
          <cell r="C4765">
            <v>7629.34</v>
          </cell>
          <cell r="D4765" t="str">
            <v>PHP</v>
          </cell>
          <cell r="E4765">
            <v>8</v>
          </cell>
          <cell r="F4765" t="str">
            <v>PC</v>
          </cell>
          <cell r="G4765">
            <v>0</v>
          </cell>
        </row>
        <row r="4766">
          <cell r="B4766">
            <v>42529</v>
          </cell>
          <cell r="C4766">
            <v>157479.67000000001</v>
          </cell>
          <cell r="D4766" t="str">
            <v>PHP</v>
          </cell>
          <cell r="E4766">
            <v>5</v>
          </cell>
          <cell r="F4766" t="str">
            <v>PC</v>
          </cell>
          <cell r="G4766">
            <v>0</v>
          </cell>
        </row>
        <row r="4767">
          <cell r="B4767">
            <v>42530</v>
          </cell>
          <cell r="C4767">
            <v>22831.66</v>
          </cell>
          <cell r="D4767" t="str">
            <v>PHP</v>
          </cell>
          <cell r="E4767">
            <v>1</v>
          </cell>
          <cell r="F4767" t="str">
            <v>PC</v>
          </cell>
          <cell r="G4767">
            <v>0</v>
          </cell>
        </row>
        <row r="4768">
          <cell r="B4768">
            <v>42531</v>
          </cell>
          <cell r="C4768">
            <v>9585.7999999999993</v>
          </cell>
          <cell r="D4768" t="str">
            <v>PHP</v>
          </cell>
          <cell r="E4768">
            <v>5</v>
          </cell>
          <cell r="F4768" t="str">
            <v>PC</v>
          </cell>
          <cell r="G4768">
            <v>0</v>
          </cell>
        </row>
        <row r="4769">
          <cell r="B4769">
            <v>42532</v>
          </cell>
          <cell r="C4769">
            <v>140020.75</v>
          </cell>
          <cell r="D4769" t="str">
            <v>PHP</v>
          </cell>
          <cell r="E4769">
            <v>8</v>
          </cell>
          <cell r="F4769" t="str">
            <v>PC</v>
          </cell>
          <cell r="G4769">
            <v>0</v>
          </cell>
        </row>
        <row r="4770">
          <cell r="B4770">
            <v>42533</v>
          </cell>
          <cell r="C4770">
            <v>2438.33</v>
          </cell>
          <cell r="D4770" t="str">
            <v>PHP</v>
          </cell>
          <cell r="E4770">
            <v>10</v>
          </cell>
          <cell r="F4770" t="str">
            <v>PC</v>
          </cell>
          <cell r="G4770">
            <v>0</v>
          </cell>
        </row>
        <row r="4771">
          <cell r="B4771">
            <v>42534</v>
          </cell>
          <cell r="C4771">
            <v>129304.91</v>
          </cell>
          <cell r="D4771" t="str">
            <v>PHP</v>
          </cell>
          <cell r="E4771">
            <v>2</v>
          </cell>
          <cell r="F4771" t="str">
            <v>SET</v>
          </cell>
          <cell r="G4771">
            <v>0</v>
          </cell>
        </row>
        <row r="4772">
          <cell r="B4772">
            <v>42535</v>
          </cell>
          <cell r="C4772">
            <v>603965.12</v>
          </cell>
          <cell r="D4772" t="str">
            <v>PHP</v>
          </cell>
          <cell r="E4772">
            <v>3</v>
          </cell>
          <cell r="F4772" t="str">
            <v>SET</v>
          </cell>
          <cell r="G4772">
            <v>0</v>
          </cell>
        </row>
        <row r="4773">
          <cell r="B4773">
            <v>42536</v>
          </cell>
          <cell r="C4773">
            <v>407145.96</v>
          </cell>
          <cell r="D4773" t="str">
            <v>PHP</v>
          </cell>
          <cell r="E4773">
            <v>8</v>
          </cell>
          <cell r="F4773" t="str">
            <v>PC</v>
          </cell>
          <cell r="G4773">
            <v>0</v>
          </cell>
        </row>
        <row r="4774">
          <cell r="B4774">
            <v>42538</v>
          </cell>
          <cell r="C4774">
            <v>139669.54</v>
          </cell>
          <cell r="D4774" t="str">
            <v>PHP</v>
          </cell>
          <cell r="E4774">
            <v>6</v>
          </cell>
          <cell r="F4774" t="str">
            <v>PC</v>
          </cell>
          <cell r="G4774">
            <v>0</v>
          </cell>
        </row>
        <row r="4775">
          <cell r="B4775">
            <v>42539</v>
          </cell>
          <cell r="C4775">
            <v>228833.97</v>
          </cell>
          <cell r="D4775" t="str">
            <v>PHP</v>
          </cell>
          <cell r="E4775">
            <v>5</v>
          </cell>
          <cell r="F4775" t="str">
            <v>PC</v>
          </cell>
          <cell r="G4775">
            <v>0</v>
          </cell>
        </row>
        <row r="4776">
          <cell r="B4776">
            <v>42540</v>
          </cell>
          <cell r="C4776">
            <v>581920.92000000004</v>
          </cell>
          <cell r="D4776" t="str">
            <v>PHP</v>
          </cell>
          <cell r="E4776">
            <v>6</v>
          </cell>
          <cell r="F4776" t="str">
            <v>PC</v>
          </cell>
          <cell r="G4776">
            <v>0</v>
          </cell>
        </row>
        <row r="4777">
          <cell r="B4777">
            <v>42541</v>
          </cell>
          <cell r="C4777">
            <v>4308.8500000000004</v>
          </cell>
          <cell r="D4777" t="str">
            <v>PHP</v>
          </cell>
          <cell r="E4777">
            <v>12</v>
          </cell>
          <cell r="F4777" t="str">
            <v>PC</v>
          </cell>
          <cell r="G4777">
            <v>0</v>
          </cell>
        </row>
        <row r="4778">
          <cell r="B4778">
            <v>42542</v>
          </cell>
          <cell r="C4778">
            <v>15892.93</v>
          </cell>
          <cell r="D4778" t="str">
            <v>PHP</v>
          </cell>
          <cell r="E4778">
            <v>41</v>
          </cell>
          <cell r="F4778" t="str">
            <v>PC</v>
          </cell>
          <cell r="G4778">
            <v>0</v>
          </cell>
        </row>
        <row r="4779">
          <cell r="B4779">
            <v>42543</v>
          </cell>
          <cell r="C4779">
            <v>256765.52</v>
          </cell>
          <cell r="D4779" t="str">
            <v>PHP</v>
          </cell>
          <cell r="E4779">
            <v>12</v>
          </cell>
          <cell r="F4779" t="str">
            <v>PC</v>
          </cell>
          <cell r="G4779">
            <v>0</v>
          </cell>
        </row>
        <row r="4780">
          <cell r="B4780">
            <v>42544</v>
          </cell>
          <cell r="C4780">
            <v>222167.13</v>
          </cell>
          <cell r="D4780" t="str">
            <v>PHP</v>
          </cell>
          <cell r="E4780">
            <v>6</v>
          </cell>
          <cell r="F4780" t="str">
            <v>PC</v>
          </cell>
          <cell r="G4780">
            <v>0</v>
          </cell>
        </row>
        <row r="4781">
          <cell r="B4781">
            <v>42545</v>
          </cell>
          <cell r="C4781">
            <v>211249.51</v>
          </cell>
          <cell r="D4781" t="str">
            <v>PHP</v>
          </cell>
          <cell r="E4781">
            <v>16</v>
          </cell>
          <cell r="F4781" t="str">
            <v>PC</v>
          </cell>
          <cell r="G4781">
            <v>0</v>
          </cell>
        </row>
        <row r="4782">
          <cell r="B4782">
            <v>42546</v>
          </cell>
          <cell r="C4782">
            <v>269068.78999999998</v>
          </cell>
          <cell r="D4782" t="str">
            <v>PHP</v>
          </cell>
          <cell r="E4782">
            <v>1</v>
          </cell>
          <cell r="F4782" t="str">
            <v>PC</v>
          </cell>
          <cell r="G4782">
            <v>0</v>
          </cell>
        </row>
        <row r="4783">
          <cell r="B4783">
            <v>42547</v>
          </cell>
          <cell r="C4783">
            <v>0</v>
          </cell>
          <cell r="D4783" t="str">
            <v>PHP</v>
          </cell>
          <cell r="E4783">
            <v>0</v>
          </cell>
          <cell r="F4783" t="str">
            <v>PC</v>
          </cell>
          <cell r="G4783">
            <v>0</v>
          </cell>
        </row>
        <row r="4784">
          <cell r="B4784">
            <v>42548</v>
          </cell>
          <cell r="C4784">
            <v>74640.240000000005</v>
          </cell>
          <cell r="D4784" t="str">
            <v>PHP</v>
          </cell>
          <cell r="E4784">
            <v>2</v>
          </cell>
          <cell r="F4784" t="str">
            <v>PC</v>
          </cell>
          <cell r="G4784">
            <v>0</v>
          </cell>
        </row>
        <row r="4785">
          <cell r="B4785">
            <v>42549</v>
          </cell>
          <cell r="C4785">
            <v>47374.23</v>
          </cell>
          <cell r="D4785" t="str">
            <v>PHP</v>
          </cell>
          <cell r="E4785">
            <v>1</v>
          </cell>
          <cell r="F4785" t="str">
            <v>PC</v>
          </cell>
          <cell r="G4785">
            <v>0</v>
          </cell>
        </row>
        <row r="4786">
          <cell r="B4786">
            <v>42550</v>
          </cell>
          <cell r="C4786">
            <v>220.56</v>
          </cell>
          <cell r="D4786" t="str">
            <v>PHP</v>
          </cell>
          <cell r="E4786">
            <v>12</v>
          </cell>
          <cell r="F4786" t="str">
            <v>PC</v>
          </cell>
          <cell r="G4786">
            <v>0</v>
          </cell>
        </row>
        <row r="4787">
          <cell r="B4787">
            <v>42551</v>
          </cell>
          <cell r="C4787">
            <v>142765.82999999999</v>
          </cell>
          <cell r="D4787" t="str">
            <v>PHP</v>
          </cell>
          <cell r="E4787">
            <v>9</v>
          </cell>
          <cell r="F4787" t="str">
            <v>PC</v>
          </cell>
          <cell r="G4787">
            <v>0</v>
          </cell>
        </row>
        <row r="4788">
          <cell r="B4788">
            <v>42553</v>
          </cell>
          <cell r="C4788">
            <v>4904.49</v>
          </cell>
          <cell r="D4788" t="str">
            <v>PHP</v>
          </cell>
          <cell r="E4788">
            <v>4</v>
          </cell>
          <cell r="F4788" t="str">
            <v>PC</v>
          </cell>
          <cell r="G4788">
            <v>0</v>
          </cell>
        </row>
        <row r="4789">
          <cell r="B4789">
            <v>42554</v>
          </cell>
          <cell r="C4789">
            <v>335.44</v>
          </cell>
          <cell r="D4789" t="str">
            <v>PHP</v>
          </cell>
          <cell r="E4789">
            <v>2</v>
          </cell>
          <cell r="F4789" t="str">
            <v>PC</v>
          </cell>
          <cell r="G4789">
            <v>0</v>
          </cell>
        </row>
        <row r="4790">
          <cell r="B4790">
            <v>42556</v>
          </cell>
          <cell r="C4790">
            <v>525.54</v>
          </cell>
          <cell r="D4790" t="str">
            <v>PHP</v>
          </cell>
          <cell r="E4790">
            <v>2</v>
          </cell>
          <cell r="F4790" t="str">
            <v>PC</v>
          </cell>
          <cell r="G4790">
            <v>0</v>
          </cell>
        </row>
        <row r="4791">
          <cell r="B4791">
            <v>42557</v>
          </cell>
          <cell r="C4791">
            <v>17584</v>
          </cell>
          <cell r="D4791" t="str">
            <v>PHP</v>
          </cell>
          <cell r="E4791">
            <v>4</v>
          </cell>
          <cell r="F4791" t="str">
            <v>PC</v>
          </cell>
          <cell r="G4791">
            <v>0</v>
          </cell>
        </row>
        <row r="4792">
          <cell r="B4792">
            <v>42559</v>
          </cell>
          <cell r="C4792">
            <v>43324.79</v>
          </cell>
          <cell r="D4792" t="str">
            <v>PHP</v>
          </cell>
          <cell r="E4792">
            <v>4</v>
          </cell>
          <cell r="F4792" t="str">
            <v>PC</v>
          </cell>
          <cell r="G4792">
            <v>0</v>
          </cell>
        </row>
        <row r="4793">
          <cell r="B4793">
            <v>42560</v>
          </cell>
          <cell r="C4793">
            <v>11784.8</v>
          </cell>
          <cell r="D4793" t="str">
            <v>PHP</v>
          </cell>
          <cell r="E4793">
            <v>5</v>
          </cell>
          <cell r="F4793" t="str">
            <v>PC</v>
          </cell>
          <cell r="G4793">
            <v>0</v>
          </cell>
        </row>
        <row r="4794">
          <cell r="B4794">
            <v>42563</v>
          </cell>
          <cell r="C4794">
            <v>86640.02</v>
          </cell>
          <cell r="D4794" t="str">
            <v>PHP</v>
          </cell>
          <cell r="E4794">
            <v>7</v>
          </cell>
          <cell r="F4794" t="str">
            <v>PC</v>
          </cell>
          <cell r="G4794">
            <v>0</v>
          </cell>
        </row>
        <row r="4795">
          <cell r="B4795">
            <v>42564</v>
          </cell>
          <cell r="C4795">
            <v>62566.239999999998</v>
          </cell>
          <cell r="D4795" t="str">
            <v>PHP</v>
          </cell>
          <cell r="E4795">
            <v>8</v>
          </cell>
          <cell r="F4795" t="str">
            <v>PC</v>
          </cell>
          <cell r="G4795">
            <v>0</v>
          </cell>
        </row>
        <row r="4796">
          <cell r="B4796">
            <v>42565</v>
          </cell>
          <cell r="C4796">
            <v>342425.28</v>
          </cell>
          <cell r="D4796" t="str">
            <v>PHP</v>
          </cell>
          <cell r="E4796">
            <v>11</v>
          </cell>
          <cell r="F4796" t="str">
            <v>PC</v>
          </cell>
          <cell r="G4796">
            <v>0</v>
          </cell>
        </row>
        <row r="4797">
          <cell r="B4797">
            <v>42566</v>
          </cell>
          <cell r="C4797">
            <v>80553.710000000006</v>
          </cell>
          <cell r="D4797" t="str">
            <v>PHP</v>
          </cell>
          <cell r="E4797">
            <v>4</v>
          </cell>
          <cell r="F4797" t="str">
            <v>PC</v>
          </cell>
          <cell r="G4797">
            <v>0</v>
          </cell>
        </row>
        <row r="4798">
          <cell r="B4798">
            <v>42567</v>
          </cell>
          <cell r="C4798">
            <v>13925.36</v>
          </cell>
          <cell r="D4798" t="str">
            <v>PHP</v>
          </cell>
          <cell r="E4798">
            <v>13</v>
          </cell>
          <cell r="F4798" t="str">
            <v>PC</v>
          </cell>
          <cell r="G4798">
            <v>0</v>
          </cell>
        </row>
        <row r="4799">
          <cell r="B4799">
            <v>42568</v>
          </cell>
          <cell r="C4799">
            <v>356491.33</v>
          </cell>
          <cell r="D4799" t="str">
            <v>PHP</v>
          </cell>
          <cell r="E4799">
            <v>15</v>
          </cell>
          <cell r="F4799" t="str">
            <v>PC</v>
          </cell>
          <cell r="G4799">
            <v>0</v>
          </cell>
        </row>
        <row r="4800">
          <cell r="B4800">
            <v>42570</v>
          </cell>
          <cell r="C4800">
            <v>0</v>
          </cell>
          <cell r="D4800" t="str">
            <v>PHP</v>
          </cell>
          <cell r="E4800">
            <v>0</v>
          </cell>
          <cell r="F4800" t="str">
            <v>ASY</v>
          </cell>
          <cell r="G4800">
            <v>0</v>
          </cell>
        </row>
        <row r="4801">
          <cell r="B4801">
            <v>42572</v>
          </cell>
          <cell r="C4801">
            <v>0</v>
          </cell>
          <cell r="D4801" t="str">
            <v>PHP</v>
          </cell>
          <cell r="E4801">
            <v>0</v>
          </cell>
          <cell r="F4801" t="str">
            <v>ASY</v>
          </cell>
          <cell r="G4801">
            <v>0</v>
          </cell>
        </row>
        <row r="4802">
          <cell r="B4802">
            <v>42573</v>
          </cell>
          <cell r="C4802">
            <v>0</v>
          </cell>
          <cell r="D4802" t="str">
            <v>PHP</v>
          </cell>
          <cell r="E4802">
            <v>0</v>
          </cell>
          <cell r="F4802" t="str">
            <v>ASY</v>
          </cell>
          <cell r="G4802">
            <v>0</v>
          </cell>
        </row>
        <row r="4803">
          <cell r="B4803">
            <v>42575</v>
          </cell>
          <cell r="C4803">
            <v>1039.5</v>
          </cell>
          <cell r="D4803" t="str">
            <v>PHP</v>
          </cell>
          <cell r="E4803">
            <v>1</v>
          </cell>
          <cell r="F4803" t="str">
            <v>PC</v>
          </cell>
          <cell r="G4803">
            <v>0</v>
          </cell>
        </row>
        <row r="4804">
          <cell r="B4804">
            <v>42576</v>
          </cell>
          <cell r="C4804">
            <v>32302.560000000001</v>
          </cell>
          <cell r="D4804" t="str">
            <v>PHP</v>
          </cell>
          <cell r="E4804">
            <v>4</v>
          </cell>
          <cell r="F4804" t="str">
            <v>PC</v>
          </cell>
          <cell r="G4804">
            <v>0</v>
          </cell>
        </row>
        <row r="4805">
          <cell r="B4805">
            <v>42577</v>
          </cell>
          <cell r="C4805">
            <v>64280</v>
          </cell>
          <cell r="D4805" t="str">
            <v>PHP</v>
          </cell>
          <cell r="E4805">
            <v>10</v>
          </cell>
          <cell r="F4805" t="str">
            <v>PC</v>
          </cell>
          <cell r="G4805">
            <v>0</v>
          </cell>
        </row>
        <row r="4806">
          <cell r="B4806">
            <v>42578</v>
          </cell>
          <cell r="C4806">
            <v>986328.13</v>
          </cell>
          <cell r="D4806" t="str">
            <v>PHP</v>
          </cell>
          <cell r="E4806">
            <v>1</v>
          </cell>
          <cell r="F4806" t="str">
            <v>PC</v>
          </cell>
          <cell r="G4806">
            <v>0</v>
          </cell>
        </row>
        <row r="4807">
          <cell r="B4807">
            <v>42579</v>
          </cell>
          <cell r="C4807">
            <v>196000</v>
          </cell>
          <cell r="D4807" t="str">
            <v>PHP</v>
          </cell>
          <cell r="E4807">
            <v>2</v>
          </cell>
          <cell r="F4807" t="str">
            <v>PC</v>
          </cell>
          <cell r="G4807">
            <v>0</v>
          </cell>
        </row>
        <row r="4808">
          <cell r="B4808">
            <v>42585</v>
          </cell>
          <cell r="C4808">
            <v>33928.400000000001</v>
          </cell>
          <cell r="D4808" t="str">
            <v>PHP</v>
          </cell>
          <cell r="E4808">
            <v>1</v>
          </cell>
          <cell r="F4808" t="str">
            <v>ASY</v>
          </cell>
          <cell r="G4808">
            <v>0</v>
          </cell>
        </row>
        <row r="4809">
          <cell r="B4809">
            <v>42587</v>
          </cell>
          <cell r="C4809">
            <v>41740.239999999998</v>
          </cell>
          <cell r="D4809" t="str">
            <v>PHP</v>
          </cell>
          <cell r="E4809">
            <v>2</v>
          </cell>
          <cell r="F4809" t="str">
            <v>PC</v>
          </cell>
          <cell r="G4809">
            <v>0</v>
          </cell>
        </row>
        <row r="4810">
          <cell r="B4810">
            <v>42589</v>
          </cell>
          <cell r="C4810">
            <v>864.46</v>
          </cell>
          <cell r="D4810" t="str">
            <v>PHP</v>
          </cell>
          <cell r="E4810">
            <v>10</v>
          </cell>
          <cell r="F4810" t="str">
            <v>PC</v>
          </cell>
          <cell r="G4810">
            <v>0</v>
          </cell>
        </row>
        <row r="4811">
          <cell r="B4811">
            <v>42590</v>
          </cell>
          <cell r="C4811">
            <v>392.94</v>
          </cell>
          <cell r="D4811" t="str">
            <v>PHP</v>
          </cell>
          <cell r="E4811">
            <v>10</v>
          </cell>
          <cell r="F4811" t="str">
            <v>PC</v>
          </cell>
          <cell r="G4811">
            <v>0</v>
          </cell>
        </row>
        <row r="4812">
          <cell r="B4812">
            <v>42591</v>
          </cell>
          <cell r="C4812">
            <v>1231.22</v>
          </cell>
          <cell r="D4812" t="str">
            <v>PHP</v>
          </cell>
          <cell r="E4812">
            <v>10</v>
          </cell>
          <cell r="F4812" t="str">
            <v>PC</v>
          </cell>
          <cell r="G4812">
            <v>0</v>
          </cell>
        </row>
        <row r="4813">
          <cell r="B4813">
            <v>42593</v>
          </cell>
          <cell r="C4813">
            <v>95406.17</v>
          </cell>
          <cell r="D4813" t="str">
            <v>PHP</v>
          </cell>
          <cell r="E4813">
            <v>2</v>
          </cell>
          <cell r="F4813" t="str">
            <v>PC</v>
          </cell>
          <cell r="G4813">
            <v>0</v>
          </cell>
        </row>
        <row r="4814">
          <cell r="B4814">
            <v>42594</v>
          </cell>
          <cell r="C4814">
            <v>33570</v>
          </cell>
          <cell r="D4814" t="str">
            <v>PHP</v>
          </cell>
          <cell r="E4814">
            <v>2</v>
          </cell>
          <cell r="F4814" t="str">
            <v>PC</v>
          </cell>
          <cell r="G4814">
            <v>0</v>
          </cell>
        </row>
        <row r="4815">
          <cell r="B4815">
            <v>42596</v>
          </cell>
          <cell r="C4815">
            <v>147930.72</v>
          </cell>
          <cell r="D4815" t="str">
            <v>PHP</v>
          </cell>
          <cell r="E4815">
            <v>16</v>
          </cell>
          <cell r="F4815" t="str">
            <v>PC</v>
          </cell>
          <cell r="G4815">
            <v>0</v>
          </cell>
        </row>
        <row r="4816">
          <cell r="B4816">
            <v>42598</v>
          </cell>
          <cell r="C4816">
            <v>56810</v>
          </cell>
          <cell r="D4816" t="str">
            <v>PHP</v>
          </cell>
          <cell r="E4816">
            <v>2</v>
          </cell>
          <cell r="F4816" t="str">
            <v>PC</v>
          </cell>
          <cell r="G4816">
            <v>0</v>
          </cell>
        </row>
        <row r="4817">
          <cell r="B4817">
            <v>42599</v>
          </cell>
          <cell r="C4817">
            <v>227906.76</v>
          </cell>
          <cell r="D4817" t="str">
            <v>PHP</v>
          </cell>
          <cell r="E4817">
            <v>2</v>
          </cell>
          <cell r="F4817" t="str">
            <v>PC</v>
          </cell>
          <cell r="G4817">
            <v>0</v>
          </cell>
        </row>
        <row r="4818">
          <cell r="B4818">
            <v>42600</v>
          </cell>
          <cell r="C4818">
            <v>34108.49</v>
          </cell>
          <cell r="D4818" t="str">
            <v>PHP</v>
          </cell>
          <cell r="E4818">
            <v>1</v>
          </cell>
          <cell r="F4818" t="str">
            <v>PC</v>
          </cell>
          <cell r="G4818">
            <v>0</v>
          </cell>
        </row>
        <row r="4819">
          <cell r="B4819">
            <v>42601</v>
          </cell>
          <cell r="C4819">
            <v>9237.9500000000007</v>
          </cell>
          <cell r="D4819" t="str">
            <v>PHP</v>
          </cell>
          <cell r="E4819">
            <v>8</v>
          </cell>
          <cell r="F4819" t="str">
            <v>PC</v>
          </cell>
          <cell r="G4819">
            <v>0</v>
          </cell>
        </row>
        <row r="4820">
          <cell r="B4820">
            <v>42602</v>
          </cell>
          <cell r="C4820">
            <v>312228.18</v>
          </cell>
          <cell r="D4820" t="str">
            <v>PHP</v>
          </cell>
          <cell r="E4820">
            <v>1</v>
          </cell>
          <cell r="F4820" t="str">
            <v>PC</v>
          </cell>
          <cell r="G4820">
            <v>0</v>
          </cell>
        </row>
        <row r="4821">
          <cell r="B4821">
            <v>42605</v>
          </cell>
          <cell r="C4821">
            <v>0</v>
          </cell>
          <cell r="D4821" t="str">
            <v>PHP</v>
          </cell>
          <cell r="E4821">
            <v>0</v>
          </cell>
          <cell r="F4821" t="str">
            <v>PC</v>
          </cell>
          <cell r="G4821">
            <v>0</v>
          </cell>
        </row>
        <row r="4822">
          <cell r="B4822">
            <v>42606</v>
          </cell>
          <cell r="C4822">
            <v>160478.26</v>
          </cell>
          <cell r="D4822" t="str">
            <v>PHP</v>
          </cell>
          <cell r="E4822">
            <v>6</v>
          </cell>
          <cell r="F4822" t="str">
            <v>PC</v>
          </cell>
          <cell r="G4822">
            <v>0</v>
          </cell>
        </row>
        <row r="4823">
          <cell r="B4823">
            <v>42607</v>
          </cell>
          <cell r="C4823">
            <v>373011.14</v>
          </cell>
          <cell r="D4823" t="str">
            <v>PHP</v>
          </cell>
          <cell r="E4823">
            <v>8</v>
          </cell>
          <cell r="F4823" t="str">
            <v>PC</v>
          </cell>
          <cell r="G4823">
            <v>0</v>
          </cell>
        </row>
        <row r="4824">
          <cell r="B4824">
            <v>42608</v>
          </cell>
          <cell r="C4824">
            <v>115441.12</v>
          </cell>
          <cell r="D4824" t="str">
            <v>PHP</v>
          </cell>
          <cell r="E4824">
            <v>3</v>
          </cell>
          <cell r="F4824" t="str">
            <v>PC</v>
          </cell>
          <cell r="G4824">
            <v>0</v>
          </cell>
        </row>
        <row r="4825">
          <cell r="B4825">
            <v>42609</v>
          </cell>
          <cell r="C4825">
            <v>2583.5100000000002</v>
          </cell>
          <cell r="D4825" t="str">
            <v>PHP</v>
          </cell>
          <cell r="E4825">
            <v>8</v>
          </cell>
          <cell r="F4825" t="str">
            <v>PC</v>
          </cell>
          <cell r="G4825">
            <v>0</v>
          </cell>
        </row>
        <row r="4826">
          <cell r="B4826">
            <v>42612</v>
          </cell>
          <cell r="C4826">
            <v>76916.039999999994</v>
          </cell>
          <cell r="D4826" t="str">
            <v>PHP</v>
          </cell>
          <cell r="E4826">
            <v>34</v>
          </cell>
          <cell r="F4826" t="str">
            <v>PC</v>
          </cell>
          <cell r="G4826">
            <v>0</v>
          </cell>
        </row>
        <row r="4827">
          <cell r="B4827">
            <v>42613</v>
          </cell>
          <cell r="C4827">
            <v>33505.99</v>
          </cell>
          <cell r="D4827" t="str">
            <v>PHP</v>
          </cell>
          <cell r="E4827">
            <v>10</v>
          </cell>
          <cell r="F4827" t="str">
            <v>PC</v>
          </cell>
          <cell r="G4827">
            <v>0</v>
          </cell>
        </row>
        <row r="4828">
          <cell r="B4828">
            <v>42614</v>
          </cell>
          <cell r="C4828">
            <v>18664.37</v>
          </cell>
          <cell r="D4828" t="str">
            <v>PHP</v>
          </cell>
          <cell r="E4828">
            <v>2</v>
          </cell>
          <cell r="F4828" t="str">
            <v>PC</v>
          </cell>
          <cell r="G4828">
            <v>0</v>
          </cell>
        </row>
        <row r="4829">
          <cell r="B4829">
            <v>42615</v>
          </cell>
          <cell r="C4829">
            <v>170092.35</v>
          </cell>
          <cell r="D4829" t="str">
            <v>PHP</v>
          </cell>
          <cell r="E4829">
            <v>6</v>
          </cell>
          <cell r="F4829" t="str">
            <v>SET</v>
          </cell>
          <cell r="G4829">
            <v>0</v>
          </cell>
        </row>
        <row r="4830">
          <cell r="B4830">
            <v>42616</v>
          </cell>
          <cell r="C4830">
            <v>430944.48</v>
          </cell>
          <cell r="D4830" t="str">
            <v>PHP</v>
          </cell>
          <cell r="E4830">
            <v>1</v>
          </cell>
          <cell r="F4830" t="str">
            <v>PC</v>
          </cell>
          <cell r="G4830">
            <v>0</v>
          </cell>
        </row>
        <row r="4831">
          <cell r="B4831">
            <v>42618</v>
          </cell>
          <cell r="C4831">
            <v>1878.61</v>
          </cell>
          <cell r="D4831" t="str">
            <v>PHP</v>
          </cell>
          <cell r="E4831">
            <v>44</v>
          </cell>
          <cell r="F4831" t="str">
            <v>PC</v>
          </cell>
          <cell r="G4831">
            <v>0</v>
          </cell>
        </row>
        <row r="4832">
          <cell r="B4832">
            <v>42619</v>
          </cell>
          <cell r="C4832">
            <v>0</v>
          </cell>
          <cell r="D4832" t="str">
            <v>PHP</v>
          </cell>
          <cell r="E4832">
            <v>0</v>
          </cell>
          <cell r="F4832" t="str">
            <v>PC</v>
          </cell>
          <cell r="G4832">
            <v>0</v>
          </cell>
        </row>
        <row r="4833">
          <cell r="B4833">
            <v>42630</v>
          </cell>
          <cell r="C4833">
            <v>350470.03</v>
          </cell>
          <cell r="D4833" t="str">
            <v>PHP</v>
          </cell>
          <cell r="E4833">
            <v>81</v>
          </cell>
          <cell r="F4833" t="str">
            <v>FT</v>
          </cell>
          <cell r="G4833">
            <v>0</v>
          </cell>
        </row>
        <row r="4834">
          <cell r="B4834">
            <v>42631</v>
          </cell>
          <cell r="C4834">
            <v>141586.4</v>
          </cell>
          <cell r="D4834" t="str">
            <v>PHP</v>
          </cell>
          <cell r="E4834">
            <v>20</v>
          </cell>
          <cell r="F4834" t="str">
            <v>FT</v>
          </cell>
          <cell r="G4834">
            <v>0</v>
          </cell>
        </row>
        <row r="4835">
          <cell r="B4835">
            <v>42632</v>
          </cell>
          <cell r="C4835">
            <v>968978.14</v>
          </cell>
          <cell r="D4835" t="str">
            <v>PHP</v>
          </cell>
          <cell r="E4835">
            <v>80</v>
          </cell>
          <cell r="F4835" t="str">
            <v>FT</v>
          </cell>
          <cell r="G4835">
            <v>0</v>
          </cell>
        </row>
        <row r="4836">
          <cell r="B4836">
            <v>42633</v>
          </cell>
          <cell r="C4836">
            <v>30251.47</v>
          </cell>
          <cell r="D4836" t="str">
            <v>PHP</v>
          </cell>
          <cell r="E4836">
            <v>30</v>
          </cell>
          <cell r="F4836" t="str">
            <v>FT</v>
          </cell>
          <cell r="G4836">
            <v>0</v>
          </cell>
        </row>
        <row r="4837">
          <cell r="B4837">
            <v>42634</v>
          </cell>
          <cell r="C4837">
            <v>338467.98</v>
          </cell>
          <cell r="D4837" t="str">
            <v>PHP</v>
          </cell>
          <cell r="E4837">
            <v>75</v>
          </cell>
          <cell r="F4837" t="str">
            <v>FT</v>
          </cell>
          <cell r="G4837">
            <v>0</v>
          </cell>
        </row>
        <row r="4838">
          <cell r="B4838">
            <v>42635</v>
          </cell>
          <cell r="C4838">
            <v>330780.71000000002</v>
          </cell>
          <cell r="D4838" t="str">
            <v>PHP</v>
          </cell>
          <cell r="E4838">
            <v>47</v>
          </cell>
          <cell r="F4838" t="str">
            <v>FT</v>
          </cell>
          <cell r="G4838">
            <v>0</v>
          </cell>
        </row>
        <row r="4839">
          <cell r="B4839">
            <v>42636</v>
          </cell>
          <cell r="C4839">
            <v>400099.75</v>
          </cell>
          <cell r="D4839" t="str">
            <v>PHP</v>
          </cell>
          <cell r="E4839">
            <v>1</v>
          </cell>
          <cell r="F4839" t="str">
            <v>ASY</v>
          </cell>
          <cell r="G4839">
            <v>0</v>
          </cell>
        </row>
        <row r="4840">
          <cell r="B4840">
            <v>42637</v>
          </cell>
          <cell r="C4840">
            <v>5526.08</v>
          </cell>
          <cell r="D4840" t="str">
            <v>PHP</v>
          </cell>
          <cell r="E4840">
            <v>4</v>
          </cell>
          <cell r="F4840" t="str">
            <v>PC</v>
          </cell>
          <cell r="G4840">
            <v>0</v>
          </cell>
        </row>
        <row r="4841">
          <cell r="B4841">
            <v>42638</v>
          </cell>
          <cell r="C4841">
            <v>13277.16</v>
          </cell>
          <cell r="D4841" t="str">
            <v>PHP</v>
          </cell>
          <cell r="E4841">
            <v>2</v>
          </cell>
          <cell r="F4841" t="str">
            <v>ASY</v>
          </cell>
          <cell r="G4841">
            <v>0</v>
          </cell>
        </row>
        <row r="4842">
          <cell r="B4842">
            <v>42639</v>
          </cell>
          <cell r="C4842">
            <v>10449.94</v>
          </cell>
          <cell r="D4842" t="str">
            <v>PHP</v>
          </cell>
          <cell r="E4842">
            <v>2</v>
          </cell>
          <cell r="F4842" t="str">
            <v>ASY</v>
          </cell>
          <cell r="G4842">
            <v>0</v>
          </cell>
        </row>
        <row r="4843">
          <cell r="B4843">
            <v>42640</v>
          </cell>
          <cell r="C4843">
            <v>11395.96</v>
          </cell>
          <cell r="D4843" t="str">
            <v>PHP</v>
          </cell>
          <cell r="E4843">
            <v>2</v>
          </cell>
          <cell r="F4843" t="str">
            <v>ASY</v>
          </cell>
          <cell r="G4843">
            <v>0</v>
          </cell>
        </row>
        <row r="4844">
          <cell r="B4844">
            <v>42641</v>
          </cell>
          <cell r="C4844">
            <v>0</v>
          </cell>
          <cell r="D4844" t="str">
            <v>PHP</v>
          </cell>
          <cell r="E4844">
            <v>0</v>
          </cell>
          <cell r="F4844" t="str">
            <v>ASY</v>
          </cell>
          <cell r="G4844">
            <v>0</v>
          </cell>
        </row>
        <row r="4845">
          <cell r="B4845">
            <v>42642</v>
          </cell>
          <cell r="C4845">
            <v>12679.71</v>
          </cell>
          <cell r="D4845" t="str">
            <v>PHP</v>
          </cell>
          <cell r="E4845">
            <v>4</v>
          </cell>
          <cell r="F4845" t="str">
            <v>PC</v>
          </cell>
          <cell r="G4845">
            <v>0</v>
          </cell>
        </row>
        <row r="4846">
          <cell r="B4846">
            <v>42643</v>
          </cell>
          <cell r="C4846">
            <v>85587.96</v>
          </cell>
          <cell r="D4846" t="str">
            <v>PHP</v>
          </cell>
          <cell r="E4846">
            <v>4</v>
          </cell>
          <cell r="F4846" t="str">
            <v>PC</v>
          </cell>
          <cell r="G4846">
            <v>0</v>
          </cell>
        </row>
        <row r="4847">
          <cell r="B4847">
            <v>42646</v>
          </cell>
          <cell r="C4847">
            <v>0</v>
          </cell>
          <cell r="D4847" t="str">
            <v>PHP</v>
          </cell>
          <cell r="E4847">
            <v>0</v>
          </cell>
          <cell r="F4847" t="str">
            <v>PC</v>
          </cell>
          <cell r="G4847">
            <v>0</v>
          </cell>
        </row>
        <row r="4848">
          <cell r="B4848">
            <v>42647</v>
          </cell>
          <cell r="C4848">
            <v>5261.8</v>
          </cell>
          <cell r="D4848" t="str">
            <v>PHP</v>
          </cell>
          <cell r="E4848">
            <v>1</v>
          </cell>
          <cell r="F4848" t="str">
            <v>PC</v>
          </cell>
          <cell r="G4848">
            <v>0</v>
          </cell>
        </row>
        <row r="4849">
          <cell r="B4849">
            <v>42648</v>
          </cell>
          <cell r="C4849">
            <v>0</v>
          </cell>
          <cell r="D4849" t="str">
            <v>PHP</v>
          </cell>
          <cell r="E4849">
            <v>0</v>
          </cell>
          <cell r="F4849" t="str">
            <v>PC</v>
          </cell>
          <cell r="G4849">
            <v>0</v>
          </cell>
        </row>
        <row r="4850">
          <cell r="B4850">
            <v>42649</v>
          </cell>
          <cell r="C4850">
            <v>169879.33</v>
          </cell>
          <cell r="D4850" t="str">
            <v>PHP</v>
          </cell>
          <cell r="E4850">
            <v>4</v>
          </cell>
          <cell r="F4850" t="str">
            <v>PC</v>
          </cell>
          <cell r="G4850">
            <v>0</v>
          </cell>
        </row>
        <row r="4851">
          <cell r="B4851">
            <v>42652</v>
          </cell>
          <cell r="C4851">
            <v>20400</v>
          </cell>
          <cell r="D4851" t="str">
            <v>PHP</v>
          </cell>
          <cell r="E4851">
            <v>24</v>
          </cell>
          <cell r="F4851" t="str">
            <v>PC</v>
          </cell>
          <cell r="G4851">
            <v>0</v>
          </cell>
        </row>
        <row r="4852">
          <cell r="B4852">
            <v>42653</v>
          </cell>
          <cell r="C4852">
            <v>13758.95</v>
          </cell>
          <cell r="D4852" t="str">
            <v>PHP</v>
          </cell>
          <cell r="E4852">
            <v>8</v>
          </cell>
          <cell r="F4852" t="str">
            <v>PC</v>
          </cell>
          <cell r="G4852">
            <v>0</v>
          </cell>
        </row>
        <row r="4853">
          <cell r="B4853">
            <v>42654</v>
          </cell>
          <cell r="C4853">
            <v>0</v>
          </cell>
          <cell r="D4853" t="str">
            <v>PHP</v>
          </cell>
          <cell r="E4853">
            <v>0</v>
          </cell>
          <cell r="F4853" t="str">
            <v>PC</v>
          </cell>
          <cell r="G4853">
            <v>0</v>
          </cell>
        </row>
        <row r="4854">
          <cell r="B4854">
            <v>42656</v>
          </cell>
          <cell r="C4854">
            <v>60087.5</v>
          </cell>
          <cell r="D4854" t="str">
            <v>PHP</v>
          </cell>
          <cell r="E4854">
            <v>5</v>
          </cell>
          <cell r="F4854" t="str">
            <v>PC</v>
          </cell>
          <cell r="G4854">
            <v>0</v>
          </cell>
        </row>
        <row r="4855">
          <cell r="B4855">
            <v>42657</v>
          </cell>
          <cell r="C4855">
            <v>97637.68</v>
          </cell>
          <cell r="D4855" t="str">
            <v>PHP</v>
          </cell>
          <cell r="E4855">
            <v>2</v>
          </cell>
          <cell r="F4855" t="str">
            <v>PC</v>
          </cell>
          <cell r="G4855">
            <v>0</v>
          </cell>
        </row>
        <row r="4856">
          <cell r="B4856">
            <v>42658</v>
          </cell>
          <cell r="C4856">
            <v>10208.530000000001</v>
          </cell>
          <cell r="D4856" t="str">
            <v>PHP</v>
          </cell>
          <cell r="E4856">
            <v>8</v>
          </cell>
          <cell r="F4856" t="str">
            <v>PC</v>
          </cell>
          <cell r="G4856">
            <v>0</v>
          </cell>
        </row>
        <row r="4857">
          <cell r="B4857">
            <v>42659</v>
          </cell>
          <cell r="C4857">
            <v>4858.8</v>
          </cell>
          <cell r="D4857" t="str">
            <v>PHP</v>
          </cell>
          <cell r="E4857">
            <v>2</v>
          </cell>
          <cell r="F4857" t="str">
            <v>PC</v>
          </cell>
          <cell r="G4857">
            <v>0</v>
          </cell>
        </row>
        <row r="4858">
          <cell r="B4858">
            <v>42660</v>
          </cell>
          <cell r="C4858">
            <v>76219.16</v>
          </cell>
          <cell r="D4858" t="str">
            <v>PHP</v>
          </cell>
          <cell r="E4858">
            <v>23</v>
          </cell>
          <cell r="F4858" t="str">
            <v>PC</v>
          </cell>
          <cell r="G4858">
            <v>0</v>
          </cell>
        </row>
        <row r="4859">
          <cell r="B4859">
            <v>42661</v>
          </cell>
          <cell r="C4859">
            <v>1558.66</v>
          </cell>
          <cell r="D4859" t="str">
            <v>PHP</v>
          </cell>
          <cell r="E4859">
            <v>1</v>
          </cell>
          <cell r="F4859" t="str">
            <v>PC</v>
          </cell>
          <cell r="G4859">
            <v>0</v>
          </cell>
        </row>
        <row r="4860">
          <cell r="B4860">
            <v>42662</v>
          </cell>
          <cell r="C4860">
            <v>1048.8</v>
          </cell>
          <cell r="D4860" t="str">
            <v>PHP</v>
          </cell>
          <cell r="E4860">
            <v>2</v>
          </cell>
          <cell r="F4860" t="str">
            <v>PC</v>
          </cell>
          <cell r="G4860">
            <v>0</v>
          </cell>
        </row>
        <row r="4861">
          <cell r="B4861">
            <v>42663</v>
          </cell>
          <cell r="C4861">
            <v>1026.96</v>
          </cell>
          <cell r="D4861" t="str">
            <v>PHP</v>
          </cell>
          <cell r="E4861">
            <v>2</v>
          </cell>
          <cell r="F4861" t="str">
            <v>PC</v>
          </cell>
          <cell r="G4861">
            <v>0</v>
          </cell>
        </row>
        <row r="4862">
          <cell r="B4862">
            <v>42664</v>
          </cell>
          <cell r="C4862">
            <v>633.64</v>
          </cell>
          <cell r="D4862" t="str">
            <v>PHP</v>
          </cell>
          <cell r="E4862">
            <v>2</v>
          </cell>
          <cell r="F4862" t="str">
            <v>PC</v>
          </cell>
          <cell r="G4862">
            <v>0</v>
          </cell>
        </row>
        <row r="4863">
          <cell r="B4863">
            <v>42665</v>
          </cell>
          <cell r="C4863">
            <v>27675.84</v>
          </cell>
          <cell r="D4863" t="str">
            <v>PHP</v>
          </cell>
          <cell r="E4863">
            <v>6</v>
          </cell>
          <cell r="F4863" t="str">
            <v>PC</v>
          </cell>
          <cell r="G4863">
            <v>0</v>
          </cell>
        </row>
        <row r="4864">
          <cell r="B4864">
            <v>42666</v>
          </cell>
          <cell r="C4864">
            <v>22952.28</v>
          </cell>
          <cell r="D4864" t="str">
            <v>PHP</v>
          </cell>
          <cell r="E4864">
            <v>12</v>
          </cell>
          <cell r="F4864" t="str">
            <v>PC</v>
          </cell>
          <cell r="G4864">
            <v>0</v>
          </cell>
        </row>
        <row r="4865">
          <cell r="B4865">
            <v>42667</v>
          </cell>
          <cell r="C4865">
            <v>8784</v>
          </cell>
          <cell r="D4865" t="str">
            <v>PHP</v>
          </cell>
          <cell r="E4865">
            <v>18</v>
          </cell>
          <cell r="F4865" t="str">
            <v>PC</v>
          </cell>
          <cell r="G4865">
            <v>0</v>
          </cell>
        </row>
        <row r="4866">
          <cell r="B4866">
            <v>42668</v>
          </cell>
          <cell r="C4866">
            <v>15959.06</v>
          </cell>
          <cell r="D4866" t="str">
            <v>PHP</v>
          </cell>
          <cell r="E4866">
            <v>6</v>
          </cell>
          <cell r="F4866" t="str">
            <v>PC</v>
          </cell>
          <cell r="G4866">
            <v>0</v>
          </cell>
        </row>
        <row r="4867">
          <cell r="B4867">
            <v>42669</v>
          </cell>
          <cell r="C4867">
            <v>7578.42</v>
          </cell>
          <cell r="D4867" t="str">
            <v>PHP</v>
          </cell>
          <cell r="E4867">
            <v>4</v>
          </cell>
          <cell r="F4867" t="str">
            <v>PC</v>
          </cell>
          <cell r="G4867">
            <v>0</v>
          </cell>
        </row>
        <row r="4868">
          <cell r="B4868">
            <v>42670</v>
          </cell>
          <cell r="C4868">
            <v>13584.38</v>
          </cell>
          <cell r="D4868" t="str">
            <v>PHP</v>
          </cell>
          <cell r="E4868">
            <v>6</v>
          </cell>
          <cell r="F4868" t="str">
            <v>PC</v>
          </cell>
          <cell r="G4868">
            <v>0</v>
          </cell>
        </row>
        <row r="4869">
          <cell r="B4869">
            <v>42678</v>
          </cell>
          <cell r="C4869">
            <v>0</v>
          </cell>
          <cell r="D4869" t="str">
            <v>PHP</v>
          </cell>
          <cell r="E4869">
            <v>0</v>
          </cell>
          <cell r="F4869" t="str">
            <v>PC</v>
          </cell>
          <cell r="G4869">
            <v>0</v>
          </cell>
        </row>
        <row r="4870">
          <cell r="B4870">
            <v>42679</v>
          </cell>
          <cell r="C4870">
            <v>0</v>
          </cell>
          <cell r="D4870" t="str">
            <v>PHP</v>
          </cell>
          <cell r="E4870">
            <v>0</v>
          </cell>
          <cell r="F4870" t="str">
            <v>PC</v>
          </cell>
          <cell r="G4870">
            <v>0</v>
          </cell>
        </row>
        <row r="4871">
          <cell r="B4871">
            <v>42680</v>
          </cell>
          <cell r="C4871">
            <v>2015.67</v>
          </cell>
          <cell r="D4871" t="str">
            <v>PHP</v>
          </cell>
          <cell r="E4871">
            <v>3</v>
          </cell>
          <cell r="F4871" t="str">
            <v>PC</v>
          </cell>
          <cell r="G4871">
            <v>0</v>
          </cell>
        </row>
        <row r="4872">
          <cell r="B4872">
            <v>42681</v>
          </cell>
          <cell r="C4872">
            <v>336.36</v>
          </cell>
          <cell r="D4872" t="str">
            <v>PHP</v>
          </cell>
          <cell r="E4872">
            <v>12</v>
          </cell>
          <cell r="F4872" t="str">
            <v>PC</v>
          </cell>
          <cell r="G4872">
            <v>0</v>
          </cell>
        </row>
        <row r="4873">
          <cell r="B4873">
            <v>42682</v>
          </cell>
          <cell r="C4873">
            <v>284.64</v>
          </cell>
          <cell r="D4873" t="str">
            <v>PHP</v>
          </cell>
          <cell r="E4873">
            <v>12</v>
          </cell>
          <cell r="F4873" t="str">
            <v>PC</v>
          </cell>
          <cell r="G4873">
            <v>0</v>
          </cell>
        </row>
        <row r="4874">
          <cell r="B4874">
            <v>42683</v>
          </cell>
          <cell r="C4874">
            <v>305.31</v>
          </cell>
          <cell r="D4874" t="str">
            <v>PHP</v>
          </cell>
          <cell r="E4874">
            <v>12</v>
          </cell>
          <cell r="F4874" t="str">
            <v>PC</v>
          </cell>
          <cell r="G4874">
            <v>0</v>
          </cell>
        </row>
        <row r="4875">
          <cell r="B4875">
            <v>42684</v>
          </cell>
          <cell r="C4875">
            <v>94314.37</v>
          </cell>
          <cell r="D4875" t="str">
            <v>PHP</v>
          </cell>
          <cell r="E4875">
            <v>6</v>
          </cell>
          <cell r="F4875" t="str">
            <v>PC</v>
          </cell>
          <cell r="G4875">
            <v>0</v>
          </cell>
        </row>
        <row r="4876">
          <cell r="B4876">
            <v>42686</v>
          </cell>
          <cell r="C4876">
            <v>9168.68</v>
          </cell>
          <cell r="D4876" t="str">
            <v>PHP</v>
          </cell>
          <cell r="E4876">
            <v>4</v>
          </cell>
          <cell r="F4876" t="str">
            <v>PC</v>
          </cell>
          <cell r="G4876">
            <v>0</v>
          </cell>
        </row>
        <row r="4877">
          <cell r="B4877">
            <v>42687</v>
          </cell>
          <cell r="C4877">
            <v>158362.42000000001</v>
          </cell>
          <cell r="D4877" t="str">
            <v>PHP</v>
          </cell>
          <cell r="E4877">
            <v>16</v>
          </cell>
          <cell r="F4877" t="str">
            <v>PC</v>
          </cell>
          <cell r="G4877">
            <v>0</v>
          </cell>
        </row>
        <row r="4878">
          <cell r="B4878">
            <v>42688</v>
          </cell>
          <cell r="C4878">
            <v>8301.74</v>
          </cell>
          <cell r="D4878" t="str">
            <v>PHP</v>
          </cell>
          <cell r="E4878">
            <v>1</v>
          </cell>
          <cell r="F4878" t="str">
            <v>PC</v>
          </cell>
          <cell r="G4878">
            <v>0</v>
          </cell>
        </row>
        <row r="4879">
          <cell r="B4879">
            <v>42689</v>
          </cell>
          <cell r="C4879">
            <v>4639.9799999999996</v>
          </cell>
          <cell r="D4879" t="str">
            <v>PHP</v>
          </cell>
          <cell r="E4879">
            <v>6</v>
          </cell>
          <cell r="F4879" t="str">
            <v>PC</v>
          </cell>
          <cell r="G4879">
            <v>0</v>
          </cell>
        </row>
        <row r="4880">
          <cell r="B4880">
            <v>42690</v>
          </cell>
          <cell r="C4880">
            <v>2766.51</v>
          </cell>
          <cell r="D4880" t="str">
            <v>PHP</v>
          </cell>
          <cell r="E4880">
            <v>3</v>
          </cell>
          <cell r="F4880" t="str">
            <v>PC</v>
          </cell>
          <cell r="G4880">
            <v>0</v>
          </cell>
        </row>
        <row r="4881">
          <cell r="B4881">
            <v>42691</v>
          </cell>
          <cell r="C4881">
            <v>0</v>
          </cell>
          <cell r="D4881" t="str">
            <v>PHP</v>
          </cell>
          <cell r="E4881">
            <v>0</v>
          </cell>
          <cell r="F4881" t="str">
            <v>PC</v>
          </cell>
          <cell r="G4881">
            <v>0</v>
          </cell>
        </row>
        <row r="4882">
          <cell r="B4882">
            <v>42692</v>
          </cell>
          <cell r="C4882">
            <v>57515.64</v>
          </cell>
          <cell r="D4882" t="str">
            <v>PHP</v>
          </cell>
          <cell r="E4882">
            <v>3</v>
          </cell>
          <cell r="F4882" t="str">
            <v>PC</v>
          </cell>
          <cell r="G4882">
            <v>0</v>
          </cell>
        </row>
        <row r="4883">
          <cell r="B4883">
            <v>42693</v>
          </cell>
          <cell r="C4883">
            <v>673625.43</v>
          </cell>
          <cell r="D4883" t="str">
            <v>PHP</v>
          </cell>
          <cell r="E4883">
            <v>72</v>
          </cell>
          <cell r="F4883" t="str">
            <v>PC</v>
          </cell>
          <cell r="G4883">
            <v>0</v>
          </cell>
        </row>
        <row r="4884">
          <cell r="B4884">
            <v>42694</v>
          </cell>
          <cell r="C4884">
            <v>0</v>
          </cell>
          <cell r="D4884" t="str">
            <v>PHP</v>
          </cell>
          <cell r="E4884">
            <v>0</v>
          </cell>
          <cell r="F4884" t="str">
            <v>PC</v>
          </cell>
          <cell r="G4884">
            <v>0</v>
          </cell>
        </row>
        <row r="4885">
          <cell r="B4885">
            <v>42695</v>
          </cell>
          <cell r="C4885">
            <v>17156.25</v>
          </cell>
          <cell r="D4885" t="str">
            <v>PHP</v>
          </cell>
          <cell r="E4885">
            <v>3</v>
          </cell>
          <cell r="F4885" t="str">
            <v>PC</v>
          </cell>
          <cell r="G4885">
            <v>0</v>
          </cell>
        </row>
        <row r="4886">
          <cell r="B4886">
            <v>42699</v>
          </cell>
          <cell r="C4886">
            <v>3488.99</v>
          </cell>
          <cell r="D4886" t="str">
            <v>PHP</v>
          </cell>
          <cell r="E4886">
            <v>4</v>
          </cell>
          <cell r="F4886" t="str">
            <v>PC</v>
          </cell>
          <cell r="G4886">
            <v>0</v>
          </cell>
        </row>
        <row r="4887">
          <cell r="B4887">
            <v>42700</v>
          </cell>
          <cell r="C4887">
            <v>22906.89</v>
          </cell>
          <cell r="D4887" t="str">
            <v>PHP</v>
          </cell>
          <cell r="E4887">
            <v>3</v>
          </cell>
          <cell r="F4887" t="str">
            <v>PC</v>
          </cell>
          <cell r="G4887">
            <v>0</v>
          </cell>
        </row>
        <row r="4888">
          <cell r="B4888">
            <v>42701</v>
          </cell>
          <cell r="C4888">
            <v>88770.43</v>
          </cell>
          <cell r="D4888" t="str">
            <v>PHP</v>
          </cell>
          <cell r="E4888">
            <v>3</v>
          </cell>
          <cell r="F4888" t="str">
            <v>PC</v>
          </cell>
          <cell r="G4888">
            <v>0</v>
          </cell>
        </row>
        <row r="4889">
          <cell r="B4889">
            <v>42702</v>
          </cell>
          <cell r="C4889">
            <v>155625.59</v>
          </cell>
          <cell r="D4889" t="str">
            <v>PHP</v>
          </cell>
          <cell r="E4889">
            <v>6</v>
          </cell>
          <cell r="F4889" t="str">
            <v>PC</v>
          </cell>
          <cell r="G4889">
            <v>0</v>
          </cell>
        </row>
        <row r="4890">
          <cell r="B4890">
            <v>42703</v>
          </cell>
          <cell r="C4890">
            <v>49144.55</v>
          </cell>
          <cell r="D4890" t="str">
            <v>PHP</v>
          </cell>
          <cell r="E4890">
            <v>4</v>
          </cell>
          <cell r="F4890" t="str">
            <v>PC</v>
          </cell>
          <cell r="G4890">
            <v>0</v>
          </cell>
        </row>
        <row r="4891">
          <cell r="B4891">
            <v>42704</v>
          </cell>
          <cell r="C4891">
            <v>137020.38</v>
          </cell>
          <cell r="D4891" t="str">
            <v>PHP</v>
          </cell>
          <cell r="E4891">
            <v>3</v>
          </cell>
          <cell r="F4891" t="str">
            <v>ASY</v>
          </cell>
          <cell r="G4891">
            <v>0</v>
          </cell>
        </row>
        <row r="4892">
          <cell r="B4892">
            <v>42705</v>
          </cell>
          <cell r="C4892">
            <v>576499.56000000006</v>
          </cell>
          <cell r="D4892" t="str">
            <v>PHP</v>
          </cell>
          <cell r="E4892">
            <v>1</v>
          </cell>
          <cell r="F4892" t="str">
            <v>ASY</v>
          </cell>
          <cell r="G4892">
            <v>0</v>
          </cell>
        </row>
        <row r="4893">
          <cell r="B4893">
            <v>42706</v>
          </cell>
          <cell r="C4893">
            <v>15454.45</v>
          </cell>
          <cell r="D4893" t="str">
            <v>PHP</v>
          </cell>
          <cell r="E4893">
            <v>5</v>
          </cell>
          <cell r="F4893" t="str">
            <v>PC</v>
          </cell>
          <cell r="G4893">
            <v>0</v>
          </cell>
        </row>
        <row r="4894">
          <cell r="B4894">
            <v>42707</v>
          </cell>
          <cell r="C4894">
            <v>3319.04</v>
          </cell>
          <cell r="D4894" t="str">
            <v>PHP</v>
          </cell>
          <cell r="E4894">
            <v>4</v>
          </cell>
          <cell r="F4894" t="str">
            <v>PC</v>
          </cell>
          <cell r="G4894">
            <v>0</v>
          </cell>
        </row>
        <row r="4895">
          <cell r="B4895">
            <v>42708</v>
          </cell>
          <cell r="C4895">
            <v>13680.41</v>
          </cell>
          <cell r="D4895" t="str">
            <v>PHP</v>
          </cell>
          <cell r="E4895">
            <v>12</v>
          </cell>
          <cell r="F4895" t="str">
            <v>PC</v>
          </cell>
          <cell r="G4895">
            <v>0</v>
          </cell>
        </row>
        <row r="4896">
          <cell r="B4896">
            <v>42709</v>
          </cell>
          <cell r="C4896">
            <v>15738.95</v>
          </cell>
          <cell r="D4896" t="str">
            <v>PHP</v>
          </cell>
          <cell r="E4896">
            <v>12</v>
          </cell>
          <cell r="F4896" t="str">
            <v>PC</v>
          </cell>
          <cell r="G4896">
            <v>0</v>
          </cell>
        </row>
        <row r="4897">
          <cell r="B4897">
            <v>42710</v>
          </cell>
          <cell r="C4897">
            <v>2463.81</v>
          </cell>
          <cell r="D4897" t="str">
            <v>PHP</v>
          </cell>
          <cell r="E4897">
            <v>4</v>
          </cell>
          <cell r="F4897" t="str">
            <v>PC</v>
          </cell>
          <cell r="G4897">
            <v>0</v>
          </cell>
        </row>
        <row r="4898">
          <cell r="B4898">
            <v>42711</v>
          </cell>
          <cell r="C4898">
            <v>4305.92</v>
          </cell>
          <cell r="D4898" t="str">
            <v>PHP</v>
          </cell>
          <cell r="E4898">
            <v>16</v>
          </cell>
          <cell r="F4898" t="str">
            <v>PC</v>
          </cell>
          <cell r="G4898">
            <v>0</v>
          </cell>
        </row>
        <row r="4899">
          <cell r="B4899">
            <v>43180</v>
          </cell>
          <cell r="C4899">
            <v>291477.07</v>
          </cell>
          <cell r="D4899" t="str">
            <v>PHP</v>
          </cell>
          <cell r="E4899">
            <v>108</v>
          </cell>
          <cell r="F4899" t="str">
            <v>PC</v>
          </cell>
          <cell r="G4899">
            <v>0</v>
          </cell>
        </row>
        <row r="4900">
          <cell r="B4900">
            <v>43619</v>
          </cell>
          <cell r="C4900">
            <v>840.8</v>
          </cell>
          <cell r="D4900" t="str">
            <v>PHP</v>
          </cell>
          <cell r="E4900">
            <v>1</v>
          </cell>
          <cell r="F4900" t="str">
            <v>PC</v>
          </cell>
          <cell r="G4900">
            <v>0</v>
          </cell>
        </row>
        <row r="4901">
          <cell r="B4901">
            <v>43645</v>
          </cell>
          <cell r="C4901">
            <v>25766.05</v>
          </cell>
          <cell r="D4901" t="str">
            <v>PHP</v>
          </cell>
          <cell r="E4901">
            <v>15</v>
          </cell>
          <cell r="F4901" t="str">
            <v>PC</v>
          </cell>
          <cell r="G4901">
            <v>0</v>
          </cell>
        </row>
        <row r="4902">
          <cell r="B4902">
            <v>43646</v>
          </cell>
          <cell r="C4902">
            <v>5388.8</v>
          </cell>
          <cell r="D4902" t="str">
            <v>PHP</v>
          </cell>
          <cell r="E4902">
            <v>2</v>
          </cell>
          <cell r="F4902" t="str">
            <v>PC</v>
          </cell>
          <cell r="G4902">
            <v>0</v>
          </cell>
        </row>
        <row r="4903">
          <cell r="B4903">
            <v>43647</v>
          </cell>
          <cell r="C4903">
            <v>3276542.97</v>
          </cell>
          <cell r="D4903" t="str">
            <v>PHP</v>
          </cell>
          <cell r="E4903">
            <v>2</v>
          </cell>
          <cell r="F4903" t="str">
            <v>PC</v>
          </cell>
          <cell r="G4903">
            <v>0</v>
          </cell>
        </row>
        <row r="4904">
          <cell r="B4904">
            <v>43648</v>
          </cell>
          <cell r="C4904">
            <v>1059516</v>
          </cell>
          <cell r="D4904" t="str">
            <v>PHP</v>
          </cell>
          <cell r="E4904">
            <v>1</v>
          </cell>
          <cell r="F4904" t="str">
            <v>PC</v>
          </cell>
          <cell r="G4904">
            <v>0</v>
          </cell>
        </row>
        <row r="4905">
          <cell r="B4905">
            <v>43649</v>
          </cell>
          <cell r="C4905">
            <v>9755.36</v>
          </cell>
          <cell r="D4905" t="str">
            <v>PHP</v>
          </cell>
          <cell r="E4905">
            <v>8</v>
          </cell>
          <cell r="F4905" t="str">
            <v>PC</v>
          </cell>
          <cell r="G4905">
            <v>0</v>
          </cell>
        </row>
        <row r="4906">
          <cell r="B4906">
            <v>43651</v>
          </cell>
          <cell r="C4906">
            <v>0</v>
          </cell>
          <cell r="D4906" t="str">
            <v>PHP</v>
          </cell>
          <cell r="E4906">
            <v>0</v>
          </cell>
          <cell r="F4906" t="str">
            <v>PC</v>
          </cell>
          <cell r="G4906">
            <v>0</v>
          </cell>
        </row>
        <row r="4907">
          <cell r="B4907">
            <v>43652</v>
          </cell>
          <cell r="C4907">
            <v>8637.42</v>
          </cell>
          <cell r="D4907" t="str">
            <v>PHP</v>
          </cell>
          <cell r="E4907">
            <v>6</v>
          </cell>
          <cell r="F4907" t="str">
            <v>PC</v>
          </cell>
          <cell r="G4907">
            <v>0</v>
          </cell>
        </row>
        <row r="4908">
          <cell r="B4908">
            <v>43653</v>
          </cell>
          <cell r="C4908">
            <v>0</v>
          </cell>
          <cell r="D4908" t="str">
            <v>PHP</v>
          </cell>
          <cell r="E4908">
            <v>0</v>
          </cell>
          <cell r="F4908" t="str">
            <v>PC</v>
          </cell>
          <cell r="G4908">
            <v>0</v>
          </cell>
        </row>
        <row r="4909">
          <cell r="B4909">
            <v>43654</v>
          </cell>
          <cell r="C4909">
            <v>1022884.89</v>
          </cell>
          <cell r="D4909" t="str">
            <v>PHP</v>
          </cell>
          <cell r="E4909">
            <v>1</v>
          </cell>
          <cell r="F4909" t="str">
            <v>PC</v>
          </cell>
          <cell r="G4909">
            <v>0</v>
          </cell>
        </row>
        <row r="4910">
          <cell r="B4910">
            <v>43655</v>
          </cell>
          <cell r="C4910">
            <v>4327288.74</v>
          </cell>
          <cell r="D4910" t="str">
            <v>PHP</v>
          </cell>
          <cell r="E4910">
            <v>2</v>
          </cell>
          <cell r="F4910" t="str">
            <v>PC</v>
          </cell>
          <cell r="G4910">
            <v>0</v>
          </cell>
        </row>
        <row r="4911">
          <cell r="B4911">
            <v>43656</v>
          </cell>
          <cell r="C4911">
            <v>86860.73</v>
          </cell>
          <cell r="D4911" t="str">
            <v>PHP</v>
          </cell>
          <cell r="E4911">
            <v>11</v>
          </cell>
          <cell r="F4911" t="str">
            <v>PC</v>
          </cell>
          <cell r="G4911">
            <v>0</v>
          </cell>
        </row>
        <row r="4912">
          <cell r="B4912">
            <v>43657</v>
          </cell>
          <cell r="C4912">
            <v>11541.6</v>
          </cell>
          <cell r="D4912" t="str">
            <v>PHP</v>
          </cell>
          <cell r="E4912">
            <v>24</v>
          </cell>
          <cell r="F4912" t="str">
            <v>PC</v>
          </cell>
          <cell r="G4912">
            <v>0</v>
          </cell>
        </row>
        <row r="4913">
          <cell r="B4913">
            <v>43658</v>
          </cell>
          <cell r="C4913">
            <v>48179.06</v>
          </cell>
          <cell r="D4913" t="str">
            <v>PHP</v>
          </cell>
          <cell r="E4913">
            <v>14</v>
          </cell>
          <cell r="F4913" t="str">
            <v>PC</v>
          </cell>
          <cell r="G4913">
            <v>0</v>
          </cell>
        </row>
        <row r="4914">
          <cell r="B4914">
            <v>43659</v>
          </cell>
          <cell r="C4914">
            <v>44080.56</v>
          </cell>
          <cell r="D4914" t="str">
            <v>PHP</v>
          </cell>
          <cell r="E4914">
            <v>36</v>
          </cell>
          <cell r="F4914" t="str">
            <v>PC</v>
          </cell>
          <cell r="G4914">
            <v>0</v>
          </cell>
        </row>
        <row r="4915">
          <cell r="B4915">
            <v>43660</v>
          </cell>
          <cell r="C4915">
            <v>46565.61</v>
          </cell>
          <cell r="D4915" t="str">
            <v>PHP</v>
          </cell>
          <cell r="E4915">
            <v>55</v>
          </cell>
          <cell r="F4915" t="str">
            <v>PC</v>
          </cell>
          <cell r="G4915">
            <v>0</v>
          </cell>
        </row>
        <row r="4916">
          <cell r="B4916">
            <v>43663</v>
          </cell>
          <cell r="C4916">
            <v>88285.5</v>
          </cell>
          <cell r="D4916" t="str">
            <v>PHP</v>
          </cell>
          <cell r="E4916">
            <v>6</v>
          </cell>
          <cell r="F4916" t="str">
            <v>PC</v>
          </cell>
          <cell r="G4916">
            <v>0</v>
          </cell>
        </row>
        <row r="4917">
          <cell r="B4917">
            <v>43664</v>
          </cell>
          <cell r="C4917">
            <v>8787.01</v>
          </cell>
          <cell r="D4917" t="str">
            <v>PHP</v>
          </cell>
          <cell r="E4917">
            <v>12</v>
          </cell>
          <cell r="F4917" t="str">
            <v>PC</v>
          </cell>
          <cell r="G4917">
            <v>0</v>
          </cell>
        </row>
        <row r="4918">
          <cell r="B4918">
            <v>43665</v>
          </cell>
          <cell r="C4918">
            <v>5202.45</v>
          </cell>
          <cell r="D4918" t="str">
            <v>PHP</v>
          </cell>
          <cell r="E4918">
            <v>9</v>
          </cell>
          <cell r="F4918" t="str">
            <v>PC</v>
          </cell>
          <cell r="G4918">
            <v>0</v>
          </cell>
        </row>
        <row r="4919">
          <cell r="B4919">
            <v>43666</v>
          </cell>
          <cell r="C4919">
            <v>0</v>
          </cell>
          <cell r="D4919" t="str">
            <v>PHP</v>
          </cell>
          <cell r="E4919">
            <v>0</v>
          </cell>
          <cell r="F4919" t="str">
            <v>PC</v>
          </cell>
          <cell r="G4919">
            <v>0</v>
          </cell>
        </row>
        <row r="4920">
          <cell r="B4920">
            <v>43667</v>
          </cell>
          <cell r="C4920">
            <v>9610.1</v>
          </cell>
          <cell r="D4920" t="str">
            <v>PHP</v>
          </cell>
          <cell r="E4920">
            <v>20</v>
          </cell>
          <cell r="F4920" t="str">
            <v>PC</v>
          </cell>
          <cell r="G4920">
            <v>0</v>
          </cell>
        </row>
        <row r="4921">
          <cell r="B4921">
            <v>43668</v>
          </cell>
          <cell r="C4921">
            <v>14253.92</v>
          </cell>
          <cell r="D4921" t="str">
            <v>PHP</v>
          </cell>
          <cell r="E4921">
            <v>31</v>
          </cell>
          <cell r="F4921" t="str">
            <v>PC</v>
          </cell>
          <cell r="G4921">
            <v>0</v>
          </cell>
        </row>
        <row r="4922">
          <cell r="B4922">
            <v>43670</v>
          </cell>
          <cell r="C4922">
            <v>70778.02</v>
          </cell>
          <cell r="D4922" t="str">
            <v>PHP</v>
          </cell>
          <cell r="E4922">
            <v>6</v>
          </cell>
          <cell r="F4922" t="str">
            <v>PC</v>
          </cell>
          <cell r="G4922">
            <v>0</v>
          </cell>
        </row>
        <row r="4923">
          <cell r="B4923">
            <v>43671</v>
          </cell>
          <cell r="C4923">
            <v>19772.77</v>
          </cell>
          <cell r="D4923" t="str">
            <v>PHP</v>
          </cell>
          <cell r="E4923">
            <v>6</v>
          </cell>
          <cell r="F4923" t="str">
            <v>PC</v>
          </cell>
          <cell r="G4923">
            <v>0</v>
          </cell>
        </row>
        <row r="4924">
          <cell r="B4924">
            <v>43672</v>
          </cell>
          <cell r="C4924">
            <v>60552.81</v>
          </cell>
          <cell r="D4924" t="str">
            <v>PHP</v>
          </cell>
          <cell r="E4924">
            <v>1</v>
          </cell>
          <cell r="F4924" t="str">
            <v>PC</v>
          </cell>
          <cell r="G4924">
            <v>0</v>
          </cell>
        </row>
        <row r="4925">
          <cell r="B4925">
            <v>43673</v>
          </cell>
          <cell r="C4925">
            <v>0</v>
          </cell>
          <cell r="D4925" t="str">
            <v>PHP</v>
          </cell>
          <cell r="E4925">
            <v>0</v>
          </cell>
          <cell r="F4925" t="str">
            <v>PC</v>
          </cell>
          <cell r="G4925">
            <v>0</v>
          </cell>
        </row>
        <row r="4926">
          <cell r="B4926">
            <v>43674</v>
          </cell>
          <cell r="C4926">
            <v>316883.56</v>
          </cell>
          <cell r="D4926" t="str">
            <v>PHP</v>
          </cell>
          <cell r="E4926">
            <v>75</v>
          </cell>
          <cell r="F4926" t="str">
            <v>PC</v>
          </cell>
          <cell r="G4926">
            <v>0</v>
          </cell>
        </row>
        <row r="4927">
          <cell r="B4927">
            <v>43675</v>
          </cell>
          <cell r="C4927">
            <v>0</v>
          </cell>
          <cell r="D4927" t="str">
            <v>PHP</v>
          </cell>
          <cell r="E4927">
            <v>0</v>
          </cell>
          <cell r="F4927" t="str">
            <v>PC</v>
          </cell>
          <cell r="G4927">
            <v>0</v>
          </cell>
        </row>
        <row r="4928">
          <cell r="B4928">
            <v>43677</v>
          </cell>
          <cell r="C4928">
            <v>7395</v>
          </cell>
          <cell r="D4928" t="str">
            <v>PHP</v>
          </cell>
          <cell r="E4928">
            <v>4</v>
          </cell>
          <cell r="F4928" t="str">
            <v>PC</v>
          </cell>
          <cell r="G4928">
            <v>0</v>
          </cell>
        </row>
        <row r="4929">
          <cell r="B4929">
            <v>43678</v>
          </cell>
          <cell r="C4929">
            <v>37941.980000000003</v>
          </cell>
          <cell r="D4929" t="str">
            <v>PHP</v>
          </cell>
          <cell r="E4929">
            <v>20</v>
          </cell>
          <cell r="F4929" t="str">
            <v>PC</v>
          </cell>
          <cell r="G4929">
            <v>0</v>
          </cell>
        </row>
        <row r="4930">
          <cell r="B4930">
            <v>43679</v>
          </cell>
          <cell r="C4930">
            <v>171925.05</v>
          </cell>
          <cell r="D4930" t="str">
            <v>PHP</v>
          </cell>
          <cell r="E4930">
            <v>4</v>
          </cell>
          <cell r="F4930" t="str">
            <v>PC</v>
          </cell>
          <cell r="G4930">
            <v>0</v>
          </cell>
        </row>
        <row r="4931">
          <cell r="B4931">
            <v>43680</v>
          </cell>
          <cell r="C4931">
            <v>35694.89</v>
          </cell>
          <cell r="D4931" t="str">
            <v>PHP</v>
          </cell>
          <cell r="E4931">
            <v>31</v>
          </cell>
          <cell r="F4931" t="str">
            <v>PC</v>
          </cell>
          <cell r="G4931">
            <v>0</v>
          </cell>
        </row>
        <row r="4932">
          <cell r="B4932">
            <v>43681</v>
          </cell>
          <cell r="C4932">
            <v>0</v>
          </cell>
          <cell r="D4932" t="str">
            <v>PHP</v>
          </cell>
          <cell r="E4932">
            <v>0</v>
          </cell>
          <cell r="F4932" t="str">
            <v>PC</v>
          </cell>
          <cell r="G4932">
            <v>0</v>
          </cell>
        </row>
        <row r="4933">
          <cell r="B4933">
            <v>43709</v>
          </cell>
          <cell r="C4933">
            <v>7506.63</v>
          </cell>
          <cell r="D4933" t="str">
            <v>PHP</v>
          </cell>
          <cell r="E4933">
            <v>5</v>
          </cell>
          <cell r="F4933" t="str">
            <v>PC</v>
          </cell>
          <cell r="G4933">
            <v>0</v>
          </cell>
        </row>
        <row r="4934">
          <cell r="B4934">
            <v>43710</v>
          </cell>
          <cell r="C4934">
            <v>11191.19</v>
          </cell>
          <cell r="D4934" t="str">
            <v>PHP</v>
          </cell>
          <cell r="E4934">
            <v>6</v>
          </cell>
          <cell r="F4934" t="str">
            <v>PC</v>
          </cell>
          <cell r="G4934">
            <v>0</v>
          </cell>
        </row>
        <row r="4935">
          <cell r="B4935">
            <v>43711</v>
          </cell>
          <cell r="C4935">
            <v>0</v>
          </cell>
          <cell r="D4935" t="str">
            <v>PHP</v>
          </cell>
          <cell r="E4935">
            <v>0</v>
          </cell>
          <cell r="F4935" t="str">
            <v>PC</v>
          </cell>
          <cell r="G4935">
            <v>0</v>
          </cell>
        </row>
        <row r="4936">
          <cell r="B4936">
            <v>43712</v>
          </cell>
          <cell r="C4936">
            <v>1418609.96</v>
          </cell>
          <cell r="D4936" t="str">
            <v>PHP</v>
          </cell>
          <cell r="E4936">
            <v>1</v>
          </cell>
          <cell r="F4936" t="str">
            <v>PC</v>
          </cell>
          <cell r="G4936">
            <v>0</v>
          </cell>
        </row>
        <row r="4937">
          <cell r="B4937">
            <v>43713</v>
          </cell>
          <cell r="C4937">
            <v>308302.2</v>
          </cell>
          <cell r="D4937" t="str">
            <v>PHP</v>
          </cell>
          <cell r="E4937">
            <v>9</v>
          </cell>
          <cell r="F4937" t="str">
            <v>PC</v>
          </cell>
          <cell r="G4937">
            <v>0</v>
          </cell>
        </row>
        <row r="4938">
          <cell r="B4938">
            <v>43714</v>
          </cell>
          <cell r="C4938">
            <v>27257.08</v>
          </cell>
          <cell r="D4938" t="str">
            <v>PHP</v>
          </cell>
          <cell r="E4938">
            <v>30</v>
          </cell>
          <cell r="F4938" t="str">
            <v>PC</v>
          </cell>
          <cell r="G4938">
            <v>0</v>
          </cell>
        </row>
        <row r="4939">
          <cell r="B4939">
            <v>43715</v>
          </cell>
          <cell r="C4939">
            <v>244363.34</v>
          </cell>
          <cell r="D4939" t="str">
            <v>PHP</v>
          </cell>
          <cell r="E4939">
            <v>8</v>
          </cell>
          <cell r="F4939" t="str">
            <v>PC</v>
          </cell>
          <cell r="G4939">
            <v>0</v>
          </cell>
        </row>
        <row r="4940">
          <cell r="B4940">
            <v>43716</v>
          </cell>
          <cell r="C4940">
            <v>60170.49</v>
          </cell>
          <cell r="D4940" t="str">
            <v>PHP</v>
          </cell>
          <cell r="E4940">
            <v>48</v>
          </cell>
          <cell r="F4940" t="str">
            <v>PC</v>
          </cell>
          <cell r="G4940">
            <v>0</v>
          </cell>
        </row>
        <row r="4941">
          <cell r="B4941">
            <v>43717</v>
          </cell>
          <cell r="C4941">
            <v>35093.230000000003</v>
          </cell>
          <cell r="D4941" t="str">
            <v>PHP</v>
          </cell>
          <cell r="E4941">
            <v>32</v>
          </cell>
          <cell r="F4941" t="str">
            <v>PC</v>
          </cell>
          <cell r="G4941">
            <v>0</v>
          </cell>
        </row>
        <row r="4942">
          <cell r="B4942">
            <v>43718</v>
          </cell>
          <cell r="C4942">
            <v>508098.25</v>
          </cell>
          <cell r="D4942" t="str">
            <v>PHP</v>
          </cell>
          <cell r="E4942">
            <v>90</v>
          </cell>
          <cell r="F4942" t="str">
            <v>PC</v>
          </cell>
          <cell r="G4942">
            <v>0</v>
          </cell>
        </row>
        <row r="4943">
          <cell r="B4943">
            <v>43719</v>
          </cell>
          <cell r="C4943">
            <v>15841.65</v>
          </cell>
          <cell r="D4943" t="str">
            <v>PHP</v>
          </cell>
          <cell r="E4943">
            <v>18</v>
          </cell>
          <cell r="F4943" t="str">
            <v>PC</v>
          </cell>
          <cell r="G4943">
            <v>0</v>
          </cell>
        </row>
        <row r="4944">
          <cell r="B4944">
            <v>43720</v>
          </cell>
          <cell r="C4944">
            <v>83006.399999999994</v>
          </cell>
          <cell r="D4944" t="str">
            <v>PHP</v>
          </cell>
          <cell r="E4944">
            <v>24</v>
          </cell>
          <cell r="F4944" t="str">
            <v>PC</v>
          </cell>
          <cell r="G4944">
            <v>0</v>
          </cell>
        </row>
        <row r="4945">
          <cell r="B4945">
            <v>43721</v>
          </cell>
          <cell r="C4945">
            <v>0</v>
          </cell>
          <cell r="D4945" t="str">
            <v>PHP</v>
          </cell>
          <cell r="E4945">
            <v>0</v>
          </cell>
          <cell r="F4945" t="str">
            <v>PC</v>
          </cell>
          <cell r="G4945">
            <v>0</v>
          </cell>
        </row>
        <row r="4946">
          <cell r="B4946">
            <v>43723</v>
          </cell>
          <cell r="C4946">
            <v>9792.6</v>
          </cell>
          <cell r="D4946" t="str">
            <v>PHP</v>
          </cell>
          <cell r="E4946">
            <v>6</v>
          </cell>
          <cell r="F4946" t="str">
            <v>ASY</v>
          </cell>
          <cell r="G4946">
            <v>0</v>
          </cell>
        </row>
        <row r="4947">
          <cell r="B4947">
            <v>43724</v>
          </cell>
          <cell r="C4947">
            <v>369.36</v>
          </cell>
          <cell r="D4947" t="str">
            <v>PHP</v>
          </cell>
          <cell r="E4947">
            <v>2</v>
          </cell>
          <cell r="F4947" t="str">
            <v>PC</v>
          </cell>
          <cell r="G4947">
            <v>0</v>
          </cell>
        </row>
        <row r="4948">
          <cell r="B4948">
            <v>43725</v>
          </cell>
          <cell r="C4948">
            <v>0</v>
          </cell>
          <cell r="D4948" t="str">
            <v>PHP</v>
          </cell>
          <cell r="E4948">
            <v>0</v>
          </cell>
          <cell r="F4948" t="str">
            <v>PC</v>
          </cell>
          <cell r="G4948">
            <v>0</v>
          </cell>
        </row>
        <row r="4949">
          <cell r="B4949">
            <v>43726</v>
          </cell>
          <cell r="C4949">
            <v>10172.040000000001</v>
          </cell>
          <cell r="D4949" t="str">
            <v>PHP</v>
          </cell>
          <cell r="E4949">
            <v>4</v>
          </cell>
          <cell r="F4949" t="str">
            <v>ASY</v>
          </cell>
          <cell r="G4949">
            <v>0</v>
          </cell>
        </row>
        <row r="4950">
          <cell r="B4950">
            <v>43727</v>
          </cell>
          <cell r="C4950">
            <v>1138.68</v>
          </cell>
          <cell r="D4950" t="str">
            <v>PHP</v>
          </cell>
          <cell r="E4950">
            <v>6</v>
          </cell>
          <cell r="F4950" t="str">
            <v>PC</v>
          </cell>
          <cell r="G4950">
            <v>0</v>
          </cell>
        </row>
        <row r="4951">
          <cell r="B4951">
            <v>43729</v>
          </cell>
          <cell r="C4951">
            <v>114555.78</v>
          </cell>
          <cell r="D4951" t="str">
            <v>PHP</v>
          </cell>
          <cell r="E4951">
            <v>4</v>
          </cell>
          <cell r="F4951" t="str">
            <v>PC</v>
          </cell>
          <cell r="G4951">
            <v>0</v>
          </cell>
        </row>
        <row r="4952">
          <cell r="B4952">
            <v>43731</v>
          </cell>
          <cell r="C4952">
            <v>65312.23</v>
          </cell>
          <cell r="D4952" t="str">
            <v>PHP</v>
          </cell>
          <cell r="E4952">
            <v>7</v>
          </cell>
          <cell r="F4952" t="str">
            <v>PC</v>
          </cell>
          <cell r="G4952">
            <v>0</v>
          </cell>
        </row>
        <row r="4953">
          <cell r="B4953">
            <v>43732</v>
          </cell>
          <cell r="C4953">
            <v>21934.720000000001</v>
          </cell>
          <cell r="D4953" t="str">
            <v>PHP</v>
          </cell>
          <cell r="E4953">
            <v>24</v>
          </cell>
          <cell r="F4953" t="str">
            <v>PC</v>
          </cell>
          <cell r="G4953">
            <v>0</v>
          </cell>
        </row>
        <row r="4954">
          <cell r="B4954">
            <v>43733</v>
          </cell>
          <cell r="C4954">
            <v>19066.91</v>
          </cell>
          <cell r="D4954" t="str">
            <v>PHP</v>
          </cell>
          <cell r="E4954">
            <v>10</v>
          </cell>
          <cell r="F4954" t="str">
            <v>PC</v>
          </cell>
          <cell r="G4954">
            <v>0</v>
          </cell>
        </row>
        <row r="4955">
          <cell r="B4955">
            <v>43734</v>
          </cell>
          <cell r="C4955">
            <v>108034.38</v>
          </cell>
          <cell r="D4955" t="str">
            <v>PHP</v>
          </cell>
          <cell r="E4955">
            <v>5</v>
          </cell>
          <cell r="F4955" t="str">
            <v>PC</v>
          </cell>
          <cell r="G4955">
            <v>0</v>
          </cell>
        </row>
        <row r="4956">
          <cell r="B4956">
            <v>43735</v>
          </cell>
          <cell r="C4956">
            <v>2484.2800000000002</v>
          </cell>
          <cell r="D4956" t="str">
            <v>PHP</v>
          </cell>
          <cell r="E4956">
            <v>2</v>
          </cell>
          <cell r="F4956" t="str">
            <v>PC</v>
          </cell>
          <cell r="G4956">
            <v>0</v>
          </cell>
        </row>
        <row r="4957">
          <cell r="B4957">
            <v>43737</v>
          </cell>
          <cell r="C4957">
            <v>93297.56</v>
          </cell>
          <cell r="D4957" t="str">
            <v>PHP</v>
          </cell>
          <cell r="E4957">
            <v>147</v>
          </cell>
          <cell r="F4957" t="str">
            <v>PC</v>
          </cell>
          <cell r="G4957">
            <v>0</v>
          </cell>
        </row>
        <row r="4958">
          <cell r="B4958">
            <v>43769</v>
          </cell>
          <cell r="C4958">
            <v>0</v>
          </cell>
          <cell r="D4958" t="str">
            <v>PHP</v>
          </cell>
          <cell r="E4958">
            <v>0</v>
          </cell>
          <cell r="F4958" t="str">
            <v>PC</v>
          </cell>
          <cell r="G4958">
            <v>0</v>
          </cell>
        </row>
        <row r="4959">
          <cell r="B4959">
            <v>43771</v>
          </cell>
          <cell r="C4959">
            <v>43140.160000000003</v>
          </cell>
          <cell r="D4959" t="str">
            <v>PHP</v>
          </cell>
          <cell r="E4959">
            <v>7</v>
          </cell>
          <cell r="F4959" t="str">
            <v>PC</v>
          </cell>
          <cell r="G4959">
            <v>0</v>
          </cell>
        </row>
        <row r="4960">
          <cell r="B4960">
            <v>43772</v>
          </cell>
          <cell r="C4960">
            <v>26892.720000000001</v>
          </cell>
          <cell r="D4960" t="str">
            <v>PHP</v>
          </cell>
          <cell r="E4960">
            <v>3</v>
          </cell>
          <cell r="F4960" t="str">
            <v>PC</v>
          </cell>
          <cell r="G4960">
            <v>0</v>
          </cell>
        </row>
        <row r="4961">
          <cell r="B4961">
            <v>43775</v>
          </cell>
          <cell r="C4961">
            <v>0</v>
          </cell>
          <cell r="D4961" t="str">
            <v>PHP</v>
          </cell>
          <cell r="E4961">
            <v>0</v>
          </cell>
          <cell r="F4961" t="str">
            <v>PC</v>
          </cell>
          <cell r="G4961">
            <v>0</v>
          </cell>
        </row>
        <row r="4962">
          <cell r="B4962">
            <v>43777</v>
          </cell>
          <cell r="C4962">
            <v>95805.31</v>
          </cell>
          <cell r="D4962" t="str">
            <v>PHP</v>
          </cell>
          <cell r="E4962">
            <v>9</v>
          </cell>
          <cell r="F4962" t="str">
            <v>SET</v>
          </cell>
          <cell r="G4962">
            <v>0</v>
          </cell>
        </row>
        <row r="4963">
          <cell r="B4963">
            <v>43778</v>
          </cell>
          <cell r="C4963">
            <v>0</v>
          </cell>
          <cell r="D4963" t="str">
            <v>PHP</v>
          </cell>
          <cell r="E4963">
            <v>0</v>
          </cell>
          <cell r="F4963" t="str">
            <v>PC</v>
          </cell>
          <cell r="G4963">
            <v>0</v>
          </cell>
        </row>
        <row r="4964">
          <cell r="B4964">
            <v>43805</v>
          </cell>
          <cell r="C4964">
            <v>0</v>
          </cell>
          <cell r="D4964" t="str">
            <v>PHP</v>
          </cell>
          <cell r="E4964">
            <v>0</v>
          </cell>
          <cell r="F4964" t="str">
            <v>ASY</v>
          </cell>
          <cell r="G4964">
            <v>0</v>
          </cell>
        </row>
        <row r="4965">
          <cell r="B4965">
            <v>43808</v>
          </cell>
          <cell r="C4965">
            <v>0</v>
          </cell>
          <cell r="D4965" t="str">
            <v>PHP</v>
          </cell>
          <cell r="E4965">
            <v>0</v>
          </cell>
          <cell r="F4965" t="str">
            <v>PC</v>
          </cell>
          <cell r="G4965">
            <v>0</v>
          </cell>
        </row>
        <row r="4966">
          <cell r="B4966">
            <v>43852</v>
          </cell>
          <cell r="C4966">
            <v>0</v>
          </cell>
          <cell r="D4966" t="str">
            <v>PHP</v>
          </cell>
          <cell r="E4966">
            <v>0</v>
          </cell>
          <cell r="F4966" t="str">
            <v>PC</v>
          </cell>
          <cell r="G4966">
            <v>0</v>
          </cell>
        </row>
        <row r="4967">
          <cell r="B4967">
            <v>43853</v>
          </cell>
          <cell r="C4967">
            <v>0</v>
          </cell>
          <cell r="D4967" t="str">
            <v>PHP</v>
          </cell>
          <cell r="E4967">
            <v>0</v>
          </cell>
          <cell r="F4967" t="str">
            <v>PC</v>
          </cell>
          <cell r="G4967">
            <v>0</v>
          </cell>
        </row>
        <row r="4968">
          <cell r="B4968">
            <v>43859</v>
          </cell>
          <cell r="C4968">
            <v>1295000</v>
          </cell>
          <cell r="D4968" t="str">
            <v>PHP</v>
          </cell>
          <cell r="E4968">
            <v>2</v>
          </cell>
          <cell r="F4968" t="str">
            <v>ROL</v>
          </cell>
          <cell r="G4968">
            <v>0</v>
          </cell>
        </row>
        <row r="4969">
          <cell r="B4969">
            <v>43872</v>
          </cell>
          <cell r="C4969">
            <v>0</v>
          </cell>
          <cell r="D4969" t="str">
            <v>PHP</v>
          </cell>
          <cell r="E4969">
            <v>0</v>
          </cell>
          <cell r="F4969" t="str">
            <v>PC</v>
          </cell>
          <cell r="G4969">
            <v>0</v>
          </cell>
        </row>
        <row r="4970">
          <cell r="B4970">
            <v>43884</v>
          </cell>
          <cell r="C4970">
            <v>0</v>
          </cell>
          <cell r="D4970" t="str">
            <v>PHP</v>
          </cell>
          <cell r="E4970">
            <v>0</v>
          </cell>
          <cell r="F4970" t="str">
            <v>KIT</v>
          </cell>
          <cell r="G4970">
            <v>0</v>
          </cell>
        </row>
        <row r="4971">
          <cell r="B4971">
            <v>43889</v>
          </cell>
          <cell r="C4971">
            <v>106383.06</v>
          </cell>
          <cell r="D4971" t="str">
            <v>PHP</v>
          </cell>
          <cell r="E4971">
            <v>3</v>
          </cell>
          <cell r="F4971" t="str">
            <v>PC</v>
          </cell>
          <cell r="G4971">
            <v>0</v>
          </cell>
        </row>
        <row r="4972">
          <cell r="B4972">
            <v>43897</v>
          </cell>
          <cell r="C4972">
            <v>42969.08</v>
          </cell>
          <cell r="D4972" t="str">
            <v>PHP</v>
          </cell>
          <cell r="E4972">
            <v>1</v>
          </cell>
          <cell r="F4972" t="str">
            <v>PC</v>
          </cell>
          <cell r="G4972">
            <v>0</v>
          </cell>
        </row>
        <row r="4973">
          <cell r="B4973">
            <v>43898</v>
          </cell>
          <cell r="C4973">
            <v>22038.17</v>
          </cell>
          <cell r="D4973" t="str">
            <v>PHP</v>
          </cell>
          <cell r="E4973">
            <v>1</v>
          </cell>
          <cell r="F4973" t="str">
            <v>PC</v>
          </cell>
          <cell r="G4973">
            <v>0</v>
          </cell>
        </row>
        <row r="4974">
          <cell r="B4974">
            <v>46364</v>
          </cell>
          <cell r="C4974">
            <v>0</v>
          </cell>
          <cell r="D4974" t="str">
            <v>PHP</v>
          </cell>
          <cell r="E4974">
            <v>0</v>
          </cell>
          <cell r="F4974" t="str">
            <v>PC</v>
          </cell>
          <cell r="G4974">
            <v>0</v>
          </cell>
        </row>
        <row r="4975">
          <cell r="B4975">
            <v>46365</v>
          </cell>
          <cell r="C4975">
            <v>0</v>
          </cell>
          <cell r="D4975" t="str">
            <v>PHP</v>
          </cell>
          <cell r="E4975">
            <v>0</v>
          </cell>
          <cell r="F4975" t="str">
            <v>PC</v>
          </cell>
          <cell r="G4975">
            <v>0</v>
          </cell>
        </row>
        <row r="4976">
          <cell r="B4976">
            <v>46367</v>
          </cell>
          <cell r="C4976">
            <v>446361.48</v>
          </cell>
          <cell r="D4976" t="str">
            <v>PHP</v>
          </cell>
          <cell r="E4976">
            <v>18</v>
          </cell>
          <cell r="F4976" t="str">
            <v>PC</v>
          </cell>
          <cell r="G4976">
            <v>0</v>
          </cell>
        </row>
        <row r="4977">
          <cell r="B4977">
            <v>46374</v>
          </cell>
          <cell r="C4977">
            <v>0</v>
          </cell>
          <cell r="D4977" t="str">
            <v>PHP</v>
          </cell>
          <cell r="E4977">
            <v>0</v>
          </cell>
          <cell r="F4977" t="str">
            <v>PC</v>
          </cell>
          <cell r="G4977">
            <v>0</v>
          </cell>
        </row>
        <row r="4978">
          <cell r="B4978">
            <v>46379</v>
          </cell>
          <cell r="C4978">
            <v>0</v>
          </cell>
          <cell r="D4978" t="str">
            <v>PHP</v>
          </cell>
          <cell r="E4978">
            <v>0</v>
          </cell>
          <cell r="F4978" t="str">
            <v>PC</v>
          </cell>
          <cell r="G4978">
            <v>0</v>
          </cell>
        </row>
        <row r="4979">
          <cell r="B4979">
            <v>50513</v>
          </cell>
          <cell r="C4979">
            <v>0</v>
          </cell>
          <cell r="D4979" t="str">
            <v>PHP</v>
          </cell>
          <cell r="E4979">
            <v>0</v>
          </cell>
          <cell r="F4979" t="str">
            <v>PC</v>
          </cell>
          <cell r="G4979">
            <v>0</v>
          </cell>
        </row>
        <row r="4980">
          <cell r="B4980">
            <v>50514</v>
          </cell>
          <cell r="C4980">
            <v>0</v>
          </cell>
          <cell r="D4980" t="str">
            <v>PHP</v>
          </cell>
          <cell r="E4980">
            <v>0</v>
          </cell>
          <cell r="F4980" t="str">
            <v>PC</v>
          </cell>
          <cell r="G4980">
            <v>0</v>
          </cell>
        </row>
        <row r="4981">
          <cell r="B4981">
            <v>50516</v>
          </cell>
          <cell r="C4981">
            <v>0</v>
          </cell>
          <cell r="D4981" t="str">
            <v>PHP</v>
          </cell>
          <cell r="E4981">
            <v>0</v>
          </cell>
          <cell r="F4981" t="str">
            <v>PC</v>
          </cell>
          <cell r="G4981">
            <v>0</v>
          </cell>
        </row>
        <row r="4982">
          <cell r="B4982">
            <v>50518</v>
          </cell>
          <cell r="C4982">
            <v>0</v>
          </cell>
          <cell r="D4982" t="str">
            <v>PHP</v>
          </cell>
          <cell r="E4982">
            <v>0</v>
          </cell>
          <cell r="F4982" t="str">
            <v>PC</v>
          </cell>
          <cell r="G4982">
            <v>0</v>
          </cell>
        </row>
        <row r="4983">
          <cell r="B4983">
            <v>50519</v>
          </cell>
          <cell r="C4983">
            <v>0</v>
          </cell>
          <cell r="D4983" t="str">
            <v>PHP</v>
          </cell>
          <cell r="E4983">
            <v>0</v>
          </cell>
          <cell r="F4983" t="str">
            <v>PC</v>
          </cell>
          <cell r="G4983">
            <v>0</v>
          </cell>
        </row>
        <row r="4984">
          <cell r="B4984">
            <v>50520</v>
          </cell>
          <cell r="C4984">
            <v>0</v>
          </cell>
          <cell r="D4984" t="str">
            <v>PHP</v>
          </cell>
          <cell r="E4984">
            <v>0</v>
          </cell>
          <cell r="F4984" t="str">
            <v>PC</v>
          </cell>
          <cell r="G4984">
            <v>0</v>
          </cell>
        </row>
        <row r="4985">
          <cell r="B4985">
            <v>50656</v>
          </cell>
          <cell r="C4985">
            <v>6792</v>
          </cell>
          <cell r="D4985" t="str">
            <v>PHP</v>
          </cell>
          <cell r="E4985">
            <v>6</v>
          </cell>
          <cell r="F4985" t="str">
            <v>PC</v>
          </cell>
          <cell r="G4985">
            <v>0</v>
          </cell>
        </row>
        <row r="4986">
          <cell r="B4986">
            <v>51037</v>
          </cell>
          <cell r="C4986">
            <v>0</v>
          </cell>
          <cell r="D4986" t="str">
            <v>PHP</v>
          </cell>
          <cell r="E4986">
            <v>0</v>
          </cell>
          <cell r="F4986" t="str">
            <v>PC</v>
          </cell>
          <cell r="G4986">
            <v>0</v>
          </cell>
        </row>
        <row r="4987">
          <cell r="B4987">
            <v>51114</v>
          </cell>
          <cell r="C4987">
            <v>0</v>
          </cell>
          <cell r="D4987" t="str">
            <v>PHP</v>
          </cell>
          <cell r="E4987">
            <v>0</v>
          </cell>
          <cell r="F4987" t="str">
            <v>LEN</v>
          </cell>
          <cell r="G4987">
            <v>0</v>
          </cell>
        </row>
        <row r="4988">
          <cell r="B4988">
            <v>51119</v>
          </cell>
          <cell r="C4988">
            <v>0</v>
          </cell>
          <cell r="D4988" t="str">
            <v>PHP</v>
          </cell>
          <cell r="E4988">
            <v>0</v>
          </cell>
          <cell r="F4988" t="str">
            <v>PC</v>
          </cell>
          <cell r="G4988">
            <v>0</v>
          </cell>
        </row>
        <row r="4989">
          <cell r="B4989">
            <v>51121</v>
          </cell>
          <cell r="C4989">
            <v>8920.7199999999993</v>
          </cell>
          <cell r="D4989" t="str">
            <v>PHP</v>
          </cell>
          <cell r="E4989">
            <v>2</v>
          </cell>
          <cell r="F4989" t="str">
            <v>PC</v>
          </cell>
          <cell r="G4989">
            <v>0</v>
          </cell>
        </row>
        <row r="4990">
          <cell r="B4990">
            <v>51122</v>
          </cell>
          <cell r="C4990">
            <v>14083.38</v>
          </cell>
          <cell r="D4990" t="str">
            <v>PHP</v>
          </cell>
          <cell r="E4990">
            <v>18</v>
          </cell>
          <cell r="F4990" t="str">
            <v>PC</v>
          </cell>
          <cell r="G4990">
            <v>0</v>
          </cell>
        </row>
        <row r="4991">
          <cell r="B4991">
            <v>51123</v>
          </cell>
          <cell r="C4991">
            <v>825.54</v>
          </cell>
          <cell r="D4991" t="str">
            <v>PHP</v>
          </cell>
          <cell r="E4991">
            <v>1</v>
          </cell>
          <cell r="F4991" t="str">
            <v>PC</v>
          </cell>
          <cell r="G4991">
            <v>0</v>
          </cell>
        </row>
        <row r="4992">
          <cell r="B4992">
            <v>51124</v>
          </cell>
          <cell r="C4992">
            <v>22917.86</v>
          </cell>
          <cell r="D4992" t="str">
            <v>PHP</v>
          </cell>
          <cell r="E4992">
            <v>2</v>
          </cell>
          <cell r="F4992" t="str">
            <v>PC</v>
          </cell>
          <cell r="G4992">
            <v>0</v>
          </cell>
        </row>
        <row r="4993">
          <cell r="B4993">
            <v>51127</v>
          </cell>
          <cell r="C4993">
            <v>0</v>
          </cell>
          <cell r="D4993" t="str">
            <v>PHP</v>
          </cell>
          <cell r="E4993">
            <v>0</v>
          </cell>
          <cell r="F4993" t="str">
            <v>PC</v>
          </cell>
          <cell r="G4993">
            <v>0</v>
          </cell>
        </row>
        <row r="4994">
          <cell r="B4994">
            <v>51128</v>
          </cell>
          <cell r="C4994">
            <v>57294.65</v>
          </cell>
          <cell r="D4994" t="str">
            <v>PHP</v>
          </cell>
          <cell r="E4994">
            <v>5</v>
          </cell>
          <cell r="F4994" t="str">
            <v>PC</v>
          </cell>
          <cell r="G4994">
            <v>0</v>
          </cell>
        </row>
        <row r="4995">
          <cell r="B4995">
            <v>51129</v>
          </cell>
          <cell r="C4995">
            <v>202800</v>
          </cell>
          <cell r="D4995" t="str">
            <v>PHP</v>
          </cell>
          <cell r="E4995">
            <v>26</v>
          </cell>
          <cell r="F4995" t="str">
            <v>PC</v>
          </cell>
          <cell r="G4995">
            <v>0</v>
          </cell>
        </row>
        <row r="4996">
          <cell r="B4996">
            <v>51130</v>
          </cell>
          <cell r="C4996">
            <v>4368</v>
          </cell>
          <cell r="D4996" t="str">
            <v>PHP</v>
          </cell>
          <cell r="E4996">
            <v>156</v>
          </cell>
          <cell r="F4996" t="str">
            <v>PC</v>
          </cell>
          <cell r="G4996">
            <v>0</v>
          </cell>
        </row>
        <row r="4997">
          <cell r="B4997">
            <v>51131</v>
          </cell>
          <cell r="C4997">
            <v>23819.8</v>
          </cell>
          <cell r="D4997" t="str">
            <v>PHP</v>
          </cell>
          <cell r="E4997">
            <v>4</v>
          </cell>
          <cell r="F4997" t="str">
            <v>PC</v>
          </cell>
          <cell r="G4997">
            <v>0</v>
          </cell>
        </row>
        <row r="4998">
          <cell r="B4998">
            <v>51132</v>
          </cell>
          <cell r="C4998">
            <v>8625</v>
          </cell>
          <cell r="D4998" t="str">
            <v>PHP</v>
          </cell>
          <cell r="E4998">
            <v>1</v>
          </cell>
          <cell r="F4998" t="str">
            <v>PC</v>
          </cell>
          <cell r="G4998">
            <v>0</v>
          </cell>
        </row>
        <row r="4999">
          <cell r="B4999">
            <v>51133</v>
          </cell>
          <cell r="C4999">
            <v>8855</v>
          </cell>
          <cell r="D4999" t="str">
            <v>PHP</v>
          </cell>
          <cell r="E4999">
            <v>161</v>
          </cell>
          <cell r="F4999" t="str">
            <v>PC</v>
          </cell>
          <cell r="G4999">
            <v>0</v>
          </cell>
        </row>
        <row r="5000">
          <cell r="B5000">
            <v>51134</v>
          </cell>
          <cell r="C5000">
            <v>9795.5400000000009</v>
          </cell>
          <cell r="D5000" t="str">
            <v>PHP</v>
          </cell>
          <cell r="E5000">
            <v>1</v>
          </cell>
          <cell r="F5000" t="str">
            <v>PC</v>
          </cell>
          <cell r="G5000">
            <v>0</v>
          </cell>
        </row>
        <row r="5001">
          <cell r="B5001">
            <v>51136</v>
          </cell>
          <cell r="C5001">
            <v>74421.42</v>
          </cell>
          <cell r="D5001" t="str">
            <v>PHP</v>
          </cell>
          <cell r="E5001">
            <v>2</v>
          </cell>
          <cell r="F5001" t="str">
            <v>PC</v>
          </cell>
          <cell r="G5001">
            <v>0</v>
          </cell>
        </row>
        <row r="5002">
          <cell r="B5002">
            <v>51137</v>
          </cell>
          <cell r="C5002">
            <v>81691.08</v>
          </cell>
          <cell r="D5002" t="str">
            <v>PHP</v>
          </cell>
          <cell r="E5002">
            <v>2</v>
          </cell>
          <cell r="F5002" t="str">
            <v>PC</v>
          </cell>
          <cell r="G5002">
            <v>0</v>
          </cell>
        </row>
        <row r="5003">
          <cell r="B5003">
            <v>51138</v>
          </cell>
          <cell r="C5003">
            <v>170035.72</v>
          </cell>
          <cell r="D5003" t="str">
            <v>PHP</v>
          </cell>
          <cell r="E5003">
            <v>2</v>
          </cell>
          <cell r="F5003" t="str">
            <v>PC</v>
          </cell>
          <cell r="G5003">
            <v>0</v>
          </cell>
        </row>
        <row r="5004">
          <cell r="B5004">
            <v>51140</v>
          </cell>
          <cell r="C5004">
            <v>163751.76</v>
          </cell>
          <cell r="D5004" t="str">
            <v>PHP</v>
          </cell>
          <cell r="E5004">
            <v>6</v>
          </cell>
          <cell r="F5004" t="str">
            <v>PC</v>
          </cell>
          <cell r="G5004">
            <v>0</v>
          </cell>
        </row>
        <row r="5005">
          <cell r="B5005">
            <v>51141</v>
          </cell>
          <cell r="C5005">
            <v>66843.75</v>
          </cell>
          <cell r="D5005" t="str">
            <v>PHP</v>
          </cell>
          <cell r="E5005">
            <v>5</v>
          </cell>
          <cell r="F5005" t="str">
            <v>PC</v>
          </cell>
          <cell r="G5005">
            <v>0</v>
          </cell>
        </row>
        <row r="5006">
          <cell r="B5006">
            <v>51142</v>
          </cell>
          <cell r="C5006">
            <v>440</v>
          </cell>
          <cell r="D5006" t="str">
            <v>PHP</v>
          </cell>
          <cell r="E5006">
            <v>4</v>
          </cell>
          <cell r="F5006" t="str">
            <v>PC</v>
          </cell>
          <cell r="G5006">
            <v>0</v>
          </cell>
        </row>
        <row r="5007">
          <cell r="B5007">
            <v>51143</v>
          </cell>
          <cell r="C5007">
            <v>16720</v>
          </cell>
          <cell r="D5007" t="str">
            <v>PHP</v>
          </cell>
          <cell r="E5007">
            <v>152</v>
          </cell>
          <cell r="F5007" t="str">
            <v>PC</v>
          </cell>
          <cell r="G5007">
            <v>0</v>
          </cell>
        </row>
        <row r="5008">
          <cell r="B5008">
            <v>51144</v>
          </cell>
          <cell r="C5008">
            <v>291278.58</v>
          </cell>
          <cell r="D5008" t="str">
            <v>PHP</v>
          </cell>
          <cell r="E5008">
            <v>6</v>
          </cell>
          <cell r="F5008" t="str">
            <v>PC</v>
          </cell>
          <cell r="G5008">
            <v>0</v>
          </cell>
        </row>
        <row r="5009">
          <cell r="B5009">
            <v>51145</v>
          </cell>
          <cell r="C5009">
            <v>41091.96</v>
          </cell>
          <cell r="D5009" t="str">
            <v>PHP</v>
          </cell>
          <cell r="E5009">
            <v>1</v>
          </cell>
          <cell r="F5009" t="str">
            <v>PC</v>
          </cell>
          <cell r="G5009">
            <v>0</v>
          </cell>
        </row>
        <row r="5010">
          <cell r="B5010">
            <v>51146</v>
          </cell>
          <cell r="C5010">
            <v>142312.5</v>
          </cell>
          <cell r="D5010" t="str">
            <v>PHP</v>
          </cell>
          <cell r="E5010">
            <v>2</v>
          </cell>
          <cell r="F5010" t="str">
            <v>PC</v>
          </cell>
          <cell r="G5010">
            <v>0</v>
          </cell>
        </row>
        <row r="5011">
          <cell r="B5011">
            <v>51147</v>
          </cell>
          <cell r="C5011">
            <v>23164.29</v>
          </cell>
          <cell r="D5011" t="str">
            <v>PHP</v>
          </cell>
          <cell r="E5011">
            <v>1</v>
          </cell>
          <cell r="F5011" t="str">
            <v>PC</v>
          </cell>
          <cell r="G5011">
            <v>0</v>
          </cell>
        </row>
        <row r="5012">
          <cell r="B5012">
            <v>51148</v>
          </cell>
          <cell r="C5012">
            <v>6961.61</v>
          </cell>
          <cell r="D5012" t="str">
            <v>PHP</v>
          </cell>
          <cell r="E5012">
            <v>1</v>
          </cell>
          <cell r="F5012" t="str">
            <v>PC</v>
          </cell>
          <cell r="G5012">
            <v>0</v>
          </cell>
        </row>
        <row r="5013">
          <cell r="B5013">
            <v>51151</v>
          </cell>
          <cell r="C5013">
            <v>5335.18</v>
          </cell>
          <cell r="D5013" t="str">
            <v>PHP</v>
          </cell>
          <cell r="E5013">
            <v>2</v>
          </cell>
          <cell r="F5013" t="str">
            <v>PC</v>
          </cell>
          <cell r="G5013">
            <v>0</v>
          </cell>
        </row>
        <row r="5014">
          <cell r="B5014">
            <v>51153</v>
          </cell>
          <cell r="C5014">
            <v>24273.22</v>
          </cell>
          <cell r="D5014" t="str">
            <v>PHP</v>
          </cell>
          <cell r="E5014">
            <v>2</v>
          </cell>
          <cell r="F5014" t="str">
            <v>PC</v>
          </cell>
          <cell r="G5014">
            <v>0</v>
          </cell>
        </row>
        <row r="5015">
          <cell r="B5015">
            <v>51154</v>
          </cell>
          <cell r="C5015">
            <v>104732.14</v>
          </cell>
          <cell r="D5015" t="str">
            <v>PHP</v>
          </cell>
          <cell r="E5015">
            <v>2</v>
          </cell>
          <cell r="F5015" t="str">
            <v>PC</v>
          </cell>
          <cell r="G5015">
            <v>0</v>
          </cell>
        </row>
        <row r="5016">
          <cell r="B5016">
            <v>51155</v>
          </cell>
          <cell r="C5016">
            <v>126664.28</v>
          </cell>
          <cell r="D5016" t="str">
            <v>PHP</v>
          </cell>
          <cell r="E5016">
            <v>2</v>
          </cell>
          <cell r="F5016" t="str">
            <v>PC</v>
          </cell>
          <cell r="G5016">
            <v>0</v>
          </cell>
        </row>
        <row r="5017">
          <cell r="B5017">
            <v>51156</v>
          </cell>
          <cell r="C5017">
            <v>16387.5</v>
          </cell>
          <cell r="D5017" t="str">
            <v>PHP</v>
          </cell>
          <cell r="E5017">
            <v>2</v>
          </cell>
          <cell r="F5017" t="str">
            <v>PC</v>
          </cell>
          <cell r="G5017">
            <v>0</v>
          </cell>
        </row>
        <row r="5018">
          <cell r="B5018">
            <v>51537</v>
          </cell>
          <cell r="C5018">
            <v>76359.240000000005</v>
          </cell>
          <cell r="D5018" t="str">
            <v>PHP</v>
          </cell>
          <cell r="E5018">
            <v>2</v>
          </cell>
          <cell r="F5018" t="str">
            <v>PC</v>
          </cell>
          <cell r="G5018">
            <v>0</v>
          </cell>
        </row>
        <row r="5019">
          <cell r="B5019">
            <v>51640</v>
          </cell>
          <cell r="C5019">
            <v>72000</v>
          </cell>
          <cell r="D5019" t="str">
            <v>PHP</v>
          </cell>
          <cell r="E5019">
            <v>6</v>
          </cell>
          <cell r="F5019" t="str">
            <v>PC</v>
          </cell>
          <cell r="G5019">
            <v>0</v>
          </cell>
        </row>
        <row r="5020">
          <cell r="B5020">
            <v>51701</v>
          </cell>
          <cell r="C5020">
            <v>0</v>
          </cell>
          <cell r="D5020" t="str">
            <v>PHP</v>
          </cell>
          <cell r="E5020">
            <v>0</v>
          </cell>
          <cell r="F5020" t="str">
            <v>PC</v>
          </cell>
          <cell r="G5020">
            <v>0</v>
          </cell>
        </row>
        <row r="5021">
          <cell r="B5021">
            <v>51803</v>
          </cell>
          <cell r="C5021">
            <v>360</v>
          </cell>
          <cell r="D5021" t="str">
            <v>PHP</v>
          </cell>
          <cell r="E5021">
            <v>4</v>
          </cell>
          <cell r="F5021" t="str">
            <v>PC</v>
          </cell>
          <cell r="G5021">
            <v>0</v>
          </cell>
        </row>
        <row r="5022">
          <cell r="B5022">
            <v>51821</v>
          </cell>
          <cell r="C5022">
            <v>2728</v>
          </cell>
          <cell r="D5022" t="str">
            <v>PHP</v>
          </cell>
          <cell r="E5022">
            <v>4</v>
          </cell>
          <cell r="F5022" t="str">
            <v>PC</v>
          </cell>
          <cell r="G5022">
            <v>0</v>
          </cell>
        </row>
        <row r="5023">
          <cell r="B5023">
            <v>52284</v>
          </cell>
          <cell r="C5023">
            <v>58032</v>
          </cell>
          <cell r="D5023" t="str">
            <v>PHP</v>
          </cell>
          <cell r="E5023">
            <v>24</v>
          </cell>
          <cell r="F5023" t="str">
            <v>ASY</v>
          </cell>
          <cell r="G5023">
            <v>0</v>
          </cell>
        </row>
        <row r="5024">
          <cell r="B5024">
            <v>52383</v>
          </cell>
          <cell r="C5024">
            <v>456</v>
          </cell>
          <cell r="D5024" t="str">
            <v>PHP</v>
          </cell>
          <cell r="E5024">
            <v>1</v>
          </cell>
          <cell r="F5024" t="str">
            <v>PC</v>
          </cell>
          <cell r="G5024">
            <v>0</v>
          </cell>
        </row>
        <row r="5025">
          <cell r="B5025">
            <v>52384</v>
          </cell>
          <cell r="C5025">
            <v>808</v>
          </cell>
          <cell r="D5025" t="str">
            <v>PHP</v>
          </cell>
          <cell r="E5025">
            <v>2</v>
          </cell>
          <cell r="F5025" t="str">
            <v>PC</v>
          </cell>
          <cell r="G5025">
            <v>0</v>
          </cell>
        </row>
        <row r="5026">
          <cell r="B5026">
            <v>52395</v>
          </cell>
          <cell r="C5026">
            <v>830</v>
          </cell>
          <cell r="D5026" t="str">
            <v>PHP</v>
          </cell>
          <cell r="E5026">
            <v>2</v>
          </cell>
          <cell r="F5026" t="str">
            <v>PC</v>
          </cell>
          <cell r="G5026">
            <v>0</v>
          </cell>
        </row>
        <row r="5027">
          <cell r="B5027">
            <v>52396</v>
          </cell>
          <cell r="C5027">
            <v>1764</v>
          </cell>
          <cell r="D5027" t="str">
            <v>PHP</v>
          </cell>
          <cell r="E5027">
            <v>2</v>
          </cell>
          <cell r="F5027" t="str">
            <v>PC</v>
          </cell>
          <cell r="G5027">
            <v>0</v>
          </cell>
        </row>
        <row r="5028">
          <cell r="B5028">
            <v>52397</v>
          </cell>
          <cell r="C5028">
            <v>4676.45</v>
          </cell>
          <cell r="D5028" t="str">
            <v>PHP</v>
          </cell>
          <cell r="E5028">
            <v>5</v>
          </cell>
          <cell r="F5028" t="str">
            <v>PC</v>
          </cell>
          <cell r="G5028">
            <v>0</v>
          </cell>
        </row>
        <row r="5029">
          <cell r="B5029">
            <v>52398</v>
          </cell>
          <cell r="C5029">
            <v>1122</v>
          </cell>
          <cell r="D5029" t="str">
            <v>PHP</v>
          </cell>
          <cell r="E5029">
            <v>3</v>
          </cell>
          <cell r="F5029" t="str">
            <v>PC</v>
          </cell>
          <cell r="G5029">
            <v>0</v>
          </cell>
        </row>
        <row r="5030">
          <cell r="B5030">
            <v>52405</v>
          </cell>
          <cell r="C5030">
            <v>570</v>
          </cell>
          <cell r="D5030" t="str">
            <v>PHP</v>
          </cell>
          <cell r="E5030">
            <v>2</v>
          </cell>
          <cell r="F5030" t="str">
            <v>PC</v>
          </cell>
          <cell r="G5030">
            <v>0</v>
          </cell>
        </row>
        <row r="5031">
          <cell r="B5031">
            <v>52406</v>
          </cell>
          <cell r="C5031">
            <v>0</v>
          </cell>
          <cell r="D5031" t="str">
            <v>PHP</v>
          </cell>
          <cell r="E5031">
            <v>0</v>
          </cell>
          <cell r="F5031" t="str">
            <v>PC</v>
          </cell>
          <cell r="G5031">
            <v>0</v>
          </cell>
        </row>
        <row r="5032">
          <cell r="B5032">
            <v>52407</v>
          </cell>
          <cell r="C5032">
            <v>876</v>
          </cell>
          <cell r="D5032" t="str">
            <v>PHP</v>
          </cell>
          <cell r="E5032">
            <v>3</v>
          </cell>
          <cell r="F5032" t="str">
            <v>PC</v>
          </cell>
          <cell r="G5032">
            <v>0</v>
          </cell>
        </row>
        <row r="5033">
          <cell r="B5033">
            <v>52408</v>
          </cell>
          <cell r="C5033">
            <v>942</v>
          </cell>
          <cell r="D5033" t="str">
            <v>PHP</v>
          </cell>
          <cell r="E5033">
            <v>2</v>
          </cell>
          <cell r="F5033" t="str">
            <v>PC</v>
          </cell>
          <cell r="G5033">
            <v>0</v>
          </cell>
        </row>
        <row r="5034">
          <cell r="B5034">
            <v>52409</v>
          </cell>
          <cell r="C5034">
            <v>1516</v>
          </cell>
          <cell r="D5034" t="str">
            <v>PHP</v>
          </cell>
          <cell r="E5034">
            <v>4</v>
          </cell>
          <cell r="F5034" t="str">
            <v>PC</v>
          </cell>
          <cell r="G5034">
            <v>0</v>
          </cell>
        </row>
        <row r="5035">
          <cell r="B5035">
            <v>52429</v>
          </cell>
          <cell r="C5035">
            <v>2920.73</v>
          </cell>
          <cell r="D5035" t="str">
            <v>PHP</v>
          </cell>
          <cell r="E5035">
            <v>3</v>
          </cell>
          <cell r="F5035" t="str">
            <v>PC</v>
          </cell>
          <cell r="G5035">
            <v>0</v>
          </cell>
        </row>
        <row r="5036">
          <cell r="B5036">
            <v>52541</v>
          </cell>
          <cell r="C5036">
            <v>2440299.96</v>
          </cell>
          <cell r="D5036" t="str">
            <v>PHP</v>
          </cell>
          <cell r="E5036">
            <v>2</v>
          </cell>
          <cell r="F5036" t="str">
            <v>PC</v>
          </cell>
          <cell r="G5036">
            <v>0</v>
          </cell>
        </row>
        <row r="5037">
          <cell r="B5037">
            <v>52542</v>
          </cell>
          <cell r="C5037">
            <v>0</v>
          </cell>
          <cell r="D5037" t="str">
            <v>PHP</v>
          </cell>
          <cell r="E5037">
            <v>0</v>
          </cell>
          <cell r="F5037" t="str">
            <v>PC</v>
          </cell>
          <cell r="G5037">
            <v>0</v>
          </cell>
        </row>
        <row r="5038">
          <cell r="B5038">
            <v>52543</v>
          </cell>
          <cell r="C5038">
            <v>0</v>
          </cell>
          <cell r="D5038" t="str">
            <v>PHP</v>
          </cell>
          <cell r="E5038">
            <v>0</v>
          </cell>
          <cell r="F5038" t="str">
            <v>PC</v>
          </cell>
          <cell r="G5038">
            <v>0</v>
          </cell>
        </row>
        <row r="5039">
          <cell r="B5039">
            <v>52581</v>
          </cell>
          <cell r="C5039">
            <v>0</v>
          </cell>
          <cell r="D5039" t="str">
            <v>PHP</v>
          </cell>
          <cell r="E5039">
            <v>0</v>
          </cell>
          <cell r="F5039" t="str">
            <v>PC</v>
          </cell>
          <cell r="G5039">
            <v>0</v>
          </cell>
        </row>
        <row r="5040">
          <cell r="B5040">
            <v>52582</v>
          </cell>
          <cell r="C5040">
            <v>3897831.03</v>
          </cell>
          <cell r="D5040" t="str">
            <v>PHP</v>
          </cell>
          <cell r="E5040">
            <v>2</v>
          </cell>
          <cell r="F5040" t="str">
            <v>PC</v>
          </cell>
          <cell r="G5040">
            <v>0</v>
          </cell>
        </row>
        <row r="5041">
          <cell r="B5041">
            <v>53142</v>
          </cell>
          <cell r="C5041">
            <v>1309.8399999999999</v>
          </cell>
          <cell r="D5041" t="str">
            <v>PHP</v>
          </cell>
          <cell r="E5041">
            <v>4</v>
          </cell>
          <cell r="F5041" t="str">
            <v>PC</v>
          </cell>
          <cell r="G5041">
            <v>0</v>
          </cell>
        </row>
        <row r="5042">
          <cell r="B5042">
            <v>53143</v>
          </cell>
          <cell r="C5042">
            <v>4833.08</v>
          </cell>
          <cell r="D5042" t="str">
            <v>PHP</v>
          </cell>
          <cell r="E5042">
            <v>2</v>
          </cell>
          <cell r="F5042" t="str">
            <v>PC</v>
          </cell>
          <cell r="G5042">
            <v>0</v>
          </cell>
        </row>
        <row r="5043">
          <cell r="B5043">
            <v>53144</v>
          </cell>
          <cell r="C5043">
            <v>37968.199999999997</v>
          </cell>
          <cell r="D5043" t="str">
            <v>PHP</v>
          </cell>
          <cell r="E5043">
            <v>1</v>
          </cell>
          <cell r="F5043" t="str">
            <v>PC</v>
          </cell>
          <cell r="G5043">
            <v>0</v>
          </cell>
        </row>
        <row r="5044">
          <cell r="B5044">
            <v>53145</v>
          </cell>
          <cell r="C5044">
            <v>397.92</v>
          </cell>
          <cell r="D5044" t="str">
            <v>PHP</v>
          </cell>
          <cell r="E5044">
            <v>3</v>
          </cell>
          <cell r="F5044" t="str">
            <v>PC</v>
          </cell>
          <cell r="G5044">
            <v>0</v>
          </cell>
        </row>
        <row r="5045">
          <cell r="B5045">
            <v>53146</v>
          </cell>
          <cell r="C5045">
            <v>8248.5499999999993</v>
          </cell>
          <cell r="D5045" t="str">
            <v>PHP</v>
          </cell>
          <cell r="E5045">
            <v>1</v>
          </cell>
          <cell r="F5045" t="str">
            <v>PC</v>
          </cell>
          <cell r="G5045">
            <v>0</v>
          </cell>
        </row>
        <row r="5046">
          <cell r="B5046">
            <v>53147</v>
          </cell>
          <cell r="C5046">
            <v>0</v>
          </cell>
          <cell r="D5046" t="str">
            <v>PHP</v>
          </cell>
          <cell r="E5046">
            <v>0</v>
          </cell>
          <cell r="F5046" t="str">
            <v>PC</v>
          </cell>
          <cell r="G5046">
            <v>0</v>
          </cell>
        </row>
        <row r="5047">
          <cell r="B5047">
            <v>53148</v>
          </cell>
          <cell r="C5047">
            <v>0</v>
          </cell>
          <cell r="D5047" t="str">
            <v>PHP</v>
          </cell>
          <cell r="E5047">
            <v>0</v>
          </cell>
          <cell r="F5047" t="str">
            <v>PC</v>
          </cell>
          <cell r="G5047">
            <v>0</v>
          </cell>
        </row>
        <row r="5048">
          <cell r="B5048">
            <v>53149</v>
          </cell>
          <cell r="C5048">
            <v>132.63999999999999</v>
          </cell>
          <cell r="D5048" t="str">
            <v>PHP</v>
          </cell>
          <cell r="E5048">
            <v>1</v>
          </cell>
          <cell r="F5048" t="str">
            <v>PC</v>
          </cell>
          <cell r="G5048">
            <v>0</v>
          </cell>
        </row>
        <row r="5049">
          <cell r="B5049">
            <v>53150</v>
          </cell>
          <cell r="C5049">
            <v>120710.69</v>
          </cell>
          <cell r="D5049" t="str">
            <v>PHP</v>
          </cell>
          <cell r="E5049">
            <v>1</v>
          </cell>
          <cell r="F5049" t="str">
            <v>PC</v>
          </cell>
          <cell r="G5049">
            <v>0</v>
          </cell>
        </row>
        <row r="5050">
          <cell r="B5050">
            <v>53151</v>
          </cell>
          <cell r="C5050">
            <v>57951.25</v>
          </cell>
          <cell r="D5050" t="str">
            <v>PHP</v>
          </cell>
          <cell r="E5050">
            <v>1</v>
          </cell>
          <cell r="F5050" t="str">
            <v>PC</v>
          </cell>
          <cell r="G5050">
            <v>0</v>
          </cell>
        </row>
        <row r="5051">
          <cell r="B5051">
            <v>53161</v>
          </cell>
          <cell r="C5051">
            <v>10520.01</v>
          </cell>
          <cell r="D5051" t="str">
            <v>PHP</v>
          </cell>
          <cell r="E5051">
            <v>3</v>
          </cell>
          <cell r="F5051" t="str">
            <v>PC</v>
          </cell>
          <cell r="G5051">
            <v>0</v>
          </cell>
        </row>
        <row r="5052">
          <cell r="B5052">
            <v>53162</v>
          </cell>
          <cell r="C5052">
            <v>1641.42</v>
          </cell>
          <cell r="D5052" t="str">
            <v>PHP</v>
          </cell>
          <cell r="E5052">
            <v>3</v>
          </cell>
          <cell r="F5052" t="str">
            <v>PC</v>
          </cell>
          <cell r="G5052">
            <v>0</v>
          </cell>
        </row>
        <row r="5053">
          <cell r="B5053">
            <v>53163</v>
          </cell>
          <cell r="C5053">
            <v>53209.37</v>
          </cell>
          <cell r="D5053" t="str">
            <v>PHP</v>
          </cell>
          <cell r="E5053">
            <v>1</v>
          </cell>
          <cell r="F5053" t="str">
            <v>PC</v>
          </cell>
          <cell r="G5053">
            <v>0</v>
          </cell>
        </row>
        <row r="5054">
          <cell r="B5054">
            <v>53164</v>
          </cell>
          <cell r="C5054">
            <v>215711.79</v>
          </cell>
          <cell r="D5054" t="str">
            <v>PHP</v>
          </cell>
          <cell r="E5054">
            <v>1</v>
          </cell>
          <cell r="F5054" t="str">
            <v>PC</v>
          </cell>
          <cell r="G5054">
            <v>0</v>
          </cell>
        </row>
        <row r="5055">
          <cell r="B5055">
            <v>53165</v>
          </cell>
          <cell r="C5055">
            <v>89051.18</v>
          </cell>
          <cell r="D5055" t="str">
            <v>PHP</v>
          </cell>
          <cell r="E5055">
            <v>2</v>
          </cell>
          <cell r="F5055" t="str">
            <v>PC</v>
          </cell>
          <cell r="G5055">
            <v>0</v>
          </cell>
        </row>
        <row r="5056">
          <cell r="B5056">
            <v>53166</v>
          </cell>
          <cell r="C5056">
            <v>460.11</v>
          </cell>
          <cell r="D5056" t="str">
            <v>PHP</v>
          </cell>
          <cell r="E5056">
            <v>3</v>
          </cell>
          <cell r="F5056" t="str">
            <v>PC</v>
          </cell>
          <cell r="G5056">
            <v>0</v>
          </cell>
        </row>
        <row r="5057">
          <cell r="B5057">
            <v>53167</v>
          </cell>
          <cell r="C5057">
            <v>460.11</v>
          </cell>
          <cell r="D5057" t="str">
            <v>PHP</v>
          </cell>
          <cell r="E5057">
            <v>3</v>
          </cell>
          <cell r="F5057" t="str">
            <v>PC</v>
          </cell>
          <cell r="G5057">
            <v>0</v>
          </cell>
        </row>
        <row r="5058">
          <cell r="B5058">
            <v>53302</v>
          </cell>
          <cell r="C5058">
            <v>3983591.06</v>
          </cell>
          <cell r="D5058" t="str">
            <v>PHP</v>
          </cell>
          <cell r="E5058">
            <v>2</v>
          </cell>
          <cell r="F5058" t="str">
            <v>PC</v>
          </cell>
          <cell r="G5058">
            <v>0</v>
          </cell>
        </row>
        <row r="5059">
          <cell r="B5059">
            <v>53303</v>
          </cell>
          <cell r="C5059">
            <v>0</v>
          </cell>
          <cell r="D5059" t="str">
            <v>PHP</v>
          </cell>
          <cell r="E5059">
            <v>0</v>
          </cell>
          <cell r="F5059" t="str">
            <v>PC</v>
          </cell>
          <cell r="G5059">
            <v>0</v>
          </cell>
        </row>
        <row r="5060">
          <cell r="B5060">
            <v>53304</v>
          </cell>
          <cell r="C5060">
            <v>1214407.3500000001</v>
          </cell>
          <cell r="D5060" t="str">
            <v>PHP</v>
          </cell>
          <cell r="E5060">
            <v>100</v>
          </cell>
          <cell r="F5060" t="str">
            <v>PC</v>
          </cell>
          <cell r="G5060">
            <v>0</v>
          </cell>
        </row>
        <row r="5061">
          <cell r="B5061">
            <v>54021</v>
          </cell>
          <cell r="C5061">
            <v>0</v>
          </cell>
          <cell r="D5061" t="str">
            <v>PHP</v>
          </cell>
          <cell r="E5061">
            <v>0</v>
          </cell>
          <cell r="F5061" t="str">
            <v>PC</v>
          </cell>
          <cell r="G5061">
            <v>0</v>
          </cell>
        </row>
        <row r="5062">
          <cell r="B5062">
            <v>54022</v>
          </cell>
          <cell r="C5062">
            <v>0</v>
          </cell>
          <cell r="D5062" t="str">
            <v>PHP</v>
          </cell>
          <cell r="E5062">
            <v>0</v>
          </cell>
          <cell r="F5062" t="str">
            <v>PC</v>
          </cell>
          <cell r="G5062">
            <v>0</v>
          </cell>
        </row>
        <row r="5063">
          <cell r="B5063">
            <v>54023</v>
          </cell>
          <cell r="C5063">
            <v>0</v>
          </cell>
          <cell r="D5063" t="str">
            <v>PHP</v>
          </cell>
          <cell r="E5063">
            <v>0</v>
          </cell>
          <cell r="F5063" t="str">
            <v>PC</v>
          </cell>
          <cell r="G5063">
            <v>0</v>
          </cell>
        </row>
        <row r="5064">
          <cell r="B5064">
            <v>54024</v>
          </cell>
          <cell r="C5064">
            <v>0</v>
          </cell>
          <cell r="D5064" t="str">
            <v>PHP</v>
          </cell>
          <cell r="E5064">
            <v>0</v>
          </cell>
          <cell r="F5064" t="str">
            <v>PC</v>
          </cell>
          <cell r="G5064">
            <v>0</v>
          </cell>
        </row>
        <row r="5065">
          <cell r="B5065">
            <v>54025</v>
          </cell>
          <cell r="C5065">
            <v>68414.25</v>
          </cell>
          <cell r="D5065" t="str">
            <v>PHP</v>
          </cell>
          <cell r="E5065">
            <v>2</v>
          </cell>
          <cell r="F5065" t="str">
            <v>PC</v>
          </cell>
          <cell r="G5065">
            <v>0</v>
          </cell>
        </row>
        <row r="5066">
          <cell r="B5066">
            <v>54026</v>
          </cell>
          <cell r="C5066">
            <v>407.15</v>
          </cell>
          <cell r="D5066" t="str">
            <v>PHP</v>
          </cell>
          <cell r="E5066">
            <v>2</v>
          </cell>
          <cell r="F5066" t="str">
            <v>PC</v>
          </cell>
          <cell r="G5066">
            <v>0</v>
          </cell>
        </row>
        <row r="5067">
          <cell r="B5067">
            <v>54027</v>
          </cell>
          <cell r="C5067">
            <v>0</v>
          </cell>
          <cell r="D5067" t="str">
            <v>PHP</v>
          </cell>
          <cell r="E5067">
            <v>0</v>
          </cell>
          <cell r="F5067" t="str">
            <v>PC</v>
          </cell>
          <cell r="G5067">
            <v>0</v>
          </cell>
        </row>
        <row r="5068">
          <cell r="B5068">
            <v>54028</v>
          </cell>
          <cell r="C5068">
            <v>0</v>
          </cell>
          <cell r="D5068" t="str">
            <v>PHP</v>
          </cell>
          <cell r="E5068">
            <v>0</v>
          </cell>
          <cell r="F5068" t="str">
            <v>PC</v>
          </cell>
          <cell r="G5068">
            <v>0</v>
          </cell>
        </row>
        <row r="5069">
          <cell r="B5069">
            <v>54029</v>
          </cell>
          <cell r="C5069">
            <v>0</v>
          </cell>
          <cell r="D5069" t="str">
            <v>PHP</v>
          </cell>
          <cell r="E5069">
            <v>0</v>
          </cell>
          <cell r="F5069" t="str">
            <v>PC</v>
          </cell>
          <cell r="G5069">
            <v>0</v>
          </cell>
        </row>
        <row r="5070">
          <cell r="B5070">
            <v>54030</v>
          </cell>
          <cell r="C5070">
            <v>10021.219999999999</v>
          </cell>
          <cell r="D5070" t="str">
            <v>PHP</v>
          </cell>
          <cell r="E5070">
            <v>2</v>
          </cell>
          <cell r="F5070" t="str">
            <v>PC</v>
          </cell>
          <cell r="G5070">
            <v>0</v>
          </cell>
        </row>
        <row r="5071">
          <cell r="B5071">
            <v>54031</v>
          </cell>
          <cell r="C5071">
            <v>37181.910000000003</v>
          </cell>
          <cell r="D5071" t="str">
            <v>PHP</v>
          </cell>
          <cell r="E5071">
            <v>10</v>
          </cell>
          <cell r="F5071" t="str">
            <v>PC</v>
          </cell>
          <cell r="G5071">
            <v>0</v>
          </cell>
        </row>
        <row r="5072">
          <cell r="B5072">
            <v>54065</v>
          </cell>
          <cell r="C5072">
            <v>234947.62</v>
          </cell>
          <cell r="D5072" t="str">
            <v>PHP</v>
          </cell>
          <cell r="E5072">
            <v>1</v>
          </cell>
          <cell r="F5072" t="str">
            <v>PC</v>
          </cell>
          <cell r="G5072">
            <v>0</v>
          </cell>
        </row>
        <row r="5073">
          <cell r="B5073">
            <v>54066</v>
          </cell>
          <cell r="C5073">
            <v>83667.59</v>
          </cell>
          <cell r="D5073" t="str">
            <v>PHP</v>
          </cell>
          <cell r="E5073">
            <v>4</v>
          </cell>
          <cell r="F5073" t="str">
            <v>PC</v>
          </cell>
          <cell r="G5073">
            <v>0</v>
          </cell>
        </row>
        <row r="5074">
          <cell r="B5074">
            <v>54067</v>
          </cell>
          <cell r="C5074">
            <v>59660.82</v>
          </cell>
          <cell r="D5074" t="str">
            <v>PHP</v>
          </cell>
          <cell r="E5074">
            <v>2</v>
          </cell>
          <cell r="F5074" t="str">
            <v>PC</v>
          </cell>
          <cell r="G5074">
            <v>0</v>
          </cell>
        </row>
        <row r="5075">
          <cell r="B5075">
            <v>54068</v>
          </cell>
          <cell r="C5075">
            <v>69485.320000000007</v>
          </cell>
          <cell r="D5075" t="str">
            <v>PHP</v>
          </cell>
          <cell r="E5075">
            <v>4</v>
          </cell>
          <cell r="F5075" t="str">
            <v>PC</v>
          </cell>
          <cell r="G5075">
            <v>0</v>
          </cell>
        </row>
        <row r="5076">
          <cell r="B5076">
            <v>54069</v>
          </cell>
          <cell r="C5076">
            <v>4102.32</v>
          </cell>
          <cell r="D5076" t="str">
            <v>PHP</v>
          </cell>
          <cell r="E5076">
            <v>1</v>
          </cell>
          <cell r="F5076" t="str">
            <v>PC</v>
          </cell>
          <cell r="G5076">
            <v>0</v>
          </cell>
        </row>
        <row r="5077">
          <cell r="B5077">
            <v>54070</v>
          </cell>
          <cell r="C5077">
            <v>67865.69</v>
          </cell>
          <cell r="D5077" t="str">
            <v>PHP</v>
          </cell>
          <cell r="E5077">
            <v>2</v>
          </cell>
          <cell r="F5077" t="str">
            <v>PC</v>
          </cell>
          <cell r="G5077">
            <v>0</v>
          </cell>
        </row>
        <row r="5078">
          <cell r="B5078">
            <v>54071</v>
          </cell>
          <cell r="C5078">
            <v>4456.8900000000003</v>
          </cell>
          <cell r="D5078" t="str">
            <v>PHP</v>
          </cell>
          <cell r="E5078">
            <v>1</v>
          </cell>
          <cell r="F5078" t="str">
            <v>PC</v>
          </cell>
          <cell r="G5078">
            <v>0</v>
          </cell>
        </row>
        <row r="5079">
          <cell r="B5079">
            <v>54072</v>
          </cell>
          <cell r="C5079">
            <v>102811.24</v>
          </cell>
          <cell r="D5079" t="str">
            <v>PHP</v>
          </cell>
          <cell r="E5079">
            <v>2</v>
          </cell>
          <cell r="F5079" t="str">
            <v>PC</v>
          </cell>
          <cell r="G5079">
            <v>0</v>
          </cell>
        </row>
        <row r="5080">
          <cell r="B5080">
            <v>54073</v>
          </cell>
          <cell r="C5080">
            <v>961767.35</v>
          </cell>
          <cell r="D5080" t="str">
            <v>PHP</v>
          </cell>
          <cell r="E5080">
            <v>2</v>
          </cell>
          <cell r="F5080" t="str">
            <v>PC</v>
          </cell>
          <cell r="G5080">
            <v>0</v>
          </cell>
        </row>
        <row r="5081">
          <cell r="B5081">
            <v>54084</v>
          </cell>
          <cell r="C5081">
            <v>0</v>
          </cell>
          <cell r="D5081" t="str">
            <v>PHP</v>
          </cell>
          <cell r="E5081">
            <v>0</v>
          </cell>
          <cell r="F5081" t="str">
            <v>EA</v>
          </cell>
          <cell r="G5081">
            <v>0</v>
          </cell>
        </row>
        <row r="5082">
          <cell r="B5082">
            <v>54085</v>
          </cell>
          <cell r="C5082">
            <v>0</v>
          </cell>
          <cell r="D5082" t="str">
            <v>PHP</v>
          </cell>
          <cell r="E5082">
            <v>0</v>
          </cell>
          <cell r="F5082" t="str">
            <v>PC</v>
          </cell>
          <cell r="G5082">
            <v>0</v>
          </cell>
        </row>
        <row r="5083">
          <cell r="B5083">
            <v>54086</v>
          </cell>
          <cell r="C5083">
            <v>0</v>
          </cell>
          <cell r="D5083" t="str">
            <v>PHP</v>
          </cell>
          <cell r="E5083">
            <v>0</v>
          </cell>
          <cell r="F5083" t="str">
            <v>PC</v>
          </cell>
          <cell r="G5083">
            <v>0</v>
          </cell>
        </row>
        <row r="5084">
          <cell r="B5084">
            <v>54087</v>
          </cell>
          <cell r="C5084">
            <v>0</v>
          </cell>
          <cell r="D5084" t="str">
            <v>PHP</v>
          </cell>
          <cell r="E5084">
            <v>0</v>
          </cell>
          <cell r="F5084" t="str">
            <v>PC</v>
          </cell>
          <cell r="G5084">
            <v>0</v>
          </cell>
        </row>
        <row r="5085">
          <cell r="B5085">
            <v>54088</v>
          </cell>
          <cell r="C5085">
            <v>0</v>
          </cell>
          <cell r="D5085" t="str">
            <v>PHP</v>
          </cell>
          <cell r="E5085">
            <v>0</v>
          </cell>
          <cell r="F5085" t="str">
            <v>PC</v>
          </cell>
          <cell r="G5085">
            <v>0</v>
          </cell>
        </row>
        <row r="5086">
          <cell r="B5086">
            <v>54089</v>
          </cell>
          <cell r="C5086">
            <v>13285.2</v>
          </cell>
          <cell r="D5086" t="str">
            <v>PHP</v>
          </cell>
          <cell r="E5086">
            <v>4</v>
          </cell>
          <cell r="F5086" t="str">
            <v>PC</v>
          </cell>
          <cell r="G5086">
            <v>0</v>
          </cell>
        </row>
        <row r="5087">
          <cell r="B5087">
            <v>54090</v>
          </cell>
          <cell r="C5087">
            <v>72648.210000000006</v>
          </cell>
          <cell r="D5087" t="str">
            <v>PHP</v>
          </cell>
          <cell r="E5087">
            <v>2</v>
          </cell>
          <cell r="F5087" t="str">
            <v>PC</v>
          </cell>
          <cell r="G5087">
            <v>0</v>
          </cell>
        </row>
        <row r="5088">
          <cell r="B5088">
            <v>54091</v>
          </cell>
          <cell r="C5088">
            <v>136803.79999999999</v>
          </cell>
          <cell r="D5088" t="str">
            <v>PHP</v>
          </cell>
          <cell r="E5088">
            <v>2</v>
          </cell>
          <cell r="F5088" t="str">
            <v>PC</v>
          </cell>
          <cell r="G5088">
            <v>0</v>
          </cell>
        </row>
        <row r="5089">
          <cell r="B5089">
            <v>54092</v>
          </cell>
          <cell r="C5089">
            <v>17321.43</v>
          </cell>
          <cell r="D5089" t="str">
            <v>PHP</v>
          </cell>
          <cell r="E5089">
            <v>4</v>
          </cell>
          <cell r="F5089" t="str">
            <v>PC</v>
          </cell>
          <cell r="G5089">
            <v>0</v>
          </cell>
        </row>
        <row r="5090">
          <cell r="B5090">
            <v>54093</v>
          </cell>
          <cell r="C5090">
            <v>33213.21</v>
          </cell>
          <cell r="D5090" t="str">
            <v>PHP</v>
          </cell>
          <cell r="E5090">
            <v>2</v>
          </cell>
          <cell r="F5090" t="str">
            <v>PC</v>
          </cell>
          <cell r="G5090">
            <v>0</v>
          </cell>
        </row>
        <row r="5091">
          <cell r="B5091">
            <v>54094</v>
          </cell>
          <cell r="C5091">
            <v>42546.12</v>
          </cell>
          <cell r="D5091" t="str">
            <v>PHP</v>
          </cell>
          <cell r="E5091">
            <v>2</v>
          </cell>
          <cell r="F5091" t="str">
            <v>PC</v>
          </cell>
          <cell r="G5091">
            <v>0</v>
          </cell>
        </row>
        <row r="5092">
          <cell r="B5092">
            <v>54522</v>
          </cell>
          <cell r="C5092">
            <v>117482.93</v>
          </cell>
          <cell r="D5092" t="str">
            <v>PHP</v>
          </cell>
          <cell r="E5092">
            <v>2</v>
          </cell>
          <cell r="F5092" t="str">
            <v>PC</v>
          </cell>
          <cell r="G5092">
            <v>0</v>
          </cell>
        </row>
        <row r="5093">
          <cell r="B5093">
            <v>54542</v>
          </cell>
          <cell r="C5093">
            <v>0</v>
          </cell>
          <cell r="D5093" t="str">
            <v>PHP</v>
          </cell>
          <cell r="E5093">
            <v>0</v>
          </cell>
          <cell r="F5093" t="str">
            <v>PC</v>
          </cell>
          <cell r="G5093">
            <v>0</v>
          </cell>
        </row>
        <row r="5094">
          <cell r="B5094">
            <v>54543</v>
          </cell>
          <cell r="C5094">
            <v>0</v>
          </cell>
          <cell r="D5094" t="str">
            <v>PHP</v>
          </cell>
          <cell r="E5094">
            <v>0</v>
          </cell>
          <cell r="F5094" t="str">
            <v>PC</v>
          </cell>
          <cell r="G5094">
            <v>0</v>
          </cell>
        </row>
        <row r="5095">
          <cell r="B5095">
            <v>54544</v>
          </cell>
          <cell r="C5095">
            <v>0</v>
          </cell>
          <cell r="D5095" t="str">
            <v>PHP</v>
          </cell>
          <cell r="E5095">
            <v>0</v>
          </cell>
          <cell r="F5095" t="str">
            <v>PC</v>
          </cell>
          <cell r="G5095">
            <v>0</v>
          </cell>
        </row>
        <row r="5096">
          <cell r="B5096">
            <v>54545</v>
          </cell>
          <cell r="C5096">
            <v>0</v>
          </cell>
          <cell r="D5096" t="str">
            <v>PHP</v>
          </cell>
          <cell r="E5096">
            <v>0</v>
          </cell>
          <cell r="F5096" t="str">
            <v>PC</v>
          </cell>
          <cell r="G5096">
            <v>0</v>
          </cell>
        </row>
        <row r="5097">
          <cell r="B5097">
            <v>54546</v>
          </cell>
          <cell r="C5097">
            <v>0</v>
          </cell>
          <cell r="D5097" t="str">
            <v>PHP</v>
          </cell>
          <cell r="E5097">
            <v>0</v>
          </cell>
          <cell r="F5097" t="str">
            <v>PC</v>
          </cell>
          <cell r="G5097">
            <v>0</v>
          </cell>
        </row>
        <row r="5098">
          <cell r="B5098">
            <v>54547</v>
          </cell>
          <cell r="C5098">
            <v>0</v>
          </cell>
          <cell r="D5098" t="str">
            <v>PHP</v>
          </cell>
          <cell r="E5098">
            <v>0</v>
          </cell>
          <cell r="F5098" t="str">
            <v>PC</v>
          </cell>
          <cell r="G5098">
            <v>0</v>
          </cell>
        </row>
        <row r="5099">
          <cell r="B5099">
            <v>54548</v>
          </cell>
          <cell r="C5099">
            <v>201359.35999999999</v>
          </cell>
          <cell r="D5099" t="str">
            <v>PHP</v>
          </cell>
          <cell r="E5099">
            <v>2</v>
          </cell>
          <cell r="F5099" t="str">
            <v>PC</v>
          </cell>
          <cell r="G5099">
            <v>0</v>
          </cell>
        </row>
        <row r="5100">
          <cell r="B5100">
            <v>54549</v>
          </cell>
          <cell r="C5100">
            <v>0</v>
          </cell>
          <cell r="D5100" t="str">
            <v>PHP</v>
          </cell>
          <cell r="E5100">
            <v>0</v>
          </cell>
          <cell r="F5100" t="str">
            <v>PC</v>
          </cell>
          <cell r="G5100">
            <v>0</v>
          </cell>
        </row>
        <row r="5101">
          <cell r="B5101">
            <v>54581</v>
          </cell>
          <cell r="C5101">
            <v>31778.78</v>
          </cell>
          <cell r="D5101" t="str">
            <v>PHP</v>
          </cell>
          <cell r="E5101">
            <v>1</v>
          </cell>
          <cell r="F5101" t="str">
            <v>PC</v>
          </cell>
          <cell r="G5101">
            <v>0</v>
          </cell>
        </row>
        <row r="5102">
          <cell r="B5102">
            <v>54582</v>
          </cell>
          <cell r="C5102">
            <v>19074.95</v>
          </cell>
          <cell r="D5102" t="str">
            <v>PHP</v>
          </cell>
          <cell r="E5102">
            <v>1</v>
          </cell>
          <cell r="F5102" t="str">
            <v>PC</v>
          </cell>
          <cell r="G5102">
            <v>0</v>
          </cell>
        </row>
        <row r="5103">
          <cell r="B5103">
            <v>54583</v>
          </cell>
          <cell r="C5103">
            <v>15527</v>
          </cell>
          <cell r="D5103" t="str">
            <v>PHP</v>
          </cell>
          <cell r="E5103">
            <v>1</v>
          </cell>
          <cell r="F5103" t="str">
            <v>PC</v>
          </cell>
          <cell r="G5103">
            <v>0</v>
          </cell>
        </row>
        <row r="5104">
          <cell r="B5104">
            <v>54584</v>
          </cell>
          <cell r="C5104">
            <v>15340.64</v>
          </cell>
          <cell r="D5104" t="str">
            <v>PHP</v>
          </cell>
          <cell r="E5104">
            <v>2</v>
          </cell>
          <cell r="F5104" t="str">
            <v>PC</v>
          </cell>
          <cell r="G5104">
            <v>0</v>
          </cell>
        </row>
        <row r="5105">
          <cell r="B5105">
            <v>54585</v>
          </cell>
          <cell r="C5105">
            <v>0</v>
          </cell>
          <cell r="D5105" t="str">
            <v>PHP</v>
          </cell>
          <cell r="E5105">
            <v>0</v>
          </cell>
          <cell r="F5105" t="str">
            <v>PC</v>
          </cell>
          <cell r="G5105">
            <v>0</v>
          </cell>
        </row>
        <row r="5106">
          <cell r="B5106">
            <v>54586</v>
          </cell>
          <cell r="C5106">
            <v>0</v>
          </cell>
          <cell r="D5106" t="str">
            <v>PHP</v>
          </cell>
          <cell r="E5106">
            <v>0</v>
          </cell>
          <cell r="F5106" t="str">
            <v>PC</v>
          </cell>
          <cell r="G5106">
            <v>0</v>
          </cell>
        </row>
        <row r="5107">
          <cell r="B5107">
            <v>54587</v>
          </cell>
          <cell r="C5107">
            <v>238.48</v>
          </cell>
          <cell r="D5107" t="str">
            <v>PHP</v>
          </cell>
          <cell r="E5107">
            <v>1</v>
          </cell>
          <cell r="F5107" t="str">
            <v>PC</v>
          </cell>
          <cell r="G5107">
            <v>0</v>
          </cell>
        </row>
        <row r="5108">
          <cell r="B5108">
            <v>54590</v>
          </cell>
          <cell r="C5108">
            <v>0</v>
          </cell>
          <cell r="D5108" t="str">
            <v>PHP</v>
          </cell>
          <cell r="E5108">
            <v>0</v>
          </cell>
          <cell r="F5108" t="str">
            <v>PC</v>
          </cell>
          <cell r="G5108">
            <v>0</v>
          </cell>
        </row>
        <row r="5109">
          <cell r="B5109">
            <v>54602</v>
          </cell>
          <cell r="C5109">
            <v>901.2</v>
          </cell>
          <cell r="D5109" t="str">
            <v>PHP</v>
          </cell>
          <cell r="E5109">
            <v>1</v>
          </cell>
          <cell r="F5109" t="str">
            <v>PC</v>
          </cell>
          <cell r="G5109">
            <v>0</v>
          </cell>
        </row>
        <row r="5110">
          <cell r="B5110">
            <v>54603</v>
          </cell>
          <cell r="C5110">
            <v>946.33</v>
          </cell>
          <cell r="D5110" t="str">
            <v>PHP</v>
          </cell>
          <cell r="E5110">
            <v>1</v>
          </cell>
          <cell r="F5110" t="str">
            <v>PC</v>
          </cell>
          <cell r="G5110">
            <v>0</v>
          </cell>
        </row>
        <row r="5111">
          <cell r="B5111">
            <v>54604</v>
          </cell>
          <cell r="C5111">
            <v>1907.64</v>
          </cell>
          <cell r="D5111" t="str">
            <v>PHP</v>
          </cell>
          <cell r="E5111">
            <v>1</v>
          </cell>
          <cell r="F5111" t="str">
            <v>PC</v>
          </cell>
          <cell r="G5111">
            <v>0</v>
          </cell>
        </row>
        <row r="5112">
          <cell r="B5112">
            <v>54605</v>
          </cell>
          <cell r="C5112">
            <v>400.58</v>
          </cell>
          <cell r="D5112" t="str">
            <v>PHP</v>
          </cell>
          <cell r="E5112">
            <v>1</v>
          </cell>
          <cell r="F5112" t="str">
            <v>PC</v>
          </cell>
          <cell r="G5112">
            <v>0</v>
          </cell>
        </row>
        <row r="5113">
          <cell r="B5113">
            <v>54606</v>
          </cell>
          <cell r="C5113">
            <v>0</v>
          </cell>
          <cell r="D5113" t="str">
            <v>PHP</v>
          </cell>
          <cell r="E5113">
            <v>0</v>
          </cell>
          <cell r="F5113" t="str">
            <v>PC</v>
          </cell>
          <cell r="G5113">
            <v>0</v>
          </cell>
        </row>
        <row r="5114">
          <cell r="B5114">
            <v>54607</v>
          </cell>
          <cell r="C5114">
            <v>0</v>
          </cell>
          <cell r="D5114" t="str">
            <v>PHP</v>
          </cell>
          <cell r="E5114">
            <v>0</v>
          </cell>
          <cell r="F5114" t="str">
            <v>PC</v>
          </cell>
          <cell r="G5114">
            <v>0</v>
          </cell>
        </row>
        <row r="5115">
          <cell r="B5115">
            <v>54608</v>
          </cell>
          <cell r="C5115">
            <v>0</v>
          </cell>
          <cell r="D5115" t="str">
            <v>PHP</v>
          </cell>
          <cell r="E5115">
            <v>0</v>
          </cell>
          <cell r="F5115" t="str">
            <v>PC</v>
          </cell>
          <cell r="G5115">
            <v>0</v>
          </cell>
        </row>
        <row r="5116">
          <cell r="B5116">
            <v>54622</v>
          </cell>
          <cell r="C5116">
            <v>0</v>
          </cell>
          <cell r="D5116" t="str">
            <v>PHP</v>
          </cell>
          <cell r="E5116">
            <v>0</v>
          </cell>
          <cell r="F5116" t="str">
            <v>PC</v>
          </cell>
          <cell r="G5116">
            <v>0</v>
          </cell>
        </row>
        <row r="5117">
          <cell r="B5117">
            <v>54623</v>
          </cell>
          <cell r="C5117">
            <v>0</v>
          </cell>
          <cell r="D5117" t="str">
            <v>PHP</v>
          </cell>
          <cell r="E5117">
            <v>0</v>
          </cell>
          <cell r="F5117" t="str">
            <v>PC</v>
          </cell>
          <cell r="G5117">
            <v>0</v>
          </cell>
        </row>
        <row r="5118">
          <cell r="B5118">
            <v>54624</v>
          </cell>
          <cell r="C5118">
            <v>0</v>
          </cell>
          <cell r="D5118" t="str">
            <v>PHP</v>
          </cell>
          <cell r="E5118">
            <v>0</v>
          </cell>
          <cell r="F5118" t="str">
            <v>PC</v>
          </cell>
          <cell r="G5118">
            <v>0</v>
          </cell>
        </row>
        <row r="5119">
          <cell r="B5119">
            <v>54625</v>
          </cell>
          <cell r="C5119">
            <v>0</v>
          </cell>
          <cell r="D5119" t="str">
            <v>PHP</v>
          </cell>
          <cell r="E5119">
            <v>0</v>
          </cell>
          <cell r="F5119" t="str">
            <v>PC</v>
          </cell>
          <cell r="G5119">
            <v>0</v>
          </cell>
        </row>
        <row r="5120">
          <cell r="B5120">
            <v>54626</v>
          </cell>
          <cell r="C5120">
            <v>0</v>
          </cell>
          <cell r="D5120" t="str">
            <v>PHP</v>
          </cell>
          <cell r="E5120">
            <v>0</v>
          </cell>
          <cell r="F5120" t="str">
            <v>PC</v>
          </cell>
          <cell r="G5120">
            <v>0</v>
          </cell>
        </row>
        <row r="5121">
          <cell r="B5121">
            <v>54627</v>
          </cell>
          <cell r="C5121">
            <v>0</v>
          </cell>
          <cell r="D5121" t="str">
            <v>PHP</v>
          </cell>
          <cell r="E5121">
            <v>0</v>
          </cell>
          <cell r="F5121" t="str">
            <v>PC</v>
          </cell>
          <cell r="G5121">
            <v>0</v>
          </cell>
        </row>
        <row r="5122">
          <cell r="B5122">
            <v>54628</v>
          </cell>
          <cell r="C5122">
            <v>0</v>
          </cell>
          <cell r="D5122" t="str">
            <v>PHP</v>
          </cell>
          <cell r="E5122">
            <v>0</v>
          </cell>
          <cell r="F5122" t="str">
            <v>PC</v>
          </cell>
          <cell r="G5122">
            <v>0</v>
          </cell>
        </row>
        <row r="5123">
          <cell r="B5123">
            <v>54629</v>
          </cell>
          <cell r="C5123">
            <v>0</v>
          </cell>
          <cell r="D5123" t="str">
            <v>PHP</v>
          </cell>
          <cell r="E5123">
            <v>0</v>
          </cell>
          <cell r="F5123" t="str">
            <v>PC</v>
          </cell>
          <cell r="G5123">
            <v>0</v>
          </cell>
        </row>
        <row r="5124">
          <cell r="B5124">
            <v>54630</v>
          </cell>
          <cell r="C5124">
            <v>192365.55</v>
          </cell>
          <cell r="D5124" t="str">
            <v>PHP</v>
          </cell>
          <cell r="E5124">
            <v>1</v>
          </cell>
          <cell r="F5124" t="str">
            <v>PC</v>
          </cell>
          <cell r="G5124">
            <v>0</v>
          </cell>
        </row>
        <row r="5125">
          <cell r="B5125">
            <v>54631</v>
          </cell>
          <cell r="C5125">
            <v>0</v>
          </cell>
          <cell r="D5125" t="str">
            <v>PHP</v>
          </cell>
          <cell r="E5125">
            <v>0</v>
          </cell>
          <cell r="F5125" t="str">
            <v>PC</v>
          </cell>
          <cell r="G5125">
            <v>0</v>
          </cell>
        </row>
        <row r="5126">
          <cell r="B5126">
            <v>54641</v>
          </cell>
          <cell r="C5126">
            <v>0</v>
          </cell>
          <cell r="D5126" t="str">
            <v>PHP</v>
          </cell>
          <cell r="E5126">
            <v>0</v>
          </cell>
          <cell r="F5126" t="str">
            <v>PC</v>
          </cell>
          <cell r="G5126">
            <v>0</v>
          </cell>
        </row>
        <row r="5127">
          <cell r="B5127">
            <v>54642</v>
          </cell>
          <cell r="C5127">
            <v>0</v>
          </cell>
          <cell r="D5127" t="str">
            <v>PHP</v>
          </cell>
          <cell r="E5127">
            <v>0</v>
          </cell>
          <cell r="F5127" t="str">
            <v>PC</v>
          </cell>
          <cell r="G5127">
            <v>0</v>
          </cell>
        </row>
        <row r="5128">
          <cell r="B5128">
            <v>54643</v>
          </cell>
          <cell r="C5128">
            <v>0</v>
          </cell>
          <cell r="D5128" t="str">
            <v>PHP</v>
          </cell>
          <cell r="E5128">
            <v>0</v>
          </cell>
          <cell r="F5128" t="str">
            <v>PC</v>
          </cell>
          <cell r="G5128">
            <v>0</v>
          </cell>
        </row>
        <row r="5129">
          <cell r="B5129">
            <v>54644</v>
          </cell>
          <cell r="C5129">
            <v>33566.120000000003</v>
          </cell>
          <cell r="D5129" t="str">
            <v>PHP</v>
          </cell>
          <cell r="E5129">
            <v>6</v>
          </cell>
          <cell r="F5129" t="str">
            <v>PC</v>
          </cell>
          <cell r="G5129">
            <v>0</v>
          </cell>
        </row>
        <row r="5130">
          <cell r="B5130">
            <v>54645</v>
          </cell>
          <cell r="C5130">
            <v>33636.61</v>
          </cell>
          <cell r="D5130" t="str">
            <v>PHP</v>
          </cell>
          <cell r="E5130">
            <v>6</v>
          </cell>
          <cell r="F5130" t="str">
            <v>PC</v>
          </cell>
          <cell r="G5130">
            <v>0</v>
          </cell>
        </row>
        <row r="5131">
          <cell r="B5131">
            <v>54646</v>
          </cell>
          <cell r="C5131">
            <v>0</v>
          </cell>
          <cell r="D5131" t="str">
            <v>PHP</v>
          </cell>
          <cell r="E5131">
            <v>0</v>
          </cell>
          <cell r="F5131" t="str">
            <v>PC</v>
          </cell>
          <cell r="G5131">
            <v>0</v>
          </cell>
        </row>
        <row r="5132">
          <cell r="B5132">
            <v>54661</v>
          </cell>
          <cell r="C5132">
            <v>5001.8</v>
          </cell>
          <cell r="D5132" t="str">
            <v>PHP</v>
          </cell>
          <cell r="E5132">
            <v>10</v>
          </cell>
          <cell r="F5132" t="str">
            <v>PC</v>
          </cell>
          <cell r="G5132">
            <v>0</v>
          </cell>
        </row>
        <row r="5133">
          <cell r="B5133">
            <v>54662</v>
          </cell>
          <cell r="C5133">
            <v>30149.759999999998</v>
          </cell>
          <cell r="D5133" t="str">
            <v>PHP</v>
          </cell>
          <cell r="E5133">
            <v>6</v>
          </cell>
          <cell r="F5133" t="str">
            <v>PC</v>
          </cell>
          <cell r="G5133">
            <v>0</v>
          </cell>
        </row>
        <row r="5134">
          <cell r="B5134">
            <v>54663</v>
          </cell>
          <cell r="C5134">
            <v>2541.5</v>
          </cell>
          <cell r="D5134" t="str">
            <v>PHP</v>
          </cell>
          <cell r="E5134">
            <v>10</v>
          </cell>
          <cell r="F5134" t="str">
            <v>PC</v>
          </cell>
          <cell r="G5134">
            <v>0</v>
          </cell>
        </row>
        <row r="5135">
          <cell r="B5135">
            <v>54664</v>
          </cell>
          <cell r="C5135">
            <v>2541.5</v>
          </cell>
          <cell r="D5135" t="str">
            <v>PHP</v>
          </cell>
          <cell r="E5135">
            <v>10</v>
          </cell>
          <cell r="F5135" t="str">
            <v>PC</v>
          </cell>
          <cell r="G5135">
            <v>0</v>
          </cell>
        </row>
        <row r="5136">
          <cell r="B5136">
            <v>54665</v>
          </cell>
          <cell r="C5136">
            <v>2541.5</v>
          </cell>
          <cell r="D5136" t="str">
            <v>PHP</v>
          </cell>
          <cell r="E5136">
            <v>10</v>
          </cell>
          <cell r="F5136" t="str">
            <v>PC</v>
          </cell>
          <cell r="G5136">
            <v>0</v>
          </cell>
        </row>
        <row r="5137">
          <cell r="B5137">
            <v>54666</v>
          </cell>
          <cell r="C5137">
            <v>2541.5</v>
          </cell>
          <cell r="D5137" t="str">
            <v>PHP</v>
          </cell>
          <cell r="E5137">
            <v>10</v>
          </cell>
          <cell r="F5137" t="str">
            <v>PC</v>
          </cell>
          <cell r="G5137">
            <v>0</v>
          </cell>
        </row>
        <row r="5138">
          <cell r="B5138">
            <v>54667</v>
          </cell>
          <cell r="C5138">
            <v>2541.5</v>
          </cell>
          <cell r="D5138" t="str">
            <v>PHP</v>
          </cell>
          <cell r="E5138">
            <v>10</v>
          </cell>
          <cell r="F5138" t="str">
            <v>PC</v>
          </cell>
          <cell r="G5138">
            <v>0</v>
          </cell>
        </row>
        <row r="5139">
          <cell r="B5139">
            <v>54668</v>
          </cell>
          <cell r="C5139">
            <v>0</v>
          </cell>
          <cell r="D5139" t="str">
            <v>PHP</v>
          </cell>
          <cell r="E5139">
            <v>0</v>
          </cell>
          <cell r="F5139" t="str">
            <v>PC</v>
          </cell>
          <cell r="G5139">
            <v>0</v>
          </cell>
        </row>
        <row r="5140">
          <cell r="B5140">
            <v>54669</v>
          </cell>
          <cell r="C5140">
            <v>0</v>
          </cell>
          <cell r="D5140" t="str">
            <v>PHP</v>
          </cell>
          <cell r="E5140">
            <v>0</v>
          </cell>
          <cell r="F5140" t="str">
            <v>PC</v>
          </cell>
          <cell r="G5140">
            <v>0</v>
          </cell>
        </row>
        <row r="5141">
          <cell r="B5141">
            <v>54670</v>
          </cell>
          <cell r="C5141">
            <v>2541.5</v>
          </cell>
          <cell r="D5141" t="str">
            <v>PHP</v>
          </cell>
          <cell r="E5141">
            <v>10</v>
          </cell>
          <cell r="F5141" t="str">
            <v>PC</v>
          </cell>
          <cell r="G5141">
            <v>0</v>
          </cell>
        </row>
        <row r="5142">
          <cell r="B5142">
            <v>54681</v>
          </cell>
          <cell r="C5142">
            <v>0</v>
          </cell>
          <cell r="D5142" t="str">
            <v>PHP</v>
          </cell>
          <cell r="E5142">
            <v>0</v>
          </cell>
          <cell r="F5142" t="str">
            <v>PC</v>
          </cell>
          <cell r="G5142">
            <v>0</v>
          </cell>
        </row>
        <row r="5143">
          <cell r="B5143">
            <v>54682</v>
          </cell>
          <cell r="C5143">
            <v>22259.19</v>
          </cell>
          <cell r="D5143" t="str">
            <v>PHP</v>
          </cell>
          <cell r="E5143">
            <v>1</v>
          </cell>
          <cell r="F5143" t="str">
            <v>PC</v>
          </cell>
          <cell r="G5143">
            <v>0</v>
          </cell>
        </row>
        <row r="5144">
          <cell r="B5144">
            <v>54683</v>
          </cell>
          <cell r="C5144">
            <v>13645.19</v>
          </cell>
          <cell r="D5144" t="str">
            <v>PHP</v>
          </cell>
          <cell r="E5144">
            <v>1</v>
          </cell>
          <cell r="F5144" t="str">
            <v>PC</v>
          </cell>
          <cell r="G5144">
            <v>0</v>
          </cell>
        </row>
        <row r="5145">
          <cell r="B5145">
            <v>54684</v>
          </cell>
          <cell r="C5145">
            <v>0</v>
          </cell>
          <cell r="D5145" t="str">
            <v>PHP</v>
          </cell>
          <cell r="E5145">
            <v>0</v>
          </cell>
          <cell r="F5145" t="str">
            <v>PC</v>
          </cell>
          <cell r="G5145">
            <v>0</v>
          </cell>
        </row>
        <row r="5146">
          <cell r="B5146">
            <v>54685</v>
          </cell>
          <cell r="C5146">
            <v>0</v>
          </cell>
          <cell r="D5146" t="str">
            <v>PHP</v>
          </cell>
          <cell r="E5146">
            <v>0</v>
          </cell>
          <cell r="F5146" t="str">
            <v>PC</v>
          </cell>
          <cell r="G5146">
            <v>0</v>
          </cell>
        </row>
        <row r="5147">
          <cell r="B5147">
            <v>54686</v>
          </cell>
          <cell r="C5147">
            <v>0</v>
          </cell>
          <cell r="D5147" t="str">
            <v>PHP</v>
          </cell>
          <cell r="E5147">
            <v>0</v>
          </cell>
          <cell r="F5147" t="str">
            <v>PC</v>
          </cell>
          <cell r="G5147">
            <v>0</v>
          </cell>
        </row>
        <row r="5148">
          <cell r="B5148">
            <v>54687</v>
          </cell>
          <cell r="C5148">
            <v>186.83</v>
          </cell>
          <cell r="D5148" t="str">
            <v>PHP</v>
          </cell>
          <cell r="E5148">
            <v>1</v>
          </cell>
          <cell r="F5148" t="str">
            <v>PC</v>
          </cell>
          <cell r="G5148">
            <v>0</v>
          </cell>
        </row>
        <row r="5149">
          <cell r="B5149">
            <v>54688</v>
          </cell>
          <cell r="C5149">
            <v>0</v>
          </cell>
          <cell r="D5149" t="str">
            <v>PHP</v>
          </cell>
          <cell r="E5149">
            <v>0</v>
          </cell>
          <cell r="F5149" t="str">
            <v>PC</v>
          </cell>
          <cell r="G5149">
            <v>0</v>
          </cell>
        </row>
        <row r="5150">
          <cell r="B5150">
            <v>54689</v>
          </cell>
          <cell r="C5150">
            <v>186.83</v>
          </cell>
          <cell r="D5150" t="str">
            <v>PHP</v>
          </cell>
          <cell r="E5150">
            <v>1</v>
          </cell>
          <cell r="F5150" t="str">
            <v>PC</v>
          </cell>
          <cell r="G5150">
            <v>0</v>
          </cell>
        </row>
        <row r="5151">
          <cell r="B5151">
            <v>54701</v>
          </cell>
          <cell r="C5151">
            <v>0</v>
          </cell>
          <cell r="D5151" t="str">
            <v>PHP</v>
          </cell>
          <cell r="E5151">
            <v>0</v>
          </cell>
          <cell r="F5151" t="str">
            <v>PC</v>
          </cell>
          <cell r="G5151">
            <v>0</v>
          </cell>
        </row>
        <row r="5152">
          <cell r="B5152">
            <v>54708</v>
          </cell>
          <cell r="C5152">
            <v>2270.5500000000002</v>
          </cell>
          <cell r="D5152" t="str">
            <v>PHP</v>
          </cell>
          <cell r="E5152">
            <v>1</v>
          </cell>
          <cell r="F5152" t="str">
            <v>PC</v>
          </cell>
          <cell r="G5152">
            <v>0</v>
          </cell>
        </row>
        <row r="5153">
          <cell r="B5153">
            <v>54709</v>
          </cell>
          <cell r="C5153">
            <v>0</v>
          </cell>
          <cell r="D5153" t="str">
            <v>PHP</v>
          </cell>
          <cell r="E5153">
            <v>0</v>
          </cell>
          <cell r="F5153" t="str">
            <v>PC</v>
          </cell>
          <cell r="G5153">
            <v>0</v>
          </cell>
        </row>
        <row r="5154">
          <cell r="B5154">
            <v>54724</v>
          </cell>
          <cell r="C5154">
            <v>0</v>
          </cell>
          <cell r="D5154" t="str">
            <v>PHP</v>
          </cell>
          <cell r="E5154">
            <v>0</v>
          </cell>
          <cell r="F5154" t="str">
            <v>PC</v>
          </cell>
          <cell r="G5154">
            <v>0</v>
          </cell>
        </row>
        <row r="5155">
          <cell r="B5155">
            <v>54726</v>
          </cell>
          <cell r="C5155">
            <v>0</v>
          </cell>
          <cell r="D5155" t="str">
            <v>PHP</v>
          </cell>
          <cell r="E5155">
            <v>0</v>
          </cell>
          <cell r="F5155" t="str">
            <v>PC</v>
          </cell>
          <cell r="G5155">
            <v>0</v>
          </cell>
        </row>
        <row r="5156">
          <cell r="B5156">
            <v>54745</v>
          </cell>
          <cell r="C5156">
            <v>0</v>
          </cell>
          <cell r="D5156" t="str">
            <v>PHP</v>
          </cell>
          <cell r="E5156">
            <v>0</v>
          </cell>
          <cell r="F5156" t="str">
            <v>PC</v>
          </cell>
          <cell r="G5156">
            <v>0</v>
          </cell>
        </row>
        <row r="5157">
          <cell r="B5157">
            <v>54763</v>
          </cell>
          <cell r="C5157">
            <v>0</v>
          </cell>
          <cell r="D5157" t="str">
            <v>PHP</v>
          </cell>
          <cell r="E5157">
            <v>0</v>
          </cell>
          <cell r="F5157" t="str">
            <v>PC</v>
          </cell>
          <cell r="G5157">
            <v>0</v>
          </cell>
        </row>
        <row r="5158">
          <cell r="B5158">
            <v>54768</v>
          </cell>
          <cell r="C5158">
            <v>0</v>
          </cell>
          <cell r="D5158" t="str">
            <v>PHP</v>
          </cell>
          <cell r="E5158">
            <v>0</v>
          </cell>
          <cell r="F5158" t="str">
            <v>PC</v>
          </cell>
          <cell r="G5158">
            <v>0</v>
          </cell>
        </row>
        <row r="5159">
          <cell r="B5159">
            <v>54777</v>
          </cell>
          <cell r="C5159">
            <v>0</v>
          </cell>
          <cell r="D5159" t="str">
            <v>PHP</v>
          </cell>
          <cell r="E5159">
            <v>0</v>
          </cell>
          <cell r="F5159" t="str">
            <v>PC</v>
          </cell>
          <cell r="G5159">
            <v>0</v>
          </cell>
        </row>
        <row r="5160">
          <cell r="B5160">
            <v>54781</v>
          </cell>
          <cell r="C5160">
            <v>0</v>
          </cell>
          <cell r="D5160" t="str">
            <v>PHP</v>
          </cell>
          <cell r="E5160">
            <v>0</v>
          </cell>
          <cell r="F5160" t="str">
            <v>PC</v>
          </cell>
          <cell r="G5160">
            <v>0</v>
          </cell>
        </row>
        <row r="5161">
          <cell r="B5161">
            <v>54783</v>
          </cell>
          <cell r="C5161">
            <v>0</v>
          </cell>
          <cell r="D5161" t="str">
            <v>PHP</v>
          </cell>
          <cell r="E5161">
            <v>0</v>
          </cell>
          <cell r="F5161" t="str">
            <v>PC</v>
          </cell>
          <cell r="G5161">
            <v>0</v>
          </cell>
        </row>
        <row r="5162">
          <cell r="B5162">
            <v>54791</v>
          </cell>
          <cell r="C5162">
            <v>92195.49</v>
          </cell>
          <cell r="D5162" t="str">
            <v>PHP</v>
          </cell>
          <cell r="E5162">
            <v>1</v>
          </cell>
          <cell r="F5162" t="str">
            <v>PC</v>
          </cell>
          <cell r="G5162">
            <v>0</v>
          </cell>
        </row>
        <row r="5163">
          <cell r="B5163">
            <v>54792</v>
          </cell>
          <cell r="C5163">
            <v>0</v>
          </cell>
          <cell r="D5163" t="str">
            <v>PHP</v>
          </cell>
          <cell r="E5163">
            <v>0</v>
          </cell>
          <cell r="F5163" t="str">
            <v>PC</v>
          </cell>
          <cell r="G5163">
            <v>0</v>
          </cell>
        </row>
        <row r="5164">
          <cell r="B5164">
            <v>54793</v>
          </cell>
          <cell r="C5164">
            <v>84680.58</v>
          </cell>
          <cell r="D5164" t="str">
            <v>PHP</v>
          </cell>
          <cell r="E5164">
            <v>2</v>
          </cell>
          <cell r="F5164" t="str">
            <v>PC</v>
          </cell>
          <cell r="G5164">
            <v>0</v>
          </cell>
        </row>
        <row r="5165">
          <cell r="B5165">
            <v>54794</v>
          </cell>
          <cell r="C5165">
            <v>20378.47</v>
          </cell>
          <cell r="D5165" t="str">
            <v>PHP</v>
          </cell>
          <cell r="E5165">
            <v>1</v>
          </cell>
          <cell r="F5165" t="str">
            <v>PC</v>
          </cell>
          <cell r="G5165">
            <v>0</v>
          </cell>
        </row>
        <row r="5166">
          <cell r="B5166">
            <v>54795</v>
          </cell>
          <cell r="C5166">
            <v>0</v>
          </cell>
          <cell r="D5166" t="str">
            <v>PHP</v>
          </cell>
          <cell r="E5166">
            <v>0</v>
          </cell>
          <cell r="F5166" t="str">
            <v>PC</v>
          </cell>
          <cell r="G5166">
            <v>0</v>
          </cell>
        </row>
        <row r="5167">
          <cell r="B5167">
            <v>54796</v>
          </cell>
          <cell r="C5167">
            <v>9505.68</v>
          </cell>
          <cell r="D5167" t="str">
            <v>PHP</v>
          </cell>
          <cell r="E5167">
            <v>1</v>
          </cell>
          <cell r="F5167" t="str">
            <v>PC</v>
          </cell>
          <cell r="G5167">
            <v>0</v>
          </cell>
        </row>
        <row r="5168">
          <cell r="B5168">
            <v>54797</v>
          </cell>
          <cell r="C5168">
            <v>10268.44</v>
          </cell>
          <cell r="D5168" t="str">
            <v>PHP</v>
          </cell>
          <cell r="E5168">
            <v>1</v>
          </cell>
          <cell r="F5168" t="str">
            <v>PC</v>
          </cell>
          <cell r="G5168">
            <v>0</v>
          </cell>
        </row>
        <row r="5169">
          <cell r="B5169">
            <v>54799</v>
          </cell>
          <cell r="C5169">
            <v>3901.66</v>
          </cell>
          <cell r="D5169" t="str">
            <v>PHP</v>
          </cell>
          <cell r="E5169">
            <v>1</v>
          </cell>
          <cell r="F5169" t="str">
            <v>PC</v>
          </cell>
          <cell r="G5169">
            <v>0</v>
          </cell>
        </row>
        <row r="5170">
          <cell r="B5170">
            <v>54801</v>
          </cell>
          <cell r="C5170">
            <v>0</v>
          </cell>
          <cell r="D5170" t="str">
            <v>PHP</v>
          </cell>
          <cell r="E5170">
            <v>0</v>
          </cell>
          <cell r="F5170" t="str">
            <v>PC</v>
          </cell>
          <cell r="G5170">
            <v>0</v>
          </cell>
        </row>
        <row r="5171">
          <cell r="B5171">
            <v>54802</v>
          </cell>
          <cell r="C5171">
            <v>0</v>
          </cell>
          <cell r="D5171" t="str">
            <v>PHP</v>
          </cell>
          <cell r="E5171">
            <v>0</v>
          </cell>
          <cell r="F5171" t="str">
            <v>PC</v>
          </cell>
          <cell r="G5171">
            <v>0</v>
          </cell>
        </row>
        <row r="5172">
          <cell r="B5172">
            <v>54806</v>
          </cell>
          <cell r="C5172">
            <v>0</v>
          </cell>
          <cell r="D5172" t="str">
            <v>PHP</v>
          </cell>
          <cell r="E5172">
            <v>0</v>
          </cell>
          <cell r="F5172" t="str">
            <v>PC</v>
          </cell>
          <cell r="G5172">
            <v>0</v>
          </cell>
        </row>
        <row r="5173">
          <cell r="B5173">
            <v>54807</v>
          </cell>
          <cell r="C5173">
            <v>0</v>
          </cell>
          <cell r="D5173" t="str">
            <v>PHP</v>
          </cell>
          <cell r="E5173">
            <v>0</v>
          </cell>
          <cell r="F5173" t="str">
            <v>PC</v>
          </cell>
          <cell r="G5173">
            <v>0</v>
          </cell>
        </row>
        <row r="5174">
          <cell r="B5174">
            <v>54808</v>
          </cell>
          <cell r="C5174">
            <v>4832.16</v>
          </cell>
          <cell r="D5174" t="str">
            <v>PHP</v>
          </cell>
          <cell r="E5174">
            <v>1</v>
          </cell>
          <cell r="F5174" t="str">
            <v>PC</v>
          </cell>
          <cell r="G5174">
            <v>0</v>
          </cell>
        </row>
        <row r="5175">
          <cell r="B5175">
            <v>54809</v>
          </cell>
          <cell r="C5175">
            <v>0</v>
          </cell>
          <cell r="D5175" t="str">
            <v>PHP</v>
          </cell>
          <cell r="E5175">
            <v>0</v>
          </cell>
          <cell r="F5175" t="str">
            <v>PC</v>
          </cell>
          <cell r="G5175">
            <v>0</v>
          </cell>
        </row>
        <row r="5176">
          <cell r="B5176">
            <v>54861</v>
          </cell>
          <cell r="C5176">
            <v>0</v>
          </cell>
          <cell r="D5176" t="str">
            <v>PHP</v>
          </cell>
          <cell r="E5176">
            <v>0</v>
          </cell>
          <cell r="F5176" t="str">
            <v>PC</v>
          </cell>
          <cell r="G5176">
            <v>0</v>
          </cell>
        </row>
        <row r="5177">
          <cell r="B5177">
            <v>54862</v>
          </cell>
          <cell r="C5177">
            <v>0</v>
          </cell>
          <cell r="D5177" t="str">
            <v>PHP</v>
          </cell>
          <cell r="E5177">
            <v>0</v>
          </cell>
          <cell r="F5177" t="str">
            <v>PC</v>
          </cell>
          <cell r="G5177">
            <v>0</v>
          </cell>
        </row>
        <row r="5178">
          <cell r="B5178">
            <v>54863</v>
          </cell>
          <cell r="C5178">
            <v>510.6</v>
          </cell>
          <cell r="D5178" t="str">
            <v>PHP</v>
          </cell>
          <cell r="E5178">
            <v>1</v>
          </cell>
          <cell r="F5178" t="str">
            <v>PC</v>
          </cell>
          <cell r="G5178">
            <v>0</v>
          </cell>
        </row>
        <row r="5179">
          <cell r="B5179">
            <v>54864</v>
          </cell>
          <cell r="C5179">
            <v>0</v>
          </cell>
          <cell r="D5179" t="str">
            <v>PHP</v>
          </cell>
          <cell r="E5179">
            <v>0</v>
          </cell>
          <cell r="F5179" t="str">
            <v>PC</v>
          </cell>
          <cell r="G5179">
            <v>0</v>
          </cell>
        </row>
        <row r="5180">
          <cell r="B5180">
            <v>54865</v>
          </cell>
          <cell r="C5180">
            <v>1593.86</v>
          </cell>
          <cell r="D5180" t="str">
            <v>PHP</v>
          </cell>
          <cell r="E5180">
            <v>1</v>
          </cell>
          <cell r="F5180" t="str">
            <v>PC</v>
          </cell>
          <cell r="G5180">
            <v>0</v>
          </cell>
        </row>
        <row r="5181">
          <cell r="B5181">
            <v>54866</v>
          </cell>
          <cell r="C5181">
            <v>1593.86</v>
          </cell>
          <cell r="D5181" t="str">
            <v>PHP</v>
          </cell>
          <cell r="E5181">
            <v>1</v>
          </cell>
          <cell r="F5181" t="str">
            <v>PC</v>
          </cell>
          <cell r="G5181">
            <v>0</v>
          </cell>
        </row>
        <row r="5182">
          <cell r="B5182">
            <v>54867</v>
          </cell>
          <cell r="C5182">
            <v>1953.43</v>
          </cell>
          <cell r="D5182" t="str">
            <v>PHP</v>
          </cell>
          <cell r="E5182">
            <v>1</v>
          </cell>
          <cell r="F5182" t="str">
            <v>PC</v>
          </cell>
          <cell r="G5182">
            <v>0</v>
          </cell>
        </row>
        <row r="5183">
          <cell r="B5183">
            <v>54868</v>
          </cell>
          <cell r="C5183">
            <v>1941.12</v>
          </cell>
          <cell r="D5183" t="str">
            <v>PHP</v>
          </cell>
          <cell r="E5183">
            <v>1</v>
          </cell>
          <cell r="F5183" t="str">
            <v>PC</v>
          </cell>
          <cell r="G5183">
            <v>0</v>
          </cell>
        </row>
        <row r="5184">
          <cell r="B5184">
            <v>54869</v>
          </cell>
          <cell r="C5184">
            <v>0</v>
          </cell>
          <cell r="D5184" t="str">
            <v>PHP</v>
          </cell>
          <cell r="E5184">
            <v>0</v>
          </cell>
          <cell r="F5184" t="str">
            <v>PC</v>
          </cell>
          <cell r="G5184">
            <v>0</v>
          </cell>
        </row>
        <row r="5185">
          <cell r="B5185">
            <v>54870</v>
          </cell>
          <cell r="C5185">
            <v>1099.75</v>
          </cell>
          <cell r="D5185" t="str">
            <v>PHP</v>
          </cell>
          <cell r="E5185">
            <v>1</v>
          </cell>
          <cell r="F5185" t="str">
            <v>PC</v>
          </cell>
          <cell r="G5185">
            <v>0</v>
          </cell>
        </row>
        <row r="5186">
          <cell r="B5186">
            <v>54901</v>
          </cell>
          <cell r="C5186">
            <v>0</v>
          </cell>
          <cell r="D5186" t="str">
            <v>PHP</v>
          </cell>
          <cell r="E5186">
            <v>0</v>
          </cell>
          <cell r="F5186" t="str">
            <v>PC</v>
          </cell>
          <cell r="G5186">
            <v>0</v>
          </cell>
        </row>
        <row r="5187">
          <cell r="B5187">
            <v>54902</v>
          </cell>
          <cell r="C5187">
            <v>48915.73</v>
          </cell>
          <cell r="D5187" t="str">
            <v>PHP</v>
          </cell>
          <cell r="E5187">
            <v>1</v>
          </cell>
          <cell r="F5187" t="str">
            <v>PC</v>
          </cell>
          <cell r="G5187">
            <v>0</v>
          </cell>
        </row>
        <row r="5188">
          <cell r="B5188">
            <v>54903</v>
          </cell>
          <cell r="C5188">
            <v>0</v>
          </cell>
          <cell r="D5188" t="str">
            <v>PHP</v>
          </cell>
          <cell r="E5188">
            <v>0</v>
          </cell>
          <cell r="F5188" t="str">
            <v>PC</v>
          </cell>
          <cell r="G5188">
            <v>0</v>
          </cell>
        </row>
        <row r="5189">
          <cell r="B5189">
            <v>54904</v>
          </cell>
          <cell r="C5189">
            <v>3532.12</v>
          </cell>
          <cell r="D5189" t="str">
            <v>PHP</v>
          </cell>
          <cell r="E5189">
            <v>1</v>
          </cell>
          <cell r="F5189" t="str">
            <v>PC</v>
          </cell>
          <cell r="G5189">
            <v>0</v>
          </cell>
        </row>
        <row r="5190">
          <cell r="B5190">
            <v>54905</v>
          </cell>
          <cell r="C5190">
            <v>0</v>
          </cell>
          <cell r="D5190" t="str">
            <v>PHP</v>
          </cell>
          <cell r="E5190">
            <v>0</v>
          </cell>
          <cell r="F5190" t="str">
            <v>PC</v>
          </cell>
          <cell r="G5190">
            <v>0</v>
          </cell>
        </row>
        <row r="5191">
          <cell r="B5191">
            <v>54906</v>
          </cell>
          <cell r="C5191">
            <v>0</v>
          </cell>
          <cell r="D5191" t="str">
            <v>PHP</v>
          </cell>
          <cell r="E5191">
            <v>0</v>
          </cell>
          <cell r="F5191" t="str">
            <v>PC</v>
          </cell>
          <cell r="G5191">
            <v>0</v>
          </cell>
        </row>
        <row r="5192">
          <cell r="B5192">
            <v>54907</v>
          </cell>
          <cell r="C5192">
            <v>210.06</v>
          </cell>
          <cell r="D5192" t="str">
            <v>PHP</v>
          </cell>
          <cell r="E5192">
            <v>1</v>
          </cell>
          <cell r="F5192" t="str">
            <v>PC</v>
          </cell>
          <cell r="G5192">
            <v>0</v>
          </cell>
        </row>
        <row r="5193">
          <cell r="B5193">
            <v>54908</v>
          </cell>
          <cell r="C5193">
            <v>0</v>
          </cell>
          <cell r="D5193" t="str">
            <v>PHP</v>
          </cell>
          <cell r="E5193">
            <v>0</v>
          </cell>
          <cell r="F5193" t="str">
            <v>PC</v>
          </cell>
          <cell r="G5193">
            <v>0</v>
          </cell>
        </row>
        <row r="5194">
          <cell r="B5194">
            <v>54909</v>
          </cell>
          <cell r="C5194">
            <v>0</v>
          </cell>
          <cell r="D5194" t="str">
            <v>PHP</v>
          </cell>
          <cell r="E5194">
            <v>0</v>
          </cell>
          <cell r="F5194" t="str">
            <v>PC</v>
          </cell>
          <cell r="G5194">
            <v>0</v>
          </cell>
        </row>
        <row r="5195">
          <cell r="B5195">
            <v>54910</v>
          </cell>
          <cell r="C5195">
            <v>0</v>
          </cell>
          <cell r="D5195" t="str">
            <v>PHP</v>
          </cell>
          <cell r="E5195">
            <v>0</v>
          </cell>
          <cell r="F5195" t="str">
            <v>PC</v>
          </cell>
          <cell r="G5195">
            <v>0</v>
          </cell>
        </row>
        <row r="5196">
          <cell r="B5196">
            <v>54921</v>
          </cell>
          <cell r="C5196">
            <v>0</v>
          </cell>
          <cell r="D5196" t="str">
            <v>PHP</v>
          </cell>
          <cell r="E5196">
            <v>0</v>
          </cell>
          <cell r="F5196" t="str">
            <v>PC</v>
          </cell>
          <cell r="G5196">
            <v>0</v>
          </cell>
        </row>
        <row r="5197">
          <cell r="B5197">
            <v>54922</v>
          </cell>
          <cell r="C5197">
            <v>15342.77</v>
          </cell>
          <cell r="D5197" t="str">
            <v>PHP</v>
          </cell>
          <cell r="E5197">
            <v>2</v>
          </cell>
          <cell r="F5197" t="str">
            <v>PC</v>
          </cell>
          <cell r="G5197">
            <v>0</v>
          </cell>
        </row>
        <row r="5198">
          <cell r="B5198">
            <v>54923</v>
          </cell>
          <cell r="C5198">
            <v>0</v>
          </cell>
          <cell r="D5198" t="str">
            <v>PHP</v>
          </cell>
          <cell r="E5198">
            <v>0</v>
          </cell>
          <cell r="F5198" t="str">
            <v>PC</v>
          </cell>
          <cell r="G5198">
            <v>0</v>
          </cell>
        </row>
        <row r="5199">
          <cell r="B5199">
            <v>54924</v>
          </cell>
          <cell r="C5199">
            <v>0</v>
          </cell>
          <cell r="D5199" t="str">
            <v>PHP</v>
          </cell>
          <cell r="E5199">
            <v>0</v>
          </cell>
          <cell r="F5199" t="str">
            <v>PC</v>
          </cell>
          <cell r="G5199">
            <v>0</v>
          </cell>
        </row>
        <row r="5200">
          <cell r="B5200">
            <v>54925</v>
          </cell>
          <cell r="C5200">
            <v>2813.4</v>
          </cell>
          <cell r="D5200" t="str">
            <v>PHP</v>
          </cell>
          <cell r="E5200">
            <v>1</v>
          </cell>
          <cell r="F5200" t="str">
            <v>PC</v>
          </cell>
          <cell r="G5200">
            <v>0</v>
          </cell>
        </row>
        <row r="5201">
          <cell r="B5201">
            <v>54926</v>
          </cell>
          <cell r="C5201">
            <v>707.2</v>
          </cell>
          <cell r="D5201" t="str">
            <v>PHP</v>
          </cell>
          <cell r="E5201">
            <v>1</v>
          </cell>
          <cell r="F5201" t="str">
            <v>PC</v>
          </cell>
          <cell r="G5201">
            <v>0</v>
          </cell>
        </row>
        <row r="5202">
          <cell r="B5202">
            <v>54927</v>
          </cell>
          <cell r="C5202">
            <v>0</v>
          </cell>
          <cell r="D5202" t="str">
            <v>PHP</v>
          </cell>
          <cell r="E5202">
            <v>0</v>
          </cell>
          <cell r="F5202" t="str">
            <v>PC</v>
          </cell>
          <cell r="G5202">
            <v>0</v>
          </cell>
        </row>
        <row r="5203">
          <cell r="B5203">
            <v>54928</v>
          </cell>
          <cell r="C5203">
            <v>0</v>
          </cell>
          <cell r="D5203" t="str">
            <v>PHP</v>
          </cell>
          <cell r="E5203">
            <v>0</v>
          </cell>
          <cell r="F5203" t="str">
            <v>PC</v>
          </cell>
          <cell r="G5203">
            <v>0</v>
          </cell>
        </row>
        <row r="5204">
          <cell r="B5204">
            <v>54929</v>
          </cell>
          <cell r="C5204">
            <v>6002</v>
          </cell>
          <cell r="D5204" t="str">
            <v>PHP</v>
          </cell>
          <cell r="E5204">
            <v>5</v>
          </cell>
          <cell r="F5204" t="str">
            <v>PC</v>
          </cell>
          <cell r="G5204">
            <v>0</v>
          </cell>
        </row>
        <row r="5205">
          <cell r="B5205">
            <v>54930</v>
          </cell>
          <cell r="C5205">
            <v>0</v>
          </cell>
          <cell r="D5205" t="str">
            <v>PHP</v>
          </cell>
          <cell r="E5205">
            <v>0</v>
          </cell>
          <cell r="F5205" t="str">
            <v>PC</v>
          </cell>
          <cell r="G5205">
            <v>0</v>
          </cell>
        </row>
        <row r="5206">
          <cell r="B5206">
            <v>54942</v>
          </cell>
          <cell r="C5206">
            <v>136034.70000000001</v>
          </cell>
          <cell r="D5206" t="str">
            <v>PHP</v>
          </cell>
          <cell r="E5206">
            <v>2</v>
          </cell>
          <cell r="F5206" t="str">
            <v>PC</v>
          </cell>
          <cell r="G5206">
            <v>0</v>
          </cell>
        </row>
        <row r="5207">
          <cell r="B5207">
            <v>54943</v>
          </cell>
          <cell r="C5207">
            <v>45093.03</v>
          </cell>
          <cell r="D5207" t="str">
            <v>PHP</v>
          </cell>
          <cell r="E5207">
            <v>2</v>
          </cell>
          <cell r="F5207" t="str">
            <v>PC</v>
          </cell>
          <cell r="G5207">
            <v>0</v>
          </cell>
        </row>
        <row r="5208">
          <cell r="B5208">
            <v>54944</v>
          </cell>
          <cell r="C5208">
            <v>0</v>
          </cell>
          <cell r="D5208" t="str">
            <v>PHP</v>
          </cell>
          <cell r="E5208">
            <v>0</v>
          </cell>
          <cell r="F5208" t="str">
            <v>PC</v>
          </cell>
          <cell r="G5208">
            <v>0</v>
          </cell>
        </row>
        <row r="5209">
          <cell r="B5209">
            <v>54945</v>
          </cell>
          <cell r="C5209">
            <v>6596.15</v>
          </cell>
          <cell r="D5209" t="str">
            <v>PHP</v>
          </cell>
          <cell r="E5209">
            <v>1</v>
          </cell>
          <cell r="F5209" t="str">
            <v>PC</v>
          </cell>
          <cell r="G5209">
            <v>0</v>
          </cell>
        </row>
        <row r="5210">
          <cell r="B5210">
            <v>54946</v>
          </cell>
          <cell r="C5210">
            <v>0</v>
          </cell>
          <cell r="D5210" t="str">
            <v>PHP</v>
          </cell>
          <cell r="E5210">
            <v>0</v>
          </cell>
          <cell r="F5210" t="str">
            <v>PC</v>
          </cell>
          <cell r="G5210">
            <v>0</v>
          </cell>
        </row>
        <row r="5211">
          <cell r="B5211">
            <v>54947</v>
          </cell>
          <cell r="C5211">
            <v>0</v>
          </cell>
          <cell r="D5211" t="str">
            <v>PHP</v>
          </cell>
          <cell r="E5211">
            <v>0</v>
          </cell>
          <cell r="F5211" t="str">
            <v>PC</v>
          </cell>
          <cell r="G5211">
            <v>0</v>
          </cell>
        </row>
        <row r="5212">
          <cell r="B5212">
            <v>54948</v>
          </cell>
          <cell r="C5212">
            <v>27273.86</v>
          </cell>
          <cell r="D5212" t="str">
            <v>PHP</v>
          </cell>
          <cell r="E5212">
            <v>6</v>
          </cell>
          <cell r="F5212" t="str">
            <v>PC</v>
          </cell>
          <cell r="G5212">
            <v>0</v>
          </cell>
        </row>
        <row r="5213">
          <cell r="B5213">
            <v>54950</v>
          </cell>
          <cell r="C5213">
            <v>13421.01</v>
          </cell>
          <cell r="D5213" t="str">
            <v>PHP</v>
          </cell>
          <cell r="E5213">
            <v>1</v>
          </cell>
          <cell r="F5213" t="str">
            <v>PC</v>
          </cell>
          <cell r="G5213">
            <v>0</v>
          </cell>
        </row>
        <row r="5214">
          <cell r="B5214">
            <v>54983</v>
          </cell>
          <cell r="C5214">
            <v>25827.55</v>
          </cell>
          <cell r="D5214" t="str">
            <v>PHP</v>
          </cell>
          <cell r="E5214">
            <v>1</v>
          </cell>
          <cell r="F5214" t="str">
            <v>PC</v>
          </cell>
          <cell r="G5214">
            <v>0</v>
          </cell>
        </row>
        <row r="5215">
          <cell r="B5215">
            <v>54984</v>
          </cell>
          <cell r="C5215">
            <v>21481.040000000001</v>
          </cell>
          <cell r="D5215" t="str">
            <v>PHP</v>
          </cell>
          <cell r="E5215">
            <v>1</v>
          </cell>
          <cell r="F5215" t="str">
            <v>PC</v>
          </cell>
          <cell r="G5215">
            <v>0</v>
          </cell>
        </row>
        <row r="5216">
          <cell r="B5216">
            <v>54985</v>
          </cell>
          <cell r="C5216">
            <v>6281.93</v>
          </cell>
          <cell r="D5216" t="str">
            <v>PHP</v>
          </cell>
          <cell r="E5216">
            <v>1</v>
          </cell>
          <cell r="F5216" t="str">
            <v>PC</v>
          </cell>
          <cell r="G5216">
            <v>0</v>
          </cell>
        </row>
        <row r="5217">
          <cell r="B5217">
            <v>54986</v>
          </cell>
          <cell r="C5217">
            <v>14138.42</v>
          </cell>
          <cell r="D5217" t="str">
            <v>PHP</v>
          </cell>
          <cell r="E5217">
            <v>1</v>
          </cell>
          <cell r="F5217" t="str">
            <v>PC</v>
          </cell>
          <cell r="G5217">
            <v>0</v>
          </cell>
        </row>
        <row r="5218">
          <cell r="B5218">
            <v>55010</v>
          </cell>
          <cell r="C5218">
            <v>0</v>
          </cell>
          <cell r="D5218" t="str">
            <v>PHP</v>
          </cell>
          <cell r="E5218">
            <v>0</v>
          </cell>
          <cell r="F5218" t="str">
            <v>PC</v>
          </cell>
          <cell r="G5218">
            <v>0</v>
          </cell>
        </row>
        <row r="5219">
          <cell r="B5219">
            <v>55082</v>
          </cell>
          <cell r="C5219">
            <v>13244.54</v>
          </cell>
          <cell r="D5219" t="str">
            <v>PHP</v>
          </cell>
          <cell r="E5219">
            <v>1</v>
          </cell>
          <cell r="F5219" t="str">
            <v>PC</v>
          </cell>
          <cell r="G5219">
            <v>0</v>
          </cell>
        </row>
        <row r="5220">
          <cell r="B5220">
            <v>55089</v>
          </cell>
          <cell r="C5220">
            <v>45312</v>
          </cell>
          <cell r="D5220" t="str">
            <v>PHP</v>
          </cell>
          <cell r="E5220">
            <v>1</v>
          </cell>
          <cell r="F5220" t="str">
            <v>PC</v>
          </cell>
          <cell r="G5220">
            <v>0</v>
          </cell>
        </row>
        <row r="5221">
          <cell r="B5221">
            <v>55091</v>
          </cell>
          <cell r="C5221">
            <v>60652.800000000003</v>
          </cell>
          <cell r="D5221" t="str">
            <v>PHP</v>
          </cell>
          <cell r="E5221">
            <v>1</v>
          </cell>
          <cell r="F5221" t="str">
            <v>PC</v>
          </cell>
          <cell r="G5221">
            <v>0</v>
          </cell>
        </row>
        <row r="5222">
          <cell r="B5222">
            <v>55103</v>
          </cell>
          <cell r="C5222">
            <v>0</v>
          </cell>
          <cell r="D5222" t="str">
            <v>PHP</v>
          </cell>
          <cell r="E5222">
            <v>0</v>
          </cell>
          <cell r="F5222" t="str">
            <v>PC</v>
          </cell>
          <cell r="G5222">
            <v>0</v>
          </cell>
        </row>
        <row r="5223">
          <cell r="B5223">
            <v>55147</v>
          </cell>
          <cell r="C5223">
            <v>47324.4</v>
          </cell>
          <cell r="D5223" t="str">
            <v>PHP</v>
          </cell>
          <cell r="E5223">
            <v>1</v>
          </cell>
          <cell r="F5223" t="str">
            <v>PC</v>
          </cell>
          <cell r="G5223">
            <v>0</v>
          </cell>
        </row>
        <row r="5224">
          <cell r="B5224">
            <v>55741</v>
          </cell>
          <cell r="C5224">
            <v>441614.18</v>
          </cell>
          <cell r="D5224" t="str">
            <v>PHP</v>
          </cell>
          <cell r="E5224">
            <v>2</v>
          </cell>
          <cell r="F5224" t="str">
            <v>PC</v>
          </cell>
          <cell r="G5224">
            <v>0</v>
          </cell>
        </row>
        <row r="5225">
          <cell r="B5225">
            <v>55885</v>
          </cell>
          <cell r="C5225">
            <v>82560</v>
          </cell>
          <cell r="D5225" t="str">
            <v>PHP</v>
          </cell>
          <cell r="E5225">
            <v>32</v>
          </cell>
          <cell r="F5225" t="str">
            <v>PC</v>
          </cell>
          <cell r="G5225">
            <v>0</v>
          </cell>
        </row>
        <row r="5226">
          <cell r="B5226">
            <v>56401</v>
          </cell>
          <cell r="C5226">
            <v>2124.79</v>
          </cell>
          <cell r="D5226" t="str">
            <v>PHP</v>
          </cell>
          <cell r="E5226">
            <v>1</v>
          </cell>
          <cell r="F5226" t="str">
            <v>PC</v>
          </cell>
          <cell r="G5226">
            <v>0</v>
          </cell>
        </row>
        <row r="5227">
          <cell r="B5227">
            <v>56402</v>
          </cell>
          <cell r="C5227">
            <v>30813.85</v>
          </cell>
          <cell r="D5227" t="str">
            <v>PHP</v>
          </cell>
          <cell r="E5227">
            <v>1</v>
          </cell>
          <cell r="F5227" t="str">
            <v>PC</v>
          </cell>
          <cell r="G5227">
            <v>0</v>
          </cell>
        </row>
        <row r="5228">
          <cell r="B5228">
            <v>56421</v>
          </cell>
          <cell r="C5228">
            <v>101252.04</v>
          </cell>
          <cell r="D5228" t="str">
            <v>PHP</v>
          </cell>
          <cell r="E5228">
            <v>1</v>
          </cell>
          <cell r="F5228" t="str">
            <v>PC</v>
          </cell>
          <cell r="G5228">
            <v>0</v>
          </cell>
        </row>
        <row r="5229">
          <cell r="B5229">
            <v>56422</v>
          </cell>
          <cell r="C5229">
            <v>80059.710000000006</v>
          </cell>
          <cell r="D5229" t="str">
            <v>PHP</v>
          </cell>
          <cell r="E5229">
            <v>1</v>
          </cell>
          <cell r="F5229" t="str">
            <v>PC</v>
          </cell>
          <cell r="G5229">
            <v>0</v>
          </cell>
        </row>
        <row r="5230">
          <cell r="B5230">
            <v>56423</v>
          </cell>
          <cell r="C5230">
            <v>2674.86</v>
          </cell>
          <cell r="D5230" t="str">
            <v>PHP</v>
          </cell>
          <cell r="E5230">
            <v>2</v>
          </cell>
          <cell r="F5230" t="str">
            <v>PC</v>
          </cell>
          <cell r="G5230">
            <v>0</v>
          </cell>
        </row>
        <row r="5231">
          <cell r="B5231">
            <v>56424</v>
          </cell>
          <cell r="C5231">
            <v>8744.44</v>
          </cell>
          <cell r="D5231" t="str">
            <v>PHP</v>
          </cell>
          <cell r="E5231">
            <v>4</v>
          </cell>
          <cell r="F5231" t="str">
            <v>PC</v>
          </cell>
          <cell r="G5231">
            <v>0</v>
          </cell>
        </row>
        <row r="5232">
          <cell r="B5232">
            <v>56425</v>
          </cell>
          <cell r="C5232">
            <v>2020.46</v>
          </cell>
          <cell r="D5232" t="str">
            <v>PHP</v>
          </cell>
          <cell r="E5232">
            <v>2</v>
          </cell>
          <cell r="F5232" t="str">
            <v>PC</v>
          </cell>
          <cell r="G5232">
            <v>0</v>
          </cell>
        </row>
        <row r="5233">
          <cell r="B5233">
            <v>56426</v>
          </cell>
          <cell r="C5233">
            <v>736.2</v>
          </cell>
          <cell r="D5233" t="str">
            <v>PHP</v>
          </cell>
          <cell r="E5233">
            <v>6</v>
          </cell>
          <cell r="F5233" t="str">
            <v>PC</v>
          </cell>
          <cell r="G5233">
            <v>0</v>
          </cell>
        </row>
        <row r="5234">
          <cell r="B5234">
            <v>56427</v>
          </cell>
          <cell r="C5234">
            <v>1128.8399999999999</v>
          </cell>
          <cell r="D5234" t="str">
            <v>PHP</v>
          </cell>
          <cell r="E5234">
            <v>2</v>
          </cell>
          <cell r="F5234" t="str">
            <v>PC</v>
          </cell>
          <cell r="G5234">
            <v>0</v>
          </cell>
        </row>
        <row r="5235">
          <cell r="B5235">
            <v>56428</v>
          </cell>
          <cell r="C5235">
            <v>609.41999999999996</v>
          </cell>
          <cell r="D5235" t="str">
            <v>PHP</v>
          </cell>
          <cell r="E5235">
            <v>2</v>
          </cell>
          <cell r="F5235" t="str">
            <v>PC</v>
          </cell>
          <cell r="G5235">
            <v>0</v>
          </cell>
        </row>
        <row r="5236">
          <cell r="B5236">
            <v>56429</v>
          </cell>
          <cell r="C5236">
            <v>0</v>
          </cell>
          <cell r="D5236" t="str">
            <v>PHP</v>
          </cell>
          <cell r="E5236">
            <v>0</v>
          </cell>
          <cell r="F5236" t="str">
            <v>PC</v>
          </cell>
          <cell r="G5236">
            <v>0</v>
          </cell>
        </row>
        <row r="5237">
          <cell r="B5237">
            <v>56430</v>
          </cell>
          <cell r="C5237">
            <v>57540.17</v>
          </cell>
          <cell r="D5237" t="str">
            <v>PHP</v>
          </cell>
          <cell r="E5237">
            <v>1</v>
          </cell>
          <cell r="F5237" t="str">
            <v>PC</v>
          </cell>
          <cell r="G5237">
            <v>0</v>
          </cell>
        </row>
        <row r="5238">
          <cell r="B5238">
            <v>56441</v>
          </cell>
          <cell r="C5238">
            <v>366.06</v>
          </cell>
          <cell r="D5238" t="str">
            <v>PHP</v>
          </cell>
          <cell r="E5238">
            <v>1</v>
          </cell>
          <cell r="F5238" t="str">
            <v>PC</v>
          </cell>
          <cell r="G5238">
            <v>0</v>
          </cell>
        </row>
        <row r="5239">
          <cell r="B5239">
            <v>56442</v>
          </cell>
          <cell r="C5239">
            <v>5267.92</v>
          </cell>
          <cell r="D5239" t="str">
            <v>PHP</v>
          </cell>
          <cell r="E5239">
            <v>2</v>
          </cell>
          <cell r="F5239" t="str">
            <v>PC</v>
          </cell>
          <cell r="G5239">
            <v>0</v>
          </cell>
        </row>
        <row r="5240">
          <cell r="B5240">
            <v>56443</v>
          </cell>
          <cell r="C5240">
            <v>486.72</v>
          </cell>
          <cell r="D5240" t="str">
            <v>PHP</v>
          </cell>
          <cell r="E5240">
            <v>2</v>
          </cell>
          <cell r="F5240" t="str">
            <v>PC</v>
          </cell>
          <cell r="G5240">
            <v>0</v>
          </cell>
        </row>
        <row r="5241">
          <cell r="B5241">
            <v>56444</v>
          </cell>
          <cell r="C5241">
            <v>609.41999999999996</v>
          </cell>
          <cell r="D5241" t="str">
            <v>PHP</v>
          </cell>
          <cell r="E5241">
            <v>2</v>
          </cell>
          <cell r="F5241" t="str">
            <v>PC</v>
          </cell>
          <cell r="G5241">
            <v>0</v>
          </cell>
        </row>
        <row r="5242">
          <cell r="B5242">
            <v>56445</v>
          </cell>
          <cell r="C5242">
            <v>18707.66</v>
          </cell>
          <cell r="D5242" t="str">
            <v>PHP</v>
          </cell>
          <cell r="E5242">
            <v>2</v>
          </cell>
          <cell r="F5242" t="str">
            <v>PC</v>
          </cell>
          <cell r="G5242">
            <v>0</v>
          </cell>
        </row>
        <row r="5243">
          <cell r="B5243">
            <v>56446</v>
          </cell>
          <cell r="C5243">
            <v>51112.73</v>
          </cell>
          <cell r="D5243" t="str">
            <v>PHP</v>
          </cell>
          <cell r="E5243">
            <v>1</v>
          </cell>
          <cell r="F5243" t="str">
            <v>PC</v>
          </cell>
          <cell r="G5243">
            <v>0</v>
          </cell>
        </row>
        <row r="5244">
          <cell r="B5244">
            <v>56447</v>
          </cell>
          <cell r="C5244">
            <v>7047.08</v>
          </cell>
          <cell r="D5244" t="str">
            <v>PHP</v>
          </cell>
          <cell r="E5244">
            <v>2</v>
          </cell>
          <cell r="F5244" t="str">
            <v>PC</v>
          </cell>
          <cell r="G5244">
            <v>0</v>
          </cell>
        </row>
        <row r="5245">
          <cell r="B5245">
            <v>56449</v>
          </cell>
          <cell r="C5245">
            <v>486.71</v>
          </cell>
          <cell r="D5245" t="str">
            <v>PHP</v>
          </cell>
          <cell r="E5245">
            <v>1</v>
          </cell>
          <cell r="F5245" t="str">
            <v>PC</v>
          </cell>
          <cell r="G5245">
            <v>0</v>
          </cell>
        </row>
        <row r="5246">
          <cell r="B5246">
            <v>56450</v>
          </cell>
          <cell r="C5246">
            <v>850.72</v>
          </cell>
          <cell r="D5246" t="str">
            <v>PHP</v>
          </cell>
          <cell r="E5246">
            <v>1</v>
          </cell>
          <cell r="F5246" t="str">
            <v>PC</v>
          </cell>
          <cell r="G5246">
            <v>0</v>
          </cell>
        </row>
        <row r="5247">
          <cell r="B5247">
            <v>56461</v>
          </cell>
          <cell r="C5247">
            <v>218683.07</v>
          </cell>
          <cell r="D5247" t="str">
            <v>PHP</v>
          </cell>
          <cell r="E5247">
            <v>1</v>
          </cell>
          <cell r="F5247" t="str">
            <v>PC</v>
          </cell>
          <cell r="G5247">
            <v>0</v>
          </cell>
        </row>
        <row r="5248">
          <cell r="B5248">
            <v>56462</v>
          </cell>
          <cell r="C5248">
            <v>45792.33</v>
          </cell>
          <cell r="D5248" t="str">
            <v>PHP</v>
          </cell>
          <cell r="E5248">
            <v>2</v>
          </cell>
          <cell r="F5248" t="str">
            <v>PC</v>
          </cell>
          <cell r="G5248">
            <v>0</v>
          </cell>
        </row>
        <row r="5249">
          <cell r="B5249">
            <v>56463</v>
          </cell>
          <cell r="C5249">
            <v>16985.22</v>
          </cell>
          <cell r="D5249" t="str">
            <v>PHP</v>
          </cell>
          <cell r="E5249">
            <v>2</v>
          </cell>
          <cell r="F5249" t="str">
            <v>PC</v>
          </cell>
          <cell r="G5249">
            <v>0</v>
          </cell>
        </row>
        <row r="5250">
          <cell r="B5250">
            <v>56464</v>
          </cell>
          <cell r="C5250">
            <v>4074.7</v>
          </cell>
          <cell r="D5250" t="str">
            <v>PHP</v>
          </cell>
          <cell r="E5250">
            <v>1</v>
          </cell>
          <cell r="F5250" t="str">
            <v>PC</v>
          </cell>
          <cell r="G5250">
            <v>0</v>
          </cell>
        </row>
        <row r="5251">
          <cell r="B5251">
            <v>56465</v>
          </cell>
          <cell r="C5251">
            <v>9871.9699999999993</v>
          </cell>
          <cell r="D5251" t="str">
            <v>PHP</v>
          </cell>
          <cell r="E5251">
            <v>4</v>
          </cell>
          <cell r="F5251" t="str">
            <v>PC</v>
          </cell>
          <cell r="G5251">
            <v>0</v>
          </cell>
        </row>
        <row r="5252">
          <cell r="B5252">
            <v>56466</v>
          </cell>
          <cell r="C5252">
            <v>1495.22</v>
          </cell>
          <cell r="D5252" t="str">
            <v>PHP</v>
          </cell>
          <cell r="E5252">
            <v>2</v>
          </cell>
          <cell r="F5252" t="str">
            <v>PC</v>
          </cell>
          <cell r="G5252">
            <v>0</v>
          </cell>
        </row>
        <row r="5253">
          <cell r="B5253">
            <v>56467</v>
          </cell>
          <cell r="C5253">
            <v>345.39</v>
          </cell>
          <cell r="D5253" t="str">
            <v>PHP</v>
          </cell>
          <cell r="E5253">
            <v>2</v>
          </cell>
          <cell r="F5253" t="str">
            <v>PC</v>
          </cell>
          <cell r="G5253">
            <v>0</v>
          </cell>
        </row>
        <row r="5254">
          <cell r="B5254">
            <v>56468</v>
          </cell>
          <cell r="C5254">
            <v>8590.98</v>
          </cell>
          <cell r="D5254" t="str">
            <v>PHP</v>
          </cell>
          <cell r="E5254">
            <v>10</v>
          </cell>
          <cell r="F5254" t="str">
            <v>PC</v>
          </cell>
          <cell r="G5254">
            <v>0</v>
          </cell>
        </row>
        <row r="5255">
          <cell r="B5255">
            <v>56469</v>
          </cell>
          <cell r="C5255">
            <v>0</v>
          </cell>
          <cell r="D5255" t="str">
            <v>PHP</v>
          </cell>
          <cell r="E5255">
            <v>0</v>
          </cell>
          <cell r="F5255" t="str">
            <v>PC</v>
          </cell>
          <cell r="G5255">
            <v>0</v>
          </cell>
        </row>
        <row r="5256">
          <cell r="B5256">
            <v>56470</v>
          </cell>
          <cell r="C5256">
            <v>465386.28</v>
          </cell>
          <cell r="D5256" t="str">
            <v>PHP</v>
          </cell>
          <cell r="E5256">
            <v>2</v>
          </cell>
          <cell r="F5256" t="str">
            <v>PC</v>
          </cell>
          <cell r="G5256">
            <v>0</v>
          </cell>
        </row>
        <row r="5257">
          <cell r="B5257">
            <v>56471</v>
          </cell>
          <cell r="C5257">
            <v>7576.68</v>
          </cell>
          <cell r="D5257" t="str">
            <v>PHP</v>
          </cell>
          <cell r="E5257">
            <v>2</v>
          </cell>
          <cell r="F5257" t="str">
            <v>PC</v>
          </cell>
          <cell r="G5257">
            <v>0</v>
          </cell>
        </row>
        <row r="5258">
          <cell r="B5258">
            <v>56481</v>
          </cell>
          <cell r="C5258">
            <v>1396.74</v>
          </cell>
          <cell r="D5258" t="str">
            <v>PHP</v>
          </cell>
          <cell r="E5258">
            <v>1</v>
          </cell>
          <cell r="F5258" t="str">
            <v>PC</v>
          </cell>
          <cell r="G5258">
            <v>0</v>
          </cell>
        </row>
        <row r="5259">
          <cell r="B5259">
            <v>56482</v>
          </cell>
          <cell r="C5259">
            <v>1756.66</v>
          </cell>
          <cell r="D5259" t="str">
            <v>PHP</v>
          </cell>
          <cell r="E5259">
            <v>1</v>
          </cell>
          <cell r="F5259" t="str">
            <v>PC</v>
          </cell>
          <cell r="G5259">
            <v>0</v>
          </cell>
        </row>
        <row r="5260">
          <cell r="B5260">
            <v>56483</v>
          </cell>
          <cell r="C5260">
            <v>4997.9799999999996</v>
          </cell>
          <cell r="D5260" t="str">
            <v>PHP</v>
          </cell>
          <cell r="E5260">
            <v>2</v>
          </cell>
          <cell r="F5260" t="str">
            <v>PC</v>
          </cell>
          <cell r="G5260">
            <v>0</v>
          </cell>
        </row>
        <row r="5261">
          <cell r="B5261">
            <v>56484</v>
          </cell>
          <cell r="C5261">
            <v>4981.62</v>
          </cell>
          <cell r="D5261" t="str">
            <v>PHP</v>
          </cell>
          <cell r="E5261">
            <v>2</v>
          </cell>
          <cell r="F5261" t="str">
            <v>PC</v>
          </cell>
          <cell r="G5261">
            <v>0</v>
          </cell>
        </row>
        <row r="5262">
          <cell r="B5262">
            <v>56485</v>
          </cell>
          <cell r="C5262">
            <v>0</v>
          </cell>
          <cell r="D5262" t="str">
            <v>PHP</v>
          </cell>
          <cell r="E5262">
            <v>0</v>
          </cell>
          <cell r="F5262" t="str">
            <v>PC</v>
          </cell>
          <cell r="G5262">
            <v>0</v>
          </cell>
        </row>
        <row r="5263">
          <cell r="B5263">
            <v>56486</v>
          </cell>
          <cell r="C5263">
            <v>693.26</v>
          </cell>
          <cell r="D5263" t="str">
            <v>PHP</v>
          </cell>
          <cell r="E5263">
            <v>1</v>
          </cell>
          <cell r="F5263" t="str">
            <v>PC</v>
          </cell>
          <cell r="G5263">
            <v>0</v>
          </cell>
        </row>
        <row r="5264">
          <cell r="B5264">
            <v>56487</v>
          </cell>
          <cell r="C5264">
            <v>0</v>
          </cell>
          <cell r="D5264" t="str">
            <v>PHP</v>
          </cell>
          <cell r="E5264">
            <v>0</v>
          </cell>
          <cell r="F5264" t="str">
            <v>PC</v>
          </cell>
          <cell r="G5264">
            <v>0</v>
          </cell>
        </row>
        <row r="5265">
          <cell r="B5265">
            <v>56488</v>
          </cell>
          <cell r="C5265">
            <v>67783.570000000007</v>
          </cell>
          <cell r="D5265" t="str">
            <v>PHP</v>
          </cell>
          <cell r="E5265">
            <v>1</v>
          </cell>
          <cell r="F5265" t="str">
            <v>PC</v>
          </cell>
          <cell r="G5265">
            <v>0</v>
          </cell>
        </row>
        <row r="5266">
          <cell r="B5266">
            <v>56489</v>
          </cell>
          <cell r="C5266">
            <v>1032.73</v>
          </cell>
          <cell r="D5266" t="str">
            <v>PHP</v>
          </cell>
          <cell r="E5266">
            <v>1</v>
          </cell>
          <cell r="F5266" t="str">
            <v>PC</v>
          </cell>
          <cell r="G5266">
            <v>0</v>
          </cell>
        </row>
        <row r="5267">
          <cell r="B5267">
            <v>56490</v>
          </cell>
          <cell r="C5267">
            <v>122.7</v>
          </cell>
          <cell r="D5267" t="str">
            <v>PHP</v>
          </cell>
          <cell r="E5267">
            <v>1</v>
          </cell>
          <cell r="F5267" t="str">
            <v>PC</v>
          </cell>
          <cell r="G5267">
            <v>0</v>
          </cell>
        </row>
        <row r="5268">
          <cell r="B5268">
            <v>56491</v>
          </cell>
          <cell r="C5268">
            <v>3791.43</v>
          </cell>
          <cell r="D5268" t="str">
            <v>PHP</v>
          </cell>
          <cell r="E5268">
            <v>1</v>
          </cell>
          <cell r="F5268" t="str">
            <v>PC</v>
          </cell>
          <cell r="G5268">
            <v>0</v>
          </cell>
        </row>
        <row r="5269">
          <cell r="B5269">
            <v>56492</v>
          </cell>
          <cell r="C5269">
            <v>1701.44</v>
          </cell>
          <cell r="D5269" t="str">
            <v>PHP</v>
          </cell>
          <cell r="E5269">
            <v>2</v>
          </cell>
          <cell r="F5269" t="str">
            <v>PC</v>
          </cell>
          <cell r="G5269">
            <v>0</v>
          </cell>
        </row>
        <row r="5270">
          <cell r="B5270">
            <v>56493</v>
          </cell>
          <cell r="C5270">
            <v>3693.27</v>
          </cell>
          <cell r="D5270" t="str">
            <v>PHP</v>
          </cell>
          <cell r="E5270">
            <v>1</v>
          </cell>
          <cell r="F5270" t="str">
            <v>PC</v>
          </cell>
          <cell r="G5270">
            <v>0</v>
          </cell>
        </row>
        <row r="5271">
          <cell r="B5271">
            <v>56494</v>
          </cell>
          <cell r="C5271">
            <v>75.67</v>
          </cell>
          <cell r="D5271" t="str">
            <v>PHP</v>
          </cell>
          <cell r="E5271">
            <v>1</v>
          </cell>
          <cell r="F5271" t="str">
            <v>PC</v>
          </cell>
          <cell r="G5271">
            <v>0</v>
          </cell>
        </row>
        <row r="5272">
          <cell r="B5272">
            <v>56500</v>
          </cell>
          <cell r="C5272">
            <v>0</v>
          </cell>
          <cell r="D5272" t="str">
            <v>PHP</v>
          </cell>
          <cell r="E5272">
            <v>0</v>
          </cell>
          <cell r="F5272" t="str">
            <v>PC</v>
          </cell>
          <cell r="G5272">
            <v>0</v>
          </cell>
        </row>
        <row r="5273">
          <cell r="B5273">
            <v>56523</v>
          </cell>
          <cell r="C5273">
            <v>0</v>
          </cell>
          <cell r="D5273" t="str">
            <v>PHP</v>
          </cell>
          <cell r="E5273">
            <v>0</v>
          </cell>
          <cell r="F5273" t="str">
            <v>PC</v>
          </cell>
          <cell r="G5273">
            <v>0</v>
          </cell>
        </row>
        <row r="5274">
          <cell r="B5274">
            <v>56592</v>
          </cell>
          <cell r="C5274">
            <v>84025.44</v>
          </cell>
          <cell r="D5274" t="str">
            <v>PHP</v>
          </cell>
          <cell r="E5274">
            <v>2</v>
          </cell>
          <cell r="F5274" t="str">
            <v>SET</v>
          </cell>
          <cell r="G5274">
            <v>0</v>
          </cell>
        </row>
        <row r="5275">
          <cell r="B5275">
            <v>56664</v>
          </cell>
          <cell r="C5275">
            <v>9250</v>
          </cell>
          <cell r="D5275" t="str">
            <v>PHP</v>
          </cell>
          <cell r="E5275">
            <v>50</v>
          </cell>
          <cell r="F5275" t="str">
            <v>FT</v>
          </cell>
          <cell r="G5275">
            <v>0</v>
          </cell>
        </row>
        <row r="5276">
          <cell r="B5276">
            <v>56784</v>
          </cell>
          <cell r="C5276">
            <v>0</v>
          </cell>
          <cell r="D5276" t="str">
            <v>PHP</v>
          </cell>
          <cell r="E5276">
            <v>0</v>
          </cell>
          <cell r="F5276" t="str">
            <v>LEN</v>
          </cell>
          <cell r="G5276">
            <v>0</v>
          </cell>
        </row>
        <row r="5277">
          <cell r="B5277">
            <v>56785</v>
          </cell>
          <cell r="C5277">
            <v>0</v>
          </cell>
          <cell r="D5277" t="str">
            <v>PHP</v>
          </cell>
          <cell r="E5277">
            <v>0</v>
          </cell>
          <cell r="F5277" t="str">
            <v>LEN</v>
          </cell>
          <cell r="G5277">
            <v>0</v>
          </cell>
        </row>
        <row r="5278">
          <cell r="B5278">
            <v>57421</v>
          </cell>
          <cell r="C5278">
            <v>0</v>
          </cell>
          <cell r="D5278" t="str">
            <v>PHP</v>
          </cell>
          <cell r="E5278">
            <v>0</v>
          </cell>
          <cell r="F5278" t="str">
            <v>PC</v>
          </cell>
          <cell r="G5278">
            <v>0</v>
          </cell>
        </row>
        <row r="5279">
          <cell r="B5279">
            <v>57422</v>
          </cell>
          <cell r="C5279">
            <v>0</v>
          </cell>
          <cell r="D5279" t="str">
            <v>PHP</v>
          </cell>
          <cell r="E5279">
            <v>0</v>
          </cell>
          <cell r="F5279" t="str">
            <v>PC</v>
          </cell>
          <cell r="G5279">
            <v>0</v>
          </cell>
        </row>
        <row r="5280">
          <cell r="B5280">
            <v>57423</v>
          </cell>
          <cell r="C5280">
            <v>0</v>
          </cell>
          <cell r="D5280" t="str">
            <v>PHP</v>
          </cell>
          <cell r="E5280">
            <v>0</v>
          </cell>
          <cell r="F5280" t="str">
            <v>PC</v>
          </cell>
          <cell r="G5280">
            <v>0</v>
          </cell>
        </row>
        <row r="5281">
          <cell r="B5281">
            <v>57424</v>
          </cell>
          <cell r="C5281">
            <v>0</v>
          </cell>
          <cell r="D5281" t="str">
            <v>PHP</v>
          </cell>
          <cell r="E5281">
            <v>0</v>
          </cell>
          <cell r="F5281" t="str">
            <v>KIT</v>
          </cell>
          <cell r="G5281">
            <v>0</v>
          </cell>
        </row>
        <row r="5282">
          <cell r="B5282">
            <v>57425</v>
          </cell>
          <cell r="C5282">
            <v>0</v>
          </cell>
          <cell r="D5282" t="str">
            <v>PHP</v>
          </cell>
          <cell r="E5282">
            <v>0</v>
          </cell>
          <cell r="F5282" t="str">
            <v>PC</v>
          </cell>
          <cell r="G5282">
            <v>0</v>
          </cell>
        </row>
        <row r="5283">
          <cell r="B5283">
            <v>57426</v>
          </cell>
          <cell r="C5283">
            <v>0</v>
          </cell>
          <cell r="D5283" t="str">
            <v>PHP</v>
          </cell>
          <cell r="E5283">
            <v>0</v>
          </cell>
          <cell r="F5283" t="str">
            <v>FT</v>
          </cell>
          <cell r="G5283">
            <v>0</v>
          </cell>
        </row>
        <row r="5284">
          <cell r="B5284">
            <v>57681</v>
          </cell>
          <cell r="C5284">
            <v>2176</v>
          </cell>
          <cell r="D5284" t="str">
            <v>PHP</v>
          </cell>
          <cell r="E5284">
            <v>4</v>
          </cell>
          <cell r="F5284" t="str">
            <v>PC</v>
          </cell>
          <cell r="G5284">
            <v>0</v>
          </cell>
        </row>
        <row r="5285">
          <cell r="B5285">
            <v>57682</v>
          </cell>
          <cell r="C5285">
            <v>860</v>
          </cell>
          <cell r="D5285" t="str">
            <v>PHP</v>
          </cell>
          <cell r="E5285">
            <v>4</v>
          </cell>
          <cell r="F5285" t="str">
            <v>PC</v>
          </cell>
          <cell r="G5285">
            <v>0</v>
          </cell>
        </row>
        <row r="5286">
          <cell r="B5286">
            <v>57683</v>
          </cell>
          <cell r="C5286">
            <v>4642.8599999999997</v>
          </cell>
          <cell r="D5286" t="str">
            <v>PHP</v>
          </cell>
          <cell r="E5286">
            <v>2</v>
          </cell>
          <cell r="F5286" t="str">
            <v>PC</v>
          </cell>
          <cell r="G5286">
            <v>0</v>
          </cell>
        </row>
        <row r="5287">
          <cell r="B5287">
            <v>57684</v>
          </cell>
          <cell r="C5287">
            <v>44176</v>
          </cell>
          <cell r="D5287" t="str">
            <v>PHP</v>
          </cell>
          <cell r="E5287">
            <v>4</v>
          </cell>
          <cell r="F5287" t="str">
            <v>PC</v>
          </cell>
          <cell r="G5287">
            <v>0</v>
          </cell>
        </row>
        <row r="5288">
          <cell r="B5288">
            <v>57685</v>
          </cell>
          <cell r="C5288">
            <v>0</v>
          </cell>
          <cell r="D5288" t="str">
            <v>PHP</v>
          </cell>
          <cell r="E5288">
            <v>0</v>
          </cell>
          <cell r="F5288" t="str">
            <v>PC</v>
          </cell>
          <cell r="G5288">
            <v>0</v>
          </cell>
        </row>
        <row r="5289">
          <cell r="B5289">
            <v>57688</v>
          </cell>
          <cell r="C5289">
            <v>0</v>
          </cell>
          <cell r="D5289" t="str">
            <v>PHP</v>
          </cell>
          <cell r="E5289">
            <v>0</v>
          </cell>
          <cell r="F5289" t="str">
            <v>PC</v>
          </cell>
          <cell r="G5289">
            <v>0</v>
          </cell>
        </row>
        <row r="5290">
          <cell r="B5290">
            <v>57689</v>
          </cell>
          <cell r="C5290">
            <v>1176</v>
          </cell>
          <cell r="D5290" t="str">
            <v>PHP</v>
          </cell>
          <cell r="E5290">
            <v>12</v>
          </cell>
          <cell r="F5290" t="str">
            <v>PC</v>
          </cell>
          <cell r="G5290">
            <v>0</v>
          </cell>
        </row>
        <row r="5291">
          <cell r="B5291">
            <v>57690</v>
          </cell>
          <cell r="C5291">
            <v>1188</v>
          </cell>
          <cell r="D5291" t="str">
            <v>PHP</v>
          </cell>
          <cell r="E5291">
            <v>4</v>
          </cell>
          <cell r="F5291" t="str">
            <v>PC</v>
          </cell>
          <cell r="G5291">
            <v>0</v>
          </cell>
        </row>
        <row r="5292">
          <cell r="B5292">
            <v>57691</v>
          </cell>
          <cell r="C5292">
            <v>680</v>
          </cell>
          <cell r="D5292" t="str">
            <v>PHP</v>
          </cell>
          <cell r="E5292">
            <v>4</v>
          </cell>
          <cell r="F5292" t="str">
            <v>PC</v>
          </cell>
          <cell r="G5292">
            <v>0</v>
          </cell>
        </row>
        <row r="5293">
          <cell r="B5293">
            <v>57692</v>
          </cell>
          <cell r="C5293">
            <v>30640</v>
          </cell>
          <cell r="D5293" t="str">
            <v>PHP</v>
          </cell>
          <cell r="E5293">
            <v>4</v>
          </cell>
          <cell r="F5293" t="str">
            <v>PC</v>
          </cell>
          <cell r="G5293">
            <v>0</v>
          </cell>
        </row>
        <row r="5294">
          <cell r="B5294">
            <v>57693</v>
          </cell>
          <cell r="C5294">
            <v>18772</v>
          </cell>
          <cell r="D5294" t="str">
            <v>PHP</v>
          </cell>
          <cell r="E5294">
            <v>4</v>
          </cell>
          <cell r="F5294" t="str">
            <v>PC</v>
          </cell>
          <cell r="G5294">
            <v>0</v>
          </cell>
        </row>
        <row r="5295">
          <cell r="B5295">
            <v>57694</v>
          </cell>
          <cell r="C5295">
            <v>74124</v>
          </cell>
          <cell r="D5295" t="str">
            <v>PHP</v>
          </cell>
          <cell r="E5295">
            <v>4</v>
          </cell>
          <cell r="F5295" t="str">
            <v>PC</v>
          </cell>
          <cell r="G5295">
            <v>0</v>
          </cell>
        </row>
        <row r="5296">
          <cell r="B5296">
            <v>57695</v>
          </cell>
          <cell r="C5296">
            <v>2320</v>
          </cell>
          <cell r="D5296" t="str">
            <v>PHP</v>
          </cell>
          <cell r="E5296">
            <v>4</v>
          </cell>
          <cell r="F5296" t="str">
            <v>PC</v>
          </cell>
          <cell r="G5296">
            <v>0</v>
          </cell>
        </row>
        <row r="5297">
          <cell r="B5297">
            <v>57696</v>
          </cell>
          <cell r="C5297">
            <v>756</v>
          </cell>
          <cell r="D5297" t="str">
            <v>PHP</v>
          </cell>
          <cell r="E5297">
            <v>4</v>
          </cell>
          <cell r="F5297" t="str">
            <v>PC</v>
          </cell>
          <cell r="G5297">
            <v>0</v>
          </cell>
        </row>
        <row r="5298">
          <cell r="B5298">
            <v>57697</v>
          </cell>
          <cell r="C5298">
            <v>920</v>
          </cell>
          <cell r="D5298" t="str">
            <v>PHP</v>
          </cell>
          <cell r="E5298">
            <v>4</v>
          </cell>
          <cell r="F5298" t="str">
            <v>PC</v>
          </cell>
          <cell r="G5298">
            <v>0</v>
          </cell>
        </row>
        <row r="5299">
          <cell r="B5299">
            <v>57698</v>
          </cell>
          <cell r="C5299">
            <v>12020</v>
          </cell>
          <cell r="D5299" t="str">
            <v>PHP</v>
          </cell>
          <cell r="E5299">
            <v>4</v>
          </cell>
          <cell r="F5299" t="str">
            <v>PC</v>
          </cell>
          <cell r="G5299">
            <v>0</v>
          </cell>
        </row>
        <row r="5300">
          <cell r="B5300">
            <v>57846</v>
          </cell>
          <cell r="C5300">
            <v>2412</v>
          </cell>
          <cell r="D5300" t="str">
            <v>PHP</v>
          </cell>
          <cell r="E5300">
            <v>2</v>
          </cell>
          <cell r="F5300" t="str">
            <v>PC</v>
          </cell>
          <cell r="G5300">
            <v>0</v>
          </cell>
        </row>
        <row r="5301">
          <cell r="B5301">
            <v>58681</v>
          </cell>
          <cell r="C5301">
            <v>406.3</v>
          </cell>
          <cell r="D5301" t="str">
            <v>PHP</v>
          </cell>
          <cell r="E5301">
            <v>6</v>
          </cell>
          <cell r="F5301" t="str">
            <v>PC</v>
          </cell>
          <cell r="G5301">
            <v>0</v>
          </cell>
        </row>
        <row r="5302">
          <cell r="B5302">
            <v>58921</v>
          </cell>
          <cell r="C5302">
            <v>0</v>
          </cell>
          <cell r="D5302" t="str">
            <v>PHP</v>
          </cell>
          <cell r="E5302">
            <v>0</v>
          </cell>
          <cell r="F5302" t="str">
            <v>PC</v>
          </cell>
          <cell r="G5302">
            <v>0</v>
          </cell>
        </row>
        <row r="5303">
          <cell r="B5303">
            <v>58941</v>
          </cell>
          <cell r="C5303">
            <v>10800</v>
          </cell>
          <cell r="D5303" t="str">
            <v>PHP</v>
          </cell>
          <cell r="E5303">
            <v>18</v>
          </cell>
          <cell r="F5303" t="str">
            <v>PC</v>
          </cell>
          <cell r="G5303">
            <v>0</v>
          </cell>
        </row>
        <row r="5304">
          <cell r="B5304">
            <v>58945</v>
          </cell>
          <cell r="C5304">
            <v>0</v>
          </cell>
          <cell r="D5304" t="str">
            <v>PHP</v>
          </cell>
          <cell r="E5304">
            <v>0</v>
          </cell>
          <cell r="F5304" t="str">
            <v>PC</v>
          </cell>
          <cell r="G5304">
            <v>0</v>
          </cell>
        </row>
        <row r="5305">
          <cell r="B5305">
            <v>58946</v>
          </cell>
          <cell r="C5305">
            <v>0</v>
          </cell>
          <cell r="D5305" t="str">
            <v>PHP</v>
          </cell>
          <cell r="E5305">
            <v>0</v>
          </cell>
          <cell r="F5305" t="str">
            <v>PC</v>
          </cell>
          <cell r="G5305">
            <v>0</v>
          </cell>
        </row>
        <row r="5306">
          <cell r="B5306">
            <v>58947</v>
          </cell>
          <cell r="C5306">
            <v>0</v>
          </cell>
          <cell r="D5306" t="str">
            <v>PHP</v>
          </cell>
          <cell r="E5306">
            <v>0</v>
          </cell>
          <cell r="F5306" t="str">
            <v>PC</v>
          </cell>
          <cell r="G5306">
            <v>0</v>
          </cell>
        </row>
        <row r="5307">
          <cell r="B5307">
            <v>58981</v>
          </cell>
          <cell r="C5307">
            <v>30808.44</v>
          </cell>
          <cell r="D5307" t="str">
            <v>PHP</v>
          </cell>
          <cell r="E5307">
            <v>58</v>
          </cell>
          <cell r="F5307" t="str">
            <v>PC</v>
          </cell>
          <cell r="G5307">
            <v>0</v>
          </cell>
        </row>
        <row r="5308">
          <cell r="B5308">
            <v>58982</v>
          </cell>
          <cell r="C5308">
            <v>0</v>
          </cell>
          <cell r="D5308" t="str">
            <v>PHP</v>
          </cell>
          <cell r="E5308">
            <v>0</v>
          </cell>
          <cell r="F5308" t="str">
            <v>PC</v>
          </cell>
          <cell r="G5308">
            <v>0</v>
          </cell>
        </row>
        <row r="5309">
          <cell r="B5309">
            <v>58983</v>
          </cell>
          <cell r="C5309">
            <v>0</v>
          </cell>
          <cell r="D5309" t="str">
            <v>PHP</v>
          </cell>
          <cell r="E5309">
            <v>0</v>
          </cell>
          <cell r="F5309" t="str">
            <v>PC</v>
          </cell>
          <cell r="G5309">
            <v>0</v>
          </cell>
        </row>
        <row r="5310">
          <cell r="B5310">
            <v>58984</v>
          </cell>
          <cell r="C5310">
            <v>65376</v>
          </cell>
          <cell r="D5310" t="str">
            <v>PHP</v>
          </cell>
          <cell r="E5310">
            <v>80</v>
          </cell>
          <cell r="F5310" t="str">
            <v>PC</v>
          </cell>
          <cell r="G5310">
            <v>0</v>
          </cell>
        </row>
        <row r="5311">
          <cell r="B5311">
            <v>58985</v>
          </cell>
          <cell r="C5311">
            <v>122580</v>
          </cell>
          <cell r="D5311" t="str">
            <v>PHP</v>
          </cell>
          <cell r="E5311">
            <v>100</v>
          </cell>
          <cell r="F5311" t="str">
            <v>PC</v>
          </cell>
          <cell r="G5311">
            <v>0</v>
          </cell>
        </row>
        <row r="5312">
          <cell r="B5312">
            <v>58986</v>
          </cell>
          <cell r="C5312">
            <v>0</v>
          </cell>
          <cell r="D5312" t="str">
            <v>PHP</v>
          </cell>
          <cell r="E5312">
            <v>0</v>
          </cell>
          <cell r="F5312" t="str">
            <v>PC</v>
          </cell>
          <cell r="G5312">
            <v>0</v>
          </cell>
        </row>
        <row r="5313">
          <cell r="B5313">
            <v>58988</v>
          </cell>
          <cell r="C5313">
            <v>203101.67</v>
          </cell>
          <cell r="D5313" t="str">
            <v>PHP</v>
          </cell>
          <cell r="E5313">
            <v>251</v>
          </cell>
          <cell r="F5313" t="str">
            <v>PC</v>
          </cell>
          <cell r="G5313">
            <v>0</v>
          </cell>
        </row>
        <row r="5314">
          <cell r="B5314">
            <v>58989</v>
          </cell>
          <cell r="C5314">
            <v>158134.72</v>
          </cell>
          <cell r="D5314" t="str">
            <v>PHP</v>
          </cell>
          <cell r="E5314">
            <v>152</v>
          </cell>
          <cell r="F5314" t="str">
            <v>PC</v>
          </cell>
          <cell r="G5314">
            <v>0</v>
          </cell>
        </row>
        <row r="5315">
          <cell r="B5315">
            <v>58990</v>
          </cell>
          <cell r="C5315">
            <v>0</v>
          </cell>
          <cell r="D5315" t="str">
            <v>PHP</v>
          </cell>
          <cell r="E5315">
            <v>0</v>
          </cell>
          <cell r="F5315" t="str">
            <v>PC</v>
          </cell>
          <cell r="G5315">
            <v>0</v>
          </cell>
        </row>
        <row r="5316">
          <cell r="B5316">
            <v>59181</v>
          </cell>
          <cell r="C5316">
            <v>732.21</v>
          </cell>
          <cell r="D5316" t="str">
            <v>PHP</v>
          </cell>
          <cell r="E5316">
            <v>12</v>
          </cell>
          <cell r="F5316" t="str">
            <v>PC</v>
          </cell>
          <cell r="G5316">
            <v>0</v>
          </cell>
        </row>
        <row r="5317">
          <cell r="B5317">
            <v>59184</v>
          </cell>
          <cell r="C5317">
            <v>0</v>
          </cell>
          <cell r="D5317" t="str">
            <v>PHP</v>
          </cell>
          <cell r="E5317">
            <v>0</v>
          </cell>
          <cell r="F5317" t="str">
            <v>PC</v>
          </cell>
          <cell r="G5317">
            <v>0</v>
          </cell>
        </row>
        <row r="5318">
          <cell r="B5318">
            <v>59185</v>
          </cell>
          <cell r="C5318">
            <v>61894.8</v>
          </cell>
          <cell r="D5318" t="str">
            <v>PHP</v>
          </cell>
          <cell r="E5318">
            <v>1</v>
          </cell>
          <cell r="F5318" t="str">
            <v>PC</v>
          </cell>
          <cell r="G5318">
            <v>0</v>
          </cell>
        </row>
        <row r="5319">
          <cell r="B5319">
            <v>59201</v>
          </cell>
          <cell r="C5319">
            <v>8498.8799999999992</v>
          </cell>
          <cell r="D5319" t="str">
            <v>PHP</v>
          </cell>
          <cell r="E5319">
            <v>16</v>
          </cell>
          <cell r="F5319" t="str">
            <v>PC</v>
          </cell>
          <cell r="G5319">
            <v>0</v>
          </cell>
        </row>
        <row r="5320">
          <cell r="B5320">
            <v>59202</v>
          </cell>
          <cell r="C5320">
            <v>0</v>
          </cell>
          <cell r="D5320" t="str">
            <v>PHP</v>
          </cell>
          <cell r="E5320">
            <v>0</v>
          </cell>
          <cell r="F5320" t="str">
            <v>PC</v>
          </cell>
          <cell r="G5320">
            <v>0</v>
          </cell>
        </row>
        <row r="5321">
          <cell r="B5321">
            <v>59203</v>
          </cell>
          <cell r="C5321">
            <v>0</v>
          </cell>
          <cell r="D5321" t="str">
            <v>PHP</v>
          </cell>
          <cell r="E5321">
            <v>0</v>
          </cell>
          <cell r="F5321" t="str">
            <v>PC</v>
          </cell>
          <cell r="G5321">
            <v>0</v>
          </cell>
        </row>
        <row r="5322">
          <cell r="B5322">
            <v>59204</v>
          </cell>
          <cell r="C5322">
            <v>61290</v>
          </cell>
          <cell r="D5322" t="str">
            <v>PHP</v>
          </cell>
          <cell r="E5322">
            <v>50</v>
          </cell>
          <cell r="F5322" t="str">
            <v>PC</v>
          </cell>
          <cell r="G5322">
            <v>0</v>
          </cell>
        </row>
        <row r="5323">
          <cell r="B5323">
            <v>59205</v>
          </cell>
          <cell r="C5323">
            <v>0</v>
          </cell>
          <cell r="D5323" t="str">
            <v>PHP</v>
          </cell>
          <cell r="E5323">
            <v>0</v>
          </cell>
          <cell r="F5323" t="str">
            <v>PC</v>
          </cell>
          <cell r="G5323">
            <v>0</v>
          </cell>
        </row>
        <row r="5324">
          <cell r="B5324">
            <v>59206</v>
          </cell>
          <cell r="C5324">
            <v>210384.2</v>
          </cell>
          <cell r="D5324" t="str">
            <v>PHP</v>
          </cell>
          <cell r="E5324">
            <v>260</v>
          </cell>
          <cell r="F5324" t="str">
            <v>PC</v>
          </cell>
          <cell r="G5324">
            <v>0</v>
          </cell>
        </row>
        <row r="5325">
          <cell r="B5325">
            <v>59207</v>
          </cell>
          <cell r="C5325">
            <v>29939.29</v>
          </cell>
          <cell r="D5325" t="str">
            <v>PHP</v>
          </cell>
          <cell r="E5325">
            <v>37</v>
          </cell>
          <cell r="F5325" t="str">
            <v>PC</v>
          </cell>
          <cell r="G5325">
            <v>0</v>
          </cell>
        </row>
        <row r="5326">
          <cell r="B5326">
            <v>59209</v>
          </cell>
          <cell r="C5326">
            <v>0</v>
          </cell>
          <cell r="D5326" t="str">
            <v>PHP</v>
          </cell>
          <cell r="E5326">
            <v>0</v>
          </cell>
          <cell r="F5326" t="str">
            <v>PC</v>
          </cell>
          <cell r="G5326">
            <v>0</v>
          </cell>
        </row>
        <row r="5327">
          <cell r="B5327">
            <v>59243</v>
          </cell>
          <cell r="C5327">
            <v>0</v>
          </cell>
          <cell r="D5327" t="str">
            <v>PHP</v>
          </cell>
          <cell r="E5327">
            <v>0</v>
          </cell>
          <cell r="F5327" t="str">
            <v>PC</v>
          </cell>
          <cell r="G5327">
            <v>0</v>
          </cell>
        </row>
        <row r="5328">
          <cell r="B5328">
            <v>59421</v>
          </cell>
          <cell r="C5328">
            <v>54516</v>
          </cell>
          <cell r="D5328" t="str">
            <v>PHP</v>
          </cell>
          <cell r="E5328">
            <v>20</v>
          </cell>
          <cell r="F5328" t="str">
            <v>PC</v>
          </cell>
          <cell r="G5328">
            <v>0</v>
          </cell>
        </row>
        <row r="5329">
          <cell r="B5329">
            <v>59422</v>
          </cell>
          <cell r="C5329">
            <v>0</v>
          </cell>
          <cell r="D5329" t="str">
            <v>PHP</v>
          </cell>
          <cell r="E5329">
            <v>0</v>
          </cell>
          <cell r="F5329" t="str">
            <v>PC</v>
          </cell>
          <cell r="G5329">
            <v>0</v>
          </cell>
        </row>
        <row r="5330">
          <cell r="B5330">
            <v>59423</v>
          </cell>
          <cell r="C5330">
            <v>27505.8</v>
          </cell>
          <cell r="D5330" t="str">
            <v>PHP</v>
          </cell>
          <cell r="E5330">
            <v>2</v>
          </cell>
          <cell r="F5330" t="str">
            <v>PC</v>
          </cell>
          <cell r="G5330">
            <v>0</v>
          </cell>
        </row>
        <row r="5331">
          <cell r="B5331">
            <v>59424</v>
          </cell>
          <cell r="C5331">
            <v>7434</v>
          </cell>
          <cell r="D5331" t="str">
            <v>PHP</v>
          </cell>
          <cell r="E5331">
            <v>2</v>
          </cell>
          <cell r="F5331" t="str">
            <v>PC</v>
          </cell>
          <cell r="G5331">
            <v>0</v>
          </cell>
        </row>
        <row r="5332">
          <cell r="B5332">
            <v>59425</v>
          </cell>
          <cell r="C5332">
            <v>0</v>
          </cell>
          <cell r="D5332" t="str">
            <v>PHP</v>
          </cell>
          <cell r="E5332">
            <v>0</v>
          </cell>
          <cell r="F5332" t="str">
            <v>PC</v>
          </cell>
          <cell r="G5332">
            <v>0</v>
          </cell>
        </row>
        <row r="5333">
          <cell r="B5333">
            <v>59641</v>
          </cell>
          <cell r="C5333">
            <v>0</v>
          </cell>
          <cell r="D5333" t="str">
            <v>PHP</v>
          </cell>
          <cell r="E5333">
            <v>0</v>
          </cell>
          <cell r="F5333" t="str">
            <v>PC</v>
          </cell>
          <cell r="G5333">
            <v>0</v>
          </cell>
        </row>
        <row r="5334">
          <cell r="B5334">
            <v>60003</v>
          </cell>
          <cell r="C5334">
            <v>0</v>
          </cell>
          <cell r="D5334" t="str">
            <v>PHP</v>
          </cell>
          <cell r="E5334">
            <v>0</v>
          </cell>
          <cell r="F5334" t="str">
            <v>PC</v>
          </cell>
          <cell r="G5334">
            <v>0</v>
          </cell>
        </row>
        <row r="5335">
          <cell r="B5335">
            <v>60004</v>
          </cell>
          <cell r="C5335">
            <v>0</v>
          </cell>
          <cell r="D5335" t="str">
            <v>PHP</v>
          </cell>
          <cell r="E5335">
            <v>0</v>
          </cell>
          <cell r="F5335" t="str">
            <v>PC</v>
          </cell>
          <cell r="G5335">
            <v>0</v>
          </cell>
        </row>
        <row r="5336">
          <cell r="B5336">
            <v>61082</v>
          </cell>
          <cell r="C5336">
            <v>159763.18</v>
          </cell>
          <cell r="D5336" t="str">
            <v>PHP</v>
          </cell>
          <cell r="E5336">
            <v>39</v>
          </cell>
          <cell r="F5336" t="str">
            <v>PC</v>
          </cell>
          <cell r="G5336">
            <v>0</v>
          </cell>
        </row>
        <row r="5337">
          <cell r="B5337">
            <v>62544</v>
          </cell>
          <cell r="C5337">
            <v>0</v>
          </cell>
          <cell r="D5337" t="str">
            <v>PHP</v>
          </cell>
          <cell r="E5337">
            <v>0</v>
          </cell>
          <cell r="F5337" t="str">
            <v>PC</v>
          </cell>
          <cell r="G5337">
            <v>0</v>
          </cell>
        </row>
        <row r="5338">
          <cell r="B5338">
            <v>62545</v>
          </cell>
          <cell r="C5338">
            <v>0</v>
          </cell>
          <cell r="D5338" t="str">
            <v>PHP</v>
          </cell>
          <cell r="E5338">
            <v>0</v>
          </cell>
          <cell r="F5338" t="str">
            <v>PC</v>
          </cell>
          <cell r="G5338">
            <v>0</v>
          </cell>
        </row>
        <row r="5339">
          <cell r="B5339">
            <v>62551</v>
          </cell>
          <cell r="C5339">
            <v>0</v>
          </cell>
          <cell r="D5339" t="str">
            <v>PHP</v>
          </cell>
          <cell r="E5339">
            <v>0</v>
          </cell>
          <cell r="F5339" t="str">
            <v>PC</v>
          </cell>
          <cell r="G5339">
            <v>0</v>
          </cell>
        </row>
        <row r="5340">
          <cell r="B5340">
            <v>62553</v>
          </cell>
          <cell r="C5340">
            <v>0</v>
          </cell>
          <cell r="D5340" t="str">
            <v>PHP</v>
          </cell>
          <cell r="E5340">
            <v>0</v>
          </cell>
          <cell r="F5340" t="str">
            <v>PC</v>
          </cell>
          <cell r="G5340">
            <v>0</v>
          </cell>
        </row>
        <row r="5341">
          <cell r="B5341">
            <v>64601</v>
          </cell>
          <cell r="C5341">
            <v>0</v>
          </cell>
          <cell r="D5341" t="str">
            <v>PHP</v>
          </cell>
          <cell r="E5341">
            <v>0</v>
          </cell>
          <cell r="F5341" t="str">
            <v>PC</v>
          </cell>
          <cell r="G5341">
            <v>0</v>
          </cell>
        </row>
        <row r="5342">
          <cell r="B5342">
            <v>64741</v>
          </cell>
          <cell r="C5342">
            <v>349312.95</v>
          </cell>
          <cell r="D5342" t="str">
            <v>PHP</v>
          </cell>
          <cell r="E5342">
            <v>12</v>
          </cell>
          <cell r="F5342" t="str">
            <v>PC</v>
          </cell>
          <cell r="G5342">
            <v>0</v>
          </cell>
        </row>
        <row r="5343">
          <cell r="B5343">
            <v>65121</v>
          </cell>
          <cell r="C5343">
            <v>318064.15000000002</v>
          </cell>
          <cell r="D5343" t="str">
            <v>PHP</v>
          </cell>
          <cell r="E5343">
            <v>36</v>
          </cell>
          <cell r="F5343" t="str">
            <v>PC</v>
          </cell>
          <cell r="G5343">
            <v>0</v>
          </cell>
        </row>
        <row r="5344">
          <cell r="B5344">
            <v>65363</v>
          </cell>
          <cell r="C5344">
            <v>25400</v>
          </cell>
          <cell r="D5344" t="str">
            <v>PHP</v>
          </cell>
          <cell r="E5344">
            <v>20</v>
          </cell>
          <cell r="F5344" t="str">
            <v>M</v>
          </cell>
          <cell r="G5344">
            <v>0</v>
          </cell>
        </row>
        <row r="5345">
          <cell r="B5345">
            <v>65981</v>
          </cell>
          <cell r="C5345">
            <v>0</v>
          </cell>
          <cell r="D5345" t="str">
            <v>PHP</v>
          </cell>
          <cell r="E5345">
            <v>0</v>
          </cell>
          <cell r="F5345" t="str">
            <v>PC</v>
          </cell>
          <cell r="G5345">
            <v>0</v>
          </cell>
        </row>
        <row r="5346">
          <cell r="B5346">
            <v>66001</v>
          </cell>
          <cell r="C5346">
            <v>11202.84</v>
          </cell>
          <cell r="D5346" t="str">
            <v>PHP</v>
          </cell>
          <cell r="E5346">
            <v>1</v>
          </cell>
          <cell r="F5346" t="str">
            <v>PC</v>
          </cell>
          <cell r="G5346">
            <v>0</v>
          </cell>
        </row>
        <row r="5347">
          <cell r="B5347">
            <v>66002</v>
          </cell>
          <cell r="C5347">
            <v>11649.33</v>
          </cell>
          <cell r="D5347" t="str">
            <v>PHP</v>
          </cell>
          <cell r="E5347">
            <v>1</v>
          </cell>
          <cell r="F5347" t="str">
            <v>PC</v>
          </cell>
          <cell r="G5347">
            <v>0</v>
          </cell>
        </row>
        <row r="5348">
          <cell r="B5348">
            <v>66003</v>
          </cell>
          <cell r="C5348">
            <v>19767.330000000002</v>
          </cell>
          <cell r="D5348" t="str">
            <v>PHP</v>
          </cell>
          <cell r="E5348">
            <v>1</v>
          </cell>
          <cell r="F5348" t="str">
            <v>PC</v>
          </cell>
          <cell r="G5348">
            <v>0</v>
          </cell>
        </row>
        <row r="5349">
          <cell r="B5349">
            <v>66004</v>
          </cell>
          <cell r="C5349">
            <v>11202.84</v>
          </cell>
          <cell r="D5349" t="str">
            <v>PHP</v>
          </cell>
          <cell r="E5349">
            <v>1</v>
          </cell>
          <cell r="F5349" t="str">
            <v>PC</v>
          </cell>
          <cell r="G5349">
            <v>0</v>
          </cell>
        </row>
        <row r="5350">
          <cell r="B5350">
            <v>66121</v>
          </cell>
          <cell r="C5350">
            <v>25180.76</v>
          </cell>
          <cell r="D5350" t="str">
            <v>PHP</v>
          </cell>
          <cell r="E5350">
            <v>2</v>
          </cell>
          <cell r="F5350" t="str">
            <v>PC</v>
          </cell>
          <cell r="G5350">
            <v>0</v>
          </cell>
        </row>
        <row r="5351">
          <cell r="B5351">
            <v>66122</v>
          </cell>
          <cell r="C5351">
            <v>16008.96</v>
          </cell>
          <cell r="D5351" t="str">
            <v>PHP</v>
          </cell>
          <cell r="E5351">
            <v>2</v>
          </cell>
          <cell r="F5351" t="str">
            <v>PC</v>
          </cell>
          <cell r="G5351">
            <v>0</v>
          </cell>
        </row>
        <row r="5352">
          <cell r="B5352">
            <v>66123</v>
          </cell>
          <cell r="C5352">
            <v>583.66</v>
          </cell>
          <cell r="D5352" t="str">
            <v>PHP</v>
          </cell>
          <cell r="E5352">
            <v>2</v>
          </cell>
          <cell r="F5352" t="str">
            <v>PC</v>
          </cell>
          <cell r="G5352">
            <v>0</v>
          </cell>
        </row>
        <row r="5353">
          <cell r="B5353">
            <v>66124</v>
          </cell>
          <cell r="C5353">
            <v>833.8</v>
          </cell>
          <cell r="D5353" t="str">
            <v>PHP</v>
          </cell>
          <cell r="E5353">
            <v>2</v>
          </cell>
          <cell r="F5353" t="str">
            <v>PC</v>
          </cell>
          <cell r="G5353">
            <v>0</v>
          </cell>
        </row>
        <row r="5354">
          <cell r="B5354">
            <v>66125</v>
          </cell>
          <cell r="C5354">
            <v>3335.2</v>
          </cell>
          <cell r="D5354" t="str">
            <v>PHP</v>
          </cell>
          <cell r="E5354">
            <v>20</v>
          </cell>
          <cell r="F5354" t="str">
            <v>PC</v>
          </cell>
          <cell r="G5354">
            <v>0</v>
          </cell>
        </row>
        <row r="5355">
          <cell r="B5355">
            <v>66126</v>
          </cell>
          <cell r="C5355">
            <v>26764.98</v>
          </cell>
          <cell r="D5355" t="str">
            <v>PHP</v>
          </cell>
          <cell r="E5355">
            <v>2</v>
          </cell>
          <cell r="F5355" t="str">
            <v>PC</v>
          </cell>
          <cell r="G5355">
            <v>0</v>
          </cell>
        </row>
        <row r="5356">
          <cell r="B5356">
            <v>66127</v>
          </cell>
          <cell r="C5356">
            <v>57365.440000000002</v>
          </cell>
          <cell r="D5356" t="str">
            <v>PHP</v>
          </cell>
          <cell r="E5356">
            <v>2</v>
          </cell>
          <cell r="F5356" t="str">
            <v>PC</v>
          </cell>
          <cell r="G5356">
            <v>0</v>
          </cell>
        </row>
        <row r="5357">
          <cell r="B5357">
            <v>66128</v>
          </cell>
          <cell r="C5357">
            <v>57365.440000000002</v>
          </cell>
          <cell r="D5357" t="str">
            <v>PHP</v>
          </cell>
          <cell r="E5357">
            <v>2</v>
          </cell>
          <cell r="F5357" t="str">
            <v>PC</v>
          </cell>
          <cell r="G5357">
            <v>0</v>
          </cell>
        </row>
        <row r="5358">
          <cell r="B5358">
            <v>66129</v>
          </cell>
          <cell r="C5358">
            <v>12923.9</v>
          </cell>
          <cell r="D5358" t="str">
            <v>PHP</v>
          </cell>
          <cell r="E5358">
            <v>10</v>
          </cell>
          <cell r="F5358" t="str">
            <v>PC</v>
          </cell>
          <cell r="G5358">
            <v>0</v>
          </cell>
        </row>
        <row r="5359">
          <cell r="B5359">
            <v>66561</v>
          </cell>
          <cell r="C5359">
            <v>242412.06</v>
          </cell>
          <cell r="D5359" t="str">
            <v>PHP</v>
          </cell>
          <cell r="E5359">
            <v>1</v>
          </cell>
          <cell r="F5359" t="str">
            <v>PC</v>
          </cell>
          <cell r="G5359">
            <v>0</v>
          </cell>
        </row>
        <row r="5360">
          <cell r="B5360">
            <v>67441</v>
          </cell>
          <cell r="C5360">
            <v>0</v>
          </cell>
          <cell r="D5360" t="str">
            <v>PHP</v>
          </cell>
          <cell r="E5360">
            <v>0</v>
          </cell>
          <cell r="F5360" t="str">
            <v>PC</v>
          </cell>
          <cell r="G5360">
            <v>0</v>
          </cell>
        </row>
        <row r="5361">
          <cell r="B5361">
            <v>67442</v>
          </cell>
          <cell r="C5361">
            <v>0</v>
          </cell>
          <cell r="D5361" t="str">
            <v>PHP</v>
          </cell>
          <cell r="E5361">
            <v>0</v>
          </cell>
          <cell r="F5361" t="str">
            <v>PC</v>
          </cell>
          <cell r="G5361">
            <v>0</v>
          </cell>
        </row>
        <row r="5362">
          <cell r="B5362">
            <v>67981</v>
          </cell>
          <cell r="C5362">
            <v>25384.71</v>
          </cell>
          <cell r="D5362" t="str">
            <v>PHP</v>
          </cell>
          <cell r="E5362">
            <v>3</v>
          </cell>
          <cell r="F5362" t="str">
            <v>PC</v>
          </cell>
          <cell r="G5362">
            <v>0</v>
          </cell>
        </row>
        <row r="5363">
          <cell r="B5363">
            <v>67982</v>
          </cell>
          <cell r="C5363">
            <v>10168.549999999999</v>
          </cell>
          <cell r="D5363" t="str">
            <v>PHP</v>
          </cell>
          <cell r="E5363">
            <v>1</v>
          </cell>
          <cell r="F5363" t="str">
            <v>PC</v>
          </cell>
          <cell r="G5363">
            <v>0</v>
          </cell>
        </row>
        <row r="5364">
          <cell r="B5364">
            <v>67983</v>
          </cell>
          <cell r="C5364">
            <v>44452.7</v>
          </cell>
          <cell r="D5364" t="str">
            <v>PHP</v>
          </cell>
          <cell r="E5364">
            <v>1</v>
          </cell>
          <cell r="F5364" t="str">
            <v>PC</v>
          </cell>
          <cell r="G5364">
            <v>0</v>
          </cell>
        </row>
        <row r="5365">
          <cell r="B5365">
            <v>67984</v>
          </cell>
          <cell r="C5365">
            <v>387221.3</v>
          </cell>
          <cell r="D5365" t="str">
            <v>PHP</v>
          </cell>
          <cell r="E5365">
            <v>6</v>
          </cell>
          <cell r="F5365" t="str">
            <v>PC</v>
          </cell>
          <cell r="G5365">
            <v>0</v>
          </cell>
        </row>
        <row r="5366">
          <cell r="B5366">
            <v>67985</v>
          </cell>
          <cell r="C5366">
            <v>0</v>
          </cell>
          <cell r="D5366" t="str">
            <v>PHP</v>
          </cell>
          <cell r="E5366">
            <v>0</v>
          </cell>
          <cell r="F5366" t="str">
            <v>PC</v>
          </cell>
          <cell r="G5366">
            <v>0</v>
          </cell>
        </row>
        <row r="5367">
          <cell r="B5367">
            <v>67986</v>
          </cell>
          <cell r="C5367">
            <v>265039.03000000003</v>
          </cell>
          <cell r="D5367" t="str">
            <v>PHP</v>
          </cell>
          <cell r="E5367">
            <v>8</v>
          </cell>
          <cell r="F5367" t="str">
            <v>PC</v>
          </cell>
          <cell r="G5367">
            <v>0</v>
          </cell>
        </row>
        <row r="5368">
          <cell r="B5368">
            <v>67987</v>
          </cell>
          <cell r="C5368">
            <v>16923.14</v>
          </cell>
          <cell r="D5368" t="str">
            <v>PHP</v>
          </cell>
          <cell r="E5368">
            <v>2</v>
          </cell>
          <cell r="F5368" t="str">
            <v>PC</v>
          </cell>
          <cell r="G5368">
            <v>0</v>
          </cell>
        </row>
        <row r="5369">
          <cell r="B5369">
            <v>68041</v>
          </cell>
          <cell r="C5369">
            <v>71480</v>
          </cell>
          <cell r="D5369" t="str">
            <v>PHP</v>
          </cell>
          <cell r="E5369">
            <v>8</v>
          </cell>
          <cell r="F5369" t="str">
            <v>PC</v>
          </cell>
          <cell r="G5369">
            <v>0</v>
          </cell>
        </row>
        <row r="5370">
          <cell r="B5370">
            <v>68801</v>
          </cell>
          <cell r="C5370">
            <v>917345.88</v>
          </cell>
          <cell r="D5370" t="str">
            <v>PHP</v>
          </cell>
          <cell r="E5370">
            <v>2</v>
          </cell>
          <cell r="F5370" t="str">
            <v>PC</v>
          </cell>
          <cell r="G5370">
            <v>0</v>
          </cell>
        </row>
        <row r="5371">
          <cell r="B5371">
            <v>68802</v>
          </cell>
          <cell r="C5371">
            <v>0</v>
          </cell>
          <cell r="D5371" t="str">
            <v>PHP</v>
          </cell>
          <cell r="E5371">
            <v>0</v>
          </cell>
          <cell r="F5371" t="str">
            <v>PC</v>
          </cell>
          <cell r="G5371">
            <v>0</v>
          </cell>
        </row>
        <row r="5372">
          <cell r="B5372">
            <v>68821</v>
          </cell>
          <cell r="C5372">
            <v>69594.91</v>
          </cell>
          <cell r="D5372" t="str">
            <v>PHP</v>
          </cell>
          <cell r="E5372">
            <v>1</v>
          </cell>
          <cell r="F5372" t="str">
            <v>PC</v>
          </cell>
          <cell r="G5372">
            <v>0</v>
          </cell>
        </row>
        <row r="5373">
          <cell r="B5373">
            <v>68881</v>
          </cell>
          <cell r="C5373">
            <v>39800</v>
          </cell>
          <cell r="D5373" t="str">
            <v>PHP</v>
          </cell>
          <cell r="E5373">
            <v>10</v>
          </cell>
          <cell r="F5373" t="str">
            <v>PC</v>
          </cell>
          <cell r="G5373">
            <v>0</v>
          </cell>
        </row>
        <row r="5374">
          <cell r="B5374">
            <v>69202</v>
          </cell>
          <cell r="C5374">
            <v>36000</v>
          </cell>
          <cell r="D5374" t="str">
            <v>PHP</v>
          </cell>
          <cell r="E5374">
            <v>30</v>
          </cell>
          <cell r="F5374" t="str">
            <v>PC</v>
          </cell>
          <cell r="G5374">
            <v>0</v>
          </cell>
        </row>
        <row r="5375">
          <cell r="B5375">
            <v>69261</v>
          </cell>
          <cell r="C5375">
            <v>0</v>
          </cell>
          <cell r="D5375" t="str">
            <v>PHP</v>
          </cell>
          <cell r="E5375">
            <v>0</v>
          </cell>
          <cell r="F5375" t="str">
            <v>PC</v>
          </cell>
          <cell r="G5375">
            <v>0</v>
          </cell>
        </row>
        <row r="5376">
          <cell r="B5376">
            <v>69321</v>
          </cell>
          <cell r="C5376">
            <v>391157.55</v>
          </cell>
          <cell r="D5376" t="str">
            <v>PHP</v>
          </cell>
          <cell r="E5376">
            <v>1</v>
          </cell>
          <cell r="F5376" t="str">
            <v>SET</v>
          </cell>
          <cell r="G5376">
            <v>0</v>
          </cell>
        </row>
        <row r="5377">
          <cell r="B5377">
            <v>69621</v>
          </cell>
          <cell r="C5377">
            <v>0</v>
          </cell>
          <cell r="D5377" t="str">
            <v>PHP</v>
          </cell>
          <cell r="E5377">
            <v>0</v>
          </cell>
          <cell r="F5377" t="str">
            <v>SET</v>
          </cell>
          <cell r="G5377">
            <v>0</v>
          </cell>
        </row>
        <row r="5378">
          <cell r="B5378">
            <v>69801</v>
          </cell>
          <cell r="C5378">
            <v>931.24</v>
          </cell>
          <cell r="D5378" t="str">
            <v>PHP</v>
          </cell>
          <cell r="E5378">
            <v>22</v>
          </cell>
          <cell r="F5378" t="str">
            <v>PC</v>
          </cell>
          <cell r="G5378">
            <v>0</v>
          </cell>
        </row>
        <row r="5379">
          <cell r="B5379">
            <v>69866</v>
          </cell>
          <cell r="C5379">
            <v>160</v>
          </cell>
          <cell r="D5379" t="str">
            <v>PHP</v>
          </cell>
          <cell r="E5379">
            <v>32</v>
          </cell>
          <cell r="F5379" t="str">
            <v>PC</v>
          </cell>
          <cell r="G5379">
            <v>0</v>
          </cell>
        </row>
        <row r="5380">
          <cell r="B5380">
            <v>69869</v>
          </cell>
          <cell r="C5380">
            <v>225</v>
          </cell>
          <cell r="D5380" t="str">
            <v>PHP</v>
          </cell>
          <cell r="E5380">
            <v>50</v>
          </cell>
          <cell r="F5380" t="str">
            <v>PC</v>
          </cell>
          <cell r="G5380">
            <v>0</v>
          </cell>
        </row>
        <row r="5381">
          <cell r="B5381">
            <v>70050</v>
          </cell>
          <cell r="C5381">
            <v>225</v>
          </cell>
          <cell r="D5381" t="str">
            <v>PHP</v>
          </cell>
          <cell r="E5381">
            <v>50</v>
          </cell>
          <cell r="F5381" t="str">
            <v>PC</v>
          </cell>
          <cell r="G5381">
            <v>0</v>
          </cell>
        </row>
        <row r="5382">
          <cell r="B5382">
            <v>70783</v>
          </cell>
          <cell r="C5382">
            <v>208977.61</v>
          </cell>
          <cell r="D5382" t="str">
            <v>PHP</v>
          </cell>
          <cell r="E5382">
            <v>25</v>
          </cell>
          <cell r="F5382" t="str">
            <v>PL</v>
          </cell>
          <cell r="G5382">
            <v>0</v>
          </cell>
        </row>
        <row r="5383">
          <cell r="B5383">
            <v>71424</v>
          </cell>
          <cell r="C5383">
            <v>0</v>
          </cell>
          <cell r="D5383" t="str">
            <v>PHP</v>
          </cell>
          <cell r="E5383">
            <v>0</v>
          </cell>
          <cell r="F5383" t="str">
            <v>PC</v>
          </cell>
          <cell r="G5383">
            <v>0</v>
          </cell>
        </row>
        <row r="5384">
          <cell r="B5384">
            <v>71456</v>
          </cell>
          <cell r="C5384">
            <v>1393.67</v>
          </cell>
          <cell r="D5384" t="str">
            <v>PHP</v>
          </cell>
          <cell r="E5384">
            <v>6</v>
          </cell>
          <cell r="F5384" t="str">
            <v>PC</v>
          </cell>
          <cell r="G5384">
            <v>0</v>
          </cell>
        </row>
        <row r="5385">
          <cell r="B5385">
            <v>72153</v>
          </cell>
          <cell r="C5385">
            <v>0</v>
          </cell>
          <cell r="D5385" t="str">
            <v>PHP</v>
          </cell>
          <cell r="E5385">
            <v>0</v>
          </cell>
          <cell r="F5385" t="str">
            <v>LOT</v>
          </cell>
          <cell r="G5385">
            <v>0</v>
          </cell>
        </row>
        <row r="5386">
          <cell r="B5386">
            <v>72609</v>
          </cell>
          <cell r="C5386">
            <v>0</v>
          </cell>
          <cell r="D5386" t="str">
            <v>PHP</v>
          </cell>
          <cell r="E5386">
            <v>0</v>
          </cell>
          <cell r="F5386" t="str">
            <v>LOT</v>
          </cell>
          <cell r="G5386">
            <v>0</v>
          </cell>
        </row>
        <row r="5387">
          <cell r="B5387">
            <v>72847</v>
          </cell>
          <cell r="C5387">
            <v>0</v>
          </cell>
          <cell r="D5387" t="str">
            <v>PHP</v>
          </cell>
          <cell r="E5387">
            <v>0</v>
          </cell>
          <cell r="F5387" t="str">
            <v>LOT</v>
          </cell>
          <cell r="G5387">
            <v>0</v>
          </cell>
        </row>
        <row r="5388">
          <cell r="B5388">
            <v>73000</v>
          </cell>
          <cell r="C5388">
            <v>0</v>
          </cell>
          <cell r="D5388" t="str">
            <v>PHP</v>
          </cell>
          <cell r="E5388">
            <v>0</v>
          </cell>
          <cell r="F5388" t="str">
            <v>LOT</v>
          </cell>
          <cell r="G5388">
            <v>0</v>
          </cell>
        </row>
        <row r="5389">
          <cell r="B5389">
            <v>73020</v>
          </cell>
          <cell r="C5389">
            <v>0</v>
          </cell>
          <cell r="D5389" t="str">
            <v>PHP</v>
          </cell>
          <cell r="E5389">
            <v>0</v>
          </cell>
          <cell r="F5389" t="str">
            <v>LOT</v>
          </cell>
          <cell r="G5389">
            <v>0</v>
          </cell>
        </row>
        <row r="5390">
          <cell r="B5390">
            <v>73981</v>
          </cell>
          <cell r="C5390">
            <v>850</v>
          </cell>
          <cell r="D5390" t="str">
            <v>PHP</v>
          </cell>
          <cell r="E5390">
            <v>50</v>
          </cell>
          <cell r="F5390" t="str">
            <v>PC</v>
          </cell>
          <cell r="G5390">
            <v>0</v>
          </cell>
        </row>
        <row r="5391">
          <cell r="B5391">
            <v>73982</v>
          </cell>
          <cell r="C5391">
            <v>1450</v>
          </cell>
          <cell r="D5391" t="str">
            <v>PHP</v>
          </cell>
          <cell r="E5391">
            <v>10</v>
          </cell>
          <cell r="F5391" t="str">
            <v>PC</v>
          </cell>
          <cell r="G5391">
            <v>0</v>
          </cell>
        </row>
        <row r="5392">
          <cell r="B5392">
            <v>73983</v>
          </cell>
          <cell r="C5392">
            <v>1110</v>
          </cell>
          <cell r="D5392" t="str">
            <v>PHP</v>
          </cell>
          <cell r="E5392">
            <v>5</v>
          </cell>
          <cell r="F5392" t="str">
            <v>PC</v>
          </cell>
          <cell r="G5392">
            <v>0</v>
          </cell>
        </row>
        <row r="5393">
          <cell r="B5393">
            <v>73984</v>
          </cell>
          <cell r="C5393">
            <v>930</v>
          </cell>
          <cell r="D5393" t="str">
            <v>PHP</v>
          </cell>
          <cell r="E5393">
            <v>5</v>
          </cell>
          <cell r="F5393" t="str">
            <v>PC</v>
          </cell>
          <cell r="G5393">
            <v>0</v>
          </cell>
        </row>
        <row r="5394">
          <cell r="B5394">
            <v>73985</v>
          </cell>
          <cell r="C5394">
            <v>17700</v>
          </cell>
          <cell r="D5394" t="str">
            <v>PHP</v>
          </cell>
          <cell r="E5394">
            <v>25</v>
          </cell>
          <cell r="F5394" t="str">
            <v>PC</v>
          </cell>
          <cell r="G5394">
            <v>0</v>
          </cell>
        </row>
        <row r="5395">
          <cell r="B5395">
            <v>73986</v>
          </cell>
          <cell r="C5395">
            <v>450</v>
          </cell>
          <cell r="D5395" t="str">
            <v>PHP</v>
          </cell>
          <cell r="E5395">
            <v>25</v>
          </cell>
          <cell r="F5395" t="str">
            <v>PC</v>
          </cell>
          <cell r="G5395">
            <v>0</v>
          </cell>
        </row>
        <row r="5396">
          <cell r="B5396">
            <v>73987</v>
          </cell>
          <cell r="C5396">
            <v>500</v>
          </cell>
          <cell r="D5396" t="str">
            <v>PHP</v>
          </cell>
          <cell r="E5396">
            <v>10</v>
          </cell>
          <cell r="F5396" t="str">
            <v>PC</v>
          </cell>
          <cell r="G5396">
            <v>0</v>
          </cell>
        </row>
        <row r="5397">
          <cell r="B5397">
            <v>73988</v>
          </cell>
          <cell r="C5397">
            <v>400</v>
          </cell>
          <cell r="D5397" t="str">
            <v>PHP</v>
          </cell>
          <cell r="E5397">
            <v>10</v>
          </cell>
          <cell r="F5397" t="str">
            <v>PC</v>
          </cell>
          <cell r="G5397">
            <v>0</v>
          </cell>
        </row>
        <row r="5398">
          <cell r="B5398">
            <v>73989</v>
          </cell>
          <cell r="C5398">
            <v>3150</v>
          </cell>
          <cell r="D5398" t="str">
            <v>PHP</v>
          </cell>
          <cell r="E5398">
            <v>25</v>
          </cell>
          <cell r="F5398" t="str">
            <v>PC</v>
          </cell>
          <cell r="G5398">
            <v>0</v>
          </cell>
        </row>
        <row r="5399">
          <cell r="B5399">
            <v>73990</v>
          </cell>
          <cell r="C5399">
            <v>650</v>
          </cell>
          <cell r="D5399" t="str">
            <v>PHP</v>
          </cell>
          <cell r="E5399">
            <v>50</v>
          </cell>
          <cell r="F5399" t="str">
            <v>PC</v>
          </cell>
          <cell r="G5399">
            <v>0</v>
          </cell>
        </row>
        <row r="5400">
          <cell r="B5400">
            <v>74001</v>
          </cell>
          <cell r="C5400">
            <v>200</v>
          </cell>
          <cell r="D5400" t="str">
            <v>PHP</v>
          </cell>
          <cell r="E5400">
            <v>25</v>
          </cell>
          <cell r="F5400" t="str">
            <v>PC</v>
          </cell>
          <cell r="G5400">
            <v>0</v>
          </cell>
        </row>
        <row r="5401">
          <cell r="B5401">
            <v>74002</v>
          </cell>
          <cell r="C5401">
            <v>375</v>
          </cell>
          <cell r="D5401" t="str">
            <v>PHP</v>
          </cell>
          <cell r="E5401">
            <v>25</v>
          </cell>
          <cell r="F5401" t="str">
            <v>PC</v>
          </cell>
          <cell r="G5401">
            <v>0</v>
          </cell>
        </row>
        <row r="5402">
          <cell r="B5402">
            <v>74003</v>
          </cell>
          <cell r="C5402">
            <v>1270</v>
          </cell>
          <cell r="D5402" t="str">
            <v>PHP</v>
          </cell>
          <cell r="E5402">
            <v>10</v>
          </cell>
          <cell r="F5402" t="str">
            <v>PC</v>
          </cell>
          <cell r="G5402">
            <v>0</v>
          </cell>
        </row>
        <row r="5403">
          <cell r="B5403">
            <v>74004</v>
          </cell>
          <cell r="C5403">
            <v>900</v>
          </cell>
          <cell r="D5403" t="str">
            <v>PHP</v>
          </cell>
          <cell r="E5403">
            <v>10</v>
          </cell>
          <cell r="F5403" t="str">
            <v>PC</v>
          </cell>
          <cell r="G5403">
            <v>0</v>
          </cell>
        </row>
        <row r="5404">
          <cell r="B5404">
            <v>74005</v>
          </cell>
          <cell r="C5404">
            <v>4000</v>
          </cell>
          <cell r="D5404" t="str">
            <v>PHP</v>
          </cell>
          <cell r="E5404">
            <v>25</v>
          </cell>
          <cell r="F5404" t="str">
            <v>PC</v>
          </cell>
          <cell r="G5404">
            <v>0</v>
          </cell>
        </row>
        <row r="5405">
          <cell r="B5405">
            <v>74006</v>
          </cell>
          <cell r="C5405">
            <v>690</v>
          </cell>
          <cell r="D5405" t="str">
            <v>PHP</v>
          </cell>
          <cell r="E5405">
            <v>10</v>
          </cell>
          <cell r="F5405" t="str">
            <v>PC</v>
          </cell>
          <cell r="G5405">
            <v>0</v>
          </cell>
        </row>
        <row r="5406">
          <cell r="B5406">
            <v>74007</v>
          </cell>
          <cell r="C5406">
            <v>610</v>
          </cell>
          <cell r="D5406" t="str">
            <v>PHP</v>
          </cell>
          <cell r="E5406">
            <v>10</v>
          </cell>
          <cell r="F5406" t="str">
            <v>PC</v>
          </cell>
          <cell r="G5406">
            <v>0</v>
          </cell>
        </row>
        <row r="5407">
          <cell r="B5407">
            <v>74008</v>
          </cell>
          <cell r="C5407">
            <v>355</v>
          </cell>
          <cell r="D5407" t="str">
            <v>PHP</v>
          </cell>
          <cell r="E5407">
            <v>5</v>
          </cell>
          <cell r="F5407" t="str">
            <v>PC</v>
          </cell>
          <cell r="G5407">
            <v>0</v>
          </cell>
        </row>
        <row r="5408">
          <cell r="B5408">
            <v>74009</v>
          </cell>
          <cell r="C5408">
            <v>800</v>
          </cell>
          <cell r="D5408" t="str">
            <v>PHP</v>
          </cell>
          <cell r="E5408">
            <v>10</v>
          </cell>
          <cell r="F5408" t="str">
            <v>PC</v>
          </cell>
          <cell r="G5408">
            <v>0</v>
          </cell>
        </row>
        <row r="5409">
          <cell r="B5409">
            <v>74010</v>
          </cell>
          <cell r="C5409">
            <v>125</v>
          </cell>
          <cell r="D5409" t="str">
            <v>PHP</v>
          </cell>
          <cell r="E5409">
            <v>25</v>
          </cell>
          <cell r="F5409" t="str">
            <v>PC</v>
          </cell>
          <cell r="G5409">
            <v>0</v>
          </cell>
        </row>
        <row r="5410">
          <cell r="B5410">
            <v>74021</v>
          </cell>
          <cell r="C5410">
            <v>525</v>
          </cell>
          <cell r="D5410" t="str">
            <v>PHP</v>
          </cell>
          <cell r="E5410">
            <v>25</v>
          </cell>
          <cell r="F5410" t="str">
            <v>PC</v>
          </cell>
          <cell r="G5410">
            <v>0</v>
          </cell>
        </row>
        <row r="5411">
          <cell r="B5411">
            <v>74022</v>
          </cell>
          <cell r="C5411">
            <v>375</v>
          </cell>
          <cell r="D5411" t="str">
            <v>PHP</v>
          </cell>
          <cell r="E5411">
            <v>25</v>
          </cell>
          <cell r="F5411" t="str">
            <v>PC</v>
          </cell>
          <cell r="G5411">
            <v>0</v>
          </cell>
        </row>
        <row r="5412">
          <cell r="B5412">
            <v>74023</v>
          </cell>
          <cell r="C5412">
            <v>200</v>
          </cell>
          <cell r="D5412" t="str">
            <v>PHP</v>
          </cell>
          <cell r="E5412">
            <v>25</v>
          </cell>
          <cell r="F5412" t="str">
            <v>PC</v>
          </cell>
          <cell r="G5412">
            <v>0</v>
          </cell>
        </row>
        <row r="5413">
          <cell r="B5413">
            <v>74024</v>
          </cell>
          <cell r="C5413">
            <v>500</v>
          </cell>
          <cell r="D5413" t="str">
            <v>PHP</v>
          </cell>
          <cell r="E5413">
            <v>10</v>
          </cell>
          <cell r="F5413" t="str">
            <v>PC</v>
          </cell>
          <cell r="G5413">
            <v>0</v>
          </cell>
        </row>
        <row r="5414">
          <cell r="B5414">
            <v>74025</v>
          </cell>
          <cell r="C5414">
            <v>360</v>
          </cell>
          <cell r="D5414" t="str">
            <v>PHP</v>
          </cell>
          <cell r="E5414">
            <v>10</v>
          </cell>
          <cell r="F5414" t="str">
            <v>PC</v>
          </cell>
          <cell r="G5414">
            <v>0</v>
          </cell>
        </row>
        <row r="5415">
          <cell r="B5415">
            <v>74026</v>
          </cell>
          <cell r="C5415">
            <v>310</v>
          </cell>
          <cell r="D5415" t="str">
            <v>PHP</v>
          </cell>
          <cell r="E5415">
            <v>5</v>
          </cell>
          <cell r="F5415" t="str">
            <v>PC</v>
          </cell>
          <cell r="G5415">
            <v>0</v>
          </cell>
        </row>
        <row r="5416">
          <cell r="B5416">
            <v>74027</v>
          </cell>
          <cell r="C5416">
            <v>350</v>
          </cell>
          <cell r="D5416" t="str">
            <v>PHP</v>
          </cell>
          <cell r="E5416">
            <v>10</v>
          </cell>
          <cell r="F5416" t="str">
            <v>PC</v>
          </cell>
          <cell r="G5416">
            <v>0</v>
          </cell>
        </row>
        <row r="5417">
          <cell r="B5417">
            <v>74029</v>
          </cell>
          <cell r="C5417">
            <v>625</v>
          </cell>
          <cell r="D5417" t="str">
            <v>PHP</v>
          </cell>
          <cell r="E5417">
            <v>25</v>
          </cell>
          <cell r="F5417" t="str">
            <v>PC</v>
          </cell>
          <cell r="G5417">
            <v>0</v>
          </cell>
        </row>
        <row r="5418">
          <cell r="B5418">
            <v>74041</v>
          </cell>
          <cell r="C5418">
            <v>0</v>
          </cell>
          <cell r="D5418" t="str">
            <v>PHP</v>
          </cell>
          <cell r="E5418">
            <v>0</v>
          </cell>
          <cell r="F5418" t="str">
            <v>PC</v>
          </cell>
          <cell r="G5418">
            <v>0</v>
          </cell>
        </row>
        <row r="5419">
          <cell r="B5419">
            <v>74042</v>
          </cell>
          <cell r="C5419">
            <v>1090</v>
          </cell>
          <cell r="D5419" t="str">
            <v>PHP</v>
          </cell>
          <cell r="E5419">
            <v>10</v>
          </cell>
          <cell r="F5419" t="str">
            <v>PC</v>
          </cell>
          <cell r="G5419">
            <v>0</v>
          </cell>
        </row>
        <row r="5420">
          <cell r="B5420">
            <v>74043</v>
          </cell>
          <cell r="C5420">
            <v>1050</v>
          </cell>
          <cell r="D5420" t="str">
            <v>PHP</v>
          </cell>
          <cell r="E5420">
            <v>10</v>
          </cell>
          <cell r="F5420" t="str">
            <v>PC</v>
          </cell>
          <cell r="G5420">
            <v>0</v>
          </cell>
        </row>
        <row r="5421">
          <cell r="B5421">
            <v>74044</v>
          </cell>
          <cell r="C5421">
            <v>440</v>
          </cell>
          <cell r="D5421" t="str">
            <v>PHP</v>
          </cell>
          <cell r="E5421">
            <v>10</v>
          </cell>
          <cell r="F5421" t="str">
            <v>PC</v>
          </cell>
          <cell r="G5421">
            <v>0</v>
          </cell>
        </row>
        <row r="5422">
          <cell r="B5422">
            <v>74045</v>
          </cell>
          <cell r="C5422">
            <v>940</v>
          </cell>
          <cell r="D5422" t="str">
            <v>PHP</v>
          </cell>
          <cell r="E5422">
            <v>10</v>
          </cell>
          <cell r="F5422" t="str">
            <v>PC</v>
          </cell>
          <cell r="G5422">
            <v>0</v>
          </cell>
        </row>
        <row r="5423">
          <cell r="B5423">
            <v>74046</v>
          </cell>
          <cell r="C5423">
            <v>820</v>
          </cell>
          <cell r="D5423" t="str">
            <v>PHP</v>
          </cell>
          <cell r="E5423">
            <v>10</v>
          </cell>
          <cell r="F5423" t="str">
            <v>PC</v>
          </cell>
          <cell r="G5423">
            <v>0</v>
          </cell>
        </row>
        <row r="5424">
          <cell r="B5424">
            <v>74048</v>
          </cell>
          <cell r="C5424">
            <v>900</v>
          </cell>
          <cell r="D5424" t="str">
            <v>PHP</v>
          </cell>
          <cell r="E5424">
            <v>10</v>
          </cell>
          <cell r="F5424" t="str">
            <v>PC</v>
          </cell>
          <cell r="G5424">
            <v>0</v>
          </cell>
        </row>
        <row r="5425">
          <cell r="B5425">
            <v>74049</v>
          </cell>
          <cell r="C5425">
            <v>735</v>
          </cell>
          <cell r="D5425" t="str">
            <v>PHP</v>
          </cell>
          <cell r="E5425">
            <v>49</v>
          </cell>
          <cell r="F5425" t="str">
            <v>PC</v>
          </cell>
          <cell r="G5425">
            <v>0</v>
          </cell>
        </row>
        <row r="5426">
          <cell r="B5426">
            <v>74050</v>
          </cell>
          <cell r="C5426">
            <v>325</v>
          </cell>
          <cell r="D5426" t="str">
            <v>PHP</v>
          </cell>
          <cell r="E5426">
            <v>25</v>
          </cell>
          <cell r="F5426" t="str">
            <v>PC</v>
          </cell>
          <cell r="G5426">
            <v>0</v>
          </cell>
        </row>
        <row r="5427">
          <cell r="B5427">
            <v>74061</v>
          </cell>
          <cell r="C5427">
            <v>400</v>
          </cell>
          <cell r="D5427" t="str">
            <v>PHP</v>
          </cell>
          <cell r="E5427">
            <v>20</v>
          </cell>
          <cell r="F5427" t="str">
            <v>PC</v>
          </cell>
          <cell r="G5427">
            <v>0</v>
          </cell>
        </row>
        <row r="5428">
          <cell r="B5428">
            <v>74063</v>
          </cell>
          <cell r="C5428">
            <v>1990</v>
          </cell>
          <cell r="D5428" t="str">
            <v>PHP</v>
          </cell>
          <cell r="E5428">
            <v>5</v>
          </cell>
          <cell r="F5428" t="str">
            <v>PC</v>
          </cell>
          <cell r="G5428">
            <v>0</v>
          </cell>
        </row>
        <row r="5429">
          <cell r="B5429">
            <v>74088</v>
          </cell>
          <cell r="C5429">
            <v>0</v>
          </cell>
          <cell r="D5429" t="str">
            <v>PHP</v>
          </cell>
          <cell r="E5429">
            <v>0</v>
          </cell>
          <cell r="F5429" t="str">
            <v>PC</v>
          </cell>
          <cell r="G5429">
            <v>0</v>
          </cell>
        </row>
        <row r="5430">
          <cell r="B5430">
            <v>74105</v>
          </cell>
          <cell r="C5430">
            <v>108</v>
          </cell>
          <cell r="D5430" t="str">
            <v>PHP</v>
          </cell>
          <cell r="E5430">
            <v>6</v>
          </cell>
          <cell r="F5430" t="str">
            <v>PC</v>
          </cell>
          <cell r="G5430">
            <v>0</v>
          </cell>
        </row>
        <row r="5431">
          <cell r="B5431">
            <v>74146</v>
          </cell>
          <cell r="C5431">
            <v>1200</v>
          </cell>
          <cell r="D5431" t="str">
            <v>PHP</v>
          </cell>
          <cell r="E5431">
            <v>4</v>
          </cell>
          <cell r="F5431" t="str">
            <v>PC</v>
          </cell>
          <cell r="G5431">
            <v>0</v>
          </cell>
        </row>
        <row r="5432">
          <cell r="B5432">
            <v>74147</v>
          </cell>
          <cell r="C5432">
            <v>400</v>
          </cell>
          <cell r="D5432" t="str">
            <v>PHP</v>
          </cell>
          <cell r="E5432">
            <v>4</v>
          </cell>
          <cell r="F5432" t="str">
            <v>PC</v>
          </cell>
          <cell r="G5432">
            <v>0</v>
          </cell>
        </row>
        <row r="5433">
          <cell r="B5433">
            <v>74148</v>
          </cell>
          <cell r="C5433">
            <v>4750</v>
          </cell>
          <cell r="D5433" t="str">
            <v>PHP</v>
          </cell>
          <cell r="E5433">
            <v>50</v>
          </cell>
          <cell r="F5433" t="str">
            <v>PC</v>
          </cell>
          <cell r="G5433">
            <v>0</v>
          </cell>
        </row>
        <row r="5434">
          <cell r="B5434">
            <v>74149</v>
          </cell>
          <cell r="C5434">
            <v>315</v>
          </cell>
          <cell r="D5434" t="str">
            <v>PHP</v>
          </cell>
          <cell r="E5434">
            <v>50</v>
          </cell>
          <cell r="F5434" t="str">
            <v>PC</v>
          </cell>
          <cell r="G5434">
            <v>0</v>
          </cell>
        </row>
        <row r="5435">
          <cell r="B5435">
            <v>74161</v>
          </cell>
          <cell r="C5435">
            <v>650</v>
          </cell>
          <cell r="D5435" t="str">
            <v>PHP</v>
          </cell>
          <cell r="E5435">
            <v>25</v>
          </cell>
          <cell r="F5435" t="str">
            <v>PC</v>
          </cell>
          <cell r="G5435">
            <v>0</v>
          </cell>
        </row>
        <row r="5436">
          <cell r="B5436">
            <v>74162</v>
          </cell>
          <cell r="C5436">
            <v>875</v>
          </cell>
          <cell r="D5436" t="str">
            <v>PHP</v>
          </cell>
          <cell r="E5436">
            <v>25</v>
          </cell>
          <cell r="F5436" t="str">
            <v>PC</v>
          </cell>
          <cell r="G5436">
            <v>0</v>
          </cell>
        </row>
        <row r="5437">
          <cell r="B5437">
            <v>74163</v>
          </cell>
          <cell r="C5437">
            <v>2250</v>
          </cell>
          <cell r="D5437" t="str">
            <v>PHP</v>
          </cell>
          <cell r="E5437">
            <v>25</v>
          </cell>
          <cell r="F5437" t="str">
            <v>PC</v>
          </cell>
          <cell r="G5437">
            <v>0</v>
          </cell>
        </row>
        <row r="5438">
          <cell r="B5438">
            <v>75466</v>
          </cell>
          <cell r="C5438">
            <v>33756</v>
          </cell>
          <cell r="D5438" t="str">
            <v>PHP</v>
          </cell>
          <cell r="E5438">
            <v>2</v>
          </cell>
          <cell r="F5438" t="str">
            <v>ASY</v>
          </cell>
          <cell r="G5438">
            <v>0</v>
          </cell>
        </row>
        <row r="5439">
          <cell r="B5439">
            <v>75783</v>
          </cell>
          <cell r="C5439">
            <v>0</v>
          </cell>
          <cell r="D5439" t="str">
            <v>PHP</v>
          </cell>
          <cell r="E5439">
            <v>0</v>
          </cell>
          <cell r="F5439" t="str">
            <v>PC</v>
          </cell>
          <cell r="G5439">
            <v>0</v>
          </cell>
        </row>
        <row r="5440">
          <cell r="B5440">
            <v>75784</v>
          </cell>
          <cell r="C5440">
            <v>0</v>
          </cell>
          <cell r="D5440" t="str">
            <v>PHP</v>
          </cell>
          <cell r="E5440">
            <v>0</v>
          </cell>
          <cell r="F5440" t="str">
            <v>PC</v>
          </cell>
          <cell r="G5440">
            <v>0</v>
          </cell>
        </row>
        <row r="5441">
          <cell r="B5441">
            <v>75785</v>
          </cell>
          <cell r="C5441">
            <v>187275.77</v>
          </cell>
          <cell r="D5441" t="str">
            <v>PHP</v>
          </cell>
          <cell r="E5441">
            <v>3</v>
          </cell>
          <cell r="F5441" t="str">
            <v>PC</v>
          </cell>
          <cell r="G5441">
            <v>0</v>
          </cell>
        </row>
        <row r="5442">
          <cell r="B5442">
            <v>75786</v>
          </cell>
          <cell r="C5442">
            <v>0</v>
          </cell>
          <cell r="D5442" t="str">
            <v>PHP</v>
          </cell>
          <cell r="E5442">
            <v>0</v>
          </cell>
          <cell r="F5442" t="str">
            <v>PC</v>
          </cell>
          <cell r="G5442">
            <v>0</v>
          </cell>
        </row>
        <row r="5443">
          <cell r="B5443">
            <v>77001</v>
          </cell>
          <cell r="C5443">
            <v>14910</v>
          </cell>
          <cell r="D5443" t="str">
            <v>PHP</v>
          </cell>
          <cell r="E5443">
            <v>14</v>
          </cell>
          <cell r="F5443" t="str">
            <v>PC</v>
          </cell>
          <cell r="G5443">
            <v>0</v>
          </cell>
        </row>
        <row r="5444">
          <cell r="B5444">
            <v>77002</v>
          </cell>
          <cell r="C5444">
            <v>15660</v>
          </cell>
          <cell r="D5444" t="str">
            <v>PHP</v>
          </cell>
          <cell r="E5444">
            <v>18</v>
          </cell>
          <cell r="F5444" t="str">
            <v>PC</v>
          </cell>
          <cell r="G5444">
            <v>0</v>
          </cell>
        </row>
        <row r="5445">
          <cell r="B5445">
            <v>77021</v>
          </cell>
          <cell r="C5445">
            <v>58346.97</v>
          </cell>
          <cell r="D5445" t="str">
            <v>PHP</v>
          </cell>
          <cell r="E5445">
            <v>16</v>
          </cell>
          <cell r="F5445" t="str">
            <v>PC</v>
          </cell>
          <cell r="G5445">
            <v>0</v>
          </cell>
        </row>
        <row r="5446">
          <cell r="B5446">
            <v>77681</v>
          </cell>
          <cell r="C5446">
            <v>364191.59</v>
          </cell>
          <cell r="D5446" t="str">
            <v>PHP</v>
          </cell>
          <cell r="E5446">
            <v>4</v>
          </cell>
          <cell r="F5446" t="str">
            <v>PC</v>
          </cell>
          <cell r="G5446">
            <v>0</v>
          </cell>
        </row>
        <row r="5447">
          <cell r="B5447">
            <v>77682</v>
          </cell>
          <cell r="C5447">
            <v>0</v>
          </cell>
          <cell r="D5447" t="str">
            <v>PHP</v>
          </cell>
          <cell r="E5447">
            <v>0</v>
          </cell>
          <cell r="F5447" t="str">
            <v>SET</v>
          </cell>
          <cell r="G5447">
            <v>0</v>
          </cell>
        </row>
        <row r="5448">
          <cell r="B5448">
            <v>77683</v>
          </cell>
          <cell r="C5448">
            <v>0</v>
          </cell>
          <cell r="D5448" t="str">
            <v>PHP</v>
          </cell>
          <cell r="E5448">
            <v>0</v>
          </cell>
          <cell r="F5448" t="str">
            <v>SET</v>
          </cell>
          <cell r="G5448">
            <v>0</v>
          </cell>
        </row>
        <row r="5449">
          <cell r="B5449">
            <v>80101</v>
          </cell>
          <cell r="C5449">
            <v>0</v>
          </cell>
          <cell r="D5449" t="str">
            <v>PHP</v>
          </cell>
          <cell r="E5449">
            <v>0</v>
          </cell>
          <cell r="F5449" t="str">
            <v>PC</v>
          </cell>
          <cell r="G5449">
            <v>0</v>
          </cell>
        </row>
        <row r="5450">
          <cell r="B5450">
            <v>80161</v>
          </cell>
          <cell r="C5450">
            <v>0</v>
          </cell>
          <cell r="D5450" t="str">
            <v>PHP</v>
          </cell>
          <cell r="E5450">
            <v>0</v>
          </cell>
          <cell r="F5450" t="str">
            <v>PC</v>
          </cell>
          <cell r="G5450">
            <v>0</v>
          </cell>
        </row>
        <row r="5451">
          <cell r="B5451">
            <v>80426</v>
          </cell>
          <cell r="C5451">
            <v>15696</v>
          </cell>
          <cell r="D5451" t="str">
            <v>PHP</v>
          </cell>
          <cell r="E5451">
            <v>2</v>
          </cell>
          <cell r="F5451" t="str">
            <v>PC</v>
          </cell>
          <cell r="G5451">
            <v>0</v>
          </cell>
        </row>
        <row r="5452">
          <cell r="B5452">
            <v>80427</v>
          </cell>
          <cell r="C5452">
            <v>15696</v>
          </cell>
          <cell r="D5452" t="str">
            <v>PHP</v>
          </cell>
          <cell r="E5452">
            <v>2</v>
          </cell>
          <cell r="F5452" t="str">
            <v>PC</v>
          </cell>
          <cell r="G5452">
            <v>0</v>
          </cell>
        </row>
        <row r="5453">
          <cell r="B5453">
            <v>80428</v>
          </cell>
          <cell r="C5453">
            <v>15696</v>
          </cell>
          <cell r="D5453" t="str">
            <v>PHP</v>
          </cell>
          <cell r="E5453">
            <v>2</v>
          </cell>
          <cell r="F5453" t="str">
            <v>PC</v>
          </cell>
          <cell r="G5453">
            <v>0</v>
          </cell>
        </row>
        <row r="5454">
          <cell r="B5454">
            <v>80442</v>
          </cell>
          <cell r="C5454">
            <v>1268</v>
          </cell>
          <cell r="D5454" t="str">
            <v>PHP</v>
          </cell>
          <cell r="E5454">
            <v>4</v>
          </cell>
          <cell r="F5454" t="str">
            <v>PC</v>
          </cell>
          <cell r="G5454">
            <v>0</v>
          </cell>
        </row>
        <row r="5455">
          <cell r="B5455">
            <v>80443</v>
          </cell>
          <cell r="C5455">
            <v>1268</v>
          </cell>
          <cell r="D5455" t="str">
            <v>PHP</v>
          </cell>
          <cell r="E5455">
            <v>4</v>
          </cell>
          <cell r="F5455" t="str">
            <v>PC</v>
          </cell>
          <cell r="G5455">
            <v>0</v>
          </cell>
        </row>
        <row r="5456">
          <cell r="B5456">
            <v>82805</v>
          </cell>
          <cell r="C5456">
            <v>9760</v>
          </cell>
          <cell r="D5456" t="str">
            <v>PHP</v>
          </cell>
          <cell r="E5456">
            <v>16</v>
          </cell>
          <cell r="F5456" t="str">
            <v>PC</v>
          </cell>
          <cell r="G5456">
            <v>0</v>
          </cell>
        </row>
        <row r="5457">
          <cell r="B5457">
            <v>82826</v>
          </cell>
          <cell r="C5457">
            <v>963.15</v>
          </cell>
          <cell r="D5457" t="str">
            <v>PHP</v>
          </cell>
          <cell r="E5457">
            <v>4</v>
          </cell>
          <cell r="F5457" t="str">
            <v>PC</v>
          </cell>
          <cell r="G5457">
            <v>0</v>
          </cell>
        </row>
        <row r="5458">
          <cell r="B5458">
            <v>82828</v>
          </cell>
          <cell r="C5458">
            <v>5520</v>
          </cell>
          <cell r="D5458" t="str">
            <v>PHP</v>
          </cell>
          <cell r="E5458">
            <v>8</v>
          </cell>
          <cell r="F5458" t="str">
            <v>PC</v>
          </cell>
          <cell r="G5458">
            <v>0</v>
          </cell>
        </row>
        <row r="5459">
          <cell r="B5459">
            <v>83163</v>
          </cell>
          <cell r="C5459">
            <v>9231.0400000000009</v>
          </cell>
          <cell r="D5459" t="str">
            <v>PHP</v>
          </cell>
          <cell r="E5459">
            <v>1</v>
          </cell>
          <cell r="F5459" t="str">
            <v>PC</v>
          </cell>
          <cell r="G5459">
            <v>0</v>
          </cell>
        </row>
        <row r="5460">
          <cell r="B5460">
            <v>85042</v>
          </cell>
          <cell r="C5460">
            <v>2560</v>
          </cell>
          <cell r="D5460" t="str">
            <v>PHP</v>
          </cell>
          <cell r="E5460">
            <v>8</v>
          </cell>
          <cell r="F5460" t="str">
            <v>ROL</v>
          </cell>
          <cell r="G5460">
            <v>0</v>
          </cell>
        </row>
        <row r="5461">
          <cell r="B5461">
            <v>85043</v>
          </cell>
          <cell r="C5461">
            <v>1440</v>
          </cell>
          <cell r="D5461" t="str">
            <v>PHP</v>
          </cell>
          <cell r="E5461">
            <v>8</v>
          </cell>
          <cell r="F5461" t="str">
            <v>ROL</v>
          </cell>
          <cell r="G5461">
            <v>0</v>
          </cell>
        </row>
        <row r="5462">
          <cell r="B5462">
            <v>85122</v>
          </cell>
          <cell r="C5462">
            <v>0</v>
          </cell>
          <cell r="D5462" t="str">
            <v>PHP</v>
          </cell>
          <cell r="E5462">
            <v>0</v>
          </cell>
          <cell r="F5462" t="str">
            <v>PC</v>
          </cell>
          <cell r="G5462">
            <v>0</v>
          </cell>
        </row>
        <row r="5463">
          <cell r="B5463">
            <v>85195</v>
          </cell>
          <cell r="C5463">
            <v>19049.599999999999</v>
          </cell>
          <cell r="D5463" t="str">
            <v>PHP</v>
          </cell>
          <cell r="E5463">
            <v>2</v>
          </cell>
          <cell r="F5463" t="str">
            <v>PC</v>
          </cell>
          <cell r="G5463">
            <v>0</v>
          </cell>
        </row>
        <row r="5464">
          <cell r="B5464">
            <v>85196</v>
          </cell>
          <cell r="C5464">
            <v>15266.6</v>
          </cell>
          <cell r="D5464" t="str">
            <v>PHP</v>
          </cell>
          <cell r="E5464">
            <v>1</v>
          </cell>
          <cell r="F5464" t="str">
            <v>PC</v>
          </cell>
          <cell r="G5464">
            <v>0</v>
          </cell>
        </row>
        <row r="5465">
          <cell r="B5465">
            <v>85197</v>
          </cell>
          <cell r="C5465">
            <v>15266.6</v>
          </cell>
          <cell r="D5465" t="str">
            <v>PHP</v>
          </cell>
          <cell r="E5465">
            <v>1</v>
          </cell>
          <cell r="F5465" t="str">
            <v>PC</v>
          </cell>
          <cell r="G5465">
            <v>0</v>
          </cell>
        </row>
        <row r="5466">
          <cell r="B5466">
            <v>85198</v>
          </cell>
          <cell r="C5466">
            <v>12132.4</v>
          </cell>
          <cell r="D5466" t="str">
            <v>PHP</v>
          </cell>
          <cell r="E5466">
            <v>2</v>
          </cell>
          <cell r="F5466" t="str">
            <v>PC</v>
          </cell>
          <cell r="G5466">
            <v>0</v>
          </cell>
        </row>
        <row r="5467">
          <cell r="B5467">
            <v>85200</v>
          </cell>
          <cell r="C5467">
            <v>14496.05</v>
          </cell>
          <cell r="D5467" t="str">
            <v>PHP</v>
          </cell>
          <cell r="E5467">
            <v>5</v>
          </cell>
          <cell r="F5467" t="str">
            <v>PC</v>
          </cell>
          <cell r="G5467">
            <v>0</v>
          </cell>
        </row>
        <row r="5468">
          <cell r="B5468">
            <v>85201</v>
          </cell>
          <cell r="C5468">
            <v>12132.4</v>
          </cell>
          <cell r="D5468" t="str">
            <v>PHP</v>
          </cell>
          <cell r="E5468">
            <v>2</v>
          </cell>
          <cell r="F5468" t="str">
            <v>PC</v>
          </cell>
          <cell r="G5468">
            <v>0</v>
          </cell>
        </row>
        <row r="5469">
          <cell r="B5469">
            <v>85204</v>
          </cell>
          <cell r="C5469">
            <v>50737.62</v>
          </cell>
          <cell r="D5469" t="str">
            <v>PHP</v>
          </cell>
          <cell r="E5469">
            <v>6</v>
          </cell>
          <cell r="F5469" t="str">
            <v>PC</v>
          </cell>
          <cell r="G5469">
            <v>0</v>
          </cell>
        </row>
        <row r="5470">
          <cell r="B5470">
            <v>85210</v>
          </cell>
          <cell r="C5470">
            <v>0</v>
          </cell>
          <cell r="D5470" t="str">
            <v>PHP</v>
          </cell>
          <cell r="E5470">
            <v>0</v>
          </cell>
          <cell r="F5470" t="str">
            <v>LEN</v>
          </cell>
          <cell r="G5470">
            <v>0</v>
          </cell>
        </row>
        <row r="5471">
          <cell r="B5471">
            <v>85214</v>
          </cell>
          <cell r="C5471">
            <v>288558.58</v>
          </cell>
          <cell r="D5471" t="str">
            <v>PHP</v>
          </cell>
          <cell r="E5471">
            <v>1</v>
          </cell>
          <cell r="F5471" t="str">
            <v>PC</v>
          </cell>
          <cell r="G5471">
            <v>0</v>
          </cell>
        </row>
        <row r="5472">
          <cell r="B5472">
            <v>85215</v>
          </cell>
          <cell r="C5472">
            <v>0</v>
          </cell>
          <cell r="D5472" t="str">
            <v>PHP</v>
          </cell>
          <cell r="E5472">
            <v>0</v>
          </cell>
          <cell r="F5472" t="str">
            <v>SET</v>
          </cell>
          <cell r="G5472">
            <v>0</v>
          </cell>
        </row>
        <row r="5473">
          <cell r="B5473">
            <v>85216</v>
          </cell>
          <cell r="C5473">
            <v>0</v>
          </cell>
          <cell r="D5473" t="str">
            <v>PHP</v>
          </cell>
          <cell r="E5473">
            <v>0</v>
          </cell>
          <cell r="F5473" t="str">
            <v>PC</v>
          </cell>
          <cell r="G5473">
            <v>0</v>
          </cell>
        </row>
        <row r="5474">
          <cell r="B5474">
            <v>85217</v>
          </cell>
          <cell r="C5474">
            <v>580259.4</v>
          </cell>
          <cell r="D5474" t="str">
            <v>PHP</v>
          </cell>
          <cell r="E5474">
            <v>2</v>
          </cell>
          <cell r="F5474" t="str">
            <v>PC</v>
          </cell>
          <cell r="G5474">
            <v>0</v>
          </cell>
        </row>
        <row r="5475">
          <cell r="B5475">
            <v>85218</v>
          </cell>
          <cell r="C5475">
            <v>216673.75</v>
          </cell>
          <cell r="D5475" t="str">
            <v>PHP</v>
          </cell>
          <cell r="E5475">
            <v>1</v>
          </cell>
          <cell r="F5475" t="str">
            <v>PC</v>
          </cell>
          <cell r="G5475">
            <v>0</v>
          </cell>
        </row>
        <row r="5476">
          <cell r="B5476">
            <v>85219</v>
          </cell>
          <cell r="C5476">
            <v>0</v>
          </cell>
          <cell r="D5476" t="str">
            <v>PHP</v>
          </cell>
          <cell r="E5476">
            <v>0</v>
          </cell>
          <cell r="F5476" t="str">
            <v>PC</v>
          </cell>
          <cell r="G5476">
            <v>0</v>
          </cell>
        </row>
        <row r="5477">
          <cell r="B5477">
            <v>85220</v>
          </cell>
          <cell r="C5477">
            <v>0</v>
          </cell>
          <cell r="D5477" t="str">
            <v>PHP</v>
          </cell>
          <cell r="E5477">
            <v>0</v>
          </cell>
          <cell r="F5477" t="str">
            <v>PC</v>
          </cell>
          <cell r="G5477">
            <v>0</v>
          </cell>
        </row>
        <row r="5478">
          <cell r="B5478">
            <v>85222</v>
          </cell>
          <cell r="C5478">
            <v>0</v>
          </cell>
          <cell r="D5478" t="str">
            <v>PHP</v>
          </cell>
          <cell r="E5478">
            <v>0</v>
          </cell>
          <cell r="F5478" t="str">
            <v>PC</v>
          </cell>
          <cell r="G5478">
            <v>0</v>
          </cell>
        </row>
        <row r="5479">
          <cell r="B5479">
            <v>85223</v>
          </cell>
          <cell r="C5479">
            <v>534529.19999999995</v>
          </cell>
          <cell r="D5479" t="str">
            <v>PHP</v>
          </cell>
          <cell r="E5479">
            <v>4</v>
          </cell>
          <cell r="F5479" t="str">
            <v>PC</v>
          </cell>
          <cell r="G5479">
            <v>0</v>
          </cell>
        </row>
        <row r="5480">
          <cell r="B5480">
            <v>85224</v>
          </cell>
          <cell r="C5480">
            <v>133940.84</v>
          </cell>
          <cell r="D5480" t="str">
            <v>PHP</v>
          </cell>
          <cell r="E5480">
            <v>4</v>
          </cell>
          <cell r="F5480" t="str">
            <v>SET</v>
          </cell>
          <cell r="G5480">
            <v>0</v>
          </cell>
        </row>
        <row r="5481">
          <cell r="B5481">
            <v>85225</v>
          </cell>
          <cell r="C5481">
            <v>159859.20000000001</v>
          </cell>
          <cell r="D5481" t="str">
            <v>PHP</v>
          </cell>
          <cell r="E5481">
            <v>4</v>
          </cell>
          <cell r="F5481" t="str">
            <v>PC</v>
          </cell>
          <cell r="G5481">
            <v>0</v>
          </cell>
        </row>
        <row r="5482">
          <cell r="B5482">
            <v>85226</v>
          </cell>
          <cell r="C5482">
            <v>0</v>
          </cell>
          <cell r="D5482" t="str">
            <v>PHP</v>
          </cell>
          <cell r="E5482">
            <v>0</v>
          </cell>
          <cell r="F5482" t="str">
            <v>PC</v>
          </cell>
          <cell r="G5482">
            <v>0</v>
          </cell>
        </row>
        <row r="5483">
          <cell r="B5483">
            <v>85227</v>
          </cell>
          <cell r="C5483">
            <v>0</v>
          </cell>
          <cell r="D5483" t="str">
            <v>PHP</v>
          </cell>
          <cell r="E5483">
            <v>0</v>
          </cell>
          <cell r="F5483" t="str">
            <v>SET</v>
          </cell>
          <cell r="G5483">
            <v>0</v>
          </cell>
        </row>
        <row r="5484">
          <cell r="B5484">
            <v>85228</v>
          </cell>
          <cell r="C5484">
            <v>62337.599999999999</v>
          </cell>
          <cell r="D5484" t="str">
            <v>PHP</v>
          </cell>
          <cell r="E5484">
            <v>6</v>
          </cell>
          <cell r="F5484" t="str">
            <v>SET</v>
          </cell>
          <cell r="G5484">
            <v>0</v>
          </cell>
        </row>
        <row r="5485">
          <cell r="B5485">
            <v>85229</v>
          </cell>
          <cell r="C5485">
            <v>62337.599999999999</v>
          </cell>
          <cell r="D5485" t="str">
            <v>PHP</v>
          </cell>
          <cell r="E5485">
            <v>6</v>
          </cell>
          <cell r="F5485" t="str">
            <v>SET</v>
          </cell>
          <cell r="G5485">
            <v>0</v>
          </cell>
        </row>
        <row r="5486">
          <cell r="B5486">
            <v>85230</v>
          </cell>
          <cell r="C5486">
            <v>58441.5</v>
          </cell>
          <cell r="D5486" t="str">
            <v>PHP</v>
          </cell>
          <cell r="E5486">
            <v>6</v>
          </cell>
          <cell r="F5486" t="str">
            <v>SET</v>
          </cell>
          <cell r="G5486">
            <v>0</v>
          </cell>
        </row>
        <row r="5487">
          <cell r="B5487">
            <v>85231</v>
          </cell>
          <cell r="C5487">
            <v>129870</v>
          </cell>
          <cell r="D5487" t="str">
            <v>PHP</v>
          </cell>
          <cell r="E5487">
            <v>14</v>
          </cell>
          <cell r="F5487" t="str">
            <v>SET</v>
          </cell>
          <cell r="G5487">
            <v>0</v>
          </cell>
        </row>
        <row r="5488">
          <cell r="B5488">
            <v>85232</v>
          </cell>
          <cell r="C5488">
            <v>150649.20000000001</v>
          </cell>
          <cell r="D5488" t="str">
            <v>PHP</v>
          </cell>
          <cell r="E5488">
            <v>16</v>
          </cell>
          <cell r="F5488" t="str">
            <v>SET</v>
          </cell>
          <cell r="G5488">
            <v>0</v>
          </cell>
        </row>
        <row r="5489">
          <cell r="B5489">
            <v>85233</v>
          </cell>
          <cell r="C5489">
            <v>83116.800000000003</v>
          </cell>
          <cell r="D5489" t="str">
            <v>PHP</v>
          </cell>
          <cell r="E5489">
            <v>8</v>
          </cell>
          <cell r="F5489" t="str">
            <v>SET</v>
          </cell>
          <cell r="G5489">
            <v>0</v>
          </cell>
        </row>
        <row r="5490">
          <cell r="B5490">
            <v>85234</v>
          </cell>
          <cell r="C5490">
            <v>54545.4</v>
          </cell>
          <cell r="D5490" t="str">
            <v>PHP</v>
          </cell>
          <cell r="E5490">
            <v>6</v>
          </cell>
          <cell r="F5490" t="str">
            <v>SET</v>
          </cell>
          <cell r="G5490">
            <v>0</v>
          </cell>
        </row>
        <row r="5491">
          <cell r="B5491">
            <v>85235</v>
          </cell>
          <cell r="C5491">
            <v>0</v>
          </cell>
          <cell r="D5491" t="str">
            <v>PHP</v>
          </cell>
          <cell r="E5491">
            <v>0</v>
          </cell>
          <cell r="F5491" t="str">
            <v>SET</v>
          </cell>
          <cell r="G5491">
            <v>0</v>
          </cell>
        </row>
        <row r="5492">
          <cell r="B5492">
            <v>85236</v>
          </cell>
          <cell r="C5492">
            <v>10389.6</v>
          </cell>
          <cell r="D5492" t="str">
            <v>PHP</v>
          </cell>
          <cell r="E5492">
            <v>1</v>
          </cell>
          <cell r="F5492" t="str">
            <v>SET</v>
          </cell>
          <cell r="G5492">
            <v>0</v>
          </cell>
        </row>
        <row r="5493">
          <cell r="B5493">
            <v>85237</v>
          </cell>
          <cell r="C5493">
            <v>67532.399999999994</v>
          </cell>
          <cell r="D5493" t="str">
            <v>PHP</v>
          </cell>
          <cell r="E5493">
            <v>8</v>
          </cell>
          <cell r="F5493" t="str">
            <v>SET</v>
          </cell>
          <cell r="G5493">
            <v>0</v>
          </cell>
        </row>
        <row r="5494">
          <cell r="B5494">
            <v>85238</v>
          </cell>
          <cell r="C5494">
            <v>0</v>
          </cell>
          <cell r="D5494" t="str">
            <v>PHP</v>
          </cell>
          <cell r="E5494">
            <v>0</v>
          </cell>
          <cell r="F5494" t="str">
            <v>SET</v>
          </cell>
          <cell r="G5494">
            <v>0</v>
          </cell>
        </row>
        <row r="5495">
          <cell r="B5495">
            <v>85239</v>
          </cell>
          <cell r="C5495">
            <v>83116.800000000003</v>
          </cell>
          <cell r="D5495" t="str">
            <v>PHP</v>
          </cell>
          <cell r="E5495">
            <v>8</v>
          </cell>
          <cell r="F5495" t="str">
            <v>SET</v>
          </cell>
          <cell r="G5495">
            <v>0</v>
          </cell>
        </row>
        <row r="5496">
          <cell r="B5496">
            <v>85240</v>
          </cell>
          <cell r="C5496">
            <v>0</v>
          </cell>
          <cell r="D5496" t="str">
            <v>PHP</v>
          </cell>
          <cell r="E5496">
            <v>0</v>
          </cell>
          <cell r="F5496" t="str">
            <v>SET</v>
          </cell>
          <cell r="G5496">
            <v>0</v>
          </cell>
        </row>
        <row r="5497">
          <cell r="B5497">
            <v>85241</v>
          </cell>
          <cell r="C5497">
            <v>0</v>
          </cell>
          <cell r="D5497" t="str">
            <v>PHP</v>
          </cell>
          <cell r="E5497">
            <v>0</v>
          </cell>
          <cell r="F5497" t="str">
            <v>SET</v>
          </cell>
          <cell r="G5497">
            <v>0</v>
          </cell>
        </row>
        <row r="5498">
          <cell r="B5498">
            <v>85243</v>
          </cell>
          <cell r="C5498">
            <v>0</v>
          </cell>
          <cell r="D5498" t="str">
            <v>PHP</v>
          </cell>
          <cell r="E5498">
            <v>0</v>
          </cell>
          <cell r="F5498" t="str">
            <v>PC</v>
          </cell>
          <cell r="G5498">
            <v>0</v>
          </cell>
        </row>
        <row r="5499">
          <cell r="B5499">
            <v>85244</v>
          </cell>
          <cell r="C5499">
            <v>98611.76</v>
          </cell>
          <cell r="D5499" t="str">
            <v>PHP</v>
          </cell>
          <cell r="E5499">
            <v>100</v>
          </cell>
          <cell r="F5499" t="str">
            <v>PC</v>
          </cell>
          <cell r="G5499">
            <v>0</v>
          </cell>
        </row>
        <row r="5500">
          <cell r="B5500">
            <v>85245</v>
          </cell>
          <cell r="C5500">
            <v>0</v>
          </cell>
          <cell r="D5500" t="str">
            <v>PHP</v>
          </cell>
          <cell r="E5500">
            <v>0</v>
          </cell>
          <cell r="F5500" t="str">
            <v>SET</v>
          </cell>
          <cell r="G5500">
            <v>0</v>
          </cell>
        </row>
        <row r="5501">
          <cell r="B5501">
            <v>85263</v>
          </cell>
          <cell r="C5501">
            <v>210454.8</v>
          </cell>
          <cell r="D5501" t="str">
            <v>PHP</v>
          </cell>
          <cell r="E5501">
            <v>12</v>
          </cell>
          <cell r="F5501" t="str">
            <v>PC</v>
          </cell>
          <cell r="G5501">
            <v>0</v>
          </cell>
        </row>
        <row r="5502">
          <cell r="B5502">
            <v>85264</v>
          </cell>
          <cell r="C5502">
            <v>220597.2</v>
          </cell>
          <cell r="D5502" t="str">
            <v>PHP</v>
          </cell>
          <cell r="E5502">
            <v>12</v>
          </cell>
          <cell r="F5502" t="str">
            <v>PC</v>
          </cell>
          <cell r="G5502">
            <v>0</v>
          </cell>
        </row>
        <row r="5503">
          <cell r="B5503">
            <v>85273</v>
          </cell>
          <cell r="C5503">
            <v>0</v>
          </cell>
          <cell r="D5503" t="str">
            <v>PHP</v>
          </cell>
          <cell r="E5503">
            <v>0</v>
          </cell>
          <cell r="F5503" t="str">
            <v>PC</v>
          </cell>
          <cell r="G5503">
            <v>0</v>
          </cell>
        </row>
        <row r="5504">
          <cell r="B5504">
            <v>85310</v>
          </cell>
          <cell r="C5504">
            <v>82020</v>
          </cell>
          <cell r="D5504" t="str">
            <v>PHP</v>
          </cell>
          <cell r="E5504">
            <v>10</v>
          </cell>
          <cell r="F5504" t="str">
            <v>PC</v>
          </cell>
          <cell r="G5504">
            <v>0</v>
          </cell>
        </row>
        <row r="5505">
          <cell r="B5505">
            <v>85360</v>
          </cell>
          <cell r="C5505">
            <v>0</v>
          </cell>
          <cell r="D5505" t="str">
            <v>PHP</v>
          </cell>
          <cell r="E5505">
            <v>0</v>
          </cell>
          <cell r="F5505" t="str">
            <v>PC</v>
          </cell>
          <cell r="G5505">
            <v>0</v>
          </cell>
        </row>
        <row r="5506">
          <cell r="B5506">
            <v>85361</v>
          </cell>
          <cell r="C5506">
            <v>109082.07</v>
          </cell>
          <cell r="D5506" t="str">
            <v>PHP</v>
          </cell>
          <cell r="E5506">
            <v>2</v>
          </cell>
          <cell r="F5506" t="str">
            <v>ASY</v>
          </cell>
          <cell r="G5506">
            <v>0</v>
          </cell>
        </row>
        <row r="5507">
          <cell r="B5507">
            <v>85362</v>
          </cell>
          <cell r="C5507">
            <v>7760.75</v>
          </cell>
          <cell r="D5507" t="str">
            <v>PHP</v>
          </cell>
          <cell r="E5507">
            <v>1</v>
          </cell>
          <cell r="F5507" t="str">
            <v>PC</v>
          </cell>
          <cell r="G5507">
            <v>0</v>
          </cell>
        </row>
        <row r="5508">
          <cell r="B5508">
            <v>85363</v>
          </cell>
          <cell r="C5508">
            <v>171995</v>
          </cell>
          <cell r="D5508" t="str">
            <v>PHP</v>
          </cell>
          <cell r="E5508">
            <v>1</v>
          </cell>
          <cell r="F5508" t="str">
            <v>PC</v>
          </cell>
          <cell r="G5508">
            <v>0</v>
          </cell>
        </row>
        <row r="5509">
          <cell r="B5509">
            <v>85364</v>
          </cell>
          <cell r="C5509">
            <v>1700.8</v>
          </cell>
          <cell r="D5509" t="str">
            <v>PHP</v>
          </cell>
          <cell r="E5509">
            <v>10</v>
          </cell>
          <cell r="F5509" t="str">
            <v>PC</v>
          </cell>
          <cell r="G5509">
            <v>0</v>
          </cell>
        </row>
        <row r="5510">
          <cell r="B5510">
            <v>85365</v>
          </cell>
          <cell r="C5510">
            <v>4464.6000000000004</v>
          </cell>
          <cell r="D5510" t="str">
            <v>PHP</v>
          </cell>
          <cell r="E5510">
            <v>1</v>
          </cell>
          <cell r="F5510" t="str">
            <v>PC</v>
          </cell>
          <cell r="G5510">
            <v>0</v>
          </cell>
        </row>
        <row r="5511">
          <cell r="B5511">
            <v>85372</v>
          </cell>
          <cell r="C5511">
            <v>0</v>
          </cell>
          <cell r="D5511" t="str">
            <v>PHP</v>
          </cell>
          <cell r="E5511">
            <v>0</v>
          </cell>
          <cell r="F5511" t="str">
            <v>UT</v>
          </cell>
          <cell r="G5511">
            <v>0</v>
          </cell>
        </row>
        <row r="5512">
          <cell r="B5512">
            <v>85375</v>
          </cell>
          <cell r="C5512">
            <v>0</v>
          </cell>
          <cell r="D5512" t="str">
            <v>PHP</v>
          </cell>
          <cell r="E5512">
            <v>0</v>
          </cell>
          <cell r="F5512" t="str">
            <v>PC</v>
          </cell>
          <cell r="G5512">
            <v>0</v>
          </cell>
        </row>
        <row r="5513">
          <cell r="B5513">
            <v>85381</v>
          </cell>
          <cell r="C5513">
            <v>813600</v>
          </cell>
          <cell r="D5513" t="str">
            <v>PHP</v>
          </cell>
          <cell r="E5513">
            <v>4</v>
          </cell>
          <cell r="F5513" t="str">
            <v>PC</v>
          </cell>
          <cell r="G5513">
            <v>0</v>
          </cell>
        </row>
        <row r="5514">
          <cell r="B5514">
            <v>85382</v>
          </cell>
          <cell r="C5514">
            <v>371189.19</v>
          </cell>
          <cell r="D5514" t="str">
            <v>PHP</v>
          </cell>
          <cell r="E5514">
            <v>6</v>
          </cell>
          <cell r="F5514" t="str">
            <v>PC</v>
          </cell>
          <cell r="G5514">
            <v>0</v>
          </cell>
        </row>
        <row r="5515">
          <cell r="B5515">
            <v>85386</v>
          </cell>
          <cell r="C5515">
            <v>69935.37</v>
          </cell>
          <cell r="D5515" t="str">
            <v>PHP</v>
          </cell>
          <cell r="E5515">
            <v>3</v>
          </cell>
          <cell r="F5515" t="str">
            <v>PC</v>
          </cell>
          <cell r="G5515">
            <v>0</v>
          </cell>
        </row>
        <row r="5516">
          <cell r="B5516">
            <v>85390</v>
          </cell>
          <cell r="C5516">
            <v>2508.1999999999998</v>
          </cell>
          <cell r="D5516" t="str">
            <v>PHP</v>
          </cell>
          <cell r="E5516">
            <v>1</v>
          </cell>
          <cell r="F5516" t="str">
            <v>PC</v>
          </cell>
          <cell r="G5516">
            <v>0</v>
          </cell>
        </row>
        <row r="5517">
          <cell r="B5517">
            <v>85393</v>
          </cell>
          <cell r="C5517">
            <v>693</v>
          </cell>
          <cell r="D5517" t="str">
            <v>PHP</v>
          </cell>
          <cell r="E5517">
            <v>1</v>
          </cell>
          <cell r="F5517" t="str">
            <v>ASY</v>
          </cell>
          <cell r="G5517">
            <v>0</v>
          </cell>
        </row>
        <row r="5518">
          <cell r="B5518">
            <v>85395</v>
          </cell>
          <cell r="C5518">
            <v>175041.83</v>
          </cell>
          <cell r="D5518" t="str">
            <v>PHP</v>
          </cell>
          <cell r="E5518">
            <v>1</v>
          </cell>
          <cell r="F5518" t="str">
            <v>PC</v>
          </cell>
          <cell r="G5518">
            <v>0</v>
          </cell>
        </row>
        <row r="5519">
          <cell r="B5519">
            <v>85397</v>
          </cell>
          <cell r="C5519">
            <v>219.18</v>
          </cell>
          <cell r="D5519" t="str">
            <v>PHP</v>
          </cell>
          <cell r="E5519">
            <v>3</v>
          </cell>
          <cell r="F5519" t="str">
            <v>PC</v>
          </cell>
          <cell r="G5519">
            <v>0</v>
          </cell>
        </row>
        <row r="5520">
          <cell r="B5520">
            <v>85416</v>
          </cell>
          <cell r="C5520">
            <v>21267.51</v>
          </cell>
          <cell r="D5520" t="str">
            <v>PHP</v>
          </cell>
          <cell r="E5520">
            <v>1</v>
          </cell>
          <cell r="F5520" t="str">
            <v>PC</v>
          </cell>
          <cell r="G5520">
            <v>0</v>
          </cell>
        </row>
        <row r="5521">
          <cell r="B5521">
            <v>85417</v>
          </cell>
          <cell r="C5521">
            <v>1931.59</v>
          </cell>
          <cell r="D5521" t="str">
            <v>PHP</v>
          </cell>
          <cell r="E5521">
            <v>1</v>
          </cell>
          <cell r="F5521" t="str">
            <v>PC</v>
          </cell>
          <cell r="G5521">
            <v>0</v>
          </cell>
        </row>
        <row r="5522">
          <cell r="B5522">
            <v>85418</v>
          </cell>
          <cell r="C5522">
            <v>4483.8500000000004</v>
          </cell>
          <cell r="D5522" t="str">
            <v>PHP</v>
          </cell>
          <cell r="E5522">
            <v>5</v>
          </cell>
          <cell r="F5522" t="str">
            <v>PC</v>
          </cell>
          <cell r="G5522">
            <v>0</v>
          </cell>
        </row>
        <row r="5523">
          <cell r="B5523">
            <v>85419</v>
          </cell>
          <cell r="C5523">
            <v>46221.78</v>
          </cell>
          <cell r="D5523" t="str">
            <v>PHP</v>
          </cell>
          <cell r="E5523">
            <v>3</v>
          </cell>
          <cell r="F5523" t="str">
            <v>PC</v>
          </cell>
          <cell r="G5523">
            <v>0</v>
          </cell>
        </row>
        <row r="5524">
          <cell r="B5524">
            <v>85420</v>
          </cell>
          <cell r="C5524">
            <v>15976.6</v>
          </cell>
          <cell r="D5524" t="str">
            <v>PHP</v>
          </cell>
          <cell r="E5524">
            <v>2</v>
          </cell>
          <cell r="F5524" t="str">
            <v>PC</v>
          </cell>
          <cell r="G5524">
            <v>0</v>
          </cell>
        </row>
        <row r="5525">
          <cell r="B5525">
            <v>85421</v>
          </cell>
          <cell r="C5525">
            <v>18316</v>
          </cell>
          <cell r="D5525" t="str">
            <v>PHP</v>
          </cell>
          <cell r="E5525">
            <v>1</v>
          </cell>
          <cell r="F5525" t="str">
            <v>PC</v>
          </cell>
          <cell r="G5525">
            <v>0</v>
          </cell>
        </row>
        <row r="5526">
          <cell r="B5526">
            <v>85427</v>
          </cell>
          <cell r="C5526">
            <v>2114854.77</v>
          </cell>
          <cell r="D5526" t="str">
            <v>PHP</v>
          </cell>
          <cell r="E5526">
            <v>1</v>
          </cell>
          <cell r="F5526" t="str">
            <v>ASY</v>
          </cell>
          <cell r="G5526">
            <v>0</v>
          </cell>
        </row>
        <row r="5527">
          <cell r="B5527">
            <v>85460</v>
          </cell>
          <cell r="C5527">
            <v>0</v>
          </cell>
          <cell r="D5527" t="str">
            <v>PHP</v>
          </cell>
          <cell r="E5527">
            <v>0</v>
          </cell>
          <cell r="F5527" t="str">
            <v>PC</v>
          </cell>
          <cell r="G5527">
            <v>0</v>
          </cell>
        </row>
        <row r="5528">
          <cell r="B5528">
            <v>85475</v>
          </cell>
          <cell r="C5528">
            <v>34617.760000000002</v>
          </cell>
          <cell r="D5528" t="str">
            <v>PHP</v>
          </cell>
          <cell r="E5528">
            <v>2</v>
          </cell>
          <cell r="F5528" t="str">
            <v>PC</v>
          </cell>
          <cell r="G5528">
            <v>0</v>
          </cell>
        </row>
        <row r="5529">
          <cell r="B5529">
            <v>85476</v>
          </cell>
          <cell r="C5529">
            <v>240377.60000000001</v>
          </cell>
          <cell r="D5529" t="str">
            <v>PHP</v>
          </cell>
          <cell r="E5529">
            <v>4</v>
          </cell>
          <cell r="F5529" t="str">
            <v>PC</v>
          </cell>
          <cell r="G5529">
            <v>0</v>
          </cell>
        </row>
        <row r="5530">
          <cell r="B5530">
            <v>85477</v>
          </cell>
          <cell r="C5530">
            <v>137878.56</v>
          </cell>
          <cell r="D5530" t="str">
            <v>PHP</v>
          </cell>
          <cell r="E5530">
            <v>3</v>
          </cell>
          <cell r="F5530" t="str">
            <v>PC</v>
          </cell>
          <cell r="G5530">
            <v>0</v>
          </cell>
        </row>
        <row r="5531">
          <cell r="B5531">
            <v>85478</v>
          </cell>
          <cell r="C5531">
            <v>66527.039999999994</v>
          </cell>
          <cell r="D5531" t="str">
            <v>PHP</v>
          </cell>
          <cell r="E5531">
            <v>1</v>
          </cell>
          <cell r="F5531" t="str">
            <v>PC</v>
          </cell>
          <cell r="G5531">
            <v>0</v>
          </cell>
        </row>
        <row r="5532">
          <cell r="B5532">
            <v>85479</v>
          </cell>
          <cell r="C5532">
            <v>0</v>
          </cell>
          <cell r="D5532" t="str">
            <v>PHP</v>
          </cell>
          <cell r="E5532">
            <v>0</v>
          </cell>
          <cell r="F5532" t="str">
            <v>PC</v>
          </cell>
          <cell r="G5532">
            <v>0</v>
          </cell>
        </row>
        <row r="5533">
          <cell r="B5533">
            <v>85480</v>
          </cell>
          <cell r="C5533">
            <v>69150.880000000005</v>
          </cell>
          <cell r="D5533" t="str">
            <v>PHP</v>
          </cell>
          <cell r="E5533">
            <v>2</v>
          </cell>
          <cell r="F5533" t="str">
            <v>PC</v>
          </cell>
          <cell r="G5533">
            <v>0</v>
          </cell>
        </row>
        <row r="5534">
          <cell r="B5534">
            <v>85481</v>
          </cell>
          <cell r="C5534">
            <v>7448.32</v>
          </cell>
          <cell r="D5534" t="str">
            <v>PHP</v>
          </cell>
          <cell r="E5534">
            <v>16</v>
          </cell>
          <cell r="F5534" t="str">
            <v>PC</v>
          </cell>
          <cell r="G5534">
            <v>0</v>
          </cell>
        </row>
        <row r="5535">
          <cell r="B5535">
            <v>85482</v>
          </cell>
          <cell r="C5535">
            <v>165598.16</v>
          </cell>
          <cell r="D5535" t="str">
            <v>PHP</v>
          </cell>
          <cell r="E5535">
            <v>1</v>
          </cell>
          <cell r="F5535" t="str">
            <v>PC</v>
          </cell>
          <cell r="G5535">
            <v>0</v>
          </cell>
        </row>
        <row r="5536">
          <cell r="B5536">
            <v>85483</v>
          </cell>
          <cell r="C5536">
            <v>177320.8</v>
          </cell>
          <cell r="D5536" t="str">
            <v>PHP</v>
          </cell>
          <cell r="E5536">
            <v>1</v>
          </cell>
          <cell r="F5536" t="str">
            <v>PC</v>
          </cell>
          <cell r="G5536">
            <v>0</v>
          </cell>
        </row>
        <row r="5537">
          <cell r="B5537">
            <v>85484</v>
          </cell>
          <cell r="C5537">
            <v>5416.96</v>
          </cell>
          <cell r="D5537" t="str">
            <v>PHP</v>
          </cell>
          <cell r="E5537">
            <v>32</v>
          </cell>
          <cell r="F5537" t="str">
            <v>PC</v>
          </cell>
          <cell r="G5537">
            <v>0</v>
          </cell>
        </row>
        <row r="5538">
          <cell r="B5538">
            <v>85485</v>
          </cell>
          <cell r="C5538">
            <v>7109.76</v>
          </cell>
          <cell r="D5538" t="str">
            <v>PHP</v>
          </cell>
          <cell r="E5538">
            <v>56</v>
          </cell>
          <cell r="F5538" t="str">
            <v>PC</v>
          </cell>
          <cell r="G5538">
            <v>0</v>
          </cell>
        </row>
        <row r="5539">
          <cell r="B5539">
            <v>85486</v>
          </cell>
          <cell r="C5539">
            <v>2708.48</v>
          </cell>
          <cell r="D5539" t="str">
            <v>PHP</v>
          </cell>
          <cell r="E5539">
            <v>8</v>
          </cell>
          <cell r="F5539" t="str">
            <v>PC</v>
          </cell>
          <cell r="G5539">
            <v>0</v>
          </cell>
        </row>
        <row r="5540">
          <cell r="B5540">
            <v>85487</v>
          </cell>
          <cell r="C5540">
            <v>22344.959999999999</v>
          </cell>
          <cell r="D5540" t="str">
            <v>PHP</v>
          </cell>
          <cell r="E5540">
            <v>16</v>
          </cell>
          <cell r="F5540" t="str">
            <v>PC</v>
          </cell>
          <cell r="G5540">
            <v>0</v>
          </cell>
        </row>
        <row r="5541">
          <cell r="B5541">
            <v>85500</v>
          </cell>
          <cell r="C5541">
            <v>1660.83</v>
          </cell>
          <cell r="D5541" t="str">
            <v>PHP</v>
          </cell>
          <cell r="E5541">
            <v>3</v>
          </cell>
          <cell r="F5541" t="str">
            <v>PC</v>
          </cell>
          <cell r="G5541">
            <v>0</v>
          </cell>
        </row>
        <row r="5542">
          <cell r="B5542">
            <v>85504</v>
          </cell>
          <cell r="C5542">
            <v>5532.78</v>
          </cell>
          <cell r="D5542" t="str">
            <v>PHP</v>
          </cell>
          <cell r="E5542">
            <v>6</v>
          </cell>
          <cell r="F5542" t="str">
            <v>KIT</v>
          </cell>
          <cell r="G5542">
            <v>0</v>
          </cell>
        </row>
        <row r="5543">
          <cell r="B5543">
            <v>85505</v>
          </cell>
          <cell r="C5543">
            <v>8301.66</v>
          </cell>
          <cell r="D5543" t="str">
            <v>PHP</v>
          </cell>
          <cell r="E5543">
            <v>6</v>
          </cell>
          <cell r="F5543" t="str">
            <v>PC</v>
          </cell>
          <cell r="G5543">
            <v>0</v>
          </cell>
        </row>
        <row r="5544">
          <cell r="B5544">
            <v>85509</v>
          </cell>
          <cell r="C5544">
            <v>57526</v>
          </cell>
          <cell r="D5544" t="str">
            <v>PHP</v>
          </cell>
          <cell r="E5544">
            <v>1</v>
          </cell>
          <cell r="F5544" t="str">
            <v>PC</v>
          </cell>
          <cell r="G5544">
            <v>0</v>
          </cell>
        </row>
        <row r="5545">
          <cell r="B5545">
            <v>85510</v>
          </cell>
          <cell r="C5545">
            <v>80043.72</v>
          </cell>
          <cell r="D5545" t="str">
            <v>PHP</v>
          </cell>
          <cell r="E5545">
            <v>12</v>
          </cell>
          <cell r="F5545" t="str">
            <v>PC</v>
          </cell>
          <cell r="G5545">
            <v>0</v>
          </cell>
        </row>
        <row r="5546">
          <cell r="B5546">
            <v>85511</v>
          </cell>
          <cell r="C5546">
            <v>109395</v>
          </cell>
          <cell r="D5546" t="str">
            <v>PHP</v>
          </cell>
          <cell r="E5546">
            <v>2</v>
          </cell>
          <cell r="F5546" t="str">
            <v>PC</v>
          </cell>
          <cell r="G5546">
            <v>0</v>
          </cell>
        </row>
        <row r="5547">
          <cell r="B5547">
            <v>85518</v>
          </cell>
          <cell r="C5547">
            <v>844881.42</v>
          </cell>
          <cell r="D5547" t="str">
            <v>PHP</v>
          </cell>
          <cell r="E5547">
            <v>6</v>
          </cell>
          <cell r="F5547" t="str">
            <v>PC</v>
          </cell>
          <cell r="G5547">
            <v>0</v>
          </cell>
        </row>
        <row r="5548">
          <cell r="B5548">
            <v>85521</v>
          </cell>
          <cell r="C5548">
            <v>7341.22</v>
          </cell>
          <cell r="D5548" t="str">
            <v>PHP</v>
          </cell>
          <cell r="E5548">
            <v>2</v>
          </cell>
          <cell r="F5548" t="str">
            <v>PC</v>
          </cell>
          <cell r="G5548">
            <v>0</v>
          </cell>
        </row>
        <row r="5549">
          <cell r="B5549">
            <v>85522</v>
          </cell>
          <cell r="C5549">
            <v>8878.7999999999993</v>
          </cell>
          <cell r="D5549" t="str">
            <v>PHP</v>
          </cell>
          <cell r="E5549">
            <v>2</v>
          </cell>
          <cell r="F5549" t="str">
            <v>PC</v>
          </cell>
          <cell r="G5549">
            <v>0</v>
          </cell>
        </row>
        <row r="5550">
          <cell r="B5550">
            <v>85536</v>
          </cell>
          <cell r="C5550">
            <v>24405.4</v>
          </cell>
          <cell r="D5550" t="str">
            <v>PHP</v>
          </cell>
          <cell r="E5550">
            <v>2</v>
          </cell>
          <cell r="F5550" t="str">
            <v>PC</v>
          </cell>
          <cell r="G5550">
            <v>0</v>
          </cell>
        </row>
        <row r="5551">
          <cell r="B5551">
            <v>85537</v>
          </cell>
          <cell r="C5551">
            <v>19747.419999999998</v>
          </cell>
          <cell r="D5551" t="str">
            <v>PHP</v>
          </cell>
          <cell r="E5551">
            <v>4</v>
          </cell>
          <cell r="F5551" t="str">
            <v>PC</v>
          </cell>
          <cell r="G5551">
            <v>0</v>
          </cell>
        </row>
        <row r="5552">
          <cell r="B5552">
            <v>85538</v>
          </cell>
          <cell r="C5552">
            <v>251.74</v>
          </cell>
          <cell r="D5552" t="str">
            <v>PHP</v>
          </cell>
          <cell r="E5552">
            <v>2</v>
          </cell>
          <cell r="F5552" t="str">
            <v>PC</v>
          </cell>
          <cell r="G5552">
            <v>0</v>
          </cell>
        </row>
        <row r="5553">
          <cell r="B5553">
            <v>85539</v>
          </cell>
          <cell r="C5553">
            <v>18570.12</v>
          </cell>
          <cell r="D5553" t="str">
            <v>PHP</v>
          </cell>
          <cell r="E5553">
            <v>12</v>
          </cell>
          <cell r="F5553" t="str">
            <v>PC</v>
          </cell>
          <cell r="G5553">
            <v>0</v>
          </cell>
        </row>
        <row r="5554">
          <cell r="B5554">
            <v>85555</v>
          </cell>
          <cell r="C5554">
            <v>7528.14</v>
          </cell>
          <cell r="D5554" t="str">
            <v>PHP</v>
          </cell>
          <cell r="E5554">
            <v>44</v>
          </cell>
          <cell r="F5554" t="str">
            <v>SET</v>
          </cell>
          <cell r="G5554">
            <v>0</v>
          </cell>
        </row>
        <row r="5555">
          <cell r="B5555">
            <v>85556</v>
          </cell>
          <cell r="C5555">
            <v>17184.78</v>
          </cell>
          <cell r="D5555" t="str">
            <v>PHP</v>
          </cell>
          <cell r="E5555">
            <v>60</v>
          </cell>
          <cell r="F5555" t="str">
            <v>PC</v>
          </cell>
          <cell r="G5555">
            <v>0</v>
          </cell>
        </row>
        <row r="5556">
          <cell r="B5556">
            <v>85557</v>
          </cell>
          <cell r="C5556">
            <v>3155.76</v>
          </cell>
          <cell r="D5556" t="str">
            <v>PHP</v>
          </cell>
          <cell r="E5556">
            <v>24</v>
          </cell>
          <cell r="F5556" t="str">
            <v>PC</v>
          </cell>
          <cell r="G5556">
            <v>0</v>
          </cell>
        </row>
        <row r="5557">
          <cell r="B5557">
            <v>85558</v>
          </cell>
          <cell r="C5557">
            <v>9647.92</v>
          </cell>
          <cell r="D5557" t="str">
            <v>PHP</v>
          </cell>
          <cell r="E5557">
            <v>8</v>
          </cell>
          <cell r="F5557" t="str">
            <v>PC</v>
          </cell>
          <cell r="G5557">
            <v>0</v>
          </cell>
        </row>
        <row r="5558">
          <cell r="B5558">
            <v>85559</v>
          </cell>
          <cell r="C5558">
            <v>26040.9</v>
          </cell>
          <cell r="D5558" t="str">
            <v>PHP</v>
          </cell>
          <cell r="E5558">
            <v>2</v>
          </cell>
          <cell r="F5558" t="str">
            <v>PC</v>
          </cell>
          <cell r="G5558">
            <v>0</v>
          </cell>
        </row>
        <row r="5559">
          <cell r="B5559">
            <v>85560</v>
          </cell>
          <cell r="C5559">
            <v>47812.800000000003</v>
          </cell>
          <cell r="D5559" t="str">
            <v>PHP</v>
          </cell>
          <cell r="E5559">
            <v>2</v>
          </cell>
          <cell r="F5559" t="str">
            <v>PC</v>
          </cell>
          <cell r="G5559">
            <v>0</v>
          </cell>
        </row>
        <row r="5560">
          <cell r="B5560">
            <v>85561</v>
          </cell>
          <cell r="C5560">
            <v>154857.98000000001</v>
          </cell>
          <cell r="D5560" t="str">
            <v>PHP</v>
          </cell>
          <cell r="E5560">
            <v>2</v>
          </cell>
          <cell r="F5560" t="str">
            <v>PC</v>
          </cell>
          <cell r="G5560">
            <v>0</v>
          </cell>
        </row>
        <row r="5561">
          <cell r="B5561">
            <v>85562</v>
          </cell>
          <cell r="C5561">
            <v>617285.71</v>
          </cell>
          <cell r="D5561" t="str">
            <v>PHP</v>
          </cell>
          <cell r="E5561">
            <v>1</v>
          </cell>
          <cell r="F5561" t="str">
            <v>ASY</v>
          </cell>
          <cell r="G5561">
            <v>0</v>
          </cell>
        </row>
        <row r="5562">
          <cell r="B5562">
            <v>85569</v>
          </cell>
          <cell r="C5562">
            <v>0</v>
          </cell>
          <cell r="D5562" t="str">
            <v>PHP</v>
          </cell>
          <cell r="E5562">
            <v>0</v>
          </cell>
          <cell r="F5562" t="str">
            <v>ASY</v>
          </cell>
          <cell r="G5562">
            <v>0</v>
          </cell>
        </row>
        <row r="5563">
          <cell r="B5563">
            <v>85570</v>
          </cell>
          <cell r="C5563">
            <v>0</v>
          </cell>
          <cell r="D5563" t="str">
            <v>PHP</v>
          </cell>
          <cell r="E5563">
            <v>0</v>
          </cell>
          <cell r="F5563" t="str">
            <v>ASY</v>
          </cell>
          <cell r="G5563">
            <v>0</v>
          </cell>
        </row>
        <row r="5564">
          <cell r="B5564">
            <v>85574</v>
          </cell>
          <cell r="C5564">
            <v>9017.9</v>
          </cell>
          <cell r="D5564" t="str">
            <v>PHP</v>
          </cell>
          <cell r="E5564">
            <v>1</v>
          </cell>
          <cell r="F5564" t="str">
            <v>PC</v>
          </cell>
          <cell r="G5564">
            <v>0</v>
          </cell>
        </row>
        <row r="5565">
          <cell r="B5565">
            <v>85579</v>
          </cell>
          <cell r="C5565">
            <v>0</v>
          </cell>
          <cell r="D5565" t="str">
            <v>PHP</v>
          </cell>
          <cell r="E5565">
            <v>0</v>
          </cell>
          <cell r="F5565" t="str">
            <v>PC</v>
          </cell>
          <cell r="G5565">
            <v>0</v>
          </cell>
        </row>
        <row r="5566">
          <cell r="B5566">
            <v>85581</v>
          </cell>
          <cell r="C5566">
            <v>0</v>
          </cell>
          <cell r="D5566" t="str">
            <v>PHP</v>
          </cell>
          <cell r="E5566">
            <v>0</v>
          </cell>
          <cell r="F5566" t="str">
            <v>PC</v>
          </cell>
          <cell r="G5566">
            <v>0</v>
          </cell>
        </row>
        <row r="5567">
          <cell r="B5567">
            <v>85582</v>
          </cell>
          <cell r="C5567">
            <v>0</v>
          </cell>
          <cell r="D5567" t="str">
            <v>PHP</v>
          </cell>
          <cell r="E5567">
            <v>0</v>
          </cell>
          <cell r="F5567" t="str">
            <v>PC</v>
          </cell>
          <cell r="G5567">
            <v>0</v>
          </cell>
        </row>
        <row r="5568">
          <cell r="B5568">
            <v>85583</v>
          </cell>
          <cell r="C5568">
            <v>0</v>
          </cell>
          <cell r="D5568" t="str">
            <v>PHP</v>
          </cell>
          <cell r="E5568">
            <v>0</v>
          </cell>
          <cell r="F5568" t="str">
            <v>PC</v>
          </cell>
          <cell r="G5568">
            <v>0</v>
          </cell>
        </row>
        <row r="5569">
          <cell r="B5569">
            <v>85584</v>
          </cell>
          <cell r="C5569">
            <v>17746.39</v>
          </cell>
          <cell r="D5569" t="str">
            <v>PHP</v>
          </cell>
          <cell r="E5569">
            <v>4</v>
          </cell>
          <cell r="F5569" t="str">
            <v>PC</v>
          </cell>
          <cell r="G5569">
            <v>0</v>
          </cell>
        </row>
        <row r="5570">
          <cell r="B5570">
            <v>85585</v>
          </cell>
          <cell r="C5570">
            <v>1516.55</v>
          </cell>
          <cell r="D5570" t="str">
            <v>PHP</v>
          </cell>
          <cell r="E5570">
            <v>1</v>
          </cell>
          <cell r="F5570" t="str">
            <v>PC</v>
          </cell>
          <cell r="G5570">
            <v>0</v>
          </cell>
        </row>
        <row r="5571">
          <cell r="B5571">
            <v>85586</v>
          </cell>
          <cell r="C5571">
            <v>14206.99</v>
          </cell>
          <cell r="D5571" t="str">
            <v>PHP</v>
          </cell>
          <cell r="E5571">
            <v>4</v>
          </cell>
          <cell r="F5571" t="str">
            <v>PC</v>
          </cell>
          <cell r="G5571">
            <v>0</v>
          </cell>
        </row>
        <row r="5572">
          <cell r="B5572">
            <v>85587</v>
          </cell>
          <cell r="C5572">
            <v>2816.45</v>
          </cell>
          <cell r="D5572" t="str">
            <v>PHP</v>
          </cell>
          <cell r="E5572">
            <v>1</v>
          </cell>
          <cell r="F5572" t="str">
            <v>PC</v>
          </cell>
          <cell r="G5572">
            <v>0</v>
          </cell>
        </row>
        <row r="5573">
          <cell r="B5573">
            <v>85588</v>
          </cell>
          <cell r="C5573">
            <v>2924.6</v>
          </cell>
          <cell r="D5573" t="str">
            <v>PHP</v>
          </cell>
          <cell r="E5573">
            <v>2</v>
          </cell>
          <cell r="F5573" t="str">
            <v>KIT</v>
          </cell>
          <cell r="G5573">
            <v>0</v>
          </cell>
        </row>
        <row r="5574">
          <cell r="B5574">
            <v>85589</v>
          </cell>
          <cell r="C5574">
            <v>0</v>
          </cell>
          <cell r="D5574" t="str">
            <v>PHP</v>
          </cell>
          <cell r="E5574">
            <v>0</v>
          </cell>
          <cell r="F5574" t="str">
            <v>PC</v>
          </cell>
          <cell r="G5574">
            <v>0</v>
          </cell>
        </row>
        <row r="5575">
          <cell r="B5575">
            <v>85590</v>
          </cell>
          <cell r="C5575">
            <v>0</v>
          </cell>
          <cell r="D5575" t="str">
            <v>PHP</v>
          </cell>
          <cell r="E5575">
            <v>0</v>
          </cell>
          <cell r="F5575" t="str">
            <v>PC</v>
          </cell>
          <cell r="G5575">
            <v>0</v>
          </cell>
        </row>
        <row r="5576">
          <cell r="B5576">
            <v>85591</v>
          </cell>
          <cell r="C5576">
            <v>866.6</v>
          </cell>
          <cell r="D5576" t="str">
            <v>PHP</v>
          </cell>
          <cell r="E5576">
            <v>1</v>
          </cell>
          <cell r="F5576" t="str">
            <v>PC</v>
          </cell>
          <cell r="G5576">
            <v>0</v>
          </cell>
        </row>
        <row r="5577">
          <cell r="B5577">
            <v>85592</v>
          </cell>
          <cell r="C5577">
            <v>1733.2</v>
          </cell>
          <cell r="D5577" t="str">
            <v>PHP</v>
          </cell>
          <cell r="E5577">
            <v>1</v>
          </cell>
          <cell r="F5577" t="str">
            <v>SET</v>
          </cell>
          <cell r="G5577">
            <v>0</v>
          </cell>
        </row>
        <row r="5578">
          <cell r="B5578">
            <v>85593</v>
          </cell>
          <cell r="C5578">
            <v>33215.1</v>
          </cell>
          <cell r="D5578" t="str">
            <v>PHP</v>
          </cell>
          <cell r="E5578">
            <v>1</v>
          </cell>
          <cell r="F5578" t="str">
            <v>ASY</v>
          </cell>
          <cell r="G5578">
            <v>0</v>
          </cell>
        </row>
        <row r="5579">
          <cell r="B5579">
            <v>85594</v>
          </cell>
          <cell r="C5579">
            <v>45496.5</v>
          </cell>
          <cell r="D5579" t="str">
            <v>PHP</v>
          </cell>
          <cell r="E5579">
            <v>1</v>
          </cell>
          <cell r="F5579" t="str">
            <v>PC</v>
          </cell>
          <cell r="G5579">
            <v>0</v>
          </cell>
        </row>
        <row r="5580">
          <cell r="B5580">
            <v>85607</v>
          </cell>
          <cell r="C5580">
            <v>0</v>
          </cell>
          <cell r="D5580" t="str">
            <v>PHP</v>
          </cell>
          <cell r="E5580">
            <v>0</v>
          </cell>
          <cell r="F5580" t="str">
            <v>PC</v>
          </cell>
          <cell r="G5580">
            <v>0</v>
          </cell>
        </row>
        <row r="5581">
          <cell r="B5581">
            <v>85869</v>
          </cell>
          <cell r="C5581">
            <v>5390.24</v>
          </cell>
          <cell r="D5581" t="str">
            <v>PHP</v>
          </cell>
          <cell r="E5581">
            <v>16</v>
          </cell>
          <cell r="F5581" t="str">
            <v>PC</v>
          </cell>
          <cell r="G5581">
            <v>0</v>
          </cell>
        </row>
        <row r="5582">
          <cell r="B5582">
            <v>85870</v>
          </cell>
          <cell r="C5582">
            <v>3080.16</v>
          </cell>
          <cell r="D5582" t="str">
            <v>PHP</v>
          </cell>
          <cell r="E5582">
            <v>8</v>
          </cell>
          <cell r="F5582" t="str">
            <v>PC</v>
          </cell>
          <cell r="G5582">
            <v>0</v>
          </cell>
        </row>
        <row r="5583">
          <cell r="B5583">
            <v>85871</v>
          </cell>
          <cell r="C5583">
            <v>3080.16</v>
          </cell>
          <cell r="D5583" t="str">
            <v>PHP</v>
          </cell>
          <cell r="E5583">
            <v>8</v>
          </cell>
          <cell r="F5583" t="str">
            <v>PC</v>
          </cell>
          <cell r="G5583">
            <v>0</v>
          </cell>
        </row>
        <row r="5584">
          <cell r="B5584">
            <v>85872</v>
          </cell>
          <cell r="C5584">
            <v>24930</v>
          </cell>
          <cell r="D5584" t="str">
            <v>PHP</v>
          </cell>
          <cell r="E5584">
            <v>1</v>
          </cell>
          <cell r="F5584" t="str">
            <v>PC</v>
          </cell>
          <cell r="G5584">
            <v>0</v>
          </cell>
        </row>
        <row r="5585">
          <cell r="B5585">
            <v>85873</v>
          </cell>
          <cell r="C5585">
            <v>1732.6</v>
          </cell>
          <cell r="D5585" t="str">
            <v>PHP</v>
          </cell>
          <cell r="E5585">
            <v>2</v>
          </cell>
          <cell r="F5585" t="str">
            <v>PC</v>
          </cell>
          <cell r="G5585">
            <v>0</v>
          </cell>
        </row>
        <row r="5586">
          <cell r="B5586">
            <v>85874</v>
          </cell>
          <cell r="C5586">
            <v>341704.66</v>
          </cell>
          <cell r="D5586" t="str">
            <v>PHP</v>
          </cell>
          <cell r="E5586">
            <v>2</v>
          </cell>
          <cell r="F5586" t="str">
            <v>PC</v>
          </cell>
          <cell r="G5586">
            <v>0</v>
          </cell>
        </row>
        <row r="5587">
          <cell r="B5587">
            <v>85875</v>
          </cell>
          <cell r="C5587">
            <v>7074.73</v>
          </cell>
          <cell r="D5587" t="str">
            <v>PHP</v>
          </cell>
          <cell r="E5587">
            <v>1</v>
          </cell>
          <cell r="F5587" t="str">
            <v>PC</v>
          </cell>
          <cell r="G5587">
            <v>0</v>
          </cell>
        </row>
        <row r="5588">
          <cell r="B5588">
            <v>85876</v>
          </cell>
          <cell r="C5588">
            <v>1732.56</v>
          </cell>
          <cell r="D5588" t="str">
            <v>PHP</v>
          </cell>
          <cell r="E5588">
            <v>8</v>
          </cell>
          <cell r="F5588" t="str">
            <v>PC</v>
          </cell>
          <cell r="G5588">
            <v>0</v>
          </cell>
        </row>
        <row r="5589">
          <cell r="B5589">
            <v>85877</v>
          </cell>
          <cell r="C5589">
            <v>24063.72</v>
          </cell>
          <cell r="D5589" t="str">
            <v>PHP</v>
          </cell>
          <cell r="E5589">
            <v>2</v>
          </cell>
          <cell r="F5589" t="str">
            <v>PC</v>
          </cell>
          <cell r="G5589">
            <v>0</v>
          </cell>
        </row>
        <row r="5590">
          <cell r="B5590">
            <v>85878</v>
          </cell>
          <cell r="C5590">
            <v>144286</v>
          </cell>
          <cell r="D5590" t="str">
            <v>PHP</v>
          </cell>
          <cell r="E5590">
            <v>2</v>
          </cell>
          <cell r="F5590" t="str">
            <v>PC</v>
          </cell>
          <cell r="G5590">
            <v>0</v>
          </cell>
        </row>
        <row r="5591">
          <cell r="B5591">
            <v>85879</v>
          </cell>
          <cell r="C5591">
            <v>770.04</v>
          </cell>
          <cell r="D5591" t="str">
            <v>PHP</v>
          </cell>
          <cell r="E5591">
            <v>2</v>
          </cell>
          <cell r="F5591" t="str">
            <v>PC</v>
          </cell>
          <cell r="G5591">
            <v>0</v>
          </cell>
        </row>
        <row r="5592">
          <cell r="B5592">
            <v>85882</v>
          </cell>
          <cell r="C5592">
            <v>22980</v>
          </cell>
          <cell r="D5592" t="str">
            <v>PHP</v>
          </cell>
          <cell r="E5592">
            <v>3</v>
          </cell>
          <cell r="F5592" t="str">
            <v>PC</v>
          </cell>
          <cell r="G5592">
            <v>0</v>
          </cell>
        </row>
        <row r="5593">
          <cell r="B5593">
            <v>85883</v>
          </cell>
          <cell r="C5593">
            <v>0</v>
          </cell>
          <cell r="D5593" t="str">
            <v>PHP</v>
          </cell>
          <cell r="E5593">
            <v>0</v>
          </cell>
          <cell r="F5593" t="str">
            <v>PC</v>
          </cell>
          <cell r="G5593">
            <v>0</v>
          </cell>
        </row>
        <row r="5594">
          <cell r="B5594">
            <v>85884</v>
          </cell>
          <cell r="C5594">
            <v>525606.48</v>
          </cell>
          <cell r="D5594" t="str">
            <v>PHP</v>
          </cell>
          <cell r="E5594">
            <v>72</v>
          </cell>
          <cell r="F5594" t="str">
            <v>ASY</v>
          </cell>
          <cell r="G5594">
            <v>0</v>
          </cell>
        </row>
        <row r="5595">
          <cell r="B5595">
            <v>85885</v>
          </cell>
          <cell r="C5595">
            <v>166595.04</v>
          </cell>
          <cell r="D5595" t="str">
            <v>PHP</v>
          </cell>
          <cell r="E5595">
            <v>12</v>
          </cell>
          <cell r="F5595" t="str">
            <v>PC</v>
          </cell>
          <cell r="G5595">
            <v>0</v>
          </cell>
        </row>
        <row r="5596">
          <cell r="B5596">
            <v>85886</v>
          </cell>
          <cell r="C5596">
            <v>347754</v>
          </cell>
          <cell r="D5596" t="str">
            <v>PHP</v>
          </cell>
          <cell r="E5596">
            <v>100</v>
          </cell>
          <cell r="F5596" t="str">
            <v>PC</v>
          </cell>
          <cell r="G5596">
            <v>0</v>
          </cell>
        </row>
        <row r="5597">
          <cell r="B5597">
            <v>85887</v>
          </cell>
          <cell r="C5597">
            <v>25855.200000000001</v>
          </cell>
          <cell r="D5597" t="str">
            <v>PHP</v>
          </cell>
          <cell r="E5597">
            <v>80</v>
          </cell>
          <cell r="F5597" t="str">
            <v>PC</v>
          </cell>
          <cell r="G5597">
            <v>0</v>
          </cell>
        </row>
        <row r="5598">
          <cell r="B5598">
            <v>85888</v>
          </cell>
          <cell r="C5598">
            <v>23.36</v>
          </cell>
          <cell r="D5598" t="str">
            <v>PHP</v>
          </cell>
          <cell r="E5598">
            <v>4</v>
          </cell>
          <cell r="F5598" t="str">
            <v>PC</v>
          </cell>
          <cell r="G5598">
            <v>0</v>
          </cell>
        </row>
        <row r="5599">
          <cell r="B5599">
            <v>85889</v>
          </cell>
          <cell r="C5599">
            <v>77357.16</v>
          </cell>
          <cell r="D5599" t="str">
            <v>PHP</v>
          </cell>
          <cell r="E5599">
            <v>36</v>
          </cell>
          <cell r="F5599" t="str">
            <v>PC</v>
          </cell>
          <cell r="G5599">
            <v>0</v>
          </cell>
        </row>
        <row r="5600">
          <cell r="B5600">
            <v>85890</v>
          </cell>
          <cell r="C5600">
            <v>1680.96</v>
          </cell>
          <cell r="D5600" t="str">
            <v>PHP</v>
          </cell>
          <cell r="E5600">
            <v>24</v>
          </cell>
          <cell r="F5600" t="str">
            <v>PC</v>
          </cell>
          <cell r="G5600">
            <v>0</v>
          </cell>
        </row>
        <row r="5601">
          <cell r="B5601">
            <v>85891</v>
          </cell>
          <cell r="C5601">
            <v>13316.44</v>
          </cell>
          <cell r="D5601" t="str">
            <v>PHP</v>
          </cell>
          <cell r="E5601">
            <v>1</v>
          </cell>
          <cell r="F5601" t="str">
            <v>PC</v>
          </cell>
          <cell r="G5601">
            <v>0</v>
          </cell>
        </row>
        <row r="5602">
          <cell r="B5602">
            <v>85892</v>
          </cell>
          <cell r="C5602">
            <v>36503.019999999997</v>
          </cell>
          <cell r="D5602" t="str">
            <v>PHP</v>
          </cell>
          <cell r="E5602">
            <v>94</v>
          </cell>
          <cell r="F5602" t="str">
            <v>PC</v>
          </cell>
          <cell r="G5602">
            <v>0</v>
          </cell>
        </row>
        <row r="5603">
          <cell r="B5603">
            <v>85893</v>
          </cell>
          <cell r="C5603">
            <v>1029.54</v>
          </cell>
          <cell r="D5603" t="str">
            <v>PHP</v>
          </cell>
          <cell r="E5603">
            <v>6</v>
          </cell>
          <cell r="F5603" t="str">
            <v>PC</v>
          </cell>
          <cell r="G5603">
            <v>0</v>
          </cell>
        </row>
        <row r="5604">
          <cell r="B5604">
            <v>85894</v>
          </cell>
          <cell r="C5604">
            <v>1091.58</v>
          </cell>
          <cell r="D5604" t="str">
            <v>PHP</v>
          </cell>
          <cell r="E5604">
            <v>6</v>
          </cell>
          <cell r="F5604" t="str">
            <v>PC</v>
          </cell>
          <cell r="G5604">
            <v>0</v>
          </cell>
        </row>
        <row r="5605">
          <cell r="B5605">
            <v>85895</v>
          </cell>
          <cell r="C5605">
            <v>0</v>
          </cell>
          <cell r="D5605" t="str">
            <v>PHP</v>
          </cell>
          <cell r="E5605">
            <v>0</v>
          </cell>
          <cell r="F5605" t="str">
            <v>PC</v>
          </cell>
          <cell r="G5605">
            <v>0</v>
          </cell>
        </row>
        <row r="5606">
          <cell r="B5606">
            <v>85896</v>
          </cell>
          <cell r="C5606">
            <v>0</v>
          </cell>
          <cell r="D5606" t="str">
            <v>PHP</v>
          </cell>
          <cell r="E5606">
            <v>0</v>
          </cell>
          <cell r="F5606" t="str">
            <v>PC</v>
          </cell>
          <cell r="G5606">
            <v>0</v>
          </cell>
        </row>
        <row r="5607">
          <cell r="B5607">
            <v>85897</v>
          </cell>
          <cell r="C5607">
            <v>34320</v>
          </cell>
          <cell r="D5607" t="str">
            <v>PHP</v>
          </cell>
          <cell r="E5607">
            <v>48</v>
          </cell>
          <cell r="F5607" t="str">
            <v>PC</v>
          </cell>
          <cell r="G5607">
            <v>0</v>
          </cell>
        </row>
        <row r="5608">
          <cell r="B5608">
            <v>85898</v>
          </cell>
          <cell r="C5608">
            <v>117425</v>
          </cell>
          <cell r="D5608" t="str">
            <v>PHP</v>
          </cell>
          <cell r="E5608">
            <v>22</v>
          </cell>
          <cell r="F5608" t="str">
            <v>ASY</v>
          </cell>
          <cell r="G5608">
            <v>0</v>
          </cell>
        </row>
        <row r="5609">
          <cell r="B5609">
            <v>85909</v>
          </cell>
          <cell r="C5609">
            <v>49579.16</v>
          </cell>
          <cell r="D5609" t="str">
            <v>PHP</v>
          </cell>
          <cell r="E5609">
            <v>2</v>
          </cell>
          <cell r="F5609" t="str">
            <v>PC</v>
          </cell>
          <cell r="G5609">
            <v>0</v>
          </cell>
        </row>
        <row r="5610">
          <cell r="B5610">
            <v>85910</v>
          </cell>
          <cell r="C5610">
            <v>5943.88</v>
          </cell>
          <cell r="D5610" t="str">
            <v>PHP</v>
          </cell>
          <cell r="E5610">
            <v>4</v>
          </cell>
          <cell r="F5610" t="str">
            <v>PC</v>
          </cell>
          <cell r="G5610">
            <v>0</v>
          </cell>
        </row>
        <row r="5611">
          <cell r="B5611">
            <v>85911</v>
          </cell>
          <cell r="C5611">
            <v>107174.83</v>
          </cell>
          <cell r="D5611" t="str">
            <v>PHP</v>
          </cell>
          <cell r="E5611">
            <v>7</v>
          </cell>
          <cell r="F5611" t="str">
            <v>PC</v>
          </cell>
          <cell r="G5611">
            <v>0</v>
          </cell>
        </row>
        <row r="5612">
          <cell r="B5612">
            <v>85912</v>
          </cell>
          <cell r="C5612">
            <v>141801.66</v>
          </cell>
          <cell r="D5612" t="str">
            <v>PHP</v>
          </cell>
          <cell r="E5612">
            <v>1</v>
          </cell>
          <cell r="F5612" t="str">
            <v>PC</v>
          </cell>
          <cell r="G5612">
            <v>0</v>
          </cell>
        </row>
        <row r="5613">
          <cell r="B5613">
            <v>85913</v>
          </cell>
          <cell r="C5613">
            <v>198990</v>
          </cell>
          <cell r="D5613" t="str">
            <v>PHP</v>
          </cell>
          <cell r="E5613">
            <v>1</v>
          </cell>
          <cell r="F5613" t="str">
            <v>PC</v>
          </cell>
          <cell r="G5613">
            <v>0</v>
          </cell>
        </row>
        <row r="5614">
          <cell r="B5614">
            <v>85914</v>
          </cell>
          <cell r="C5614">
            <v>84645</v>
          </cell>
          <cell r="D5614" t="str">
            <v>PHP</v>
          </cell>
          <cell r="E5614">
            <v>1</v>
          </cell>
          <cell r="F5614" t="str">
            <v>PC</v>
          </cell>
          <cell r="G5614">
            <v>0</v>
          </cell>
        </row>
        <row r="5615">
          <cell r="B5615">
            <v>85915</v>
          </cell>
          <cell r="C5615">
            <v>94545</v>
          </cell>
          <cell r="D5615" t="str">
            <v>PHP</v>
          </cell>
          <cell r="E5615">
            <v>1</v>
          </cell>
          <cell r="F5615" t="str">
            <v>PC</v>
          </cell>
          <cell r="G5615">
            <v>0</v>
          </cell>
        </row>
        <row r="5616">
          <cell r="B5616">
            <v>85916</v>
          </cell>
          <cell r="C5616">
            <v>237724.74</v>
          </cell>
          <cell r="D5616" t="str">
            <v>PHP</v>
          </cell>
          <cell r="E5616">
            <v>3</v>
          </cell>
          <cell r="F5616" t="str">
            <v>PC</v>
          </cell>
          <cell r="G5616">
            <v>0</v>
          </cell>
        </row>
        <row r="5617">
          <cell r="B5617">
            <v>85917</v>
          </cell>
          <cell r="C5617">
            <v>7444.8</v>
          </cell>
          <cell r="D5617" t="str">
            <v>PHP</v>
          </cell>
          <cell r="E5617">
            <v>2</v>
          </cell>
          <cell r="F5617" t="str">
            <v>ASY</v>
          </cell>
          <cell r="G5617">
            <v>0</v>
          </cell>
        </row>
        <row r="5618">
          <cell r="B5618">
            <v>85918</v>
          </cell>
          <cell r="C5618">
            <v>10801.89</v>
          </cell>
          <cell r="D5618" t="str">
            <v>PHP</v>
          </cell>
          <cell r="E5618">
            <v>3</v>
          </cell>
          <cell r="F5618" t="str">
            <v>ASY</v>
          </cell>
          <cell r="G5618">
            <v>0</v>
          </cell>
        </row>
        <row r="5619">
          <cell r="B5619">
            <v>85919</v>
          </cell>
          <cell r="C5619">
            <v>14232.24</v>
          </cell>
          <cell r="D5619" t="str">
            <v>PHP</v>
          </cell>
          <cell r="E5619">
            <v>1</v>
          </cell>
          <cell r="F5619" t="str">
            <v>PC</v>
          </cell>
          <cell r="G5619">
            <v>0</v>
          </cell>
        </row>
        <row r="5620">
          <cell r="B5620">
            <v>85920</v>
          </cell>
          <cell r="C5620">
            <v>0</v>
          </cell>
          <cell r="D5620" t="str">
            <v>PHP</v>
          </cell>
          <cell r="E5620">
            <v>0</v>
          </cell>
          <cell r="F5620" t="str">
            <v>PC</v>
          </cell>
          <cell r="G5620">
            <v>0</v>
          </cell>
        </row>
        <row r="5621">
          <cell r="B5621">
            <v>85921</v>
          </cell>
          <cell r="C5621">
            <v>3575.88</v>
          </cell>
          <cell r="D5621" t="str">
            <v>PHP</v>
          </cell>
          <cell r="E5621">
            <v>1</v>
          </cell>
          <cell r="F5621" t="str">
            <v>PC</v>
          </cell>
          <cell r="G5621">
            <v>0</v>
          </cell>
        </row>
        <row r="5622">
          <cell r="B5622">
            <v>85922</v>
          </cell>
          <cell r="C5622">
            <v>530.64</v>
          </cell>
          <cell r="D5622" t="str">
            <v>PHP</v>
          </cell>
          <cell r="E5622">
            <v>1</v>
          </cell>
          <cell r="F5622" t="str">
            <v>PC</v>
          </cell>
          <cell r="G5622">
            <v>0</v>
          </cell>
        </row>
        <row r="5623">
          <cell r="B5623">
            <v>85923</v>
          </cell>
          <cell r="C5623">
            <v>491.04</v>
          </cell>
          <cell r="D5623" t="str">
            <v>PHP</v>
          </cell>
          <cell r="E5623">
            <v>1</v>
          </cell>
          <cell r="F5623" t="str">
            <v>PC</v>
          </cell>
          <cell r="G5623">
            <v>0</v>
          </cell>
        </row>
        <row r="5624">
          <cell r="B5624">
            <v>85924</v>
          </cell>
          <cell r="C5624">
            <v>304.92</v>
          </cell>
          <cell r="D5624" t="str">
            <v>PHP</v>
          </cell>
          <cell r="E5624">
            <v>1</v>
          </cell>
          <cell r="F5624" t="str">
            <v>PC</v>
          </cell>
          <cell r="G5624">
            <v>0</v>
          </cell>
        </row>
        <row r="5625">
          <cell r="B5625">
            <v>85925</v>
          </cell>
          <cell r="C5625">
            <v>292426.2</v>
          </cell>
          <cell r="D5625" t="str">
            <v>PHP</v>
          </cell>
          <cell r="E5625">
            <v>3</v>
          </cell>
          <cell r="F5625" t="str">
            <v>PC</v>
          </cell>
          <cell r="G5625">
            <v>0</v>
          </cell>
        </row>
        <row r="5626">
          <cell r="B5626">
            <v>85926</v>
          </cell>
          <cell r="C5626">
            <v>20679.12</v>
          </cell>
          <cell r="D5626" t="str">
            <v>PHP</v>
          </cell>
          <cell r="E5626">
            <v>1</v>
          </cell>
          <cell r="F5626" t="str">
            <v>PC</v>
          </cell>
          <cell r="G5626">
            <v>0</v>
          </cell>
        </row>
        <row r="5627">
          <cell r="B5627">
            <v>85927</v>
          </cell>
          <cell r="C5627">
            <v>51911.64</v>
          </cell>
          <cell r="D5627" t="str">
            <v>PHP</v>
          </cell>
          <cell r="E5627">
            <v>4</v>
          </cell>
          <cell r="F5627" t="str">
            <v>PC</v>
          </cell>
          <cell r="G5627">
            <v>0</v>
          </cell>
        </row>
        <row r="5628">
          <cell r="B5628">
            <v>85928</v>
          </cell>
          <cell r="C5628">
            <v>0</v>
          </cell>
          <cell r="D5628" t="str">
            <v>PHP</v>
          </cell>
          <cell r="E5628">
            <v>0</v>
          </cell>
          <cell r="F5628" t="str">
            <v>PC</v>
          </cell>
          <cell r="G5628">
            <v>0</v>
          </cell>
        </row>
        <row r="5629">
          <cell r="B5629">
            <v>85929</v>
          </cell>
          <cell r="C5629">
            <v>6712.2</v>
          </cell>
          <cell r="D5629" t="str">
            <v>PHP</v>
          </cell>
          <cell r="E5629">
            <v>6</v>
          </cell>
          <cell r="F5629" t="str">
            <v>SET</v>
          </cell>
          <cell r="G5629">
            <v>0</v>
          </cell>
        </row>
        <row r="5630">
          <cell r="B5630">
            <v>85930</v>
          </cell>
          <cell r="C5630">
            <v>19245.599999999999</v>
          </cell>
          <cell r="D5630" t="str">
            <v>PHP</v>
          </cell>
          <cell r="E5630">
            <v>1</v>
          </cell>
          <cell r="F5630" t="str">
            <v>PC</v>
          </cell>
          <cell r="G5630">
            <v>0</v>
          </cell>
        </row>
        <row r="5631">
          <cell r="B5631">
            <v>85931</v>
          </cell>
          <cell r="C5631">
            <v>16616.16</v>
          </cell>
          <cell r="D5631" t="str">
            <v>PHP</v>
          </cell>
          <cell r="E5631">
            <v>2</v>
          </cell>
          <cell r="F5631" t="str">
            <v>PC</v>
          </cell>
          <cell r="G5631">
            <v>0</v>
          </cell>
        </row>
        <row r="5632">
          <cell r="B5632">
            <v>85932</v>
          </cell>
          <cell r="C5632">
            <v>2851.2</v>
          </cell>
          <cell r="D5632" t="str">
            <v>PHP</v>
          </cell>
          <cell r="E5632">
            <v>18</v>
          </cell>
          <cell r="F5632" t="str">
            <v>PC</v>
          </cell>
          <cell r="G5632">
            <v>0</v>
          </cell>
        </row>
        <row r="5633">
          <cell r="B5633">
            <v>85933</v>
          </cell>
          <cell r="C5633">
            <v>51647.31</v>
          </cell>
          <cell r="D5633" t="str">
            <v>PHP</v>
          </cell>
          <cell r="E5633">
            <v>1</v>
          </cell>
          <cell r="F5633" t="str">
            <v>PC</v>
          </cell>
          <cell r="G5633">
            <v>0</v>
          </cell>
        </row>
        <row r="5634">
          <cell r="B5634">
            <v>85934</v>
          </cell>
          <cell r="C5634">
            <v>0</v>
          </cell>
          <cell r="D5634" t="str">
            <v>PHP</v>
          </cell>
          <cell r="E5634">
            <v>0</v>
          </cell>
          <cell r="F5634" t="str">
            <v>PC</v>
          </cell>
          <cell r="G5634">
            <v>0</v>
          </cell>
        </row>
        <row r="5635">
          <cell r="B5635">
            <v>85935</v>
          </cell>
          <cell r="C5635">
            <v>463.32</v>
          </cell>
          <cell r="D5635" t="str">
            <v>PHP</v>
          </cell>
          <cell r="E5635">
            <v>2</v>
          </cell>
          <cell r="F5635" t="str">
            <v>PC</v>
          </cell>
          <cell r="G5635">
            <v>0</v>
          </cell>
        </row>
        <row r="5636">
          <cell r="B5636">
            <v>86165</v>
          </cell>
          <cell r="C5636">
            <v>0</v>
          </cell>
          <cell r="D5636" t="str">
            <v>PHP</v>
          </cell>
          <cell r="E5636">
            <v>0</v>
          </cell>
          <cell r="F5636" t="str">
            <v>PC</v>
          </cell>
          <cell r="G5636">
            <v>0</v>
          </cell>
        </row>
        <row r="5637">
          <cell r="B5637">
            <v>87073</v>
          </cell>
          <cell r="C5637">
            <v>0</v>
          </cell>
          <cell r="D5637" t="str">
            <v>PHP</v>
          </cell>
          <cell r="E5637">
            <v>0</v>
          </cell>
          <cell r="F5637" t="str">
            <v>PC</v>
          </cell>
          <cell r="G5637">
            <v>0</v>
          </cell>
        </row>
        <row r="5638">
          <cell r="B5638">
            <v>87080</v>
          </cell>
          <cell r="C5638">
            <v>654374</v>
          </cell>
          <cell r="D5638" t="str">
            <v>PHP</v>
          </cell>
          <cell r="E5638">
            <v>1</v>
          </cell>
          <cell r="F5638" t="str">
            <v>ASY</v>
          </cell>
          <cell r="G5638">
            <v>0</v>
          </cell>
        </row>
        <row r="5639">
          <cell r="B5639">
            <v>87081</v>
          </cell>
          <cell r="C5639">
            <v>654374</v>
          </cell>
          <cell r="D5639" t="str">
            <v>PHP</v>
          </cell>
          <cell r="E5639">
            <v>1</v>
          </cell>
          <cell r="F5639" t="str">
            <v>SET</v>
          </cell>
          <cell r="G5639">
            <v>0</v>
          </cell>
        </row>
        <row r="5640">
          <cell r="B5640">
            <v>87082</v>
          </cell>
          <cell r="C5640">
            <v>0</v>
          </cell>
          <cell r="D5640" t="str">
            <v>PHP</v>
          </cell>
          <cell r="E5640">
            <v>0</v>
          </cell>
          <cell r="F5640" t="str">
            <v>PC</v>
          </cell>
          <cell r="G5640">
            <v>0</v>
          </cell>
        </row>
        <row r="5641">
          <cell r="B5641">
            <v>87083</v>
          </cell>
          <cell r="C5641">
            <v>0</v>
          </cell>
          <cell r="D5641" t="str">
            <v>PHP</v>
          </cell>
          <cell r="E5641">
            <v>0</v>
          </cell>
          <cell r="F5641" t="str">
            <v>PC</v>
          </cell>
          <cell r="G5641">
            <v>0</v>
          </cell>
        </row>
        <row r="5642">
          <cell r="B5642">
            <v>87086</v>
          </cell>
          <cell r="C5642">
            <v>338734.35</v>
          </cell>
          <cell r="D5642" t="str">
            <v>PHP</v>
          </cell>
          <cell r="E5642">
            <v>30</v>
          </cell>
          <cell r="F5642" t="str">
            <v>ASY</v>
          </cell>
          <cell r="G5642">
            <v>0</v>
          </cell>
        </row>
        <row r="5643">
          <cell r="B5643">
            <v>87087</v>
          </cell>
          <cell r="C5643">
            <v>268267.53000000003</v>
          </cell>
          <cell r="D5643" t="str">
            <v>PHP</v>
          </cell>
          <cell r="E5643">
            <v>12</v>
          </cell>
          <cell r="F5643" t="str">
            <v>PC</v>
          </cell>
          <cell r="G5643">
            <v>0</v>
          </cell>
        </row>
        <row r="5644">
          <cell r="B5644">
            <v>87095</v>
          </cell>
          <cell r="C5644">
            <v>34598.21</v>
          </cell>
          <cell r="D5644" t="str">
            <v>PHP</v>
          </cell>
          <cell r="E5644">
            <v>3</v>
          </cell>
          <cell r="F5644" t="str">
            <v>PC</v>
          </cell>
          <cell r="G5644">
            <v>0</v>
          </cell>
        </row>
        <row r="5645">
          <cell r="B5645">
            <v>87099</v>
          </cell>
          <cell r="C5645">
            <v>0</v>
          </cell>
          <cell r="D5645" t="str">
            <v>PHP</v>
          </cell>
          <cell r="E5645">
            <v>0</v>
          </cell>
          <cell r="F5645" t="str">
            <v>PC</v>
          </cell>
          <cell r="G5645">
            <v>0</v>
          </cell>
        </row>
        <row r="5646">
          <cell r="B5646">
            <v>87100</v>
          </cell>
          <cell r="C5646">
            <v>0</v>
          </cell>
          <cell r="D5646" t="str">
            <v>PHP</v>
          </cell>
          <cell r="E5646">
            <v>0</v>
          </cell>
          <cell r="F5646" t="str">
            <v>PC</v>
          </cell>
          <cell r="G5646">
            <v>0</v>
          </cell>
        </row>
        <row r="5647">
          <cell r="B5647">
            <v>87164</v>
          </cell>
          <cell r="C5647">
            <v>10142.52</v>
          </cell>
          <cell r="D5647" t="str">
            <v>PHP</v>
          </cell>
          <cell r="E5647">
            <v>6</v>
          </cell>
          <cell r="F5647" t="str">
            <v>PC</v>
          </cell>
          <cell r="G5647">
            <v>0</v>
          </cell>
        </row>
        <row r="5648">
          <cell r="B5648">
            <v>87165</v>
          </cell>
          <cell r="C5648">
            <v>10522.8</v>
          </cell>
          <cell r="D5648" t="str">
            <v>PHP</v>
          </cell>
          <cell r="E5648">
            <v>24</v>
          </cell>
          <cell r="F5648" t="str">
            <v>PC</v>
          </cell>
          <cell r="G5648">
            <v>0</v>
          </cell>
        </row>
        <row r="5649">
          <cell r="B5649">
            <v>87166</v>
          </cell>
          <cell r="C5649">
            <v>3194.28</v>
          </cell>
          <cell r="D5649" t="str">
            <v>PHP</v>
          </cell>
          <cell r="E5649">
            <v>36</v>
          </cell>
          <cell r="F5649" t="str">
            <v>PC</v>
          </cell>
          <cell r="G5649">
            <v>0</v>
          </cell>
        </row>
        <row r="5650">
          <cell r="B5650">
            <v>87167</v>
          </cell>
          <cell r="C5650">
            <v>171286.44</v>
          </cell>
          <cell r="D5650" t="str">
            <v>PHP</v>
          </cell>
          <cell r="E5650">
            <v>12</v>
          </cell>
          <cell r="F5650" t="str">
            <v>PC</v>
          </cell>
          <cell r="G5650">
            <v>0</v>
          </cell>
        </row>
        <row r="5651">
          <cell r="B5651">
            <v>87168</v>
          </cell>
          <cell r="C5651">
            <v>10770.12</v>
          </cell>
          <cell r="D5651" t="str">
            <v>PHP</v>
          </cell>
          <cell r="E5651">
            <v>12</v>
          </cell>
          <cell r="F5651" t="str">
            <v>PC</v>
          </cell>
          <cell r="G5651">
            <v>0</v>
          </cell>
        </row>
        <row r="5652">
          <cell r="B5652">
            <v>87169</v>
          </cell>
          <cell r="C5652">
            <v>28042.080000000002</v>
          </cell>
          <cell r="D5652" t="str">
            <v>PHP</v>
          </cell>
          <cell r="E5652">
            <v>48</v>
          </cell>
          <cell r="F5652" t="str">
            <v>PC</v>
          </cell>
          <cell r="G5652">
            <v>0</v>
          </cell>
        </row>
        <row r="5653">
          <cell r="B5653">
            <v>87170</v>
          </cell>
          <cell r="C5653">
            <v>7180.08</v>
          </cell>
          <cell r="D5653" t="str">
            <v>PHP</v>
          </cell>
          <cell r="E5653">
            <v>12</v>
          </cell>
          <cell r="F5653" t="str">
            <v>PC</v>
          </cell>
          <cell r="G5653">
            <v>0</v>
          </cell>
        </row>
        <row r="5654">
          <cell r="B5654">
            <v>87171</v>
          </cell>
          <cell r="C5654">
            <v>171416.58</v>
          </cell>
          <cell r="D5654" t="str">
            <v>PHP</v>
          </cell>
          <cell r="E5654">
            <v>6</v>
          </cell>
          <cell r="F5654" t="str">
            <v>PC</v>
          </cell>
          <cell r="G5654">
            <v>0</v>
          </cell>
        </row>
        <row r="5655">
          <cell r="B5655">
            <v>87172</v>
          </cell>
          <cell r="C5655">
            <v>8209.76</v>
          </cell>
          <cell r="D5655" t="str">
            <v>PHP</v>
          </cell>
          <cell r="E5655">
            <v>4</v>
          </cell>
          <cell r="F5655" t="str">
            <v>PC</v>
          </cell>
          <cell r="G5655">
            <v>0</v>
          </cell>
        </row>
        <row r="5656">
          <cell r="B5656">
            <v>87173</v>
          </cell>
          <cell r="C5656">
            <v>7504.36</v>
          </cell>
          <cell r="D5656" t="str">
            <v>PHP</v>
          </cell>
          <cell r="E5656">
            <v>4</v>
          </cell>
          <cell r="F5656" t="str">
            <v>PC</v>
          </cell>
          <cell r="G5656">
            <v>0</v>
          </cell>
        </row>
        <row r="5657">
          <cell r="B5657">
            <v>87174</v>
          </cell>
          <cell r="C5657">
            <v>372703.68</v>
          </cell>
          <cell r="D5657" t="str">
            <v>PHP</v>
          </cell>
          <cell r="E5657">
            <v>24</v>
          </cell>
          <cell r="F5657" t="str">
            <v>PC</v>
          </cell>
          <cell r="G5657">
            <v>0</v>
          </cell>
        </row>
        <row r="5658">
          <cell r="B5658">
            <v>87175</v>
          </cell>
          <cell r="C5658">
            <v>13726.68</v>
          </cell>
          <cell r="D5658" t="str">
            <v>PHP</v>
          </cell>
          <cell r="E5658">
            <v>3</v>
          </cell>
          <cell r="F5658" t="str">
            <v>PC</v>
          </cell>
          <cell r="G5658">
            <v>0</v>
          </cell>
        </row>
        <row r="5659">
          <cell r="B5659">
            <v>87176</v>
          </cell>
          <cell r="C5659">
            <v>108221.1</v>
          </cell>
          <cell r="D5659" t="str">
            <v>PHP</v>
          </cell>
          <cell r="E5659">
            <v>5</v>
          </cell>
          <cell r="F5659" t="str">
            <v>PC</v>
          </cell>
          <cell r="G5659">
            <v>0</v>
          </cell>
        </row>
        <row r="5660">
          <cell r="B5660">
            <v>87177</v>
          </cell>
          <cell r="C5660">
            <v>48089.26</v>
          </cell>
          <cell r="D5660" t="str">
            <v>PHP</v>
          </cell>
          <cell r="E5660">
            <v>2</v>
          </cell>
          <cell r="F5660" t="str">
            <v>PC</v>
          </cell>
          <cell r="G5660">
            <v>0</v>
          </cell>
        </row>
        <row r="5661">
          <cell r="B5661">
            <v>87178</v>
          </cell>
          <cell r="C5661">
            <v>46782.42</v>
          </cell>
          <cell r="D5661" t="str">
            <v>PHP</v>
          </cell>
          <cell r="E5661">
            <v>2</v>
          </cell>
          <cell r="F5661" t="str">
            <v>PC</v>
          </cell>
          <cell r="G5661">
            <v>0</v>
          </cell>
        </row>
        <row r="5662">
          <cell r="B5662">
            <v>87179</v>
          </cell>
          <cell r="C5662">
            <v>54811.41</v>
          </cell>
          <cell r="D5662" t="str">
            <v>PHP</v>
          </cell>
          <cell r="E5662">
            <v>3</v>
          </cell>
          <cell r="F5662" t="str">
            <v>PC</v>
          </cell>
          <cell r="G5662">
            <v>0</v>
          </cell>
        </row>
        <row r="5663">
          <cell r="B5663">
            <v>87180</v>
          </cell>
          <cell r="C5663">
            <v>40996.720000000001</v>
          </cell>
          <cell r="D5663" t="str">
            <v>PHP</v>
          </cell>
          <cell r="E5663">
            <v>2</v>
          </cell>
          <cell r="F5663" t="str">
            <v>PC</v>
          </cell>
          <cell r="G5663">
            <v>0</v>
          </cell>
        </row>
        <row r="5664">
          <cell r="B5664">
            <v>87181</v>
          </cell>
          <cell r="C5664">
            <v>21285.3</v>
          </cell>
          <cell r="D5664" t="str">
            <v>PHP</v>
          </cell>
          <cell r="E5664">
            <v>6</v>
          </cell>
          <cell r="F5664" t="str">
            <v>PC</v>
          </cell>
          <cell r="G5664">
            <v>0</v>
          </cell>
        </row>
        <row r="5665">
          <cell r="B5665">
            <v>87182</v>
          </cell>
          <cell r="C5665">
            <v>0</v>
          </cell>
          <cell r="D5665" t="str">
            <v>PHP</v>
          </cell>
          <cell r="E5665">
            <v>0</v>
          </cell>
          <cell r="F5665" t="str">
            <v>PC</v>
          </cell>
          <cell r="G5665">
            <v>0</v>
          </cell>
        </row>
        <row r="5666">
          <cell r="B5666">
            <v>87183</v>
          </cell>
          <cell r="C5666">
            <v>2133022.56</v>
          </cell>
          <cell r="D5666" t="str">
            <v>PHP</v>
          </cell>
          <cell r="E5666">
            <v>4</v>
          </cell>
          <cell r="F5666" t="str">
            <v>PC</v>
          </cell>
          <cell r="G5666">
            <v>0</v>
          </cell>
        </row>
        <row r="5667">
          <cell r="B5667">
            <v>87185</v>
          </cell>
          <cell r="C5667">
            <v>52076.46</v>
          </cell>
          <cell r="D5667" t="str">
            <v>PHP</v>
          </cell>
          <cell r="E5667">
            <v>2</v>
          </cell>
          <cell r="F5667" t="str">
            <v>PC</v>
          </cell>
          <cell r="G5667">
            <v>0</v>
          </cell>
        </row>
        <row r="5668">
          <cell r="B5668">
            <v>87186</v>
          </cell>
          <cell r="C5668">
            <v>61493.7</v>
          </cell>
          <cell r="D5668" t="str">
            <v>PHP</v>
          </cell>
          <cell r="E5668">
            <v>6</v>
          </cell>
          <cell r="F5668" t="str">
            <v>PC</v>
          </cell>
          <cell r="G5668">
            <v>0</v>
          </cell>
        </row>
        <row r="5669">
          <cell r="B5669">
            <v>87187</v>
          </cell>
          <cell r="C5669">
            <v>4335.79</v>
          </cell>
          <cell r="D5669" t="str">
            <v>PHP</v>
          </cell>
          <cell r="E5669">
            <v>1</v>
          </cell>
          <cell r="F5669" t="str">
            <v>PC</v>
          </cell>
          <cell r="G5669">
            <v>0</v>
          </cell>
        </row>
        <row r="5670">
          <cell r="B5670">
            <v>87188</v>
          </cell>
          <cell r="C5670">
            <v>1142.28</v>
          </cell>
          <cell r="D5670" t="str">
            <v>PHP</v>
          </cell>
          <cell r="E5670">
            <v>3</v>
          </cell>
          <cell r="F5670" t="str">
            <v>PC</v>
          </cell>
          <cell r="G5670">
            <v>0</v>
          </cell>
        </row>
        <row r="5671">
          <cell r="B5671">
            <v>87189</v>
          </cell>
          <cell r="C5671">
            <v>36922.800000000003</v>
          </cell>
          <cell r="D5671" t="str">
            <v>PHP</v>
          </cell>
          <cell r="E5671">
            <v>6</v>
          </cell>
          <cell r="F5671" t="str">
            <v>PC</v>
          </cell>
          <cell r="G5671">
            <v>0</v>
          </cell>
        </row>
        <row r="5672">
          <cell r="B5672">
            <v>87190</v>
          </cell>
          <cell r="C5672">
            <v>29974.2</v>
          </cell>
          <cell r="D5672" t="str">
            <v>PHP</v>
          </cell>
          <cell r="E5672">
            <v>4</v>
          </cell>
          <cell r="F5672" t="str">
            <v>PC</v>
          </cell>
          <cell r="G5672">
            <v>0</v>
          </cell>
        </row>
        <row r="5673">
          <cell r="B5673">
            <v>87191</v>
          </cell>
          <cell r="C5673">
            <v>211.2</v>
          </cell>
          <cell r="D5673" t="str">
            <v>PHP</v>
          </cell>
          <cell r="E5673">
            <v>24</v>
          </cell>
          <cell r="F5673" t="str">
            <v>PC</v>
          </cell>
          <cell r="G5673">
            <v>0</v>
          </cell>
        </row>
        <row r="5674">
          <cell r="B5674">
            <v>107541</v>
          </cell>
          <cell r="C5674">
            <v>13070.87</v>
          </cell>
          <cell r="D5674" t="str">
            <v>PHP</v>
          </cell>
          <cell r="E5674">
            <v>1</v>
          </cell>
          <cell r="F5674" t="str">
            <v>PC</v>
          </cell>
          <cell r="G5674">
            <v>0</v>
          </cell>
        </row>
        <row r="5675">
          <cell r="B5675">
            <v>107542</v>
          </cell>
          <cell r="C5675">
            <v>5731.18</v>
          </cell>
          <cell r="D5675" t="str">
            <v>PHP</v>
          </cell>
          <cell r="E5675">
            <v>1</v>
          </cell>
          <cell r="F5675" t="str">
            <v>PC</v>
          </cell>
          <cell r="G5675">
            <v>0</v>
          </cell>
        </row>
        <row r="5676">
          <cell r="B5676">
            <v>107543</v>
          </cell>
          <cell r="C5676">
            <v>7641.58</v>
          </cell>
          <cell r="D5676" t="str">
            <v>PHP</v>
          </cell>
          <cell r="E5676">
            <v>1</v>
          </cell>
          <cell r="F5676" t="str">
            <v>PC</v>
          </cell>
          <cell r="G5676">
            <v>0</v>
          </cell>
        </row>
        <row r="5677">
          <cell r="B5677">
            <v>107544</v>
          </cell>
          <cell r="C5677">
            <v>20511.650000000001</v>
          </cell>
          <cell r="D5677" t="str">
            <v>PHP</v>
          </cell>
          <cell r="E5677">
            <v>2</v>
          </cell>
          <cell r="F5677" t="str">
            <v>KIT</v>
          </cell>
          <cell r="G5677">
            <v>0</v>
          </cell>
        </row>
        <row r="5678">
          <cell r="B5678">
            <v>107545</v>
          </cell>
          <cell r="C5678">
            <v>13272.13</v>
          </cell>
          <cell r="D5678" t="str">
            <v>PHP</v>
          </cell>
          <cell r="E5678">
            <v>1</v>
          </cell>
          <cell r="F5678" t="str">
            <v>PC</v>
          </cell>
          <cell r="G5678">
            <v>0</v>
          </cell>
        </row>
        <row r="5679">
          <cell r="B5679">
            <v>107546</v>
          </cell>
          <cell r="C5679">
            <v>3093.69</v>
          </cell>
          <cell r="D5679" t="str">
            <v>PHP</v>
          </cell>
          <cell r="E5679">
            <v>1</v>
          </cell>
          <cell r="F5679" t="str">
            <v>PC</v>
          </cell>
          <cell r="G5679">
            <v>0</v>
          </cell>
        </row>
        <row r="5680">
          <cell r="B5680">
            <v>107547</v>
          </cell>
          <cell r="C5680">
            <v>20360.71</v>
          </cell>
          <cell r="D5680" t="str">
            <v>PHP</v>
          </cell>
          <cell r="E5680">
            <v>1</v>
          </cell>
          <cell r="F5680" t="str">
            <v>PC</v>
          </cell>
          <cell r="G5680">
            <v>0</v>
          </cell>
        </row>
        <row r="5681">
          <cell r="B5681">
            <v>107548</v>
          </cell>
          <cell r="C5681">
            <v>38308.31</v>
          </cell>
          <cell r="D5681" t="str">
            <v>PHP</v>
          </cell>
          <cell r="E5681">
            <v>1</v>
          </cell>
          <cell r="F5681" t="str">
            <v>PC</v>
          </cell>
          <cell r="G5681">
            <v>0</v>
          </cell>
        </row>
        <row r="5682">
          <cell r="B5682">
            <v>107549</v>
          </cell>
          <cell r="C5682">
            <v>27650.3</v>
          </cell>
          <cell r="D5682" t="str">
            <v>PHP</v>
          </cell>
          <cell r="E5682">
            <v>1</v>
          </cell>
          <cell r="F5682" t="str">
            <v>PC</v>
          </cell>
          <cell r="G5682">
            <v>0</v>
          </cell>
        </row>
        <row r="5683">
          <cell r="B5683">
            <v>107550</v>
          </cell>
          <cell r="C5683">
            <v>0</v>
          </cell>
          <cell r="D5683" t="str">
            <v>PHP</v>
          </cell>
          <cell r="E5683">
            <v>0</v>
          </cell>
          <cell r="F5683" t="str">
            <v>PC</v>
          </cell>
          <cell r="G5683">
            <v>0</v>
          </cell>
        </row>
        <row r="5684">
          <cell r="B5684">
            <v>107561</v>
          </cell>
          <cell r="C5684">
            <v>43234.91</v>
          </cell>
          <cell r="D5684" t="str">
            <v>PHP</v>
          </cell>
          <cell r="E5684">
            <v>1</v>
          </cell>
          <cell r="F5684" t="str">
            <v>PC</v>
          </cell>
          <cell r="G5684">
            <v>0</v>
          </cell>
        </row>
        <row r="5685">
          <cell r="B5685">
            <v>107562</v>
          </cell>
          <cell r="C5685">
            <v>29359.66</v>
          </cell>
          <cell r="D5685" t="str">
            <v>PHP</v>
          </cell>
          <cell r="E5685">
            <v>2</v>
          </cell>
          <cell r="F5685" t="str">
            <v>PC</v>
          </cell>
          <cell r="G5685">
            <v>0</v>
          </cell>
        </row>
        <row r="5686">
          <cell r="B5686">
            <v>107563</v>
          </cell>
          <cell r="C5686">
            <v>81643.850000000006</v>
          </cell>
          <cell r="D5686" t="str">
            <v>PHP</v>
          </cell>
          <cell r="E5686">
            <v>2</v>
          </cell>
          <cell r="F5686" t="str">
            <v>PC</v>
          </cell>
          <cell r="G5686">
            <v>0</v>
          </cell>
        </row>
        <row r="5687">
          <cell r="B5687">
            <v>107564</v>
          </cell>
          <cell r="C5687">
            <v>0</v>
          </cell>
          <cell r="D5687" t="str">
            <v>PHP</v>
          </cell>
          <cell r="E5687">
            <v>0</v>
          </cell>
          <cell r="F5687" t="str">
            <v>PC</v>
          </cell>
          <cell r="G5687">
            <v>0</v>
          </cell>
        </row>
        <row r="5688">
          <cell r="B5688">
            <v>107565</v>
          </cell>
          <cell r="C5688">
            <v>50675.46</v>
          </cell>
          <cell r="D5688" t="str">
            <v>PHP</v>
          </cell>
          <cell r="E5688">
            <v>1</v>
          </cell>
          <cell r="F5688" t="str">
            <v>PC</v>
          </cell>
          <cell r="G5688">
            <v>0</v>
          </cell>
        </row>
        <row r="5689">
          <cell r="B5689">
            <v>107566</v>
          </cell>
          <cell r="C5689">
            <v>2948.81</v>
          </cell>
          <cell r="D5689" t="str">
            <v>PHP</v>
          </cell>
          <cell r="E5689">
            <v>1</v>
          </cell>
          <cell r="F5689" t="str">
            <v>ROL</v>
          </cell>
          <cell r="G5689">
            <v>0</v>
          </cell>
        </row>
        <row r="5690">
          <cell r="B5690">
            <v>107567</v>
          </cell>
          <cell r="C5690">
            <v>22874.43</v>
          </cell>
          <cell r="D5690" t="str">
            <v>PHP</v>
          </cell>
          <cell r="E5690">
            <v>1</v>
          </cell>
          <cell r="F5690" t="str">
            <v>PC</v>
          </cell>
          <cell r="G5690">
            <v>0</v>
          </cell>
        </row>
        <row r="5691">
          <cell r="B5691">
            <v>107568</v>
          </cell>
          <cell r="C5691">
            <v>2997.1</v>
          </cell>
          <cell r="D5691" t="str">
            <v>PHP</v>
          </cell>
          <cell r="E5691">
            <v>1</v>
          </cell>
          <cell r="F5691" t="str">
            <v>PC</v>
          </cell>
          <cell r="G5691">
            <v>0</v>
          </cell>
        </row>
        <row r="5692">
          <cell r="B5692">
            <v>107569</v>
          </cell>
          <cell r="C5692">
            <v>221202.45</v>
          </cell>
          <cell r="D5692" t="str">
            <v>PHP</v>
          </cell>
          <cell r="E5692">
            <v>1</v>
          </cell>
          <cell r="F5692" t="str">
            <v>PC</v>
          </cell>
          <cell r="G5692">
            <v>0</v>
          </cell>
        </row>
        <row r="5693">
          <cell r="B5693">
            <v>107570</v>
          </cell>
          <cell r="C5693">
            <v>2059.54</v>
          </cell>
          <cell r="D5693" t="str">
            <v>PHP</v>
          </cell>
          <cell r="E5693">
            <v>1</v>
          </cell>
          <cell r="F5693" t="str">
            <v>PC</v>
          </cell>
          <cell r="G5693">
            <v>0</v>
          </cell>
        </row>
        <row r="5694">
          <cell r="B5694">
            <v>107585</v>
          </cell>
          <cell r="C5694">
            <v>36737.99</v>
          </cell>
          <cell r="D5694" t="str">
            <v>PHP</v>
          </cell>
          <cell r="E5694">
            <v>1</v>
          </cell>
          <cell r="F5694" t="str">
            <v>PC</v>
          </cell>
          <cell r="G5694">
            <v>0</v>
          </cell>
        </row>
        <row r="5695">
          <cell r="B5695">
            <v>107586</v>
          </cell>
          <cell r="C5695">
            <v>111084.61</v>
          </cell>
          <cell r="D5695" t="str">
            <v>PHP</v>
          </cell>
          <cell r="E5695">
            <v>1</v>
          </cell>
          <cell r="F5695" t="str">
            <v>ASY</v>
          </cell>
          <cell r="G5695">
            <v>0</v>
          </cell>
        </row>
        <row r="5696">
          <cell r="B5696">
            <v>107587</v>
          </cell>
          <cell r="C5696">
            <v>11914.75</v>
          </cell>
          <cell r="D5696" t="str">
            <v>PHP</v>
          </cell>
          <cell r="E5696">
            <v>1</v>
          </cell>
          <cell r="F5696" t="str">
            <v>PC</v>
          </cell>
          <cell r="G5696">
            <v>0</v>
          </cell>
        </row>
        <row r="5697">
          <cell r="B5697">
            <v>107588</v>
          </cell>
          <cell r="C5697">
            <v>2126.9299999999998</v>
          </cell>
          <cell r="D5697" t="str">
            <v>PHP</v>
          </cell>
          <cell r="E5697">
            <v>1</v>
          </cell>
          <cell r="F5697" t="str">
            <v>PC</v>
          </cell>
          <cell r="G5697">
            <v>0</v>
          </cell>
        </row>
        <row r="5698">
          <cell r="B5698">
            <v>107589</v>
          </cell>
          <cell r="C5698">
            <v>531.66999999999996</v>
          </cell>
          <cell r="D5698" t="str">
            <v>PHP</v>
          </cell>
          <cell r="E5698">
            <v>1</v>
          </cell>
          <cell r="F5698" t="str">
            <v>PC</v>
          </cell>
          <cell r="G5698">
            <v>0</v>
          </cell>
        </row>
        <row r="5699">
          <cell r="B5699">
            <v>108568</v>
          </cell>
          <cell r="C5699">
            <v>1243314.6200000001</v>
          </cell>
          <cell r="D5699" t="str">
            <v>PHP</v>
          </cell>
          <cell r="E5699">
            <v>3</v>
          </cell>
          <cell r="F5699" t="str">
            <v>PC</v>
          </cell>
          <cell r="G5699">
            <v>0</v>
          </cell>
        </row>
        <row r="5700">
          <cell r="B5700">
            <v>108569</v>
          </cell>
          <cell r="C5700">
            <v>1693463.52</v>
          </cell>
          <cell r="D5700" t="str">
            <v>PHP</v>
          </cell>
          <cell r="E5700">
            <v>4</v>
          </cell>
          <cell r="F5700" t="str">
            <v>PC</v>
          </cell>
          <cell r="G5700">
            <v>0</v>
          </cell>
        </row>
        <row r="5701">
          <cell r="B5701">
            <v>108574</v>
          </cell>
          <cell r="C5701">
            <v>0</v>
          </cell>
          <cell r="D5701" t="str">
            <v>PHP</v>
          </cell>
          <cell r="E5701">
            <v>0</v>
          </cell>
          <cell r="F5701" t="str">
            <v>ASY</v>
          </cell>
          <cell r="G5701">
            <v>0</v>
          </cell>
        </row>
        <row r="5702">
          <cell r="B5702">
            <v>108575</v>
          </cell>
          <cell r="C5702">
            <v>0</v>
          </cell>
          <cell r="D5702" t="str">
            <v>PHP</v>
          </cell>
          <cell r="E5702">
            <v>0</v>
          </cell>
          <cell r="F5702" t="str">
            <v>ASY</v>
          </cell>
          <cell r="G5702">
            <v>0</v>
          </cell>
        </row>
        <row r="5703">
          <cell r="B5703">
            <v>108585</v>
          </cell>
          <cell r="C5703">
            <v>0</v>
          </cell>
          <cell r="D5703" t="str">
            <v>PHP</v>
          </cell>
          <cell r="E5703">
            <v>0</v>
          </cell>
          <cell r="F5703" t="str">
            <v>KIT</v>
          </cell>
          <cell r="G5703">
            <v>0</v>
          </cell>
        </row>
        <row r="5704">
          <cell r="B5704">
            <v>108595</v>
          </cell>
          <cell r="C5704">
            <v>212623.64</v>
          </cell>
          <cell r="D5704" t="str">
            <v>PHP</v>
          </cell>
          <cell r="E5704">
            <v>1</v>
          </cell>
          <cell r="F5704" t="str">
            <v>PC</v>
          </cell>
          <cell r="G5704">
            <v>0</v>
          </cell>
        </row>
        <row r="5705">
          <cell r="B5705">
            <v>109061</v>
          </cell>
          <cell r="C5705">
            <v>0</v>
          </cell>
          <cell r="D5705" t="str">
            <v>PHP</v>
          </cell>
          <cell r="E5705">
            <v>0</v>
          </cell>
          <cell r="F5705" t="str">
            <v>LOT</v>
          </cell>
          <cell r="G5705">
            <v>0</v>
          </cell>
        </row>
        <row r="5706">
          <cell r="B5706">
            <v>109096</v>
          </cell>
          <cell r="C5706">
            <v>0</v>
          </cell>
          <cell r="D5706" t="str">
            <v>PHP</v>
          </cell>
          <cell r="E5706">
            <v>0</v>
          </cell>
          <cell r="F5706" t="str">
            <v>PC</v>
          </cell>
          <cell r="G5706">
            <v>0</v>
          </cell>
        </row>
        <row r="5707">
          <cell r="B5707">
            <v>109097</v>
          </cell>
          <cell r="C5707">
            <v>433674.72</v>
          </cell>
          <cell r="D5707" t="str">
            <v>PHP</v>
          </cell>
          <cell r="E5707">
            <v>6</v>
          </cell>
          <cell r="F5707" t="str">
            <v>PC</v>
          </cell>
          <cell r="G5707">
            <v>0</v>
          </cell>
        </row>
        <row r="5708">
          <cell r="B5708">
            <v>109102</v>
          </cell>
          <cell r="C5708">
            <v>0</v>
          </cell>
          <cell r="D5708" t="str">
            <v>PHP</v>
          </cell>
          <cell r="E5708">
            <v>0</v>
          </cell>
          <cell r="F5708" t="str">
            <v>PC</v>
          </cell>
          <cell r="G5708">
            <v>0</v>
          </cell>
        </row>
        <row r="5709">
          <cell r="B5709">
            <v>109107</v>
          </cell>
          <cell r="C5709">
            <v>194175.13</v>
          </cell>
          <cell r="D5709" t="str">
            <v>PHP</v>
          </cell>
          <cell r="E5709">
            <v>10</v>
          </cell>
          <cell r="F5709" t="str">
            <v>PC</v>
          </cell>
          <cell r="G5709">
            <v>0</v>
          </cell>
        </row>
        <row r="5710">
          <cell r="B5710">
            <v>109130</v>
          </cell>
          <cell r="C5710">
            <v>215408.8</v>
          </cell>
          <cell r="D5710" t="str">
            <v>PHP</v>
          </cell>
          <cell r="E5710">
            <v>1</v>
          </cell>
          <cell r="F5710" t="str">
            <v>PC</v>
          </cell>
          <cell r="G5710">
            <v>0</v>
          </cell>
        </row>
        <row r="5711">
          <cell r="B5711">
            <v>109135</v>
          </cell>
          <cell r="C5711">
            <v>39769.64</v>
          </cell>
          <cell r="D5711" t="str">
            <v>PHP</v>
          </cell>
          <cell r="E5711">
            <v>4</v>
          </cell>
          <cell r="F5711" t="str">
            <v>PC</v>
          </cell>
          <cell r="G5711">
            <v>0</v>
          </cell>
        </row>
        <row r="5712">
          <cell r="B5712">
            <v>109141</v>
          </cell>
          <cell r="C5712">
            <v>36409.440000000002</v>
          </cell>
          <cell r="D5712" t="str">
            <v>PHP</v>
          </cell>
          <cell r="E5712">
            <v>32</v>
          </cell>
          <cell r="F5712" t="str">
            <v>PC</v>
          </cell>
          <cell r="G5712">
            <v>0</v>
          </cell>
        </row>
        <row r="5713">
          <cell r="B5713">
            <v>109143</v>
          </cell>
          <cell r="C5713">
            <v>0</v>
          </cell>
          <cell r="D5713" t="str">
            <v>PHP</v>
          </cell>
          <cell r="E5713">
            <v>0</v>
          </cell>
          <cell r="F5713" t="str">
            <v>PC</v>
          </cell>
          <cell r="G5713">
            <v>0</v>
          </cell>
        </row>
        <row r="5714">
          <cell r="B5714">
            <v>109153</v>
          </cell>
          <cell r="C5714">
            <v>12202.62</v>
          </cell>
          <cell r="D5714" t="str">
            <v>PHP</v>
          </cell>
          <cell r="E5714">
            <v>3</v>
          </cell>
          <cell r="F5714" t="str">
            <v>PC</v>
          </cell>
          <cell r="G5714">
            <v>0</v>
          </cell>
        </row>
        <row r="5715">
          <cell r="B5715">
            <v>109154</v>
          </cell>
          <cell r="C5715">
            <v>0</v>
          </cell>
          <cell r="D5715" t="str">
            <v>PHP</v>
          </cell>
          <cell r="E5715">
            <v>0</v>
          </cell>
          <cell r="F5715" t="str">
            <v>PC</v>
          </cell>
          <cell r="G5715">
            <v>0</v>
          </cell>
        </row>
        <row r="5716">
          <cell r="B5716">
            <v>109157</v>
          </cell>
          <cell r="C5716">
            <v>0</v>
          </cell>
          <cell r="D5716" t="str">
            <v>PHP</v>
          </cell>
          <cell r="E5716">
            <v>0</v>
          </cell>
          <cell r="F5716" t="str">
            <v>PC</v>
          </cell>
          <cell r="G5716">
            <v>0</v>
          </cell>
        </row>
        <row r="5717">
          <cell r="B5717">
            <v>109158</v>
          </cell>
          <cell r="C5717">
            <v>0</v>
          </cell>
          <cell r="D5717" t="str">
            <v>PHP</v>
          </cell>
          <cell r="E5717">
            <v>0</v>
          </cell>
          <cell r="F5717" t="str">
            <v>PC</v>
          </cell>
          <cell r="G5717">
            <v>0</v>
          </cell>
        </row>
        <row r="5718">
          <cell r="B5718">
            <v>109160</v>
          </cell>
          <cell r="C5718">
            <v>0</v>
          </cell>
          <cell r="D5718" t="str">
            <v>PHP</v>
          </cell>
          <cell r="E5718">
            <v>0</v>
          </cell>
          <cell r="F5718" t="str">
            <v>PC</v>
          </cell>
          <cell r="G5718">
            <v>0</v>
          </cell>
        </row>
        <row r="5719">
          <cell r="B5719">
            <v>109161</v>
          </cell>
          <cell r="C5719">
            <v>0</v>
          </cell>
          <cell r="D5719" t="str">
            <v>PHP</v>
          </cell>
          <cell r="E5719">
            <v>0</v>
          </cell>
          <cell r="F5719" t="str">
            <v>PC</v>
          </cell>
          <cell r="G5719">
            <v>0</v>
          </cell>
        </row>
        <row r="5720">
          <cell r="B5720">
            <v>109173</v>
          </cell>
          <cell r="C5720">
            <v>4184.3100000000004</v>
          </cell>
          <cell r="D5720" t="str">
            <v>PHP</v>
          </cell>
          <cell r="E5720">
            <v>3</v>
          </cell>
          <cell r="F5720" t="str">
            <v>PC</v>
          </cell>
          <cell r="G5720">
            <v>0</v>
          </cell>
        </row>
        <row r="5721">
          <cell r="B5721">
            <v>109174</v>
          </cell>
          <cell r="C5721">
            <v>127817.93</v>
          </cell>
          <cell r="D5721" t="str">
            <v>PHP</v>
          </cell>
          <cell r="E5721">
            <v>15</v>
          </cell>
          <cell r="F5721" t="str">
            <v>PC</v>
          </cell>
          <cell r="G5721">
            <v>0</v>
          </cell>
        </row>
        <row r="5722">
          <cell r="B5722">
            <v>109180</v>
          </cell>
          <cell r="C5722">
            <v>19253.04</v>
          </cell>
          <cell r="D5722" t="str">
            <v>PHP</v>
          </cell>
          <cell r="E5722">
            <v>4</v>
          </cell>
          <cell r="F5722" t="str">
            <v>PC</v>
          </cell>
          <cell r="G5722">
            <v>0</v>
          </cell>
        </row>
        <row r="5723">
          <cell r="B5723">
            <v>109184</v>
          </cell>
          <cell r="C5723">
            <v>17853.27</v>
          </cell>
          <cell r="D5723" t="str">
            <v>PHP</v>
          </cell>
          <cell r="E5723">
            <v>48</v>
          </cell>
          <cell r="F5723" t="str">
            <v>PC</v>
          </cell>
          <cell r="G5723">
            <v>0</v>
          </cell>
        </row>
        <row r="5724">
          <cell r="B5724">
            <v>109187</v>
          </cell>
          <cell r="C5724">
            <v>28849.75</v>
          </cell>
          <cell r="D5724" t="str">
            <v>PHP</v>
          </cell>
          <cell r="E5724">
            <v>1</v>
          </cell>
          <cell r="F5724" t="str">
            <v>PC</v>
          </cell>
          <cell r="G5724">
            <v>0</v>
          </cell>
        </row>
        <row r="5725">
          <cell r="B5725">
            <v>109189</v>
          </cell>
          <cell r="C5725">
            <v>276555.28999999998</v>
          </cell>
          <cell r="D5725" t="str">
            <v>PHP</v>
          </cell>
          <cell r="E5725">
            <v>5</v>
          </cell>
          <cell r="F5725" t="str">
            <v>PC</v>
          </cell>
          <cell r="G5725">
            <v>0</v>
          </cell>
        </row>
        <row r="5726">
          <cell r="B5726">
            <v>109190</v>
          </cell>
          <cell r="C5726">
            <v>29272.85</v>
          </cell>
          <cell r="D5726" t="str">
            <v>PHP</v>
          </cell>
          <cell r="E5726">
            <v>13</v>
          </cell>
          <cell r="F5726" t="str">
            <v>GAL</v>
          </cell>
          <cell r="G5726">
            <v>0</v>
          </cell>
        </row>
        <row r="5727">
          <cell r="B5727">
            <v>109191</v>
          </cell>
          <cell r="C5727">
            <v>0</v>
          </cell>
          <cell r="D5727" t="str">
            <v>PHP</v>
          </cell>
          <cell r="E5727">
            <v>0</v>
          </cell>
          <cell r="F5727" t="str">
            <v>GAL</v>
          </cell>
          <cell r="G5727">
            <v>0</v>
          </cell>
        </row>
        <row r="5728">
          <cell r="B5728">
            <v>109192</v>
          </cell>
          <cell r="C5728">
            <v>78039.42</v>
          </cell>
          <cell r="D5728" t="str">
            <v>PHP</v>
          </cell>
          <cell r="E5728">
            <v>3</v>
          </cell>
          <cell r="F5728" t="str">
            <v>PC</v>
          </cell>
          <cell r="G5728">
            <v>0</v>
          </cell>
        </row>
        <row r="5729">
          <cell r="B5729">
            <v>109193</v>
          </cell>
          <cell r="C5729">
            <v>0</v>
          </cell>
          <cell r="D5729" t="str">
            <v>PHP</v>
          </cell>
          <cell r="E5729">
            <v>0</v>
          </cell>
          <cell r="F5729" t="str">
            <v>PC</v>
          </cell>
          <cell r="G5729">
            <v>0</v>
          </cell>
        </row>
        <row r="5730">
          <cell r="B5730">
            <v>109219</v>
          </cell>
          <cell r="C5730">
            <v>0</v>
          </cell>
          <cell r="D5730" t="str">
            <v>PHP</v>
          </cell>
          <cell r="E5730">
            <v>0</v>
          </cell>
          <cell r="F5730" t="str">
            <v>PC</v>
          </cell>
          <cell r="G5730">
            <v>0</v>
          </cell>
        </row>
        <row r="5731">
          <cell r="B5731">
            <v>109220</v>
          </cell>
          <cell r="C5731">
            <v>0</v>
          </cell>
          <cell r="D5731" t="str">
            <v>PHP</v>
          </cell>
          <cell r="E5731">
            <v>0</v>
          </cell>
          <cell r="F5731" t="str">
            <v>ASY</v>
          </cell>
          <cell r="G5731">
            <v>0</v>
          </cell>
        </row>
        <row r="5732">
          <cell r="B5732">
            <v>109221</v>
          </cell>
          <cell r="C5732">
            <v>599087.96</v>
          </cell>
          <cell r="D5732" t="str">
            <v>PHP</v>
          </cell>
          <cell r="E5732">
            <v>3</v>
          </cell>
          <cell r="F5732" t="str">
            <v>PC</v>
          </cell>
          <cell r="G5732">
            <v>0</v>
          </cell>
        </row>
        <row r="5733">
          <cell r="B5733">
            <v>109222</v>
          </cell>
          <cell r="C5733">
            <v>0</v>
          </cell>
          <cell r="D5733" t="str">
            <v>PHP</v>
          </cell>
          <cell r="E5733">
            <v>0</v>
          </cell>
          <cell r="F5733" t="str">
            <v>ASY</v>
          </cell>
          <cell r="G5733">
            <v>0</v>
          </cell>
        </row>
        <row r="5734">
          <cell r="B5734">
            <v>109226</v>
          </cell>
          <cell r="C5734">
            <v>1175.73</v>
          </cell>
          <cell r="D5734" t="str">
            <v>PHP</v>
          </cell>
          <cell r="E5734">
            <v>3</v>
          </cell>
          <cell r="F5734" t="str">
            <v>PC</v>
          </cell>
          <cell r="G5734">
            <v>0</v>
          </cell>
        </row>
        <row r="5735">
          <cell r="B5735">
            <v>109228</v>
          </cell>
          <cell r="C5735">
            <v>0</v>
          </cell>
          <cell r="D5735" t="str">
            <v>PHP</v>
          </cell>
          <cell r="E5735">
            <v>0</v>
          </cell>
          <cell r="F5735" t="str">
            <v>PC</v>
          </cell>
          <cell r="G5735">
            <v>0</v>
          </cell>
        </row>
        <row r="5736">
          <cell r="B5736">
            <v>109238</v>
          </cell>
          <cell r="C5736">
            <v>0</v>
          </cell>
          <cell r="D5736" t="str">
            <v>PHP</v>
          </cell>
          <cell r="E5736">
            <v>0</v>
          </cell>
          <cell r="F5736" t="str">
            <v>PC</v>
          </cell>
          <cell r="G5736">
            <v>0</v>
          </cell>
        </row>
        <row r="5737">
          <cell r="B5737">
            <v>109240</v>
          </cell>
          <cell r="C5737">
            <v>8914.9599999999991</v>
          </cell>
          <cell r="D5737" t="str">
            <v>PHP</v>
          </cell>
          <cell r="E5737">
            <v>4</v>
          </cell>
          <cell r="F5737" t="str">
            <v>PC</v>
          </cell>
          <cell r="G5737">
            <v>0</v>
          </cell>
        </row>
        <row r="5738">
          <cell r="B5738">
            <v>109261</v>
          </cell>
          <cell r="C5738">
            <v>0</v>
          </cell>
          <cell r="D5738" t="str">
            <v>PHP</v>
          </cell>
          <cell r="E5738">
            <v>0</v>
          </cell>
          <cell r="F5738" t="str">
            <v>PL</v>
          </cell>
          <cell r="G5738">
            <v>0</v>
          </cell>
        </row>
        <row r="5739">
          <cell r="B5739">
            <v>109505</v>
          </cell>
          <cell r="C5739">
            <v>0</v>
          </cell>
          <cell r="D5739" t="str">
            <v>PHP</v>
          </cell>
          <cell r="E5739">
            <v>0</v>
          </cell>
          <cell r="F5739" t="str">
            <v>PC</v>
          </cell>
          <cell r="G5739">
            <v>0</v>
          </cell>
        </row>
        <row r="5740">
          <cell r="B5740">
            <v>109506</v>
          </cell>
          <cell r="C5740">
            <v>0</v>
          </cell>
          <cell r="D5740" t="str">
            <v>PHP</v>
          </cell>
          <cell r="E5740">
            <v>0</v>
          </cell>
          <cell r="F5740" t="str">
            <v>ASY</v>
          </cell>
          <cell r="G5740">
            <v>0</v>
          </cell>
        </row>
        <row r="5741">
          <cell r="B5741">
            <v>109507</v>
          </cell>
          <cell r="C5741">
            <v>0</v>
          </cell>
          <cell r="D5741" t="str">
            <v>PHP</v>
          </cell>
          <cell r="E5741">
            <v>0</v>
          </cell>
          <cell r="F5741" t="str">
            <v>PC</v>
          </cell>
          <cell r="G5741">
            <v>0</v>
          </cell>
        </row>
        <row r="5742">
          <cell r="B5742">
            <v>109508</v>
          </cell>
          <cell r="C5742">
            <v>0</v>
          </cell>
          <cell r="D5742" t="str">
            <v>PHP</v>
          </cell>
          <cell r="E5742">
            <v>0</v>
          </cell>
          <cell r="F5742" t="str">
            <v>PC</v>
          </cell>
          <cell r="G5742">
            <v>0</v>
          </cell>
        </row>
        <row r="5743">
          <cell r="B5743">
            <v>109509</v>
          </cell>
          <cell r="C5743">
            <v>0</v>
          </cell>
          <cell r="D5743" t="str">
            <v>PHP</v>
          </cell>
          <cell r="E5743">
            <v>0</v>
          </cell>
          <cell r="F5743" t="str">
            <v>PC</v>
          </cell>
          <cell r="G5743">
            <v>0</v>
          </cell>
        </row>
        <row r="5744">
          <cell r="B5744">
            <v>109510</v>
          </cell>
          <cell r="C5744">
            <v>0</v>
          </cell>
          <cell r="D5744" t="str">
            <v>PHP</v>
          </cell>
          <cell r="E5744">
            <v>0</v>
          </cell>
          <cell r="F5744" t="str">
            <v>PC</v>
          </cell>
          <cell r="G5744">
            <v>0</v>
          </cell>
        </row>
        <row r="5745">
          <cell r="B5745">
            <v>109511</v>
          </cell>
          <cell r="C5745">
            <v>0</v>
          </cell>
          <cell r="D5745" t="str">
            <v>PHP</v>
          </cell>
          <cell r="E5745">
            <v>0</v>
          </cell>
          <cell r="F5745" t="str">
            <v>PC</v>
          </cell>
          <cell r="G5745">
            <v>0</v>
          </cell>
        </row>
        <row r="5746">
          <cell r="B5746">
            <v>109512</v>
          </cell>
          <cell r="C5746">
            <v>0</v>
          </cell>
          <cell r="D5746" t="str">
            <v>PHP</v>
          </cell>
          <cell r="E5746">
            <v>0</v>
          </cell>
          <cell r="F5746" t="str">
            <v>PC</v>
          </cell>
          <cell r="G5746">
            <v>0</v>
          </cell>
        </row>
        <row r="5747">
          <cell r="B5747">
            <v>109513</v>
          </cell>
          <cell r="C5747">
            <v>0</v>
          </cell>
          <cell r="D5747" t="str">
            <v>PHP</v>
          </cell>
          <cell r="E5747">
            <v>0</v>
          </cell>
          <cell r="F5747" t="str">
            <v>PC</v>
          </cell>
          <cell r="G5747">
            <v>0</v>
          </cell>
        </row>
        <row r="5748">
          <cell r="B5748">
            <v>109766</v>
          </cell>
          <cell r="C5748">
            <v>330605.94</v>
          </cell>
          <cell r="D5748" t="str">
            <v>PHP</v>
          </cell>
          <cell r="E5748">
            <v>1</v>
          </cell>
          <cell r="F5748" t="str">
            <v>PC</v>
          </cell>
          <cell r="G5748">
            <v>0</v>
          </cell>
        </row>
        <row r="5749">
          <cell r="B5749">
            <v>109767</v>
          </cell>
          <cell r="C5749">
            <v>0</v>
          </cell>
          <cell r="D5749" t="str">
            <v>PHP</v>
          </cell>
          <cell r="E5749">
            <v>0</v>
          </cell>
          <cell r="F5749" t="str">
            <v>PC</v>
          </cell>
          <cell r="G5749">
            <v>0</v>
          </cell>
        </row>
        <row r="5750">
          <cell r="B5750">
            <v>109768</v>
          </cell>
          <cell r="C5750">
            <v>0</v>
          </cell>
          <cell r="D5750" t="str">
            <v>PHP</v>
          </cell>
          <cell r="E5750">
            <v>0</v>
          </cell>
          <cell r="F5750" t="str">
            <v>PC</v>
          </cell>
          <cell r="G5750">
            <v>0</v>
          </cell>
        </row>
        <row r="5751">
          <cell r="B5751">
            <v>109843</v>
          </cell>
          <cell r="C5751">
            <v>0</v>
          </cell>
          <cell r="D5751" t="str">
            <v>PHP</v>
          </cell>
          <cell r="E5751">
            <v>0</v>
          </cell>
          <cell r="F5751" t="str">
            <v>ASY</v>
          </cell>
          <cell r="G5751">
            <v>0</v>
          </cell>
        </row>
        <row r="5752">
          <cell r="B5752">
            <v>110525</v>
          </cell>
          <cell r="C5752">
            <v>140223.10999999999</v>
          </cell>
          <cell r="D5752" t="str">
            <v>PHP</v>
          </cell>
          <cell r="E5752">
            <v>32</v>
          </cell>
          <cell r="F5752" t="str">
            <v>CAN</v>
          </cell>
          <cell r="G5752">
            <v>0</v>
          </cell>
        </row>
        <row r="5753">
          <cell r="B5753">
            <v>110804</v>
          </cell>
          <cell r="C5753">
            <v>2832</v>
          </cell>
          <cell r="D5753" t="str">
            <v>PHP</v>
          </cell>
          <cell r="E5753">
            <v>3</v>
          </cell>
          <cell r="F5753" t="str">
            <v>BOX</v>
          </cell>
          <cell r="G5753">
            <v>0</v>
          </cell>
        </row>
        <row r="5754">
          <cell r="B5754">
            <v>110868</v>
          </cell>
          <cell r="C5754">
            <v>0</v>
          </cell>
          <cell r="D5754" t="str">
            <v>PHP</v>
          </cell>
          <cell r="E5754">
            <v>0</v>
          </cell>
          <cell r="F5754" t="str">
            <v>SET</v>
          </cell>
          <cell r="G5754">
            <v>0</v>
          </cell>
        </row>
        <row r="5755">
          <cell r="B5755">
            <v>110869</v>
          </cell>
          <cell r="C5755">
            <v>2412</v>
          </cell>
          <cell r="D5755" t="str">
            <v>PHP</v>
          </cell>
          <cell r="E5755">
            <v>2</v>
          </cell>
          <cell r="F5755" t="str">
            <v>KIT</v>
          </cell>
          <cell r="G5755">
            <v>0</v>
          </cell>
        </row>
        <row r="5756">
          <cell r="B5756">
            <v>110871</v>
          </cell>
          <cell r="C5756">
            <v>30611.09</v>
          </cell>
          <cell r="D5756" t="str">
            <v>PHP</v>
          </cell>
          <cell r="E5756">
            <v>3</v>
          </cell>
          <cell r="F5756" t="str">
            <v>BOX</v>
          </cell>
          <cell r="G5756">
            <v>0</v>
          </cell>
        </row>
        <row r="5757">
          <cell r="B5757">
            <v>110872</v>
          </cell>
          <cell r="C5757">
            <v>41580</v>
          </cell>
          <cell r="D5757" t="str">
            <v>PHP</v>
          </cell>
          <cell r="E5757">
            <v>4</v>
          </cell>
          <cell r="F5757" t="str">
            <v>KIT</v>
          </cell>
          <cell r="G5757">
            <v>0</v>
          </cell>
        </row>
        <row r="5758">
          <cell r="B5758">
            <v>111104</v>
          </cell>
          <cell r="C5758">
            <v>0</v>
          </cell>
          <cell r="D5758" t="str">
            <v>PHP</v>
          </cell>
          <cell r="E5758">
            <v>0</v>
          </cell>
          <cell r="F5758" t="str">
            <v>LEN</v>
          </cell>
          <cell r="G5758">
            <v>0</v>
          </cell>
        </row>
        <row r="5759">
          <cell r="B5759">
            <v>111105</v>
          </cell>
          <cell r="C5759">
            <v>0</v>
          </cell>
          <cell r="D5759" t="str">
            <v>PHP</v>
          </cell>
          <cell r="E5759">
            <v>0</v>
          </cell>
          <cell r="F5759" t="str">
            <v>LEN</v>
          </cell>
          <cell r="G5759">
            <v>0</v>
          </cell>
        </row>
        <row r="5760">
          <cell r="B5760">
            <v>111128</v>
          </cell>
          <cell r="C5760">
            <v>0</v>
          </cell>
          <cell r="D5760" t="str">
            <v>PHP</v>
          </cell>
          <cell r="E5760">
            <v>0</v>
          </cell>
          <cell r="F5760" t="str">
            <v>PC</v>
          </cell>
          <cell r="G5760">
            <v>0</v>
          </cell>
        </row>
        <row r="5761">
          <cell r="B5761">
            <v>111237</v>
          </cell>
          <cell r="C5761">
            <v>306434.81</v>
          </cell>
          <cell r="D5761" t="str">
            <v>PHP</v>
          </cell>
          <cell r="E5761">
            <v>1</v>
          </cell>
          <cell r="F5761" t="str">
            <v>ASY</v>
          </cell>
          <cell r="G5761">
            <v>0</v>
          </cell>
        </row>
        <row r="5762">
          <cell r="B5762">
            <v>111238</v>
          </cell>
          <cell r="C5762">
            <v>0</v>
          </cell>
          <cell r="D5762" t="str">
            <v>PHP</v>
          </cell>
          <cell r="E5762">
            <v>0</v>
          </cell>
          <cell r="F5762" t="str">
            <v>PC</v>
          </cell>
          <cell r="G5762">
            <v>0</v>
          </cell>
        </row>
        <row r="5763">
          <cell r="B5763">
            <v>111239</v>
          </cell>
          <cell r="C5763">
            <v>116764.31</v>
          </cell>
          <cell r="D5763" t="str">
            <v>PHP</v>
          </cell>
          <cell r="E5763">
            <v>1</v>
          </cell>
          <cell r="F5763" t="str">
            <v>ASY</v>
          </cell>
          <cell r="G5763">
            <v>0</v>
          </cell>
        </row>
        <row r="5764">
          <cell r="B5764">
            <v>111246</v>
          </cell>
          <cell r="C5764">
            <v>0</v>
          </cell>
          <cell r="D5764" t="str">
            <v>PHP</v>
          </cell>
          <cell r="E5764">
            <v>0</v>
          </cell>
          <cell r="F5764" t="str">
            <v>FT</v>
          </cell>
          <cell r="G5764">
            <v>0</v>
          </cell>
        </row>
        <row r="5765">
          <cell r="B5765">
            <v>111247</v>
          </cell>
          <cell r="C5765">
            <v>9386.9599999999991</v>
          </cell>
          <cell r="D5765" t="str">
            <v>PHP</v>
          </cell>
          <cell r="E5765">
            <v>4</v>
          </cell>
          <cell r="F5765" t="str">
            <v>PC</v>
          </cell>
          <cell r="G5765">
            <v>0</v>
          </cell>
        </row>
        <row r="5766">
          <cell r="B5766">
            <v>111248</v>
          </cell>
          <cell r="C5766">
            <v>19393.46</v>
          </cell>
          <cell r="D5766" t="str">
            <v>PHP</v>
          </cell>
          <cell r="E5766">
            <v>4</v>
          </cell>
          <cell r="F5766" t="str">
            <v>PC</v>
          </cell>
          <cell r="G5766">
            <v>0</v>
          </cell>
        </row>
        <row r="5767">
          <cell r="B5767">
            <v>111315</v>
          </cell>
          <cell r="C5767">
            <v>0</v>
          </cell>
          <cell r="D5767" t="str">
            <v>PHP</v>
          </cell>
          <cell r="E5767">
            <v>0</v>
          </cell>
          <cell r="F5767" t="str">
            <v>PC</v>
          </cell>
          <cell r="G5767">
            <v>0</v>
          </cell>
        </row>
        <row r="5768">
          <cell r="B5768">
            <v>111316</v>
          </cell>
          <cell r="C5768">
            <v>0</v>
          </cell>
          <cell r="D5768" t="str">
            <v>PHP</v>
          </cell>
          <cell r="E5768">
            <v>0</v>
          </cell>
          <cell r="F5768" t="str">
            <v>PC</v>
          </cell>
          <cell r="G5768">
            <v>0</v>
          </cell>
        </row>
        <row r="5769">
          <cell r="B5769">
            <v>111482</v>
          </cell>
          <cell r="C5769">
            <v>73931.34</v>
          </cell>
          <cell r="D5769" t="str">
            <v>PHP</v>
          </cell>
          <cell r="E5769">
            <v>17</v>
          </cell>
          <cell r="F5769" t="str">
            <v>PC</v>
          </cell>
          <cell r="G5769">
            <v>0</v>
          </cell>
        </row>
        <row r="5770">
          <cell r="B5770">
            <v>111483</v>
          </cell>
          <cell r="C5770">
            <v>4030.03</v>
          </cell>
          <cell r="D5770" t="str">
            <v>PHP</v>
          </cell>
          <cell r="E5770">
            <v>2</v>
          </cell>
          <cell r="F5770" t="str">
            <v>PC</v>
          </cell>
          <cell r="G5770">
            <v>0</v>
          </cell>
        </row>
        <row r="5771">
          <cell r="B5771">
            <v>111484</v>
          </cell>
          <cell r="C5771">
            <v>1073.33</v>
          </cell>
          <cell r="D5771" t="str">
            <v>PHP</v>
          </cell>
          <cell r="E5771">
            <v>4</v>
          </cell>
          <cell r="F5771" t="str">
            <v>PC</v>
          </cell>
          <cell r="G5771">
            <v>0</v>
          </cell>
        </row>
        <row r="5772">
          <cell r="B5772">
            <v>111485</v>
          </cell>
          <cell r="C5772">
            <v>7642.73</v>
          </cell>
          <cell r="D5772" t="str">
            <v>PHP</v>
          </cell>
          <cell r="E5772">
            <v>3</v>
          </cell>
          <cell r="F5772" t="str">
            <v>PC</v>
          </cell>
          <cell r="G5772">
            <v>0</v>
          </cell>
        </row>
        <row r="5773">
          <cell r="B5773">
            <v>111514</v>
          </cell>
          <cell r="C5773">
            <v>3332901.42</v>
          </cell>
          <cell r="D5773" t="str">
            <v>PHP</v>
          </cell>
          <cell r="E5773">
            <v>4</v>
          </cell>
          <cell r="F5773" t="str">
            <v>SET</v>
          </cell>
          <cell r="G5773">
            <v>0</v>
          </cell>
        </row>
        <row r="5774">
          <cell r="B5774">
            <v>111522</v>
          </cell>
          <cell r="C5774">
            <v>883891.97</v>
          </cell>
          <cell r="D5774" t="str">
            <v>PHP</v>
          </cell>
          <cell r="E5774">
            <v>2</v>
          </cell>
          <cell r="F5774" t="str">
            <v>PC</v>
          </cell>
          <cell r="G5774">
            <v>0</v>
          </cell>
        </row>
        <row r="5775">
          <cell r="B5775">
            <v>111623</v>
          </cell>
          <cell r="C5775">
            <v>10602</v>
          </cell>
          <cell r="D5775" t="str">
            <v>PHP</v>
          </cell>
          <cell r="E5775">
            <v>6</v>
          </cell>
          <cell r="F5775" t="str">
            <v>PC</v>
          </cell>
          <cell r="G5775">
            <v>0</v>
          </cell>
        </row>
        <row r="5776">
          <cell r="B5776">
            <v>111654</v>
          </cell>
          <cell r="C5776">
            <v>1008.85</v>
          </cell>
          <cell r="D5776" t="str">
            <v>PHP</v>
          </cell>
          <cell r="E5776">
            <v>6</v>
          </cell>
          <cell r="F5776" t="str">
            <v>PC</v>
          </cell>
          <cell r="G5776">
            <v>0</v>
          </cell>
        </row>
        <row r="5777">
          <cell r="B5777">
            <v>111655</v>
          </cell>
          <cell r="C5777">
            <v>6723.5</v>
          </cell>
          <cell r="D5777" t="str">
            <v>PHP</v>
          </cell>
          <cell r="E5777">
            <v>10</v>
          </cell>
          <cell r="F5777" t="str">
            <v>PC</v>
          </cell>
          <cell r="G5777">
            <v>0</v>
          </cell>
        </row>
        <row r="5778">
          <cell r="B5778">
            <v>111656</v>
          </cell>
          <cell r="C5778">
            <v>223316.25</v>
          </cell>
          <cell r="D5778" t="str">
            <v>PHP</v>
          </cell>
          <cell r="E5778">
            <v>1</v>
          </cell>
          <cell r="F5778" t="str">
            <v>PC</v>
          </cell>
          <cell r="G5778">
            <v>0</v>
          </cell>
        </row>
        <row r="5779">
          <cell r="B5779">
            <v>112532</v>
          </cell>
          <cell r="C5779">
            <v>0</v>
          </cell>
          <cell r="D5779" t="str">
            <v>PHP</v>
          </cell>
          <cell r="E5779">
            <v>0</v>
          </cell>
          <cell r="F5779" t="str">
            <v>PC</v>
          </cell>
          <cell r="G5779">
            <v>0</v>
          </cell>
        </row>
        <row r="5780">
          <cell r="B5780">
            <v>112533</v>
          </cell>
          <cell r="C5780">
            <v>0</v>
          </cell>
          <cell r="D5780" t="str">
            <v>PHP</v>
          </cell>
          <cell r="E5780">
            <v>0</v>
          </cell>
          <cell r="F5780" t="str">
            <v>PC</v>
          </cell>
          <cell r="G5780">
            <v>0</v>
          </cell>
        </row>
        <row r="5781">
          <cell r="B5781">
            <v>112534</v>
          </cell>
          <cell r="C5781">
            <v>0</v>
          </cell>
          <cell r="D5781" t="str">
            <v>PHP</v>
          </cell>
          <cell r="E5781">
            <v>0</v>
          </cell>
          <cell r="F5781" t="str">
            <v>PC</v>
          </cell>
          <cell r="G5781">
            <v>0</v>
          </cell>
        </row>
        <row r="5782">
          <cell r="B5782">
            <v>112535</v>
          </cell>
          <cell r="C5782">
            <v>0</v>
          </cell>
          <cell r="D5782" t="str">
            <v>PHP</v>
          </cell>
          <cell r="E5782">
            <v>0</v>
          </cell>
          <cell r="F5782" t="str">
            <v>PC</v>
          </cell>
          <cell r="G5782">
            <v>0</v>
          </cell>
        </row>
        <row r="5783">
          <cell r="B5783">
            <v>114804</v>
          </cell>
          <cell r="C5783">
            <v>0</v>
          </cell>
          <cell r="D5783" t="str">
            <v>PHP</v>
          </cell>
          <cell r="E5783">
            <v>0</v>
          </cell>
          <cell r="F5783" t="str">
            <v>PC</v>
          </cell>
          <cell r="G5783">
            <v>0</v>
          </cell>
        </row>
        <row r="5784">
          <cell r="B5784">
            <v>115057</v>
          </cell>
          <cell r="C5784">
            <v>0</v>
          </cell>
          <cell r="D5784" t="str">
            <v>PHP</v>
          </cell>
          <cell r="E5784">
            <v>0</v>
          </cell>
          <cell r="F5784" t="str">
            <v>LEN</v>
          </cell>
          <cell r="G5784">
            <v>0</v>
          </cell>
        </row>
        <row r="5785">
          <cell r="B5785">
            <v>115058</v>
          </cell>
          <cell r="C5785">
            <v>0</v>
          </cell>
          <cell r="D5785" t="str">
            <v>PHP</v>
          </cell>
          <cell r="E5785">
            <v>0</v>
          </cell>
          <cell r="F5785" t="str">
            <v>LEN</v>
          </cell>
          <cell r="G5785">
            <v>0</v>
          </cell>
        </row>
        <row r="5786">
          <cell r="B5786">
            <v>115059</v>
          </cell>
          <cell r="C5786">
            <v>0</v>
          </cell>
          <cell r="D5786" t="str">
            <v>PHP</v>
          </cell>
          <cell r="E5786">
            <v>0</v>
          </cell>
          <cell r="F5786" t="str">
            <v>PC</v>
          </cell>
          <cell r="G5786">
            <v>0</v>
          </cell>
        </row>
        <row r="5787">
          <cell r="B5787">
            <v>115060</v>
          </cell>
          <cell r="C5787">
            <v>0</v>
          </cell>
          <cell r="D5787" t="str">
            <v>PHP</v>
          </cell>
          <cell r="E5787">
            <v>0</v>
          </cell>
          <cell r="F5787" t="str">
            <v>PC</v>
          </cell>
          <cell r="G5787">
            <v>0</v>
          </cell>
        </row>
        <row r="5788">
          <cell r="B5788">
            <v>115062</v>
          </cell>
          <cell r="C5788">
            <v>0</v>
          </cell>
          <cell r="D5788" t="str">
            <v>PHP</v>
          </cell>
          <cell r="E5788">
            <v>0</v>
          </cell>
          <cell r="F5788" t="str">
            <v>PC</v>
          </cell>
          <cell r="G5788">
            <v>0</v>
          </cell>
        </row>
        <row r="5789">
          <cell r="B5789">
            <v>115422</v>
          </cell>
          <cell r="C5789">
            <v>0</v>
          </cell>
          <cell r="D5789" t="str">
            <v>PHP</v>
          </cell>
          <cell r="E5789">
            <v>0</v>
          </cell>
          <cell r="F5789" t="str">
            <v>PC</v>
          </cell>
          <cell r="G5789">
            <v>0</v>
          </cell>
        </row>
        <row r="5790">
          <cell r="B5790">
            <v>115423</v>
          </cell>
          <cell r="C5790">
            <v>2866824.58</v>
          </cell>
          <cell r="D5790" t="str">
            <v>PHP</v>
          </cell>
          <cell r="E5790">
            <v>2</v>
          </cell>
          <cell r="F5790" t="str">
            <v>PC</v>
          </cell>
          <cell r="G5790">
            <v>0</v>
          </cell>
        </row>
        <row r="5791">
          <cell r="B5791">
            <v>115426</v>
          </cell>
          <cell r="C5791">
            <v>0</v>
          </cell>
          <cell r="D5791" t="str">
            <v>PHP</v>
          </cell>
          <cell r="E5791">
            <v>0</v>
          </cell>
          <cell r="F5791" t="str">
            <v>PC</v>
          </cell>
          <cell r="G5791">
            <v>0</v>
          </cell>
        </row>
        <row r="5792">
          <cell r="B5792">
            <v>115427</v>
          </cell>
          <cell r="C5792">
            <v>0</v>
          </cell>
          <cell r="D5792" t="str">
            <v>PHP</v>
          </cell>
          <cell r="E5792">
            <v>0</v>
          </cell>
          <cell r="F5792" t="str">
            <v>PC</v>
          </cell>
          <cell r="G5792">
            <v>0</v>
          </cell>
        </row>
        <row r="5793">
          <cell r="B5793">
            <v>115865</v>
          </cell>
          <cell r="C5793">
            <v>157165.35999999999</v>
          </cell>
          <cell r="D5793" t="str">
            <v>PHP</v>
          </cell>
          <cell r="E5793">
            <v>1</v>
          </cell>
          <cell r="F5793" t="str">
            <v>PC</v>
          </cell>
          <cell r="G5793">
            <v>0</v>
          </cell>
        </row>
        <row r="5794">
          <cell r="B5794">
            <v>115866</v>
          </cell>
          <cell r="C5794">
            <v>374261.25</v>
          </cell>
          <cell r="D5794" t="str">
            <v>PHP</v>
          </cell>
          <cell r="E5794">
            <v>4</v>
          </cell>
          <cell r="F5794" t="str">
            <v>PC</v>
          </cell>
          <cell r="G5794">
            <v>0</v>
          </cell>
        </row>
        <row r="5795">
          <cell r="B5795">
            <v>115868</v>
          </cell>
          <cell r="C5795">
            <v>471495.58</v>
          </cell>
          <cell r="D5795" t="str">
            <v>PHP</v>
          </cell>
          <cell r="E5795">
            <v>3</v>
          </cell>
          <cell r="F5795" t="str">
            <v>PC</v>
          </cell>
          <cell r="G5795">
            <v>0</v>
          </cell>
        </row>
        <row r="5796">
          <cell r="B5796">
            <v>115869</v>
          </cell>
          <cell r="C5796">
            <v>440918.78</v>
          </cell>
          <cell r="D5796" t="str">
            <v>PHP</v>
          </cell>
          <cell r="E5796">
            <v>6</v>
          </cell>
          <cell r="F5796" t="str">
            <v>PC</v>
          </cell>
          <cell r="G5796">
            <v>0</v>
          </cell>
        </row>
        <row r="5797">
          <cell r="B5797">
            <v>116219</v>
          </cell>
          <cell r="C5797">
            <v>0</v>
          </cell>
          <cell r="D5797" t="str">
            <v>PHP</v>
          </cell>
          <cell r="E5797">
            <v>0</v>
          </cell>
          <cell r="F5797" t="str">
            <v>PC</v>
          </cell>
          <cell r="G5797">
            <v>0</v>
          </cell>
        </row>
        <row r="5798">
          <cell r="B5798">
            <v>116389</v>
          </cell>
          <cell r="C5798">
            <v>6791400</v>
          </cell>
          <cell r="D5798" t="str">
            <v>PHP</v>
          </cell>
          <cell r="E5798">
            <v>22</v>
          </cell>
          <cell r="F5798" t="str">
            <v>PC</v>
          </cell>
          <cell r="G5798">
            <v>0</v>
          </cell>
        </row>
        <row r="5799">
          <cell r="B5799">
            <v>116809</v>
          </cell>
          <cell r="C5799">
            <v>0</v>
          </cell>
          <cell r="D5799" t="str">
            <v>PHP</v>
          </cell>
          <cell r="E5799">
            <v>0</v>
          </cell>
          <cell r="F5799" t="str">
            <v>PC</v>
          </cell>
          <cell r="G5799">
            <v>0</v>
          </cell>
        </row>
        <row r="5800">
          <cell r="B5800">
            <v>119496</v>
          </cell>
          <cell r="C5800">
            <v>5097225.45</v>
          </cell>
          <cell r="D5800" t="str">
            <v>PHP</v>
          </cell>
          <cell r="E5800">
            <v>1</v>
          </cell>
          <cell r="F5800" t="str">
            <v>PC</v>
          </cell>
          <cell r="G5800">
            <v>0</v>
          </cell>
        </row>
        <row r="5801">
          <cell r="B5801">
            <v>120016</v>
          </cell>
          <cell r="C5801">
            <v>29037.94</v>
          </cell>
          <cell r="D5801" t="str">
            <v>PHP</v>
          </cell>
          <cell r="E5801">
            <v>12</v>
          </cell>
          <cell r="F5801" t="str">
            <v>PC</v>
          </cell>
          <cell r="G5801">
            <v>0</v>
          </cell>
        </row>
        <row r="5802">
          <cell r="B5802">
            <v>120039</v>
          </cell>
          <cell r="C5802">
            <v>3894.62</v>
          </cell>
          <cell r="D5802" t="str">
            <v>PHP</v>
          </cell>
          <cell r="E5802">
            <v>1</v>
          </cell>
          <cell r="F5802" t="str">
            <v>PC</v>
          </cell>
          <cell r="G5802">
            <v>0</v>
          </cell>
        </row>
        <row r="5803">
          <cell r="B5803">
            <v>120040</v>
          </cell>
          <cell r="C5803">
            <v>87325.24</v>
          </cell>
          <cell r="D5803" t="str">
            <v>PHP</v>
          </cell>
          <cell r="E5803">
            <v>8</v>
          </cell>
          <cell r="F5803" t="str">
            <v>PC</v>
          </cell>
          <cell r="G5803">
            <v>0</v>
          </cell>
        </row>
        <row r="5804">
          <cell r="B5804">
            <v>120055</v>
          </cell>
          <cell r="C5804">
            <v>590378.85</v>
          </cell>
          <cell r="D5804" t="str">
            <v>PHP</v>
          </cell>
          <cell r="E5804">
            <v>12</v>
          </cell>
          <cell r="F5804" t="str">
            <v>ASY</v>
          </cell>
          <cell r="G5804">
            <v>0</v>
          </cell>
        </row>
        <row r="5805">
          <cell r="B5805">
            <v>120097</v>
          </cell>
          <cell r="C5805">
            <v>395112.79</v>
          </cell>
          <cell r="D5805" t="str">
            <v>PHP</v>
          </cell>
          <cell r="E5805">
            <v>3</v>
          </cell>
          <cell r="F5805" t="str">
            <v>PC</v>
          </cell>
          <cell r="G5805">
            <v>0</v>
          </cell>
        </row>
        <row r="5806">
          <cell r="B5806">
            <v>120098</v>
          </cell>
          <cell r="C5806">
            <v>427965.89</v>
          </cell>
          <cell r="D5806" t="str">
            <v>PHP</v>
          </cell>
          <cell r="E5806">
            <v>2</v>
          </cell>
          <cell r="F5806" t="str">
            <v>PC</v>
          </cell>
          <cell r="G5806">
            <v>0</v>
          </cell>
        </row>
        <row r="5807">
          <cell r="B5807">
            <v>120116</v>
          </cell>
          <cell r="C5807">
            <v>1554396.82</v>
          </cell>
          <cell r="D5807" t="str">
            <v>PHP</v>
          </cell>
          <cell r="E5807">
            <v>6</v>
          </cell>
          <cell r="F5807" t="str">
            <v>PC</v>
          </cell>
          <cell r="G5807">
            <v>0</v>
          </cell>
        </row>
        <row r="5808">
          <cell r="B5808">
            <v>120152</v>
          </cell>
          <cell r="C5808">
            <v>108989.81</v>
          </cell>
          <cell r="D5808" t="str">
            <v>PHP</v>
          </cell>
          <cell r="E5808">
            <v>55</v>
          </cell>
          <cell r="F5808" t="str">
            <v>PC</v>
          </cell>
          <cell r="G5808">
            <v>0</v>
          </cell>
        </row>
        <row r="5809">
          <cell r="B5809">
            <v>120154</v>
          </cell>
          <cell r="C5809">
            <v>96403.68</v>
          </cell>
          <cell r="D5809" t="str">
            <v>PHP</v>
          </cell>
          <cell r="E5809">
            <v>90</v>
          </cell>
          <cell r="F5809" t="str">
            <v>PC</v>
          </cell>
          <cell r="G5809">
            <v>0</v>
          </cell>
        </row>
        <row r="5810">
          <cell r="B5810">
            <v>120155</v>
          </cell>
          <cell r="C5810">
            <v>214230.39999999999</v>
          </cell>
          <cell r="D5810" t="str">
            <v>PHP</v>
          </cell>
          <cell r="E5810">
            <v>250</v>
          </cell>
          <cell r="F5810" t="str">
            <v>PC</v>
          </cell>
          <cell r="G5810">
            <v>0</v>
          </cell>
        </row>
        <row r="5811">
          <cell r="B5811">
            <v>120919</v>
          </cell>
          <cell r="C5811">
            <v>42159.3</v>
          </cell>
          <cell r="D5811" t="str">
            <v>PHP</v>
          </cell>
          <cell r="E5811">
            <v>4</v>
          </cell>
          <cell r="F5811" t="str">
            <v>PC</v>
          </cell>
          <cell r="G5811">
            <v>0</v>
          </cell>
        </row>
        <row r="5812">
          <cell r="B5812">
            <v>120929</v>
          </cell>
          <cell r="C5812">
            <v>5336.32</v>
          </cell>
          <cell r="D5812" t="str">
            <v>PHP</v>
          </cell>
          <cell r="E5812">
            <v>2</v>
          </cell>
          <cell r="F5812" t="str">
            <v>PC</v>
          </cell>
          <cell r="G5812">
            <v>0</v>
          </cell>
        </row>
        <row r="5813">
          <cell r="B5813">
            <v>120931</v>
          </cell>
          <cell r="C5813">
            <v>17140.080000000002</v>
          </cell>
          <cell r="D5813" t="str">
            <v>PHP</v>
          </cell>
          <cell r="E5813">
            <v>3</v>
          </cell>
          <cell r="F5813" t="str">
            <v>PC</v>
          </cell>
          <cell r="G5813">
            <v>0</v>
          </cell>
        </row>
        <row r="5814">
          <cell r="B5814">
            <v>120934</v>
          </cell>
          <cell r="C5814">
            <v>68770.25</v>
          </cell>
          <cell r="D5814" t="str">
            <v>PHP</v>
          </cell>
          <cell r="E5814">
            <v>1</v>
          </cell>
          <cell r="F5814" t="str">
            <v>PC</v>
          </cell>
          <cell r="G5814">
            <v>0</v>
          </cell>
        </row>
        <row r="5815">
          <cell r="B5815">
            <v>120936</v>
          </cell>
          <cell r="C5815">
            <v>753357.81</v>
          </cell>
          <cell r="D5815" t="str">
            <v>PHP</v>
          </cell>
          <cell r="E5815">
            <v>4</v>
          </cell>
          <cell r="F5815" t="str">
            <v>PC</v>
          </cell>
          <cell r="G5815">
            <v>0</v>
          </cell>
        </row>
        <row r="5816">
          <cell r="B5816">
            <v>120973</v>
          </cell>
          <cell r="C5816">
            <v>16181.89</v>
          </cell>
          <cell r="D5816" t="str">
            <v>PHP</v>
          </cell>
          <cell r="E5816">
            <v>11</v>
          </cell>
          <cell r="F5816" t="str">
            <v>PC</v>
          </cell>
          <cell r="G5816">
            <v>0</v>
          </cell>
        </row>
        <row r="5817">
          <cell r="B5817">
            <v>120975</v>
          </cell>
          <cell r="C5817">
            <v>1258</v>
          </cell>
          <cell r="D5817" t="str">
            <v>PHP</v>
          </cell>
          <cell r="E5817">
            <v>1</v>
          </cell>
          <cell r="F5817" t="str">
            <v>PC</v>
          </cell>
          <cell r="G5817">
            <v>0</v>
          </cell>
        </row>
        <row r="5818">
          <cell r="B5818">
            <v>120980</v>
          </cell>
          <cell r="C5818">
            <v>4122.3999999999996</v>
          </cell>
          <cell r="D5818" t="str">
            <v>PHP</v>
          </cell>
          <cell r="E5818">
            <v>36</v>
          </cell>
          <cell r="F5818" t="str">
            <v>PC</v>
          </cell>
          <cell r="G5818">
            <v>0</v>
          </cell>
        </row>
        <row r="5819">
          <cell r="B5819">
            <v>120983</v>
          </cell>
          <cell r="C5819">
            <v>12629.36</v>
          </cell>
          <cell r="D5819" t="str">
            <v>PHP</v>
          </cell>
          <cell r="E5819">
            <v>9</v>
          </cell>
          <cell r="F5819" t="str">
            <v>PC</v>
          </cell>
          <cell r="G5819">
            <v>0</v>
          </cell>
        </row>
        <row r="5820">
          <cell r="B5820">
            <v>120985</v>
          </cell>
          <cell r="C5820">
            <v>3546.32</v>
          </cell>
          <cell r="D5820" t="str">
            <v>PHP</v>
          </cell>
          <cell r="E5820">
            <v>16</v>
          </cell>
          <cell r="F5820" t="str">
            <v>PC</v>
          </cell>
          <cell r="G5820">
            <v>0</v>
          </cell>
        </row>
        <row r="5821">
          <cell r="B5821">
            <v>120986</v>
          </cell>
          <cell r="C5821">
            <v>2517</v>
          </cell>
          <cell r="D5821" t="str">
            <v>PHP</v>
          </cell>
          <cell r="E5821">
            <v>2</v>
          </cell>
          <cell r="F5821" t="str">
            <v>PC</v>
          </cell>
          <cell r="G5821">
            <v>0</v>
          </cell>
        </row>
        <row r="5822">
          <cell r="B5822">
            <v>120994</v>
          </cell>
          <cell r="C5822">
            <v>377.55</v>
          </cell>
          <cell r="D5822" t="str">
            <v>PHP</v>
          </cell>
          <cell r="E5822">
            <v>3</v>
          </cell>
          <cell r="F5822" t="str">
            <v>PC</v>
          </cell>
          <cell r="G5822">
            <v>0</v>
          </cell>
        </row>
        <row r="5823">
          <cell r="B5823">
            <v>121001</v>
          </cell>
          <cell r="C5823">
            <v>15307.2</v>
          </cell>
          <cell r="D5823" t="str">
            <v>PHP</v>
          </cell>
          <cell r="E5823">
            <v>9</v>
          </cell>
          <cell r="F5823" t="str">
            <v>PC</v>
          </cell>
          <cell r="G5823">
            <v>0</v>
          </cell>
        </row>
        <row r="5824">
          <cell r="B5824">
            <v>121002</v>
          </cell>
          <cell r="C5824">
            <v>2040.96</v>
          </cell>
          <cell r="D5824" t="str">
            <v>PHP</v>
          </cell>
          <cell r="E5824">
            <v>12</v>
          </cell>
          <cell r="F5824" t="str">
            <v>PC</v>
          </cell>
          <cell r="G5824">
            <v>0</v>
          </cell>
        </row>
        <row r="5825">
          <cell r="B5825">
            <v>121003</v>
          </cell>
          <cell r="C5825">
            <v>7653.6</v>
          </cell>
          <cell r="D5825" t="str">
            <v>PHP</v>
          </cell>
          <cell r="E5825">
            <v>12</v>
          </cell>
          <cell r="F5825" t="str">
            <v>PC</v>
          </cell>
          <cell r="G5825">
            <v>0</v>
          </cell>
        </row>
        <row r="5826">
          <cell r="B5826">
            <v>121023</v>
          </cell>
          <cell r="C5826">
            <v>787.16</v>
          </cell>
          <cell r="D5826" t="str">
            <v>PHP</v>
          </cell>
          <cell r="E5826">
            <v>4</v>
          </cell>
          <cell r="F5826" t="str">
            <v>PC</v>
          </cell>
          <cell r="G5826">
            <v>0</v>
          </cell>
        </row>
        <row r="5827">
          <cell r="B5827">
            <v>121044</v>
          </cell>
          <cell r="C5827">
            <v>90.58</v>
          </cell>
          <cell r="D5827" t="str">
            <v>PHP</v>
          </cell>
          <cell r="E5827">
            <v>6</v>
          </cell>
          <cell r="F5827" t="str">
            <v>PC</v>
          </cell>
          <cell r="G5827">
            <v>0</v>
          </cell>
        </row>
        <row r="5828">
          <cell r="B5828">
            <v>121048</v>
          </cell>
          <cell r="C5828">
            <v>397611.32</v>
          </cell>
          <cell r="D5828" t="str">
            <v>PHP</v>
          </cell>
          <cell r="E5828">
            <v>1</v>
          </cell>
          <cell r="F5828" t="str">
            <v>PC</v>
          </cell>
          <cell r="G5828">
            <v>0</v>
          </cell>
        </row>
        <row r="5829">
          <cell r="B5829">
            <v>121049</v>
          </cell>
          <cell r="C5829">
            <v>9486.6200000000008</v>
          </cell>
          <cell r="D5829" t="str">
            <v>PHP</v>
          </cell>
          <cell r="E5829">
            <v>8</v>
          </cell>
          <cell r="F5829" t="str">
            <v>PC</v>
          </cell>
          <cell r="G5829">
            <v>0</v>
          </cell>
        </row>
        <row r="5830">
          <cell r="B5830">
            <v>121312</v>
          </cell>
          <cell r="C5830">
            <v>7095.36</v>
          </cell>
          <cell r="D5830" t="str">
            <v>PHP</v>
          </cell>
          <cell r="E5830">
            <v>1</v>
          </cell>
          <cell r="F5830" t="str">
            <v>PC</v>
          </cell>
          <cell r="G5830">
            <v>0</v>
          </cell>
        </row>
        <row r="5831">
          <cell r="B5831">
            <v>121316</v>
          </cell>
          <cell r="C5831">
            <v>24742.41</v>
          </cell>
          <cell r="D5831" t="str">
            <v>PHP</v>
          </cell>
          <cell r="E5831">
            <v>3</v>
          </cell>
          <cell r="F5831" t="str">
            <v>PC</v>
          </cell>
          <cell r="G5831">
            <v>0</v>
          </cell>
        </row>
        <row r="5832">
          <cell r="B5832">
            <v>121317</v>
          </cell>
          <cell r="C5832">
            <v>249167.2</v>
          </cell>
          <cell r="D5832" t="str">
            <v>PHP</v>
          </cell>
          <cell r="E5832">
            <v>1</v>
          </cell>
          <cell r="F5832" t="str">
            <v>PC</v>
          </cell>
          <cell r="G5832">
            <v>0</v>
          </cell>
        </row>
        <row r="5833">
          <cell r="B5833">
            <v>121320</v>
          </cell>
          <cell r="C5833">
            <v>118477.44</v>
          </cell>
          <cell r="D5833" t="str">
            <v>PHP</v>
          </cell>
          <cell r="E5833">
            <v>8</v>
          </cell>
          <cell r="F5833" t="str">
            <v>PC</v>
          </cell>
          <cell r="G5833">
            <v>0</v>
          </cell>
        </row>
        <row r="5834">
          <cell r="B5834">
            <v>121321</v>
          </cell>
          <cell r="C5834">
            <v>313786.36</v>
          </cell>
          <cell r="D5834" t="str">
            <v>PHP</v>
          </cell>
          <cell r="E5834">
            <v>1</v>
          </cell>
          <cell r="F5834" t="str">
            <v>PC</v>
          </cell>
          <cell r="G5834">
            <v>0</v>
          </cell>
        </row>
        <row r="5835">
          <cell r="B5835">
            <v>121322</v>
          </cell>
          <cell r="C5835">
            <v>39470.04</v>
          </cell>
          <cell r="D5835" t="str">
            <v>PHP</v>
          </cell>
          <cell r="E5835">
            <v>3</v>
          </cell>
          <cell r="F5835" t="str">
            <v>PC</v>
          </cell>
          <cell r="G5835">
            <v>0</v>
          </cell>
        </row>
        <row r="5836">
          <cell r="B5836">
            <v>121326</v>
          </cell>
          <cell r="C5836">
            <v>12985.28</v>
          </cell>
          <cell r="D5836" t="str">
            <v>PHP</v>
          </cell>
          <cell r="E5836">
            <v>3</v>
          </cell>
          <cell r="F5836" t="str">
            <v>PC</v>
          </cell>
          <cell r="G5836">
            <v>0</v>
          </cell>
        </row>
        <row r="5837">
          <cell r="B5837">
            <v>121333</v>
          </cell>
          <cell r="C5837">
            <v>2812.46</v>
          </cell>
          <cell r="D5837" t="str">
            <v>PHP</v>
          </cell>
          <cell r="E5837">
            <v>2</v>
          </cell>
          <cell r="F5837" t="str">
            <v>PC</v>
          </cell>
          <cell r="G5837">
            <v>0</v>
          </cell>
        </row>
        <row r="5838">
          <cell r="B5838">
            <v>121334</v>
          </cell>
          <cell r="C5838">
            <v>98496.06</v>
          </cell>
          <cell r="D5838" t="str">
            <v>PHP</v>
          </cell>
          <cell r="E5838">
            <v>6</v>
          </cell>
          <cell r="F5838" t="str">
            <v>PC</v>
          </cell>
          <cell r="G5838">
            <v>0</v>
          </cell>
        </row>
        <row r="5839">
          <cell r="B5839">
            <v>121338</v>
          </cell>
          <cell r="C5839">
            <v>102</v>
          </cell>
          <cell r="D5839" t="str">
            <v>PHP</v>
          </cell>
          <cell r="E5839">
            <v>8</v>
          </cell>
          <cell r="F5839" t="str">
            <v>PC</v>
          </cell>
          <cell r="G5839">
            <v>0</v>
          </cell>
        </row>
        <row r="5840">
          <cell r="B5840">
            <v>121351</v>
          </cell>
          <cell r="C5840">
            <v>6670</v>
          </cell>
          <cell r="D5840" t="str">
            <v>PHP</v>
          </cell>
          <cell r="E5840">
            <v>10</v>
          </cell>
          <cell r="F5840" t="str">
            <v>PC</v>
          </cell>
          <cell r="G5840">
            <v>0</v>
          </cell>
        </row>
        <row r="5841">
          <cell r="B5841">
            <v>121358</v>
          </cell>
          <cell r="C5841">
            <v>18886.099999999999</v>
          </cell>
          <cell r="D5841" t="str">
            <v>PHP</v>
          </cell>
          <cell r="E5841">
            <v>7</v>
          </cell>
          <cell r="F5841" t="str">
            <v>PC</v>
          </cell>
          <cell r="G5841">
            <v>0</v>
          </cell>
        </row>
        <row r="5842">
          <cell r="B5842">
            <v>121359</v>
          </cell>
          <cell r="C5842">
            <v>4296.38</v>
          </cell>
          <cell r="D5842" t="str">
            <v>PHP</v>
          </cell>
          <cell r="E5842">
            <v>4</v>
          </cell>
          <cell r="F5842" t="str">
            <v>PC</v>
          </cell>
          <cell r="G5842">
            <v>0</v>
          </cell>
        </row>
        <row r="5843">
          <cell r="B5843">
            <v>121361</v>
          </cell>
          <cell r="C5843">
            <v>62504.4</v>
          </cell>
          <cell r="D5843" t="str">
            <v>PHP</v>
          </cell>
          <cell r="E5843">
            <v>3</v>
          </cell>
          <cell r="F5843" t="str">
            <v>PC</v>
          </cell>
          <cell r="G5843">
            <v>0</v>
          </cell>
        </row>
        <row r="5844">
          <cell r="B5844">
            <v>121371</v>
          </cell>
          <cell r="C5844">
            <v>18.75</v>
          </cell>
          <cell r="D5844" t="str">
            <v>PHP</v>
          </cell>
          <cell r="E5844">
            <v>5</v>
          </cell>
          <cell r="F5844" t="str">
            <v>PC</v>
          </cell>
          <cell r="G5844">
            <v>0</v>
          </cell>
        </row>
        <row r="5845">
          <cell r="B5845">
            <v>121381</v>
          </cell>
          <cell r="C5845">
            <v>6170.1</v>
          </cell>
          <cell r="D5845" t="str">
            <v>PHP</v>
          </cell>
          <cell r="E5845">
            <v>3</v>
          </cell>
          <cell r="F5845" t="str">
            <v>PC</v>
          </cell>
          <cell r="G5845">
            <v>0</v>
          </cell>
        </row>
        <row r="5846">
          <cell r="B5846">
            <v>121383</v>
          </cell>
          <cell r="C5846">
            <v>6455.12</v>
          </cell>
          <cell r="D5846" t="str">
            <v>PHP</v>
          </cell>
          <cell r="E5846">
            <v>1</v>
          </cell>
          <cell r="F5846" t="str">
            <v>PC</v>
          </cell>
          <cell r="G5846">
            <v>0</v>
          </cell>
        </row>
        <row r="5847">
          <cell r="B5847">
            <v>121405</v>
          </cell>
          <cell r="C5847">
            <v>4692.1499999999996</v>
          </cell>
          <cell r="D5847" t="str">
            <v>PHP</v>
          </cell>
          <cell r="E5847">
            <v>17</v>
          </cell>
          <cell r="F5847" t="str">
            <v>PC</v>
          </cell>
          <cell r="G5847">
            <v>0</v>
          </cell>
        </row>
        <row r="5848">
          <cell r="B5848">
            <v>121413</v>
          </cell>
          <cell r="C5848">
            <v>3143.28</v>
          </cell>
          <cell r="D5848" t="str">
            <v>PHP</v>
          </cell>
          <cell r="E5848">
            <v>28</v>
          </cell>
          <cell r="F5848" t="str">
            <v>PC</v>
          </cell>
          <cell r="G5848">
            <v>0</v>
          </cell>
        </row>
        <row r="5849">
          <cell r="B5849">
            <v>121421</v>
          </cell>
          <cell r="C5849">
            <v>388.79</v>
          </cell>
          <cell r="D5849" t="str">
            <v>PHP</v>
          </cell>
          <cell r="E5849">
            <v>22</v>
          </cell>
          <cell r="F5849" t="str">
            <v>PC</v>
          </cell>
          <cell r="G5849">
            <v>0</v>
          </cell>
        </row>
        <row r="5850">
          <cell r="B5850">
            <v>121422</v>
          </cell>
          <cell r="C5850">
            <v>1962.81</v>
          </cell>
          <cell r="D5850" t="str">
            <v>PHP</v>
          </cell>
          <cell r="E5850">
            <v>21</v>
          </cell>
          <cell r="F5850" t="str">
            <v>PC</v>
          </cell>
          <cell r="G5850">
            <v>0</v>
          </cell>
        </row>
        <row r="5851">
          <cell r="B5851">
            <v>121423</v>
          </cell>
          <cell r="C5851">
            <v>39.340000000000003</v>
          </cell>
          <cell r="D5851" t="str">
            <v>PHP</v>
          </cell>
          <cell r="E5851">
            <v>3</v>
          </cell>
          <cell r="F5851" t="str">
            <v>PC</v>
          </cell>
          <cell r="G5851">
            <v>0</v>
          </cell>
        </row>
        <row r="5852">
          <cell r="B5852">
            <v>121424</v>
          </cell>
          <cell r="C5852">
            <v>128502.8</v>
          </cell>
          <cell r="D5852" t="str">
            <v>PHP</v>
          </cell>
          <cell r="E5852">
            <v>2</v>
          </cell>
          <cell r="F5852" t="str">
            <v>PC</v>
          </cell>
          <cell r="G5852">
            <v>0</v>
          </cell>
        </row>
        <row r="5853">
          <cell r="B5853">
            <v>121431</v>
          </cell>
          <cell r="C5853">
            <v>338785.28000000003</v>
          </cell>
          <cell r="D5853" t="str">
            <v>PHP</v>
          </cell>
          <cell r="E5853">
            <v>16</v>
          </cell>
          <cell r="F5853" t="str">
            <v>PC</v>
          </cell>
          <cell r="G5853">
            <v>0</v>
          </cell>
        </row>
        <row r="5854">
          <cell r="B5854">
            <v>121433</v>
          </cell>
          <cell r="C5854">
            <v>26277.45</v>
          </cell>
          <cell r="D5854" t="str">
            <v>PHP</v>
          </cell>
          <cell r="E5854">
            <v>2</v>
          </cell>
          <cell r="F5854" t="str">
            <v>PC</v>
          </cell>
          <cell r="G5854">
            <v>0</v>
          </cell>
        </row>
        <row r="5855">
          <cell r="B5855">
            <v>121434</v>
          </cell>
          <cell r="C5855">
            <v>1703.87</v>
          </cell>
          <cell r="D5855" t="str">
            <v>PHP</v>
          </cell>
          <cell r="E5855">
            <v>2</v>
          </cell>
          <cell r="F5855" t="str">
            <v>PC</v>
          </cell>
          <cell r="G5855">
            <v>0</v>
          </cell>
        </row>
        <row r="5856">
          <cell r="B5856">
            <v>121437</v>
          </cell>
          <cell r="C5856">
            <v>155512.76</v>
          </cell>
          <cell r="D5856" t="str">
            <v>PHP</v>
          </cell>
          <cell r="E5856">
            <v>4</v>
          </cell>
          <cell r="F5856" t="str">
            <v>PC</v>
          </cell>
          <cell r="G5856">
            <v>0</v>
          </cell>
        </row>
        <row r="5857">
          <cell r="B5857">
            <v>121445</v>
          </cell>
          <cell r="C5857">
            <v>3656.78</v>
          </cell>
          <cell r="D5857" t="str">
            <v>PHP</v>
          </cell>
          <cell r="E5857">
            <v>2</v>
          </cell>
          <cell r="F5857" t="str">
            <v>PC</v>
          </cell>
          <cell r="G5857">
            <v>0</v>
          </cell>
        </row>
        <row r="5858">
          <cell r="B5858">
            <v>121446</v>
          </cell>
          <cell r="C5858">
            <v>6905.81</v>
          </cell>
          <cell r="D5858" t="str">
            <v>PHP</v>
          </cell>
          <cell r="E5858">
            <v>10</v>
          </cell>
          <cell r="F5858" t="str">
            <v>PC</v>
          </cell>
          <cell r="G5858">
            <v>0</v>
          </cell>
        </row>
        <row r="5859">
          <cell r="B5859">
            <v>121447</v>
          </cell>
          <cell r="C5859">
            <v>11352.74</v>
          </cell>
          <cell r="D5859" t="str">
            <v>PHP</v>
          </cell>
          <cell r="E5859">
            <v>31</v>
          </cell>
          <cell r="F5859" t="str">
            <v>PC</v>
          </cell>
          <cell r="G5859">
            <v>0</v>
          </cell>
        </row>
        <row r="5860">
          <cell r="B5860">
            <v>121453</v>
          </cell>
          <cell r="C5860">
            <v>2303.1</v>
          </cell>
          <cell r="D5860" t="str">
            <v>PHP</v>
          </cell>
          <cell r="E5860">
            <v>10</v>
          </cell>
          <cell r="F5860" t="str">
            <v>PC</v>
          </cell>
          <cell r="G5860">
            <v>0</v>
          </cell>
        </row>
        <row r="5861">
          <cell r="B5861">
            <v>121454</v>
          </cell>
          <cell r="C5861">
            <v>10761.74</v>
          </cell>
          <cell r="D5861" t="str">
            <v>PHP</v>
          </cell>
          <cell r="E5861">
            <v>40</v>
          </cell>
          <cell r="F5861" t="str">
            <v>PC</v>
          </cell>
          <cell r="G5861">
            <v>0</v>
          </cell>
        </row>
        <row r="5862">
          <cell r="B5862">
            <v>121455</v>
          </cell>
          <cell r="C5862">
            <v>57.33</v>
          </cell>
          <cell r="D5862" t="str">
            <v>PHP</v>
          </cell>
          <cell r="E5862">
            <v>9</v>
          </cell>
          <cell r="F5862" t="str">
            <v>PC</v>
          </cell>
          <cell r="G5862">
            <v>0</v>
          </cell>
        </row>
        <row r="5863">
          <cell r="B5863">
            <v>121456</v>
          </cell>
          <cell r="C5863">
            <v>6068.58</v>
          </cell>
          <cell r="D5863" t="str">
            <v>PHP</v>
          </cell>
          <cell r="E5863">
            <v>1</v>
          </cell>
          <cell r="F5863" t="str">
            <v>PC</v>
          </cell>
          <cell r="G5863">
            <v>0</v>
          </cell>
        </row>
        <row r="5864">
          <cell r="B5864">
            <v>121457</v>
          </cell>
          <cell r="C5864">
            <v>4992.54</v>
          </cell>
          <cell r="D5864" t="str">
            <v>PHP</v>
          </cell>
          <cell r="E5864">
            <v>3</v>
          </cell>
          <cell r="F5864" t="str">
            <v>PC</v>
          </cell>
          <cell r="G5864">
            <v>0</v>
          </cell>
        </row>
        <row r="5865">
          <cell r="B5865">
            <v>121458</v>
          </cell>
          <cell r="C5865">
            <v>20918.62</v>
          </cell>
          <cell r="D5865" t="str">
            <v>PHP</v>
          </cell>
          <cell r="E5865">
            <v>28</v>
          </cell>
          <cell r="F5865" t="str">
            <v>PC</v>
          </cell>
          <cell r="G5865">
            <v>0</v>
          </cell>
        </row>
        <row r="5866">
          <cell r="B5866">
            <v>121465</v>
          </cell>
          <cell r="C5866">
            <v>1354.79</v>
          </cell>
          <cell r="D5866" t="str">
            <v>PHP</v>
          </cell>
          <cell r="E5866">
            <v>8</v>
          </cell>
          <cell r="F5866" t="str">
            <v>PC</v>
          </cell>
          <cell r="G5866">
            <v>0</v>
          </cell>
        </row>
        <row r="5867">
          <cell r="B5867">
            <v>121469</v>
          </cell>
          <cell r="C5867">
            <v>2875.3</v>
          </cell>
          <cell r="D5867" t="str">
            <v>PHP</v>
          </cell>
          <cell r="E5867">
            <v>2</v>
          </cell>
          <cell r="F5867" t="str">
            <v>PC</v>
          </cell>
          <cell r="G5867">
            <v>0</v>
          </cell>
        </row>
        <row r="5868">
          <cell r="B5868">
            <v>121480</v>
          </cell>
          <cell r="C5868">
            <v>62504.4</v>
          </cell>
          <cell r="D5868" t="str">
            <v>PHP</v>
          </cell>
          <cell r="E5868">
            <v>3</v>
          </cell>
          <cell r="F5868" t="str">
            <v>PC</v>
          </cell>
          <cell r="G5868">
            <v>0</v>
          </cell>
        </row>
        <row r="5869">
          <cell r="B5869">
            <v>121481</v>
          </cell>
          <cell r="C5869">
            <v>15118.87</v>
          </cell>
          <cell r="D5869" t="str">
            <v>PHP</v>
          </cell>
          <cell r="E5869">
            <v>3</v>
          </cell>
          <cell r="F5869" t="str">
            <v>PC</v>
          </cell>
          <cell r="G5869">
            <v>0</v>
          </cell>
        </row>
        <row r="5870">
          <cell r="B5870">
            <v>121482</v>
          </cell>
          <cell r="C5870">
            <v>6960</v>
          </cell>
          <cell r="D5870" t="str">
            <v>PHP</v>
          </cell>
          <cell r="E5870">
            <v>12</v>
          </cell>
          <cell r="F5870" t="str">
            <v>PC</v>
          </cell>
          <cell r="G5870">
            <v>0</v>
          </cell>
        </row>
        <row r="5871">
          <cell r="B5871">
            <v>121488</v>
          </cell>
          <cell r="C5871">
            <v>245031.08</v>
          </cell>
          <cell r="D5871" t="str">
            <v>PHP</v>
          </cell>
          <cell r="E5871">
            <v>1</v>
          </cell>
          <cell r="F5871" t="str">
            <v>PC</v>
          </cell>
          <cell r="G5871">
            <v>0</v>
          </cell>
        </row>
        <row r="5872">
          <cell r="B5872">
            <v>121489</v>
          </cell>
          <cell r="C5872">
            <v>17357.14</v>
          </cell>
          <cell r="D5872" t="str">
            <v>PHP</v>
          </cell>
          <cell r="E5872">
            <v>2</v>
          </cell>
          <cell r="F5872" t="str">
            <v>PC</v>
          </cell>
          <cell r="G5872">
            <v>0</v>
          </cell>
        </row>
        <row r="5873">
          <cell r="B5873">
            <v>121491</v>
          </cell>
          <cell r="C5873">
            <v>16089.29</v>
          </cell>
          <cell r="D5873" t="str">
            <v>PHP</v>
          </cell>
          <cell r="E5873">
            <v>10</v>
          </cell>
          <cell r="F5873" t="str">
            <v>PC</v>
          </cell>
          <cell r="G5873">
            <v>0</v>
          </cell>
        </row>
        <row r="5874">
          <cell r="B5874">
            <v>121495</v>
          </cell>
          <cell r="C5874">
            <v>769.86</v>
          </cell>
          <cell r="D5874" t="str">
            <v>PHP</v>
          </cell>
          <cell r="E5874">
            <v>31</v>
          </cell>
          <cell r="F5874" t="str">
            <v>PC</v>
          </cell>
          <cell r="G5874">
            <v>0</v>
          </cell>
        </row>
        <row r="5875">
          <cell r="B5875">
            <v>121506</v>
          </cell>
          <cell r="C5875">
            <v>154852.74</v>
          </cell>
          <cell r="D5875" t="str">
            <v>PHP</v>
          </cell>
          <cell r="E5875">
            <v>1</v>
          </cell>
          <cell r="F5875" t="str">
            <v>PC</v>
          </cell>
          <cell r="G5875">
            <v>0</v>
          </cell>
        </row>
        <row r="5876">
          <cell r="B5876">
            <v>121518</v>
          </cell>
          <cell r="C5876">
            <v>8676.85</v>
          </cell>
          <cell r="D5876" t="str">
            <v>PHP</v>
          </cell>
          <cell r="E5876">
            <v>9</v>
          </cell>
          <cell r="F5876" t="str">
            <v>PC</v>
          </cell>
          <cell r="G5876">
            <v>0</v>
          </cell>
        </row>
        <row r="5877">
          <cell r="B5877">
            <v>121527</v>
          </cell>
          <cell r="C5877">
            <v>7909.26</v>
          </cell>
          <cell r="D5877" t="str">
            <v>PHP</v>
          </cell>
          <cell r="E5877">
            <v>1</v>
          </cell>
          <cell r="F5877" t="str">
            <v>M</v>
          </cell>
          <cell r="G5877">
            <v>0</v>
          </cell>
        </row>
        <row r="5878">
          <cell r="B5878">
            <v>121648</v>
          </cell>
          <cell r="C5878">
            <v>2486.84</v>
          </cell>
          <cell r="D5878" t="str">
            <v>PHP</v>
          </cell>
          <cell r="E5878">
            <v>1</v>
          </cell>
          <cell r="F5878" t="str">
            <v>PC</v>
          </cell>
          <cell r="G5878">
            <v>0</v>
          </cell>
        </row>
        <row r="5879">
          <cell r="B5879">
            <v>121649</v>
          </cell>
          <cell r="C5879">
            <v>5120</v>
          </cell>
          <cell r="D5879" t="str">
            <v>PHP</v>
          </cell>
          <cell r="E5879">
            <v>4</v>
          </cell>
          <cell r="F5879" t="str">
            <v>PC</v>
          </cell>
          <cell r="G5879">
            <v>0</v>
          </cell>
        </row>
        <row r="5880">
          <cell r="B5880">
            <v>121752</v>
          </cell>
          <cell r="C5880">
            <v>3126.13</v>
          </cell>
          <cell r="D5880" t="str">
            <v>PHP</v>
          </cell>
          <cell r="E5880">
            <v>3</v>
          </cell>
          <cell r="F5880" t="str">
            <v>PC</v>
          </cell>
          <cell r="G5880">
            <v>0</v>
          </cell>
        </row>
        <row r="5881">
          <cell r="B5881">
            <v>121774</v>
          </cell>
          <cell r="C5881">
            <v>1679.31</v>
          </cell>
          <cell r="D5881" t="str">
            <v>PHP</v>
          </cell>
          <cell r="E5881">
            <v>4</v>
          </cell>
          <cell r="F5881" t="str">
            <v>PC</v>
          </cell>
          <cell r="G5881">
            <v>0</v>
          </cell>
        </row>
        <row r="5882">
          <cell r="B5882">
            <v>121784</v>
          </cell>
          <cell r="C5882">
            <v>1004270.74</v>
          </cell>
          <cell r="D5882" t="str">
            <v>PHP</v>
          </cell>
          <cell r="E5882">
            <v>11</v>
          </cell>
          <cell r="F5882" t="str">
            <v>PC</v>
          </cell>
          <cell r="G5882">
            <v>0</v>
          </cell>
        </row>
        <row r="5883">
          <cell r="B5883">
            <v>121786</v>
          </cell>
          <cell r="C5883">
            <v>105</v>
          </cell>
          <cell r="D5883" t="str">
            <v>PHP</v>
          </cell>
          <cell r="E5883">
            <v>1</v>
          </cell>
          <cell r="F5883" t="str">
            <v>PC</v>
          </cell>
          <cell r="G5883">
            <v>0</v>
          </cell>
        </row>
        <row r="5884">
          <cell r="B5884">
            <v>121787</v>
          </cell>
          <cell r="C5884">
            <v>251569.8</v>
          </cell>
          <cell r="D5884" t="str">
            <v>PHP</v>
          </cell>
          <cell r="E5884">
            <v>1</v>
          </cell>
          <cell r="F5884" t="str">
            <v>PC</v>
          </cell>
          <cell r="G5884">
            <v>0</v>
          </cell>
        </row>
        <row r="5885">
          <cell r="B5885">
            <v>121802</v>
          </cell>
          <cell r="C5885">
            <v>4847.3900000000003</v>
          </cell>
          <cell r="D5885" t="str">
            <v>PHP</v>
          </cell>
          <cell r="E5885">
            <v>1</v>
          </cell>
          <cell r="F5885" t="str">
            <v>SET</v>
          </cell>
          <cell r="G5885">
            <v>0</v>
          </cell>
        </row>
        <row r="5886">
          <cell r="B5886">
            <v>121804</v>
          </cell>
          <cell r="C5886">
            <v>45.45</v>
          </cell>
          <cell r="D5886" t="str">
            <v>PHP</v>
          </cell>
          <cell r="E5886">
            <v>4</v>
          </cell>
          <cell r="F5886" t="str">
            <v>PC</v>
          </cell>
          <cell r="G5886">
            <v>0</v>
          </cell>
        </row>
        <row r="5887">
          <cell r="B5887">
            <v>121805</v>
          </cell>
          <cell r="C5887">
            <v>1694.8</v>
          </cell>
          <cell r="D5887" t="str">
            <v>PHP</v>
          </cell>
          <cell r="E5887">
            <v>1</v>
          </cell>
          <cell r="F5887" t="str">
            <v>PC</v>
          </cell>
          <cell r="G5887">
            <v>0</v>
          </cell>
        </row>
        <row r="5888">
          <cell r="B5888">
            <v>121806</v>
          </cell>
          <cell r="C5888">
            <v>4189.07</v>
          </cell>
          <cell r="D5888" t="str">
            <v>PHP</v>
          </cell>
          <cell r="E5888">
            <v>2</v>
          </cell>
          <cell r="F5888" t="str">
            <v>PC</v>
          </cell>
          <cell r="G5888">
            <v>0</v>
          </cell>
        </row>
        <row r="5889">
          <cell r="B5889">
            <v>121825</v>
          </cell>
          <cell r="C5889">
            <v>59238.720000000001</v>
          </cell>
          <cell r="D5889" t="str">
            <v>PHP</v>
          </cell>
          <cell r="E5889">
            <v>4</v>
          </cell>
          <cell r="F5889" t="str">
            <v>PC</v>
          </cell>
          <cell r="G5889">
            <v>0</v>
          </cell>
        </row>
        <row r="5890">
          <cell r="B5890">
            <v>121843</v>
          </cell>
          <cell r="C5890">
            <v>19280.240000000002</v>
          </cell>
          <cell r="D5890" t="str">
            <v>PHP</v>
          </cell>
          <cell r="E5890">
            <v>2</v>
          </cell>
          <cell r="F5890" t="str">
            <v>PC</v>
          </cell>
          <cell r="G5890">
            <v>0</v>
          </cell>
        </row>
        <row r="5891">
          <cell r="B5891">
            <v>121845</v>
          </cell>
          <cell r="C5891">
            <v>116675.92</v>
          </cell>
          <cell r="D5891" t="str">
            <v>PHP</v>
          </cell>
          <cell r="E5891">
            <v>8</v>
          </cell>
          <cell r="F5891" t="str">
            <v>PC</v>
          </cell>
          <cell r="G5891">
            <v>0</v>
          </cell>
        </row>
        <row r="5892">
          <cell r="B5892">
            <v>121863</v>
          </cell>
          <cell r="C5892">
            <v>0</v>
          </cell>
          <cell r="D5892" t="str">
            <v>PHP</v>
          </cell>
          <cell r="E5892">
            <v>0</v>
          </cell>
          <cell r="F5892" t="str">
            <v>PC</v>
          </cell>
          <cell r="G5892">
            <v>0</v>
          </cell>
        </row>
        <row r="5893">
          <cell r="B5893">
            <v>121870</v>
          </cell>
          <cell r="C5893">
            <v>265395.98</v>
          </cell>
          <cell r="D5893" t="str">
            <v>PHP</v>
          </cell>
          <cell r="E5893">
            <v>1</v>
          </cell>
          <cell r="F5893" t="str">
            <v>UT</v>
          </cell>
          <cell r="G5893">
            <v>0</v>
          </cell>
        </row>
        <row r="5894">
          <cell r="B5894">
            <v>121878</v>
          </cell>
          <cell r="C5894">
            <v>7082.71</v>
          </cell>
          <cell r="D5894" t="str">
            <v>PHP</v>
          </cell>
          <cell r="E5894">
            <v>1</v>
          </cell>
          <cell r="F5894" t="str">
            <v>SET</v>
          </cell>
          <cell r="G5894">
            <v>0</v>
          </cell>
        </row>
        <row r="5895">
          <cell r="B5895">
            <v>121879</v>
          </cell>
          <cell r="C5895">
            <v>18809.38</v>
          </cell>
          <cell r="D5895" t="str">
            <v>PHP</v>
          </cell>
          <cell r="E5895">
            <v>2</v>
          </cell>
          <cell r="F5895" t="str">
            <v>SET</v>
          </cell>
          <cell r="G5895">
            <v>0</v>
          </cell>
        </row>
        <row r="5896">
          <cell r="B5896">
            <v>121894</v>
          </cell>
          <cell r="C5896">
            <v>6910.22</v>
          </cell>
          <cell r="D5896" t="str">
            <v>PHP</v>
          </cell>
          <cell r="E5896">
            <v>9</v>
          </cell>
          <cell r="F5896" t="str">
            <v>PC</v>
          </cell>
          <cell r="G5896">
            <v>0</v>
          </cell>
        </row>
        <row r="5897">
          <cell r="B5897">
            <v>121901</v>
          </cell>
          <cell r="C5897">
            <v>44.41</v>
          </cell>
          <cell r="D5897" t="str">
            <v>PHP</v>
          </cell>
          <cell r="E5897">
            <v>3</v>
          </cell>
          <cell r="F5897" t="str">
            <v>PC</v>
          </cell>
          <cell r="G5897">
            <v>0</v>
          </cell>
        </row>
        <row r="5898">
          <cell r="B5898">
            <v>122505</v>
          </cell>
          <cell r="C5898">
            <v>50981.94</v>
          </cell>
          <cell r="D5898" t="str">
            <v>PHP</v>
          </cell>
          <cell r="E5898">
            <v>200</v>
          </cell>
          <cell r="F5898" t="str">
            <v>PC</v>
          </cell>
          <cell r="G5898">
            <v>0</v>
          </cell>
        </row>
        <row r="5899">
          <cell r="B5899" t="str">
            <v>29861-R</v>
          </cell>
          <cell r="C5899">
            <v>0</v>
          </cell>
          <cell r="D5899" t="str">
            <v>PHP</v>
          </cell>
          <cell r="E5899">
            <v>6</v>
          </cell>
          <cell r="F5899" t="str">
            <v>PC</v>
          </cell>
          <cell r="G5899">
            <v>0</v>
          </cell>
        </row>
        <row r="5900">
          <cell r="B5900" t="str">
            <v>31981-R</v>
          </cell>
          <cell r="C5900">
            <v>0</v>
          </cell>
          <cell r="D5900" t="str">
            <v>PHP</v>
          </cell>
          <cell r="E5900">
            <v>1</v>
          </cell>
          <cell r="F5900" t="str">
            <v>SET</v>
          </cell>
          <cell r="G5900">
            <v>0</v>
          </cell>
        </row>
        <row r="5901">
          <cell r="B5901" t="str">
            <v>33980-R</v>
          </cell>
          <cell r="C5901">
            <v>0</v>
          </cell>
          <cell r="D5901" t="str">
            <v>PHP</v>
          </cell>
          <cell r="E5901">
            <v>2</v>
          </cell>
          <cell r="F5901" t="str">
            <v>PC</v>
          </cell>
          <cell r="G5901">
            <v>0</v>
          </cell>
        </row>
        <row r="5902">
          <cell r="B5902" t="str">
            <v>34005-R</v>
          </cell>
          <cell r="C5902">
            <v>0</v>
          </cell>
          <cell r="D5902" t="str">
            <v>PHP</v>
          </cell>
          <cell r="E5902">
            <v>2</v>
          </cell>
          <cell r="F5902" t="str">
            <v>PC</v>
          </cell>
          <cell r="G5902">
            <v>0</v>
          </cell>
        </row>
        <row r="5903">
          <cell r="B5903" t="str">
            <v>34035-R</v>
          </cell>
          <cell r="C5903">
            <v>0</v>
          </cell>
          <cell r="D5903" t="str">
            <v>PHP</v>
          </cell>
          <cell r="E5903">
            <v>0</v>
          </cell>
          <cell r="F5903" t="str">
            <v>PC</v>
          </cell>
          <cell r="G5903">
            <v>0</v>
          </cell>
        </row>
        <row r="5904">
          <cell r="B5904" t="str">
            <v>34062-R</v>
          </cell>
          <cell r="C5904">
            <v>0</v>
          </cell>
          <cell r="D5904" t="str">
            <v>PHP</v>
          </cell>
          <cell r="E5904">
            <v>1</v>
          </cell>
          <cell r="F5904" t="str">
            <v>PC</v>
          </cell>
          <cell r="G5904">
            <v>0</v>
          </cell>
        </row>
        <row r="5905">
          <cell r="B5905" t="str">
            <v>34083-R</v>
          </cell>
          <cell r="C5905">
            <v>0</v>
          </cell>
          <cell r="D5905" t="str">
            <v>PHP</v>
          </cell>
          <cell r="E5905">
            <v>4</v>
          </cell>
          <cell r="F5905" t="str">
            <v>PC</v>
          </cell>
          <cell r="G5905">
            <v>0</v>
          </cell>
        </row>
        <row r="5906">
          <cell r="B5906" t="str">
            <v>34088-R</v>
          </cell>
          <cell r="C5906">
            <v>0</v>
          </cell>
          <cell r="D5906" t="str">
            <v>PHP</v>
          </cell>
          <cell r="E5906">
            <v>1</v>
          </cell>
          <cell r="F5906" t="str">
            <v>PC</v>
          </cell>
          <cell r="G5906">
            <v>0</v>
          </cell>
        </row>
        <row r="5907">
          <cell r="B5907" t="str">
            <v>34089-R</v>
          </cell>
          <cell r="C5907">
            <v>0</v>
          </cell>
          <cell r="D5907" t="str">
            <v>PHP</v>
          </cell>
          <cell r="E5907">
            <v>1</v>
          </cell>
          <cell r="F5907" t="str">
            <v>PC</v>
          </cell>
          <cell r="G5907">
            <v>0</v>
          </cell>
        </row>
        <row r="5908">
          <cell r="B5908" t="str">
            <v>34093-R</v>
          </cell>
          <cell r="C5908">
            <v>0</v>
          </cell>
          <cell r="D5908" t="str">
            <v>PHP</v>
          </cell>
          <cell r="E5908">
            <v>1</v>
          </cell>
          <cell r="F5908" t="str">
            <v>PC</v>
          </cell>
          <cell r="G5908">
            <v>0</v>
          </cell>
        </row>
        <row r="5909">
          <cell r="B5909" t="str">
            <v>34094-R</v>
          </cell>
          <cell r="C5909">
            <v>0</v>
          </cell>
          <cell r="D5909" t="str">
            <v>PHP</v>
          </cell>
          <cell r="E5909">
            <v>1</v>
          </cell>
          <cell r="F5909" t="str">
            <v>PC</v>
          </cell>
          <cell r="G5909">
            <v>0</v>
          </cell>
        </row>
        <row r="5910">
          <cell r="B5910" t="str">
            <v>34100-R</v>
          </cell>
          <cell r="C5910">
            <v>0</v>
          </cell>
          <cell r="D5910" t="str">
            <v>PHP</v>
          </cell>
          <cell r="E5910">
            <v>1</v>
          </cell>
          <cell r="F5910" t="str">
            <v>PC</v>
          </cell>
          <cell r="G5910">
            <v>0</v>
          </cell>
        </row>
        <row r="5911">
          <cell r="B5911" t="str">
            <v>34101-R</v>
          </cell>
          <cell r="C5911">
            <v>0</v>
          </cell>
          <cell r="D5911" t="str">
            <v>PHP</v>
          </cell>
          <cell r="E5911">
            <v>1</v>
          </cell>
          <cell r="F5911" t="str">
            <v>PC</v>
          </cell>
          <cell r="G5911">
            <v>0</v>
          </cell>
        </row>
        <row r="5912">
          <cell r="B5912" t="str">
            <v>34105-R</v>
          </cell>
          <cell r="C5912">
            <v>0</v>
          </cell>
          <cell r="D5912" t="str">
            <v>PHP</v>
          </cell>
          <cell r="E5912">
            <v>2</v>
          </cell>
          <cell r="F5912" t="str">
            <v>PC</v>
          </cell>
          <cell r="G5912">
            <v>0</v>
          </cell>
        </row>
        <row r="5913">
          <cell r="B5913" t="str">
            <v>34107-R</v>
          </cell>
          <cell r="C5913">
            <v>0</v>
          </cell>
          <cell r="D5913" t="str">
            <v>PHP</v>
          </cell>
          <cell r="E5913">
            <v>1</v>
          </cell>
          <cell r="F5913" t="str">
            <v>PC</v>
          </cell>
          <cell r="G5913">
            <v>0</v>
          </cell>
        </row>
        <row r="5914">
          <cell r="B5914" t="str">
            <v>34208-R</v>
          </cell>
          <cell r="C5914">
            <v>0</v>
          </cell>
          <cell r="D5914" t="str">
            <v>PHP</v>
          </cell>
          <cell r="E5914">
            <v>8</v>
          </cell>
          <cell r="F5914" t="str">
            <v>PC</v>
          </cell>
          <cell r="G5914">
            <v>0</v>
          </cell>
        </row>
        <row r="5915">
          <cell r="B5915" t="str">
            <v>34209-R</v>
          </cell>
          <cell r="C5915">
            <v>0</v>
          </cell>
          <cell r="D5915" t="str">
            <v>PHP</v>
          </cell>
          <cell r="E5915">
            <v>8</v>
          </cell>
          <cell r="F5915" t="str">
            <v>PC</v>
          </cell>
          <cell r="G5915">
            <v>0</v>
          </cell>
        </row>
        <row r="5916">
          <cell r="B5916" t="str">
            <v>34212-R</v>
          </cell>
          <cell r="C5916">
            <v>0</v>
          </cell>
          <cell r="D5916" t="str">
            <v>PHP</v>
          </cell>
          <cell r="E5916">
            <v>7</v>
          </cell>
          <cell r="F5916" t="str">
            <v>PC</v>
          </cell>
          <cell r="G5916">
            <v>0</v>
          </cell>
        </row>
        <row r="5917">
          <cell r="B5917" t="str">
            <v>34287-R</v>
          </cell>
          <cell r="C5917">
            <v>0</v>
          </cell>
          <cell r="D5917" t="str">
            <v>PHP</v>
          </cell>
          <cell r="E5917">
            <v>0</v>
          </cell>
          <cell r="F5917" t="str">
            <v>PC</v>
          </cell>
          <cell r="G5917">
            <v>0</v>
          </cell>
        </row>
        <row r="5918">
          <cell r="B5918" t="str">
            <v>34314-R</v>
          </cell>
          <cell r="C5918">
            <v>0</v>
          </cell>
          <cell r="D5918" t="str">
            <v>PHP</v>
          </cell>
          <cell r="E5918">
            <v>0</v>
          </cell>
          <cell r="F5918" t="str">
            <v>PC</v>
          </cell>
          <cell r="G5918">
            <v>0</v>
          </cell>
        </row>
        <row r="5919">
          <cell r="B5919" t="str">
            <v>34587-R</v>
          </cell>
          <cell r="C5919">
            <v>0</v>
          </cell>
          <cell r="D5919" t="str">
            <v>PHP</v>
          </cell>
          <cell r="E5919">
            <v>2</v>
          </cell>
          <cell r="F5919" t="str">
            <v>PC</v>
          </cell>
          <cell r="G5919">
            <v>0</v>
          </cell>
        </row>
        <row r="5920">
          <cell r="B5920" t="str">
            <v>34872-R</v>
          </cell>
          <cell r="C5920">
            <v>0</v>
          </cell>
          <cell r="D5920" t="str">
            <v>PHP</v>
          </cell>
          <cell r="E5920">
            <v>2</v>
          </cell>
          <cell r="F5920" t="str">
            <v>PC</v>
          </cell>
          <cell r="G5920">
            <v>0</v>
          </cell>
        </row>
        <row r="5921">
          <cell r="B5921" t="str">
            <v>35132-R</v>
          </cell>
          <cell r="C5921">
            <v>0</v>
          </cell>
          <cell r="D5921" t="str">
            <v>PHP</v>
          </cell>
          <cell r="E5921">
            <v>2</v>
          </cell>
          <cell r="F5921" t="str">
            <v>PC</v>
          </cell>
          <cell r="G5921">
            <v>0</v>
          </cell>
        </row>
        <row r="5922">
          <cell r="B5922" t="str">
            <v>39706-R</v>
          </cell>
          <cell r="C5922">
            <v>0</v>
          </cell>
          <cell r="D5922" t="str">
            <v>PHP</v>
          </cell>
          <cell r="E5922">
            <v>1</v>
          </cell>
          <cell r="F5922" t="str">
            <v>PC</v>
          </cell>
          <cell r="G5922">
            <v>0</v>
          </cell>
        </row>
        <row r="5923">
          <cell r="B5923" t="str">
            <v>39933-R</v>
          </cell>
          <cell r="C5923">
            <v>0</v>
          </cell>
          <cell r="D5923" t="str">
            <v>PHP</v>
          </cell>
          <cell r="E5923">
            <v>6</v>
          </cell>
          <cell r="F5923" t="str">
            <v>PC</v>
          </cell>
          <cell r="G5923">
            <v>0</v>
          </cell>
        </row>
        <row r="5924">
          <cell r="B5924" t="str">
            <v>39984-R</v>
          </cell>
          <cell r="C5924">
            <v>0</v>
          </cell>
          <cell r="D5924" t="str">
            <v>PHP</v>
          </cell>
          <cell r="E5924">
            <v>1</v>
          </cell>
          <cell r="F5924" t="str">
            <v>PC</v>
          </cell>
          <cell r="G5924">
            <v>0</v>
          </cell>
        </row>
        <row r="5925">
          <cell r="B5925" t="str">
            <v>42003-R</v>
          </cell>
          <cell r="C5925">
            <v>0</v>
          </cell>
          <cell r="D5925" t="str">
            <v>PHP</v>
          </cell>
          <cell r="E5925">
            <v>2</v>
          </cell>
          <cell r="F5925" t="str">
            <v>PC</v>
          </cell>
          <cell r="G5925">
            <v>0</v>
          </cell>
        </row>
        <row r="5926">
          <cell r="B5926" t="str">
            <v>6877-R</v>
          </cell>
          <cell r="C5926">
            <v>0</v>
          </cell>
          <cell r="D5926" t="str">
            <v>PHP</v>
          </cell>
          <cell r="E5926">
            <v>1</v>
          </cell>
          <cell r="F5926" t="str">
            <v>PC</v>
          </cell>
          <cell r="G5926">
            <v>0</v>
          </cell>
        </row>
        <row r="5927">
          <cell r="B5927" t="str">
            <v>74070-R</v>
          </cell>
          <cell r="C5927">
            <v>0</v>
          </cell>
          <cell r="D5927" t="str">
            <v>PHP</v>
          </cell>
          <cell r="E5927">
            <v>25</v>
          </cell>
          <cell r="F5927" t="str">
            <v>PC</v>
          </cell>
          <cell r="G5927">
            <v>0</v>
          </cell>
        </row>
      </sheetData>
      <sheetData sheetId="2">
        <row r="6">
          <cell r="B6">
            <v>38</v>
          </cell>
          <cell r="C6">
            <v>0</v>
          </cell>
          <cell r="D6" t="str">
            <v>PHP</v>
          </cell>
          <cell r="E6">
            <v>0</v>
          </cell>
          <cell r="F6" t="str">
            <v>PC</v>
          </cell>
          <cell r="G6">
            <v>0</v>
          </cell>
        </row>
        <row r="7">
          <cell r="B7">
            <v>53</v>
          </cell>
          <cell r="C7">
            <v>0</v>
          </cell>
          <cell r="D7" t="str">
            <v>PHP</v>
          </cell>
          <cell r="E7">
            <v>0</v>
          </cell>
          <cell r="F7" t="str">
            <v>PC</v>
          </cell>
          <cell r="G7">
            <v>0</v>
          </cell>
        </row>
        <row r="8">
          <cell r="B8">
            <v>63</v>
          </cell>
          <cell r="C8">
            <v>0</v>
          </cell>
          <cell r="D8" t="str">
            <v>PHP</v>
          </cell>
          <cell r="E8">
            <v>0</v>
          </cell>
          <cell r="F8" t="str">
            <v>PC</v>
          </cell>
          <cell r="G8">
            <v>0</v>
          </cell>
        </row>
        <row r="9">
          <cell r="B9">
            <v>64</v>
          </cell>
          <cell r="C9">
            <v>0</v>
          </cell>
          <cell r="D9" t="str">
            <v>PHP</v>
          </cell>
          <cell r="E9">
            <v>0</v>
          </cell>
          <cell r="F9" t="str">
            <v>PC</v>
          </cell>
          <cell r="G9">
            <v>0</v>
          </cell>
        </row>
        <row r="10">
          <cell r="B10">
            <v>69</v>
          </cell>
          <cell r="C10">
            <v>0</v>
          </cell>
          <cell r="D10" t="str">
            <v>PHP</v>
          </cell>
          <cell r="E10">
            <v>0</v>
          </cell>
          <cell r="F10" t="str">
            <v>PC</v>
          </cell>
          <cell r="G10">
            <v>0</v>
          </cell>
        </row>
        <row r="11">
          <cell r="B11">
            <v>403</v>
          </cell>
          <cell r="C11">
            <v>0</v>
          </cell>
          <cell r="D11" t="str">
            <v>PHP</v>
          </cell>
          <cell r="E11">
            <v>0</v>
          </cell>
          <cell r="F11" t="str">
            <v>PC</v>
          </cell>
          <cell r="G11">
            <v>0</v>
          </cell>
        </row>
        <row r="12">
          <cell r="B12">
            <v>447</v>
          </cell>
          <cell r="C12">
            <v>0</v>
          </cell>
          <cell r="D12" t="str">
            <v>PHP</v>
          </cell>
          <cell r="E12">
            <v>0</v>
          </cell>
          <cell r="F12" t="str">
            <v>PC</v>
          </cell>
          <cell r="G12">
            <v>0</v>
          </cell>
        </row>
        <row r="13">
          <cell r="B13">
            <v>469</v>
          </cell>
          <cell r="C13">
            <v>0</v>
          </cell>
          <cell r="D13" t="str">
            <v>PHP</v>
          </cell>
          <cell r="E13">
            <v>0</v>
          </cell>
          <cell r="F13" t="str">
            <v>PC</v>
          </cell>
          <cell r="G13">
            <v>0</v>
          </cell>
        </row>
        <row r="14">
          <cell r="B14">
            <v>566</v>
          </cell>
          <cell r="C14">
            <v>0</v>
          </cell>
          <cell r="D14" t="str">
            <v>PHP</v>
          </cell>
          <cell r="E14">
            <v>0</v>
          </cell>
          <cell r="F14" t="str">
            <v>ASY</v>
          </cell>
          <cell r="G14">
            <v>0</v>
          </cell>
        </row>
        <row r="15">
          <cell r="B15">
            <v>576</v>
          </cell>
          <cell r="C15">
            <v>0</v>
          </cell>
          <cell r="D15" t="str">
            <v>PHP</v>
          </cell>
          <cell r="E15">
            <v>0</v>
          </cell>
          <cell r="F15" t="str">
            <v>PC</v>
          </cell>
          <cell r="G15">
            <v>0</v>
          </cell>
        </row>
        <row r="16">
          <cell r="B16">
            <v>693</v>
          </cell>
          <cell r="C16">
            <v>0</v>
          </cell>
          <cell r="D16" t="str">
            <v>PHP</v>
          </cell>
          <cell r="E16">
            <v>0</v>
          </cell>
          <cell r="F16" t="str">
            <v>PC</v>
          </cell>
          <cell r="G16">
            <v>0</v>
          </cell>
        </row>
        <row r="17">
          <cell r="B17">
            <v>710</v>
          </cell>
          <cell r="C17">
            <v>0</v>
          </cell>
          <cell r="D17" t="str">
            <v>PHP</v>
          </cell>
          <cell r="E17">
            <v>0</v>
          </cell>
          <cell r="F17" t="str">
            <v>PC</v>
          </cell>
          <cell r="G17">
            <v>0</v>
          </cell>
        </row>
        <row r="18">
          <cell r="B18">
            <v>801</v>
          </cell>
          <cell r="C18">
            <v>0</v>
          </cell>
          <cell r="D18" t="str">
            <v>PHP</v>
          </cell>
          <cell r="E18">
            <v>0</v>
          </cell>
          <cell r="F18" t="str">
            <v>PC</v>
          </cell>
          <cell r="G18">
            <v>0</v>
          </cell>
        </row>
        <row r="19">
          <cell r="B19">
            <v>829</v>
          </cell>
          <cell r="C19">
            <v>0</v>
          </cell>
          <cell r="D19" t="str">
            <v>PHP</v>
          </cell>
          <cell r="E19">
            <v>0</v>
          </cell>
          <cell r="F19" t="str">
            <v>PC</v>
          </cell>
          <cell r="G19">
            <v>0</v>
          </cell>
        </row>
        <row r="20">
          <cell r="B20">
            <v>830</v>
          </cell>
          <cell r="C20">
            <v>0</v>
          </cell>
          <cell r="D20" t="str">
            <v>PHP</v>
          </cell>
          <cell r="E20">
            <v>0</v>
          </cell>
          <cell r="F20" t="str">
            <v>PC</v>
          </cell>
          <cell r="G20">
            <v>0</v>
          </cell>
        </row>
        <row r="21">
          <cell r="B21">
            <v>853</v>
          </cell>
          <cell r="C21">
            <v>0</v>
          </cell>
          <cell r="D21" t="str">
            <v>PHP</v>
          </cell>
          <cell r="E21">
            <v>0</v>
          </cell>
          <cell r="F21" t="str">
            <v>PC</v>
          </cell>
          <cell r="G21">
            <v>0</v>
          </cell>
        </row>
        <row r="22">
          <cell r="B22">
            <v>991</v>
          </cell>
          <cell r="C22">
            <v>0</v>
          </cell>
          <cell r="D22" t="str">
            <v>PHP</v>
          </cell>
          <cell r="E22">
            <v>0</v>
          </cell>
          <cell r="F22" t="str">
            <v>PC</v>
          </cell>
          <cell r="G22">
            <v>0</v>
          </cell>
        </row>
        <row r="23">
          <cell r="B23">
            <v>995</v>
          </cell>
          <cell r="C23">
            <v>0</v>
          </cell>
          <cell r="D23" t="str">
            <v>PHP</v>
          </cell>
          <cell r="E23">
            <v>0</v>
          </cell>
          <cell r="F23" t="str">
            <v>PC</v>
          </cell>
          <cell r="G23">
            <v>0</v>
          </cell>
        </row>
        <row r="24">
          <cell r="B24">
            <v>996</v>
          </cell>
          <cell r="C24">
            <v>0</v>
          </cell>
          <cell r="D24" t="str">
            <v>PHP</v>
          </cell>
          <cell r="E24">
            <v>0</v>
          </cell>
          <cell r="F24" t="str">
            <v>PC</v>
          </cell>
          <cell r="G24">
            <v>0</v>
          </cell>
        </row>
        <row r="25">
          <cell r="B25">
            <v>1068</v>
          </cell>
          <cell r="C25">
            <v>0</v>
          </cell>
          <cell r="D25" t="str">
            <v>PHP</v>
          </cell>
          <cell r="E25">
            <v>0</v>
          </cell>
          <cell r="F25" t="str">
            <v>PC</v>
          </cell>
          <cell r="G25">
            <v>0</v>
          </cell>
        </row>
        <row r="26">
          <cell r="B26">
            <v>1072</v>
          </cell>
          <cell r="C26">
            <v>0</v>
          </cell>
          <cell r="D26" t="str">
            <v>PHP</v>
          </cell>
          <cell r="E26">
            <v>0</v>
          </cell>
          <cell r="F26" t="str">
            <v>PC</v>
          </cell>
          <cell r="G26">
            <v>0</v>
          </cell>
        </row>
        <row r="27">
          <cell r="B27">
            <v>1087</v>
          </cell>
          <cell r="C27">
            <v>0</v>
          </cell>
          <cell r="D27" t="str">
            <v>PHP</v>
          </cell>
          <cell r="E27">
            <v>0</v>
          </cell>
          <cell r="F27" t="str">
            <v>PC</v>
          </cell>
          <cell r="G27">
            <v>0</v>
          </cell>
        </row>
        <row r="28">
          <cell r="B28">
            <v>1125</v>
          </cell>
          <cell r="C28">
            <v>0</v>
          </cell>
          <cell r="D28" t="str">
            <v>PHP</v>
          </cell>
          <cell r="E28">
            <v>0</v>
          </cell>
          <cell r="F28" t="str">
            <v>PC</v>
          </cell>
          <cell r="G28">
            <v>0</v>
          </cell>
        </row>
        <row r="29">
          <cell r="B29">
            <v>1136</v>
          </cell>
          <cell r="C29">
            <v>0</v>
          </cell>
          <cell r="D29" t="str">
            <v>PHP</v>
          </cell>
          <cell r="E29">
            <v>0</v>
          </cell>
          <cell r="F29" t="str">
            <v>PC</v>
          </cell>
          <cell r="G29">
            <v>0</v>
          </cell>
        </row>
        <row r="30">
          <cell r="B30">
            <v>1316</v>
          </cell>
          <cell r="C30">
            <v>0</v>
          </cell>
          <cell r="D30" t="str">
            <v>PHP</v>
          </cell>
          <cell r="E30">
            <v>0</v>
          </cell>
          <cell r="F30" t="str">
            <v>PC</v>
          </cell>
          <cell r="G30">
            <v>0</v>
          </cell>
        </row>
        <row r="31">
          <cell r="B31">
            <v>1317</v>
          </cell>
          <cell r="C31">
            <v>0</v>
          </cell>
          <cell r="D31" t="str">
            <v>PHP</v>
          </cell>
          <cell r="E31">
            <v>0</v>
          </cell>
          <cell r="F31" t="str">
            <v>PC</v>
          </cell>
          <cell r="G31">
            <v>0</v>
          </cell>
        </row>
        <row r="32">
          <cell r="B32">
            <v>1320</v>
          </cell>
          <cell r="C32">
            <v>0</v>
          </cell>
          <cell r="D32" t="str">
            <v>PHP</v>
          </cell>
          <cell r="E32">
            <v>0</v>
          </cell>
          <cell r="F32" t="str">
            <v>PC</v>
          </cell>
          <cell r="G32">
            <v>0</v>
          </cell>
        </row>
        <row r="33">
          <cell r="B33">
            <v>1322</v>
          </cell>
          <cell r="C33">
            <v>0</v>
          </cell>
          <cell r="D33" t="str">
            <v>PHP</v>
          </cell>
          <cell r="E33">
            <v>0</v>
          </cell>
          <cell r="F33" t="str">
            <v>PC</v>
          </cell>
          <cell r="G33">
            <v>0</v>
          </cell>
        </row>
        <row r="34">
          <cell r="B34">
            <v>1339</v>
          </cell>
          <cell r="C34">
            <v>0</v>
          </cell>
          <cell r="D34" t="str">
            <v>PHP</v>
          </cell>
          <cell r="E34">
            <v>0</v>
          </cell>
          <cell r="F34" t="str">
            <v>PC</v>
          </cell>
          <cell r="G34">
            <v>0</v>
          </cell>
        </row>
        <row r="35">
          <cell r="B35">
            <v>1367</v>
          </cell>
          <cell r="C35">
            <v>0</v>
          </cell>
          <cell r="D35" t="str">
            <v>PHP</v>
          </cell>
          <cell r="E35">
            <v>0</v>
          </cell>
          <cell r="F35" t="str">
            <v>PC</v>
          </cell>
          <cell r="G35">
            <v>0</v>
          </cell>
        </row>
        <row r="36">
          <cell r="B36">
            <v>1374</v>
          </cell>
          <cell r="C36">
            <v>0</v>
          </cell>
          <cell r="D36" t="str">
            <v>PHP</v>
          </cell>
          <cell r="E36">
            <v>0</v>
          </cell>
          <cell r="F36" t="str">
            <v>PC</v>
          </cell>
          <cell r="G36">
            <v>0</v>
          </cell>
        </row>
        <row r="37">
          <cell r="B37">
            <v>1386</v>
          </cell>
          <cell r="C37">
            <v>54.85</v>
          </cell>
          <cell r="D37" t="str">
            <v>PHP</v>
          </cell>
          <cell r="E37">
            <v>1</v>
          </cell>
          <cell r="F37" t="str">
            <v>PC</v>
          </cell>
          <cell r="G37">
            <v>0</v>
          </cell>
        </row>
        <row r="38">
          <cell r="B38">
            <v>1476</v>
          </cell>
          <cell r="C38">
            <v>0</v>
          </cell>
          <cell r="D38" t="str">
            <v>PHP</v>
          </cell>
          <cell r="E38">
            <v>0</v>
          </cell>
          <cell r="F38" t="str">
            <v>PC</v>
          </cell>
          <cell r="G38">
            <v>0</v>
          </cell>
        </row>
        <row r="39">
          <cell r="B39">
            <v>1493</v>
          </cell>
          <cell r="C39">
            <v>0</v>
          </cell>
          <cell r="D39" t="str">
            <v>PHP</v>
          </cell>
          <cell r="E39">
            <v>0</v>
          </cell>
          <cell r="F39" t="str">
            <v>PC</v>
          </cell>
          <cell r="G39">
            <v>0</v>
          </cell>
        </row>
        <row r="40">
          <cell r="B40">
            <v>1495</v>
          </cell>
          <cell r="C40">
            <v>0</v>
          </cell>
          <cell r="D40" t="str">
            <v>PHP</v>
          </cell>
          <cell r="E40">
            <v>0</v>
          </cell>
          <cell r="F40" t="str">
            <v>PC</v>
          </cell>
          <cell r="G40">
            <v>0</v>
          </cell>
        </row>
        <row r="41">
          <cell r="B41">
            <v>1514</v>
          </cell>
          <cell r="C41">
            <v>0</v>
          </cell>
          <cell r="D41" t="str">
            <v>PHP</v>
          </cell>
          <cell r="E41">
            <v>0</v>
          </cell>
          <cell r="F41" t="str">
            <v>PC</v>
          </cell>
          <cell r="G41">
            <v>0</v>
          </cell>
        </row>
        <row r="42">
          <cell r="B42">
            <v>1561</v>
          </cell>
          <cell r="C42">
            <v>0</v>
          </cell>
          <cell r="D42" t="str">
            <v>PHP</v>
          </cell>
          <cell r="E42">
            <v>0</v>
          </cell>
          <cell r="F42" t="str">
            <v>PC</v>
          </cell>
          <cell r="G42">
            <v>0</v>
          </cell>
        </row>
        <row r="43">
          <cell r="B43">
            <v>1571</v>
          </cell>
          <cell r="C43">
            <v>0</v>
          </cell>
          <cell r="D43" t="str">
            <v>PHP</v>
          </cell>
          <cell r="E43">
            <v>0</v>
          </cell>
          <cell r="F43" t="str">
            <v>PC</v>
          </cell>
          <cell r="G43">
            <v>0</v>
          </cell>
        </row>
        <row r="44">
          <cell r="B44">
            <v>1597</v>
          </cell>
          <cell r="C44">
            <v>0</v>
          </cell>
          <cell r="D44" t="str">
            <v>PHP</v>
          </cell>
          <cell r="E44">
            <v>0</v>
          </cell>
          <cell r="F44" t="str">
            <v>PC</v>
          </cell>
          <cell r="G44">
            <v>0</v>
          </cell>
        </row>
        <row r="45">
          <cell r="B45">
            <v>1661</v>
          </cell>
          <cell r="C45">
            <v>0</v>
          </cell>
          <cell r="D45" t="str">
            <v>PHP</v>
          </cell>
          <cell r="E45">
            <v>0</v>
          </cell>
          <cell r="F45" t="str">
            <v>PC</v>
          </cell>
          <cell r="G45">
            <v>0</v>
          </cell>
        </row>
        <row r="46">
          <cell r="B46">
            <v>1700</v>
          </cell>
          <cell r="C46">
            <v>0</v>
          </cell>
          <cell r="D46" t="str">
            <v>PHP</v>
          </cell>
          <cell r="E46">
            <v>0</v>
          </cell>
          <cell r="F46" t="str">
            <v>PC</v>
          </cell>
          <cell r="G46">
            <v>0</v>
          </cell>
        </row>
        <row r="47">
          <cell r="B47">
            <v>1714</v>
          </cell>
          <cell r="C47">
            <v>0</v>
          </cell>
          <cell r="D47" t="str">
            <v>PHP</v>
          </cell>
          <cell r="E47">
            <v>0</v>
          </cell>
          <cell r="F47" t="str">
            <v>PC</v>
          </cell>
          <cell r="G47">
            <v>0</v>
          </cell>
        </row>
        <row r="48">
          <cell r="B48">
            <v>1727</v>
          </cell>
          <cell r="C48">
            <v>0</v>
          </cell>
          <cell r="D48" t="str">
            <v>PHP</v>
          </cell>
          <cell r="E48">
            <v>0</v>
          </cell>
          <cell r="F48" t="str">
            <v>PC</v>
          </cell>
          <cell r="G48">
            <v>0</v>
          </cell>
        </row>
        <row r="49">
          <cell r="B49">
            <v>1801</v>
          </cell>
          <cell r="C49">
            <v>0</v>
          </cell>
          <cell r="D49" t="str">
            <v>PHP</v>
          </cell>
          <cell r="E49">
            <v>0</v>
          </cell>
          <cell r="F49" t="str">
            <v>PC</v>
          </cell>
          <cell r="G49">
            <v>0</v>
          </cell>
        </row>
        <row r="50">
          <cell r="B50">
            <v>1858</v>
          </cell>
          <cell r="C50">
            <v>0</v>
          </cell>
          <cell r="D50" t="str">
            <v>PHP</v>
          </cell>
          <cell r="E50">
            <v>0</v>
          </cell>
          <cell r="F50" t="str">
            <v>PC</v>
          </cell>
          <cell r="G50">
            <v>0</v>
          </cell>
        </row>
        <row r="51">
          <cell r="B51">
            <v>1869</v>
          </cell>
          <cell r="C51">
            <v>0</v>
          </cell>
          <cell r="D51" t="str">
            <v>PHP</v>
          </cell>
          <cell r="E51">
            <v>0</v>
          </cell>
          <cell r="F51" t="str">
            <v>PC</v>
          </cell>
          <cell r="G51">
            <v>0</v>
          </cell>
        </row>
        <row r="52">
          <cell r="B52">
            <v>1913</v>
          </cell>
          <cell r="C52">
            <v>0</v>
          </cell>
          <cell r="D52" t="str">
            <v>PHP</v>
          </cell>
          <cell r="E52">
            <v>0</v>
          </cell>
          <cell r="F52" t="str">
            <v>PC</v>
          </cell>
          <cell r="G52">
            <v>0</v>
          </cell>
        </row>
        <row r="53">
          <cell r="B53">
            <v>1914</v>
          </cell>
          <cell r="C53">
            <v>0</v>
          </cell>
          <cell r="D53" t="str">
            <v>PHP</v>
          </cell>
          <cell r="E53">
            <v>0</v>
          </cell>
          <cell r="F53" t="str">
            <v>PC</v>
          </cell>
          <cell r="G53">
            <v>0</v>
          </cell>
        </row>
        <row r="54">
          <cell r="B54">
            <v>1919</v>
          </cell>
          <cell r="C54">
            <v>0</v>
          </cell>
          <cell r="D54" t="str">
            <v>PHP</v>
          </cell>
          <cell r="E54">
            <v>0</v>
          </cell>
          <cell r="F54" t="str">
            <v>SET</v>
          </cell>
          <cell r="G54">
            <v>0</v>
          </cell>
        </row>
        <row r="55">
          <cell r="B55">
            <v>1922</v>
          </cell>
          <cell r="C55">
            <v>0</v>
          </cell>
          <cell r="D55" t="str">
            <v>PHP</v>
          </cell>
          <cell r="E55">
            <v>0</v>
          </cell>
          <cell r="F55" t="str">
            <v>PC</v>
          </cell>
          <cell r="G55">
            <v>0</v>
          </cell>
        </row>
        <row r="56">
          <cell r="B56">
            <v>1946</v>
          </cell>
          <cell r="C56">
            <v>0</v>
          </cell>
          <cell r="D56" t="str">
            <v>PHP</v>
          </cell>
          <cell r="E56">
            <v>0</v>
          </cell>
          <cell r="F56" t="str">
            <v>PC</v>
          </cell>
          <cell r="G56">
            <v>0</v>
          </cell>
        </row>
        <row r="57">
          <cell r="B57">
            <v>1957</v>
          </cell>
          <cell r="C57">
            <v>0</v>
          </cell>
          <cell r="D57" t="str">
            <v>PHP</v>
          </cell>
          <cell r="E57">
            <v>0</v>
          </cell>
          <cell r="F57" t="str">
            <v>PC</v>
          </cell>
          <cell r="G57">
            <v>0</v>
          </cell>
        </row>
        <row r="58">
          <cell r="B58">
            <v>1958</v>
          </cell>
          <cell r="C58">
            <v>0</v>
          </cell>
          <cell r="D58" t="str">
            <v>PHP</v>
          </cell>
          <cell r="E58">
            <v>0</v>
          </cell>
          <cell r="F58" t="str">
            <v>PC</v>
          </cell>
          <cell r="G58">
            <v>0</v>
          </cell>
        </row>
        <row r="59">
          <cell r="B59">
            <v>1959</v>
          </cell>
          <cell r="C59">
            <v>0</v>
          </cell>
          <cell r="D59" t="str">
            <v>PHP</v>
          </cell>
          <cell r="E59">
            <v>0</v>
          </cell>
          <cell r="F59" t="str">
            <v>PC</v>
          </cell>
          <cell r="G59">
            <v>0</v>
          </cell>
        </row>
        <row r="60">
          <cell r="B60">
            <v>2004</v>
          </cell>
          <cell r="C60">
            <v>0</v>
          </cell>
          <cell r="D60" t="str">
            <v>PHP</v>
          </cell>
          <cell r="E60">
            <v>0</v>
          </cell>
          <cell r="F60" t="str">
            <v>PC</v>
          </cell>
          <cell r="G60">
            <v>0</v>
          </cell>
        </row>
        <row r="61">
          <cell r="B61">
            <v>2149</v>
          </cell>
          <cell r="C61">
            <v>0</v>
          </cell>
          <cell r="D61" t="str">
            <v>PHP</v>
          </cell>
          <cell r="E61">
            <v>0</v>
          </cell>
          <cell r="F61" t="str">
            <v>PC</v>
          </cell>
          <cell r="G61">
            <v>0</v>
          </cell>
        </row>
        <row r="62">
          <cell r="B62">
            <v>2207</v>
          </cell>
          <cell r="C62">
            <v>0</v>
          </cell>
          <cell r="D62" t="str">
            <v>PHP</v>
          </cell>
          <cell r="E62">
            <v>0</v>
          </cell>
          <cell r="F62" t="str">
            <v>PC</v>
          </cell>
          <cell r="G62">
            <v>0</v>
          </cell>
        </row>
        <row r="63">
          <cell r="B63">
            <v>2290</v>
          </cell>
          <cell r="C63">
            <v>0</v>
          </cell>
          <cell r="D63" t="str">
            <v>PHP</v>
          </cell>
          <cell r="E63">
            <v>0</v>
          </cell>
          <cell r="F63" t="str">
            <v>PC</v>
          </cell>
          <cell r="G63">
            <v>0</v>
          </cell>
        </row>
        <row r="64">
          <cell r="B64">
            <v>2307</v>
          </cell>
          <cell r="C64">
            <v>0</v>
          </cell>
          <cell r="D64" t="str">
            <v>PHP</v>
          </cell>
          <cell r="E64">
            <v>0</v>
          </cell>
          <cell r="F64" t="str">
            <v>PC</v>
          </cell>
          <cell r="G64">
            <v>0</v>
          </cell>
        </row>
        <row r="65">
          <cell r="B65">
            <v>2321</v>
          </cell>
          <cell r="C65">
            <v>0</v>
          </cell>
          <cell r="D65" t="str">
            <v>PHP</v>
          </cell>
          <cell r="E65">
            <v>0</v>
          </cell>
          <cell r="F65" t="str">
            <v>PC</v>
          </cell>
          <cell r="G65">
            <v>0</v>
          </cell>
        </row>
        <row r="66">
          <cell r="B66">
            <v>2478</v>
          </cell>
          <cell r="C66">
            <v>0</v>
          </cell>
          <cell r="D66" t="str">
            <v>PHP</v>
          </cell>
          <cell r="E66">
            <v>0</v>
          </cell>
          <cell r="F66" t="str">
            <v>PC</v>
          </cell>
          <cell r="G66">
            <v>0</v>
          </cell>
        </row>
        <row r="67">
          <cell r="B67">
            <v>2580</v>
          </cell>
          <cell r="C67">
            <v>0</v>
          </cell>
          <cell r="D67" t="str">
            <v>PHP</v>
          </cell>
          <cell r="E67">
            <v>0</v>
          </cell>
          <cell r="F67" t="str">
            <v>PC</v>
          </cell>
          <cell r="G67">
            <v>0</v>
          </cell>
        </row>
        <row r="68">
          <cell r="B68">
            <v>2633</v>
          </cell>
          <cell r="C68">
            <v>0</v>
          </cell>
          <cell r="D68" t="str">
            <v>PHP</v>
          </cell>
          <cell r="E68">
            <v>0</v>
          </cell>
          <cell r="F68" t="str">
            <v>PC</v>
          </cell>
          <cell r="G68">
            <v>0</v>
          </cell>
        </row>
        <row r="69">
          <cell r="B69">
            <v>2634</v>
          </cell>
          <cell r="C69">
            <v>0</v>
          </cell>
          <cell r="D69" t="str">
            <v>PHP</v>
          </cell>
          <cell r="E69">
            <v>0</v>
          </cell>
          <cell r="F69" t="str">
            <v>PC</v>
          </cell>
          <cell r="G69">
            <v>0</v>
          </cell>
        </row>
        <row r="70">
          <cell r="B70">
            <v>2663</v>
          </cell>
          <cell r="C70">
            <v>0</v>
          </cell>
          <cell r="D70" t="str">
            <v>PHP</v>
          </cell>
          <cell r="E70">
            <v>0</v>
          </cell>
          <cell r="F70" t="str">
            <v>PC</v>
          </cell>
          <cell r="G70">
            <v>0</v>
          </cell>
        </row>
        <row r="71">
          <cell r="B71">
            <v>2826</v>
          </cell>
          <cell r="C71">
            <v>0</v>
          </cell>
          <cell r="D71" t="str">
            <v>PHP</v>
          </cell>
          <cell r="E71">
            <v>0</v>
          </cell>
          <cell r="F71" t="str">
            <v>PC</v>
          </cell>
          <cell r="G71">
            <v>0</v>
          </cell>
        </row>
        <row r="72">
          <cell r="B72">
            <v>2827</v>
          </cell>
          <cell r="C72">
            <v>0</v>
          </cell>
          <cell r="D72" t="str">
            <v>PHP</v>
          </cell>
          <cell r="E72">
            <v>0</v>
          </cell>
          <cell r="F72" t="str">
            <v>PC</v>
          </cell>
          <cell r="G72">
            <v>0</v>
          </cell>
        </row>
        <row r="73">
          <cell r="B73">
            <v>2837</v>
          </cell>
          <cell r="C73">
            <v>0</v>
          </cell>
          <cell r="D73" t="str">
            <v>PHP</v>
          </cell>
          <cell r="E73">
            <v>0</v>
          </cell>
          <cell r="F73" t="str">
            <v>PC</v>
          </cell>
          <cell r="G73">
            <v>0</v>
          </cell>
        </row>
        <row r="74">
          <cell r="B74">
            <v>2848</v>
          </cell>
          <cell r="C74">
            <v>0</v>
          </cell>
          <cell r="D74" t="str">
            <v>PHP</v>
          </cell>
          <cell r="E74">
            <v>0</v>
          </cell>
          <cell r="F74" t="str">
            <v>BOX</v>
          </cell>
          <cell r="G74">
            <v>0</v>
          </cell>
        </row>
        <row r="75">
          <cell r="B75">
            <v>2924</v>
          </cell>
          <cell r="C75">
            <v>0</v>
          </cell>
          <cell r="D75" t="str">
            <v>PHP</v>
          </cell>
          <cell r="E75">
            <v>0</v>
          </cell>
          <cell r="F75" t="str">
            <v>PC</v>
          </cell>
          <cell r="G75">
            <v>0</v>
          </cell>
        </row>
        <row r="76">
          <cell r="B76">
            <v>2935</v>
          </cell>
          <cell r="C76">
            <v>0</v>
          </cell>
          <cell r="D76" t="str">
            <v>PHP</v>
          </cell>
          <cell r="E76">
            <v>0</v>
          </cell>
          <cell r="F76" t="str">
            <v>PC</v>
          </cell>
          <cell r="G76">
            <v>0</v>
          </cell>
        </row>
        <row r="77">
          <cell r="B77">
            <v>2939</v>
          </cell>
          <cell r="C77">
            <v>0</v>
          </cell>
          <cell r="D77" t="str">
            <v>PHP</v>
          </cell>
          <cell r="E77">
            <v>0</v>
          </cell>
          <cell r="F77" t="str">
            <v>PC</v>
          </cell>
          <cell r="G77">
            <v>0</v>
          </cell>
        </row>
        <row r="78">
          <cell r="B78">
            <v>2958</v>
          </cell>
          <cell r="C78">
            <v>0</v>
          </cell>
          <cell r="D78" t="str">
            <v>PHP</v>
          </cell>
          <cell r="E78">
            <v>0</v>
          </cell>
          <cell r="F78" t="str">
            <v>PC</v>
          </cell>
          <cell r="G78">
            <v>0</v>
          </cell>
        </row>
        <row r="79">
          <cell r="B79">
            <v>2995</v>
          </cell>
          <cell r="C79">
            <v>0</v>
          </cell>
          <cell r="D79" t="str">
            <v>PHP</v>
          </cell>
          <cell r="E79">
            <v>0</v>
          </cell>
          <cell r="F79" t="str">
            <v>PC</v>
          </cell>
          <cell r="G79">
            <v>0</v>
          </cell>
        </row>
        <row r="80">
          <cell r="B80">
            <v>3008</v>
          </cell>
          <cell r="C80">
            <v>0</v>
          </cell>
          <cell r="D80" t="str">
            <v>PHP</v>
          </cell>
          <cell r="E80">
            <v>0</v>
          </cell>
          <cell r="F80" t="str">
            <v>PC</v>
          </cell>
          <cell r="G80">
            <v>0</v>
          </cell>
        </row>
        <row r="81">
          <cell r="B81">
            <v>3009</v>
          </cell>
          <cell r="C81">
            <v>0</v>
          </cell>
          <cell r="D81" t="str">
            <v>PHP</v>
          </cell>
          <cell r="E81">
            <v>0</v>
          </cell>
          <cell r="F81" t="str">
            <v>PC</v>
          </cell>
          <cell r="G81">
            <v>0</v>
          </cell>
        </row>
        <row r="82">
          <cell r="B82">
            <v>3011</v>
          </cell>
          <cell r="C82">
            <v>0</v>
          </cell>
          <cell r="D82" t="str">
            <v>PHP</v>
          </cell>
          <cell r="E82">
            <v>0</v>
          </cell>
          <cell r="F82" t="str">
            <v>PC</v>
          </cell>
          <cell r="G82">
            <v>0</v>
          </cell>
        </row>
        <row r="83">
          <cell r="B83">
            <v>3086</v>
          </cell>
          <cell r="C83">
            <v>1201905.77</v>
          </cell>
          <cell r="D83" t="str">
            <v>PHP</v>
          </cell>
          <cell r="E83">
            <v>34</v>
          </cell>
          <cell r="F83" t="str">
            <v>LEN</v>
          </cell>
          <cell r="G83">
            <v>0</v>
          </cell>
        </row>
        <row r="84">
          <cell r="B84">
            <v>3087</v>
          </cell>
          <cell r="C84">
            <v>12952761.1</v>
          </cell>
          <cell r="D84" t="str">
            <v>PHP</v>
          </cell>
          <cell r="E84">
            <v>305</v>
          </cell>
          <cell r="F84" t="str">
            <v>LEN</v>
          </cell>
          <cell r="G84">
            <v>0</v>
          </cell>
        </row>
        <row r="85">
          <cell r="B85">
            <v>3089</v>
          </cell>
          <cell r="C85">
            <v>1262270.8500000001</v>
          </cell>
          <cell r="D85" t="str">
            <v>PHP</v>
          </cell>
          <cell r="E85">
            <v>3</v>
          </cell>
          <cell r="F85" t="str">
            <v>LEN</v>
          </cell>
          <cell r="G85">
            <v>0</v>
          </cell>
        </row>
        <row r="86">
          <cell r="B86">
            <v>3091</v>
          </cell>
          <cell r="C86">
            <v>6375722.3799999999</v>
          </cell>
          <cell r="D86" t="str">
            <v>PHP</v>
          </cell>
          <cell r="E86">
            <v>48</v>
          </cell>
          <cell r="F86" t="str">
            <v>PC</v>
          </cell>
          <cell r="G86">
            <v>0</v>
          </cell>
        </row>
        <row r="87">
          <cell r="B87">
            <v>3095</v>
          </cell>
          <cell r="C87">
            <v>0</v>
          </cell>
          <cell r="D87" t="str">
            <v>PHP</v>
          </cell>
          <cell r="E87">
            <v>0</v>
          </cell>
          <cell r="F87" t="str">
            <v>PC</v>
          </cell>
          <cell r="G87">
            <v>0</v>
          </cell>
        </row>
        <row r="88">
          <cell r="B88">
            <v>3096</v>
          </cell>
          <cell r="C88">
            <v>0</v>
          </cell>
          <cell r="D88" t="str">
            <v>PHP</v>
          </cell>
          <cell r="E88">
            <v>0</v>
          </cell>
          <cell r="F88" t="str">
            <v>PC</v>
          </cell>
          <cell r="G88">
            <v>0</v>
          </cell>
        </row>
        <row r="89">
          <cell r="B89">
            <v>3109</v>
          </cell>
          <cell r="C89">
            <v>635376.16</v>
          </cell>
          <cell r="D89" t="str">
            <v>PHP</v>
          </cell>
          <cell r="E89">
            <v>68</v>
          </cell>
          <cell r="F89" t="str">
            <v>PC</v>
          </cell>
          <cell r="G89">
            <v>0</v>
          </cell>
        </row>
        <row r="90">
          <cell r="B90">
            <v>3112</v>
          </cell>
          <cell r="C90">
            <v>0</v>
          </cell>
          <cell r="D90" t="str">
            <v>PHP</v>
          </cell>
          <cell r="E90">
            <v>0</v>
          </cell>
          <cell r="F90" t="str">
            <v>LEN</v>
          </cell>
          <cell r="G90">
            <v>0</v>
          </cell>
        </row>
        <row r="91">
          <cell r="B91">
            <v>3117</v>
          </cell>
          <cell r="C91">
            <v>0</v>
          </cell>
          <cell r="D91" t="str">
            <v>PHP</v>
          </cell>
          <cell r="E91">
            <v>0</v>
          </cell>
          <cell r="F91" t="str">
            <v>PC</v>
          </cell>
          <cell r="G91">
            <v>0</v>
          </cell>
        </row>
        <row r="92">
          <cell r="B92">
            <v>3189</v>
          </cell>
          <cell r="C92">
            <v>0</v>
          </cell>
          <cell r="D92" t="str">
            <v>PHP</v>
          </cell>
          <cell r="E92">
            <v>0</v>
          </cell>
          <cell r="F92" t="str">
            <v>PC</v>
          </cell>
          <cell r="G92">
            <v>0</v>
          </cell>
        </row>
        <row r="93">
          <cell r="B93">
            <v>3190</v>
          </cell>
          <cell r="C93">
            <v>0</v>
          </cell>
          <cell r="D93" t="str">
            <v>PHP</v>
          </cell>
          <cell r="E93">
            <v>0</v>
          </cell>
          <cell r="F93" t="str">
            <v>PC</v>
          </cell>
          <cell r="G93">
            <v>0</v>
          </cell>
        </row>
        <row r="94">
          <cell r="B94">
            <v>3199</v>
          </cell>
          <cell r="C94">
            <v>0</v>
          </cell>
          <cell r="D94" t="str">
            <v>PHP</v>
          </cell>
          <cell r="E94">
            <v>0</v>
          </cell>
          <cell r="F94" t="str">
            <v>PC</v>
          </cell>
          <cell r="G94">
            <v>0</v>
          </cell>
        </row>
        <row r="95">
          <cell r="B95">
            <v>3203</v>
          </cell>
          <cell r="C95">
            <v>0</v>
          </cell>
          <cell r="D95" t="str">
            <v>PHP</v>
          </cell>
          <cell r="E95">
            <v>0</v>
          </cell>
          <cell r="F95" t="str">
            <v>PC</v>
          </cell>
          <cell r="G95">
            <v>0</v>
          </cell>
        </row>
        <row r="96">
          <cell r="B96">
            <v>3206</v>
          </cell>
          <cell r="C96">
            <v>0</v>
          </cell>
          <cell r="D96" t="str">
            <v>PHP</v>
          </cell>
          <cell r="E96">
            <v>0</v>
          </cell>
          <cell r="F96" t="str">
            <v>ASY</v>
          </cell>
          <cell r="G96">
            <v>0</v>
          </cell>
        </row>
        <row r="97">
          <cell r="B97">
            <v>3262</v>
          </cell>
          <cell r="C97">
            <v>0</v>
          </cell>
          <cell r="D97" t="str">
            <v>PHP</v>
          </cell>
          <cell r="E97">
            <v>0</v>
          </cell>
          <cell r="F97" t="str">
            <v>PC</v>
          </cell>
          <cell r="G97">
            <v>0</v>
          </cell>
        </row>
        <row r="98">
          <cell r="B98">
            <v>3277</v>
          </cell>
          <cell r="C98">
            <v>69715.08</v>
          </cell>
          <cell r="D98" t="str">
            <v>PHP</v>
          </cell>
          <cell r="E98">
            <v>1</v>
          </cell>
          <cell r="F98" t="str">
            <v>PC</v>
          </cell>
          <cell r="G98">
            <v>0</v>
          </cell>
        </row>
        <row r="99">
          <cell r="B99">
            <v>3295</v>
          </cell>
          <cell r="C99">
            <v>0</v>
          </cell>
          <cell r="D99" t="str">
            <v>PHP</v>
          </cell>
          <cell r="E99">
            <v>0</v>
          </cell>
          <cell r="F99" t="str">
            <v>PC</v>
          </cell>
          <cell r="G99">
            <v>0</v>
          </cell>
        </row>
        <row r="100">
          <cell r="B100">
            <v>3301</v>
          </cell>
          <cell r="C100">
            <v>0</v>
          </cell>
          <cell r="D100" t="str">
            <v>PHP</v>
          </cell>
          <cell r="E100">
            <v>0</v>
          </cell>
          <cell r="F100" t="str">
            <v>PC</v>
          </cell>
          <cell r="G100">
            <v>0</v>
          </cell>
        </row>
        <row r="101">
          <cell r="B101">
            <v>3303</v>
          </cell>
          <cell r="C101">
            <v>0</v>
          </cell>
          <cell r="D101" t="str">
            <v>PHP</v>
          </cell>
          <cell r="E101">
            <v>0</v>
          </cell>
          <cell r="F101" t="str">
            <v>ASY</v>
          </cell>
          <cell r="G101">
            <v>0</v>
          </cell>
        </row>
        <row r="102">
          <cell r="B102">
            <v>3360</v>
          </cell>
          <cell r="C102">
            <v>0</v>
          </cell>
          <cell r="D102" t="str">
            <v>PHP</v>
          </cell>
          <cell r="E102">
            <v>0</v>
          </cell>
          <cell r="F102" t="str">
            <v>PC</v>
          </cell>
          <cell r="G102">
            <v>0</v>
          </cell>
        </row>
        <row r="103">
          <cell r="B103">
            <v>3391</v>
          </cell>
          <cell r="C103">
            <v>0</v>
          </cell>
          <cell r="D103" t="str">
            <v>PHP</v>
          </cell>
          <cell r="E103">
            <v>0</v>
          </cell>
          <cell r="F103" t="str">
            <v>PC</v>
          </cell>
          <cell r="G103">
            <v>0</v>
          </cell>
        </row>
        <row r="104">
          <cell r="B104">
            <v>3409</v>
          </cell>
          <cell r="C104">
            <v>0</v>
          </cell>
          <cell r="D104" t="str">
            <v>PHP</v>
          </cell>
          <cell r="E104">
            <v>0</v>
          </cell>
          <cell r="F104" t="str">
            <v>PC</v>
          </cell>
          <cell r="G104">
            <v>0</v>
          </cell>
        </row>
        <row r="105">
          <cell r="B105">
            <v>3416</v>
          </cell>
          <cell r="C105">
            <v>0</v>
          </cell>
          <cell r="D105" t="str">
            <v>PHP</v>
          </cell>
          <cell r="E105">
            <v>0</v>
          </cell>
          <cell r="F105" t="str">
            <v>PC</v>
          </cell>
          <cell r="G105">
            <v>0</v>
          </cell>
        </row>
        <row r="106">
          <cell r="B106">
            <v>3430</v>
          </cell>
          <cell r="C106">
            <v>0</v>
          </cell>
          <cell r="D106" t="str">
            <v>PHP</v>
          </cell>
          <cell r="E106">
            <v>0</v>
          </cell>
          <cell r="F106" t="str">
            <v>PC</v>
          </cell>
          <cell r="G106">
            <v>0</v>
          </cell>
        </row>
        <row r="107">
          <cell r="B107">
            <v>3446</v>
          </cell>
          <cell r="C107">
            <v>0</v>
          </cell>
          <cell r="D107" t="str">
            <v>PHP</v>
          </cell>
          <cell r="E107">
            <v>0</v>
          </cell>
          <cell r="F107" t="str">
            <v>PC</v>
          </cell>
          <cell r="G107">
            <v>0</v>
          </cell>
        </row>
        <row r="108">
          <cell r="B108">
            <v>3454</v>
          </cell>
          <cell r="C108">
            <v>0</v>
          </cell>
          <cell r="D108" t="str">
            <v>PHP</v>
          </cell>
          <cell r="E108">
            <v>0</v>
          </cell>
          <cell r="F108" t="str">
            <v>GAL</v>
          </cell>
          <cell r="G108">
            <v>0</v>
          </cell>
        </row>
        <row r="109">
          <cell r="B109">
            <v>3456</v>
          </cell>
          <cell r="C109">
            <v>0</v>
          </cell>
          <cell r="D109" t="str">
            <v>PHP</v>
          </cell>
          <cell r="E109">
            <v>0</v>
          </cell>
          <cell r="F109" t="str">
            <v>DR</v>
          </cell>
          <cell r="G109">
            <v>0</v>
          </cell>
        </row>
        <row r="110">
          <cell r="B110">
            <v>3515</v>
          </cell>
          <cell r="C110">
            <v>0</v>
          </cell>
          <cell r="D110" t="str">
            <v>PHP</v>
          </cell>
          <cell r="E110">
            <v>0</v>
          </cell>
          <cell r="F110" t="str">
            <v>PC</v>
          </cell>
          <cell r="G110">
            <v>0</v>
          </cell>
        </row>
        <row r="111">
          <cell r="B111">
            <v>3568</v>
          </cell>
          <cell r="C111">
            <v>0</v>
          </cell>
          <cell r="D111" t="str">
            <v>PHP</v>
          </cell>
          <cell r="E111">
            <v>0</v>
          </cell>
          <cell r="F111" t="str">
            <v>PC</v>
          </cell>
          <cell r="G111">
            <v>0</v>
          </cell>
        </row>
        <row r="112">
          <cell r="B112">
            <v>3569</v>
          </cell>
          <cell r="C112">
            <v>0</v>
          </cell>
          <cell r="D112" t="str">
            <v>PHP</v>
          </cell>
          <cell r="E112">
            <v>0</v>
          </cell>
          <cell r="F112" t="str">
            <v>PC</v>
          </cell>
          <cell r="G112">
            <v>0</v>
          </cell>
        </row>
        <row r="113">
          <cell r="B113">
            <v>3570</v>
          </cell>
          <cell r="C113">
            <v>0</v>
          </cell>
          <cell r="D113" t="str">
            <v>PHP</v>
          </cell>
          <cell r="E113">
            <v>0</v>
          </cell>
          <cell r="F113" t="str">
            <v>PC</v>
          </cell>
          <cell r="G113">
            <v>0</v>
          </cell>
        </row>
        <row r="114">
          <cell r="B114">
            <v>3571</v>
          </cell>
          <cell r="C114">
            <v>0</v>
          </cell>
          <cell r="D114" t="str">
            <v>PHP</v>
          </cell>
          <cell r="E114">
            <v>0</v>
          </cell>
          <cell r="F114" t="str">
            <v>PC</v>
          </cell>
          <cell r="G114">
            <v>0</v>
          </cell>
        </row>
        <row r="115">
          <cell r="B115">
            <v>3572</v>
          </cell>
          <cell r="C115">
            <v>0</v>
          </cell>
          <cell r="D115" t="str">
            <v>PHP</v>
          </cell>
          <cell r="E115">
            <v>0</v>
          </cell>
          <cell r="F115" t="str">
            <v>PC</v>
          </cell>
          <cell r="G115">
            <v>0</v>
          </cell>
        </row>
        <row r="116">
          <cell r="B116">
            <v>3573</v>
          </cell>
          <cell r="C116">
            <v>0</v>
          </cell>
          <cell r="D116" t="str">
            <v>PHP</v>
          </cell>
          <cell r="E116">
            <v>0</v>
          </cell>
          <cell r="F116" t="str">
            <v>PC</v>
          </cell>
          <cell r="G116">
            <v>0</v>
          </cell>
        </row>
        <row r="117">
          <cell r="B117">
            <v>3574</v>
          </cell>
          <cell r="C117">
            <v>0</v>
          </cell>
          <cell r="D117" t="str">
            <v>PHP</v>
          </cell>
          <cell r="E117">
            <v>0</v>
          </cell>
          <cell r="F117" t="str">
            <v>PC</v>
          </cell>
          <cell r="G117">
            <v>0</v>
          </cell>
        </row>
        <row r="118">
          <cell r="B118">
            <v>3585</v>
          </cell>
          <cell r="C118">
            <v>0</v>
          </cell>
          <cell r="D118" t="str">
            <v>PHP</v>
          </cell>
          <cell r="E118">
            <v>0</v>
          </cell>
          <cell r="F118" t="str">
            <v>PC</v>
          </cell>
          <cell r="G118">
            <v>0</v>
          </cell>
        </row>
        <row r="119">
          <cell r="B119">
            <v>3596</v>
          </cell>
          <cell r="C119">
            <v>0</v>
          </cell>
          <cell r="D119" t="str">
            <v>PHP</v>
          </cell>
          <cell r="E119">
            <v>0</v>
          </cell>
          <cell r="F119" t="str">
            <v>PC</v>
          </cell>
          <cell r="G119">
            <v>0</v>
          </cell>
        </row>
        <row r="120">
          <cell r="B120">
            <v>3618</v>
          </cell>
          <cell r="C120">
            <v>0</v>
          </cell>
          <cell r="D120" t="str">
            <v>PHP</v>
          </cell>
          <cell r="E120">
            <v>0</v>
          </cell>
          <cell r="F120" t="str">
            <v>PC</v>
          </cell>
          <cell r="G120">
            <v>0</v>
          </cell>
        </row>
        <row r="121">
          <cell r="B121">
            <v>3640</v>
          </cell>
          <cell r="C121">
            <v>0</v>
          </cell>
          <cell r="D121" t="str">
            <v>PHP</v>
          </cell>
          <cell r="E121">
            <v>0</v>
          </cell>
          <cell r="F121" t="str">
            <v>PC</v>
          </cell>
          <cell r="G121">
            <v>0</v>
          </cell>
        </row>
        <row r="122">
          <cell r="B122">
            <v>3642</v>
          </cell>
          <cell r="C122">
            <v>0</v>
          </cell>
          <cell r="D122" t="str">
            <v>PHP</v>
          </cell>
          <cell r="E122">
            <v>0</v>
          </cell>
          <cell r="F122" t="str">
            <v>PC</v>
          </cell>
          <cell r="G122">
            <v>0</v>
          </cell>
        </row>
        <row r="123">
          <cell r="B123">
            <v>3730</v>
          </cell>
          <cell r="C123">
            <v>0</v>
          </cell>
          <cell r="D123" t="str">
            <v>PHP</v>
          </cell>
          <cell r="E123">
            <v>0</v>
          </cell>
          <cell r="F123" t="str">
            <v>ASY</v>
          </cell>
          <cell r="G123">
            <v>0</v>
          </cell>
        </row>
        <row r="124">
          <cell r="B124">
            <v>3769</v>
          </cell>
          <cell r="C124">
            <v>0</v>
          </cell>
          <cell r="D124" t="str">
            <v>PHP</v>
          </cell>
          <cell r="E124">
            <v>0</v>
          </cell>
          <cell r="F124" t="str">
            <v>PC</v>
          </cell>
          <cell r="G124">
            <v>0</v>
          </cell>
        </row>
        <row r="125">
          <cell r="B125">
            <v>3775</v>
          </cell>
          <cell r="C125">
            <v>0</v>
          </cell>
          <cell r="D125" t="str">
            <v>PHP</v>
          </cell>
          <cell r="E125">
            <v>0</v>
          </cell>
          <cell r="F125" t="str">
            <v>PC</v>
          </cell>
          <cell r="G125">
            <v>0</v>
          </cell>
        </row>
        <row r="126">
          <cell r="B126">
            <v>3776</v>
          </cell>
          <cell r="C126">
            <v>0</v>
          </cell>
          <cell r="D126" t="str">
            <v>PHP</v>
          </cell>
          <cell r="E126">
            <v>0</v>
          </cell>
          <cell r="F126" t="str">
            <v>PC</v>
          </cell>
          <cell r="G126">
            <v>0</v>
          </cell>
        </row>
        <row r="127">
          <cell r="B127">
            <v>3803</v>
          </cell>
          <cell r="C127">
            <v>0</v>
          </cell>
          <cell r="D127" t="str">
            <v>PHP</v>
          </cell>
          <cell r="E127">
            <v>0</v>
          </cell>
          <cell r="F127" t="str">
            <v>PC</v>
          </cell>
          <cell r="G127">
            <v>0</v>
          </cell>
        </row>
        <row r="128">
          <cell r="B128">
            <v>3832</v>
          </cell>
          <cell r="C128">
            <v>0</v>
          </cell>
          <cell r="D128" t="str">
            <v>PHP</v>
          </cell>
          <cell r="E128">
            <v>0</v>
          </cell>
          <cell r="F128" t="str">
            <v>PC</v>
          </cell>
          <cell r="G128">
            <v>0</v>
          </cell>
        </row>
        <row r="129">
          <cell r="B129">
            <v>3914</v>
          </cell>
          <cell r="C129">
            <v>0</v>
          </cell>
          <cell r="D129" t="str">
            <v>PHP</v>
          </cell>
          <cell r="E129">
            <v>0</v>
          </cell>
          <cell r="F129" t="str">
            <v>PC</v>
          </cell>
          <cell r="G129">
            <v>0</v>
          </cell>
        </row>
        <row r="130">
          <cell r="B130">
            <v>3915</v>
          </cell>
          <cell r="C130">
            <v>0</v>
          </cell>
          <cell r="D130" t="str">
            <v>PHP</v>
          </cell>
          <cell r="E130">
            <v>0</v>
          </cell>
          <cell r="F130" t="str">
            <v>PC</v>
          </cell>
          <cell r="G130">
            <v>0</v>
          </cell>
        </row>
        <row r="131">
          <cell r="B131">
            <v>3921</v>
          </cell>
          <cell r="C131">
            <v>0</v>
          </cell>
          <cell r="D131" t="str">
            <v>PHP</v>
          </cell>
          <cell r="E131">
            <v>0</v>
          </cell>
          <cell r="F131" t="str">
            <v>PC</v>
          </cell>
          <cell r="G131">
            <v>0</v>
          </cell>
        </row>
        <row r="132">
          <cell r="B132">
            <v>3922</v>
          </cell>
          <cell r="C132">
            <v>0</v>
          </cell>
          <cell r="D132" t="str">
            <v>PHP</v>
          </cell>
          <cell r="E132">
            <v>0</v>
          </cell>
          <cell r="F132" t="str">
            <v>PC</v>
          </cell>
          <cell r="G132">
            <v>0</v>
          </cell>
        </row>
        <row r="133">
          <cell r="B133">
            <v>3957</v>
          </cell>
          <cell r="C133">
            <v>0</v>
          </cell>
          <cell r="D133" t="str">
            <v>PHP</v>
          </cell>
          <cell r="E133">
            <v>0</v>
          </cell>
          <cell r="F133" t="str">
            <v>PC</v>
          </cell>
          <cell r="G133">
            <v>0</v>
          </cell>
        </row>
        <row r="134">
          <cell r="B134">
            <v>3964</v>
          </cell>
          <cell r="C134">
            <v>0</v>
          </cell>
          <cell r="D134" t="str">
            <v>PHP</v>
          </cell>
          <cell r="E134">
            <v>0</v>
          </cell>
          <cell r="F134" t="str">
            <v>PC</v>
          </cell>
          <cell r="G134">
            <v>0</v>
          </cell>
        </row>
        <row r="135">
          <cell r="B135">
            <v>3978</v>
          </cell>
          <cell r="C135">
            <v>0</v>
          </cell>
          <cell r="D135" t="str">
            <v>PHP</v>
          </cell>
          <cell r="E135">
            <v>0</v>
          </cell>
          <cell r="F135" t="str">
            <v>ASY</v>
          </cell>
          <cell r="G135">
            <v>0</v>
          </cell>
        </row>
        <row r="136">
          <cell r="B136">
            <v>4040</v>
          </cell>
          <cell r="C136">
            <v>0</v>
          </cell>
          <cell r="D136" t="str">
            <v>PHP</v>
          </cell>
          <cell r="E136">
            <v>0</v>
          </cell>
          <cell r="F136" t="str">
            <v>PC</v>
          </cell>
          <cell r="G136">
            <v>0</v>
          </cell>
        </row>
        <row r="137">
          <cell r="B137">
            <v>4045</v>
          </cell>
          <cell r="C137">
            <v>0</v>
          </cell>
          <cell r="D137" t="str">
            <v>PHP</v>
          </cell>
          <cell r="E137">
            <v>0</v>
          </cell>
          <cell r="F137" t="str">
            <v>PC</v>
          </cell>
          <cell r="G137">
            <v>0</v>
          </cell>
        </row>
        <row r="138">
          <cell r="B138">
            <v>4057</v>
          </cell>
          <cell r="C138">
            <v>0</v>
          </cell>
          <cell r="D138" t="str">
            <v>PHP</v>
          </cell>
          <cell r="E138">
            <v>0</v>
          </cell>
          <cell r="F138" t="str">
            <v>PC</v>
          </cell>
          <cell r="G138">
            <v>0</v>
          </cell>
        </row>
        <row r="139">
          <cell r="B139">
            <v>4060</v>
          </cell>
          <cell r="C139">
            <v>0</v>
          </cell>
          <cell r="D139" t="str">
            <v>PHP</v>
          </cell>
          <cell r="E139">
            <v>0</v>
          </cell>
          <cell r="F139" t="str">
            <v>PC</v>
          </cell>
          <cell r="G139">
            <v>0</v>
          </cell>
        </row>
        <row r="140">
          <cell r="B140">
            <v>4068</v>
          </cell>
          <cell r="C140">
            <v>0</v>
          </cell>
          <cell r="D140" t="str">
            <v>PHP</v>
          </cell>
          <cell r="E140">
            <v>0</v>
          </cell>
          <cell r="F140" t="str">
            <v>PC</v>
          </cell>
          <cell r="G140">
            <v>0</v>
          </cell>
        </row>
        <row r="141">
          <cell r="B141">
            <v>4082</v>
          </cell>
          <cell r="C141">
            <v>0</v>
          </cell>
          <cell r="D141" t="str">
            <v>PHP</v>
          </cell>
          <cell r="E141">
            <v>0</v>
          </cell>
          <cell r="F141" t="str">
            <v>PC</v>
          </cell>
          <cell r="G141">
            <v>0</v>
          </cell>
        </row>
        <row r="142">
          <cell r="B142">
            <v>4083</v>
          </cell>
          <cell r="C142">
            <v>0</v>
          </cell>
          <cell r="D142" t="str">
            <v>PHP</v>
          </cell>
          <cell r="E142">
            <v>0</v>
          </cell>
          <cell r="F142" t="str">
            <v>PC</v>
          </cell>
          <cell r="G142">
            <v>0</v>
          </cell>
        </row>
        <row r="143">
          <cell r="B143">
            <v>4101</v>
          </cell>
          <cell r="C143">
            <v>0</v>
          </cell>
          <cell r="D143" t="str">
            <v>PHP</v>
          </cell>
          <cell r="E143">
            <v>0</v>
          </cell>
          <cell r="F143" t="str">
            <v>PC</v>
          </cell>
          <cell r="G143">
            <v>0</v>
          </cell>
        </row>
        <row r="144">
          <cell r="B144">
            <v>4105</v>
          </cell>
          <cell r="C144">
            <v>0</v>
          </cell>
          <cell r="D144" t="str">
            <v>PHP</v>
          </cell>
          <cell r="E144">
            <v>0</v>
          </cell>
          <cell r="F144" t="str">
            <v>PC</v>
          </cell>
          <cell r="G144">
            <v>0</v>
          </cell>
        </row>
        <row r="145">
          <cell r="B145">
            <v>4107</v>
          </cell>
          <cell r="C145">
            <v>0</v>
          </cell>
          <cell r="D145" t="str">
            <v>PHP</v>
          </cell>
          <cell r="E145">
            <v>0</v>
          </cell>
          <cell r="F145" t="str">
            <v>PC</v>
          </cell>
          <cell r="G145">
            <v>0</v>
          </cell>
        </row>
        <row r="146">
          <cell r="B146">
            <v>4112</v>
          </cell>
          <cell r="C146">
            <v>0</v>
          </cell>
          <cell r="D146" t="str">
            <v>PHP</v>
          </cell>
          <cell r="E146">
            <v>0</v>
          </cell>
          <cell r="F146" t="str">
            <v>PC</v>
          </cell>
          <cell r="G146">
            <v>0</v>
          </cell>
        </row>
        <row r="147">
          <cell r="B147">
            <v>4117</v>
          </cell>
          <cell r="C147">
            <v>0</v>
          </cell>
          <cell r="D147" t="str">
            <v>PHP</v>
          </cell>
          <cell r="E147">
            <v>0</v>
          </cell>
          <cell r="F147" t="str">
            <v>PC</v>
          </cell>
          <cell r="G147">
            <v>0</v>
          </cell>
        </row>
        <row r="148">
          <cell r="B148">
            <v>4287</v>
          </cell>
          <cell r="C148">
            <v>0</v>
          </cell>
          <cell r="D148" t="str">
            <v>PHP</v>
          </cell>
          <cell r="E148">
            <v>0</v>
          </cell>
          <cell r="F148" t="str">
            <v>PC</v>
          </cell>
          <cell r="G148">
            <v>0</v>
          </cell>
        </row>
        <row r="149">
          <cell r="B149">
            <v>4295</v>
          </cell>
          <cell r="C149">
            <v>0</v>
          </cell>
          <cell r="D149" t="str">
            <v>PHP</v>
          </cell>
          <cell r="E149">
            <v>0</v>
          </cell>
          <cell r="F149" t="str">
            <v>PC</v>
          </cell>
          <cell r="G149">
            <v>0</v>
          </cell>
        </row>
        <row r="150">
          <cell r="B150">
            <v>4348</v>
          </cell>
          <cell r="C150">
            <v>0</v>
          </cell>
          <cell r="D150" t="str">
            <v>PHP</v>
          </cell>
          <cell r="E150">
            <v>0</v>
          </cell>
          <cell r="F150" t="str">
            <v>PC</v>
          </cell>
          <cell r="G150">
            <v>0</v>
          </cell>
        </row>
        <row r="151">
          <cell r="B151">
            <v>4349</v>
          </cell>
          <cell r="C151">
            <v>0</v>
          </cell>
          <cell r="D151" t="str">
            <v>PHP</v>
          </cell>
          <cell r="E151">
            <v>0</v>
          </cell>
          <cell r="F151" t="str">
            <v>PC</v>
          </cell>
          <cell r="G151">
            <v>0</v>
          </cell>
        </row>
        <row r="152">
          <cell r="B152">
            <v>4350</v>
          </cell>
          <cell r="C152">
            <v>0</v>
          </cell>
          <cell r="D152" t="str">
            <v>PHP</v>
          </cell>
          <cell r="E152">
            <v>0</v>
          </cell>
          <cell r="F152" t="str">
            <v>PC</v>
          </cell>
          <cell r="G152">
            <v>0</v>
          </cell>
        </row>
        <row r="153">
          <cell r="B153">
            <v>4463</v>
          </cell>
          <cell r="C153">
            <v>0</v>
          </cell>
          <cell r="D153" t="str">
            <v>PHP</v>
          </cell>
          <cell r="E153">
            <v>0</v>
          </cell>
          <cell r="F153" t="str">
            <v>PC</v>
          </cell>
          <cell r="G153">
            <v>0</v>
          </cell>
        </row>
        <row r="154">
          <cell r="B154">
            <v>4500</v>
          </cell>
          <cell r="C154">
            <v>0</v>
          </cell>
          <cell r="D154" t="str">
            <v>PHP</v>
          </cell>
          <cell r="E154">
            <v>0</v>
          </cell>
          <cell r="F154" t="str">
            <v>PC</v>
          </cell>
          <cell r="G154">
            <v>0</v>
          </cell>
        </row>
        <row r="155">
          <cell r="B155">
            <v>4608</v>
          </cell>
          <cell r="C155">
            <v>0</v>
          </cell>
          <cell r="D155" t="str">
            <v>PHP</v>
          </cell>
          <cell r="E155">
            <v>0</v>
          </cell>
          <cell r="F155" t="str">
            <v>PC</v>
          </cell>
          <cell r="G155">
            <v>0</v>
          </cell>
        </row>
        <row r="156">
          <cell r="B156">
            <v>4660</v>
          </cell>
          <cell r="C156">
            <v>0</v>
          </cell>
          <cell r="D156" t="str">
            <v>PHP</v>
          </cell>
          <cell r="E156">
            <v>0</v>
          </cell>
          <cell r="F156" t="str">
            <v>PC</v>
          </cell>
          <cell r="G156">
            <v>0</v>
          </cell>
        </row>
        <row r="157">
          <cell r="B157">
            <v>4694</v>
          </cell>
          <cell r="C157">
            <v>0</v>
          </cell>
          <cell r="D157" t="str">
            <v>PHP</v>
          </cell>
          <cell r="E157">
            <v>0</v>
          </cell>
          <cell r="F157" t="str">
            <v>BOX</v>
          </cell>
          <cell r="G157">
            <v>0</v>
          </cell>
        </row>
        <row r="158">
          <cell r="B158">
            <v>4709</v>
          </cell>
          <cell r="C158">
            <v>0</v>
          </cell>
          <cell r="D158" t="str">
            <v>PHP</v>
          </cell>
          <cell r="E158">
            <v>0</v>
          </cell>
          <cell r="F158" t="str">
            <v>PC</v>
          </cell>
          <cell r="G158">
            <v>0</v>
          </cell>
        </row>
        <row r="159">
          <cell r="B159">
            <v>4718</v>
          </cell>
          <cell r="C159">
            <v>0</v>
          </cell>
          <cell r="D159" t="str">
            <v>PHP</v>
          </cell>
          <cell r="E159">
            <v>0</v>
          </cell>
          <cell r="F159" t="str">
            <v>PC</v>
          </cell>
          <cell r="G159">
            <v>0</v>
          </cell>
        </row>
        <row r="160">
          <cell r="B160">
            <v>4787</v>
          </cell>
          <cell r="C160">
            <v>0</v>
          </cell>
          <cell r="D160" t="str">
            <v>PHP</v>
          </cell>
          <cell r="E160">
            <v>0</v>
          </cell>
          <cell r="F160" t="str">
            <v>PC</v>
          </cell>
          <cell r="G160">
            <v>0</v>
          </cell>
        </row>
        <row r="161">
          <cell r="B161">
            <v>4883</v>
          </cell>
          <cell r="C161">
            <v>0</v>
          </cell>
          <cell r="D161" t="str">
            <v>PHP</v>
          </cell>
          <cell r="E161">
            <v>0</v>
          </cell>
          <cell r="F161" t="str">
            <v>KIT</v>
          </cell>
          <cell r="G161">
            <v>0</v>
          </cell>
        </row>
        <row r="162">
          <cell r="B162">
            <v>4904</v>
          </cell>
          <cell r="C162">
            <v>0</v>
          </cell>
          <cell r="D162" t="str">
            <v>PHP</v>
          </cell>
          <cell r="E162">
            <v>0</v>
          </cell>
          <cell r="F162" t="str">
            <v>KIT</v>
          </cell>
          <cell r="G162">
            <v>0</v>
          </cell>
        </row>
        <row r="163">
          <cell r="B163">
            <v>4922</v>
          </cell>
          <cell r="C163">
            <v>0</v>
          </cell>
          <cell r="D163" t="str">
            <v>PHP</v>
          </cell>
          <cell r="E163">
            <v>0</v>
          </cell>
          <cell r="F163" t="str">
            <v>SET</v>
          </cell>
          <cell r="G163">
            <v>0</v>
          </cell>
        </row>
        <row r="164">
          <cell r="B164">
            <v>4927</v>
          </cell>
          <cell r="C164">
            <v>0</v>
          </cell>
          <cell r="D164" t="str">
            <v>PHP</v>
          </cell>
          <cell r="E164">
            <v>0</v>
          </cell>
          <cell r="F164" t="str">
            <v>PC</v>
          </cell>
          <cell r="G164">
            <v>0</v>
          </cell>
        </row>
        <row r="165">
          <cell r="B165">
            <v>4928</v>
          </cell>
          <cell r="C165">
            <v>0</v>
          </cell>
          <cell r="D165" t="str">
            <v>PHP</v>
          </cell>
          <cell r="E165">
            <v>0</v>
          </cell>
          <cell r="F165" t="str">
            <v>PC</v>
          </cell>
          <cell r="G165">
            <v>0</v>
          </cell>
        </row>
        <row r="166">
          <cell r="B166">
            <v>4931</v>
          </cell>
          <cell r="C166">
            <v>0</v>
          </cell>
          <cell r="D166" t="str">
            <v>PHP</v>
          </cell>
          <cell r="E166">
            <v>0</v>
          </cell>
          <cell r="F166" t="str">
            <v>SET</v>
          </cell>
          <cell r="G166">
            <v>0</v>
          </cell>
        </row>
        <row r="167">
          <cell r="B167">
            <v>5052</v>
          </cell>
          <cell r="C167">
            <v>0</v>
          </cell>
          <cell r="D167" t="str">
            <v>PHP</v>
          </cell>
          <cell r="E167">
            <v>0</v>
          </cell>
          <cell r="F167" t="str">
            <v>SET</v>
          </cell>
          <cell r="G167">
            <v>0</v>
          </cell>
        </row>
        <row r="168">
          <cell r="B168">
            <v>5070</v>
          </cell>
          <cell r="C168">
            <v>0</v>
          </cell>
          <cell r="D168" t="str">
            <v>PHP</v>
          </cell>
          <cell r="E168">
            <v>0</v>
          </cell>
          <cell r="F168" t="str">
            <v>PC</v>
          </cell>
          <cell r="G168">
            <v>0</v>
          </cell>
        </row>
        <row r="169">
          <cell r="B169">
            <v>5144</v>
          </cell>
          <cell r="C169">
            <v>0</v>
          </cell>
          <cell r="D169" t="str">
            <v>PHP</v>
          </cell>
          <cell r="E169">
            <v>0</v>
          </cell>
          <cell r="F169" t="str">
            <v>PC</v>
          </cell>
          <cell r="G169">
            <v>0</v>
          </cell>
        </row>
        <row r="170">
          <cell r="B170">
            <v>5149</v>
          </cell>
          <cell r="C170">
            <v>0</v>
          </cell>
          <cell r="D170" t="str">
            <v>PHP</v>
          </cell>
          <cell r="E170">
            <v>0</v>
          </cell>
          <cell r="F170" t="str">
            <v>PC</v>
          </cell>
          <cell r="G170">
            <v>0</v>
          </cell>
        </row>
        <row r="171">
          <cell r="B171">
            <v>5150</v>
          </cell>
          <cell r="C171">
            <v>0</v>
          </cell>
          <cell r="D171" t="str">
            <v>PHP</v>
          </cell>
          <cell r="E171">
            <v>0</v>
          </cell>
          <cell r="F171" t="str">
            <v>PC</v>
          </cell>
          <cell r="G171">
            <v>0</v>
          </cell>
        </row>
        <row r="172">
          <cell r="B172">
            <v>5151</v>
          </cell>
          <cell r="C172">
            <v>0</v>
          </cell>
          <cell r="D172" t="str">
            <v>PHP</v>
          </cell>
          <cell r="E172">
            <v>0</v>
          </cell>
          <cell r="F172" t="str">
            <v>PC</v>
          </cell>
          <cell r="G172">
            <v>0</v>
          </cell>
        </row>
        <row r="173">
          <cell r="B173">
            <v>5152</v>
          </cell>
          <cell r="C173">
            <v>0</v>
          </cell>
          <cell r="D173" t="str">
            <v>PHP</v>
          </cell>
          <cell r="E173">
            <v>0</v>
          </cell>
          <cell r="F173" t="str">
            <v>PC</v>
          </cell>
          <cell r="G173">
            <v>0</v>
          </cell>
        </row>
        <row r="174">
          <cell r="B174">
            <v>5159</v>
          </cell>
          <cell r="C174">
            <v>0</v>
          </cell>
          <cell r="D174" t="str">
            <v>PHP</v>
          </cell>
          <cell r="E174">
            <v>0</v>
          </cell>
          <cell r="F174" t="str">
            <v>PC</v>
          </cell>
          <cell r="G174">
            <v>0</v>
          </cell>
        </row>
        <row r="175">
          <cell r="B175">
            <v>5203</v>
          </cell>
          <cell r="C175">
            <v>288160.81</v>
          </cell>
          <cell r="D175" t="str">
            <v>PHP</v>
          </cell>
          <cell r="E175">
            <v>7</v>
          </cell>
          <cell r="F175" t="str">
            <v>PC</v>
          </cell>
          <cell r="G175">
            <v>0</v>
          </cell>
        </row>
        <row r="176">
          <cell r="B176">
            <v>5204</v>
          </cell>
          <cell r="C176">
            <v>422185.26</v>
          </cell>
          <cell r="D176" t="str">
            <v>PHP</v>
          </cell>
          <cell r="E176">
            <v>14</v>
          </cell>
          <cell r="F176" t="str">
            <v>PC</v>
          </cell>
          <cell r="G176">
            <v>0</v>
          </cell>
        </row>
        <row r="177">
          <cell r="B177">
            <v>5246</v>
          </cell>
          <cell r="C177">
            <v>0</v>
          </cell>
          <cell r="D177" t="str">
            <v>PHP</v>
          </cell>
          <cell r="E177">
            <v>0</v>
          </cell>
          <cell r="F177" t="str">
            <v>PC</v>
          </cell>
          <cell r="G177">
            <v>0</v>
          </cell>
        </row>
        <row r="178">
          <cell r="B178">
            <v>5277</v>
          </cell>
          <cell r="C178">
            <v>41330.43</v>
          </cell>
          <cell r="D178" t="str">
            <v>PHP</v>
          </cell>
          <cell r="E178">
            <v>2</v>
          </cell>
          <cell r="F178" t="str">
            <v>PL</v>
          </cell>
          <cell r="G178">
            <v>0</v>
          </cell>
        </row>
        <row r="179">
          <cell r="B179">
            <v>5297</v>
          </cell>
          <cell r="C179">
            <v>0</v>
          </cell>
          <cell r="D179" t="str">
            <v>PHP</v>
          </cell>
          <cell r="E179">
            <v>0</v>
          </cell>
          <cell r="F179" t="str">
            <v>PC</v>
          </cell>
          <cell r="G179">
            <v>0</v>
          </cell>
        </row>
        <row r="180">
          <cell r="B180">
            <v>5361</v>
          </cell>
          <cell r="C180">
            <v>0</v>
          </cell>
          <cell r="D180" t="str">
            <v>PHP</v>
          </cell>
          <cell r="E180">
            <v>0</v>
          </cell>
          <cell r="F180" t="str">
            <v>PC</v>
          </cell>
          <cell r="G180">
            <v>0</v>
          </cell>
        </row>
        <row r="181">
          <cell r="B181">
            <v>5365</v>
          </cell>
          <cell r="C181">
            <v>0</v>
          </cell>
          <cell r="D181" t="str">
            <v>PHP</v>
          </cell>
          <cell r="E181">
            <v>0</v>
          </cell>
          <cell r="F181" t="str">
            <v>PC</v>
          </cell>
          <cell r="G181">
            <v>0</v>
          </cell>
        </row>
        <row r="182">
          <cell r="B182">
            <v>5389</v>
          </cell>
          <cell r="C182">
            <v>0</v>
          </cell>
          <cell r="D182" t="str">
            <v>PHP</v>
          </cell>
          <cell r="E182">
            <v>0</v>
          </cell>
          <cell r="F182" t="str">
            <v>PC</v>
          </cell>
          <cell r="G182">
            <v>0</v>
          </cell>
        </row>
        <row r="183">
          <cell r="B183">
            <v>5390</v>
          </cell>
          <cell r="C183">
            <v>0</v>
          </cell>
          <cell r="D183" t="str">
            <v>PHP</v>
          </cell>
          <cell r="E183">
            <v>0</v>
          </cell>
          <cell r="F183" t="str">
            <v>PC</v>
          </cell>
          <cell r="G183">
            <v>0</v>
          </cell>
        </row>
        <row r="184">
          <cell r="B184">
            <v>5395</v>
          </cell>
          <cell r="C184">
            <v>0</v>
          </cell>
          <cell r="D184" t="str">
            <v>PHP</v>
          </cell>
          <cell r="E184">
            <v>0</v>
          </cell>
          <cell r="F184" t="str">
            <v>PC</v>
          </cell>
          <cell r="G184">
            <v>0</v>
          </cell>
        </row>
        <row r="185">
          <cell r="B185">
            <v>5396</v>
          </cell>
          <cell r="C185">
            <v>0</v>
          </cell>
          <cell r="D185" t="str">
            <v>PHP</v>
          </cell>
          <cell r="E185">
            <v>0</v>
          </cell>
          <cell r="F185" t="str">
            <v>PC</v>
          </cell>
          <cell r="G185">
            <v>0</v>
          </cell>
        </row>
        <row r="186">
          <cell r="B186">
            <v>5412</v>
          </cell>
          <cell r="C186">
            <v>0</v>
          </cell>
          <cell r="D186" t="str">
            <v>PHP</v>
          </cell>
          <cell r="E186">
            <v>0</v>
          </cell>
          <cell r="F186" t="str">
            <v>PC</v>
          </cell>
          <cell r="G186">
            <v>0</v>
          </cell>
        </row>
        <row r="187">
          <cell r="B187">
            <v>5415</v>
          </cell>
          <cell r="C187">
            <v>0</v>
          </cell>
          <cell r="D187" t="str">
            <v>PHP</v>
          </cell>
          <cell r="E187">
            <v>0</v>
          </cell>
          <cell r="F187" t="str">
            <v>PC</v>
          </cell>
          <cell r="G187">
            <v>0</v>
          </cell>
        </row>
        <row r="188">
          <cell r="B188">
            <v>5417</v>
          </cell>
          <cell r="C188">
            <v>0</v>
          </cell>
          <cell r="D188" t="str">
            <v>PHP</v>
          </cell>
          <cell r="E188">
            <v>0</v>
          </cell>
          <cell r="F188" t="str">
            <v>PC</v>
          </cell>
          <cell r="G188">
            <v>0</v>
          </cell>
        </row>
        <row r="189">
          <cell r="B189">
            <v>5431</v>
          </cell>
          <cell r="C189">
            <v>0</v>
          </cell>
          <cell r="D189" t="str">
            <v>PHP</v>
          </cell>
          <cell r="E189">
            <v>0</v>
          </cell>
          <cell r="F189" t="str">
            <v>PC</v>
          </cell>
          <cell r="G189">
            <v>0</v>
          </cell>
        </row>
        <row r="190">
          <cell r="B190">
            <v>5432</v>
          </cell>
          <cell r="C190">
            <v>0</v>
          </cell>
          <cell r="D190" t="str">
            <v>PHP</v>
          </cell>
          <cell r="E190">
            <v>0</v>
          </cell>
          <cell r="F190" t="str">
            <v>PC</v>
          </cell>
          <cell r="G190">
            <v>0</v>
          </cell>
        </row>
        <row r="191">
          <cell r="B191">
            <v>5547</v>
          </cell>
          <cell r="C191">
            <v>0</v>
          </cell>
          <cell r="D191" t="str">
            <v>PHP</v>
          </cell>
          <cell r="E191">
            <v>0</v>
          </cell>
          <cell r="F191" t="str">
            <v>PC</v>
          </cell>
          <cell r="G191">
            <v>0</v>
          </cell>
        </row>
        <row r="192">
          <cell r="B192">
            <v>5625</v>
          </cell>
          <cell r="C192">
            <v>0</v>
          </cell>
          <cell r="D192" t="str">
            <v>PHP</v>
          </cell>
          <cell r="E192">
            <v>0</v>
          </cell>
          <cell r="F192" t="str">
            <v>DR</v>
          </cell>
          <cell r="G192">
            <v>0</v>
          </cell>
        </row>
        <row r="193">
          <cell r="B193">
            <v>5666</v>
          </cell>
          <cell r="C193">
            <v>0</v>
          </cell>
          <cell r="D193" t="str">
            <v>PHP</v>
          </cell>
          <cell r="E193">
            <v>0</v>
          </cell>
          <cell r="F193" t="str">
            <v>PC</v>
          </cell>
          <cell r="G193">
            <v>0</v>
          </cell>
        </row>
        <row r="194">
          <cell r="B194">
            <v>5668</v>
          </cell>
          <cell r="C194">
            <v>0</v>
          </cell>
          <cell r="D194" t="str">
            <v>PHP</v>
          </cell>
          <cell r="E194">
            <v>0</v>
          </cell>
          <cell r="F194" t="str">
            <v>PC</v>
          </cell>
          <cell r="G194">
            <v>0</v>
          </cell>
        </row>
        <row r="195">
          <cell r="B195">
            <v>5669</v>
          </cell>
          <cell r="C195">
            <v>0</v>
          </cell>
          <cell r="D195" t="str">
            <v>PHP</v>
          </cell>
          <cell r="E195">
            <v>0</v>
          </cell>
          <cell r="F195" t="str">
            <v>PC</v>
          </cell>
          <cell r="G195">
            <v>0</v>
          </cell>
        </row>
        <row r="196">
          <cell r="B196">
            <v>5740</v>
          </cell>
          <cell r="C196">
            <v>0</v>
          </cell>
          <cell r="D196" t="str">
            <v>PHP</v>
          </cell>
          <cell r="E196">
            <v>0</v>
          </cell>
          <cell r="F196" t="str">
            <v>PC</v>
          </cell>
          <cell r="G196">
            <v>0</v>
          </cell>
        </row>
        <row r="197">
          <cell r="B197">
            <v>5758</v>
          </cell>
          <cell r="C197">
            <v>0</v>
          </cell>
          <cell r="D197" t="str">
            <v>PHP</v>
          </cell>
          <cell r="E197">
            <v>0</v>
          </cell>
          <cell r="F197" t="str">
            <v>KIT</v>
          </cell>
          <cell r="G197">
            <v>0</v>
          </cell>
        </row>
        <row r="198">
          <cell r="B198">
            <v>5759</v>
          </cell>
          <cell r="C198">
            <v>0</v>
          </cell>
          <cell r="D198" t="str">
            <v>PHP</v>
          </cell>
          <cell r="E198">
            <v>0</v>
          </cell>
          <cell r="F198" t="str">
            <v>KIT</v>
          </cell>
          <cell r="G198">
            <v>0</v>
          </cell>
        </row>
        <row r="199">
          <cell r="B199">
            <v>5776</v>
          </cell>
          <cell r="C199">
            <v>0</v>
          </cell>
          <cell r="D199" t="str">
            <v>PHP</v>
          </cell>
          <cell r="E199">
            <v>0</v>
          </cell>
          <cell r="F199" t="str">
            <v>PC</v>
          </cell>
          <cell r="G199">
            <v>0</v>
          </cell>
        </row>
        <row r="200">
          <cell r="B200">
            <v>5778</v>
          </cell>
          <cell r="C200">
            <v>0</v>
          </cell>
          <cell r="D200" t="str">
            <v>PHP</v>
          </cell>
          <cell r="E200">
            <v>0</v>
          </cell>
          <cell r="F200" t="str">
            <v>PC</v>
          </cell>
          <cell r="G200">
            <v>0</v>
          </cell>
        </row>
        <row r="201">
          <cell r="B201">
            <v>5782</v>
          </cell>
          <cell r="C201">
            <v>0</v>
          </cell>
          <cell r="D201" t="str">
            <v>PHP</v>
          </cell>
          <cell r="E201">
            <v>0</v>
          </cell>
          <cell r="F201" t="str">
            <v>PC</v>
          </cell>
          <cell r="G201">
            <v>0</v>
          </cell>
        </row>
        <row r="202">
          <cell r="B202">
            <v>5793</v>
          </cell>
          <cell r="C202">
            <v>0</v>
          </cell>
          <cell r="D202" t="str">
            <v>PHP</v>
          </cell>
          <cell r="E202">
            <v>0</v>
          </cell>
          <cell r="F202" t="str">
            <v>PC</v>
          </cell>
          <cell r="G202">
            <v>0</v>
          </cell>
        </row>
        <row r="203">
          <cell r="B203">
            <v>5823</v>
          </cell>
          <cell r="C203">
            <v>0</v>
          </cell>
          <cell r="D203" t="str">
            <v>PHP</v>
          </cell>
          <cell r="E203">
            <v>0</v>
          </cell>
          <cell r="F203" t="str">
            <v>PC</v>
          </cell>
          <cell r="G203">
            <v>0</v>
          </cell>
        </row>
        <row r="204">
          <cell r="B204">
            <v>5848</v>
          </cell>
          <cell r="C204">
            <v>0</v>
          </cell>
          <cell r="D204" t="str">
            <v>PHP</v>
          </cell>
          <cell r="E204">
            <v>0</v>
          </cell>
          <cell r="F204" t="str">
            <v>ROL</v>
          </cell>
          <cell r="G204">
            <v>0</v>
          </cell>
        </row>
        <row r="205">
          <cell r="B205">
            <v>5892</v>
          </cell>
          <cell r="C205">
            <v>0</v>
          </cell>
          <cell r="D205" t="str">
            <v>PHP</v>
          </cell>
          <cell r="E205">
            <v>0</v>
          </cell>
          <cell r="F205" t="str">
            <v>PC</v>
          </cell>
          <cell r="G205">
            <v>0</v>
          </cell>
        </row>
        <row r="206">
          <cell r="B206">
            <v>5907</v>
          </cell>
          <cell r="C206">
            <v>0</v>
          </cell>
          <cell r="D206" t="str">
            <v>PHP</v>
          </cell>
          <cell r="E206">
            <v>0</v>
          </cell>
          <cell r="F206" t="str">
            <v>PC</v>
          </cell>
          <cell r="G206">
            <v>0</v>
          </cell>
        </row>
        <row r="207">
          <cell r="B207">
            <v>5947</v>
          </cell>
          <cell r="C207">
            <v>0</v>
          </cell>
          <cell r="D207" t="str">
            <v>PHP</v>
          </cell>
          <cell r="E207">
            <v>0</v>
          </cell>
          <cell r="F207" t="str">
            <v>PC</v>
          </cell>
          <cell r="G207">
            <v>0</v>
          </cell>
        </row>
        <row r="208">
          <cell r="B208">
            <v>6031</v>
          </cell>
          <cell r="C208">
            <v>0</v>
          </cell>
          <cell r="D208" t="str">
            <v>PHP</v>
          </cell>
          <cell r="E208">
            <v>0</v>
          </cell>
          <cell r="F208" t="str">
            <v>ASY</v>
          </cell>
          <cell r="G208">
            <v>0</v>
          </cell>
        </row>
        <row r="209">
          <cell r="B209">
            <v>6040</v>
          </cell>
          <cell r="C209">
            <v>0</v>
          </cell>
          <cell r="D209" t="str">
            <v>PHP</v>
          </cell>
          <cell r="E209">
            <v>0</v>
          </cell>
          <cell r="F209" t="str">
            <v>PC</v>
          </cell>
          <cell r="G209">
            <v>0</v>
          </cell>
        </row>
        <row r="210">
          <cell r="B210">
            <v>6068</v>
          </cell>
          <cell r="C210">
            <v>0</v>
          </cell>
          <cell r="D210" t="str">
            <v>PHP</v>
          </cell>
          <cell r="E210">
            <v>0</v>
          </cell>
          <cell r="F210" t="str">
            <v>PC</v>
          </cell>
          <cell r="G210">
            <v>0</v>
          </cell>
        </row>
        <row r="211">
          <cell r="B211">
            <v>6093</v>
          </cell>
          <cell r="C211">
            <v>0</v>
          </cell>
          <cell r="D211" t="str">
            <v>PHP</v>
          </cell>
          <cell r="E211">
            <v>0</v>
          </cell>
          <cell r="F211" t="str">
            <v>PC</v>
          </cell>
          <cell r="G211">
            <v>0</v>
          </cell>
        </row>
        <row r="212">
          <cell r="B212">
            <v>6095</v>
          </cell>
          <cell r="C212">
            <v>0</v>
          </cell>
          <cell r="D212" t="str">
            <v>PHP</v>
          </cell>
          <cell r="E212">
            <v>0</v>
          </cell>
          <cell r="F212" t="str">
            <v>PC</v>
          </cell>
          <cell r="G212">
            <v>0</v>
          </cell>
        </row>
        <row r="213">
          <cell r="B213">
            <v>6096</v>
          </cell>
          <cell r="C213">
            <v>0</v>
          </cell>
          <cell r="D213" t="str">
            <v>PHP</v>
          </cell>
          <cell r="E213">
            <v>0</v>
          </cell>
          <cell r="F213" t="str">
            <v>PC</v>
          </cell>
          <cell r="G213">
            <v>0</v>
          </cell>
        </row>
        <row r="214">
          <cell r="B214">
            <v>6098</v>
          </cell>
          <cell r="C214">
            <v>0</v>
          </cell>
          <cell r="D214" t="str">
            <v>PHP</v>
          </cell>
          <cell r="E214">
            <v>0</v>
          </cell>
          <cell r="F214" t="str">
            <v>PC</v>
          </cell>
          <cell r="G214">
            <v>0</v>
          </cell>
        </row>
        <row r="215">
          <cell r="B215">
            <v>6099</v>
          </cell>
          <cell r="C215">
            <v>0</v>
          </cell>
          <cell r="D215" t="str">
            <v>PHP</v>
          </cell>
          <cell r="E215">
            <v>0</v>
          </cell>
          <cell r="F215" t="str">
            <v>PC</v>
          </cell>
          <cell r="G215">
            <v>0</v>
          </cell>
        </row>
        <row r="216">
          <cell r="B216">
            <v>6100</v>
          </cell>
          <cell r="C216">
            <v>0</v>
          </cell>
          <cell r="D216" t="str">
            <v>PHP</v>
          </cell>
          <cell r="E216">
            <v>0</v>
          </cell>
          <cell r="F216" t="str">
            <v>PC</v>
          </cell>
          <cell r="G216">
            <v>0</v>
          </cell>
        </row>
        <row r="217">
          <cell r="B217">
            <v>6103</v>
          </cell>
          <cell r="C217">
            <v>0</v>
          </cell>
          <cell r="D217" t="str">
            <v>PHP</v>
          </cell>
          <cell r="E217">
            <v>0</v>
          </cell>
          <cell r="F217" t="str">
            <v>PC</v>
          </cell>
          <cell r="G217">
            <v>0</v>
          </cell>
        </row>
        <row r="218">
          <cell r="B218">
            <v>6119</v>
          </cell>
          <cell r="C218">
            <v>0</v>
          </cell>
          <cell r="D218" t="str">
            <v>PHP</v>
          </cell>
          <cell r="E218">
            <v>0</v>
          </cell>
          <cell r="F218" t="str">
            <v>PC</v>
          </cell>
          <cell r="G218">
            <v>0</v>
          </cell>
        </row>
        <row r="219">
          <cell r="B219">
            <v>6120</v>
          </cell>
          <cell r="C219">
            <v>0</v>
          </cell>
          <cell r="D219" t="str">
            <v>PHP</v>
          </cell>
          <cell r="E219">
            <v>0</v>
          </cell>
          <cell r="F219" t="str">
            <v>PC</v>
          </cell>
          <cell r="G219">
            <v>0</v>
          </cell>
        </row>
        <row r="220">
          <cell r="B220">
            <v>6121</v>
          </cell>
          <cell r="C220">
            <v>0</v>
          </cell>
          <cell r="D220" t="str">
            <v>PHP</v>
          </cell>
          <cell r="E220">
            <v>0</v>
          </cell>
          <cell r="F220" t="str">
            <v>PC</v>
          </cell>
          <cell r="G220">
            <v>0</v>
          </cell>
        </row>
        <row r="221">
          <cell r="B221">
            <v>6127</v>
          </cell>
          <cell r="C221">
            <v>0</v>
          </cell>
          <cell r="D221" t="str">
            <v>PHP</v>
          </cell>
          <cell r="E221">
            <v>0</v>
          </cell>
          <cell r="F221" t="str">
            <v>PC</v>
          </cell>
          <cell r="G221">
            <v>0</v>
          </cell>
        </row>
        <row r="222">
          <cell r="B222">
            <v>6154</v>
          </cell>
          <cell r="C222">
            <v>0</v>
          </cell>
          <cell r="D222" t="str">
            <v>PHP</v>
          </cell>
          <cell r="E222">
            <v>0</v>
          </cell>
          <cell r="F222" t="str">
            <v>PC</v>
          </cell>
          <cell r="G222">
            <v>0</v>
          </cell>
        </row>
        <row r="223">
          <cell r="B223">
            <v>6197</v>
          </cell>
          <cell r="C223">
            <v>0</v>
          </cell>
          <cell r="D223" t="str">
            <v>PHP</v>
          </cell>
          <cell r="E223">
            <v>0</v>
          </cell>
          <cell r="F223" t="str">
            <v>PC</v>
          </cell>
          <cell r="G223">
            <v>0</v>
          </cell>
        </row>
        <row r="224">
          <cell r="B224">
            <v>6251</v>
          </cell>
          <cell r="C224">
            <v>0</v>
          </cell>
          <cell r="D224" t="str">
            <v>PHP</v>
          </cell>
          <cell r="E224">
            <v>0</v>
          </cell>
          <cell r="F224" t="str">
            <v>PC</v>
          </cell>
          <cell r="G224">
            <v>0</v>
          </cell>
        </row>
        <row r="225">
          <cell r="B225">
            <v>6256</v>
          </cell>
          <cell r="C225">
            <v>0</v>
          </cell>
          <cell r="D225" t="str">
            <v>PHP</v>
          </cell>
          <cell r="E225">
            <v>0</v>
          </cell>
          <cell r="F225" t="str">
            <v>PC</v>
          </cell>
          <cell r="G225">
            <v>0</v>
          </cell>
        </row>
        <row r="226">
          <cell r="B226">
            <v>6259</v>
          </cell>
          <cell r="C226">
            <v>0</v>
          </cell>
          <cell r="D226" t="str">
            <v>PHP</v>
          </cell>
          <cell r="E226">
            <v>0</v>
          </cell>
          <cell r="F226" t="str">
            <v>PC</v>
          </cell>
          <cell r="G226">
            <v>0</v>
          </cell>
        </row>
        <row r="227">
          <cell r="B227">
            <v>6261</v>
          </cell>
          <cell r="C227">
            <v>0</v>
          </cell>
          <cell r="D227" t="str">
            <v>PHP</v>
          </cell>
          <cell r="E227">
            <v>0</v>
          </cell>
          <cell r="F227" t="str">
            <v>PC</v>
          </cell>
          <cell r="G227">
            <v>0</v>
          </cell>
        </row>
        <row r="228">
          <cell r="B228">
            <v>6296</v>
          </cell>
          <cell r="C228">
            <v>0</v>
          </cell>
          <cell r="D228" t="str">
            <v>PHP</v>
          </cell>
          <cell r="E228">
            <v>0</v>
          </cell>
          <cell r="F228" t="str">
            <v>PC</v>
          </cell>
          <cell r="G228">
            <v>0</v>
          </cell>
        </row>
        <row r="229">
          <cell r="B229">
            <v>6298</v>
          </cell>
          <cell r="C229">
            <v>0</v>
          </cell>
          <cell r="D229" t="str">
            <v>PHP</v>
          </cell>
          <cell r="E229">
            <v>0</v>
          </cell>
          <cell r="F229" t="str">
            <v>PC</v>
          </cell>
          <cell r="G229">
            <v>0</v>
          </cell>
        </row>
        <row r="230">
          <cell r="B230">
            <v>6300</v>
          </cell>
          <cell r="C230">
            <v>0</v>
          </cell>
          <cell r="D230" t="str">
            <v>PHP</v>
          </cell>
          <cell r="E230">
            <v>0</v>
          </cell>
          <cell r="F230" t="str">
            <v>PC</v>
          </cell>
          <cell r="G230">
            <v>0</v>
          </cell>
        </row>
        <row r="231">
          <cell r="B231">
            <v>6303</v>
          </cell>
          <cell r="C231">
            <v>0</v>
          </cell>
          <cell r="D231" t="str">
            <v>PHP</v>
          </cell>
          <cell r="E231">
            <v>0</v>
          </cell>
          <cell r="F231" t="str">
            <v>PC</v>
          </cell>
          <cell r="G231">
            <v>0</v>
          </cell>
        </row>
        <row r="232">
          <cell r="B232">
            <v>6359</v>
          </cell>
          <cell r="C232">
            <v>0</v>
          </cell>
          <cell r="D232" t="str">
            <v>PHP</v>
          </cell>
          <cell r="E232">
            <v>0</v>
          </cell>
          <cell r="F232" t="str">
            <v>PC</v>
          </cell>
          <cell r="G232">
            <v>0</v>
          </cell>
        </row>
        <row r="233">
          <cell r="B233">
            <v>6360</v>
          </cell>
          <cell r="C233">
            <v>0</v>
          </cell>
          <cell r="D233" t="str">
            <v>PHP</v>
          </cell>
          <cell r="E233">
            <v>0</v>
          </cell>
          <cell r="F233" t="str">
            <v>PC</v>
          </cell>
          <cell r="G233">
            <v>0</v>
          </cell>
        </row>
        <row r="234">
          <cell r="B234">
            <v>6361</v>
          </cell>
          <cell r="C234">
            <v>0</v>
          </cell>
          <cell r="D234" t="str">
            <v>PHP</v>
          </cell>
          <cell r="E234">
            <v>0</v>
          </cell>
          <cell r="F234" t="str">
            <v>PC</v>
          </cell>
          <cell r="G234">
            <v>0</v>
          </cell>
        </row>
        <row r="235">
          <cell r="B235">
            <v>6454</v>
          </cell>
          <cell r="C235">
            <v>0</v>
          </cell>
          <cell r="D235" t="str">
            <v>PHP</v>
          </cell>
          <cell r="E235">
            <v>0</v>
          </cell>
          <cell r="F235" t="str">
            <v>PC</v>
          </cell>
          <cell r="G235">
            <v>0</v>
          </cell>
        </row>
        <row r="236">
          <cell r="B236">
            <v>6457</v>
          </cell>
          <cell r="C236">
            <v>0</v>
          </cell>
          <cell r="D236" t="str">
            <v>PHP</v>
          </cell>
          <cell r="E236">
            <v>0</v>
          </cell>
          <cell r="F236" t="str">
            <v>PC</v>
          </cell>
          <cell r="G236">
            <v>0</v>
          </cell>
        </row>
        <row r="237">
          <cell r="B237">
            <v>6551</v>
          </cell>
          <cell r="C237">
            <v>0</v>
          </cell>
          <cell r="D237" t="str">
            <v>PHP</v>
          </cell>
          <cell r="E237">
            <v>0</v>
          </cell>
          <cell r="F237" t="str">
            <v>PC</v>
          </cell>
          <cell r="G237">
            <v>0</v>
          </cell>
        </row>
        <row r="238">
          <cell r="B238">
            <v>6582</v>
          </cell>
          <cell r="C238">
            <v>0</v>
          </cell>
          <cell r="D238" t="str">
            <v>PHP</v>
          </cell>
          <cell r="E238">
            <v>0</v>
          </cell>
          <cell r="F238" t="str">
            <v>PC</v>
          </cell>
          <cell r="G238">
            <v>0</v>
          </cell>
        </row>
        <row r="239">
          <cell r="B239">
            <v>6645</v>
          </cell>
          <cell r="C239">
            <v>0</v>
          </cell>
          <cell r="D239" t="str">
            <v>PHP</v>
          </cell>
          <cell r="E239">
            <v>0</v>
          </cell>
          <cell r="F239" t="str">
            <v>ASY</v>
          </cell>
          <cell r="G239">
            <v>0</v>
          </cell>
        </row>
        <row r="240">
          <cell r="B240">
            <v>6663</v>
          </cell>
          <cell r="C240">
            <v>0</v>
          </cell>
          <cell r="D240" t="str">
            <v>PHP</v>
          </cell>
          <cell r="E240">
            <v>0</v>
          </cell>
          <cell r="F240" t="str">
            <v>PC</v>
          </cell>
          <cell r="G240">
            <v>0</v>
          </cell>
        </row>
        <row r="241">
          <cell r="B241">
            <v>6664</v>
          </cell>
          <cell r="C241">
            <v>0</v>
          </cell>
          <cell r="D241" t="str">
            <v>PHP</v>
          </cell>
          <cell r="E241">
            <v>0</v>
          </cell>
          <cell r="F241" t="str">
            <v>PC</v>
          </cell>
          <cell r="G241">
            <v>0</v>
          </cell>
        </row>
        <row r="242">
          <cell r="B242">
            <v>6671</v>
          </cell>
          <cell r="C242">
            <v>0</v>
          </cell>
          <cell r="D242" t="str">
            <v>PHP</v>
          </cell>
          <cell r="E242">
            <v>0</v>
          </cell>
          <cell r="F242" t="str">
            <v>PC</v>
          </cell>
          <cell r="G242">
            <v>0</v>
          </cell>
        </row>
        <row r="243">
          <cell r="B243">
            <v>6672</v>
          </cell>
          <cell r="C243">
            <v>0</v>
          </cell>
          <cell r="D243" t="str">
            <v>PHP</v>
          </cell>
          <cell r="E243">
            <v>0</v>
          </cell>
          <cell r="F243" t="str">
            <v>PC</v>
          </cell>
          <cell r="G243">
            <v>0</v>
          </cell>
        </row>
        <row r="244">
          <cell r="B244">
            <v>6675</v>
          </cell>
          <cell r="C244">
            <v>0</v>
          </cell>
          <cell r="D244" t="str">
            <v>PHP</v>
          </cell>
          <cell r="E244">
            <v>0</v>
          </cell>
          <cell r="F244" t="str">
            <v>PC</v>
          </cell>
          <cell r="G244">
            <v>0</v>
          </cell>
        </row>
        <row r="245">
          <cell r="B245">
            <v>6679</v>
          </cell>
          <cell r="C245">
            <v>0</v>
          </cell>
          <cell r="D245" t="str">
            <v>PHP</v>
          </cell>
          <cell r="E245">
            <v>0</v>
          </cell>
          <cell r="F245" t="str">
            <v>PC</v>
          </cell>
          <cell r="G245">
            <v>0</v>
          </cell>
        </row>
        <row r="246">
          <cell r="B246">
            <v>6680</v>
          </cell>
          <cell r="C246">
            <v>0</v>
          </cell>
          <cell r="D246" t="str">
            <v>PHP</v>
          </cell>
          <cell r="E246">
            <v>0</v>
          </cell>
          <cell r="F246" t="str">
            <v>PC</v>
          </cell>
          <cell r="G246">
            <v>0</v>
          </cell>
        </row>
        <row r="247">
          <cell r="B247">
            <v>6698</v>
          </cell>
          <cell r="C247">
            <v>0</v>
          </cell>
          <cell r="D247" t="str">
            <v>PHP</v>
          </cell>
          <cell r="E247">
            <v>0</v>
          </cell>
          <cell r="F247" t="str">
            <v>PC</v>
          </cell>
          <cell r="G247">
            <v>0</v>
          </cell>
        </row>
        <row r="248">
          <cell r="B248">
            <v>6700</v>
          </cell>
          <cell r="C248">
            <v>0</v>
          </cell>
          <cell r="D248" t="str">
            <v>PHP</v>
          </cell>
          <cell r="E248">
            <v>0</v>
          </cell>
          <cell r="F248" t="str">
            <v>PC</v>
          </cell>
          <cell r="G248">
            <v>0</v>
          </cell>
        </row>
        <row r="249">
          <cell r="B249">
            <v>6701</v>
          </cell>
          <cell r="C249">
            <v>0</v>
          </cell>
          <cell r="D249" t="str">
            <v>PHP</v>
          </cell>
          <cell r="E249">
            <v>0</v>
          </cell>
          <cell r="F249" t="str">
            <v>PC</v>
          </cell>
          <cell r="G249">
            <v>0</v>
          </cell>
        </row>
        <row r="250">
          <cell r="B250">
            <v>6702</v>
          </cell>
          <cell r="C250">
            <v>0</v>
          </cell>
          <cell r="D250" t="str">
            <v>PHP</v>
          </cell>
          <cell r="E250">
            <v>0</v>
          </cell>
          <cell r="F250" t="str">
            <v>PC</v>
          </cell>
          <cell r="G250">
            <v>0</v>
          </cell>
        </row>
        <row r="251">
          <cell r="B251">
            <v>6703</v>
          </cell>
          <cell r="C251">
            <v>0</v>
          </cell>
          <cell r="D251" t="str">
            <v>PHP</v>
          </cell>
          <cell r="E251">
            <v>0</v>
          </cell>
          <cell r="F251" t="str">
            <v>PC</v>
          </cell>
          <cell r="G251">
            <v>0</v>
          </cell>
        </row>
        <row r="252">
          <cell r="B252">
            <v>6705</v>
          </cell>
          <cell r="C252">
            <v>0</v>
          </cell>
          <cell r="D252" t="str">
            <v>PHP</v>
          </cell>
          <cell r="E252">
            <v>0</v>
          </cell>
          <cell r="F252" t="str">
            <v>PC</v>
          </cell>
          <cell r="G252">
            <v>0</v>
          </cell>
        </row>
        <row r="253">
          <cell r="B253">
            <v>6707</v>
          </cell>
          <cell r="C253">
            <v>0</v>
          </cell>
          <cell r="D253" t="str">
            <v>PHP</v>
          </cell>
          <cell r="E253">
            <v>0</v>
          </cell>
          <cell r="F253" t="str">
            <v>PC</v>
          </cell>
          <cell r="G253">
            <v>0</v>
          </cell>
        </row>
        <row r="254">
          <cell r="B254">
            <v>6731</v>
          </cell>
          <cell r="C254">
            <v>0</v>
          </cell>
          <cell r="D254" t="str">
            <v>PHP</v>
          </cell>
          <cell r="E254">
            <v>0</v>
          </cell>
          <cell r="F254" t="str">
            <v>PC</v>
          </cell>
          <cell r="G254">
            <v>0</v>
          </cell>
        </row>
        <row r="255">
          <cell r="B255">
            <v>6771</v>
          </cell>
          <cell r="C255">
            <v>0</v>
          </cell>
          <cell r="D255" t="str">
            <v>PHP</v>
          </cell>
          <cell r="E255">
            <v>0</v>
          </cell>
          <cell r="F255" t="str">
            <v>PC</v>
          </cell>
          <cell r="G255">
            <v>0</v>
          </cell>
        </row>
        <row r="256">
          <cell r="B256">
            <v>6778</v>
          </cell>
          <cell r="C256">
            <v>0</v>
          </cell>
          <cell r="D256" t="str">
            <v>PHP</v>
          </cell>
          <cell r="E256">
            <v>0</v>
          </cell>
          <cell r="F256" t="str">
            <v>PC</v>
          </cell>
          <cell r="G256">
            <v>0</v>
          </cell>
        </row>
        <row r="257">
          <cell r="B257">
            <v>6811</v>
          </cell>
          <cell r="C257">
            <v>0</v>
          </cell>
          <cell r="D257" t="str">
            <v>PHP</v>
          </cell>
          <cell r="E257">
            <v>0</v>
          </cell>
          <cell r="F257" t="str">
            <v>PC</v>
          </cell>
          <cell r="G257">
            <v>0</v>
          </cell>
        </row>
        <row r="258">
          <cell r="B258">
            <v>6879</v>
          </cell>
          <cell r="C258">
            <v>0</v>
          </cell>
          <cell r="D258" t="str">
            <v>PHP</v>
          </cell>
          <cell r="E258">
            <v>0</v>
          </cell>
          <cell r="F258" t="str">
            <v>PC</v>
          </cell>
          <cell r="G258">
            <v>0</v>
          </cell>
        </row>
        <row r="259">
          <cell r="B259">
            <v>6880</v>
          </cell>
          <cell r="C259">
            <v>0</v>
          </cell>
          <cell r="D259" t="str">
            <v>PHP</v>
          </cell>
          <cell r="E259">
            <v>0</v>
          </cell>
          <cell r="F259" t="str">
            <v>PC</v>
          </cell>
          <cell r="G259">
            <v>0</v>
          </cell>
        </row>
        <row r="260">
          <cell r="B260">
            <v>6881</v>
          </cell>
          <cell r="C260">
            <v>0</v>
          </cell>
          <cell r="D260" t="str">
            <v>PHP</v>
          </cell>
          <cell r="E260">
            <v>0</v>
          </cell>
          <cell r="F260" t="str">
            <v>PC</v>
          </cell>
          <cell r="G260">
            <v>0</v>
          </cell>
        </row>
        <row r="261">
          <cell r="B261">
            <v>6912</v>
          </cell>
          <cell r="C261">
            <v>0</v>
          </cell>
          <cell r="D261" t="str">
            <v>PHP</v>
          </cell>
          <cell r="E261">
            <v>0</v>
          </cell>
          <cell r="F261" t="str">
            <v>PC</v>
          </cell>
          <cell r="G261">
            <v>0</v>
          </cell>
        </row>
        <row r="262">
          <cell r="B262">
            <v>6916</v>
          </cell>
          <cell r="C262">
            <v>0</v>
          </cell>
          <cell r="D262" t="str">
            <v>PHP</v>
          </cell>
          <cell r="E262">
            <v>0</v>
          </cell>
          <cell r="F262" t="str">
            <v>PC</v>
          </cell>
          <cell r="G262">
            <v>0</v>
          </cell>
        </row>
        <row r="263">
          <cell r="B263">
            <v>6917</v>
          </cell>
          <cell r="C263">
            <v>0</v>
          </cell>
          <cell r="D263" t="str">
            <v>PHP</v>
          </cell>
          <cell r="E263">
            <v>0</v>
          </cell>
          <cell r="F263" t="str">
            <v>PC</v>
          </cell>
          <cell r="G263">
            <v>0</v>
          </cell>
        </row>
        <row r="264">
          <cell r="B264">
            <v>6950</v>
          </cell>
          <cell r="C264">
            <v>0</v>
          </cell>
          <cell r="D264" t="str">
            <v>PHP</v>
          </cell>
          <cell r="E264">
            <v>0</v>
          </cell>
          <cell r="F264" t="str">
            <v>PC</v>
          </cell>
          <cell r="G264">
            <v>0</v>
          </cell>
        </row>
        <row r="265">
          <cell r="B265">
            <v>6971</v>
          </cell>
          <cell r="C265">
            <v>0</v>
          </cell>
          <cell r="D265" t="str">
            <v>PHP</v>
          </cell>
          <cell r="E265">
            <v>0</v>
          </cell>
          <cell r="F265" t="str">
            <v>PC</v>
          </cell>
          <cell r="G265">
            <v>0</v>
          </cell>
        </row>
        <row r="266">
          <cell r="B266">
            <v>6972</v>
          </cell>
          <cell r="C266">
            <v>0</v>
          </cell>
          <cell r="D266" t="str">
            <v>PHP</v>
          </cell>
          <cell r="E266">
            <v>0</v>
          </cell>
          <cell r="F266" t="str">
            <v>PC</v>
          </cell>
          <cell r="G266">
            <v>0</v>
          </cell>
        </row>
        <row r="267">
          <cell r="B267">
            <v>7003</v>
          </cell>
          <cell r="C267">
            <v>0</v>
          </cell>
          <cell r="D267" t="str">
            <v>PHP</v>
          </cell>
          <cell r="E267">
            <v>0</v>
          </cell>
          <cell r="F267" t="str">
            <v>ASY</v>
          </cell>
          <cell r="G267">
            <v>0</v>
          </cell>
        </row>
        <row r="268">
          <cell r="B268">
            <v>7011</v>
          </cell>
          <cell r="C268">
            <v>0</v>
          </cell>
          <cell r="D268" t="str">
            <v>PHP</v>
          </cell>
          <cell r="E268">
            <v>0</v>
          </cell>
          <cell r="F268" t="str">
            <v>PC</v>
          </cell>
          <cell r="G268">
            <v>0</v>
          </cell>
        </row>
        <row r="269">
          <cell r="B269">
            <v>7014</v>
          </cell>
          <cell r="C269">
            <v>0</v>
          </cell>
          <cell r="D269" t="str">
            <v>PHP</v>
          </cell>
          <cell r="E269">
            <v>0</v>
          </cell>
          <cell r="F269" t="str">
            <v>PC</v>
          </cell>
          <cell r="G269">
            <v>0</v>
          </cell>
        </row>
        <row r="270">
          <cell r="B270">
            <v>7026</v>
          </cell>
          <cell r="C270">
            <v>0</v>
          </cell>
          <cell r="D270" t="str">
            <v>PHP</v>
          </cell>
          <cell r="E270">
            <v>0</v>
          </cell>
          <cell r="F270" t="str">
            <v>PC</v>
          </cell>
          <cell r="G270">
            <v>0</v>
          </cell>
        </row>
        <row r="271">
          <cell r="B271">
            <v>7027</v>
          </cell>
          <cell r="C271">
            <v>0</v>
          </cell>
          <cell r="D271" t="str">
            <v>PHP</v>
          </cell>
          <cell r="E271">
            <v>0</v>
          </cell>
          <cell r="F271" t="str">
            <v>PC</v>
          </cell>
          <cell r="G271">
            <v>0</v>
          </cell>
        </row>
        <row r="272">
          <cell r="B272">
            <v>7044</v>
          </cell>
          <cell r="C272">
            <v>0</v>
          </cell>
          <cell r="D272" t="str">
            <v>PHP</v>
          </cell>
          <cell r="E272">
            <v>0</v>
          </cell>
          <cell r="F272" t="str">
            <v>PC</v>
          </cell>
          <cell r="G272">
            <v>0</v>
          </cell>
        </row>
        <row r="273">
          <cell r="B273">
            <v>7050</v>
          </cell>
          <cell r="C273">
            <v>0</v>
          </cell>
          <cell r="D273" t="str">
            <v>PHP</v>
          </cell>
          <cell r="E273">
            <v>0</v>
          </cell>
          <cell r="F273" t="str">
            <v>PC</v>
          </cell>
          <cell r="G273">
            <v>0</v>
          </cell>
        </row>
        <row r="274">
          <cell r="B274">
            <v>7052</v>
          </cell>
          <cell r="C274">
            <v>0</v>
          </cell>
          <cell r="D274" t="str">
            <v>PHP</v>
          </cell>
          <cell r="E274">
            <v>0</v>
          </cell>
          <cell r="F274" t="str">
            <v>PC</v>
          </cell>
          <cell r="G274">
            <v>0</v>
          </cell>
        </row>
        <row r="275">
          <cell r="B275">
            <v>7054</v>
          </cell>
          <cell r="C275">
            <v>0</v>
          </cell>
          <cell r="D275" t="str">
            <v>PHP</v>
          </cell>
          <cell r="E275">
            <v>0</v>
          </cell>
          <cell r="F275" t="str">
            <v>PC</v>
          </cell>
          <cell r="G275">
            <v>0</v>
          </cell>
        </row>
        <row r="276">
          <cell r="B276">
            <v>7060</v>
          </cell>
          <cell r="C276">
            <v>3141.28</v>
          </cell>
          <cell r="D276" t="str">
            <v>PHP</v>
          </cell>
          <cell r="E276">
            <v>2</v>
          </cell>
          <cell r="F276" t="str">
            <v>ASY</v>
          </cell>
          <cell r="G276">
            <v>0</v>
          </cell>
        </row>
        <row r="277">
          <cell r="B277">
            <v>7071</v>
          </cell>
          <cell r="C277">
            <v>0</v>
          </cell>
          <cell r="D277" t="str">
            <v>PHP</v>
          </cell>
          <cell r="E277">
            <v>0</v>
          </cell>
          <cell r="F277" t="str">
            <v>PC</v>
          </cell>
          <cell r="G277">
            <v>0</v>
          </cell>
        </row>
        <row r="278">
          <cell r="B278">
            <v>7093</v>
          </cell>
          <cell r="C278">
            <v>0</v>
          </cell>
          <cell r="D278" t="str">
            <v>PHP</v>
          </cell>
          <cell r="E278">
            <v>0</v>
          </cell>
          <cell r="F278" t="str">
            <v>PC</v>
          </cell>
          <cell r="G278">
            <v>0</v>
          </cell>
        </row>
        <row r="279">
          <cell r="B279">
            <v>7099</v>
          </cell>
          <cell r="C279">
            <v>0</v>
          </cell>
          <cell r="D279" t="str">
            <v>PHP</v>
          </cell>
          <cell r="E279">
            <v>0</v>
          </cell>
          <cell r="F279" t="str">
            <v>PC</v>
          </cell>
          <cell r="G279">
            <v>0</v>
          </cell>
        </row>
        <row r="280">
          <cell r="B280">
            <v>7107</v>
          </cell>
          <cell r="C280">
            <v>0</v>
          </cell>
          <cell r="D280" t="str">
            <v>PHP</v>
          </cell>
          <cell r="E280">
            <v>0</v>
          </cell>
          <cell r="F280" t="str">
            <v>PC</v>
          </cell>
          <cell r="G280">
            <v>0</v>
          </cell>
        </row>
        <row r="281">
          <cell r="B281">
            <v>7162</v>
          </cell>
          <cell r="C281">
            <v>0</v>
          </cell>
          <cell r="D281" t="str">
            <v>PHP</v>
          </cell>
          <cell r="E281">
            <v>0</v>
          </cell>
          <cell r="F281" t="str">
            <v>PC</v>
          </cell>
          <cell r="G281">
            <v>0</v>
          </cell>
        </row>
        <row r="282">
          <cell r="B282">
            <v>7280</v>
          </cell>
          <cell r="C282">
            <v>58396.02</v>
          </cell>
          <cell r="D282" t="str">
            <v>PHP</v>
          </cell>
          <cell r="E282">
            <v>1</v>
          </cell>
          <cell r="F282" t="str">
            <v>PC</v>
          </cell>
          <cell r="G282">
            <v>0</v>
          </cell>
        </row>
        <row r="283">
          <cell r="B283">
            <v>7333</v>
          </cell>
          <cell r="C283">
            <v>0</v>
          </cell>
          <cell r="D283" t="str">
            <v>PHP</v>
          </cell>
          <cell r="E283">
            <v>0</v>
          </cell>
          <cell r="F283" t="str">
            <v>PC</v>
          </cell>
          <cell r="G283">
            <v>0</v>
          </cell>
        </row>
        <row r="284">
          <cell r="B284">
            <v>7401</v>
          </cell>
          <cell r="C284">
            <v>0</v>
          </cell>
          <cell r="D284" t="str">
            <v>PHP</v>
          </cell>
          <cell r="E284">
            <v>0</v>
          </cell>
          <cell r="F284" t="str">
            <v>PC</v>
          </cell>
          <cell r="G284">
            <v>0</v>
          </cell>
        </row>
        <row r="285">
          <cell r="B285">
            <v>7402</v>
          </cell>
          <cell r="C285">
            <v>0</v>
          </cell>
          <cell r="D285" t="str">
            <v>PHP</v>
          </cell>
          <cell r="E285">
            <v>0</v>
          </cell>
          <cell r="F285" t="str">
            <v>PC</v>
          </cell>
          <cell r="G285">
            <v>0</v>
          </cell>
        </row>
        <row r="286">
          <cell r="B286">
            <v>7403</v>
          </cell>
          <cell r="C286">
            <v>0</v>
          </cell>
          <cell r="D286" t="str">
            <v>PHP</v>
          </cell>
          <cell r="E286">
            <v>0</v>
          </cell>
          <cell r="F286" t="str">
            <v>PC</v>
          </cell>
          <cell r="G286">
            <v>0</v>
          </cell>
        </row>
        <row r="287">
          <cell r="B287">
            <v>7472</v>
          </cell>
          <cell r="C287">
            <v>0</v>
          </cell>
          <cell r="D287" t="str">
            <v>PHP</v>
          </cell>
          <cell r="E287">
            <v>0</v>
          </cell>
          <cell r="F287" t="str">
            <v>PC</v>
          </cell>
          <cell r="G287">
            <v>0</v>
          </cell>
        </row>
        <row r="288">
          <cell r="B288">
            <v>7484</v>
          </cell>
          <cell r="C288">
            <v>0</v>
          </cell>
          <cell r="D288" t="str">
            <v>PHP</v>
          </cell>
          <cell r="E288">
            <v>0</v>
          </cell>
          <cell r="F288" t="str">
            <v>PC</v>
          </cell>
          <cell r="G288">
            <v>0</v>
          </cell>
        </row>
        <row r="289">
          <cell r="B289">
            <v>7561</v>
          </cell>
          <cell r="C289">
            <v>0</v>
          </cell>
          <cell r="D289" t="str">
            <v>PHP</v>
          </cell>
          <cell r="E289">
            <v>0</v>
          </cell>
          <cell r="F289" t="str">
            <v>PC</v>
          </cell>
          <cell r="G289">
            <v>0</v>
          </cell>
        </row>
        <row r="290">
          <cell r="B290">
            <v>7562</v>
          </cell>
          <cell r="C290">
            <v>0</v>
          </cell>
          <cell r="D290" t="str">
            <v>PHP</v>
          </cell>
          <cell r="E290">
            <v>0</v>
          </cell>
          <cell r="F290" t="str">
            <v>PC</v>
          </cell>
          <cell r="G290">
            <v>0</v>
          </cell>
        </row>
        <row r="291">
          <cell r="B291">
            <v>7624</v>
          </cell>
          <cell r="C291">
            <v>0</v>
          </cell>
          <cell r="D291" t="str">
            <v>PHP</v>
          </cell>
          <cell r="E291">
            <v>0</v>
          </cell>
          <cell r="F291" t="str">
            <v>PC</v>
          </cell>
          <cell r="G291">
            <v>0</v>
          </cell>
        </row>
        <row r="292">
          <cell r="B292">
            <v>7678</v>
          </cell>
          <cell r="C292">
            <v>0</v>
          </cell>
          <cell r="D292" t="str">
            <v>PHP</v>
          </cell>
          <cell r="E292">
            <v>0</v>
          </cell>
          <cell r="F292" t="str">
            <v>PC</v>
          </cell>
          <cell r="G292">
            <v>0</v>
          </cell>
        </row>
        <row r="293">
          <cell r="B293">
            <v>7682</v>
          </cell>
          <cell r="C293">
            <v>0</v>
          </cell>
          <cell r="D293" t="str">
            <v>PHP</v>
          </cell>
          <cell r="E293">
            <v>0</v>
          </cell>
          <cell r="F293" t="str">
            <v>PC</v>
          </cell>
          <cell r="G293">
            <v>0</v>
          </cell>
        </row>
        <row r="294">
          <cell r="B294">
            <v>7701</v>
          </cell>
          <cell r="C294">
            <v>0</v>
          </cell>
          <cell r="D294" t="str">
            <v>PHP</v>
          </cell>
          <cell r="E294">
            <v>0</v>
          </cell>
          <cell r="F294" t="str">
            <v>PC</v>
          </cell>
          <cell r="G294">
            <v>0</v>
          </cell>
        </row>
        <row r="295">
          <cell r="B295">
            <v>7706</v>
          </cell>
          <cell r="C295">
            <v>0</v>
          </cell>
          <cell r="D295" t="str">
            <v>PHP</v>
          </cell>
          <cell r="E295">
            <v>0</v>
          </cell>
          <cell r="F295" t="str">
            <v>PC</v>
          </cell>
          <cell r="G295">
            <v>0</v>
          </cell>
        </row>
        <row r="296">
          <cell r="B296">
            <v>7707</v>
          </cell>
          <cell r="C296">
            <v>0</v>
          </cell>
          <cell r="D296" t="str">
            <v>PHP</v>
          </cell>
          <cell r="E296">
            <v>0</v>
          </cell>
          <cell r="F296" t="str">
            <v>PC</v>
          </cell>
          <cell r="G296">
            <v>0</v>
          </cell>
        </row>
        <row r="297">
          <cell r="B297">
            <v>7760</v>
          </cell>
          <cell r="C297">
            <v>0</v>
          </cell>
          <cell r="D297" t="str">
            <v>PHP</v>
          </cell>
          <cell r="E297">
            <v>0</v>
          </cell>
          <cell r="F297" t="str">
            <v>PC</v>
          </cell>
          <cell r="G297">
            <v>0</v>
          </cell>
        </row>
        <row r="298">
          <cell r="B298">
            <v>7768</v>
          </cell>
          <cell r="C298">
            <v>0</v>
          </cell>
          <cell r="D298" t="str">
            <v>PHP</v>
          </cell>
          <cell r="E298">
            <v>0</v>
          </cell>
          <cell r="F298" t="str">
            <v>PC</v>
          </cell>
          <cell r="G298">
            <v>0</v>
          </cell>
        </row>
        <row r="299">
          <cell r="B299">
            <v>7769</v>
          </cell>
          <cell r="C299">
            <v>0</v>
          </cell>
          <cell r="D299" t="str">
            <v>PHP</v>
          </cell>
          <cell r="E299">
            <v>0</v>
          </cell>
          <cell r="F299" t="str">
            <v>PC</v>
          </cell>
          <cell r="G299">
            <v>0</v>
          </cell>
        </row>
        <row r="300">
          <cell r="B300">
            <v>7770</v>
          </cell>
          <cell r="C300">
            <v>0</v>
          </cell>
          <cell r="D300" t="str">
            <v>PHP</v>
          </cell>
          <cell r="E300">
            <v>0</v>
          </cell>
          <cell r="F300" t="str">
            <v>PC</v>
          </cell>
          <cell r="G300">
            <v>0</v>
          </cell>
        </row>
        <row r="301">
          <cell r="B301">
            <v>7771</v>
          </cell>
          <cell r="C301">
            <v>0</v>
          </cell>
          <cell r="D301" t="str">
            <v>PHP</v>
          </cell>
          <cell r="E301">
            <v>0</v>
          </cell>
          <cell r="F301" t="str">
            <v>PC</v>
          </cell>
          <cell r="G301">
            <v>0</v>
          </cell>
        </row>
        <row r="302">
          <cell r="B302">
            <v>7772</v>
          </cell>
          <cell r="C302">
            <v>0</v>
          </cell>
          <cell r="D302" t="str">
            <v>PHP</v>
          </cell>
          <cell r="E302">
            <v>0</v>
          </cell>
          <cell r="F302" t="str">
            <v>PC</v>
          </cell>
          <cell r="G302">
            <v>0</v>
          </cell>
        </row>
        <row r="303">
          <cell r="B303">
            <v>7773</v>
          </cell>
          <cell r="C303">
            <v>0</v>
          </cell>
          <cell r="D303" t="str">
            <v>PHP</v>
          </cell>
          <cell r="E303">
            <v>0</v>
          </cell>
          <cell r="F303" t="str">
            <v>PC</v>
          </cell>
          <cell r="G303">
            <v>0</v>
          </cell>
        </row>
        <row r="304">
          <cell r="B304">
            <v>7774</v>
          </cell>
          <cell r="C304">
            <v>0</v>
          </cell>
          <cell r="D304" t="str">
            <v>PHP</v>
          </cell>
          <cell r="E304">
            <v>0</v>
          </cell>
          <cell r="F304" t="str">
            <v>PC</v>
          </cell>
          <cell r="G304">
            <v>0</v>
          </cell>
        </row>
        <row r="305">
          <cell r="B305">
            <v>7851</v>
          </cell>
          <cell r="C305">
            <v>0</v>
          </cell>
          <cell r="D305" t="str">
            <v>PHP</v>
          </cell>
          <cell r="E305">
            <v>0</v>
          </cell>
          <cell r="F305" t="str">
            <v>PC</v>
          </cell>
          <cell r="G305">
            <v>0</v>
          </cell>
        </row>
        <row r="306">
          <cell r="B306">
            <v>7889</v>
          </cell>
          <cell r="C306">
            <v>0</v>
          </cell>
          <cell r="D306" t="str">
            <v>PHP</v>
          </cell>
          <cell r="E306">
            <v>0</v>
          </cell>
          <cell r="F306" t="str">
            <v>PC</v>
          </cell>
          <cell r="G306">
            <v>0</v>
          </cell>
        </row>
        <row r="307">
          <cell r="B307">
            <v>7920</v>
          </cell>
          <cell r="C307">
            <v>0</v>
          </cell>
          <cell r="D307" t="str">
            <v>PHP</v>
          </cell>
          <cell r="E307">
            <v>0</v>
          </cell>
          <cell r="F307" t="str">
            <v>PC</v>
          </cell>
          <cell r="G307">
            <v>0</v>
          </cell>
        </row>
        <row r="308">
          <cell r="B308">
            <v>8078</v>
          </cell>
          <cell r="C308">
            <v>0</v>
          </cell>
          <cell r="D308" t="str">
            <v>PHP</v>
          </cell>
          <cell r="E308">
            <v>0</v>
          </cell>
          <cell r="F308" t="str">
            <v>PC</v>
          </cell>
          <cell r="G308">
            <v>0</v>
          </cell>
        </row>
        <row r="309">
          <cell r="B309">
            <v>8079</v>
          </cell>
          <cell r="C309">
            <v>0</v>
          </cell>
          <cell r="D309" t="str">
            <v>PHP</v>
          </cell>
          <cell r="E309">
            <v>0</v>
          </cell>
          <cell r="F309" t="str">
            <v>PC</v>
          </cell>
          <cell r="G309">
            <v>0</v>
          </cell>
        </row>
        <row r="310">
          <cell r="B310">
            <v>8111</v>
          </cell>
          <cell r="C310">
            <v>0</v>
          </cell>
          <cell r="D310" t="str">
            <v>PHP</v>
          </cell>
          <cell r="E310">
            <v>0</v>
          </cell>
          <cell r="F310" t="str">
            <v>PC</v>
          </cell>
          <cell r="G310">
            <v>0</v>
          </cell>
        </row>
        <row r="311">
          <cell r="B311">
            <v>8127</v>
          </cell>
          <cell r="C311">
            <v>0</v>
          </cell>
          <cell r="D311" t="str">
            <v>PHP</v>
          </cell>
          <cell r="E311">
            <v>0</v>
          </cell>
          <cell r="F311" t="str">
            <v>PC</v>
          </cell>
          <cell r="G311">
            <v>0</v>
          </cell>
        </row>
        <row r="312">
          <cell r="B312">
            <v>8132</v>
          </cell>
          <cell r="C312">
            <v>0</v>
          </cell>
          <cell r="D312" t="str">
            <v>PHP</v>
          </cell>
          <cell r="E312">
            <v>0</v>
          </cell>
          <cell r="F312" t="str">
            <v>PC</v>
          </cell>
          <cell r="G312">
            <v>0</v>
          </cell>
        </row>
        <row r="313">
          <cell r="B313">
            <v>8134</v>
          </cell>
          <cell r="C313">
            <v>0</v>
          </cell>
          <cell r="D313" t="str">
            <v>PHP</v>
          </cell>
          <cell r="E313">
            <v>0</v>
          </cell>
          <cell r="F313" t="str">
            <v>PC</v>
          </cell>
          <cell r="G313">
            <v>0</v>
          </cell>
        </row>
        <row r="314">
          <cell r="B314">
            <v>8156</v>
          </cell>
          <cell r="C314">
            <v>0</v>
          </cell>
          <cell r="D314" t="str">
            <v>PHP</v>
          </cell>
          <cell r="E314">
            <v>0</v>
          </cell>
          <cell r="F314" t="str">
            <v>PC</v>
          </cell>
          <cell r="G314">
            <v>0</v>
          </cell>
        </row>
        <row r="315">
          <cell r="B315">
            <v>8160</v>
          </cell>
          <cell r="C315">
            <v>0</v>
          </cell>
          <cell r="D315" t="str">
            <v>PHP</v>
          </cell>
          <cell r="E315">
            <v>0</v>
          </cell>
          <cell r="F315" t="str">
            <v>PC</v>
          </cell>
          <cell r="G315">
            <v>0</v>
          </cell>
        </row>
        <row r="316">
          <cell r="B316">
            <v>8170</v>
          </cell>
          <cell r="C316">
            <v>0</v>
          </cell>
          <cell r="D316" t="str">
            <v>PHP</v>
          </cell>
          <cell r="E316">
            <v>0</v>
          </cell>
          <cell r="F316" t="str">
            <v>PC</v>
          </cell>
          <cell r="G316">
            <v>0</v>
          </cell>
        </row>
        <row r="317">
          <cell r="B317">
            <v>8186</v>
          </cell>
          <cell r="C317">
            <v>0</v>
          </cell>
          <cell r="D317" t="str">
            <v>PHP</v>
          </cell>
          <cell r="E317">
            <v>0</v>
          </cell>
          <cell r="F317" t="str">
            <v>PC</v>
          </cell>
          <cell r="G317">
            <v>0</v>
          </cell>
        </row>
        <row r="318">
          <cell r="B318">
            <v>8197</v>
          </cell>
          <cell r="C318">
            <v>0</v>
          </cell>
          <cell r="D318" t="str">
            <v>PHP</v>
          </cell>
          <cell r="E318">
            <v>0</v>
          </cell>
          <cell r="F318" t="str">
            <v>PC</v>
          </cell>
          <cell r="G318">
            <v>0</v>
          </cell>
        </row>
        <row r="319">
          <cell r="B319">
            <v>8204</v>
          </cell>
          <cell r="C319">
            <v>0</v>
          </cell>
          <cell r="D319" t="str">
            <v>PHP</v>
          </cell>
          <cell r="E319">
            <v>0</v>
          </cell>
          <cell r="F319" t="str">
            <v>PC</v>
          </cell>
          <cell r="G319">
            <v>0</v>
          </cell>
        </row>
        <row r="320">
          <cell r="B320">
            <v>8227</v>
          </cell>
          <cell r="C320">
            <v>0</v>
          </cell>
          <cell r="D320" t="str">
            <v>PHP</v>
          </cell>
          <cell r="E320">
            <v>0</v>
          </cell>
          <cell r="F320" t="str">
            <v>PC</v>
          </cell>
          <cell r="G320">
            <v>0</v>
          </cell>
        </row>
        <row r="321">
          <cell r="B321">
            <v>8228</v>
          </cell>
          <cell r="C321">
            <v>0</v>
          </cell>
          <cell r="D321" t="str">
            <v>PHP</v>
          </cell>
          <cell r="E321">
            <v>0</v>
          </cell>
          <cell r="F321" t="str">
            <v>PC</v>
          </cell>
          <cell r="G321">
            <v>0</v>
          </cell>
        </row>
        <row r="322">
          <cell r="B322">
            <v>8229</v>
          </cell>
          <cell r="C322">
            <v>0</v>
          </cell>
          <cell r="D322" t="str">
            <v>PHP</v>
          </cell>
          <cell r="E322">
            <v>0</v>
          </cell>
          <cell r="F322" t="str">
            <v>PC</v>
          </cell>
          <cell r="G322">
            <v>0</v>
          </cell>
        </row>
        <row r="323">
          <cell r="B323">
            <v>8230</v>
          </cell>
          <cell r="C323">
            <v>0</v>
          </cell>
          <cell r="D323" t="str">
            <v>PHP</v>
          </cell>
          <cell r="E323">
            <v>0</v>
          </cell>
          <cell r="F323" t="str">
            <v>ASY</v>
          </cell>
          <cell r="G323">
            <v>0</v>
          </cell>
        </row>
        <row r="324">
          <cell r="B324">
            <v>8241</v>
          </cell>
          <cell r="C324">
            <v>11545.34</v>
          </cell>
          <cell r="D324" t="str">
            <v>PHP</v>
          </cell>
          <cell r="E324">
            <v>1</v>
          </cell>
          <cell r="F324" t="str">
            <v>PC</v>
          </cell>
          <cell r="G324">
            <v>0</v>
          </cell>
        </row>
        <row r="325">
          <cell r="B325">
            <v>8324</v>
          </cell>
          <cell r="C325">
            <v>0</v>
          </cell>
          <cell r="D325" t="str">
            <v>PHP</v>
          </cell>
          <cell r="E325">
            <v>0</v>
          </cell>
          <cell r="F325" t="str">
            <v>ASY</v>
          </cell>
          <cell r="G325">
            <v>0</v>
          </cell>
        </row>
        <row r="326">
          <cell r="B326">
            <v>8391</v>
          </cell>
          <cell r="C326">
            <v>0</v>
          </cell>
          <cell r="D326" t="str">
            <v>PHP</v>
          </cell>
          <cell r="E326">
            <v>0</v>
          </cell>
          <cell r="F326" t="str">
            <v>PC</v>
          </cell>
          <cell r="G326">
            <v>0</v>
          </cell>
        </row>
        <row r="327">
          <cell r="B327">
            <v>8398</v>
          </cell>
          <cell r="C327">
            <v>0</v>
          </cell>
          <cell r="D327" t="str">
            <v>PHP</v>
          </cell>
          <cell r="E327">
            <v>0</v>
          </cell>
          <cell r="F327" t="str">
            <v>PC</v>
          </cell>
          <cell r="G327">
            <v>0</v>
          </cell>
        </row>
        <row r="328">
          <cell r="B328">
            <v>8424</v>
          </cell>
          <cell r="C328">
            <v>0</v>
          </cell>
          <cell r="D328" t="str">
            <v>PHP</v>
          </cell>
          <cell r="E328">
            <v>0</v>
          </cell>
          <cell r="F328" t="str">
            <v>PC</v>
          </cell>
          <cell r="G328">
            <v>0</v>
          </cell>
        </row>
        <row r="329">
          <cell r="B329">
            <v>8549</v>
          </cell>
          <cell r="C329">
            <v>3419239.6</v>
          </cell>
          <cell r="D329" t="str">
            <v>PHP</v>
          </cell>
          <cell r="E329">
            <v>1960</v>
          </cell>
          <cell r="F329" t="str">
            <v>BAG</v>
          </cell>
          <cell r="G329">
            <v>0</v>
          </cell>
        </row>
        <row r="330">
          <cell r="B330">
            <v>8551</v>
          </cell>
          <cell r="C330">
            <v>571068.96</v>
          </cell>
          <cell r="D330" t="str">
            <v>PHP</v>
          </cell>
          <cell r="E330">
            <v>28</v>
          </cell>
          <cell r="F330" t="str">
            <v>DR</v>
          </cell>
          <cell r="G330">
            <v>0</v>
          </cell>
        </row>
        <row r="331">
          <cell r="B331">
            <v>8584</v>
          </cell>
          <cell r="C331">
            <v>0</v>
          </cell>
          <cell r="D331" t="str">
            <v>PHP</v>
          </cell>
          <cell r="E331">
            <v>0</v>
          </cell>
          <cell r="F331" t="str">
            <v>PC</v>
          </cell>
          <cell r="G331">
            <v>0</v>
          </cell>
        </row>
        <row r="332">
          <cell r="B332">
            <v>8714</v>
          </cell>
          <cell r="C332">
            <v>90241.93</v>
          </cell>
          <cell r="D332" t="str">
            <v>PHP</v>
          </cell>
          <cell r="E332">
            <v>11</v>
          </cell>
          <cell r="F332" t="str">
            <v>PC</v>
          </cell>
          <cell r="G332">
            <v>0</v>
          </cell>
        </row>
        <row r="333">
          <cell r="B333">
            <v>8715</v>
          </cell>
          <cell r="C333">
            <v>0</v>
          </cell>
          <cell r="D333" t="str">
            <v>PHP</v>
          </cell>
          <cell r="E333">
            <v>0</v>
          </cell>
          <cell r="F333" t="str">
            <v>PC</v>
          </cell>
          <cell r="G333">
            <v>0</v>
          </cell>
        </row>
        <row r="334">
          <cell r="B334">
            <v>8719</v>
          </cell>
          <cell r="C334">
            <v>0</v>
          </cell>
          <cell r="D334" t="str">
            <v>PHP</v>
          </cell>
          <cell r="E334">
            <v>0</v>
          </cell>
          <cell r="F334" t="str">
            <v>PC</v>
          </cell>
          <cell r="G334">
            <v>0</v>
          </cell>
        </row>
        <row r="335">
          <cell r="B335">
            <v>8848</v>
          </cell>
          <cell r="C335">
            <v>0</v>
          </cell>
          <cell r="D335" t="str">
            <v>PHP</v>
          </cell>
          <cell r="E335">
            <v>0</v>
          </cell>
          <cell r="F335" t="str">
            <v>PC</v>
          </cell>
          <cell r="G335">
            <v>0</v>
          </cell>
        </row>
        <row r="336">
          <cell r="B336">
            <v>8849</v>
          </cell>
          <cell r="C336">
            <v>0</v>
          </cell>
          <cell r="D336" t="str">
            <v>PHP</v>
          </cell>
          <cell r="E336">
            <v>0</v>
          </cell>
          <cell r="F336" t="str">
            <v>PC</v>
          </cell>
          <cell r="G336">
            <v>0</v>
          </cell>
        </row>
        <row r="337">
          <cell r="B337">
            <v>8887</v>
          </cell>
          <cell r="C337">
            <v>528683.94999999995</v>
          </cell>
          <cell r="D337" t="str">
            <v>PHP</v>
          </cell>
          <cell r="E337">
            <v>1</v>
          </cell>
          <cell r="F337" t="str">
            <v>PC</v>
          </cell>
          <cell r="G337">
            <v>0</v>
          </cell>
        </row>
        <row r="338">
          <cell r="B338">
            <v>8889</v>
          </cell>
          <cell r="C338">
            <v>0</v>
          </cell>
          <cell r="D338" t="str">
            <v>PHP</v>
          </cell>
          <cell r="E338">
            <v>0</v>
          </cell>
          <cell r="F338" t="str">
            <v>PC</v>
          </cell>
          <cell r="G338">
            <v>0</v>
          </cell>
        </row>
        <row r="339">
          <cell r="B339">
            <v>8908</v>
          </cell>
          <cell r="C339">
            <v>0</v>
          </cell>
          <cell r="D339" t="str">
            <v>PHP</v>
          </cell>
          <cell r="E339">
            <v>0</v>
          </cell>
          <cell r="F339" t="str">
            <v>PC</v>
          </cell>
          <cell r="G339">
            <v>0</v>
          </cell>
        </row>
        <row r="340">
          <cell r="B340">
            <v>8909</v>
          </cell>
          <cell r="C340">
            <v>567685.23</v>
          </cell>
          <cell r="D340" t="str">
            <v>PHP</v>
          </cell>
          <cell r="E340">
            <v>1</v>
          </cell>
          <cell r="F340" t="str">
            <v>PC</v>
          </cell>
          <cell r="G340">
            <v>0</v>
          </cell>
        </row>
        <row r="341">
          <cell r="B341">
            <v>8910</v>
          </cell>
          <cell r="C341">
            <v>0</v>
          </cell>
          <cell r="D341" t="str">
            <v>PHP</v>
          </cell>
          <cell r="E341">
            <v>0</v>
          </cell>
          <cell r="F341" t="str">
            <v>PC</v>
          </cell>
          <cell r="G341">
            <v>0</v>
          </cell>
        </row>
        <row r="342">
          <cell r="B342">
            <v>8915</v>
          </cell>
          <cell r="C342">
            <v>288234.05</v>
          </cell>
          <cell r="D342" t="str">
            <v>PHP</v>
          </cell>
          <cell r="E342">
            <v>1</v>
          </cell>
          <cell r="F342" t="str">
            <v>PC</v>
          </cell>
          <cell r="G342">
            <v>0</v>
          </cell>
        </row>
        <row r="343">
          <cell r="B343">
            <v>9019</v>
          </cell>
          <cell r="C343">
            <v>0</v>
          </cell>
          <cell r="D343" t="str">
            <v>PHP</v>
          </cell>
          <cell r="E343">
            <v>0</v>
          </cell>
          <cell r="F343" t="str">
            <v>PC</v>
          </cell>
          <cell r="G343">
            <v>0</v>
          </cell>
        </row>
        <row r="344">
          <cell r="B344">
            <v>9148</v>
          </cell>
          <cell r="C344">
            <v>13559.53</v>
          </cell>
          <cell r="D344" t="str">
            <v>PHP</v>
          </cell>
          <cell r="E344">
            <v>32</v>
          </cell>
          <cell r="F344" t="str">
            <v>SET</v>
          </cell>
          <cell r="G344">
            <v>0</v>
          </cell>
        </row>
        <row r="345">
          <cell r="B345">
            <v>9151</v>
          </cell>
          <cell r="C345">
            <v>0</v>
          </cell>
          <cell r="D345" t="str">
            <v>PHP</v>
          </cell>
          <cell r="E345">
            <v>0</v>
          </cell>
          <cell r="F345" t="str">
            <v>SET</v>
          </cell>
          <cell r="G345">
            <v>0</v>
          </cell>
        </row>
        <row r="346">
          <cell r="B346">
            <v>9527</v>
          </cell>
          <cell r="C346">
            <v>19597.5</v>
          </cell>
          <cell r="D346" t="str">
            <v>PHP</v>
          </cell>
          <cell r="E346">
            <v>1</v>
          </cell>
          <cell r="F346" t="str">
            <v>PC</v>
          </cell>
          <cell r="G346">
            <v>0</v>
          </cell>
        </row>
        <row r="347">
          <cell r="B347">
            <v>9578</v>
          </cell>
          <cell r="C347">
            <v>0</v>
          </cell>
          <cell r="D347" t="str">
            <v>PHP</v>
          </cell>
          <cell r="E347">
            <v>0</v>
          </cell>
          <cell r="F347" t="str">
            <v>PC</v>
          </cell>
          <cell r="G347">
            <v>0</v>
          </cell>
        </row>
        <row r="348">
          <cell r="B348">
            <v>9634</v>
          </cell>
          <cell r="C348">
            <v>0</v>
          </cell>
          <cell r="D348" t="str">
            <v>PHP</v>
          </cell>
          <cell r="E348">
            <v>0</v>
          </cell>
          <cell r="F348" t="str">
            <v>SET</v>
          </cell>
          <cell r="G348">
            <v>0</v>
          </cell>
        </row>
        <row r="349">
          <cell r="B349">
            <v>9747</v>
          </cell>
          <cell r="C349">
            <v>745107.06</v>
          </cell>
          <cell r="D349" t="str">
            <v>PHP</v>
          </cell>
          <cell r="E349">
            <v>3120</v>
          </cell>
          <cell r="F349" t="str">
            <v>BAG</v>
          </cell>
          <cell r="G349">
            <v>0</v>
          </cell>
        </row>
        <row r="350">
          <cell r="B350">
            <v>10138</v>
          </cell>
          <cell r="C350">
            <v>8433353.8100000005</v>
          </cell>
          <cell r="D350" t="str">
            <v>PHP</v>
          </cell>
          <cell r="E350">
            <v>439</v>
          </cell>
          <cell r="F350" t="str">
            <v>LEN</v>
          </cell>
          <cell r="G350">
            <v>0</v>
          </cell>
        </row>
        <row r="351">
          <cell r="B351">
            <v>10140</v>
          </cell>
          <cell r="C351">
            <v>22196157.890000001</v>
          </cell>
          <cell r="D351" t="str">
            <v>PHP</v>
          </cell>
          <cell r="E351">
            <v>81</v>
          </cell>
          <cell r="F351" t="str">
            <v>LEN</v>
          </cell>
          <cell r="G351">
            <v>0</v>
          </cell>
        </row>
        <row r="352">
          <cell r="B352">
            <v>10145</v>
          </cell>
          <cell r="C352">
            <v>29999383.600000001</v>
          </cell>
          <cell r="D352" t="str">
            <v>PHP</v>
          </cell>
          <cell r="E352">
            <v>202</v>
          </cell>
          <cell r="F352" t="str">
            <v>PC</v>
          </cell>
          <cell r="G352">
            <v>0</v>
          </cell>
        </row>
        <row r="353">
          <cell r="B353">
            <v>10146</v>
          </cell>
          <cell r="C353">
            <v>431444.65</v>
          </cell>
          <cell r="D353" t="str">
            <v>PHP</v>
          </cell>
          <cell r="E353">
            <v>2</v>
          </cell>
          <cell r="F353" t="str">
            <v>LEN</v>
          </cell>
          <cell r="G353">
            <v>0</v>
          </cell>
        </row>
        <row r="354">
          <cell r="B354">
            <v>10147</v>
          </cell>
          <cell r="C354">
            <v>22682223.649999999</v>
          </cell>
          <cell r="D354" t="str">
            <v>PHP</v>
          </cell>
          <cell r="E354">
            <v>341</v>
          </cell>
          <cell r="F354" t="str">
            <v>LEN</v>
          </cell>
          <cell r="G354">
            <v>0</v>
          </cell>
        </row>
        <row r="355">
          <cell r="B355">
            <v>10148</v>
          </cell>
          <cell r="C355">
            <v>7256149.7800000003</v>
          </cell>
          <cell r="D355" t="str">
            <v>PHP</v>
          </cell>
          <cell r="E355">
            <v>94</v>
          </cell>
          <cell r="F355" t="str">
            <v>PC</v>
          </cell>
          <cell r="G355">
            <v>0</v>
          </cell>
        </row>
        <row r="356">
          <cell r="B356">
            <v>10149</v>
          </cell>
          <cell r="C356">
            <v>49345483.380000003</v>
          </cell>
          <cell r="D356" t="str">
            <v>PHP</v>
          </cell>
          <cell r="E356">
            <v>907</v>
          </cell>
          <cell r="F356" t="str">
            <v>PC</v>
          </cell>
          <cell r="G356">
            <v>0</v>
          </cell>
        </row>
        <row r="357">
          <cell r="B357">
            <v>10150</v>
          </cell>
          <cell r="C357">
            <v>8379359.1200000001</v>
          </cell>
          <cell r="D357" t="str">
            <v>PHP</v>
          </cell>
          <cell r="E357">
            <v>44</v>
          </cell>
          <cell r="F357" t="str">
            <v>LEN</v>
          </cell>
          <cell r="G357">
            <v>0</v>
          </cell>
        </row>
        <row r="358">
          <cell r="B358">
            <v>10151</v>
          </cell>
          <cell r="C358">
            <v>7266957.5499999998</v>
          </cell>
          <cell r="D358" t="str">
            <v>PHP</v>
          </cell>
          <cell r="E358">
            <v>95</v>
          </cell>
          <cell r="F358" t="str">
            <v>LEN</v>
          </cell>
          <cell r="G358">
            <v>0</v>
          </cell>
        </row>
        <row r="359">
          <cell r="B359">
            <v>10154</v>
          </cell>
          <cell r="C359">
            <v>2405580</v>
          </cell>
          <cell r="D359" t="str">
            <v>PHP</v>
          </cell>
          <cell r="E359">
            <v>120</v>
          </cell>
          <cell r="F359" t="str">
            <v>LEN</v>
          </cell>
          <cell r="G359">
            <v>0</v>
          </cell>
        </row>
        <row r="360">
          <cell r="B360">
            <v>10158</v>
          </cell>
          <cell r="C360">
            <v>7156706.3300000001</v>
          </cell>
          <cell r="D360" t="str">
            <v>PHP</v>
          </cell>
          <cell r="E360">
            <v>96</v>
          </cell>
          <cell r="F360" t="str">
            <v>PC</v>
          </cell>
          <cell r="G360">
            <v>0</v>
          </cell>
        </row>
        <row r="361">
          <cell r="B361">
            <v>10161</v>
          </cell>
          <cell r="C361">
            <v>0</v>
          </cell>
          <cell r="D361" t="str">
            <v>PHP</v>
          </cell>
          <cell r="E361">
            <v>0</v>
          </cell>
          <cell r="F361" t="str">
            <v>BAG</v>
          </cell>
          <cell r="G361">
            <v>0</v>
          </cell>
        </row>
        <row r="362">
          <cell r="B362">
            <v>10172</v>
          </cell>
          <cell r="C362">
            <v>186306.91</v>
          </cell>
          <cell r="D362" t="str">
            <v>PHP</v>
          </cell>
          <cell r="E362">
            <v>60</v>
          </cell>
          <cell r="F362" t="str">
            <v>PC</v>
          </cell>
          <cell r="G362">
            <v>0</v>
          </cell>
        </row>
        <row r="363">
          <cell r="B363">
            <v>10173</v>
          </cell>
          <cell r="C363">
            <v>527669.24</v>
          </cell>
          <cell r="D363" t="str">
            <v>PHP</v>
          </cell>
          <cell r="E363">
            <v>78</v>
          </cell>
          <cell r="F363" t="str">
            <v>PC</v>
          </cell>
          <cell r="G363">
            <v>0</v>
          </cell>
        </row>
        <row r="364">
          <cell r="B364">
            <v>10174</v>
          </cell>
          <cell r="C364">
            <v>0</v>
          </cell>
          <cell r="D364" t="str">
            <v>PHP</v>
          </cell>
          <cell r="E364">
            <v>0</v>
          </cell>
          <cell r="F364" t="str">
            <v>PC</v>
          </cell>
          <cell r="G364">
            <v>0</v>
          </cell>
        </row>
        <row r="365">
          <cell r="B365">
            <v>10176</v>
          </cell>
          <cell r="C365">
            <v>170916.79</v>
          </cell>
          <cell r="D365" t="str">
            <v>PHP</v>
          </cell>
          <cell r="E365">
            <v>126</v>
          </cell>
          <cell r="F365" t="str">
            <v>SET</v>
          </cell>
          <cell r="G365">
            <v>0</v>
          </cell>
        </row>
        <row r="366">
          <cell r="B366">
            <v>10177</v>
          </cell>
          <cell r="C366">
            <v>118688.29</v>
          </cell>
          <cell r="D366" t="str">
            <v>PHP</v>
          </cell>
          <cell r="E366">
            <v>49</v>
          </cell>
          <cell r="F366" t="str">
            <v>SET</v>
          </cell>
          <cell r="G366">
            <v>0</v>
          </cell>
        </row>
        <row r="367">
          <cell r="B367">
            <v>10179</v>
          </cell>
          <cell r="C367">
            <v>19394.599999999999</v>
          </cell>
          <cell r="D367" t="str">
            <v>PHP</v>
          </cell>
          <cell r="E367">
            <v>5</v>
          </cell>
          <cell r="F367" t="str">
            <v>PC</v>
          </cell>
          <cell r="G367">
            <v>0</v>
          </cell>
        </row>
        <row r="368">
          <cell r="B368">
            <v>10180</v>
          </cell>
          <cell r="C368">
            <v>0</v>
          </cell>
          <cell r="D368" t="str">
            <v>PHP</v>
          </cell>
          <cell r="E368">
            <v>0</v>
          </cell>
          <cell r="F368" t="str">
            <v>PC</v>
          </cell>
          <cell r="G368">
            <v>0</v>
          </cell>
        </row>
        <row r="369">
          <cell r="B369">
            <v>10181</v>
          </cell>
          <cell r="C369">
            <v>190318.53</v>
          </cell>
          <cell r="D369" t="str">
            <v>PHP</v>
          </cell>
          <cell r="E369">
            <v>20</v>
          </cell>
          <cell r="F369" t="str">
            <v>PC</v>
          </cell>
          <cell r="G369">
            <v>0</v>
          </cell>
        </row>
        <row r="370">
          <cell r="B370">
            <v>10182</v>
          </cell>
          <cell r="C370">
            <v>0</v>
          </cell>
          <cell r="D370" t="str">
            <v>PHP</v>
          </cell>
          <cell r="E370">
            <v>0</v>
          </cell>
          <cell r="F370" t="str">
            <v>PC</v>
          </cell>
          <cell r="G370">
            <v>0</v>
          </cell>
        </row>
        <row r="371">
          <cell r="B371">
            <v>10194</v>
          </cell>
          <cell r="C371">
            <v>0</v>
          </cell>
          <cell r="D371" t="str">
            <v>PHP</v>
          </cell>
          <cell r="E371">
            <v>0</v>
          </cell>
          <cell r="F371" t="str">
            <v>ASY</v>
          </cell>
          <cell r="G371">
            <v>0</v>
          </cell>
        </row>
        <row r="372">
          <cell r="B372">
            <v>10360</v>
          </cell>
          <cell r="C372">
            <v>187253.17</v>
          </cell>
          <cell r="D372" t="str">
            <v>PHP</v>
          </cell>
          <cell r="E372">
            <v>1</v>
          </cell>
          <cell r="F372" t="str">
            <v>PC</v>
          </cell>
          <cell r="G372">
            <v>0</v>
          </cell>
        </row>
        <row r="373">
          <cell r="B373">
            <v>10367</v>
          </cell>
          <cell r="C373">
            <v>0</v>
          </cell>
          <cell r="D373" t="str">
            <v>PHP</v>
          </cell>
          <cell r="E373">
            <v>0</v>
          </cell>
          <cell r="F373" t="str">
            <v>PC</v>
          </cell>
          <cell r="G373">
            <v>0</v>
          </cell>
        </row>
        <row r="374">
          <cell r="B374">
            <v>10370</v>
          </cell>
          <cell r="C374">
            <v>0</v>
          </cell>
          <cell r="D374" t="str">
            <v>PHP</v>
          </cell>
          <cell r="E374">
            <v>0</v>
          </cell>
          <cell r="F374" t="str">
            <v>PC</v>
          </cell>
          <cell r="G374">
            <v>0</v>
          </cell>
        </row>
        <row r="375">
          <cell r="B375">
            <v>10371</v>
          </cell>
          <cell r="C375">
            <v>101881.05</v>
          </cell>
          <cell r="D375" t="str">
            <v>PHP</v>
          </cell>
          <cell r="E375">
            <v>1</v>
          </cell>
          <cell r="F375" t="str">
            <v>PC</v>
          </cell>
          <cell r="G375">
            <v>0</v>
          </cell>
        </row>
        <row r="376">
          <cell r="B376">
            <v>10378</v>
          </cell>
          <cell r="C376">
            <v>198482.01</v>
          </cell>
          <cell r="D376" t="str">
            <v>PHP</v>
          </cell>
          <cell r="E376">
            <v>4</v>
          </cell>
          <cell r="F376" t="str">
            <v>PC</v>
          </cell>
          <cell r="G376">
            <v>0</v>
          </cell>
        </row>
        <row r="377">
          <cell r="B377">
            <v>10379</v>
          </cell>
          <cell r="C377">
            <v>199080.63</v>
          </cell>
          <cell r="D377" t="str">
            <v>PHP</v>
          </cell>
          <cell r="E377">
            <v>1</v>
          </cell>
          <cell r="F377" t="str">
            <v>PC</v>
          </cell>
          <cell r="G377">
            <v>0</v>
          </cell>
        </row>
        <row r="378">
          <cell r="B378">
            <v>10402</v>
          </cell>
          <cell r="C378">
            <v>2482767.4300000002</v>
          </cell>
          <cell r="D378" t="str">
            <v>PHP</v>
          </cell>
          <cell r="E378">
            <v>101</v>
          </cell>
          <cell r="F378" t="str">
            <v>DR</v>
          </cell>
          <cell r="G378">
            <v>0</v>
          </cell>
        </row>
        <row r="379">
          <cell r="B379">
            <v>10416</v>
          </cell>
          <cell r="C379">
            <v>440680.43</v>
          </cell>
          <cell r="D379" t="str">
            <v>PHP</v>
          </cell>
          <cell r="E379">
            <v>44</v>
          </cell>
          <cell r="F379" t="str">
            <v>PL</v>
          </cell>
          <cell r="G379">
            <v>0</v>
          </cell>
        </row>
        <row r="380">
          <cell r="B380">
            <v>10417</v>
          </cell>
          <cell r="C380">
            <v>93556.24</v>
          </cell>
          <cell r="D380" t="str">
            <v>PHP</v>
          </cell>
          <cell r="E380">
            <v>9</v>
          </cell>
          <cell r="F380" t="str">
            <v>PL</v>
          </cell>
          <cell r="G380">
            <v>0</v>
          </cell>
        </row>
        <row r="381">
          <cell r="B381">
            <v>10421</v>
          </cell>
          <cell r="C381">
            <v>200630.28</v>
          </cell>
          <cell r="D381" t="str">
            <v>PHP</v>
          </cell>
          <cell r="E381">
            <v>37</v>
          </cell>
          <cell r="F381" t="str">
            <v>PL</v>
          </cell>
          <cell r="G381">
            <v>0</v>
          </cell>
        </row>
        <row r="382">
          <cell r="B382">
            <v>10483</v>
          </cell>
          <cell r="C382">
            <v>0</v>
          </cell>
          <cell r="D382" t="str">
            <v>PHP</v>
          </cell>
          <cell r="E382">
            <v>0</v>
          </cell>
          <cell r="F382" t="str">
            <v>SET</v>
          </cell>
          <cell r="G382">
            <v>0</v>
          </cell>
        </row>
        <row r="383">
          <cell r="B383">
            <v>10567</v>
          </cell>
          <cell r="C383">
            <v>1056832</v>
          </cell>
          <cell r="D383" t="str">
            <v>PHP</v>
          </cell>
          <cell r="E383">
            <v>320</v>
          </cell>
          <cell r="F383" t="str">
            <v>BAG</v>
          </cell>
          <cell r="G383">
            <v>0</v>
          </cell>
        </row>
        <row r="384">
          <cell r="B384">
            <v>10569</v>
          </cell>
          <cell r="C384">
            <v>0</v>
          </cell>
          <cell r="D384" t="str">
            <v>PHP</v>
          </cell>
          <cell r="E384">
            <v>0</v>
          </cell>
          <cell r="F384" t="str">
            <v>DR</v>
          </cell>
          <cell r="G384">
            <v>0</v>
          </cell>
        </row>
        <row r="385">
          <cell r="B385">
            <v>10596</v>
          </cell>
          <cell r="C385">
            <v>0</v>
          </cell>
          <cell r="D385" t="str">
            <v>PHP</v>
          </cell>
          <cell r="E385">
            <v>0</v>
          </cell>
          <cell r="F385" t="str">
            <v>PC</v>
          </cell>
          <cell r="G385">
            <v>0</v>
          </cell>
        </row>
        <row r="386">
          <cell r="B386">
            <v>10688</v>
          </cell>
          <cell r="C386">
            <v>0</v>
          </cell>
          <cell r="D386" t="str">
            <v>PHP</v>
          </cell>
          <cell r="E386">
            <v>0</v>
          </cell>
          <cell r="F386" t="str">
            <v>PC</v>
          </cell>
          <cell r="G386">
            <v>0</v>
          </cell>
        </row>
        <row r="387">
          <cell r="B387">
            <v>10723</v>
          </cell>
          <cell r="C387">
            <v>0</v>
          </cell>
          <cell r="D387" t="str">
            <v>PHP</v>
          </cell>
          <cell r="E387">
            <v>0</v>
          </cell>
          <cell r="F387" t="str">
            <v>PC</v>
          </cell>
          <cell r="G387">
            <v>0</v>
          </cell>
        </row>
        <row r="388">
          <cell r="B388">
            <v>10776</v>
          </cell>
          <cell r="C388">
            <v>50301.39</v>
          </cell>
          <cell r="D388" t="str">
            <v>PHP</v>
          </cell>
          <cell r="E388">
            <v>3</v>
          </cell>
          <cell r="F388" t="str">
            <v>DR</v>
          </cell>
          <cell r="G388">
            <v>0</v>
          </cell>
        </row>
        <row r="389">
          <cell r="B389">
            <v>10951</v>
          </cell>
          <cell r="C389">
            <v>0</v>
          </cell>
          <cell r="D389" t="str">
            <v>PHP</v>
          </cell>
          <cell r="E389">
            <v>0</v>
          </cell>
          <cell r="F389" t="str">
            <v>L</v>
          </cell>
          <cell r="G389">
            <v>0</v>
          </cell>
        </row>
        <row r="390">
          <cell r="B390">
            <v>11246</v>
          </cell>
          <cell r="C390">
            <v>0</v>
          </cell>
          <cell r="D390" t="str">
            <v>PHP</v>
          </cell>
          <cell r="E390">
            <v>0</v>
          </cell>
          <cell r="F390" t="str">
            <v>PC</v>
          </cell>
          <cell r="G390">
            <v>0</v>
          </cell>
        </row>
        <row r="391">
          <cell r="B391">
            <v>11482</v>
          </cell>
          <cell r="C391">
            <v>0</v>
          </cell>
          <cell r="D391" t="str">
            <v>PHP</v>
          </cell>
          <cell r="E391">
            <v>0</v>
          </cell>
          <cell r="F391" t="str">
            <v>PC</v>
          </cell>
          <cell r="G391">
            <v>0</v>
          </cell>
        </row>
        <row r="392">
          <cell r="B392">
            <v>11681</v>
          </cell>
          <cell r="C392">
            <v>94722.96</v>
          </cell>
          <cell r="D392" t="str">
            <v>PHP</v>
          </cell>
          <cell r="E392">
            <v>3</v>
          </cell>
          <cell r="F392" t="str">
            <v>PC</v>
          </cell>
          <cell r="G392">
            <v>0</v>
          </cell>
        </row>
        <row r="393">
          <cell r="B393">
            <v>11719</v>
          </cell>
          <cell r="C393">
            <v>10254.68</v>
          </cell>
          <cell r="D393" t="str">
            <v>PHP</v>
          </cell>
          <cell r="E393">
            <v>8</v>
          </cell>
          <cell r="F393" t="str">
            <v>PAD</v>
          </cell>
          <cell r="G393">
            <v>0</v>
          </cell>
        </row>
        <row r="394">
          <cell r="B394">
            <v>11821</v>
          </cell>
          <cell r="C394">
            <v>0</v>
          </cell>
          <cell r="D394" t="str">
            <v>PHP</v>
          </cell>
          <cell r="E394">
            <v>0</v>
          </cell>
          <cell r="F394" t="str">
            <v>TUB</v>
          </cell>
          <cell r="G394">
            <v>0</v>
          </cell>
        </row>
        <row r="395">
          <cell r="B395">
            <v>11849</v>
          </cell>
          <cell r="C395">
            <v>0</v>
          </cell>
          <cell r="D395" t="str">
            <v>PHP</v>
          </cell>
          <cell r="E395">
            <v>0</v>
          </cell>
          <cell r="F395" t="str">
            <v>PC</v>
          </cell>
          <cell r="G395">
            <v>0</v>
          </cell>
        </row>
        <row r="396">
          <cell r="B396">
            <v>11934</v>
          </cell>
          <cell r="C396">
            <v>397670.09</v>
          </cell>
          <cell r="D396" t="str">
            <v>PHP</v>
          </cell>
          <cell r="E396">
            <v>1</v>
          </cell>
          <cell r="F396" t="str">
            <v>PC</v>
          </cell>
          <cell r="G396">
            <v>0</v>
          </cell>
        </row>
        <row r="397">
          <cell r="B397">
            <v>12019</v>
          </cell>
          <cell r="C397">
            <v>0</v>
          </cell>
          <cell r="D397" t="str">
            <v>PHP</v>
          </cell>
          <cell r="E397">
            <v>0</v>
          </cell>
          <cell r="F397" t="str">
            <v>PC</v>
          </cell>
          <cell r="G397">
            <v>0</v>
          </cell>
        </row>
        <row r="398">
          <cell r="B398">
            <v>12034</v>
          </cell>
          <cell r="C398">
            <v>0</v>
          </cell>
          <cell r="D398" t="str">
            <v>PHP</v>
          </cell>
          <cell r="E398">
            <v>0</v>
          </cell>
          <cell r="F398" t="str">
            <v>PC</v>
          </cell>
          <cell r="G398">
            <v>0</v>
          </cell>
        </row>
        <row r="399">
          <cell r="B399">
            <v>12035</v>
          </cell>
          <cell r="C399">
            <v>0</v>
          </cell>
          <cell r="D399" t="str">
            <v>PHP</v>
          </cell>
          <cell r="E399">
            <v>0</v>
          </cell>
          <cell r="F399" t="str">
            <v>PC</v>
          </cell>
          <cell r="G399">
            <v>0</v>
          </cell>
        </row>
        <row r="400">
          <cell r="B400">
            <v>12146</v>
          </cell>
          <cell r="C400">
            <v>0</v>
          </cell>
          <cell r="D400" t="str">
            <v>PHP</v>
          </cell>
          <cell r="E400">
            <v>0</v>
          </cell>
          <cell r="F400" t="str">
            <v>PC</v>
          </cell>
          <cell r="G400">
            <v>0</v>
          </cell>
        </row>
        <row r="401">
          <cell r="B401">
            <v>12186</v>
          </cell>
          <cell r="C401">
            <v>0</v>
          </cell>
          <cell r="D401" t="str">
            <v>PHP</v>
          </cell>
          <cell r="E401">
            <v>0</v>
          </cell>
          <cell r="F401" t="str">
            <v>SET</v>
          </cell>
          <cell r="G401">
            <v>0</v>
          </cell>
        </row>
        <row r="402">
          <cell r="B402">
            <v>12248</v>
          </cell>
          <cell r="C402">
            <v>0</v>
          </cell>
          <cell r="D402" t="str">
            <v>PHP</v>
          </cell>
          <cell r="E402">
            <v>0</v>
          </cell>
          <cell r="F402" t="str">
            <v>ASY</v>
          </cell>
          <cell r="G402">
            <v>0</v>
          </cell>
        </row>
        <row r="403">
          <cell r="B403">
            <v>12346</v>
          </cell>
          <cell r="C403">
            <v>0</v>
          </cell>
          <cell r="D403" t="str">
            <v>PHP</v>
          </cell>
          <cell r="E403">
            <v>0</v>
          </cell>
          <cell r="F403" t="str">
            <v>PC</v>
          </cell>
          <cell r="G403">
            <v>0</v>
          </cell>
        </row>
        <row r="404">
          <cell r="B404">
            <v>12412</v>
          </cell>
          <cell r="C404">
            <v>0</v>
          </cell>
          <cell r="D404" t="str">
            <v>PHP</v>
          </cell>
          <cell r="E404">
            <v>0</v>
          </cell>
          <cell r="F404" t="str">
            <v>PC</v>
          </cell>
          <cell r="G404">
            <v>0</v>
          </cell>
        </row>
        <row r="405">
          <cell r="B405">
            <v>12635</v>
          </cell>
          <cell r="C405">
            <v>0</v>
          </cell>
          <cell r="D405" t="str">
            <v>PHP</v>
          </cell>
          <cell r="E405">
            <v>0</v>
          </cell>
          <cell r="F405" t="str">
            <v>PC</v>
          </cell>
          <cell r="G405">
            <v>0</v>
          </cell>
        </row>
        <row r="406">
          <cell r="B406">
            <v>12639</v>
          </cell>
          <cell r="C406">
            <v>370223.8</v>
          </cell>
          <cell r="D406" t="str">
            <v>PHP</v>
          </cell>
          <cell r="E406">
            <v>1</v>
          </cell>
          <cell r="F406" t="str">
            <v>PC</v>
          </cell>
          <cell r="G406">
            <v>0</v>
          </cell>
        </row>
        <row r="407">
          <cell r="B407">
            <v>13046</v>
          </cell>
          <cell r="C407">
            <v>0</v>
          </cell>
          <cell r="D407" t="str">
            <v>PHP</v>
          </cell>
          <cell r="E407">
            <v>0</v>
          </cell>
          <cell r="F407" t="str">
            <v>PC</v>
          </cell>
          <cell r="G407">
            <v>0</v>
          </cell>
        </row>
        <row r="408">
          <cell r="B408">
            <v>13465</v>
          </cell>
          <cell r="C408">
            <v>105485.83</v>
          </cell>
          <cell r="D408" t="str">
            <v>PHP</v>
          </cell>
          <cell r="E408">
            <v>2</v>
          </cell>
          <cell r="F408" t="str">
            <v>PC</v>
          </cell>
          <cell r="G408">
            <v>0</v>
          </cell>
        </row>
        <row r="409">
          <cell r="B409">
            <v>13466</v>
          </cell>
          <cell r="C409">
            <v>0</v>
          </cell>
          <cell r="D409" t="str">
            <v>PHP</v>
          </cell>
          <cell r="E409">
            <v>0</v>
          </cell>
          <cell r="F409" t="str">
            <v>PC</v>
          </cell>
          <cell r="G409">
            <v>0</v>
          </cell>
        </row>
        <row r="410">
          <cell r="B410">
            <v>13467</v>
          </cell>
          <cell r="C410">
            <v>544552.19999999995</v>
          </cell>
          <cell r="D410" t="str">
            <v>PHP</v>
          </cell>
          <cell r="E410">
            <v>27</v>
          </cell>
          <cell r="F410" t="str">
            <v>PC</v>
          </cell>
          <cell r="G410">
            <v>0</v>
          </cell>
        </row>
        <row r="411">
          <cell r="B411">
            <v>13470</v>
          </cell>
          <cell r="C411">
            <v>639731.02</v>
          </cell>
          <cell r="D411" t="str">
            <v>PHP</v>
          </cell>
          <cell r="E411">
            <v>9</v>
          </cell>
          <cell r="F411" t="str">
            <v>PC</v>
          </cell>
          <cell r="G411">
            <v>0</v>
          </cell>
        </row>
        <row r="412">
          <cell r="B412">
            <v>13472</v>
          </cell>
          <cell r="C412">
            <v>3071.38</v>
          </cell>
          <cell r="D412" t="str">
            <v>PHP</v>
          </cell>
          <cell r="E412">
            <v>1</v>
          </cell>
          <cell r="F412" t="str">
            <v>PC</v>
          </cell>
          <cell r="G412">
            <v>0</v>
          </cell>
        </row>
        <row r="413">
          <cell r="B413">
            <v>13476</v>
          </cell>
          <cell r="C413">
            <v>0</v>
          </cell>
          <cell r="D413" t="str">
            <v>PHP</v>
          </cell>
          <cell r="E413">
            <v>0</v>
          </cell>
          <cell r="F413" t="str">
            <v>PC</v>
          </cell>
          <cell r="G413">
            <v>0</v>
          </cell>
        </row>
        <row r="414">
          <cell r="B414">
            <v>13489</v>
          </cell>
          <cell r="C414">
            <v>0</v>
          </cell>
          <cell r="D414" t="str">
            <v>PHP</v>
          </cell>
          <cell r="E414">
            <v>0</v>
          </cell>
          <cell r="F414" t="str">
            <v>PC</v>
          </cell>
          <cell r="G414">
            <v>0</v>
          </cell>
        </row>
        <row r="415">
          <cell r="B415">
            <v>13491</v>
          </cell>
          <cell r="C415">
            <v>99927.26</v>
          </cell>
          <cell r="D415" t="str">
            <v>PHP</v>
          </cell>
          <cell r="E415">
            <v>2</v>
          </cell>
          <cell r="F415" t="str">
            <v>PC</v>
          </cell>
          <cell r="G415">
            <v>0</v>
          </cell>
        </row>
        <row r="416">
          <cell r="B416">
            <v>13859</v>
          </cell>
          <cell r="C416">
            <v>0</v>
          </cell>
          <cell r="D416" t="str">
            <v>PHP</v>
          </cell>
          <cell r="E416">
            <v>0</v>
          </cell>
          <cell r="F416" t="str">
            <v>ASY</v>
          </cell>
          <cell r="G416">
            <v>0</v>
          </cell>
        </row>
        <row r="417">
          <cell r="B417">
            <v>13860</v>
          </cell>
          <cell r="C417">
            <v>1502212.72</v>
          </cell>
          <cell r="D417" t="str">
            <v>PHP</v>
          </cell>
          <cell r="E417">
            <v>1</v>
          </cell>
          <cell r="F417" t="str">
            <v>ASY</v>
          </cell>
          <cell r="G417">
            <v>0</v>
          </cell>
        </row>
        <row r="418">
          <cell r="B418">
            <v>13909</v>
          </cell>
          <cell r="C418">
            <v>6793.94</v>
          </cell>
          <cell r="D418" t="str">
            <v>PHP</v>
          </cell>
          <cell r="E418">
            <v>2</v>
          </cell>
          <cell r="F418" t="str">
            <v>PC</v>
          </cell>
          <cell r="G418">
            <v>0</v>
          </cell>
        </row>
        <row r="419">
          <cell r="B419">
            <v>13918</v>
          </cell>
          <cell r="C419">
            <v>2553.16</v>
          </cell>
          <cell r="D419" t="str">
            <v>PHP</v>
          </cell>
          <cell r="E419">
            <v>1</v>
          </cell>
          <cell r="F419" t="str">
            <v>PC</v>
          </cell>
          <cell r="G419">
            <v>0</v>
          </cell>
        </row>
        <row r="420">
          <cell r="B420">
            <v>13940</v>
          </cell>
          <cell r="C420">
            <v>0</v>
          </cell>
          <cell r="D420" t="str">
            <v>PHP</v>
          </cell>
          <cell r="E420">
            <v>0</v>
          </cell>
          <cell r="F420" t="str">
            <v>PC</v>
          </cell>
          <cell r="G420">
            <v>0</v>
          </cell>
        </row>
        <row r="421">
          <cell r="B421">
            <v>13942</v>
          </cell>
          <cell r="C421">
            <v>0</v>
          </cell>
          <cell r="D421" t="str">
            <v>PHP</v>
          </cell>
          <cell r="E421">
            <v>0</v>
          </cell>
          <cell r="F421" t="str">
            <v>PC</v>
          </cell>
          <cell r="G421">
            <v>0</v>
          </cell>
        </row>
        <row r="422">
          <cell r="B422">
            <v>13944</v>
          </cell>
          <cell r="C422">
            <v>7948609.0899999999</v>
          </cell>
          <cell r="D422" t="str">
            <v>PHP</v>
          </cell>
          <cell r="E422">
            <v>4</v>
          </cell>
          <cell r="F422" t="str">
            <v>PC</v>
          </cell>
          <cell r="G422">
            <v>0</v>
          </cell>
        </row>
        <row r="423">
          <cell r="B423">
            <v>13945</v>
          </cell>
          <cell r="C423">
            <v>0</v>
          </cell>
          <cell r="D423" t="str">
            <v>PHP</v>
          </cell>
          <cell r="E423">
            <v>0</v>
          </cell>
          <cell r="F423" t="str">
            <v>PC</v>
          </cell>
          <cell r="G423">
            <v>0</v>
          </cell>
        </row>
        <row r="424">
          <cell r="B424">
            <v>13946</v>
          </cell>
          <cell r="C424">
            <v>669715.12</v>
          </cell>
          <cell r="D424" t="str">
            <v>PHP</v>
          </cell>
          <cell r="E424">
            <v>2</v>
          </cell>
          <cell r="F424" t="str">
            <v>PC</v>
          </cell>
          <cell r="G424">
            <v>0</v>
          </cell>
        </row>
        <row r="425">
          <cell r="B425">
            <v>13948</v>
          </cell>
          <cell r="C425">
            <v>0</v>
          </cell>
          <cell r="D425" t="str">
            <v>PHP</v>
          </cell>
          <cell r="E425">
            <v>0</v>
          </cell>
          <cell r="F425" t="str">
            <v>PC</v>
          </cell>
          <cell r="G425">
            <v>0</v>
          </cell>
        </row>
        <row r="426">
          <cell r="B426">
            <v>13949</v>
          </cell>
          <cell r="C426">
            <v>3802283.33</v>
          </cell>
          <cell r="D426" t="str">
            <v>PHP</v>
          </cell>
          <cell r="E426">
            <v>2</v>
          </cell>
          <cell r="F426" t="str">
            <v>PC</v>
          </cell>
          <cell r="G426">
            <v>0</v>
          </cell>
        </row>
        <row r="427">
          <cell r="B427">
            <v>13950</v>
          </cell>
          <cell r="C427">
            <v>0</v>
          </cell>
          <cell r="D427" t="str">
            <v>PHP</v>
          </cell>
          <cell r="E427">
            <v>0</v>
          </cell>
          <cell r="F427" t="str">
            <v>PC</v>
          </cell>
          <cell r="G427">
            <v>0</v>
          </cell>
        </row>
        <row r="428">
          <cell r="B428">
            <v>13951</v>
          </cell>
          <cell r="C428">
            <v>3305103.81</v>
          </cell>
          <cell r="D428" t="str">
            <v>PHP</v>
          </cell>
          <cell r="E428">
            <v>5</v>
          </cell>
          <cell r="F428" t="str">
            <v>PC</v>
          </cell>
          <cell r="G428">
            <v>0</v>
          </cell>
        </row>
        <row r="429">
          <cell r="B429">
            <v>13952</v>
          </cell>
          <cell r="C429">
            <v>671510.73</v>
          </cell>
          <cell r="D429" t="str">
            <v>PHP</v>
          </cell>
          <cell r="E429">
            <v>1</v>
          </cell>
          <cell r="F429" t="str">
            <v>PC</v>
          </cell>
          <cell r="G429">
            <v>0</v>
          </cell>
        </row>
        <row r="430">
          <cell r="B430">
            <v>13955</v>
          </cell>
          <cell r="C430">
            <v>1234428.72</v>
          </cell>
          <cell r="D430" t="str">
            <v>PHP</v>
          </cell>
          <cell r="E430">
            <v>1</v>
          </cell>
          <cell r="F430" t="str">
            <v>PC</v>
          </cell>
          <cell r="G430">
            <v>0</v>
          </cell>
        </row>
        <row r="431">
          <cell r="B431">
            <v>13957</v>
          </cell>
          <cell r="C431">
            <v>5489528.5700000003</v>
          </cell>
          <cell r="D431" t="str">
            <v>PHP</v>
          </cell>
          <cell r="E431">
            <v>4</v>
          </cell>
          <cell r="F431" t="str">
            <v>PC</v>
          </cell>
          <cell r="G431">
            <v>0</v>
          </cell>
        </row>
        <row r="432">
          <cell r="B432">
            <v>13958</v>
          </cell>
          <cell r="C432">
            <v>2128432.06</v>
          </cell>
          <cell r="D432" t="str">
            <v>PHP</v>
          </cell>
          <cell r="E432">
            <v>7</v>
          </cell>
          <cell r="F432" t="str">
            <v>PC</v>
          </cell>
          <cell r="G432">
            <v>0</v>
          </cell>
        </row>
        <row r="433">
          <cell r="B433">
            <v>13959</v>
          </cell>
          <cell r="C433">
            <v>1472754.55</v>
          </cell>
          <cell r="D433" t="str">
            <v>PHP</v>
          </cell>
          <cell r="E433">
            <v>5</v>
          </cell>
          <cell r="F433" t="str">
            <v>PC</v>
          </cell>
          <cell r="G433">
            <v>0</v>
          </cell>
        </row>
        <row r="434">
          <cell r="B434">
            <v>13960</v>
          </cell>
          <cell r="C434">
            <v>0</v>
          </cell>
          <cell r="D434" t="str">
            <v>PHP</v>
          </cell>
          <cell r="E434">
            <v>0</v>
          </cell>
          <cell r="F434" t="str">
            <v>PC</v>
          </cell>
          <cell r="G434">
            <v>0</v>
          </cell>
        </row>
        <row r="435">
          <cell r="B435">
            <v>13961</v>
          </cell>
          <cell r="C435">
            <v>650154.06999999995</v>
          </cell>
          <cell r="D435" t="str">
            <v>PHP</v>
          </cell>
          <cell r="E435">
            <v>2</v>
          </cell>
          <cell r="F435" t="str">
            <v>PC</v>
          </cell>
          <cell r="G435">
            <v>0</v>
          </cell>
        </row>
        <row r="436">
          <cell r="B436">
            <v>13963</v>
          </cell>
          <cell r="C436">
            <v>4283401.0199999996</v>
          </cell>
          <cell r="D436" t="str">
            <v>PHP</v>
          </cell>
          <cell r="E436">
            <v>3</v>
          </cell>
          <cell r="F436" t="str">
            <v>PC</v>
          </cell>
          <cell r="G436">
            <v>0</v>
          </cell>
        </row>
        <row r="437">
          <cell r="B437">
            <v>13964</v>
          </cell>
          <cell r="C437">
            <v>0</v>
          </cell>
          <cell r="D437" t="str">
            <v>PHP</v>
          </cell>
          <cell r="E437">
            <v>0</v>
          </cell>
          <cell r="F437" t="str">
            <v>PC</v>
          </cell>
          <cell r="G437">
            <v>0</v>
          </cell>
        </row>
        <row r="438">
          <cell r="B438">
            <v>13966</v>
          </cell>
          <cell r="C438">
            <v>0</v>
          </cell>
          <cell r="D438" t="str">
            <v>PHP</v>
          </cell>
          <cell r="E438">
            <v>0</v>
          </cell>
          <cell r="F438" t="str">
            <v>PC</v>
          </cell>
          <cell r="G438">
            <v>0</v>
          </cell>
        </row>
        <row r="439">
          <cell r="B439">
            <v>13969</v>
          </cell>
          <cell r="C439">
            <v>0</v>
          </cell>
          <cell r="D439" t="str">
            <v>PHP</v>
          </cell>
          <cell r="E439">
            <v>0</v>
          </cell>
          <cell r="F439" t="str">
            <v>PC</v>
          </cell>
          <cell r="G439">
            <v>0</v>
          </cell>
        </row>
        <row r="440">
          <cell r="B440">
            <v>13971</v>
          </cell>
          <cell r="C440">
            <v>562838.02</v>
          </cell>
          <cell r="D440" t="str">
            <v>PHP</v>
          </cell>
          <cell r="E440">
            <v>2</v>
          </cell>
          <cell r="F440" t="str">
            <v>PC</v>
          </cell>
          <cell r="G440">
            <v>0</v>
          </cell>
        </row>
        <row r="441">
          <cell r="B441">
            <v>13975</v>
          </cell>
          <cell r="C441">
            <v>1501068.31</v>
          </cell>
          <cell r="D441" t="str">
            <v>PHP</v>
          </cell>
          <cell r="E441">
            <v>1</v>
          </cell>
          <cell r="F441" t="str">
            <v>PC</v>
          </cell>
          <cell r="G441">
            <v>0</v>
          </cell>
        </row>
        <row r="442">
          <cell r="B442">
            <v>14002</v>
          </cell>
          <cell r="C442">
            <v>7909.27</v>
          </cell>
          <cell r="D442" t="str">
            <v>PHP</v>
          </cell>
          <cell r="E442">
            <v>1</v>
          </cell>
          <cell r="F442" t="str">
            <v>ROL</v>
          </cell>
          <cell r="G442">
            <v>0</v>
          </cell>
        </row>
        <row r="443">
          <cell r="B443">
            <v>14005</v>
          </cell>
          <cell r="C443">
            <v>3600</v>
          </cell>
          <cell r="D443" t="str">
            <v>PHP</v>
          </cell>
          <cell r="E443">
            <v>1</v>
          </cell>
          <cell r="F443" t="str">
            <v>ROL</v>
          </cell>
          <cell r="G443">
            <v>0</v>
          </cell>
        </row>
        <row r="444">
          <cell r="B444">
            <v>14018</v>
          </cell>
          <cell r="C444">
            <v>1685625</v>
          </cell>
          <cell r="D444" t="str">
            <v>PHP</v>
          </cell>
          <cell r="E444">
            <v>1</v>
          </cell>
          <cell r="F444" t="str">
            <v>LEN</v>
          </cell>
          <cell r="G444">
            <v>0</v>
          </cell>
        </row>
        <row r="445">
          <cell r="B445">
            <v>14019</v>
          </cell>
          <cell r="C445">
            <v>0</v>
          </cell>
          <cell r="D445" t="str">
            <v>PHP</v>
          </cell>
          <cell r="E445">
            <v>0</v>
          </cell>
          <cell r="F445" t="str">
            <v>FT</v>
          </cell>
          <cell r="G445">
            <v>0</v>
          </cell>
        </row>
        <row r="446">
          <cell r="B446">
            <v>14049</v>
          </cell>
          <cell r="C446">
            <v>0</v>
          </cell>
          <cell r="D446" t="str">
            <v>PHP</v>
          </cell>
          <cell r="E446">
            <v>0</v>
          </cell>
          <cell r="F446" t="str">
            <v>PC</v>
          </cell>
          <cell r="G446">
            <v>0</v>
          </cell>
        </row>
        <row r="447">
          <cell r="B447">
            <v>14051</v>
          </cell>
          <cell r="C447">
            <v>0</v>
          </cell>
          <cell r="D447" t="str">
            <v>PHP</v>
          </cell>
          <cell r="E447">
            <v>0</v>
          </cell>
          <cell r="F447" t="str">
            <v>PC</v>
          </cell>
          <cell r="G447">
            <v>0</v>
          </cell>
        </row>
        <row r="448">
          <cell r="B448">
            <v>14052</v>
          </cell>
          <cell r="C448">
            <v>0</v>
          </cell>
          <cell r="D448" t="str">
            <v>PHP</v>
          </cell>
          <cell r="E448">
            <v>0</v>
          </cell>
          <cell r="F448" t="str">
            <v>PC</v>
          </cell>
          <cell r="G448">
            <v>0</v>
          </cell>
        </row>
        <row r="449">
          <cell r="B449">
            <v>14132</v>
          </cell>
          <cell r="C449">
            <v>0</v>
          </cell>
          <cell r="D449" t="str">
            <v>PHP</v>
          </cell>
          <cell r="E449">
            <v>0</v>
          </cell>
          <cell r="F449" t="str">
            <v>PC</v>
          </cell>
          <cell r="G449">
            <v>0</v>
          </cell>
        </row>
        <row r="450">
          <cell r="B450">
            <v>14326</v>
          </cell>
          <cell r="C450">
            <v>123595.56</v>
          </cell>
          <cell r="D450" t="str">
            <v>PHP</v>
          </cell>
          <cell r="E450">
            <v>1</v>
          </cell>
          <cell r="F450" t="str">
            <v>PC</v>
          </cell>
          <cell r="G450">
            <v>0</v>
          </cell>
        </row>
        <row r="451">
          <cell r="B451">
            <v>14327</v>
          </cell>
          <cell r="C451">
            <v>0</v>
          </cell>
          <cell r="D451" t="str">
            <v>PHP</v>
          </cell>
          <cell r="E451">
            <v>0</v>
          </cell>
          <cell r="F451" t="str">
            <v>PC</v>
          </cell>
          <cell r="G451">
            <v>0</v>
          </cell>
        </row>
        <row r="452">
          <cell r="B452">
            <v>14328</v>
          </cell>
          <cell r="C452">
            <v>0</v>
          </cell>
          <cell r="D452" t="str">
            <v>PHP</v>
          </cell>
          <cell r="E452">
            <v>0</v>
          </cell>
          <cell r="F452" t="str">
            <v>PC</v>
          </cell>
          <cell r="G452">
            <v>0</v>
          </cell>
        </row>
        <row r="453">
          <cell r="B453">
            <v>14329</v>
          </cell>
          <cell r="C453">
            <v>0</v>
          </cell>
          <cell r="D453" t="str">
            <v>PHP</v>
          </cell>
          <cell r="E453">
            <v>0</v>
          </cell>
          <cell r="F453" t="str">
            <v>PC</v>
          </cell>
          <cell r="G453">
            <v>0</v>
          </cell>
        </row>
        <row r="454">
          <cell r="B454">
            <v>14331</v>
          </cell>
          <cell r="C454">
            <v>54077.599999999999</v>
          </cell>
          <cell r="D454" t="str">
            <v>PHP</v>
          </cell>
          <cell r="E454">
            <v>2</v>
          </cell>
          <cell r="F454" t="str">
            <v>PC</v>
          </cell>
          <cell r="G454">
            <v>0</v>
          </cell>
        </row>
        <row r="455">
          <cell r="B455">
            <v>14332</v>
          </cell>
          <cell r="C455">
            <v>0</v>
          </cell>
          <cell r="D455" t="str">
            <v>PHP</v>
          </cell>
          <cell r="E455">
            <v>0</v>
          </cell>
          <cell r="F455" t="str">
            <v>PC</v>
          </cell>
          <cell r="G455">
            <v>0</v>
          </cell>
        </row>
        <row r="456">
          <cell r="B456">
            <v>14333</v>
          </cell>
          <cell r="C456">
            <v>133293.10999999999</v>
          </cell>
          <cell r="D456" t="str">
            <v>PHP</v>
          </cell>
          <cell r="E456">
            <v>1</v>
          </cell>
          <cell r="F456" t="str">
            <v>PC</v>
          </cell>
          <cell r="G456">
            <v>0</v>
          </cell>
        </row>
        <row r="457">
          <cell r="B457">
            <v>14335</v>
          </cell>
          <cell r="C457">
            <v>45135.35</v>
          </cell>
          <cell r="D457" t="str">
            <v>PHP</v>
          </cell>
          <cell r="E457">
            <v>1</v>
          </cell>
          <cell r="F457" t="str">
            <v>PC</v>
          </cell>
          <cell r="G457">
            <v>0</v>
          </cell>
        </row>
        <row r="458">
          <cell r="B458">
            <v>14377</v>
          </cell>
          <cell r="C458">
            <v>38644.86</v>
          </cell>
          <cell r="D458" t="str">
            <v>PHP</v>
          </cell>
          <cell r="E458">
            <v>1</v>
          </cell>
          <cell r="F458" t="str">
            <v>PC</v>
          </cell>
          <cell r="G458">
            <v>0</v>
          </cell>
        </row>
        <row r="459">
          <cell r="B459">
            <v>14399</v>
          </cell>
          <cell r="C459">
            <v>456595.58</v>
          </cell>
          <cell r="D459" t="str">
            <v>PHP</v>
          </cell>
          <cell r="E459">
            <v>7</v>
          </cell>
          <cell r="F459" t="str">
            <v>PC</v>
          </cell>
          <cell r="G459">
            <v>0</v>
          </cell>
        </row>
        <row r="460">
          <cell r="B460">
            <v>14401</v>
          </cell>
          <cell r="C460">
            <v>46685.67</v>
          </cell>
          <cell r="D460" t="str">
            <v>PHP</v>
          </cell>
          <cell r="E460">
            <v>1</v>
          </cell>
          <cell r="F460" t="str">
            <v>PC</v>
          </cell>
          <cell r="G460">
            <v>0</v>
          </cell>
        </row>
        <row r="461">
          <cell r="B461">
            <v>14518</v>
          </cell>
          <cell r="C461">
            <v>0</v>
          </cell>
          <cell r="D461" t="str">
            <v>PHP</v>
          </cell>
          <cell r="E461">
            <v>0</v>
          </cell>
          <cell r="F461" t="str">
            <v>BAG</v>
          </cell>
          <cell r="G461">
            <v>0</v>
          </cell>
        </row>
        <row r="462">
          <cell r="B462">
            <v>14607</v>
          </cell>
          <cell r="C462">
            <v>0</v>
          </cell>
          <cell r="D462" t="str">
            <v>PHP</v>
          </cell>
          <cell r="E462">
            <v>0</v>
          </cell>
          <cell r="F462" t="str">
            <v>PC</v>
          </cell>
          <cell r="G462">
            <v>0</v>
          </cell>
        </row>
        <row r="463">
          <cell r="B463">
            <v>14640</v>
          </cell>
          <cell r="C463">
            <v>0</v>
          </cell>
          <cell r="D463" t="str">
            <v>PHP</v>
          </cell>
          <cell r="E463">
            <v>0</v>
          </cell>
          <cell r="F463" t="str">
            <v>PC</v>
          </cell>
          <cell r="G463">
            <v>0</v>
          </cell>
        </row>
        <row r="464">
          <cell r="B464">
            <v>14673</v>
          </cell>
          <cell r="C464">
            <v>199695.75</v>
          </cell>
          <cell r="D464" t="str">
            <v>PHP</v>
          </cell>
          <cell r="E464">
            <v>1</v>
          </cell>
          <cell r="F464" t="str">
            <v>ASY</v>
          </cell>
          <cell r="G464">
            <v>0</v>
          </cell>
        </row>
        <row r="465">
          <cell r="B465">
            <v>14675</v>
          </cell>
          <cell r="C465">
            <v>341657.2</v>
          </cell>
          <cell r="D465" t="str">
            <v>PHP</v>
          </cell>
          <cell r="E465">
            <v>2</v>
          </cell>
          <cell r="F465" t="str">
            <v>PC</v>
          </cell>
          <cell r="G465">
            <v>0</v>
          </cell>
        </row>
        <row r="466">
          <cell r="B466">
            <v>14812</v>
          </cell>
          <cell r="C466">
            <v>0</v>
          </cell>
          <cell r="D466" t="str">
            <v>PHP</v>
          </cell>
          <cell r="E466">
            <v>0</v>
          </cell>
          <cell r="F466" t="str">
            <v>SET</v>
          </cell>
          <cell r="G466">
            <v>0</v>
          </cell>
        </row>
        <row r="467">
          <cell r="B467">
            <v>14991</v>
          </cell>
          <cell r="C467">
            <v>0</v>
          </cell>
          <cell r="D467" t="str">
            <v>PHP</v>
          </cell>
          <cell r="E467">
            <v>0</v>
          </cell>
          <cell r="F467" t="str">
            <v>PC</v>
          </cell>
          <cell r="G467">
            <v>0</v>
          </cell>
        </row>
        <row r="468">
          <cell r="B468">
            <v>14993</v>
          </cell>
          <cell r="C468">
            <v>0</v>
          </cell>
          <cell r="D468" t="str">
            <v>PHP</v>
          </cell>
          <cell r="E468">
            <v>0</v>
          </cell>
          <cell r="F468" t="str">
            <v>PC</v>
          </cell>
          <cell r="G468">
            <v>0</v>
          </cell>
        </row>
        <row r="469">
          <cell r="B469">
            <v>15174</v>
          </cell>
          <cell r="C469">
            <v>0</v>
          </cell>
          <cell r="D469" t="str">
            <v>PHP</v>
          </cell>
          <cell r="E469">
            <v>0</v>
          </cell>
          <cell r="F469" t="str">
            <v>SET</v>
          </cell>
          <cell r="G469">
            <v>0</v>
          </cell>
        </row>
        <row r="470">
          <cell r="B470">
            <v>15176</v>
          </cell>
          <cell r="C470">
            <v>0</v>
          </cell>
          <cell r="D470" t="str">
            <v>PHP</v>
          </cell>
          <cell r="E470">
            <v>0</v>
          </cell>
          <cell r="F470" t="str">
            <v>PC</v>
          </cell>
          <cell r="G470">
            <v>0</v>
          </cell>
        </row>
        <row r="471">
          <cell r="B471">
            <v>15356</v>
          </cell>
          <cell r="C471">
            <v>0</v>
          </cell>
          <cell r="D471" t="str">
            <v>PHP</v>
          </cell>
          <cell r="E471">
            <v>0</v>
          </cell>
          <cell r="F471" t="str">
            <v>PC</v>
          </cell>
          <cell r="G471">
            <v>0</v>
          </cell>
        </row>
        <row r="472">
          <cell r="B472">
            <v>15360</v>
          </cell>
          <cell r="C472">
            <v>0</v>
          </cell>
          <cell r="D472" t="str">
            <v>PHP</v>
          </cell>
          <cell r="E472">
            <v>0</v>
          </cell>
          <cell r="F472" t="str">
            <v>PC</v>
          </cell>
          <cell r="G472">
            <v>0</v>
          </cell>
        </row>
        <row r="473">
          <cell r="B473">
            <v>15407</v>
          </cell>
          <cell r="C473">
            <v>0</v>
          </cell>
          <cell r="D473" t="str">
            <v>PHP</v>
          </cell>
          <cell r="E473">
            <v>0</v>
          </cell>
          <cell r="F473" t="str">
            <v>LEN</v>
          </cell>
          <cell r="G473">
            <v>0</v>
          </cell>
        </row>
        <row r="474">
          <cell r="B474">
            <v>15450</v>
          </cell>
          <cell r="C474">
            <v>0</v>
          </cell>
          <cell r="D474" t="str">
            <v>PHP</v>
          </cell>
          <cell r="E474">
            <v>0</v>
          </cell>
          <cell r="F474" t="str">
            <v>PC</v>
          </cell>
          <cell r="G474">
            <v>0</v>
          </cell>
        </row>
        <row r="475">
          <cell r="B475">
            <v>15461</v>
          </cell>
          <cell r="C475">
            <v>0</v>
          </cell>
          <cell r="D475" t="str">
            <v>PHP</v>
          </cell>
          <cell r="E475">
            <v>0</v>
          </cell>
          <cell r="F475" t="str">
            <v>PC</v>
          </cell>
          <cell r="G475">
            <v>0</v>
          </cell>
        </row>
        <row r="476">
          <cell r="B476">
            <v>15514</v>
          </cell>
          <cell r="C476">
            <v>0</v>
          </cell>
          <cell r="D476" t="str">
            <v>PHP</v>
          </cell>
          <cell r="E476">
            <v>0</v>
          </cell>
          <cell r="F476" t="str">
            <v>PC</v>
          </cell>
          <cell r="G476">
            <v>0</v>
          </cell>
        </row>
        <row r="477">
          <cell r="B477">
            <v>15515</v>
          </cell>
          <cell r="C477">
            <v>0</v>
          </cell>
          <cell r="D477" t="str">
            <v>PHP</v>
          </cell>
          <cell r="E477">
            <v>0</v>
          </cell>
          <cell r="F477" t="str">
            <v>PC</v>
          </cell>
          <cell r="G477">
            <v>0</v>
          </cell>
        </row>
        <row r="478">
          <cell r="B478">
            <v>15617</v>
          </cell>
          <cell r="C478">
            <v>8444</v>
          </cell>
          <cell r="D478" t="str">
            <v>PHP</v>
          </cell>
          <cell r="E478">
            <v>1</v>
          </cell>
          <cell r="F478" t="str">
            <v>PC</v>
          </cell>
          <cell r="G478">
            <v>0</v>
          </cell>
        </row>
        <row r="479">
          <cell r="B479">
            <v>15618</v>
          </cell>
          <cell r="C479">
            <v>0</v>
          </cell>
          <cell r="D479" t="str">
            <v>PHP</v>
          </cell>
          <cell r="E479">
            <v>0</v>
          </cell>
          <cell r="F479" t="str">
            <v>PC</v>
          </cell>
          <cell r="G479">
            <v>0</v>
          </cell>
        </row>
        <row r="480">
          <cell r="B480">
            <v>15655</v>
          </cell>
          <cell r="C480">
            <v>0</v>
          </cell>
          <cell r="D480" t="str">
            <v>PHP</v>
          </cell>
          <cell r="E480">
            <v>0</v>
          </cell>
          <cell r="F480" t="str">
            <v>PC</v>
          </cell>
          <cell r="G480">
            <v>0</v>
          </cell>
        </row>
        <row r="481">
          <cell r="B481">
            <v>15704</v>
          </cell>
          <cell r="C481">
            <v>0</v>
          </cell>
          <cell r="D481" t="str">
            <v>PHP</v>
          </cell>
          <cell r="E481">
            <v>0</v>
          </cell>
          <cell r="F481" t="str">
            <v>PC</v>
          </cell>
          <cell r="G481">
            <v>0</v>
          </cell>
        </row>
        <row r="482">
          <cell r="B482">
            <v>15880</v>
          </cell>
          <cell r="C482">
            <v>0</v>
          </cell>
          <cell r="D482" t="str">
            <v>PHP</v>
          </cell>
          <cell r="E482">
            <v>0</v>
          </cell>
          <cell r="F482" t="str">
            <v>PC</v>
          </cell>
          <cell r="G482">
            <v>0</v>
          </cell>
        </row>
        <row r="483">
          <cell r="B483">
            <v>16080</v>
          </cell>
          <cell r="C483">
            <v>0</v>
          </cell>
          <cell r="D483" t="str">
            <v>PHP</v>
          </cell>
          <cell r="E483">
            <v>0</v>
          </cell>
          <cell r="F483" t="str">
            <v>PC</v>
          </cell>
          <cell r="G483">
            <v>0</v>
          </cell>
        </row>
        <row r="484">
          <cell r="B484">
            <v>16100</v>
          </cell>
          <cell r="C484">
            <v>0</v>
          </cell>
          <cell r="D484" t="str">
            <v>PHP</v>
          </cell>
          <cell r="E484">
            <v>0</v>
          </cell>
          <cell r="F484" t="str">
            <v>FT</v>
          </cell>
          <cell r="G484">
            <v>0</v>
          </cell>
        </row>
        <row r="485">
          <cell r="B485">
            <v>29866</v>
          </cell>
          <cell r="C485">
            <v>0</v>
          </cell>
          <cell r="D485" t="str">
            <v>PHP</v>
          </cell>
          <cell r="E485">
            <v>0</v>
          </cell>
          <cell r="F485" t="str">
            <v>FT</v>
          </cell>
          <cell r="G485">
            <v>0</v>
          </cell>
        </row>
        <row r="486">
          <cell r="B486">
            <v>29867</v>
          </cell>
          <cell r="C486">
            <v>588668.64</v>
          </cell>
          <cell r="D486" t="str">
            <v>PHP</v>
          </cell>
          <cell r="E486">
            <v>4</v>
          </cell>
          <cell r="F486" t="str">
            <v>PC</v>
          </cell>
          <cell r="G486">
            <v>0</v>
          </cell>
        </row>
        <row r="487">
          <cell r="B487">
            <v>29874</v>
          </cell>
          <cell r="C487">
            <v>24662.720000000001</v>
          </cell>
          <cell r="D487" t="str">
            <v>PHP</v>
          </cell>
          <cell r="E487">
            <v>17</v>
          </cell>
          <cell r="F487" t="str">
            <v>SET</v>
          </cell>
          <cell r="G487">
            <v>0</v>
          </cell>
        </row>
        <row r="488">
          <cell r="B488">
            <v>29875</v>
          </cell>
          <cell r="C488">
            <v>91261.08</v>
          </cell>
          <cell r="D488" t="str">
            <v>PHP</v>
          </cell>
          <cell r="E488">
            <v>81</v>
          </cell>
          <cell r="F488" t="str">
            <v>PC</v>
          </cell>
          <cell r="G488">
            <v>0</v>
          </cell>
        </row>
        <row r="489">
          <cell r="B489">
            <v>29877</v>
          </cell>
          <cell r="C489">
            <v>0</v>
          </cell>
          <cell r="D489" t="str">
            <v>PHP</v>
          </cell>
          <cell r="E489">
            <v>0</v>
          </cell>
          <cell r="F489" t="str">
            <v>KG</v>
          </cell>
          <cell r="G489">
            <v>0</v>
          </cell>
        </row>
        <row r="490">
          <cell r="B490">
            <v>29878</v>
          </cell>
          <cell r="C490">
            <v>51530.400000000001</v>
          </cell>
          <cell r="D490" t="str">
            <v>PHP</v>
          </cell>
          <cell r="E490">
            <v>68</v>
          </cell>
          <cell r="F490" t="str">
            <v>SET</v>
          </cell>
          <cell r="G490">
            <v>0</v>
          </cell>
        </row>
        <row r="491">
          <cell r="B491">
            <v>29879</v>
          </cell>
          <cell r="C491">
            <v>234610.2</v>
          </cell>
          <cell r="D491" t="str">
            <v>PHP</v>
          </cell>
          <cell r="E491">
            <v>5</v>
          </cell>
          <cell r="F491" t="str">
            <v>PC</v>
          </cell>
          <cell r="G491">
            <v>0</v>
          </cell>
        </row>
        <row r="492">
          <cell r="B492">
            <v>29886</v>
          </cell>
          <cell r="C492">
            <v>7860.65</v>
          </cell>
          <cell r="D492" t="str">
            <v>PHP</v>
          </cell>
          <cell r="E492">
            <v>5</v>
          </cell>
          <cell r="F492" t="str">
            <v>SET</v>
          </cell>
          <cell r="G492">
            <v>0</v>
          </cell>
        </row>
        <row r="493">
          <cell r="B493">
            <v>29888</v>
          </cell>
          <cell r="C493">
            <v>0</v>
          </cell>
          <cell r="D493" t="str">
            <v>PHP</v>
          </cell>
          <cell r="E493">
            <v>0</v>
          </cell>
          <cell r="F493" t="str">
            <v>PC</v>
          </cell>
          <cell r="G493">
            <v>0</v>
          </cell>
        </row>
        <row r="494">
          <cell r="B494">
            <v>29890</v>
          </cell>
          <cell r="C494">
            <v>17443.47</v>
          </cell>
          <cell r="D494" t="str">
            <v>PHP</v>
          </cell>
          <cell r="E494">
            <v>4</v>
          </cell>
          <cell r="F494" t="str">
            <v>PC</v>
          </cell>
          <cell r="G494">
            <v>0</v>
          </cell>
        </row>
        <row r="495">
          <cell r="B495">
            <v>29892</v>
          </cell>
          <cell r="C495">
            <v>113468.4</v>
          </cell>
          <cell r="D495" t="str">
            <v>PHP</v>
          </cell>
          <cell r="E495">
            <v>3</v>
          </cell>
          <cell r="F495" t="str">
            <v>PC</v>
          </cell>
          <cell r="G495">
            <v>0</v>
          </cell>
        </row>
        <row r="496">
          <cell r="B496">
            <v>29893</v>
          </cell>
          <cell r="C496">
            <v>45317.75</v>
          </cell>
          <cell r="D496" t="str">
            <v>PHP</v>
          </cell>
          <cell r="E496">
            <v>5</v>
          </cell>
          <cell r="F496" t="str">
            <v>DR</v>
          </cell>
          <cell r="G496">
            <v>0</v>
          </cell>
        </row>
        <row r="497">
          <cell r="B497">
            <v>29899</v>
          </cell>
          <cell r="C497">
            <v>0</v>
          </cell>
          <cell r="D497" t="str">
            <v>PHP</v>
          </cell>
          <cell r="E497">
            <v>0</v>
          </cell>
          <cell r="F497" t="str">
            <v>PC</v>
          </cell>
          <cell r="G497">
            <v>0</v>
          </cell>
        </row>
        <row r="498">
          <cell r="B498">
            <v>29900</v>
          </cell>
          <cell r="C498">
            <v>3914.26</v>
          </cell>
          <cell r="D498" t="str">
            <v>PHP</v>
          </cell>
          <cell r="E498">
            <v>1</v>
          </cell>
          <cell r="F498" t="str">
            <v>PC</v>
          </cell>
          <cell r="G498">
            <v>0</v>
          </cell>
        </row>
        <row r="499">
          <cell r="B499">
            <v>29920</v>
          </cell>
          <cell r="C499">
            <v>0</v>
          </cell>
          <cell r="D499" t="str">
            <v>PHP</v>
          </cell>
          <cell r="E499">
            <v>0</v>
          </cell>
          <cell r="F499" t="str">
            <v>PC</v>
          </cell>
          <cell r="G499">
            <v>0</v>
          </cell>
        </row>
        <row r="500">
          <cell r="B500">
            <v>29921</v>
          </cell>
          <cell r="C500">
            <v>20700</v>
          </cell>
          <cell r="D500" t="str">
            <v>PHP</v>
          </cell>
          <cell r="E500">
            <v>30</v>
          </cell>
          <cell r="F500" t="str">
            <v>PC</v>
          </cell>
          <cell r="G500">
            <v>0</v>
          </cell>
        </row>
        <row r="501">
          <cell r="B501">
            <v>29923</v>
          </cell>
          <cell r="C501">
            <v>24093.93</v>
          </cell>
          <cell r="D501" t="str">
            <v>PHP</v>
          </cell>
          <cell r="E501">
            <v>3</v>
          </cell>
          <cell r="F501" t="str">
            <v>PC</v>
          </cell>
          <cell r="G501">
            <v>0</v>
          </cell>
        </row>
        <row r="502">
          <cell r="B502">
            <v>29925</v>
          </cell>
          <cell r="C502">
            <v>0</v>
          </cell>
          <cell r="D502" t="str">
            <v>PHP</v>
          </cell>
          <cell r="E502">
            <v>0</v>
          </cell>
          <cell r="F502" t="str">
            <v>L</v>
          </cell>
          <cell r="G502">
            <v>0</v>
          </cell>
        </row>
        <row r="503">
          <cell r="B503">
            <v>29929</v>
          </cell>
          <cell r="C503">
            <v>0</v>
          </cell>
          <cell r="D503" t="str">
            <v>PHP</v>
          </cell>
          <cell r="E503">
            <v>0</v>
          </cell>
          <cell r="F503" t="str">
            <v>PC</v>
          </cell>
          <cell r="G503">
            <v>0</v>
          </cell>
        </row>
        <row r="504">
          <cell r="B504">
            <v>29931</v>
          </cell>
          <cell r="C504">
            <v>9696.33</v>
          </cell>
          <cell r="D504" t="str">
            <v>PHP</v>
          </cell>
          <cell r="E504">
            <v>3</v>
          </cell>
          <cell r="F504" t="str">
            <v>PC</v>
          </cell>
          <cell r="G504">
            <v>0</v>
          </cell>
        </row>
        <row r="505">
          <cell r="B505">
            <v>29932</v>
          </cell>
          <cell r="C505">
            <v>0</v>
          </cell>
          <cell r="D505" t="str">
            <v>PHP</v>
          </cell>
          <cell r="E505">
            <v>0</v>
          </cell>
          <cell r="F505" t="str">
            <v>PC</v>
          </cell>
          <cell r="G505">
            <v>0</v>
          </cell>
        </row>
        <row r="506">
          <cell r="B506">
            <v>29937</v>
          </cell>
          <cell r="C506">
            <v>0</v>
          </cell>
          <cell r="D506" t="str">
            <v>PHP</v>
          </cell>
          <cell r="E506">
            <v>0</v>
          </cell>
          <cell r="F506" t="str">
            <v>L</v>
          </cell>
          <cell r="G506">
            <v>0</v>
          </cell>
        </row>
        <row r="507">
          <cell r="B507">
            <v>31467</v>
          </cell>
          <cell r="C507">
            <v>422280</v>
          </cell>
          <cell r="D507" t="str">
            <v>PHP</v>
          </cell>
          <cell r="E507">
            <v>68</v>
          </cell>
          <cell r="F507" t="str">
            <v>PC</v>
          </cell>
          <cell r="G507">
            <v>0</v>
          </cell>
        </row>
        <row r="508">
          <cell r="B508">
            <v>31503</v>
          </cell>
          <cell r="C508">
            <v>7761.44</v>
          </cell>
          <cell r="D508" t="str">
            <v>PHP</v>
          </cell>
          <cell r="E508">
            <v>4</v>
          </cell>
          <cell r="F508" t="str">
            <v>PC</v>
          </cell>
          <cell r="G508">
            <v>0</v>
          </cell>
        </row>
        <row r="509">
          <cell r="B509">
            <v>33914</v>
          </cell>
          <cell r="C509">
            <v>0</v>
          </cell>
          <cell r="D509" t="str">
            <v>PHP</v>
          </cell>
          <cell r="E509">
            <v>0</v>
          </cell>
          <cell r="F509" t="str">
            <v>PC</v>
          </cell>
          <cell r="G509">
            <v>0</v>
          </cell>
        </row>
        <row r="510">
          <cell r="B510">
            <v>33917</v>
          </cell>
          <cell r="C510">
            <v>0</v>
          </cell>
          <cell r="D510" t="str">
            <v>PHP</v>
          </cell>
          <cell r="E510">
            <v>0</v>
          </cell>
          <cell r="F510" t="str">
            <v>PC</v>
          </cell>
          <cell r="G510">
            <v>0</v>
          </cell>
        </row>
        <row r="511">
          <cell r="B511">
            <v>34114</v>
          </cell>
          <cell r="C511">
            <v>0</v>
          </cell>
          <cell r="D511" t="str">
            <v>PHP</v>
          </cell>
          <cell r="E511">
            <v>0</v>
          </cell>
          <cell r="F511" t="str">
            <v>PC</v>
          </cell>
          <cell r="G511">
            <v>0</v>
          </cell>
        </row>
        <row r="512">
          <cell r="B512">
            <v>35075</v>
          </cell>
          <cell r="C512">
            <v>0</v>
          </cell>
          <cell r="D512" t="str">
            <v>PHP</v>
          </cell>
          <cell r="E512">
            <v>0</v>
          </cell>
          <cell r="F512" t="str">
            <v>BOX</v>
          </cell>
          <cell r="G512">
            <v>0</v>
          </cell>
        </row>
        <row r="513">
          <cell r="B513">
            <v>39715</v>
          </cell>
          <cell r="C513">
            <v>0</v>
          </cell>
          <cell r="D513" t="str">
            <v>PHP</v>
          </cell>
          <cell r="E513">
            <v>0</v>
          </cell>
          <cell r="F513" t="str">
            <v>PC</v>
          </cell>
          <cell r="G513">
            <v>0</v>
          </cell>
        </row>
        <row r="514">
          <cell r="B514">
            <v>39720</v>
          </cell>
          <cell r="C514">
            <v>0</v>
          </cell>
          <cell r="D514" t="str">
            <v>PHP</v>
          </cell>
          <cell r="E514">
            <v>0</v>
          </cell>
          <cell r="F514" t="str">
            <v>PC</v>
          </cell>
          <cell r="G514">
            <v>0</v>
          </cell>
        </row>
        <row r="515">
          <cell r="B515">
            <v>39746</v>
          </cell>
          <cell r="C515">
            <v>0</v>
          </cell>
          <cell r="D515" t="str">
            <v>PHP</v>
          </cell>
          <cell r="E515">
            <v>0</v>
          </cell>
          <cell r="F515" t="str">
            <v>PC</v>
          </cell>
          <cell r="G515">
            <v>0</v>
          </cell>
        </row>
        <row r="516">
          <cell r="B516">
            <v>39788</v>
          </cell>
          <cell r="C516">
            <v>0</v>
          </cell>
          <cell r="D516" t="str">
            <v>PHP</v>
          </cell>
          <cell r="E516">
            <v>0</v>
          </cell>
          <cell r="F516" t="str">
            <v>PC</v>
          </cell>
          <cell r="G516">
            <v>0</v>
          </cell>
        </row>
        <row r="517">
          <cell r="B517">
            <v>39791</v>
          </cell>
          <cell r="C517">
            <v>1963.9</v>
          </cell>
          <cell r="D517" t="str">
            <v>PHP</v>
          </cell>
          <cell r="E517">
            <v>3</v>
          </cell>
          <cell r="F517" t="str">
            <v>PC</v>
          </cell>
          <cell r="G517">
            <v>0</v>
          </cell>
        </row>
        <row r="518">
          <cell r="B518">
            <v>39891</v>
          </cell>
          <cell r="C518">
            <v>2284.62</v>
          </cell>
          <cell r="D518" t="str">
            <v>PHP</v>
          </cell>
          <cell r="E518">
            <v>2</v>
          </cell>
          <cell r="F518" t="str">
            <v>PC</v>
          </cell>
          <cell r="G518">
            <v>0</v>
          </cell>
        </row>
        <row r="519">
          <cell r="B519">
            <v>39909</v>
          </cell>
          <cell r="C519">
            <v>7458.52</v>
          </cell>
          <cell r="D519" t="str">
            <v>PHP</v>
          </cell>
          <cell r="E519">
            <v>2</v>
          </cell>
          <cell r="F519" t="str">
            <v>PC</v>
          </cell>
          <cell r="G519">
            <v>0</v>
          </cell>
        </row>
        <row r="520">
          <cell r="B520">
            <v>40037</v>
          </cell>
          <cell r="C520">
            <v>384.07</v>
          </cell>
          <cell r="D520" t="str">
            <v>PHP</v>
          </cell>
          <cell r="E520">
            <v>2</v>
          </cell>
          <cell r="F520" t="str">
            <v>PC</v>
          </cell>
          <cell r="G520">
            <v>0</v>
          </cell>
        </row>
        <row r="521">
          <cell r="B521">
            <v>40038</v>
          </cell>
          <cell r="C521">
            <v>0</v>
          </cell>
          <cell r="D521" t="str">
            <v>PHP</v>
          </cell>
          <cell r="E521">
            <v>0</v>
          </cell>
          <cell r="F521" t="str">
            <v>PC</v>
          </cell>
          <cell r="G521">
            <v>0</v>
          </cell>
        </row>
        <row r="522">
          <cell r="B522">
            <v>40045</v>
          </cell>
          <cell r="C522">
            <v>2801.18</v>
          </cell>
          <cell r="D522" t="str">
            <v>PHP</v>
          </cell>
          <cell r="E522">
            <v>10</v>
          </cell>
          <cell r="F522" t="str">
            <v>PC</v>
          </cell>
          <cell r="G522">
            <v>0</v>
          </cell>
        </row>
        <row r="523">
          <cell r="B523">
            <v>40049</v>
          </cell>
          <cell r="C523">
            <v>6053.84</v>
          </cell>
          <cell r="D523" t="str">
            <v>PHP</v>
          </cell>
          <cell r="E523">
            <v>1</v>
          </cell>
          <cell r="F523" t="str">
            <v>PC</v>
          </cell>
          <cell r="G523">
            <v>0</v>
          </cell>
        </row>
        <row r="524">
          <cell r="B524">
            <v>40216</v>
          </cell>
          <cell r="C524">
            <v>419702.26</v>
          </cell>
          <cell r="D524" t="str">
            <v>PHP</v>
          </cell>
          <cell r="E524">
            <v>57</v>
          </cell>
          <cell r="F524" t="str">
            <v>PL</v>
          </cell>
          <cell r="G524">
            <v>0</v>
          </cell>
        </row>
        <row r="525">
          <cell r="B525">
            <v>40320</v>
          </cell>
          <cell r="C525">
            <v>535167.36</v>
          </cell>
          <cell r="D525" t="str">
            <v>PHP</v>
          </cell>
          <cell r="E525">
            <v>28</v>
          </cell>
          <cell r="F525" t="str">
            <v>LEN</v>
          </cell>
          <cell r="G525">
            <v>0</v>
          </cell>
        </row>
        <row r="526">
          <cell r="B526">
            <v>40321</v>
          </cell>
          <cell r="C526">
            <v>11037548.869999999</v>
          </cell>
          <cell r="D526" t="str">
            <v>PHP</v>
          </cell>
          <cell r="E526">
            <v>400</v>
          </cell>
          <cell r="F526" t="str">
            <v>LEN</v>
          </cell>
          <cell r="G526">
            <v>0</v>
          </cell>
        </row>
        <row r="527">
          <cell r="B527">
            <v>40322</v>
          </cell>
          <cell r="C527">
            <v>41127.68</v>
          </cell>
          <cell r="D527" t="str">
            <v>PHP</v>
          </cell>
          <cell r="E527">
            <v>11</v>
          </cell>
          <cell r="F527" t="str">
            <v>PC</v>
          </cell>
          <cell r="G527">
            <v>0</v>
          </cell>
        </row>
        <row r="528">
          <cell r="B528">
            <v>40323</v>
          </cell>
          <cell r="C528">
            <v>0</v>
          </cell>
          <cell r="D528" t="str">
            <v>PHP</v>
          </cell>
          <cell r="E528">
            <v>0</v>
          </cell>
          <cell r="F528" t="str">
            <v>PC</v>
          </cell>
          <cell r="G528">
            <v>0</v>
          </cell>
        </row>
        <row r="529">
          <cell r="B529">
            <v>40324</v>
          </cell>
          <cell r="C529">
            <v>109490.12</v>
          </cell>
          <cell r="D529" t="str">
            <v>PHP</v>
          </cell>
          <cell r="E529">
            <v>33</v>
          </cell>
          <cell r="F529" t="str">
            <v>PC</v>
          </cell>
          <cell r="G529">
            <v>0</v>
          </cell>
        </row>
        <row r="530">
          <cell r="B530">
            <v>40327</v>
          </cell>
          <cell r="C530">
            <v>0</v>
          </cell>
          <cell r="D530" t="str">
            <v>PHP</v>
          </cell>
          <cell r="E530">
            <v>0</v>
          </cell>
          <cell r="F530" t="str">
            <v>PC</v>
          </cell>
          <cell r="G530">
            <v>0</v>
          </cell>
        </row>
        <row r="531">
          <cell r="B531">
            <v>40328</v>
          </cell>
          <cell r="C531">
            <v>502514.32</v>
          </cell>
          <cell r="D531" t="str">
            <v>PHP</v>
          </cell>
          <cell r="E531">
            <v>1</v>
          </cell>
          <cell r="F531" t="str">
            <v>PC</v>
          </cell>
          <cell r="G531">
            <v>0</v>
          </cell>
        </row>
        <row r="532">
          <cell r="B532">
            <v>40330</v>
          </cell>
          <cell r="C532">
            <v>0</v>
          </cell>
          <cell r="D532" t="str">
            <v>PHP</v>
          </cell>
          <cell r="E532">
            <v>0</v>
          </cell>
          <cell r="F532" t="str">
            <v>PC</v>
          </cell>
          <cell r="G532">
            <v>0</v>
          </cell>
        </row>
        <row r="533">
          <cell r="B533">
            <v>40331</v>
          </cell>
          <cell r="C533">
            <v>11987.24</v>
          </cell>
          <cell r="D533" t="str">
            <v>PHP</v>
          </cell>
          <cell r="E533">
            <v>2</v>
          </cell>
          <cell r="F533" t="str">
            <v>PC</v>
          </cell>
          <cell r="G533">
            <v>0</v>
          </cell>
        </row>
        <row r="534">
          <cell r="B534">
            <v>40337</v>
          </cell>
          <cell r="C534">
            <v>0</v>
          </cell>
          <cell r="D534" t="str">
            <v>PHP</v>
          </cell>
          <cell r="E534">
            <v>0</v>
          </cell>
          <cell r="F534" t="str">
            <v>SET</v>
          </cell>
          <cell r="G534">
            <v>0</v>
          </cell>
        </row>
        <row r="535">
          <cell r="B535">
            <v>40339</v>
          </cell>
          <cell r="C535">
            <v>1397075.33</v>
          </cell>
          <cell r="D535" t="str">
            <v>PHP</v>
          </cell>
          <cell r="E535">
            <v>3</v>
          </cell>
          <cell r="F535" t="str">
            <v>PC</v>
          </cell>
          <cell r="G535">
            <v>0</v>
          </cell>
        </row>
        <row r="536">
          <cell r="B536">
            <v>40415</v>
          </cell>
          <cell r="C536">
            <v>91486.61</v>
          </cell>
          <cell r="D536" t="str">
            <v>PHP</v>
          </cell>
          <cell r="E536">
            <v>4</v>
          </cell>
          <cell r="F536" t="str">
            <v>PC</v>
          </cell>
          <cell r="G536">
            <v>0</v>
          </cell>
        </row>
        <row r="537">
          <cell r="B537">
            <v>40645</v>
          </cell>
          <cell r="C537">
            <v>0</v>
          </cell>
          <cell r="D537" t="str">
            <v>PHP</v>
          </cell>
          <cell r="E537">
            <v>0</v>
          </cell>
          <cell r="F537" t="str">
            <v>PC</v>
          </cell>
          <cell r="G537">
            <v>0</v>
          </cell>
        </row>
        <row r="538">
          <cell r="B538">
            <v>40866</v>
          </cell>
          <cell r="C538">
            <v>0</v>
          </cell>
          <cell r="D538" t="str">
            <v>PHP</v>
          </cell>
          <cell r="E538">
            <v>0</v>
          </cell>
          <cell r="F538" t="str">
            <v>PC</v>
          </cell>
          <cell r="G538">
            <v>0</v>
          </cell>
        </row>
        <row r="539">
          <cell r="B539">
            <v>41094</v>
          </cell>
          <cell r="C539">
            <v>0</v>
          </cell>
          <cell r="D539" t="str">
            <v>PHP</v>
          </cell>
          <cell r="E539">
            <v>0</v>
          </cell>
          <cell r="F539" t="str">
            <v>PC</v>
          </cell>
          <cell r="G539">
            <v>0</v>
          </cell>
        </row>
        <row r="540">
          <cell r="B540">
            <v>41095</v>
          </cell>
          <cell r="C540">
            <v>0</v>
          </cell>
          <cell r="D540" t="str">
            <v>PHP</v>
          </cell>
          <cell r="E540">
            <v>0</v>
          </cell>
          <cell r="F540" t="str">
            <v>KIT</v>
          </cell>
          <cell r="G540">
            <v>0</v>
          </cell>
        </row>
        <row r="541">
          <cell r="B541">
            <v>41102</v>
          </cell>
          <cell r="C541">
            <v>5066.3999999999996</v>
          </cell>
          <cell r="D541" t="str">
            <v>PHP</v>
          </cell>
          <cell r="E541">
            <v>1</v>
          </cell>
          <cell r="F541" t="str">
            <v>ASY</v>
          </cell>
          <cell r="G541">
            <v>0</v>
          </cell>
        </row>
        <row r="542">
          <cell r="B542">
            <v>41169</v>
          </cell>
          <cell r="C542">
            <v>0</v>
          </cell>
          <cell r="D542" t="str">
            <v>PHP</v>
          </cell>
          <cell r="E542">
            <v>0</v>
          </cell>
          <cell r="F542" t="str">
            <v>PC</v>
          </cell>
          <cell r="G542">
            <v>0</v>
          </cell>
        </row>
        <row r="543">
          <cell r="B543">
            <v>41233</v>
          </cell>
          <cell r="C543">
            <v>0</v>
          </cell>
          <cell r="D543" t="str">
            <v>PHP</v>
          </cell>
          <cell r="E543">
            <v>0</v>
          </cell>
          <cell r="F543" t="str">
            <v>PC</v>
          </cell>
          <cell r="G543">
            <v>0</v>
          </cell>
        </row>
        <row r="544">
          <cell r="B544">
            <v>41234</v>
          </cell>
          <cell r="C544">
            <v>0</v>
          </cell>
          <cell r="D544" t="str">
            <v>PHP</v>
          </cell>
          <cell r="E544">
            <v>0</v>
          </cell>
          <cell r="F544" t="str">
            <v>PC</v>
          </cell>
          <cell r="G544">
            <v>0</v>
          </cell>
        </row>
        <row r="545">
          <cell r="B545">
            <v>41244</v>
          </cell>
          <cell r="C545">
            <v>0</v>
          </cell>
          <cell r="D545" t="str">
            <v>PHP</v>
          </cell>
          <cell r="E545">
            <v>0</v>
          </cell>
          <cell r="F545" t="str">
            <v>PC</v>
          </cell>
          <cell r="G545">
            <v>0</v>
          </cell>
        </row>
        <row r="546">
          <cell r="B546">
            <v>41279</v>
          </cell>
          <cell r="C546">
            <v>0</v>
          </cell>
          <cell r="D546" t="str">
            <v>PHP</v>
          </cell>
          <cell r="E546">
            <v>0</v>
          </cell>
          <cell r="F546" t="str">
            <v>BAG</v>
          </cell>
          <cell r="G546">
            <v>0</v>
          </cell>
        </row>
        <row r="547">
          <cell r="B547">
            <v>41280</v>
          </cell>
          <cell r="C547">
            <v>944496</v>
          </cell>
          <cell r="D547" t="str">
            <v>PHP</v>
          </cell>
          <cell r="E547">
            <v>960</v>
          </cell>
          <cell r="F547" t="str">
            <v>BAG</v>
          </cell>
          <cell r="G547">
            <v>0</v>
          </cell>
        </row>
        <row r="548">
          <cell r="B548">
            <v>41296</v>
          </cell>
          <cell r="C548">
            <v>592912</v>
          </cell>
          <cell r="D548" t="str">
            <v>PHP</v>
          </cell>
          <cell r="E548">
            <v>1600</v>
          </cell>
          <cell r="F548" t="str">
            <v>BAG</v>
          </cell>
          <cell r="G548">
            <v>0</v>
          </cell>
        </row>
        <row r="549">
          <cell r="B549">
            <v>41298</v>
          </cell>
          <cell r="C549">
            <v>345481.62</v>
          </cell>
          <cell r="D549" t="str">
            <v>PHP</v>
          </cell>
          <cell r="E549">
            <v>568</v>
          </cell>
          <cell r="F549" t="str">
            <v>BAG</v>
          </cell>
          <cell r="G549">
            <v>0</v>
          </cell>
        </row>
        <row r="550">
          <cell r="B550">
            <v>41413</v>
          </cell>
          <cell r="C550">
            <v>0</v>
          </cell>
          <cell r="D550" t="str">
            <v>PHP</v>
          </cell>
          <cell r="E550">
            <v>0</v>
          </cell>
          <cell r="F550" t="str">
            <v>PC</v>
          </cell>
          <cell r="G550">
            <v>0</v>
          </cell>
        </row>
        <row r="551">
          <cell r="B551">
            <v>41419</v>
          </cell>
          <cell r="C551">
            <v>0</v>
          </cell>
          <cell r="D551" t="str">
            <v>PHP</v>
          </cell>
          <cell r="E551">
            <v>0</v>
          </cell>
          <cell r="F551" t="str">
            <v>PC</v>
          </cell>
          <cell r="G551">
            <v>0</v>
          </cell>
        </row>
        <row r="552">
          <cell r="B552">
            <v>41421</v>
          </cell>
          <cell r="C552">
            <v>0</v>
          </cell>
          <cell r="D552" t="str">
            <v>PHP</v>
          </cell>
          <cell r="E552">
            <v>0</v>
          </cell>
          <cell r="F552" t="str">
            <v>PC</v>
          </cell>
          <cell r="G552">
            <v>0</v>
          </cell>
        </row>
        <row r="553">
          <cell r="B553">
            <v>41472</v>
          </cell>
          <cell r="C553">
            <v>38874.92</v>
          </cell>
          <cell r="D553" t="str">
            <v>PHP</v>
          </cell>
          <cell r="E553">
            <v>1</v>
          </cell>
          <cell r="F553" t="str">
            <v>PC</v>
          </cell>
          <cell r="G553">
            <v>0</v>
          </cell>
        </row>
        <row r="554">
          <cell r="B554">
            <v>41504</v>
          </cell>
          <cell r="C554">
            <v>0</v>
          </cell>
          <cell r="D554" t="str">
            <v>PHP</v>
          </cell>
          <cell r="E554">
            <v>0</v>
          </cell>
          <cell r="F554" t="str">
            <v>PC</v>
          </cell>
          <cell r="G554">
            <v>0</v>
          </cell>
        </row>
        <row r="555">
          <cell r="B555">
            <v>41532</v>
          </cell>
          <cell r="C555">
            <v>4336.4799999999996</v>
          </cell>
          <cell r="D555" t="str">
            <v>PHP</v>
          </cell>
          <cell r="E555">
            <v>6</v>
          </cell>
          <cell r="F555" t="str">
            <v>PC</v>
          </cell>
          <cell r="G555">
            <v>0</v>
          </cell>
        </row>
        <row r="556">
          <cell r="B556">
            <v>41538</v>
          </cell>
          <cell r="C556">
            <v>0</v>
          </cell>
          <cell r="D556" t="str">
            <v>PHP</v>
          </cell>
          <cell r="E556">
            <v>0</v>
          </cell>
          <cell r="F556" t="str">
            <v>PC</v>
          </cell>
          <cell r="G556">
            <v>0</v>
          </cell>
        </row>
        <row r="557">
          <cell r="B557">
            <v>41540</v>
          </cell>
          <cell r="C557">
            <v>0</v>
          </cell>
          <cell r="D557" t="str">
            <v>PHP</v>
          </cell>
          <cell r="E557">
            <v>0</v>
          </cell>
          <cell r="F557" t="str">
            <v>PC</v>
          </cell>
          <cell r="G557">
            <v>0</v>
          </cell>
        </row>
        <row r="558">
          <cell r="B558">
            <v>41547</v>
          </cell>
          <cell r="C558">
            <v>0</v>
          </cell>
          <cell r="D558" t="str">
            <v>PHP</v>
          </cell>
          <cell r="E558">
            <v>0</v>
          </cell>
          <cell r="F558" t="str">
            <v>PC</v>
          </cell>
          <cell r="G558">
            <v>0</v>
          </cell>
        </row>
        <row r="559">
          <cell r="B559">
            <v>41548</v>
          </cell>
          <cell r="C559">
            <v>656.6</v>
          </cell>
          <cell r="D559" t="str">
            <v>PHP</v>
          </cell>
          <cell r="E559">
            <v>5</v>
          </cell>
          <cell r="F559" t="str">
            <v>PC</v>
          </cell>
          <cell r="G559">
            <v>0</v>
          </cell>
        </row>
        <row r="560">
          <cell r="B560">
            <v>41662</v>
          </cell>
          <cell r="C560">
            <v>0</v>
          </cell>
          <cell r="D560" t="str">
            <v>PHP</v>
          </cell>
          <cell r="E560">
            <v>0</v>
          </cell>
          <cell r="F560" t="str">
            <v>PC</v>
          </cell>
          <cell r="G560">
            <v>0</v>
          </cell>
        </row>
        <row r="561">
          <cell r="B561">
            <v>41665</v>
          </cell>
          <cell r="C561">
            <v>0</v>
          </cell>
          <cell r="D561" t="str">
            <v>PHP</v>
          </cell>
          <cell r="E561">
            <v>0</v>
          </cell>
          <cell r="F561" t="str">
            <v>PC</v>
          </cell>
          <cell r="G561">
            <v>0</v>
          </cell>
        </row>
        <row r="562">
          <cell r="B562">
            <v>41885</v>
          </cell>
          <cell r="C562">
            <v>0</v>
          </cell>
          <cell r="D562" t="str">
            <v>PHP</v>
          </cell>
          <cell r="E562">
            <v>0</v>
          </cell>
          <cell r="F562" t="str">
            <v>PC</v>
          </cell>
          <cell r="G562">
            <v>0</v>
          </cell>
        </row>
        <row r="563">
          <cell r="B563">
            <v>42396</v>
          </cell>
          <cell r="C563">
            <v>0</v>
          </cell>
          <cell r="D563" t="str">
            <v>PHP</v>
          </cell>
          <cell r="E563">
            <v>0</v>
          </cell>
          <cell r="F563" t="str">
            <v>PC</v>
          </cell>
          <cell r="G563">
            <v>0</v>
          </cell>
        </row>
        <row r="564">
          <cell r="B564">
            <v>42448</v>
          </cell>
          <cell r="C564">
            <v>0</v>
          </cell>
          <cell r="D564" t="str">
            <v>PHP</v>
          </cell>
          <cell r="E564">
            <v>0</v>
          </cell>
          <cell r="F564" t="str">
            <v>PC</v>
          </cell>
          <cell r="G564">
            <v>0</v>
          </cell>
        </row>
        <row r="565">
          <cell r="B565">
            <v>42492</v>
          </cell>
          <cell r="C565">
            <v>0</v>
          </cell>
          <cell r="D565" t="str">
            <v>PHP</v>
          </cell>
          <cell r="E565">
            <v>0</v>
          </cell>
          <cell r="F565" t="str">
            <v>PC</v>
          </cell>
          <cell r="G565">
            <v>0</v>
          </cell>
        </row>
        <row r="566">
          <cell r="B566">
            <v>42514</v>
          </cell>
          <cell r="C566">
            <v>0</v>
          </cell>
          <cell r="D566" t="str">
            <v>PHP</v>
          </cell>
          <cell r="E566">
            <v>0</v>
          </cell>
          <cell r="F566" t="str">
            <v>ASY</v>
          </cell>
          <cell r="G566">
            <v>0</v>
          </cell>
        </row>
        <row r="567">
          <cell r="B567">
            <v>42566</v>
          </cell>
          <cell r="C567">
            <v>0</v>
          </cell>
          <cell r="D567" t="str">
            <v>PHP</v>
          </cell>
          <cell r="E567">
            <v>0</v>
          </cell>
          <cell r="F567" t="str">
            <v>PC</v>
          </cell>
          <cell r="G567">
            <v>0</v>
          </cell>
        </row>
        <row r="568">
          <cell r="B568">
            <v>42567</v>
          </cell>
          <cell r="C568">
            <v>0</v>
          </cell>
          <cell r="D568" t="str">
            <v>PHP</v>
          </cell>
          <cell r="E568">
            <v>0</v>
          </cell>
          <cell r="F568" t="str">
            <v>PC</v>
          </cell>
          <cell r="G568">
            <v>0</v>
          </cell>
        </row>
        <row r="569">
          <cell r="B569">
            <v>42568</v>
          </cell>
          <cell r="C569">
            <v>0</v>
          </cell>
          <cell r="D569" t="str">
            <v>PHP</v>
          </cell>
          <cell r="E569">
            <v>0</v>
          </cell>
          <cell r="F569" t="str">
            <v>PC</v>
          </cell>
          <cell r="G569">
            <v>0</v>
          </cell>
        </row>
        <row r="570">
          <cell r="B570">
            <v>42575</v>
          </cell>
          <cell r="C570">
            <v>0</v>
          </cell>
          <cell r="D570" t="str">
            <v>PHP</v>
          </cell>
          <cell r="E570">
            <v>0</v>
          </cell>
          <cell r="F570" t="str">
            <v>PC</v>
          </cell>
          <cell r="G570">
            <v>0</v>
          </cell>
        </row>
        <row r="571">
          <cell r="B571">
            <v>42585</v>
          </cell>
          <cell r="C571">
            <v>0</v>
          </cell>
          <cell r="D571" t="str">
            <v>PHP</v>
          </cell>
          <cell r="E571">
            <v>0</v>
          </cell>
          <cell r="F571" t="str">
            <v>ASY</v>
          </cell>
          <cell r="G571">
            <v>0</v>
          </cell>
        </row>
        <row r="572">
          <cell r="B572">
            <v>42599</v>
          </cell>
          <cell r="C572">
            <v>0</v>
          </cell>
          <cell r="D572" t="str">
            <v>PHP</v>
          </cell>
          <cell r="E572">
            <v>0</v>
          </cell>
          <cell r="F572" t="str">
            <v>PC</v>
          </cell>
          <cell r="G572">
            <v>0</v>
          </cell>
        </row>
        <row r="573">
          <cell r="B573">
            <v>42615</v>
          </cell>
          <cell r="C573">
            <v>0</v>
          </cell>
          <cell r="D573" t="str">
            <v>PHP</v>
          </cell>
          <cell r="E573">
            <v>0</v>
          </cell>
          <cell r="F573" t="str">
            <v>SET</v>
          </cell>
          <cell r="G573">
            <v>0</v>
          </cell>
        </row>
        <row r="574">
          <cell r="B574">
            <v>42646</v>
          </cell>
          <cell r="C574">
            <v>0</v>
          </cell>
          <cell r="D574" t="str">
            <v>PHP</v>
          </cell>
          <cell r="E574">
            <v>0</v>
          </cell>
          <cell r="F574" t="str">
            <v>PC</v>
          </cell>
          <cell r="G574">
            <v>0</v>
          </cell>
        </row>
        <row r="575">
          <cell r="B575">
            <v>42654</v>
          </cell>
          <cell r="C575">
            <v>0</v>
          </cell>
          <cell r="D575" t="str">
            <v>PHP</v>
          </cell>
          <cell r="E575">
            <v>0</v>
          </cell>
          <cell r="F575" t="str">
            <v>PC</v>
          </cell>
          <cell r="G575">
            <v>0</v>
          </cell>
        </row>
        <row r="576">
          <cell r="B576">
            <v>42656</v>
          </cell>
          <cell r="C576">
            <v>0</v>
          </cell>
          <cell r="D576" t="str">
            <v>PHP</v>
          </cell>
          <cell r="E576">
            <v>0</v>
          </cell>
          <cell r="F576" t="str">
            <v>PC</v>
          </cell>
          <cell r="G576">
            <v>0</v>
          </cell>
        </row>
        <row r="577">
          <cell r="B577">
            <v>42657</v>
          </cell>
          <cell r="C577">
            <v>0</v>
          </cell>
          <cell r="D577" t="str">
            <v>PHP</v>
          </cell>
          <cell r="E577">
            <v>0</v>
          </cell>
          <cell r="F577" t="str">
            <v>PC</v>
          </cell>
          <cell r="G577">
            <v>0</v>
          </cell>
        </row>
        <row r="578">
          <cell r="B578">
            <v>42661</v>
          </cell>
          <cell r="C578">
            <v>0</v>
          </cell>
          <cell r="D578" t="str">
            <v>PHP</v>
          </cell>
          <cell r="E578">
            <v>0</v>
          </cell>
          <cell r="F578" t="str">
            <v>PC</v>
          </cell>
          <cell r="G578">
            <v>0</v>
          </cell>
        </row>
        <row r="579">
          <cell r="B579">
            <v>42662</v>
          </cell>
          <cell r="C579">
            <v>0</v>
          </cell>
          <cell r="D579" t="str">
            <v>PHP</v>
          </cell>
          <cell r="E579">
            <v>0</v>
          </cell>
          <cell r="F579" t="str">
            <v>PC</v>
          </cell>
          <cell r="G579">
            <v>0</v>
          </cell>
        </row>
        <row r="580">
          <cell r="B580">
            <v>42663</v>
          </cell>
          <cell r="C580">
            <v>0</v>
          </cell>
          <cell r="D580" t="str">
            <v>PHP</v>
          </cell>
          <cell r="E580">
            <v>0</v>
          </cell>
          <cell r="F580" t="str">
            <v>PC</v>
          </cell>
          <cell r="G580">
            <v>0</v>
          </cell>
        </row>
        <row r="581">
          <cell r="B581">
            <v>42664</v>
          </cell>
          <cell r="C581">
            <v>0</v>
          </cell>
          <cell r="D581" t="str">
            <v>PHP</v>
          </cell>
          <cell r="E581">
            <v>0</v>
          </cell>
          <cell r="F581" t="str">
            <v>PC</v>
          </cell>
          <cell r="G581">
            <v>0</v>
          </cell>
        </row>
        <row r="582">
          <cell r="B582">
            <v>42679</v>
          </cell>
          <cell r="C582">
            <v>0</v>
          </cell>
          <cell r="D582" t="str">
            <v>PHP</v>
          </cell>
          <cell r="E582">
            <v>0</v>
          </cell>
          <cell r="F582" t="str">
            <v>PC</v>
          </cell>
          <cell r="G582">
            <v>0</v>
          </cell>
        </row>
        <row r="583">
          <cell r="B583">
            <v>42691</v>
          </cell>
          <cell r="C583">
            <v>0</v>
          </cell>
          <cell r="D583" t="str">
            <v>PHP</v>
          </cell>
          <cell r="E583">
            <v>0</v>
          </cell>
          <cell r="F583" t="str">
            <v>PC</v>
          </cell>
          <cell r="G583">
            <v>0</v>
          </cell>
        </row>
        <row r="584">
          <cell r="B584">
            <v>42695</v>
          </cell>
          <cell r="C584">
            <v>0</v>
          </cell>
          <cell r="D584" t="str">
            <v>PHP</v>
          </cell>
          <cell r="E584">
            <v>0</v>
          </cell>
          <cell r="F584" t="str">
            <v>PC</v>
          </cell>
          <cell r="G584">
            <v>0</v>
          </cell>
        </row>
        <row r="585">
          <cell r="B585">
            <v>43667</v>
          </cell>
          <cell r="C585">
            <v>0</v>
          </cell>
          <cell r="D585" t="str">
            <v>PHP</v>
          </cell>
          <cell r="E585">
            <v>0</v>
          </cell>
          <cell r="F585" t="str">
            <v>PC</v>
          </cell>
          <cell r="G585">
            <v>0</v>
          </cell>
        </row>
        <row r="586">
          <cell r="B586">
            <v>43668</v>
          </cell>
          <cell r="C586">
            <v>0</v>
          </cell>
          <cell r="D586" t="str">
            <v>PHP</v>
          </cell>
          <cell r="E586">
            <v>0</v>
          </cell>
          <cell r="F586" t="str">
            <v>PC</v>
          </cell>
          <cell r="G586">
            <v>0</v>
          </cell>
        </row>
        <row r="587">
          <cell r="B587">
            <v>43679</v>
          </cell>
          <cell r="C587">
            <v>0</v>
          </cell>
          <cell r="D587" t="str">
            <v>PHP</v>
          </cell>
          <cell r="E587">
            <v>0</v>
          </cell>
          <cell r="F587" t="str">
            <v>PC</v>
          </cell>
          <cell r="G587">
            <v>0</v>
          </cell>
        </row>
        <row r="588">
          <cell r="B588">
            <v>43716</v>
          </cell>
          <cell r="C588">
            <v>0</v>
          </cell>
          <cell r="D588" t="str">
            <v>PHP</v>
          </cell>
          <cell r="E588">
            <v>0</v>
          </cell>
          <cell r="F588" t="str">
            <v>PC</v>
          </cell>
          <cell r="G588">
            <v>0</v>
          </cell>
        </row>
        <row r="589">
          <cell r="B589">
            <v>43719</v>
          </cell>
          <cell r="C589">
            <v>0</v>
          </cell>
          <cell r="D589" t="str">
            <v>PHP</v>
          </cell>
          <cell r="E589">
            <v>0</v>
          </cell>
          <cell r="F589" t="str">
            <v>PC</v>
          </cell>
          <cell r="G589">
            <v>0</v>
          </cell>
        </row>
        <row r="590">
          <cell r="B590">
            <v>43721</v>
          </cell>
          <cell r="C590">
            <v>0</v>
          </cell>
          <cell r="D590" t="str">
            <v>PHP</v>
          </cell>
          <cell r="E590">
            <v>0</v>
          </cell>
          <cell r="F590" t="str">
            <v>PC</v>
          </cell>
          <cell r="G590">
            <v>0</v>
          </cell>
        </row>
        <row r="591">
          <cell r="B591">
            <v>43725</v>
          </cell>
          <cell r="C591">
            <v>0</v>
          </cell>
          <cell r="D591" t="str">
            <v>PHP</v>
          </cell>
          <cell r="E591">
            <v>0</v>
          </cell>
          <cell r="F591" t="str">
            <v>PC</v>
          </cell>
          <cell r="G591">
            <v>0</v>
          </cell>
        </row>
        <row r="592">
          <cell r="B592">
            <v>43726</v>
          </cell>
          <cell r="C592">
            <v>0</v>
          </cell>
          <cell r="D592" t="str">
            <v>PHP</v>
          </cell>
          <cell r="E592">
            <v>0</v>
          </cell>
          <cell r="F592" t="str">
            <v>ASY</v>
          </cell>
          <cell r="G592">
            <v>0</v>
          </cell>
        </row>
        <row r="593">
          <cell r="B593">
            <v>43729</v>
          </cell>
          <cell r="C593">
            <v>0</v>
          </cell>
          <cell r="D593" t="str">
            <v>PHP</v>
          </cell>
          <cell r="E593">
            <v>0</v>
          </cell>
          <cell r="F593" t="str">
            <v>PC</v>
          </cell>
          <cell r="G593">
            <v>0</v>
          </cell>
        </row>
        <row r="594">
          <cell r="B594">
            <v>43853</v>
          </cell>
          <cell r="C594">
            <v>0</v>
          </cell>
          <cell r="D594" t="str">
            <v>PHP</v>
          </cell>
          <cell r="E594">
            <v>0</v>
          </cell>
          <cell r="F594" t="str">
            <v>PC</v>
          </cell>
          <cell r="G594">
            <v>0</v>
          </cell>
        </row>
        <row r="595">
          <cell r="B595">
            <v>43872</v>
          </cell>
          <cell r="C595">
            <v>0</v>
          </cell>
          <cell r="D595" t="str">
            <v>PHP</v>
          </cell>
          <cell r="E595">
            <v>0</v>
          </cell>
          <cell r="F595" t="str">
            <v>PC</v>
          </cell>
          <cell r="G595">
            <v>0</v>
          </cell>
        </row>
        <row r="596">
          <cell r="B596">
            <v>50513</v>
          </cell>
          <cell r="C596">
            <v>2881479.95</v>
          </cell>
          <cell r="D596" t="str">
            <v>PHP</v>
          </cell>
          <cell r="E596">
            <v>2</v>
          </cell>
          <cell r="F596" t="str">
            <v>PC</v>
          </cell>
          <cell r="G596">
            <v>0</v>
          </cell>
        </row>
        <row r="597">
          <cell r="B597">
            <v>50514</v>
          </cell>
          <cell r="C597">
            <v>473706.07</v>
          </cell>
          <cell r="D597" t="str">
            <v>PHP</v>
          </cell>
          <cell r="E597">
            <v>1</v>
          </cell>
          <cell r="F597" t="str">
            <v>PC</v>
          </cell>
          <cell r="G597">
            <v>0</v>
          </cell>
        </row>
        <row r="598">
          <cell r="B598">
            <v>50516</v>
          </cell>
          <cell r="C598">
            <v>0</v>
          </cell>
          <cell r="D598" t="str">
            <v>PHP</v>
          </cell>
          <cell r="E598">
            <v>0</v>
          </cell>
          <cell r="F598" t="str">
            <v>PC</v>
          </cell>
          <cell r="G598">
            <v>0</v>
          </cell>
        </row>
        <row r="599">
          <cell r="B599">
            <v>50518</v>
          </cell>
          <cell r="C599">
            <v>0</v>
          </cell>
          <cell r="D599" t="str">
            <v>PHP</v>
          </cell>
          <cell r="E599">
            <v>0</v>
          </cell>
          <cell r="F599" t="str">
            <v>PC</v>
          </cell>
          <cell r="G599">
            <v>0</v>
          </cell>
        </row>
        <row r="600">
          <cell r="B600">
            <v>50519</v>
          </cell>
          <cell r="C600">
            <v>3024091.25</v>
          </cell>
          <cell r="D600" t="str">
            <v>PHP</v>
          </cell>
          <cell r="E600">
            <v>2</v>
          </cell>
          <cell r="F600" t="str">
            <v>PC</v>
          </cell>
          <cell r="G600">
            <v>0</v>
          </cell>
        </row>
        <row r="601">
          <cell r="B601">
            <v>50520</v>
          </cell>
          <cell r="C601">
            <v>0</v>
          </cell>
          <cell r="D601" t="str">
            <v>PHP</v>
          </cell>
          <cell r="E601">
            <v>0</v>
          </cell>
          <cell r="F601" t="str">
            <v>PC</v>
          </cell>
          <cell r="G601">
            <v>0</v>
          </cell>
        </row>
        <row r="602">
          <cell r="B602">
            <v>51114</v>
          </cell>
          <cell r="C602">
            <v>0</v>
          </cell>
          <cell r="D602" t="str">
            <v>PHP</v>
          </cell>
          <cell r="E602">
            <v>0</v>
          </cell>
          <cell r="F602" t="str">
            <v>LEN</v>
          </cell>
          <cell r="G602">
            <v>0</v>
          </cell>
        </row>
        <row r="603">
          <cell r="B603">
            <v>52541</v>
          </cell>
          <cell r="C603">
            <v>1068633.72</v>
          </cell>
          <cell r="D603" t="str">
            <v>PHP</v>
          </cell>
          <cell r="E603">
            <v>1</v>
          </cell>
          <cell r="F603" t="str">
            <v>PC</v>
          </cell>
          <cell r="G603">
            <v>0</v>
          </cell>
        </row>
        <row r="604">
          <cell r="B604">
            <v>52542</v>
          </cell>
          <cell r="C604">
            <v>0</v>
          </cell>
          <cell r="D604" t="str">
            <v>PHP</v>
          </cell>
          <cell r="E604">
            <v>0</v>
          </cell>
          <cell r="F604" t="str">
            <v>PC</v>
          </cell>
          <cell r="G604">
            <v>0</v>
          </cell>
        </row>
        <row r="605">
          <cell r="B605">
            <v>52543</v>
          </cell>
          <cell r="C605">
            <v>0</v>
          </cell>
          <cell r="D605" t="str">
            <v>PHP</v>
          </cell>
          <cell r="E605">
            <v>0</v>
          </cell>
          <cell r="F605" t="str">
            <v>PC</v>
          </cell>
          <cell r="G605">
            <v>0</v>
          </cell>
        </row>
        <row r="606">
          <cell r="B606">
            <v>52582</v>
          </cell>
          <cell r="C606">
            <v>6087955.0499999998</v>
          </cell>
          <cell r="D606" t="str">
            <v>PHP</v>
          </cell>
          <cell r="E606">
            <v>3</v>
          </cell>
          <cell r="F606" t="str">
            <v>PC</v>
          </cell>
          <cell r="G606">
            <v>0</v>
          </cell>
        </row>
        <row r="607">
          <cell r="B607">
            <v>53303</v>
          </cell>
          <cell r="C607">
            <v>88823.8</v>
          </cell>
          <cell r="D607" t="str">
            <v>PHP</v>
          </cell>
          <cell r="E607">
            <v>26</v>
          </cell>
          <cell r="F607" t="str">
            <v>PC</v>
          </cell>
          <cell r="G607">
            <v>0</v>
          </cell>
        </row>
        <row r="608">
          <cell r="B608">
            <v>53304</v>
          </cell>
          <cell r="C608">
            <v>374873.04</v>
          </cell>
          <cell r="D608" t="str">
            <v>PHP</v>
          </cell>
          <cell r="E608">
            <v>72</v>
          </cell>
          <cell r="F608" t="str">
            <v>PC</v>
          </cell>
          <cell r="G608">
            <v>0</v>
          </cell>
        </row>
        <row r="609">
          <cell r="B609">
            <v>53765</v>
          </cell>
          <cell r="C609">
            <v>0</v>
          </cell>
          <cell r="D609" t="str">
            <v>PHP</v>
          </cell>
          <cell r="E609">
            <v>0</v>
          </cell>
          <cell r="F609" t="str">
            <v>PC</v>
          </cell>
          <cell r="G609">
            <v>0</v>
          </cell>
        </row>
        <row r="610">
          <cell r="B610">
            <v>54668</v>
          </cell>
          <cell r="C610">
            <v>0</v>
          </cell>
          <cell r="D610" t="str">
            <v>PHP</v>
          </cell>
          <cell r="E610">
            <v>0</v>
          </cell>
          <cell r="F610" t="str">
            <v>PC</v>
          </cell>
          <cell r="G610">
            <v>0</v>
          </cell>
        </row>
        <row r="611">
          <cell r="B611">
            <v>58984</v>
          </cell>
          <cell r="C611">
            <v>0</v>
          </cell>
          <cell r="D611" t="str">
            <v>PHP</v>
          </cell>
          <cell r="E611">
            <v>30</v>
          </cell>
          <cell r="F611" t="str">
            <v>PC</v>
          </cell>
          <cell r="G611">
            <v>0</v>
          </cell>
        </row>
        <row r="612">
          <cell r="B612">
            <v>58985</v>
          </cell>
          <cell r="C612">
            <v>0</v>
          </cell>
          <cell r="D612" t="str">
            <v>PHP</v>
          </cell>
          <cell r="E612">
            <v>10</v>
          </cell>
          <cell r="F612" t="str">
            <v>PC</v>
          </cell>
          <cell r="G612">
            <v>0</v>
          </cell>
        </row>
        <row r="613">
          <cell r="B613">
            <v>58988</v>
          </cell>
          <cell r="C613">
            <v>125421.35</v>
          </cell>
          <cell r="D613" t="str">
            <v>PHP</v>
          </cell>
          <cell r="E613">
            <v>155</v>
          </cell>
          <cell r="F613" t="str">
            <v>PC</v>
          </cell>
          <cell r="G613">
            <v>0</v>
          </cell>
        </row>
        <row r="614">
          <cell r="B614">
            <v>58989</v>
          </cell>
          <cell r="C614">
            <v>0</v>
          </cell>
          <cell r="D614" t="str">
            <v>PHP</v>
          </cell>
          <cell r="E614">
            <v>0</v>
          </cell>
          <cell r="F614" t="str">
            <v>PC</v>
          </cell>
          <cell r="G614">
            <v>0</v>
          </cell>
        </row>
        <row r="615">
          <cell r="B615">
            <v>59206</v>
          </cell>
          <cell r="C615">
            <v>103573.75999999999</v>
          </cell>
          <cell r="D615" t="str">
            <v>PHP</v>
          </cell>
          <cell r="E615">
            <v>128</v>
          </cell>
          <cell r="F615" t="str">
            <v>PC</v>
          </cell>
          <cell r="G615">
            <v>0</v>
          </cell>
        </row>
        <row r="616">
          <cell r="B616">
            <v>59207</v>
          </cell>
          <cell r="C616">
            <v>0</v>
          </cell>
          <cell r="D616" t="str">
            <v>PHP</v>
          </cell>
          <cell r="E616">
            <v>0</v>
          </cell>
          <cell r="F616" t="str">
            <v>PC</v>
          </cell>
          <cell r="G616">
            <v>0</v>
          </cell>
        </row>
        <row r="617">
          <cell r="B617">
            <v>59642</v>
          </cell>
          <cell r="C617">
            <v>0</v>
          </cell>
          <cell r="D617" t="str">
            <v>PHP</v>
          </cell>
          <cell r="E617">
            <v>30</v>
          </cell>
          <cell r="F617" t="str">
            <v>PC</v>
          </cell>
          <cell r="G617">
            <v>0</v>
          </cell>
        </row>
        <row r="618">
          <cell r="B618">
            <v>66001</v>
          </cell>
          <cell r="C618">
            <v>0</v>
          </cell>
          <cell r="D618" t="str">
            <v>PHP</v>
          </cell>
          <cell r="E618">
            <v>0</v>
          </cell>
          <cell r="F618" t="str">
            <v>PC</v>
          </cell>
          <cell r="G618">
            <v>0</v>
          </cell>
        </row>
        <row r="619">
          <cell r="B619">
            <v>66004</v>
          </cell>
          <cell r="C619">
            <v>0</v>
          </cell>
          <cell r="D619" t="str">
            <v>PHP</v>
          </cell>
          <cell r="E619">
            <v>0</v>
          </cell>
          <cell r="F619" t="str">
            <v>PC</v>
          </cell>
          <cell r="G619">
            <v>0</v>
          </cell>
        </row>
        <row r="620">
          <cell r="B620">
            <v>67441</v>
          </cell>
          <cell r="C620">
            <v>0</v>
          </cell>
          <cell r="D620" t="str">
            <v>PHP</v>
          </cell>
          <cell r="E620">
            <v>0</v>
          </cell>
          <cell r="F620" t="str">
            <v>PC</v>
          </cell>
          <cell r="G620">
            <v>0</v>
          </cell>
        </row>
        <row r="621">
          <cell r="B621">
            <v>67982</v>
          </cell>
          <cell r="C621">
            <v>0</v>
          </cell>
          <cell r="D621" t="str">
            <v>PHP</v>
          </cell>
          <cell r="E621">
            <v>0</v>
          </cell>
          <cell r="F621" t="str">
            <v>PC</v>
          </cell>
          <cell r="G621">
            <v>0</v>
          </cell>
        </row>
        <row r="622">
          <cell r="B622">
            <v>67983</v>
          </cell>
          <cell r="C622">
            <v>0</v>
          </cell>
          <cell r="D622" t="str">
            <v>PHP</v>
          </cell>
          <cell r="E622">
            <v>0</v>
          </cell>
          <cell r="F622" t="str">
            <v>PC</v>
          </cell>
          <cell r="G622">
            <v>0</v>
          </cell>
        </row>
        <row r="623">
          <cell r="B623">
            <v>67984</v>
          </cell>
          <cell r="C623">
            <v>0</v>
          </cell>
          <cell r="D623" t="str">
            <v>PHP</v>
          </cell>
          <cell r="E623">
            <v>0</v>
          </cell>
          <cell r="F623" t="str">
            <v>PC</v>
          </cell>
          <cell r="G623">
            <v>0</v>
          </cell>
        </row>
        <row r="624">
          <cell r="B624">
            <v>67985</v>
          </cell>
          <cell r="C624">
            <v>0</v>
          </cell>
          <cell r="D624" t="str">
            <v>PHP</v>
          </cell>
          <cell r="E624">
            <v>0</v>
          </cell>
          <cell r="F624" t="str">
            <v>PC</v>
          </cell>
          <cell r="G624">
            <v>0</v>
          </cell>
        </row>
        <row r="625">
          <cell r="B625">
            <v>67986</v>
          </cell>
          <cell r="C625">
            <v>0</v>
          </cell>
          <cell r="D625" t="str">
            <v>PHP</v>
          </cell>
          <cell r="E625">
            <v>0</v>
          </cell>
          <cell r="F625" t="str">
            <v>PC</v>
          </cell>
          <cell r="G625">
            <v>0</v>
          </cell>
        </row>
        <row r="626">
          <cell r="B626">
            <v>69321</v>
          </cell>
          <cell r="C626">
            <v>0</v>
          </cell>
          <cell r="D626" t="str">
            <v>PHP</v>
          </cell>
          <cell r="E626">
            <v>0</v>
          </cell>
          <cell r="F626" t="str">
            <v>SET</v>
          </cell>
          <cell r="G626">
            <v>0</v>
          </cell>
        </row>
        <row r="627">
          <cell r="B627">
            <v>69621</v>
          </cell>
          <cell r="C627">
            <v>0</v>
          </cell>
          <cell r="D627" t="str">
            <v>PHP</v>
          </cell>
          <cell r="E627">
            <v>0</v>
          </cell>
          <cell r="F627" t="str">
            <v>SET</v>
          </cell>
          <cell r="G627">
            <v>0</v>
          </cell>
        </row>
        <row r="628">
          <cell r="B628">
            <v>75783</v>
          </cell>
          <cell r="C628">
            <v>71002.69</v>
          </cell>
          <cell r="D628" t="str">
            <v>PHP</v>
          </cell>
          <cell r="E628">
            <v>1</v>
          </cell>
          <cell r="F628" t="str">
            <v>PC</v>
          </cell>
          <cell r="G628">
            <v>0</v>
          </cell>
        </row>
        <row r="629">
          <cell r="B629">
            <v>75784</v>
          </cell>
          <cell r="C629">
            <v>0</v>
          </cell>
          <cell r="D629" t="str">
            <v>PHP</v>
          </cell>
          <cell r="E629">
            <v>0</v>
          </cell>
          <cell r="F629" t="str">
            <v>PC</v>
          </cell>
          <cell r="G629">
            <v>0</v>
          </cell>
        </row>
        <row r="630">
          <cell r="B630">
            <v>75786</v>
          </cell>
          <cell r="C630">
            <v>0</v>
          </cell>
          <cell r="D630" t="str">
            <v>PHP</v>
          </cell>
          <cell r="E630">
            <v>0</v>
          </cell>
          <cell r="F630" t="str">
            <v>PC</v>
          </cell>
          <cell r="G630">
            <v>0</v>
          </cell>
        </row>
        <row r="631">
          <cell r="B631">
            <v>77681</v>
          </cell>
          <cell r="C631">
            <v>0</v>
          </cell>
          <cell r="D631" t="str">
            <v>PHP</v>
          </cell>
          <cell r="E631">
            <v>0</v>
          </cell>
          <cell r="F631" t="str">
            <v>PC</v>
          </cell>
          <cell r="G631">
            <v>0</v>
          </cell>
        </row>
        <row r="632">
          <cell r="B632">
            <v>77682</v>
          </cell>
          <cell r="C632">
            <v>484031.58</v>
          </cell>
          <cell r="D632" t="str">
            <v>PHP</v>
          </cell>
          <cell r="E632">
            <v>3</v>
          </cell>
          <cell r="F632" t="str">
            <v>SET</v>
          </cell>
          <cell r="G632">
            <v>0</v>
          </cell>
        </row>
        <row r="633">
          <cell r="B633">
            <v>80101</v>
          </cell>
          <cell r="C633">
            <v>40520</v>
          </cell>
          <cell r="D633" t="str">
            <v>PHP</v>
          </cell>
          <cell r="E633">
            <v>5</v>
          </cell>
          <cell r="F633" t="str">
            <v>PC</v>
          </cell>
          <cell r="G633">
            <v>0</v>
          </cell>
        </row>
        <row r="634">
          <cell r="B634">
            <v>80161</v>
          </cell>
          <cell r="C634">
            <v>151950</v>
          </cell>
          <cell r="D634" t="str">
            <v>PHP</v>
          </cell>
          <cell r="E634">
            <v>25</v>
          </cell>
          <cell r="F634" t="str">
            <v>PC</v>
          </cell>
          <cell r="G634">
            <v>0</v>
          </cell>
        </row>
        <row r="635">
          <cell r="B635">
            <v>85122</v>
          </cell>
          <cell r="C635">
            <v>0</v>
          </cell>
          <cell r="D635" t="str">
            <v>PHP</v>
          </cell>
          <cell r="E635">
            <v>0</v>
          </cell>
          <cell r="F635" t="str">
            <v>PC</v>
          </cell>
          <cell r="G635">
            <v>0</v>
          </cell>
        </row>
        <row r="636">
          <cell r="B636">
            <v>85203</v>
          </cell>
          <cell r="C636">
            <v>121141.16</v>
          </cell>
          <cell r="D636" t="str">
            <v>PHP</v>
          </cell>
          <cell r="E636">
            <v>14</v>
          </cell>
          <cell r="F636" t="str">
            <v>LEN</v>
          </cell>
          <cell r="G636">
            <v>0</v>
          </cell>
        </row>
        <row r="637">
          <cell r="B637">
            <v>85205</v>
          </cell>
          <cell r="C637">
            <v>5442078.7699999996</v>
          </cell>
          <cell r="D637" t="str">
            <v>PHP</v>
          </cell>
          <cell r="E637">
            <v>73</v>
          </cell>
          <cell r="F637" t="str">
            <v>LEN</v>
          </cell>
          <cell r="G637">
            <v>0</v>
          </cell>
        </row>
        <row r="638">
          <cell r="B638">
            <v>85206</v>
          </cell>
          <cell r="C638">
            <v>7923550</v>
          </cell>
          <cell r="D638" t="str">
            <v>PHP</v>
          </cell>
          <cell r="E638">
            <v>37</v>
          </cell>
          <cell r="F638" t="str">
            <v>LEN</v>
          </cell>
          <cell r="G638">
            <v>0</v>
          </cell>
        </row>
        <row r="639">
          <cell r="B639">
            <v>85207</v>
          </cell>
          <cell r="C639">
            <v>2148702.7200000002</v>
          </cell>
          <cell r="D639" t="str">
            <v>PHP</v>
          </cell>
          <cell r="E639">
            <v>96</v>
          </cell>
          <cell r="F639" t="str">
            <v>LEN</v>
          </cell>
          <cell r="G639">
            <v>0</v>
          </cell>
        </row>
        <row r="640">
          <cell r="B640">
            <v>85208</v>
          </cell>
          <cell r="C640">
            <v>13924256.189999999</v>
          </cell>
          <cell r="D640" t="str">
            <v>PHP</v>
          </cell>
          <cell r="E640">
            <v>611</v>
          </cell>
          <cell r="F640" t="str">
            <v>LEN</v>
          </cell>
          <cell r="G640">
            <v>0</v>
          </cell>
        </row>
        <row r="641">
          <cell r="B641">
            <v>85209</v>
          </cell>
          <cell r="C641">
            <v>1414534.26</v>
          </cell>
          <cell r="D641" t="str">
            <v>PHP</v>
          </cell>
          <cell r="E641">
            <v>26</v>
          </cell>
          <cell r="F641" t="str">
            <v>FT</v>
          </cell>
          <cell r="G641">
            <v>0</v>
          </cell>
        </row>
        <row r="642">
          <cell r="B642">
            <v>85210</v>
          </cell>
          <cell r="C642">
            <v>11477842.960000001</v>
          </cell>
          <cell r="D642" t="str">
            <v>PHP</v>
          </cell>
          <cell r="E642">
            <v>20</v>
          </cell>
          <cell r="F642" t="str">
            <v>LEN</v>
          </cell>
          <cell r="G642">
            <v>0</v>
          </cell>
        </row>
        <row r="643">
          <cell r="B643">
            <v>85211</v>
          </cell>
          <cell r="C643">
            <v>11969136.08</v>
          </cell>
          <cell r="D643" t="str">
            <v>PHP</v>
          </cell>
          <cell r="E643">
            <v>220</v>
          </cell>
          <cell r="F643" t="str">
            <v>LEN</v>
          </cell>
          <cell r="G643">
            <v>0</v>
          </cell>
        </row>
        <row r="644">
          <cell r="B644">
            <v>85212</v>
          </cell>
          <cell r="C644">
            <v>2821724.2</v>
          </cell>
          <cell r="D644" t="str">
            <v>PHP</v>
          </cell>
          <cell r="E644">
            <v>19</v>
          </cell>
          <cell r="F644" t="str">
            <v>LEN</v>
          </cell>
          <cell r="G644">
            <v>0</v>
          </cell>
        </row>
        <row r="645">
          <cell r="B645">
            <v>85213</v>
          </cell>
          <cell r="C645">
            <v>0</v>
          </cell>
          <cell r="D645" t="str">
            <v>PHP</v>
          </cell>
          <cell r="E645">
            <v>0</v>
          </cell>
          <cell r="F645" t="str">
            <v>PC</v>
          </cell>
          <cell r="G645">
            <v>0</v>
          </cell>
        </row>
        <row r="646">
          <cell r="B646">
            <v>85214</v>
          </cell>
          <cell r="C646">
            <v>293891.21000000002</v>
          </cell>
          <cell r="D646" t="str">
            <v>PHP</v>
          </cell>
          <cell r="E646">
            <v>1</v>
          </cell>
          <cell r="F646" t="str">
            <v>PC</v>
          </cell>
          <cell r="G646">
            <v>0</v>
          </cell>
        </row>
        <row r="647">
          <cell r="B647">
            <v>85215</v>
          </cell>
          <cell r="C647">
            <v>0</v>
          </cell>
          <cell r="D647" t="str">
            <v>PHP</v>
          </cell>
          <cell r="E647">
            <v>0</v>
          </cell>
          <cell r="F647" t="str">
            <v>SET</v>
          </cell>
          <cell r="G647">
            <v>0</v>
          </cell>
        </row>
        <row r="648">
          <cell r="B648">
            <v>85216</v>
          </cell>
          <cell r="C648">
            <v>0</v>
          </cell>
          <cell r="D648" t="str">
            <v>PHP</v>
          </cell>
          <cell r="E648">
            <v>0</v>
          </cell>
          <cell r="F648" t="str">
            <v>PC</v>
          </cell>
          <cell r="G648">
            <v>0</v>
          </cell>
        </row>
        <row r="649">
          <cell r="B649">
            <v>85229</v>
          </cell>
          <cell r="C649">
            <v>20779.2</v>
          </cell>
          <cell r="D649" t="str">
            <v>PHP</v>
          </cell>
          <cell r="E649">
            <v>2</v>
          </cell>
          <cell r="F649" t="str">
            <v>SET</v>
          </cell>
          <cell r="G649">
            <v>0</v>
          </cell>
        </row>
        <row r="650">
          <cell r="B650">
            <v>85235</v>
          </cell>
          <cell r="C650">
            <v>16883.099999999999</v>
          </cell>
          <cell r="D650" t="str">
            <v>PHP</v>
          </cell>
          <cell r="E650">
            <v>2</v>
          </cell>
          <cell r="F650" t="str">
            <v>SET</v>
          </cell>
          <cell r="G650">
            <v>0</v>
          </cell>
        </row>
        <row r="651">
          <cell r="B651">
            <v>85243</v>
          </cell>
          <cell r="C651">
            <v>141860.34</v>
          </cell>
          <cell r="D651" t="str">
            <v>PHP</v>
          </cell>
          <cell r="E651">
            <v>40</v>
          </cell>
          <cell r="F651" t="str">
            <v>PC</v>
          </cell>
          <cell r="G651">
            <v>0</v>
          </cell>
        </row>
        <row r="652">
          <cell r="B652">
            <v>85245</v>
          </cell>
          <cell r="C652">
            <v>0</v>
          </cell>
          <cell r="D652" t="str">
            <v>PHP</v>
          </cell>
          <cell r="E652">
            <v>0</v>
          </cell>
          <cell r="F652" t="str">
            <v>SET</v>
          </cell>
          <cell r="G652">
            <v>0</v>
          </cell>
        </row>
        <row r="653">
          <cell r="B653">
            <v>85310</v>
          </cell>
          <cell r="C653">
            <v>0</v>
          </cell>
          <cell r="D653" t="str">
            <v>PHP</v>
          </cell>
          <cell r="E653">
            <v>0</v>
          </cell>
          <cell r="F653" t="str">
            <v>PC</v>
          </cell>
          <cell r="G653">
            <v>0</v>
          </cell>
        </row>
        <row r="654">
          <cell r="B654">
            <v>85555</v>
          </cell>
          <cell r="C654">
            <v>0</v>
          </cell>
          <cell r="D654" t="str">
            <v>PHP</v>
          </cell>
          <cell r="E654">
            <v>0</v>
          </cell>
          <cell r="F654" t="str">
            <v>SET</v>
          </cell>
          <cell r="G654">
            <v>0</v>
          </cell>
        </row>
        <row r="655">
          <cell r="B655">
            <v>85569</v>
          </cell>
          <cell r="C655">
            <v>0</v>
          </cell>
          <cell r="D655" t="str">
            <v>PHP</v>
          </cell>
          <cell r="E655">
            <v>0</v>
          </cell>
          <cell r="F655" t="str">
            <v>ASY</v>
          </cell>
          <cell r="G655">
            <v>0</v>
          </cell>
        </row>
        <row r="656">
          <cell r="B656">
            <v>85570</v>
          </cell>
          <cell r="C656">
            <v>0</v>
          </cell>
          <cell r="D656" t="str">
            <v>PHP</v>
          </cell>
          <cell r="E656">
            <v>0</v>
          </cell>
          <cell r="F656" t="str">
            <v>ASY</v>
          </cell>
          <cell r="G656">
            <v>0</v>
          </cell>
        </row>
        <row r="657">
          <cell r="B657">
            <v>85579</v>
          </cell>
          <cell r="C657">
            <v>0</v>
          </cell>
          <cell r="D657" t="str">
            <v>PHP</v>
          </cell>
          <cell r="E657">
            <v>0</v>
          </cell>
          <cell r="F657" t="str">
            <v>PC</v>
          </cell>
          <cell r="G657">
            <v>0</v>
          </cell>
        </row>
        <row r="658">
          <cell r="B658">
            <v>85581</v>
          </cell>
          <cell r="C658">
            <v>0</v>
          </cell>
          <cell r="D658" t="str">
            <v>PHP</v>
          </cell>
          <cell r="E658">
            <v>0</v>
          </cell>
          <cell r="F658" t="str">
            <v>PC</v>
          </cell>
          <cell r="G658">
            <v>0</v>
          </cell>
        </row>
        <row r="659">
          <cell r="B659">
            <v>85582</v>
          </cell>
          <cell r="C659">
            <v>0</v>
          </cell>
          <cell r="D659" t="str">
            <v>PHP</v>
          </cell>
          <cell r="E659">
            <v>0</v>
          </cell>
          <cell r="F659" t="str">
            <v>PC</v>
          </cell>
          <cell r="G659">
            <v>0</v>
          </cell>
        </row>
        <row r="660">
          <cell r="B660">
            <v>85583</v>
          </cell>
          <cell r="C660">
            <v>0</v>
          </cell>
          <cell r="D660" t="str">
            <v>PHP</v>
          </cell>
          <cell r="E660">
            <v>0</v>
          </cell>
          <cell r="F660" t="str">
            <v>PC</v>
          </cell>
          <cell r="G660">
            <v>0</v>
          </cell>
        </row>
        <row r="661">
          <cell r="B661">
            <v>85589</v>
          </cell>
          <cell r="C661">
            <v>0</v>
          </cell>
          <cell r="D661" t="str">
            <v>PHP</v>
          </cell>
          <cell r="E661">
            <v>0</v>
          </cell>
          <cell r="F661" t="str">
            <v>PC</v>
          </cell>
          <cell r="G661">
            <v>0</v>
          </cell>
        </row>
        <row r="662">
          <cell r="B662">
            <v>85590</v>
          </cell>
          <cell r="C662">
            <v>0</v>
          </cell>
          <cell r="D662" t="str">
            <v>PHP</v>
          </cell>
          <cell r="E662">
            <v>0</v>
          </cell>
          <cell r="F662" t="str">
            <v>PC</v>
          </cell>
          <cell r="G662">
            <v>0</v>
          </cell>
        </row>
        <row r="663">
          <cell r="B663">
            <v>87086</v>
          </cell>
          <cell r="C663">
            <v>0</v>
          </cell>
          <cell r="D663" t="str">
            <v>PHP</v>
          </cell>
          <cell r="E663">
            <v>0</v>
          </cell>
          <cell r="F663" t="str">
            <v>ASY</v>
          </cell>
          <cell r="G663">
            <v>0</v>
          </cell>
        </row>
        <row r="664">
          <cell r="B664">
            <v>108569</v>
          </cell>
          <cell r="C664">
            <v>0</v>
          </cell>
          <cell r="D664" t="str">
            <v>PHP</v>
          </cell>
          <cell r="E664">
            <v>0</v>
          </cell>
          <cell r="F664" t="str">
            <v>PC</v>
          </cell>
          <cell r="G664">
            <v>0</v>
          </cell>
        </row>
        <row r="665">
          <cell r="B665">
            <v>108595</v>
          </cell>
          <cell r="C665">
            <v>0</v>
          </cell>
          <cell r="D665" t="str">
            <v>PHP</v>
          </cell>
          <cell r="E665">
            <v>0</v>
          </cell>
          <cell r="F665" t="str">
            <v>PC</v>
          </cell>
          <cell r="G665">
            <v>0</v>
          </cell>
        </row>
        <row r="666">
          <cell r="B666">
            <v>109061</v>
          </cell>
          <cell r="C666">
            <v>0</v>
          </cell>
          <cell r="D666" t="str">
            <v>PHP</v>
          </cell>
          <cell r="E666">
            <v>0</v>
          </cell>
          <cell r="F666" t="str">
            <v>LOT</v>
          </cell>
          <cell r="G666">
            <v>0</v>
          </cell>
        </row>
        <row r="667">
          <cell r="B667">
            <v>109107</v>
          </cell>
          <cell r="C667">
            <v>0</v>
          </cell>
          <cell r="D667" t="str">
            <v>PHP</v>
          </cell>
          <cell r="E667">
            <v>0</v>
          </cell>
          <cell r="F667" t="str">
            <v>PC</v>
          </cell>
          <cell r="G667">
            <v>0</v>
          </cell>
        </row>
        <row r="668">
          <cell r="B668">
            <v>109154</v>
          </cell>
          <cell r="C668">
            <v>0</v>
          </cell>
          <cell r="D668" t="str">
            <v>PHP</v>
          </cell>
          <cell r="E668">
            <v>0</v>
          </cell>
          <cell r="F668" t="str">
            <v>PC</v>
          </cell>
          <cell r="G668">
            <v>0</v>
          </cell>
        </row>
        <row r="669">
          <cell r="B669">
            <v>109191</v>
          </cell>
          <cell r="C669">
            <v>0</v>
          </cell>
          <cell r="D669" t="str">
            <v>PHP</v>
          </cell>
          <cell r="E669">
            <v>0</v>
          </cell>
          <cell r="F669" t="str">
            <v>GAL</v>
          </cell>
          <cell r="G669">
            <v>0</v>
          </cell>
        </row>
        <row r="670">
          <cell r="B670">
            <v>109228</v>
          </cell>
          <cell r="C670">
            <v>0</v>
          </cell>
          <cell r="D670" t="str">
            <v>PHP</v>
          </cell>
          <cell r="E670">
            <v>0</v>
          </cell>
          <cell r="F670" t="str">
            <v>PC</v>
          </cell>
          <cell r="G670">
            <v>0</v>
          </cell>
        </row>
        <row r="671">
          <cell r="B671">
            <v>109261</v>
          </cell>
          <cell r="C671">
            <v>26054.400000000001</v>
          </cell>
          <cell r="D671" t="str">
            <v>PHP</v>
          </cell>
          <cell r="E671">
            <v>3</v>
          </cell>
          <cell r="F671" t="str">
            <v>PL</v>
          </cell>
          <cell r="G671">
            <v>0</v>
          </cell>
        </row>
        <row r="672">
          <cell r="B672">
            <v>109767</v>
          </cell>
          <cell r="C672">
            <v>1509737.1</v>
          </cell>
          <cell r="D672" t="str">
            <v>PHP</v>
          </cell>
          <cell r="E672">
            <v>3</v>
          </cell>
          <cell r="F672" t="str">
            <v>PC</v>
          </cell>
          <cell r="G672">
            <v>0</v>
          </cell>
        </row>
        <row r="673">
          <cell r="B673">
            <v>110452</v>
          </cell>
          <cell r="C673">
            <v>1672871.41</v>
          </cell>
          <cell r="D673" t="str">
            <v>PHP</v>
          </cell>
          <cell r="E673">
            <v>7</v>
          </cell>
          <cell r="F673" t="str">
            <v>LEN</v>
          </cell>
          <cell r="G673">
            <v>0</v>
          </cell>
        </row>
        <row r="674">
          <cell r="B674">
            <v>110495</v>
          </cell>
          <cell r="C674">
            <v>244162</v>
          </cell>
          <cell r="D674" t="str">
            <v>PHP</v>
          </cell>
          <cell r="E674">
            <v>200</v>
          </cell>
          <cell r="F674" t="str">
            <v>BAG</v>
          </cell>
          <cell r="G674">
            <v>0</v>
          </cell>
        </row>
        <row r="675">
          <cell r="B675">
            <v>110525</v>
          </cell>
          <cell r="C675">
            <v>0</v>
          </cell>
          <cell r="D675" t="str">
            <v>PHP</v>
          </cell>
          <cell r="E675">
            <v>0</v>
          </cell>
          <cell r="F675" t="str">
            <v>CAN</v>
          </cell>
          <cell r="G675">
            <v>0</v>
          </cell>
        </row>
        <row r="676">
          <cell r="B676">
            <v>110533</v>
          </cell>
          <cell r="C676">
            <v>4466.28</v>
          </cell>
          <cell r="D676" t="str">
            <v>PHP</v>
          </cell>
          <cell r="E676">
            <v>6</v>
          </cell>
          <cell r="F676" t="str">
            <v>PL</v>
          </cell>
          <cell r="G676">
            <v>0</v>
          </cell>
        </row>
        <row r="677">
          <cell r="B677">
            <v>110534</v>
          </cell>
          <cell r="C677">
            <v>6114.6</v>
          </cell>
          <cell r="D677" t="str">
            <v>PHP</v>
          </cell>
          <cell r="E677">
            <v>9</v>
          </cell>
          <cell r="F677" t="str">
            <v>PL</v>
          </cell>
          <cell r="G677">
            <v>0</v>
          </cell>
        </row>
        <row r="678">
          <cell r="B678">
            <v>110874</v>
          </cell>
          <cell r="C678">
            <v>0</v>
          </cell>
          <cell r="D678" t="str">
            <v>PHP</v>
          </cell>
          <cell r="E678">
            <v>0</v>
          </cell>
          <cell r="F678" t="str">
            <v>BAG</v>
          </cell>
          <cell r="G678">
            <v>0</v>
          </cell>
        </row>
        <row r="679">
          <cell r="B679">
            <v>111128</v>
          </cell>
          <cell r="C679">
            <v>0</v>
          </cell>
          <cell r="D679" t="str">
            <v>PHP</v>
          </cell>
          <cell r="E679">
            <v>0</v>
          </cell>
          <cell r="F679" t="str">
            <v>PC</v>
          </cell>
          <cell r="G679">
            <v>0</v>
          </cell>
        </row>
        <row r="680">
          <cell r="B680">
            <v>111238</v>
          </cell>
          <cell r="C680">
            <v>672554.81</v>
          </cell>
          <cell r="D680" t="str">
            <v>PHP</v>
          </cell>
          <cell r="E680">
            <v>1</v>
          </cell>
          <cell r="F680" t="str">
            <v>PC</v>
          </cell>
          <cell r="G680">
            <v>0</v>
          </cell>
        </row>
        <row r="681">
          <cell r="B681">
            <v>111514</v>
          </cell>
          <cell r="C681">
            <v>0</v>
          </cell>
          <cell r="D681" t="str">
            <v>PHP</v>
          </cell>
          <cell r="E681">
            <v>0</v>
          </cell>
          <cell r="F681" t="str">
            <v>SET</v>
          </cell>
          <cell r="G681">
            <v>0</v>
          </cell>
        </row>
        <row r="682">
          <cell r="B682">
            <v>111522</v>
          </cell>
          <cell r="C682">
            <v>0</v>
          </cell>
          <cell r="D682" t="str">
            <v>PHP</v>
          </cell>
          <cell r="E682">
            <v>0</v>
          </cell>
          <cell r="F682" t="str">
            <v>PC</v>
          </cell>
          <cell r="G682">
            <v>0</v>
          </cell>
        </row>
        <row r="683">
          <cell r="B683">
            <v>111654</v>
          </cell>
          <cell r="C683">
            <v>672.57</v>
          </cell>
          <cell r="D683" t="str">
            <v>PHP</v>
          </cell>
          <cell r="E683">
            <v>4</v>
          </cell>
          <cell r="F683" t="str">
            <v>PC</v>
          </cell>
          <cell r="G683">
            <v>0</v>
          </cell>
        </row>
        <row r="684">
          <cell r="B684">
            <v>112533</v>
          </cell>
          <cell r="C684">
            <v>1062989.3899999999</v>
          </cell>
          <cell r="D684" t="str">
            <v>PHP</v>
          </cell>
          <cell r="E684">
            <v>98</v>
          </cell>
          <cell r="F684" t="str">
            <v>PC</v>
          </cell>
          <cell r="G684">
            <v>0</v>
          </cell>
        </row>
        <row r="685">
          <cell r="B685">
            <v>112534</v>
          </cell>
          <cell r="C685">
            <v>15666.96</v>
          </cell>
          <cell r="D685" t="str">
            <v>PHP</v>
          </cell>
          <cell r="E685">
            <v>8</v>
          </cell>
          <cell r="F685" t="str">
            <v>PC</v>
          </cell>
          <cell r="G685">
            <v>0</v>
          </cell>
        </row>
        <row r="686">
          <cell r="B686">
            <v>112535</v>
          </cell>
          <cell r="C686">
            <v>0</v>
          </cell>
          <cell r="D686" t="str">
            <v>PHP</v>
          </cell>
          <cell r="E686">
            <v>0</v>
          </cell>
          <cell r="F686" t="str">
            <v>PC</v>
          </cell>
          <cell r="G686">
            <v>0</v>
          </cell>
        </row>
        <row r="687">
          <cell r="B687">
            <v>114865</v>
          </cell>
          <cell r="C687">
            <v>0</v>
          </cell>
          <cell r="D687" t="str">
            <v>PHP</v>
          </cell>
          <cell r="E687">
            <v>0</v>
          </cell>
          <cell r="F687" t="str">
            <v>LEN</v>
          </cell>
          <cell r="G687">
            <v>0</v>
          </cell>
        </row>
        <row r="688">
          <cell r="B688">
            <v>115057</v>
          </cell>
          <cell r="C688">
            <v>0</v>
          </cell>
          <cell r="D688" t="str">
            <v>PHP</v>
          </cell>
          <cell r="E688">
            <v>0</v>
          </cell>
          <cell r="F688" t="str">
            <v>LEN</v>
          </cell>
          <cell r="G688">
            <v>0</v>
          </cell>
        </row>
        <row r="689">
          <cell r="B689">
            <v>115060</v>
          </cell>
          <cell r="C689">
            <v>3823759.46</v>
          </cell>
          <cell r="D689" t="str">
            <v>PHP</v>
          </cell>
          <cell r="E689">
            <v>2</v>
          </cell>
          <cell r="F689" t="str">
            <v>PC</v>
          </cell>
          <cell r="G689">
            <v>0</v>
          </cell>
        </row>
        <row r="690">
          <cell r="B690">
            <v>115423</v>
          </cell>
          <cell r="C690">
            <v>0</v>
          </cell>
          <cell r="D690" t="str">
            <v>PHP</v>
          </cell>
          <cell r="E690">
            <v>0</v>
          </cell>
          <cell r="F690" t="str">
            <v>PC</v>
          </cell>
          <cell r="G690">
            <v>0</v>
          </cell>
        </row>
        <row r="691">
          <cell r="B691">
            <v>115865</v>
          </cell>
          <cell r="C691">
            <v>0</v>
          </cell>
          <cell r="D691" t="str">
            <v>PHP</v>
          </cell>
          <cell r="E691">
            <v>0</v>
          </cell>
          <cell r="F691" t="str">
            <v>PC</v>
          </cell>
          <cell r="G691">
            <v>0</v>
          </cell>
        </row>
        <row r="692">
          <cell r="B692">
            <v>116809</v>
          </cell>
          <cell r="C692">
            <v>0</v>
          </cell>
          <cell r="D692" t="str">
            <v>PHP</v>
          </cell>
          <cell r="E692">
            <v>0</v>
          </cell>
          <cell r="F692" t="str">
            <v>PC</v>
          </cell>
          <cell r="G692">
            <v>0</v>
          </cell>
        </row>
        <row r="693">
          <cell r="B693">
            <v>120077</v>
          </cell>
          <cell r="C693">
            <v>311381.15999999997</v>
          </cell>
          <cell r="D693" t="str">
            <v>PHP</v>
          </cell>
          <cell r="E693">
            <v>159</v>
          </cell>
          <cell r="F693" t="str">
            <v>PC</v>
          </cell>
          <cell r="G693">
            <v>0</v>
          </cell>
        </row>
      </sheetData>
      <sheetData sheetId="3">
        <row r="6">
          <cell r="B6">
            <v>170</v>
          </cell>
          <cell r="C6">
            <v>0</v>
          </cell>
          <cell r="D6" t="str">
            <v>PHP</v>
          </cell>
          <cell r="E6">
            <v>0</v>
          </cell>
          <cell r="F6" t="str">
            <v>SET</v>
          </cell>
          <cell r="G6">
            <v>0</v>
          </cell>
        </row>
        <row r="7">
          <cell r="B7">
            <v>426</v>
          </cell>
          <cell r="C7">
            <v>0</v>
          </cell>
          <cell r="D7" t="str">
            <v>PHP</v>
          </cell>
          <cell r="E7">
            <v>0</v>
          </cell>
          <cell r="F7" t="str">
            <v>PC</v>
          </cell>
          <cell r="G7">
            <v>0</v>
          </cell>
        </row>
        <row r="8">
          <cell r="B8">
            <v>470</v>
          </cell>
          <cell r="C8">
            <v>0</v>
          </cell>
          <cell r="D8" t="str">
            <v>PHP</v>
          </cell>
          <cell r="E8">
            <v>0</v>
          </cell>
          <cell r="F8" t="str">
            <v>PC</v>
          </cell>
          <cell r="G8">
            <v>0</v>
          </cell>
        </row>
        <row r="9">
          <cell r="B9">
            <v>619</v>
          </cell>
          <cell r="C9">
            <v>0</v>
          </cell>
          <cell r="D9" t="str">
            <v>PHP</v>
          </cell>
          <cell r="E9">
            <v>0</v>
          </cell>
          <cell r="F9" t="str">
            <v>PC</v>
          </cell>
          <cell r="G9">
            <v>0</v>
          </cell>
        </row>
        <row r="10">
          <cell r="B10">
            <v>649</v>
          </cell>
          <cell r="C10">
            <v>0</v>
          </cell>
          <cell r="D10" t="str">
            <v>PHP</v>
          </cell>
          <cell r="E10">
            <v>0</v>
          </cell>
          <cell r="F10" t="str">
            <v>PC</v>
          </cell>
          <cell r="G10">
            <v>0</v>
          </cell>
        </row>
        <row r="11">
          <cell r="B11">
            <v>710</v>
          </cell>
          <cell r="C11">
            <v>652011.22</v>
          </cell>
          <cell r="D11" t="str">
            <v>PHP</v>
          </cell>
          <cell r="E11">
            <v>2</v>
          </cell>
          <cell r="F11" t="str">
            <v>PC</v>
          </cell>
          <cell r="G11">
            <v>0</v>
          </cell>
        </row>
        <row r="12">
          <cell r="B12">
            <v>981</v>
          </cell>
          <cell r="C12">
            <v>0</v>
          </cell>
          <cell r="D12" t="str">
            <v>PHP</v>
          </cell>
          <cell r="E12">
            <v>0</v>
          </cell>
          <cell r="F12" t="str">
            <v>PC</v>
          </cell>
          <cell r="G12">
            <v>0</v>
          </cell>
        </row>
        <row r="13">
          <cell r="B13">
            <v>988</v>
          </cell>
          <cell r="C13">
            <v>0</v>
          </cell>
          <cell r="D13" t="str">
            <v>PHP</v>
          </cell>
          <cell r="E13">
            <v>0</v>
          </cell>
          <cell r="F13" t="str">
            <v>PC</v>
          </cell>
          <cell r="G13">
            <v>0</v>
          </cell>
        </row>
        <row r="14">
          <cell r="B14">
            <v>1127</v>
          </cell>
          <cell r="C14">
            <v>3752.37</v>
          </cell>
          <cell r="D14" t="str">
            <v>PHP</v>
          </cell>
          <cell r="E14">
            <v>4</v>
          </cell>
          <cell r="F14" t="str">
            <v>PC</v>
          </cell>
          <cell r="G14">
            <v>0</v>
          </cell>
        </row>
        <row r="15">
          <cell r="B15">
            <v>1128</v>
          </cell>
          <cell r="C15">
            <v>2505.2800000000002</v>
          </cell>
          <cell r="D15" t="str">
            <v>PHP</v>
          </cell>
          <cell r="E15">
            <v>3</v>
          </cell>
          <cell r="F15" t="str">
            <v>PC</v>
          </cell>
          <cell r="G15">
            <v>0</v>
          </cell>
        </row>
        <row r="16">
          <cell r="B16">
            <v>1316</v>
          </cell>
          <cell r="C16">
            <v>0</v>
          </cell>
          <cell r="D16" t="str">
            <v>PHP</v>
          </cell>
          <cell r="E16">
            <v>0</v>
          </cell>
          <cell r="F16" t="str">
            <v>PC</v>
          </cell>
          <cell r="G16">
            <v>0</v>
          </cell>
        </row>
        <row r="17">
          <cell r="B17">
            <v>1368</v>
          </cell>
          <cell r="C17">
            <v>0</v>
          </cell>
          <cell r="D17" t="str">
            <v>PHP</v>
          </cell>
          <cell r="E17">
            <v>0</v>
          </cell>
          <cell r="F17" t="str">
            <v>PC</v>
          </cell>
          <cell r="G17">
            <v>0</v>
          </cell>
        </row>
        <row r="18">
          <cell r="B18">
            <v>1372</v>
          </cell>
          <cell r="C18">
            <v>0</v>
          </cell>
          <cell r="D18" t="str">
            <v>PHP</v>
          </cell>
          <cell r="E18">
            <v>0</v>
          </cell>
          <cell r="F18" t="str">
            <v>PC</v>
          </cell>
          <cell r="G18">
            <v>0</v>
          </cell>
        </row>
        <row r="19">
          <cell r="B19">
            <v>1855</v>
          </cell>
          <cell r="C19">
            <v>0</v>
          </cell>
          <cell r="D19" t="str">
            <v>PHP</v>
          </cell>
          <cell r="E19">
            <v>0</v>
          </cell>
          <cell r="F19" t="str">
            <v>PC</v>
          </cell>
          <cell r="G19">
            <v>0</v>
          </cell>
        </row>
        <row r="20">
          <cell r="B20">
            <v>1919</v>
          </cell>
          <cell r="C20">
            <v>0</v>
          </cell>
          <cell r="D20" t="str">
            <v>PHP</v>
          </cell>
          <cell r="E20">
            <v>0</v>
          </cell>
          <cell r="F20" t="str">
            <v>SET</v>
          </cell>
          <cell r="G20">
            <v>0</v>
          </cell>
        </row>
        <row r="21">
          <cell r="B21">
            <v>1923</v>
          </cell>
          <cell r="C21">
            <v>0</v>
          </cell>
          <cell r="D21" t="str">
            <v>PHP</v>
          </cell>
          <cell r="E21">
            <v>0</v>
          </cell>
          <cell r="F21" t="str">
            <v>PC</v>
          </cell>
          <cell r="G21">
            <v>0</v>
          </cell>
        </row>
        <row r="22">
          <cell r="B22">
            <v>1938</v>
          </cell>
          <cell r="C22">
            <v>0</v>
          </cell>
          <cell r="D22" t="str">
            <v>PHP</v>
          </cell>
          <cell r="E22">
            <v>0</v>
          </cell>
          <cell r="F22" t="str">
            <v>PC</v>
          </cell>
          <cell r="G22">
            <v>0</v>
          </cell>
        </row>
        <row r="23">
          <cell r="B23">
            <v>1962</v>
          </cell>
          <cell r="C23">
            <v>0</v>
          </cell>
          <cell r="D23" t="str">
            <v>PHP</v>
          </cell>
          <cell r="E23">
            <v>0</v>
          </cell>
          <cell r="F23" t="str">
            <v>PC</v>
          </cell>
          <cell r="G23">
            <v>0</v>
          </cell>
        </row>
        <row r="24">
          <cell r="B24">
            <v>1993</v>
          </cell>
          <cell r="C24">
            <v>0</v>
          </cell>
          <cell r="D24" t="str">
            <v>PHP</v>
          </cell>
          <cell r="E24">
            <v>0</v>
          </cell>
          <cell r="F24" t="str">
            <v>PC</v>
          </cell>
          <cell r="G24">
            <v>0</v>
          </cell>
        </row>
        <row r="25">
          <cell r="B25">
            <v>2220</v>
          </cell>
          <cell r="C25">
            <v>0</v>
          </cell>
          <cell r="D25" t="str">
            <v>PHP</v>
          </cell>
          <cell r="E25">
            <v>0</v>
          </cell>
          <cell r="F25" t="str">
            <v>PC</v>
          </cell>
          <cell r="G25">
            <v>0</v>
          </cell>
        </row>
        <row r="26">
          <cell r="B26">
            <v>2438</v>
          </cell>
          <cell r="C26">
            <v>0</v>
          </cell>
          <cell r="D26" t="str">
            <v>PHP</v>
          </cell>
          <cell r="E26">
            <v>0</v>
          </cell>
          <cell r="F26" t="str">
            <v>PC</v>
          </cell>
          <cell r="G26">
            <v>0</v>
          </cell>
        </row>
        <row r="27">
          <cell r="B27">
            <v>2759</v>
          </cell>
          <cell r="C27">
            <v>9470.92</v>
          </cell>
          <cell r="D27" t="str">
            <v>PHP</v>
          </cell>
          <cell r="E27">
            <v>12</v>
          </cell>
          <cell r="F27" t="str">
            <v>PC</v>
          </cell>
          <cell r="G27">
            <v>0</v>
          </cell>
        </row>
        <row r="28">
          <cell r="B28">
            <v>2886</v>
          </cell>
          <cell r="C28">
            <v>0</v>
          </cell>
          <cell r="D28" t="str">
            <v>PHP</v>
          </cell>
          <cell r="E28">
            <v>0</v>
          </cell>
          <cell r="F28" t="str">
            <v>PC</v>
          </cell>
          <cell r="G28">
            <v>0</v>
          </cell>
        </row>
        <row r="29">
          <cell r="B29">
            <v>2905</v>
          </cell>
          <cell r="C29">
            <v>0</v>
          </cell>
          <cell r="D29" t="str">
            <v>PHP</v>
          </cell>
          <cell r="E29">
            <v>0</v>
          </cell>
          <cell r="F29" t="str">
            <v>PC</v>
          </cell>
          <cell r="G29">
            <v>0</v>
          </cell>
        </row>
        <row r="30">
          <cell r="B30">
            <v>2949</v>
          </cell>
          <cell r="C30">
            <v>0</v>
          </cell>
          <cell r="D30" t="str">
            <v>PHP</v>
          </cell>
          <cell r="E30">
            <v>0</v>
          </cell>
          <cell r="F30" t="str">
            <v>PC</v>
          </cell>
          <cell r="G30">
            <v>0</v>
          </cell>
        </row>
        <row r="31">
          <cell r="B31">
            <v>3078</v>
          </cell>
          <cell r="C31">
            <v>0</v>
          </cell>
          <cell r="D31" t="str">
            <v>PHP</v>
          </cell>
          <cell r="E31">
            <v>0</v>
          </cell>
          <cell r="F31" t="str">
            <v>PC</v>
          </cell>
          <cell r="G31">
            <v>0</v>
          </cell>
        </row>
        <row r="32">
          <cell r="B32">
            <v>3086</v>
          </cell>
          <cell r="C32">
            <v>8807358.3000000007</v>
          </cell>
          <cell r="D32" t="str">
            <v>PHP</v>
          </cell>
          <cell r="E32">
            <v>255</v>
          </cell>
          <cell r="F32" t="str">
            <v>LEN</v>
          </cell>
          <cell r="G32">
            <v>0</v>
          </cell>
        </row>
        <row r="33">
          <cell r="B33">
            <v>3087</v>
          </cell>
          <cell r="C33">
            <v>11161598.279999999</v>
          </cell>
          <cell r="D33" t="str">
            <v>PHP</v>
          </cell>
          <cell r="E33">
            <v>251</v>
          </cell>
          <cell r="F33" t="str">
            <v>LEN</v>
          </cell>
          <cell r="G33">
            <v>0</v>
          </cell>
        </row>
        <row r="34">
          <cell r="B34">
            <v>3089</v>
          </cell>
          <cell r="C34">
            <v>841513.9</v>
          </cell>
          <cell r="D34" t="str">
            <v>PHP</v>
          </cell>
          <cell r="E34">
            <v>2</v>
          </cell>
          <cell r="F34" t="str">
            <v>LEN</v>
          </cell>
          <cell r="G34">
            <v>0</v>
          </cell>
        </row>
        <row r="35">
          <cell r="B35">
            <v>3091</v>
          </cell>
          <cell r="C35">
            <v>9378369.9800000004</v>
          </cell>
          <cell r="D35" t="str">
            <v>PHP</v>
          </cell>
          <cell r="E35">
            <v>73</v>
          </cell>
          <cell r="F35" t="str">
            <v>PC</v>
          </cell>
          <cell r="G35">
            <v>0</v>
          </cell>
        </row>
        <row r="36">
          <cell r="B36">
            <v>3109</v>
          </cell>
          <cell r="C36">
            <v>1086716.1599999999</v>
          </cell>
          <cell r="D36" t="str">
            <v>PHP</v>
          </cell>
          <cell r="E36">
            <v>136</v>
          </cell>
          <cell r="F36" t="str">
            <v>PC</v>
          </cell>
          <cell r="G36">
            <v>0</v>
          </cell>
        </row>
        <row r="37">
          <cell r="B37">
            <v>3144</v>
          </cell>
          <cell r="C37">
            <v>0</v>
          </cell>
          <cell r="D37" t="str">
            <v>PHP</v>
          </cell>
          <cell r="E37">
            <v>0</v>
          </cell>
          <cell r="F37" t="str">
            <v>PAD</v>
          </cell>
          <cell r="G37">
            <v>0</v>
          </cell>
        </row>
        <row r="38">
          <cell r="B38">
            <v>3149</v>
          </cell>
          <cell r="C38">
            <v>0</v>
          </cell>
          <cell r="D38" t="str">
            <v>PHP</v>
          </cell>
          <cell r="E38">
            <v>0</v>
          </cell>
          <cell r="F38" t="str">
            <v>PC</v>
          </cell>
          <cell r="G38">
            <v>0</v>
          </cell>
        </row>
        <row r="39">
          <cell r="B39">
            <v>3163</v>
          </cell>
          <cell r="C39">
            <v>0</v>
          </cell>
          <cell r="D39" t="str">
            <v>PHP</v>
          </cell>
          <cell r="E39">
            <v>0</v>
          </cell>
          <cell r="F39" t="str">
            <v>PC</v>
          </cell>
          <cell r="G39">
            <v>0</v>
          </cell>
        </row>
        <row r="40">
          <cell r="B40">
            <v>3242</v>
          </cell>
          <cell r="C40">
            <v>0</v>
          </cell>
          <cell r="D40" t="str">
            <v>PHP</v>
          </cell>
          <cell r="E40">
            <v>0</v>
          </cell>
          <cell r="F40" t="str">
            <v>PC</v>
          </cell>
          <cell r="G40">
            <v>0</v>
          </cell>
        </row>
        <row r="41">
          <cell r="B41">
            <v>3245</v>
          </cell>
          <cell r="C41">
            <v>0</v>
          </cell>
          <cell r="D41" t="str">
            <v>PHP</v>
          </cell>
          <cell r="E41">
            <v>0</v>
          </cell>
          <cell r="F41" t="str">
            <v>PC</v>
          </cell>
          <cell r="G41">
            <v>0</v>
          </cell>
        </row>
        <row r="42">
          <cell r="B42">
            <v>3262</v>
          </cell>
          <cell r="C42">
            <v>0</v>
          </cell>
          <cell r="D42" t="str">
            <v>PHP</v>
          </cell>
          <cell r="E42">
            <v>0</v>
          </cell>
          <cell r="F42" t="str">
            <v>PC</v>
          </cell>
          <cell r="G42">
            <v>0</v>
          </cell>
        </row>
        <row r="43">
          <cell r="B43">
            <v>3278</v>
          </cell>
          <cell r="C43">
            <v>58910.52</v>
          </cell>
          <cell r="D43" t="str">
            <v>PHP</v>
          </cell>
          <cell r="E43">
            <v>1</v>
          </cell>
          <cell r="F43" t="str">
            <v>PC</v>
          </cell>
          <cell r="G43">
            <v>0</v>
          </cell>
        </row>
        <row r="44">
          <cell r="B44">
            <v>3279</v>
          </cell>
          <cell r="C44">
            <v>0</v>
          </cell>
          <cell r="D44" t="str">
            <v>PHP</v>
          </cell>
          <cell r="E44">
            <v>0</v>
          </cell>
          <cell r="F44" t="str">
            <v>PC</v>
          </cell>
          <cell r="G44">
            <v>0</v>
          </cell>
        </row>
        <row r="45">
          <cell r="B45">
            <v>3398</v>
          </cell>
          <cell r="C45">
            <v>0</v>
          </cell>
          <cell r="D45" t="str">
            <v>PHP</v>
          </cell>
          <cell r="E45">
            <v>0</v>
          </cell>
          <cell r="F45" t="str">
            <v>PC</v>
          </cell>
          <cell r="G45">
            <v>0</v>
          </cell>
        </row>
        <row r="46">
          <cell r="B46">
            <v>3399</v>
          </cell>
          <cell r="C46">
            <v>0</v>
          </cell>
          <cell r="D46" t="str">
            <v>PHP</v>
          </cell>
          <cell r="E46">
            <v>0</v>
          </cell>
          <cell r="F46" t="str">
            <v>PC</v>
          </cell>
          <cell r="G46">
            <v>0</v>
          </cell>
        </row>
        <row r="47">
          <cell r="B47">
            <v>3456</v>
          </cell>
          <cell r="C47">
            <v>0</v>
          </cell>
          <cell r="D47" t="str">
            <v>PHP</v>
          </cell>
          <cell r="E47">
            <v>0</v>
          </cell>
          <cell r="F47" t="str">
            <v>DR</v>
          </cell>
          <cell r="G47">
            <v>0</v>
          </cell>
        </row>
        <row r="48">
          <cell r="B48">
            <v>3500</v>
          </cell>
          <cell r="C48">
            <v>0</v>
          </cell>
          <cell r="D48" t="str">
            <v>PHP</v>
          </cell>
          <cell r="E48">
            <v>0</v>
          </cell>
          <cell r="F48" t="str">
            <v>UT</v>
          </cell>
          <cell r="G48">
            <v>0</v>
          </cell>
        </row>
        <row r="49">
          <cell r="B49">
            <v>3713</v>
          </cell>
          <cell r="C49">
            <v>0</v>
          </cell>
          <cell r="D49" t="str">
            <v>PHP</v>
          </cell>
          <cell r="E49">
            <v>0</v>
          </cell>
          <cell r="F49" t="str">
            <v>UT</v>
          </cell>
          <cell r="G49">
            <v>0</v>
          </cell>
        </row>
        <row r="50">
          <cell r="B50">
            <v>3883</v>
          </cell>
          <cell r="C50">
            <v>85568.88</v>
          </cell>
          <cell r="D50" t="str">
            <v>PHP</v>
          </cell>
          <cell r="E50">
            <v>2</v>
          </cell>
          <cell r="F50" t="str">
            <v>PC</v>
          </cell>
          <cell r="G50">
            <v>0</v>
          </cell>
        </row>
        <row r="51">
          <cell r="B51">
            <v>4054</v>
          </cell>
          <cell r="C51">
            <v>0</v>
          </cell>
          <cell r="D51" t="str">
            <v>PHP</v>
          </cell>
          <cell r="E51">
            <v>0</v>
          </cell>
          <cell r="F51" t="str">
            <v>PC</v>
          </cell>
          <cell r="G51">
            <v>0</v>
          </cell>
        </row>
        <row r="52">
          <cell r="B52">
            <v>4057</v>
          </cell>
          <cell r="C52">
            <v>0</v>
          </cell>
          <cell r="D52" t="str">
            <v>PHP</v>
          </cell>
          <cell r="E52">
            <v>0</v>
          </cell>
          <cell r="F52" t="str">
            <v>PC</v>
          </cell>
          <cell r="G52">
            <v>0</v>
          </cell>
        </row>
        <row r="53">
          <cell r="B53">
            <v>4058</v>
          </cell>
          <cell r="C53">
            <v>0</v>
          </cell>
          <cell r="D53" t="str">
            <v>PHP</v>
          </cell>
          <cell r="E53">
            <v>0</v>
          </cell>
          <cell r="F53" t="str">
            <v>ASY</v>
          </cell>
          <cell r="G53">
            <v>0</v>
          </cell>
        </row>
        <row r="54">
          <cell r="B54">
            <v>4060</v>
          </cell>
          <cell r="C54">
            <v>0</v>
          </cell>
          <cell r="D54" t="str">
            <v>PHP</v>
          </cell>
          <cell r="E54">
            <v>0</v>
          </cell>
          <cell r="F54" t="str">
            <v>PC</v>
          </cell>
          <cell r="G54">
            <v>0</v>
          </cell>
        </row>
        <row r="55">
          <cell r="B55">
            <v>4061</v>
          </cell>
          <cell r="C55">
            <v>0</v>
          </cell>
          <cell r="D55" t="str">
            <v>PHP</v>
          </cell>
          <cell r="E55">
            <v>0</v>
          </cell>
          <cell r="F55" t="str">
            <v>PC</v>
          </cell>
          <cell r="G55">
            <v>0</v>
          </cell>
        </row>
        <row r="56">
          <cell r="B56">
            <v>4068</v>
          </cell>
          <cell r="C56">
            <v>0</v>
          </cell>
          <cell r="D56" t="str">
            <v>PHP</v>
          </cell>
          <cell r="E56">
            <v>0</v>
          </cell>
          <cell r="F56" t="str">
            <v>PC</v>
          </cell>
          <cell r="G56">
            <v>0</v>
          </cell>
        </row>
        <row r="57">
          <cell r="B57">
            <v>4219</v>
          </cell>
          <cell r="C57">
            <v>0</v>
          </cell>
          <cell r="D57" t="str">
            <v>PHP</v>
          </cell>
          <cell r="E57">
            <v>0</v>
          </cell>
          <cell r="F57" t="str">
            <v>UT</v>
          </cell>
          <cell r="G57">
            <v>0</v>
          </cell>
        </row>
        <row r="58">
          <cell r="B58">
            <v>4340</v>
          </cell>
          <cell r="C58">
            <v>0</v>
          </cell>
          <cell r="D58" t="str">
            <v>PHP</v>
          </cell>
          <cell r="E58">
            <v>0</v>
          </cell>
          <cell r="F58" t="str">
            <v>UT</v>
          </cell>
          <cell r="G58">
            <v>0</v>
          </cell>
        </row>
        <row r="59">
          <cell r="B59">
            <v>4607</v>
          </cell>
          <cell r="C59">
            <v>0</v>
          </cell>
          <cell r="D59" t="str">
            <v>PHP</v>
          </cell>
          <cell r="E59">
            <v>0</v>
          </cell>
          <cell r="F59" t="str">
            <v>PC</v>
          </cell>
          <cell r="G59">
            <v>0</v>
          </cell>
        </row>
        <row r="60">
          <cell r="B60">
            <v>4629</v>
          </cell>
          <cell r="C60">
            <v>0</v>
          </cell>
          <cell r="D60" t="str">
            <v>PHP</v>
          </cell>
          <cell r="E60">
            <v>0</v>
          </cell>
          <cell r="F60" t="str">
            <v>PC</v>
          </cell>
          <cell r="G60">
            <v>0</v>
          </cell>
        </row>
        <row r="61">
          <cell r="B61">
            <v>4630</v>
          </cell>
          <cell r="C61">
            <v>0</v>
          </cell>
          <cell r="D61" t="str">
            <v>PHP</v>
          </cell>
          <cell r="E61">
            <v>0</v>
          </cell>
          <cell r="F61" t="str">
            <v>PC</v>
          </cell>
          <cell r="G61">
            <v>0</v>
          </cell>
        </row>
        <row r="62">
          <cell r="B62">
            <v>4694</v>
          </cell>
          <cell r="C62">
            <v>0</v>
          </cell>
          <cell r="D62" t="str">
            <v>PHP</v>
          </cell>
          <cell r="E62">
            <v>0</v>
          </cell>
          <cell r="F62" t="str">
            <v>BOX</v>
          </cell>
          <cell r="G62">
            <v>0</v>
          </cell>
        </row>
        <row r="63">
          <cell r="B63">
            <v>4733</v>
          </cell>
          <cell r="C63">
            <v>0</v>
          </cell>
          <cell r="D63" t="str">
            <v>PHP</v>
          </cell>
          <cell r="E63">
            <v>0</v>
          </cell>
          <cell r="F63" t="str">
            <v>ASY</v>
          </cell>
          <cell r="G63">
            <v>0</v>
          </cell>
        </row>
        <row r="64">
          <cell r="B64">
            <v>4739</v>
          </cell>
          <cell r="C64">
            <v>0</v>
          </cell>
          <cell r="D64" t="str">
            <v>PHP</v>
          </cell>
          <cell r="E64">
            <v>0</v>
          </cell>
          <cell r="F64" t="str">
            <v>ASY</v>
          </cell>
          <cell r="G64">
            <v>0</v>
          </cell>
        </row>
        <row r="65">
          <cell r="B65">
            <v>4745</v>
          </cell>
          <cell r="C65">
            <v>0</v>
          </cell>
          <cell r="D65" t="str">
            <v>PHP</v>
          </cell>
          <cell r="E65">
            <v>0</v>
          </cell>
          <cell r="F65" t="str">
            <v>PC</v>
          </cell>
          <cell r="G65">
            <v>0</v>
          </cell>
        </row>
        <row r="66">
          <cell r="B66">
            <v>4887</v>
          </cell>
          <cell r="C66">
            <v>0</v>
          </cell>
          <cell r="D66" t="str">
            <v>PHP</v>
          </cell>
          <cell r="E66">
            <v>0</v>
          </cell>
          <cell r="F66" t="str">
            <v>KIT</v>
          </cell>
          <cell r="G66">
            <v>0</v>
          </cell>
        </row>
        <row r="67">
          <cell r="B67">
            <v>4907</v>
          </cell>
          <cell r="C67">
            <v>0</v>
          </cell>
          <cell r="D67" t="str">
            <v>PHP</v>
          </cell>
          <cell r="E67">
            <v>0</v>
          </cell>
          <cell r="F67" t="str">
            <v>SET</v>
          </cell>
          <cell r="G67">
            <v>0</v>
          </cell>
        </row>
        <row r="68">
          <cell r="B68">
            <v>4926</v>
          </cell>
          <cell r="C68">
            <v>0</v>
          </cell>
          <cell r="D68" t="str">
            <v>PHP</v>
          </cell>
          <cell r="E68">
            <v>0</v>
          </cell>
          <cell r="F68" t="str">
            <v>SET</v>
          </cell>
          <cell r="G68">
            <v>0</v>
          </cell>
        </row>
        <row r="69">
          <cell r="B69">
            <v>5066</v>
          </cell>
          <cell r="C69">
            <v>0</v>
          </cell>
          <cell r="D69" t="str">
            <v>PHP</v>
          </cell>
          <cell r="E69">
            <v>0</v>
          </cell>
          <cell r="F69" t="str">
            <v>PC</v>
          </cell>
          <cell r="G69">
            <v>0</v>
          </cell>
        </row>
        <row r="70">
          <cell r="B70">
            <v>5143</v>
          </cell>
          <cell r="C70">
            <v>0</v>
          </cell>
          <cell r="D70" t="str">
            <v>PHP</v>
          </cell>
          <cell r="E70">
            <v>0</v>
          </cell>
          <cell r="F70" t="str">
            <v>ASY</v>
          </cell>
          <cell r="G70">
            <v>0</v>
          </cell>
        </row>
        <row r="71">
          <cell r="B71">
            <v>5183</v>
          </cell>
          <cell r="C71">
            <v>0</v>
          </cell>
          <cell r="D71" t="str">
            <v>PHP</v>
          </cell>
          <cell r="E71">
            <v>0</v>
          </cell>
          <cell r="F71" t="str">
            <v>PC</v>
          </cell>
          <cell r="G71">
            <v>0</v>
          </cell>
        </row>
        <row r="72">
          <cell r="B72">
            <v>5303</v>
          </cell>
          <cell r="C72">
            <v>0</v>
          </cell>
          <cell r="D72" t="str">
            <v>PHP</v>
          </cell>
          <cell r="E72">
            <v>0</v>
          </cell>
          <cell r="F72" t="str">
            <v>PC</v>
          </cell>
          <cell r="G72">
            <v>0</v>
          </cell>
        </row>
        <row r="73">
          <cell r="B73">
            <v>5325</v>
          </cell>
          <cell r="C73">
            <v>0</v>
          </cell>
          <cell r="D73" t="str">
            <v>PHP</v>
          </cell>
          <cell r="E73">
            <v>0</v>
          </cell>
          <cell r="F73" t="str">
            <v>PC</v>
          </cell>
          <cell r="G73">
            <v>0</v>
          </cell>
        </row>
        <row r="74">
          <cell r="B74">
            <v>5326</v>
          </cell>
          <cell r="C74">
            <v>0</v>
          </cell>
          <cell r="D74" t="str">
            <v>PHP</v>
          </cell>
          <cell r="E74">
            <v>0</v>
          </cell>
          <cell r="F74" t="str">
            <v>PC</v>
          </cell>
          <cell r="G74">
            <v>0</v>
          </cell>
        </row>
        <row r="75">
          <cell r="B75">
            <v>5428</v>
          </cell>
          <cell r="C75">
            <v>58238.61</v>
          </cell>
          <cell r="D75" t="str">
            <v>PHP</v>
          </cell>
          <cell r="E75">
            <v>1</v>
          </cell>
          <cell r="F75" t="str">
            <v>PC</v>
          </cell>
          <cell r="G75">
            <v>0</v>
          </cell>
        </row>
        <row r="76">
          <cell r="B76">
            <v>5511</v>
          </cell>
          <cell r="C76">
            <v>0</v>
          </cell>
          <cell r="D76" t="str">
            <v>PHP</v>
          </cell>
          <cell r="E76">
            <v>0</v>
          </cell>
          <cell r="F76" t="str">
            <v>PC</v>
          </cell>
          <cell r="G76">
            <v>0</v>
          </cell>
        </row>
        <row r="77">
          <cell r="B77">
            <v>5625</v>
          </cell>
          <cell r="C77">
            <v>0</v>
          </cell>
          <cell r="D77" t="str">
            <v>PHP</v>
          </cell>
          <cell r="E77">
            <v>0</v>
          </cell>
          <cell r="F77" t="str">
            <v>DR</v>
          </cell>
          <cell r="G77">
            <v>0</v>
          </cell>
        </row>
        <row r="78">
          <cell r="B78">
            <v>5749</v>
          </cell>
          <cell r="C78">
            <v>0</v>
          </cell>
          <cell r="D78" t="str">
            <v>PHP</v>
          </cell>
          <cell r="E78">
            <v>0</v>
          </cell>
          <cell r="F78" t="str">
            <v>PC</v>
          </cell>
          <cell r="G78">
            <v>0</v>
          </cell>
        </row>
        <row r="79">
          <cell r="B79">
            <v>6040</v>
          </cell>
          <cell r="C79">
            <v>50689.26</v>
          </cell>
          <cell r="D79" t="str">
            <v>PHP</v>
          </cell>
          <cell r="E79">
            <v>6</v>
          </cell>
          <cell r="F79" t="str">
            <v>PC</v>
          </cell>
          <cell r="G79">
            <v>0</v>
          </cell>
        </row>
        <row r="80">
          <cell r="B80">
            <v>6059</v>
          </cell>
          <cell r="C80">
            <v>0</v>
          </cell>
          <cell r="D80" t="str">
            <v>PHP</v>
          </cell>
          <cell r="E80">
            <v>0</v>
          </cell>
          <cell r="F80" t="str">
            <v>UT</v>
          </cell>
          <cell r="G80">
            <v>0</v>
          </cell>
        </row>
        <row r="81">
          <cell r="B81">
            <v>6108</v>
          </cell>
          <cell r="C81">
            <v>0</v>
          </cell>
          <cell r="D81" t="str">
            <v>PHP</v>
          </cell>
          <cell r="E81">
            <v>0</v>
          </cell>
          <cell r="F81" t="str">
            <v>PC</v>
          </cell>
          <cell r="G81">
            <v>0</v>
          </cell>
        </row>
        <row r="82">
          <cell r="B82">
            <v>6109</v>
          </cell>
          <cell r="C82">
            <v>34986.160000000003</v>
          </cell>
          <cell r="D82" t="str">
            <v>PHP</v>
          </cell>
          <cell r="E82">
            <v>2</v>
          </cell>
          <cell r="F82" t="str">
            <v>PC</v>
          </cell>
          <cell r="G82">
            <v>0</v>
          </cell>
        </row>
        <row r="83">
          <cell r="B83">
            <v>6110</v>
          </cell>
          <cell r="C83">
            <v>0</v>
          </cell>
          <cell r="D83" t="str">
            <v>PHP</v>
          </cell>
          <cell r="E83">
            <v>0</v>
          </cell>
          <cell r="F83" t="str">
            <v>PC</v>
          </cell>
          <cell r="G83">
            <v>0</v>
          </cell>
        </row>
        <row r="84">
          <cell r="B84">
            <v>6111</v>
          </cell>
          <cell r="C84">
            <v>25725.119999999999</v>
          </cell>
          <cell r="D84" t="str">
            <v>PHP</v>
          </cell>
          <cell r="E84">
            <v>2</v>
          </cell>
          <cell r="F84" t="str">
            <v>PC</v>
          </cell>
          <cell r="G84">
            <v>0</v>
          </cell>
        </row>
        <row r="85">
          <cell r="B85">
            <v>6117</v>
          </cell>
          <cell r="C85">
            <v>0</v>
          </cell>
          <cell r="D85" t="str">
            <v>PHP</v>
          </cell>
          <cell r="E85">
            <v>0</v>
          </cell>
          <cell r="F85" t="str">
            <v>PC</v>
          </cell>
          <cell r="G85">
            <v>0</v>
          </cell>
        </row>
        <row r="86">
          <cell r="B86">
            <v>6119</v>
          </cell>
          <cell r="C86">
            <v>0</v>
          </cell>
          <cell r="D86" t="str">
            <v>PHP</v>
          </cell>
          <cell r="E86">
            <v>0</v>
          </cell>
          <cell r="F86" t="str">
            <v>PC</v>
          </cell>
          <cell r="G86">
            <v>0</v>
          </cell>
        </row>
        <row r="87">
          <cell r="B87">
            <v>6120</v>
          </cell>
          <cell r="C87">
            <v>0</v>
          </cell>
          <cell r="D87" t="str">
            <v>PHP</v>
          </cell>
          <cell r="E87">
            <v>0</v>
          </cell>
          <cell r="F87" t="str">
            <v>PC</v>
          </cell>
          <cell r="G87">
            <v>0</v>
          </cell>
        </row>
        <row r="88">
          <cell r="B88">
            <v>6212</v>
          </cell>
          <cell r="C88">
            <v>0</v>
          </cell>
          <cell r="D88" t="str">
            <v>PHP</v>
          </cell>
          <cell r="E88">
            <v>0</v>
          </cell>
          <cell r="F88" t="str">
            <v>PC</v>
          </cell>
          <cell r="G88">
            <v>0</v>
          </cell>
        </row>
        <row r="89">
          <cell r="B89">
            <v>6244</v>
          </cell>
          <cell r="C89">
            <v>0</v>
          </cell>
          <cell r="D89" t="str">
            <v>PHP</v>
          </cell>
          <cell r="E89">
            <v>0</v>
          </cell>
          <cell r="F89" t="str">
            <v>PC</v>
          </cell>
          <cell r="G89">
            <v>0</v>
          </cell>
        </row>
        <row r="90">
          <cell r="B90">
            <v>6247</v>
          </cell>
          <cell r="C90">
            <v>0</v>
          </cell>
          <cell r="D90" t="str">
            <v>PHP</v>
          </cell>
          <cell r="E90">
            <v>0</v>
          </cell>
          <cell r="F90" t="str">
            <v>UT</v>
          </cell>
          <cell r="G90">
            <v>0</v>
          </cell>
        </row>
        <row r="91">
          <cell r="B91">
            <v>6282</v>
          </cell>
          <cell r="C91">
            <v>0</v>
          </cell>
          <cell r="D91" t="str">
            <v>PHP</v>
          </cell>
          <cell r="E91">
            <v>0</v>
          </cell>
          <cell r="F91" t="str">
            <v>PC</v>
          </cell>
          <cell r="G91">
            <v>0</v>
          </cell>
        </row>
        <row r="92">
          <cell r="B92">
            <v>6283</v>
          </cell>
          <cell r="C92">
            <v>0</v>
          </cell>
          <cell r="D92" t="str">
            <v>PHP</v>
          </cell>
          <cell r="E92">
            <v>0</v>
          </cell>
          <cell r="F92" t="str">
            <v>PC</v>
          </cell>
          <cell r="G92">
            <v>0</v>
          </cell>
        </row>
        <row r="93">
          <cell r="B93">
            <v>6302</v>
          </cell>
          <cell r="C93">
            <v>0</v>
          </cell>
          <cell r="D93" t="str">
            <v>PHP</v>
          </cell>
          <cell r="E93">
            <v>0</v>
          </cell>
          <cell r="F93" t="str">
            <v>PC</v>
          </cell>
          <cell r="G93">
            <v>0</v>
          </cell>
        </row>
        <row r="94">
          <cell r="B94">
            <v>6394</v>
          </cell>
          <cell r="C94">
            <v>0</v>
          </cell>
          <cell r="D94" t="str">
            <v>PHP</v>
          </cell>
          <cell r="E94">
            <v>0</v>
          </cell>
          <cell r="F94" t="str">
            <v>PC</v>
          </cell>
          <cell r="G94">
            <v>0</v>
          </cell>
        </row>
        <row r="95">
          <cell r="B95">
            <v>6443</v>
          </cell>
          <cell r="C95">
            <v>0</v>
          </cell>
          <cell r="D95" t="str">
            <v>PHP</v>
          </cell>
          <cell r="E95">
            <v>0</v>
          </cell>
          <cell r="F95" t="str">
            <v>PC</v>
          </cell>
          <cell r="G95">
            <v>0</v>
          </cell>
        </row>
        <row r="96">
          <cell r="B96">
            <v>6502</v>
          </cell>
          <cell r="C96">
            <v>0</v>
          </cell>
          <cell r="D96" t="str">
            <v>PHP</v>
          </cell>
          <cell r="E96">
            <v>0</v>
          </cell>
          <cell r="F96" t="str">
            <v>PC</v>
          </cell>
          <cell r="G96">
            <v>0</v>
          </cell>
        </row>
        <row r="97">
          <cell r="B97">
            <v>6602</v>
          </cell>
          <cell r="C97">
            <v>0</v>
          </cell>
          <cell r="D97" t="str">
            <v>PHP</v>
          </cell>
          <cell r="E97">
            <v>0</v>
          </cell>
          <cell r="F97" t="str">
            <v>PC</v>
          </cell>
          <cell r="G97">
            <v>0</v>
          </cell>
        </row>
        <row r="98">
          <cell r="B98">
            <v>6663</v>
          </cell>
          <cell r="C98">
            <v>0</v>
          </cell>
          <cell r="D98" t="str">
            <v>PHP</v>
          </cell>
          <cell r="E98">
            <v>0</v>
          </cell>
          <cell r="F98" t="str">
            <v>PC</v>
          </cell>
          <cell r="G98">
            <v>0</v>
          </cell>
        </row>
        <row r="99">
          <cell r="B99">
            <v>6679</v>
          </cell>
          <cell r="C99">
            <v>0</v>
          </cell>
          <cell r="D99" t="str">
            <v>PHP</v>
          </cell>
          <cell r="E99">
            <v>0</v>
          </cell>
          <cell r="F99" t="str">
            <v>PC</v>
          </cell>
          <cell r="G99">
            <v>0</v>
          </cell>
        </row>
        <row r="100">
          <cell r="B100">
            <v>6696</v>
          </cell>
          <cell r="C100">
            <v>0</v>
          </cell>
          <cell r="D100" t="str">
            <v>PHP</v>
          </cell>
          <cell r="E100">
            <v>0</v>
          </cell>
          <cell r="F100" t="str">
            <v>PC</v>
          </cell>
          <cell r="G100">
            <v>0</v>
          </cell>
        </row>
        <row r="101">
          <cell r="B101">
            <v>6708</v>
          </cell>
          <cell r="C101">
            <v>0</v>
          </cell>
          <cell r="D101" t="str">
            <v>PHP</v>
          </cell>
          <cell r="E101">
            <v>0</v>
          </cell>
          <cell r="F101" t="str">
            <v>PC</v>
          </cell>
          <cell r="G101">
            <v>0</v>
          </cell>
        </row>
        <row r="102">
          <cell r="B102">
            <v>6709</v>
          </cell>
          <cell r="C102">
            <v>0</v>
          </cell>
          <cell r="D102" t="str">
            <v>PHP</v>
          </cell>
          <cell r="E102">
            <v>0</v>
          </cell>
          <cell r="F102" t="str">
            <v>PC</v>
          </cell>
          <cell r="G102">
            <v>0</v>
          </cell>
        </row>
        <row r="103">
          <cell r="B103">
            <v>6710</v>
          </cell>
          <cell r="C103">
            <v>0</v>
          </cell>
          <cell r="D103" t="str">
            <v>PHP</v>
          </cell>
          <cell r="E103">
            <v>0</v>
          </cell>
          <cell r="F103" t="str">
            <v>PC</v>
          </cell>
          <cell r="G103">
            <v>0</v>
          </cell>
        </row>
        <row r="104">
          <cell r="B104">
            <v>6711</v>
          </cell>
          <cell r="C104">
            <v>0</v>
          </cell>
          <cell r="D104" t="str">
            <v>PHP</v>
          </cell>
          <cell r="E104">
            <v>0</v>
          </cell>
          <cell r="F104" t="str">
            <v>PC</v>
          </cell>
          <cell r="G104">
            <v>0</v>
          </cell>
        </row>
        <row r="105">
          <cell r="B105">
            <v>6712</v>
          </cell>
          <cell r="C105">
            <v>0</v>
          </cell>
          <cell r="D105" t="str">
            <v>PHP</v>
          </cell>
          <cell r="E105">
            <v>0</v>
          </cell>
          <cell r="F105" t="str">
            <v>PC</v>
          </cell>
          <cell r="G105">
            <v>0</v>
          </cell>
        </row>
        <row r="106">
          <cell r="B106">
            <v>6824</v>
          </cell>
          <cell r="C106">
            <v>0</v>
          </cell>
          <cell r="D106" t="str">
            <v>PHP</v>
          </cell>
          <cell r="E106">
            <v>0</v>
          </cell>
          <cell r="F106" t="str">
            <v>PC</v>
          </cell>
          <cell r="G106">
            <v>0</v>
          </cell>
        </row>
        <row r="107">
          <cell r="B107">
            <v>6870</v>
          </cell>
          <cell r="C107">
            <v>0</v>
          </cell>
          <cell r="D107" t="str">
            <v>PHP</v>
          </cell>
          <cell r="E107">
            <v>0</v>
          </cell>
          <cell r="F107" t="str">
            <v>PC</v>
          </cell>
          <cell r="G107">
            <v>0</v>
          </cell>
        </row>
        <row r="108">
          <cell r="B108">
            <v>6912</v>
          </cell>
          <cell r="C108">
            <v>0</v>
          </cell>
          <cell r="D108" t="str">
            <v>PHP</v>
          </cell>
          <cell r="E108">
            <v>0</v>
          </cell>
          <cell r="F108" t="str">
            <v>PC</v>
          </cell>
          <cell r="G108">
            <v>0</v>
          </cell>
        </row>
        <row r="109">
          <cell r="B109">
            <v>6914</v>
          </cell>
          <cell r="C109">
            <v>466.94</v>
          </cell>
          <cell r="D109" t="str">
            <v>PHP</v>
          </cell>
          <cell r="E109">
            <v>6</v>
          </cell>
          <cell r="F109" t="str">
            <v>PC</v>
          </cell>
          <cell r="G109">
            <v>0</v>
          </cell>
        </row>
        <row r="110">
          <cell r="B110">
            <v>6915</v>
          </cell>
          <cell r="C110">
            <v>650.54</v>
          </cell>
          <cell r="D110" t="str">
            <v>PHP</v>
          </cell>
          <cell r="E110">
            <v>6</v>
          </cell>
          <cell r="F110" t="str">
            <v>PC</v>
          </cell>
          <cell r="G110">
            <v>0</v>
          </cell>
        </row>
        <row r="111">
          <cell r="B111">
            <v>7039</v>
          </cell>
          <cell r="C111">
            <v>0</v>
          </cell>
          <cell r="D111" t="str">
            <v>PHP</v>
          </cell>
          <cell r="E111">
            <v>0</v>
          </cell>
          <cell r="F111" t="str">
            <v>PC</v>
          </cell>
          <cell r="G111">
            <v>0</v>
          </cell>
        </row>
        <row r="112">
          <cell r="B112">
            <v>7056</v>
          </cell>
          <cell r="C112">
            <v>2053.4899999999998</v>
          </cell>
          <cell r="D112" t="str">
            <v>PHP</v>
          </cell>
          <cell r="E112">
            <v>6</v>
          </cell>
          <cell r="F112" t="str">
            <v>PC</v>
          </cell>
          <cell r="G112">
            <v>0</v>
          </cell>
        </row>
        <row r="113">
          <cell r="B113">
            <v>7058</v>
          </cell>
          <cell r="C113">
            <v>56.02</v>
          </cell>
          <cell r="D113" t="str">
            <v>PHP</v>
          </cell>
          <cell r="E113">
            <v>1</v>
          </cell>
          <cell r="F113" t="str">
            <v>PC</v>
          </cell>
          <cell r="G113">
            <v>0</v>
          </cell>
        </row>
        <row r="114">
          <cell r="B114">
            <v>7059</v>
          </cell>
          <cell r="C114">
            <v>236398.72</v>
          </cell>
          <cell r="D114" t="str">
            <v>PHP</v>
          </cell>
          <cell r="E114">
            <v>6</v>
          </cell>
          <cell r="F114" t="str">
            <v>PC</v>
          </cell>
          <cell r="G114">
            <v>0</v>
          </cell>
        </row>
        <row r="115">
          <cell r="B115">
            <v>7093</v>
          </cell>
          <cell r="C115">
            <v>0</v>
          </cell>
          <cell r="D115" t="str">
            <v>PHP</v>
          </cell>
          <cell r="E115">
            <v>0</v>
          </cell>
          <cell r="F115" t="str">
            <v>PC</v>
          </cell>
          <cell r="G115">
            <v>0</v>
          </cell>
        </row>
        <row r="116">
          <cell r="B116">
            <v>7124</v>
          </cell>
          <cell r="C116">
            <v>156104.35</v>
          </cell>
          <cell r="D116" t="str">
            <v>PHP</v>
          </cell>
          <cell r="E116">
            <v>1</v>
          </cell>
          <cell r="F116" t="str">
            <v>PC</v>
          </cell>
          <cell r="G116">
            <v>0</v>
          </cell>
        </row>
        <row r="117">
          <cell r="B117">
            <v>7513</v>
          </cell>
          <cell r="C117">
            <v>0</v>
          </cell>
          <cell r="D117" t="str">
            <v>PHP</v>
          </cell>
          <cell r="E117">
            <v>0</v>
          </cell>
          <cell r="F117" t="str">
            <v>PC</v>
          </cell>
          <cell r="G117">
            <v>0</v>
          </cell>
        </row>
        <row r="118">
          <cell r="B118">
            <v>7579</v>
          </cell>
          <cell r="C118">
            <v>0</v>
          </cell>
          <cell r="D118" t="str">
            <v>PHP</v>
          </cell>
          <cell r="E118">
            <v>0</v>
          </cell>
          <cell r="F118" t="str">
            <v>PC</v>
          </cell>
          <cell r="G118">
            <v>0</v>
          </cell>
        </row>
        <row r="119">
          <cell r="B119">
            <v>7580</v>
          </cell>
          <cell r="C119">
            <v>0</v>
          </cell>
          <cell r="D119" t="str">
            <v>PHP</v>
          </cell>
          <cell r="E119">
            <v>0</v>
          </cell>
          <cell r="F119" t="str">
            <v>PC</v>
          </cell>
          <cell r="G119">
            <v>0</v>
          </cell>
        </row>
        <row r="120">
          <cell r="B120">
            <v>7804</v>
          </cell>
          <cell r="C120">
            <v>0</v>
          </cell>
          <cell r="D120" t="str">
            <v>PHP</v>
          </cell>
          <cell r="E120">
            <v>0</v>
          </cell>
          <cell r="F120" t="str">
            <v>PC</v>
          </cell>
          <cell r="G120">
            <v>0</v>
          </cell>
        </row>
        <row r="121">
          <cell r="B121">
            <v>7937</v>
          </cell>
          <cell r="C121">
            <v>4657.3900000000003</v>
          </cell>
          <cell r="D121" t="str">
            <v>PHP</v>
          </cell>
          <cell r="E121">
            <v>1</v>
          </cell>
          <cell r="F121" t="str">
            <v>PC</v>
          </cell>
          <cell r="G121">
            <v>0</v>
          </cell>
        </row>
        <row r="122">
          <cell r="B122">
            <v>7994</v>
          </cell>
          <cell r="C122">
            <v>0</v>
          </cell>
          <cell r="D122" t="str">
            <v>PHP</v>
          </cell>
          <cell r="E122">
            <v>0</v>
          </cell>
          <cell r="F122" t="str">
            <v>PC</v>
          </cell>
          <cell r="G122">
            <v>0</v>
          </cell>
        </row>
        <row r="123">
          <cell r="B123">
            <v>8024</v>
          </cell>
          <cell r="C123">
            <v>0</v>
          </cell>
          <cell r="D123" t="str">
            <v>PHP</v>
          </cell>
          <cell r="E123">
            <v>0</v>
          </cell>
          <cell r="F123" t="str">
            <v>PC</v>
          </cell>
          <cell r="G123">
            <v>0</v>
          </cell>
        </row>
        <row r="124">
          <cell r="B124">
            <v>8092</v>
          </cell>
          <cell r="C124">
            <v>0</v>
          </cell>
          <cell r="D124" t="str">
            <v>PHP</v>
          </cell>
          <cell r="E124">
            <v>0</v>
          </cell>
          <cell r="F124" t="str">
            <v>PC</v>
          </cell>
          <cell r="G124">
            <v>0</v>
          </cell>
        </row>
        <row r="125">
          <cell r="B125">
            <v>8095</v>
          </cell>
          <cell r="C125">
            <v>0</v>
          </cell>
          <cell r="D125" t="str">
            <v>PHP</v>
          </cell>
          <cell r="E125">
            <v>0</v>
          </cell>
          <cell r="F125" t="str">
            <v>PC</v>
          </cell>
          <cell r="G125">
            <v>0</v>
          </cell>
        </row>
        <row r="126">
          <cell r="B126">
            <v>8151</v>
          </cell>
          <cell r="C126">
            <v>0</v>
          </cell>
          <cell r="D126" t="str">
            <v>PHP</v>
          </cell>
          <cell r="E126">
            <v>0</v>
          </cell>
          <cell r="F126" t="str">
            <v>PC</v>
          </cell>
          <cell r="G126">
            <v>0</v>
          </cell>
        </row>
        <row r="127">
          <cell r="B127">
            <v>8174</v>
          </cell>
          <cell r="C127">
            <v>0</v>
          </cell>
          <cell r="D127" t="str">
            <v>PHP</v>
          </cell>
          <cell r="E127">
            <v>0</v>
          </cell>
          <cell r="F127" t="str">
            <v>PC</v>
          </cell>
          <cell r="G127">
            <v>0</v>
          </cell>
        </row>
        <row r="128">
          <cell r="B128">
            <v>8186</v>
          </cell>
          <cell r="C128">
            <v>0</v>
          </cell>
          <cell r="D128" t="str">
            <v>PHP</v>
          </cell>
          <cell r="E128">
            <v>0</v>
          </cell>
          <cell r="F128" t="str">
            <v>PC</v>
          </cell>
          <cell r="G128">
            <v>0</v>
          </cell>
        </row>
        <row r="129">
          <cell r="B129">
            <v>8200</v>
          </cell>
          <cell r="C129">
            <v>0</v>
          </cell>
          <cell r="D129" t="str">
            <v>PHP</v>
          </cell>
          <cell r="E129">
            <v>0</v>
          </cell>
          <cell r="F129" t="str">
            <v>PC</v>
          </cell>
          <cell r="G129">
            <v>0</v>
          </cell>
        </row>
        <row r="130">
          <cell r="B130">
            <v>8247</v>
          </cell>
          <cell r="C130">
            <v>143311.95000000001</v>
          </cell>
          <cell r="D130" t="str">
            <v>PHP</v>
          </cell>
          <cell r="E130">
            <v>1</v>
          </cell>
          <cell r="F130" t="str">
            <v>PC</v>
          </cell>
          <cell r="G130">
            <v>0</v>
          </cell>
        </row>
        <row r="131">
          <cell r="B131">
            <v>8248</v>
          </cell>
          <cell r="C131">
            <v>0</v>
          </cell>
          <cell r="D131" t="str">
            <v>PHP</v>
          </cell>
          <cell r="E131">
            <v>0</v>
          </cell>
          <cell r="F131" t="str">
            <v>PC</v>
          </cell>
          <cell r="G131">
            <v>0</v>
          </cell>
        </row>
        <row r="132">
          <cell r="B132">
            <v>8341</v>
          </cell>
          <cell r="C132">
            <v>0</v>
          </cell>
          <cell r="D132" t="str">
            <v>PHP</v>
          </cell>
          <cell r="E132">
            <v>0</v>
          </cell>
          <cell r="F132" t="str">
            <v>PC</v>
          </cell>
          <cell r="G132">
            <v>0</v>
          </cell>
        </row>
        <row r="133">
          <cell r="B133">
            <v>8489</v>
          </cell>
          <cell r="C133">
            <v>51.88</v>
          </cell>
          <cell r="D133" t="str">
            <v>PHP</v>
          </cell>
          <cell r="E133">
            <v>2</v>
          </cell>
          <cell r="F133" t="str">
            <v>LB</v>
          </cell>
          <cell r="G133">
            <v>0</v>
          </cell>
        </row>
        <row r="134">
          <cell r="B134">
            <v>8551</v>
          </cell>
          <cell r="C134">
            <v>0</v>
          </cell>
          <cell r="D134" t="str">
            <v>PHP</v>
          </cell>
          <cell r="E134">
            <v>0</v>
          </cell>
          <cell r="F134" t="str">
            <v>DR</v>
          </cell>
          <cell r="G134">
            <v>0</v>
          </cell>
        </row>
        <row r="135">
          <cell r="B135">
            <v>8672</v>
          </cell>
          <cell r="C135">
            <v>0</v>
          </cell>
          <cell r="D135" t="str">
            <v>PHP</v>
          </cell>
          <cell r="E135">
            <v>0</v>
          </cell>
          <cell r="F135" t="str">
            <v>PC</v>
          </cell>
          <cell r="G135">
            <v>0</v>
          </cell>
        </row>
        <row r="136">
          <cell r="B136">
            <v>8713</v>
          </cell>
          <cell r="C136">
            <v>0</v>
          </cell>
          <cell r="D136" t="str">
            <v>PHP</v>
          </cell>
          <cell r="E136">
            <v>0</v>
          </cell>
          <cell r="F136" t="str">
            <v>PC</v>
          </cell>
          <cell r="G136">
            <v>0</v>
          </cell>
        </row>
        <row r="137">
          <cell r="B137">
            <v>8714</v>
          </cell>
          <cell r="C137">
            <v>117166.32</v>
          </cell>
          <cell r="D137" t="str">
            <v>PHP</v>
          </cell>
          <cell r="E137">
            <v>10</v>
          </cell>
          <cell r="F137" t="str">
            <v>PC</v>
          </cell>
          <cell r="G137">
            <v>0</v>
          </cell>
        </row>
        <row r="138">
          <cell r="B138">
            <v>8715</v>
          </cell>
          <cell r="C138">
            <v>58172.3</v>
          </cell>
          <cell r="D138" t="str">
            <v>PHP</v>
          </cell>
          <cell r="E138">
            <v>5</v>
          </cell>
          <cell r="F138" t="str">
            <v>PC</v>
          </cell>
          <cell r="G138">
            <v>0</v>
          </cell>
        </row>
        <row r="139">
          <cell r="B139">
            <v>8719</v>
          </cell>
          <cell r="C139">
            <v>246953.24</v>
          </cell>
          <cell r="D139" t="str">
            <v>PHP</v>
          </cell>
          <cell r="E139">
            <v>12</v>
          </cell>
          <cell r="F139" t="str">
            <v>PC</v>
          </cell>
          <cell r="G139">
            <v>0</v>
          </cell>
        </row>
        <row r="140">
          <cell r="B140">
            <v>8721</v>
          </cell>
          <cell r="C140">
            <v>210000</v>
          </cell>
          <cell r="D140" t="str">
            <v>PHP</v>
          </cell>
          <cell r="E140">
            <v>5</v>
          </cell>
          <cell r="F140" t="str">
            <v>PC</v>
          </cell>
          <cell r="G140">
            <v>0</v>
          </cell>
        </row>
        <row r="141">
          <cell r="B141">
            <v>8849</v>
          </cell>
          <cell r="C141">
            <v>0</v>
          </cell>
          <cell r="D141" t="str">
            <v>PHP</v>
          </cell>
          <cell r="E141">
            <v>0</v>
          </cell>
          <cell r="F141" t="str">
            <v>PC</v>
          </cell>
          <cell r="G141">
            <v>0</v>
          </cell>
        </row>
        <row r="142">
          <cell r="B142">
            <v>8874</v>
          </cell>
          <cell r="C142">
            <v>0</v>
          </cell>
          <cell r="D142" t="str">
            <v>PHP</v>
          </cell>
          <cell r="E142">
            <v>0</v>
          </cell>
          <cell r="F142" t="str">
            <v>PC</v>
          </cell>
          <cell r="G142">
            <v>0</v>
          </cell>
        </row>
        <row r="143">
          <cell r="B143">
            <v>8889</v>
          </cell>
          <cell r="C143">
            <v>18783039.719999999</v>
          </cell>
          <cell r="D143" t="str">
            <v>PHP</v>
          </cell>
          <cell r="E143">
            <v>13</v>
          </cell>
          <cell r="F143" t="str">
            <v>PC</v>
          </cell>
          <cell r="G143">
            <v>0</v>
          </cell>
        </row>
        <row r="144">
          <cell r="B144">
            <v>8890</v>
          </cell>
          <cell r="C144">
            <v>0</v>
          </cell>
          <cell r="D144" t="str">
            <v>PHP</v>
          </cell>
          <cell r="E144">
            <v>0</v>
          </cell>
          <cell r="F144" t="str">
            <v>PC</v>
          </cell>
          <cell r="G144">
            <v>0</v>
          </cell>
        </row>
        <row r="145">
          <cell r="B145">
            <v>8905</v>
          </cell>
          <cell r="C145">
            <v>2620202.2000000002</v>
          </cell>
          <cell r="D145" t="str">
            <v>PHP</v>
          </cell>
          <cell r="E145">
            <v>1</v>
          </cell>
          <cell r="F145" t="str">
            <v>PC</v>
          </cell>
          <cell r="G145">
            <v>0</v>
          </cell>
        </row>
        <row r="146">
          <cell r="B146">
            <v>8906</v>
          </cell>
          <cell r="C146">
            <v>0</v>
          </cell>
          <cell r="D146" t="str">
            <v>PHP</v>
          </cell>
          <cell r="E146">
            <v>0</v>
          </cell>
          <cell r="F146" t="str">
            <v>PC</v>
          </cell>
          <cell r="G146">
            <v>0</v>
          </cell>
        </row>
        <row r="147">
          <cell r="B147">
            <v>8908</v>
          </cell>
          <cell r="C147">
            <v>0</v>
          </cell>
          <cell r="D147" t="str">
            <v>PHP</v>
          </cell>
          <cell r="E147">
            <v>0</v>
          </cell>
          <cell r="F147" t="str">
            <v>PC</v>
          </cell>
          <cell r="G147">
            <v>0</v>
          </cell>
        </row>
        <row r="148">
          <cell r="B148">
            <v>8911</v>
          </cell>
          <cell r="C148">
            <v>856186.41</v>
          </cell>
          <cell r="D148" t="str">
            <v>PHP</v>
          </cell>
          <cell r="E148">
            <v>4</v>
          </cell>
          <cell r="F148" t="str">
            <v>PC</v>
          </cell>
          <cell r="G148">
            <v>0</v>
          </cell>
        </row>
        <row r="149">
          <cell r="B149">
            <v>8914</v>
          </cell>
          <cell r="C149">
            <v>0</v>
          </cell>
          <cell r="D149" t="str">
            <v>PHP</v>
          </cell>
          <cell r="E149">
            <v>0</v>
          </cell>
          <cell r="F149" t="str">
            <v>PC</v>
          </cell>
          <cell r="G149">
            <v>0</v>
          </cell>
        </row>
        <row r="150">
          <cell r="B150">
            <v>8915</v>
          </cell>
          <cell r="C150">
            <v>0</v>
          </cell>
          <cell r="D150" t="str">
            <v>PHP</v>
          </cell>
          <cell r="E150">
            <v>0</v>
          </cell>
          <cell r="F150" t="str">
            <v>PC</v>
          </cell>
          <cell r="G150">
            <v>0</v>
          </cell>
        </row>
        <row r="151">
          <cell r="B151">
            <v>9147</v>
          </cell>
          <cell r="C151">
            <v>1272.27</v>
          </cell>
          <cell r="D151" t="str">
            <v>PHP</v>
          </cell>
          <cell r="E151">
            <v>16</v>
          </cell>
          <cell r="F151" t="str">
            <v>SET</v>
          </cell>
          <cell r="G151">
            <v>0</v>
          </cell>
        </row>
        <row r="152">
          <cell r="B152">
            <v>9148</v>
          </cell>
          <cell r="C152">
            <v>423.74</v>
          </cell>
          <cell r="D152" t="str">
            <v>PHP</v>
          </cell>
          <cell r="E152">
            <v>1</v>
          </cell>
          <cell r="F152" t="str">
            <v>SET</v>
          </cell>
          <cell r="G152">
            <v>0</v>
          </cell>
        </row>
        <row r="153">
          <cell r="B153">
            <v>9151</v>
          </cell>
          <cell r="C153">
            <v>44510</v>
          </cell>
          <cell r="D153" t="str">
            <v>PHP</v>
          </cell>
          <cell r="E153">
            <v>100</v>
          </cell>
          <cell r="F153" t="str">
            <v>SET</v>
          </cell>
          <cell r="G153">
            <v>0</v>
          </cell>
        </row>
        <row r="154">
          <cell r="B154">
            <v>9526</v>
          </cell>
          <cell r="C154">
            <v>0</v>
          </cell>
          <cell r="D154" t="str">
            <v>PHP</v>
          </cell>
          <cell r="E154">
            <v>0</v>
          </cell>
          <cell r="F154" t="str">
            <v>PC</v>
          </cell>
          <cell r="G154">
            <v>0</v>
          </cell>
        </row>
        <row r="155">
          <cell r="B155">
            <v>9527</v>
          </cell>
          <cell r="C155">
            <v>0</v>
          </cell>
          <cell r="D155" t="str">
            <v>PHP</v>
          </cell>
          <cell r="E155">
            <v>0</v>
          </cell>
          <cell r="F155" t="str">
            <v>PC</v>
          </cell>
          <cell r="G155">
            <v>0</v>
          </cell>
        </row>
        <row r="156">
          <cell r="B156">
            <v>9578</v>
          </cell>
          <cell r="C156">
            <v>0</v>
          </cell>
          <cell r="D156" t="str">
            <v>PHP</v>
          </cell>
          <cell r="E156">
            <v>0</v>
          </cell>
          <cell r="F156" t="str">
            <v>PC</v>
          </cell>
          <cell r="G156">
            <v>0</v>
          </cell>
        </row>
        <row r="157">
          <cell r="B157">
            <v>9634</v>
          </cell>
          <cell r="C157">
            <v>931738.93</v>
          </cell>
          <cell r="D157" t="str">
            <v>PHP</v>
          </cell>
          <cell r="E157">
            <v>5</v>
          </cell>
          <cell r="F157" t="str">
            <v>SET</v>
          </cell>
          <cell r="G157">
            <v>0</v>
          </cell>
        </row>
        <row r="158">
          <cell r="B158">
            <v>9747</v>
          </cell>
          <cell r="C158">
            <v>0</v>
          </cell>
          <cell r="D158" t="str">
            <v>PHP</v>
          </cell>
          <cell r="E158">
            <v>0</v>
          </cell>
          <cell r="F158" t="str">
            <v>BAG</v>
          </cell>
          <cell r="G158">
            <v>0</v>
          </cell>
        </row>
        <row r="159">
          <cell r="B159">
            <v>9748</v>
          </cell>
          <cell r="C159">
            <v>0</v>
          </cell>
          <cell r="D159" t="str">
            <v>PHP</v>
          </cell>
          <cell r="E159">
            <v>0</v>
          </cell>
          <cell r="F159" t="str">
            <v>BAG</v>
          </cell>
          <cell r="G159">
            <v>0</v>
          </cell>
        </row>
        <row r="160">
          <cell r="B160">
            <v>9784</v>
          </cell>
          <cell r="C160">
            <v>0</v>
          </cell>
          <cell r="D160" t="str">
            <v>PHP</v>
          </cell>
          <cell r="E160">
            <v>0</v>
          </cell>
          <cell r="F160" t="str">
            <v>PC</v>
          </cell>
          <cell r="G160">
            <v>0</v>
          </cell>
        </row>
        <row r="161">
          <cell r="B161">
            <v>9786</v>
          </cell>
          <cell r="C161">
            <v>0</v>
          </cell>
          <cell r="D161" t="str">
            <v>PHP</v>
          </cell>
          <cell r="E161">
            <v>0</v>
          </cell>
          <cell r="F161" t="str">
            <v>PC</v>
          </cell>
          <cell r="G161">
            <v>0</v>
          </cell>
        </row>
        <row r="162">
          <cell r="B162">
            <v>9787</v>
          </cell>
          <cell r="C162">
            <v>0</v>
          </cell>
          <cell r="D162" t="str">
            <v>PHP</v>
          </cell>
          <cell r="E162">
            <v>0</v>
          </cell>
          <cell r="F162" t="str">
            <v>PC</v>
          </cell>
          <cell r="G162">
            <v>0</v>
          </cell>
        </row>
        <row r="163">
          <cell r="B163">
            <v>9793</v>
          </cell>
          <cell r="C163">
            <v>0</v>
          </cell>
          <cell r="D163" t="str">
            <v>PHP</v>
          </cell>
          <cell r="E163">
            <v>0</v>
          </cell>
          <cell r="F163" t="str">
            <v>PC</v>
          </cell>
          <cell r="G163">
            <v>0</v>
          </cell>
        </row>
        <row r="164">
          <cell r="B164">
            <v>10138</v>
          </cell>
          <cell r="C164">
            <v>7608973.0199999996</v>
          </cell>
          <cell r="D164" t="str">
            <v>PHP</v>
          </cell>
          <cell r="E164">
            <v>406</v>
          </cell>
          <cell r="F164" t="str">
            <v>LEN</v>
          </cell>
          <cell r="G164">
            <v>0</v>
          </cell>
        </row>
        <row r="165">
          <cell r="B165">
            <v>10140</v>
          </cell>
          <cell r="C165">
            <v>2072002.38</v>
          </cell>
          <cell r="D165" t="str">
            <v>PHP</v>
          </cell>
          <cell r="E165">
            <v>7</v>
          </cell>
          <cell r="F165" t="str">
            <v>LEN</v>
          </cell>
          <cell r="G165">
            <v>0</v>
          </cell>
        </row>
        <row r="166">
          <cell r="B166">
            <v>10141</v>
          </cell>
          <cell r="C166">
            <v>0</v>
          </cell>
          <cell r="D166" t="str">
            <v>PHP</v>
          </cell>
          <cell r="E166">
            <v>0</v>
          </cell>
          <cell r="F166" t="str">
            <v>LEN</v>
          </cell>
          <cell r="G166">
            <v>0</v>
          </cell>
        </row>
        <row r="167">
          <cell r="B167">
            <v>10145</v>
          </cell>
          <cell r="C167">
            <v>35630640.609999999</v>
          </cell>
          <cell r="D167" t="str">
            <v>PHP</v>
          </cell>
          <cell r="E167">
            <v>236</v>
          </cell>
          <cell r="F167" t="str">
            <v>PC</v>
          </cell>
          <cell r="G167">
            <v>0</v>
          </cell>
        </row>
        <row r="168">
          <cell r="B168">
            <v>10147</v>
          </cell>
          <cell r="C168">
            <v>4185761.38</v>
          </cell>
          <cell r="D168" t="str">
            <v>PHP</v>
          </cell>
          <cell r="E168">
            <v>62</v>
          </cell>
          <cell r="F168" t="str">
            <v>LEN</v>
          </cell>
          <cell r="G168">
            <v>0</v>
          </cell>
        </row>
        <row r="169">
          <cell r="B169">
            <v>10148</v>
          </cell>
          <cell r="C169">
            <v>0</v>
          </cell>
          <cell r="D169" t="str">
            <v>PHP</v>
          </cell>
          <cell r="E169">
            <v>0</v>
          </cell>
          <cell r="F169" t="str">
            <v>PC</v>
          </cell>
          <cell r="G169">
            <v>0</v>
          </cell>
        </row>
        <row r="170">
          <cell r="B170">
            <v>10149</v>
          </cell>
          <cell r="C170">
            <v>13003631.300000001</v>
          </cell>
          <cell r="D170" t="str">
            <v>PHP</v>
          </cell>
          <cell r="E170">
            <v>230</v>
          </cell>
          <cell r="F170" t="str">
            <v>PC</v>
          </cell>
          <cell r="G170">
            <v>0</v>
          </cell>
        </row>
        <row r="171">
          <cell r="B171">
            <v>10151</v>
          </cell>
          <cell r="C171">
            <v>1508613.31</v>
          </cell>
          <cell r="D171" t="str">
            <v>PHP</v>
          </cell>
          <cell r="E171">
            <v>19</v>
          </cell>
          <cell r="F171" t="str">
            <v>LEN</v>
          </cell>
          <cell r="G171">
            <v>0</v>
          </cell>
        </row>
        <row r="172">
          <cell r="B172">
            <v>10154</v>
          </cell>
          <cell r="C172">
            <v>8920692.5</v>
          </cell>
          <cell r="D172" t="str">
            <v>PHP</v>
          </cell>
          <cell r="E172">
            <v>445</v>
          </cell>
          <cell r="F172" t="str">
            <v>LEN</v>
          </cell>
          <cell r="G172">
            <v>0</v>
          </cell>
        </row>
        <row r="173">
          <cell r="B173">
            <v>10158</v>
          </cell>
          <cell r="C173">
            <v>0</v>
          </cell>
          <cell r="D173" t="str">
            <v>PHP</v>
          </cell>
          <cell r="E173">
            <v>0</v>
          </cell>
          <cell r="F173" t="str">
            <v>PC</v>
          </cell>
          <cell r="G173">
            <v>0</v>
          </cell>
        </row>
        <row r="174">
          <cell r="B174">
            <v>10172</v>
          </cell>
          <cell r="C174">
            <v>33585.24</v>
          </cell>
          <cell r="D174" t="str">
            <v>PHP</v>
          </cell>
          <cell r="E174">
            <v>11</v>
          </cell>
          <cell r="F174" t="str">
            <v>PC</v>
          </cell>
          <cell r="G174">
            <v>0</v>
          </cell>
        </row>
        <row r="175">
          <cell r="B175">
            <v>10173</v>
          </cell>
          <cell r="C175">
            <v>128210.1</v>
          </cell>
          <cell r="D175" t="str">
            <v>PHP</v>
          </cell>
          <cell r="E175">
            <v>30</v>
          </cell>
          <cell r="F175" t="str">
            <v>PC</v>
          </cell>
          <cell r="G175">
            <v>0</v>
          </cell>
        </row>
        <row r="176">
          <cell r="B176">
            <v>10175</v>
          </cell>
          <cell r="C176">
            <v>865854.49</v>
          </cell>
          <cell r="D176" t="str">
            <v>PHP</v>
          </cell>
          <cell r="E176">
            <v>77</v>
          </cell>
          <cell r="F176" t="str">
            <v>PC</v>
          </cell>
          <cell r="G176">
            <v>0</v>
          </cell>
        </row>
        <row r="177">
          <cell r="B177">
            <v>10176</v>
          </cell>
          <cell r="C177">
            <v>1128632.77</v>
          </cell>
          <cell r="D177" t="str">
            <v>PHP</v>
          </cell>
          <cell r="E177">
            <v>827</v>
          </cell>
          <cell r="F177" t="str">
            <v>SET</v>
          </cell>
          <cell r="G177">
            <v>0</v>
          </cell>
        </row>
        <row r="178">
          <cell r="B178">
            <v>10177</v>
          </cell>
          <cell r="C178">
            <v>503819.68</v>
          </cell>
          <cell r="D178" t="str">
            <v>PHP</v>
          </cell>
          <cell r="E178">
            <v>208</v>
          </cell>
          <cell r="F178" t="str">
            <v>SET</v>
          </cell>
          <cell r="G178">
            <v>0</v>
          </cell>
        </row>
        <row r="179">
          <cell r="B179">
            <v>10179</v>
          </cell>
          <cell r="C179">
            <v>0</v>
          </cell>
          <cell r="D179" t="str">
            <v>PHP</v>
          </cell>
          <cell r="E179">
            <v>0</v>
          </cell>
          <cell r="F179" t="str">
            <v>PC</v>
          </cell>
          <cell r="G179">
            <v>0</v>
          </cell>
        </row>
        <row r="180">
          <cell r="B180">
            <v>10180</v>
          </cell>
          <cell r="C180">
            <v>205253.25</v>
          </cell>
          <cell r="D180" t="str">
            <v>PHP</v>
          </cell>
          <cell r="E180">
            <v>34</v>
          </cell>
          <cell r="F180" t="str">
            <v>PC</v>
          </cell>
          <cell r="G180">
            <v>0</v>
          </cell>
        </row>
        <row r="181">
          <cell r="B181">
            <v>10181</v>
          </cell>
          <cell r="C181">
            <v>0</v>
          </cell>
          <cell r="D181" t="str">
            <v>PHP</v>
          </cell>
          <cell r="E181">
            <v>0</v>
          </cell>
          <cell r="F181" t="str">
            <v>PC</v>
          </cell>
          <cell r="G181">
            <v>0</v>
          </cell>
        </row>
        <row r="182">
          <cell r="B182">
            <v>10194</v>
          </cell>
          <cell r="C182">
            <v>0</v>
          </cell>
          <cell r="D182" t="str">
            <v>PHP</v>
          </cell>
          <cell r="E182">
            <v>0</v>
          </cell>
          <cell r="F182" t="str">
            <v>ASY</v>
          </cell>
          <cell r="G182">
            <v>0</v>
          </cell>
        </row>
        <row r="183">
          <cell r="B183">
            <v>10360</v>
          </cell>
          <cell r="C183">
            <v>0</v>
          </cell>
          <cell r="D183" t="str">
            <v>PHP</v>
          </cell>
          <cell r="E183">
            <v>0</v>
          </cell>
          <cell r="F183" t="str">
            <v>PC</v>
          </cell>
          <cell r="G183">
            <v>0</v>
          </cell>
        </row>
        <row r="184">
          <cell r="B184">
            <v>10362</v>
          </cell>
          <cell r="C184">
            <v>0</v>
          </cell>
          <cell r="D184" t="str">
            <v>PHP</v>
          </cell>
          <cell r="E184">
            <v>0</v>
          </cell>
          <cell r="F184" t="str">
            <v>PC</v>
          </cell>
          <cell r="G184">
            <v>0</v>
          </cell>
        </row>
        <row r="185">
          <cell r="B185">
            <v>10368</v>
          </cell>
          <cell r="C185">
            <v>0</v>
          </cell>
          <cell r="D185" t="str">
            <v>PHP</v>
          </cell>
          <cell r="E185">
            <v>0</v>
          </cell>
          <cell r="F185" t="str">
            <v>SET</v>
          </cell>
          <cell r="G185">
            <v>0</v>
          </cell>
        </row>
        <row r="186">
          <cell r="B186">
            <v>10370</v>
          </cell>
          <cell r="C186">
            <v>443477.64</v>
          </cell>
          <cell r="D186" t="str">
            <v>PHP</v>
          </cell>
          <cell r="E186">
            <v>2</v>
          </cell>
          <cell r="F186" t="str">
            <v>PC</v>
          </cell>
          <cell r="G186">
            <v>0</v>
          </cell>
        </row>
        <row r="187">
          <cell r="B187">
            <v>10371</v>
          </cell>
          <cell r="C187">
            <v>0</v>
          </cell>
          <cell r="D187" t="str">
            <v>PHP</v>
          </cell>
          <cell r="E187">
            <v>0</v>
          </cell>
          <cell r="F187" t="str">
            <v>PC</v>
          </cell>
          <cell r="G187">
            <v>0</v>
          </cell>
        </row>
        <row r="188">
          <cell r="B188">
            <v>10378</v>
          </cell>
          <cell r="C188">
            <v>268479.74</v>
          </cell>
          <cell r="D188" t="str">
            <v>PHP</v>
          </cell>
          <cell r="E188">
            <v>4</v>
          </cell>
          <cell r="F188" t="str">
            <v>PC</v>
          </cell>
          <cell r="G188">
            <v>0</v>
          </cell>
        </row>
        <row r="189">
          <cell r="B189">
            <v>10379</v>
          </cell>
          <cell r="C189">
            <v>0</v>
          </cell>
          <cell r="D189" t="str">
            <v>PHP</v>
          </cell>
          <cell r="E189">
            <v>0</v>
          </cell>
          <cell r="F189" t="str">
            <v>PC</v>
          </cell>
          <cell r="G189">
            <v>0</v>
          </cell>
        </row>
        <row r="190">
          <cell r="B190">
            <v>10402</v>
          </cell>
          <cell r="C190">
            <v>0</v>
          </cell>
          <cell r="D190" t="str">
            <v>PHP</v>
          </cell>
          <cell r="E190">
            <v>0</v>
          </cell>
          <cell r="F190" t="str">
            <v>DR</v>
          </cell>
          <cell r="G190">
            <v>0</v>
          </cell>
        </row>
        <row r="191">
          <cell r="B191">
            <v>10416</v>
          </cell>
          <cell r="C191">
            <v>190291.05</v>
          </cell>
          <cell r="D191" t="str">
            <v>PHP</v>
          </cell>
          <cell r="E191">
            <v>19</v>
          </cell>
          <cell r="F191" t="str">
            <v>PL</v>
          </cell>
          <cell r="G191">
            <v>0</v>
          </cell>
        </row>
        <row r="192">
          <cell r="B192">
            <v>10417</v>
          </cell>
          <cell r="C192">
            <v>0</v>
          </cell>
          <cell r="D192" t="str">
            <v>PHP</v>
          </cell>
          <cell r="E192">
            <v>0</v>
          </cell>
          <cell r="F192" t="str">
            <v>PL</v>
          </cell>
          <cell r="G192">
            <v>0</v>
          </cell>
        </row>
        <row r="193">
          <cell r="B193">
            <v>10421</v>
          </cell>
          <cell r="C193">
            <v>100813.71</v>
          </cell>
          <cell r="D193" t="str">
            <v>PHP</v>
          </cell>
          <cell r="E193">
            <v>21</v>
          </cell>
          <cell r="F193" t="str">
            <v>PL</v>
          </cell>
          <cell r="G193">
            <v>0</v>
          </cell>
        </row>
        <row r="194">
          <cell r="B194">
            <v>10483</v>
          </cell>
          <cell r="C194">
            <v>0</v>
          </cell>
          <cell r="D194" t="str">
            <v>PHP</v>
          </cell>
          <cell r="E194">
            <v>0</v>
          </cell>
          <cell r="F194" t="str">
            <v>SET</v>
          </cell>
          <cell r="G194">
            <v>0</v>
          </cell>
        </row>
        <row r="195">
          <cell r="B195">
            <v>10567</v>
          </cell>
          <cell r="C195">
            <v>0</v>
          </cell>
          <cell r="D195" t="str">
            <v>PHP</v>
          </cell>
          <cell r="E195">
            <v>0</v>
          </cell>
          <cell r="F195" t="str">
            <v>BAG</v>
          </cell>
          <cell r="G195">
            <v>0</v>
          </cell>
        </row>
        <row r="196">
          <cell r="B196">
            <v>10596</v>
          </cell>
          <cell r="C196">
            <v>0</v>
          </cell>
          <cell r="D196" t="str">
            <v>PHP</v>
          </cell>
          <cell r="E196">
            <v>0</v>
          </cell>
          <cell r="F196" t="str">
            <v>PC</v>
          </cell>
          <cell r="G196">
            <v>0</v>
          </cell>
        </row>
        <row r="197">
          <cell r="B197">
            <v>10688</v>
          </cell>
          <cell r="C197">
            <v>0</v>
          </cell>
          <cell r="D197" t="str">
            <v>PHP</v>
          </cell>
          <cell r="E197">
            <v>0</v>
          </cell>
          <cell r="F197" t="str">
            <v>PC</v>
          </cell>
          <cell r="G197">
            <v>0</v>
          </cell>
        </row>
        <row r="198">
          <cell r="B198">
            <v>10723</v>
          </cell>
          <cell r="C198">
            <v>0</v>
          </cell>
          <cell r="D198" t="str">
            <v>PHP</v>
          </cell>
          <cell r="E198">
            <v>0</v>
          </cell>
          <cell r="F198" t="str">
            <v>PC</v>
          </cell>
          <cell r="G198">
            <v>0</v>
          </cell>
        </row>
        <row r="199">
          <cell r="B199">
            <v>11246</v>
          </cell>
          <cell r="C199">
            <v>0</v>
          </cell>
          <cell r="D199" t="str">
            <v>PHP</v>
          </cell>
          <cell r="E199">
            <v>0</v>
          </cell>
          <cell r="F199" t="str">
            <v>PC</v>
          </cell>
          <cell r="G199">
            <v>0</v>
          </cell>
        </row>
        <row r="200">
          <cell r="B200">
            <v>11439</v>
          </cell>
          <cell r="C200">
            <v>1412317.84</v>
          </cell>
          <cell r="D200" t="str">
            <v>PHP</v>
          </cell>
          <cell r="E200">
            <v>4</v>
          </cell>
          <cell r="F200" t="str">
            <v>PC</v>
          </cell>
          <cell r="G200">
            <v>0</v>
          </cell>
        </row>
        <row r="201">
          <cell r="B201">
            <v>11482</v>
          </cell>
          <cell r="C201">
            <v>490690.9</v>
          </cell>
          <cell r="D201" t="str">
            <v>PHP</v>
          </cell>
          <cell r="E201">
            <v>1</v>
          </cell>
          <cell r="F201" t="str">
            <v>PC</v>
          </cell>
          <cell r="G201">
            <v>0</v>
          </cell>
        </row>
        <row r="202">
          <cell r="B202">
            <v>11681</v>
          </cell>
          <cell r="C202">
            <v>0</v>
          </cell>
          <cell r="D202" t="str">
            <v>PHP</v>
          </cell>
          <cell r="E202">
            <v>0</v>
          </cell>
          <cell r="F202" t="str">
            <v>PC</v>
          </cell>
          <cell r="G202">
            <v>0</v>
          </cell>
        </row>
        <row r="203">
          <cell r="B203">
            <v>11700</v>
          </cell>
          <cell r="C203">
            <v>0</v>
          </cell>
          <cell r="D203" t="str">
            <v>PHP</v>
          </cell>
          <cell r="E203">
            <v>0</v>
          </cell>
          <cell r="F203" t="str">
            <v>DR</v>
          </cell>
          <cell r="G203">
            <v>0</v>
          </cell>
        </row>
        <row r="204">
          <cell r="B204">
            <v>11719</v>
          </cell>
          <cell r="C204">
            <v>0</v>
          </cell>
          <cell r="D204" t="str">
            <v>PHP</v>
          </cell>
          <cell r="E204">
            <v>0</v>
          </cell>
          <cell r="F204" t="str">
            <v>PAD</v>
          </cell>
          <cell r="G204">
            <v>0</v>
          </cell>
        </row>
        <row r="205">
          <cell r="B205">
            <v>11822</v>
          </cell>
          <cell r="C205">
            <v>0</v>
          </cell>
          <cell r="D205" t="str">
            <v>PHP</v>
          </cell>
          <cell r="E205">
            <v>0</v>
          </cell>
          <cell r="F205" t="str">
            <v>PL</v>
          </cell>
          <cell r="G205">
            <v>0</v>
          </cell>
        </row>
        <row r="206">
          <cell r="B206">
            <v>11934</v>
          </cell>
          <cell r="C206">
            <v>0</v>
          </cell>
          <cell r="D206" t="str">
            <v>PHP</v>
          </cell>
          <cell r="E206">
            <v>0</v>
          </cell>
          <cell r="F206" t="str">
            <v>PC</v>
          </cell>
          <cell r="G206">
            <v>0</v>
          </cell>
        </row>
        <row r="207">
          <cell r="B207">
            <v>12019</v>
          </cell>
          <cell r="C207">
            <v>0</v>
          </cell>
          <cell r="D207" t="str">
            <v>PHP</v>
          </cell>
          <cell r="E207">
            <v>0</v>
          </cell>
          <cell r="F207" t="str">
            <v>PC</v>
          </cell>
          <cell r="G207">
            <v>0</v>
          </cell>
        </row>
        <row r="208">
          <cell r="B208">
            <v>12034</v>
          </cell>
          <cell r="C208">
            <v>0</v>
          </cell>
          <cell r="D208" t="str">
            <v>PHP</v>
          </cell>
          <cell r="E208">
            <v>0</v>
          </cell>
          <cell r="F208" t="str">
            <v>PC</v>
          </cell>
          <cell r="G208">
            <v>0</v>
          </cell>
        </row>
        <row r="209">
          <cell r="B209">
            <v>12314</v>
          </cell>
          <cell r="C209">
            <v>0</v>
          </cell>
          <cell r="D209" t="str">
            <v>PHP</v>
          </cell>
          <cell r="E209">
            <v>0</v>
          </cell>
          <cell r="F209" t="str">
            <v>LEN</v>
          </cell>
          <cell r="G209">
            <v>0</v>
          </cell>
        </row>
        <row r="210">
          <cell r="B210">
            <v>12315</v>
          </cell>
          <cell r="C210">
            <v>0</v>
          </cell>
          <cell r="D210" t="str">
            <v>PHP</v>
          </cell>
          <cell r="E210">
            <v>0</v>
          </cell>
          <cell r="F210" t="str">
            <v>LEN</v>
          </cell>
          <cell r="G210">
            <v>0</v>
          </cell>
        </row>
        <row r="211">
          <cell r="B211">
            <v>12346</v>
          </cell>
          <cell r="C211">
            <v>151323.24</v>
          </cell>
          <cell r="D211" t="str">
            <v>PHP</v>
          </cell>
          <cell r="E211">
            <v>6</v>
          </cell>
          <cell r="F211" t="str">
            <v>PC</v>
          </cell>
          <cell r="G211">
            <v>0</v>
          </cell>
        </row>
        <row r="212">
          <cell r="B212">
            <v>12369</v>
          </cell>
          <cell r="C212">
            <v>0</v>
          </cell>
          <cell r="D212" t="str">
            <v>PHP</v>
          </cell>
          <cell r="E212">
            <v>0</v>
          </cell>
          <cell r="F212" t="str">
            <v>L</v>
          </cell>
          <cell r="G212">
            <v>0</v>
          </cell>
        </row>
        <row r="213">
          <cell r="B213">
            <v>12463</v>
          </cell>
          <cell r="C213">
            <v>0</v>
          </cell>
          <cell r="D213" t="str">
            <v>PHP</v>
          </cell>
          <cell r="E213">
            <v>0</v>
          </cell>
          <cell r="F213" t="str">
            <v>CAN</v>
          </cell>
          <cell r="G213">
            <v>0</v>
          </cell>
        </row>
        <row r="214">
          <cell r="B214">
            <v>12635</v>
          </cell>
          <cell r="C214">
            <v>474140.34</v>
          </cell>
          <cell r="D214" t="str">
            <v>PHP</v>
          </cell>
          <cell r="E214">
            <v>2</v>
          </cell>
          <cell r="F214" t="str">
            <v>PC</v>
          </cell>
          <cell r="G214">
            <v>0</v>
          </cell>
        </row>
        <row r="215">
          <cell r="B215">
            <v>12639</v>
          </cell>
          <cell r="C215">
            <v>370223.8</v>
          </cell>
          <cell r="D215" t="str">
            <v>PHP</v>
          </cell>
          <cell r="E215">
            <v>1</v>
          </cell>
          <cell r="F215" t="str">
            <v>PC</v>
          </cell>
          <cell r="G215">
            <v>0</v>
          </cell>
        </row>
        <row r="216">
          <cell r="B216">
            <v>12806</v>
          </cell>
          <cell r="C216">
            <v>250029.6</v>
          </cell>
          <cell r="D216" t="str">
            <v>PHP</v>
          </cell>
          <cell r="E216">
            <v>7</v>
          </cell>
          <cell r="F216" t="str">
            <v>PC</v>
          </cell>
          <cell r="G216">
            <v>0</v>
          </cell>
        </row>
        <row r="217">
          <cell r="B217">
            <v>12826</v>
          </cell>
          <cell r="C217">
            <v>0</v>
          </cell>
          <cell r="D217" t="str">
            <v>PHP</v>
          </cell>
          <cell r="E217">
            <v>0</v>
          </cell>
          <cell r="F217" t="str">
            <v>PC</v>
          </cell>
          <cell r="G217">
            <v>0</v>
          </cell>
        </row>
        <row r="218">
          <cell r="B218">
            <v>12827</v>
          </cell>
          <cell r="C218">
            <v>0</v>
          </cell>
          <cell r="D218" t="str">
            <v>PHP</v>
          </cell>
          <cell r="E218">
            <v>0</v>
          </cell>
          <cell r="F218" t="str">
            <v>SET</v>
          </cell>
          <cell r="G218">
            <v>0</v>
          </cell>
        </row>
        <row r="219">
          <cell r="B219">
            <v>12828</v>
          </cell>
          <cell r="C219">
            <v>0</v>
          </cell>
          <cell r="D219" t="str">
            <v>PHP</v>
          </cell>
          <cell r="E219">
            <v>0</v>
          </cell>
          <cell r="F219" t="str">
            <v>PC</v>
          </cell>
          <cell r="G219">
            <v>0</v>
          </cell>
        </row>
        <row r="220">
          <cell r="B220">
            <v>12829</v>
          </cell>
          <cell r="C220">
            <v>0</v>
          </cell>
          <cell r="D220" t="str">
            <v>PHP</v>
          </cell>
          <cell r="E220">
            <v>0</v>
          </cell>
          <cell r="F220" t="str">
            <v>PC</v>
          </cell>
          <cell r="G220">
            <v>0</v>
          </cell>
        </row>
        <row r="221">
          <cell r="B221">
            <v>12830</v>
          </cell>
          <cell r="C221">
            <v>0</v>
          </cell>
          <cell r="D221" t="str">
            <v>PHP</v>
          </cell>
          <cell r="E221">
            <v>0</v>
          </cell>
          <cell r="F221" t="str">
            <v>PC</v>
          </cell>
          <cell r="G221">
            <v>0</v>
          </cell>
        </row>
        <row r="222">
          <cell r="B222">
            <v>12831</v>
          </cell>
          <cell r="C222">
            <v>0</v>
          </cell>
          <cell r="D222" t="str">
            <v>PHP</v>
          </cell>
          <cell r="E222">
            <v>0</v>
          </cell>
          <cell r="F222" t="str">
            <v>PC</v>
          </cell>
          <cell r="G222">
            <v>0</v>
          </cell>
        </row>
        <row r="223">
          <cell r="B223">
            <v>12832</v>
          </cell>
          <cell r="C223">
            <v>0</v>
          </cell>
          <cell r="D223" t="str">
            <v>PHP</v>
          </cell>
          <cell r="E223">
            <v>0</v>
          </cell>
          <cell r="F223" t="str">
            <v>PC</v>
          </cell>
          <cell r="G223">
            <v>0</v>
          </cell>
        </row>
        <row r="224">
          <cell r="B224">
            <v>12834</v>
          </cell>
          <cell r="C224">
            <v>0</v>
          </cell>
          <cell r="D224" t="str">
            <v>PHP</v>
          </cell>
          <cell r="E224">
            <v>0</v>
          </cell>
          <cell r="F224" t="str">
            <v>PC</v>
          </cell>
          <cell r="G224">
            <v>0</v>
          </cell>
        </row>
        <row r="225">
          <cell r="B225">
            <v>12835</v>
          </cell>
          <cell r="C225">
            <v>0</v>
          </cell>
          <cell r="D225" t="str">
            <v>PHP</v>
          </cell>
          <cell r="E225">
            <v>0</v>
          </cell>
          <cell r="F225" t="str">
            <v>PC</v>
          </cell>
          <cell r="G225">
            <v>0</v>
          </cell>
        </row>
        <row r="226">
          <cell r="B226">
            <v>12839</v>
          </cell>
          <cell r="C226">
            <v>0</v>
          </cell>
          <cell r="D226" t="str">
            <v>PHP</v>
          </cell>
          <cell r="E226">
            <v>0</v>
          </cell>
          <cell r="F226" t="str">
            <v>SET</v>
          </cell>
          <cell r="G226">
            <v>0</v>
          </cell>
        </row>
        <row r="227">
          <cell r="B227">
            <v>12901</v>
          </cell>
          <cell r="C227">
            <v>0</v>
          </cell>
          <cell r="D227" t="str">
            <v>PHP</v>
          </cell>
          <cell r="E227">
            <v>0</v>
          </cell>
          <cell r="F227" t="str">
            <v>DR</v>
          </cell>
          <cell r="G227">
            <v>0</v>
          </cell>
        </row>
        <row r="228">
          <cell r="B228">
            <v>13017</v>
          </cell>
          <cell r="C228">
            <v>0</v>
          </cell>
          <cell r="D228" t="str">
            <v>PHP</v>
          </cell>
          <cell r="E228">
            <v>0</v>
          </cell>
          <cell r="F228" t="str">
            <v>GAL</v>
          </cell>
          <cell r="G228">
            <v>0</v>
          </cell>
        </row>
        <row r="229">
          <cell r="B229">
            <v>13020</v>
          </cell>
          <cell r="C229">
            <v>0</v>
          </cell>
          <cell r="D229" t="str">
            <v>PHP</v>
          </cell>
          <cell r="E229">
            <v>0</v>
          </cell>
          <cell r="F229" t="str">
            <v>GAL</v>
          </cell>
          <cell r="G229">
            <v>0</v>
          </cell>
        </row>
        <row r="230">
          <cell r="B230">
            <v>13046</v>
          </cell>
          <cell r="C230">
            <v>0</v>
          </cell>
          <cell r="D230" t="str">
            <v>PHP</v>
          </cell>
          <cell r="E230">
            <v>0</v>
          </cell>
          <cell r="F230" t="str">
            <v>PC</v>
          </cell>
          <cell r="G230">
            <v>0</v>
          </cell>
        </row>
        <row r="231">
          <cell r="B231">
            <v>13395</v>
          </cell>
          <cell r="C231">
            <v>0</v>
          </cell>
          <cell r="D231" t="str">
            <v>PHP</v>
          </cell>
          <cell r="E231">
            <v>0</v>
          </cell>
          <cell r="F231" t="str">
            <v>PC</v>
          </cell>
          <cell r="G231">
            <v>0</v>
          </cell>
        </row>
        <row r="232">
          <cell r="B232">
            <v>13465</v>
          </cell>
          <cell r="C232">
            <v>71589.78</v>
          </cell>
          <cell r="D232" t="str">
            <v>PHP</v>
          </cell>
          <cell r="E232">
            <v>2</v>
          </cell>
          <cell r="F232" t="str">
            <v>PC</v>
          </cell>
          <cell r="G232">
            <v>0</v>
          </cell>
        </row>
        <row r="233">
          <cell r="B233">
            <v>13466</v>
          </cell>
          <cell r="C233">
            <v>187050.77</v>
          </cell>
          <cell r="D233" t="str">
            <v>PHP</v>
          </cell>
          <cell r="E233">
            <v>3</v>
          </cell>
          <cell r="F233" t="str">
            <v>PC</v>
          </cell>
          <cell r="G233">
            <v>0</v>
          </cell>
        </row>
        <row r="234">
          <cell r="B234">
            <v>13467</v>
          </cell>
          <cell r="C234">
            <v>408890.32</v>
          </cell>
          <cell r="D234" t="str">
            <v>PHP</v>
          </cell>
          <cell r="E234">
            <v>18</v>
          </cell>
          <cell r="F234" t="str">
            <v>PC</v>
          </cell>
          <cell r="G234">
            <v>0</v>
          </cell>
        </row>
        <row r="235">
          <cell r="B235">
            <v>13468</v>
          </cell>
          <cell r="C235">
            <v>0</v>
          </cell>
          <cell r="D235" t="str">
            <v>PHP</v>
          </cell>
          <cell r="E235">
            <v>0</v>
          </cell>
          <cell r="F235" t="str">
            <v>PC</v>
          </cell>
          <cell r="G235">
            <v>0</v>
          </cell>
        </row>
        <row r="236">
          <cell r="B236">
            <v>13470</v>
          </cell>
          <cell r="C236">
            <v>140159.1</v>
          </cell>
          <cell r="D236" t="str">
            <v>PHP</v>
          </cell>
          <cell r="E236">
            <v>2</v>
          </cell>
          <cell r="F236" t="str">
            <v>PC</v>
          </cell>
          <cell r="G236">
            <v>0</v>
          </cell>
        </row>
        <row r="237">
          <cell r="B237">
            <v>13471</v>
          </cell>
          <cell r="C237">
            <v>0</v>
          </cell>
          <cell r="D237" t="str">
            <v>PHP</v>
          </cell>
          <cell r="E237">
            <v>0</v>
          </cell>
          <cell r="F237" t="str">
            <v>PC</v>
          </cell>
          <cell r="G237">
            <v>0</v>
          </cell>
        </row>
        <row r="238">
          <cell r="B238">
            <v>13472</v>
          </cell>
          <cell r="C238">
            <v>34503.68</v>
          </cell>
          <cell r="D238" t="str">
            <v>PHP</v>
          </cell>
          <cell r="E238">
            <v>8</v>
          </cell>
          <cell r="F238" t="str">
            <v>PC</v>
          </cell>
          <cell r="G238">
            <v>0</v>
          </cell>
        </row>
        <row r="239">
          <cell r="B239">
            <v>13506</v>
          </cell>
          <cell r="C239">
            <v>49934.14</v>
          </cell>
          <cell r="D239" t="str">
            <v>PHP</v>
          </cell>
          <cell r="E239">
            <v>1</v>
          </cell>
          <cell r="F239" t="str">
            <v>PC</v>
          </cell>
          <cell r="G239">
            <v>0</v>
          </cell>
        </row>
        <row r="240">
          <cell r="B240">
            <v>13606</v>
          </cell>
          <cell r="C240">
            <v>20294.599999999999</v>
          </cell>
          <cell r="D240" t="str">
            <v>PHP</v>
          </cell>
          <cell r="E240">
            <v>47</v>
          </cell>
          <cell r="F240" t="str">
            <v>PC</v>
          </cell>
          <cell r="G240">
            <v>0</v>
          </cell>
        </row>
        <row r="241">
          <cell r="B241">
            <v>13622</v>
          </cell>
          <cell r="C241">
            <v>125126.39999999999</v>
          </cell>
          <cell r="D241" t="str">
            <v>PHP</v>
          </cell>
          <cell r="E241">
            <v>6</v>
          </cell>
          <cell r="F241" t="str">
            <v>PC</v>
          </cell>
          <cell r="G241">
            <v>0</v>
          </cell>
        </row>
        <row r="242">
          <cell r="B242">
            <v>13896</v>
          </cell>
          <cell r="C242">
            <v>0</v>
          </cell>
          <cell r="D242" t="str">
            <v>PHP</v>
          </cell>
          <cell r="E242">
            <v>0</v>
          </cell>
          <cell r="F242" t="str">
            <v>PC</v>
          </cell>
          <cell r="G242">
            <v>0</v>
          </cell>
        </row>
        <row r="243">
          <cell r="B243">
            <v>13909</v>
          </cell>
          <cell r="C243">
            <v>222034.46</v>
          </cell>
          <cell r="D243" t="str">
            <v>PHP</v>
          </cell>
          <cell r="E243">
            <v>61</v>
          </cell>
          <cell r="F243" t="str">
            <v>PC</v>
          </cell>
          <cell r="G243">
            <v>0</v>
          </cell>
        </row>
        <row r="244">
          <cell r="B244">
            <v>13940</v>
          </cell>
          <cell r="C244">
            <v>764997.09</v>
          </cell>
          <cell r="D244" t="str">
            <v>PHP</v>
          </cell>
          <cell r="E244">
            <v>1</v>
          </cell>
          <cell r="F244" t="str">
            <v>PC</v>
          </cell>
          <cell r="G244">
            <v>0</v>
          </cell>
        </row>
        <row r="245">
          <cell r="B245">
            <v>13942</v>
          </cell>
          <cell r="C245">
            <v>0</v>
          </cell>
          <cell r="D245" t="str">
            <v>PHP</v>
          </cell>
          <cell r="E245">
            <v>0</v>
          </cell>
          <cell r="F245" t="str">
            <v>PC</v>
          </cell>
          <cell r="G245">
            <v>0</v>
          </cell>
        </row>
        <row r="246">
          <cell r="B246">
            <v>13943</v>
          </cell>
          <cell r="C246">
            <v>2843664.53</v>
          </cell>
          <cell r="D246" t="str">
            <v>PHP</v>
          </cell>
          <cell r="E246">
            <v>1</v>
          </cell>
          <cell r="F246" t="str">
            <v>PC</v>
          </cell>
          <cell r="G246">
            <v>0</v>
          </cell>
        </row>
        <row r="247">
          <cell r="B247">
            <v>13944</v>
          </cell>
          <cell r="C247">
            <v>6480169.3499999996</v>
          </cell>
          <cell r="D247" t="str">
            <v>PHP</v>
          </cell>
          <cell r="E247">
            <v>3</v>
          </cell>
          <cell r="F247" t="str">
            <v>PC</v>
          </cell>
          <cell r="G247">
            <v>0</v>
          </cell>
        </row>
        <row r="248">
          <cell r="B248">
            <v>13945</v>
          </cell>
          <cell r="C248">
            <v>3114444.21</v>
          </cell>
          <cell r="D248" t="str">
            <v>PHP</v>
          </cell>
          <cell r="E248">
            <v>3</v>
          </cell>
          <cell r="F248" t="str">
            <v>PC</v>
          </cell>
          <cell r="G248">
            <v>0</v>
          </cell>
        </row>
        <row r="249">
          <cell r="B249">
            <v>13948</v>
          </cell>
          <cell r="C249">
            <v>0</v>
          </cell>
          <cell r="D249" t="str">
            <v>PHP</v>
          </cell>
          <cell r="E249">
            <v>0</v>
          </cell>
          <cell r="F249" t="str">
            <v>PC</v>
          </cell>
          <cell r="G249">
            <v>0</v>
          </cell>
        </row>
        <row r="250">
          <cell r="B250">
            <v>13949</v>
          </cell>
          <cell r="C250">
            <v>1901141.67</v>
          </cell>
          <cell r="D250" t="str">
            <v>PHP</v>
          </cell>
          <cell r="E250">
            <v>1</v>
          </cell>
          <cell r="F250" t="str">
            <v>PC</v>
          </cell>
          <cell r="G250">
            <v>0</v>
          </cell>
        </row>
        <row r="251">
          <cell r="B251">
            <v>13951</v>
          </cell>
          <cell r="C251">
            <v>5944742.4500000002</v>
          </cell>
          <cell r="D251" t="str">
            <v>PHP</v>
          </cell>
          <cell r="E251">
            <v>9</v>
          </cell>
          <cell r="F251" t="str">
            <v>PC</v>
          </cell>
          <cell r="G251">
            <v>0</v>
          </cell>
        </row>
        <row r="252">
          <cell r="B252">
            <v>13952</v>
          </cell>
          <cell r="C252">
            <v>2004968.09</v>
          </cell>
          <cell r="D252" t="str">
            <v>PHP</v>
          </cell>
          <cell r="E252">
            <v>3</v>
          </cell>
          <cell r="F252" t="str">
            <v>PC</v>
          </cell>
          <cell r="G252">
            <v>0</v>
          </cell>
        </row>
        <row r="253">
          <cell r="B253">
            <v>13954</v>
          </cell>
          <cell r="C253">
            <v>0</v>
          </cell>
          <cell r="D253" t="str">
            <v>PHP</v>
          </cell>
          <cell r="E253">
            <v>0</v>
          </cell>
          <cell r="F253" t="str">
            <v>PC</v>
          </cell>
          <cell r="G253">
            <v>0</v>
          </cell>
        </row>
        <row r="254">
          <cell r="B254">
            <v>13956</v>
          </cell>
          <cell r="C254">
            <v>6873840.5300000003</v>
          </cell>
          <cell r="D254" t="str">
            <v>PHP</v>
          </cell>
          <cell r="E254">
            <v>9</v>
          </cell>
          <cell r="F254" t="str">
            <v>PC</v>
          </cell>
          <cell r="G254">
            <v>0</v>
          </cell>
        </row>
        <row r="255">
          <cell r="B255">
            <v>13957</v>
          </cell>
          <cell r="C255">
            <v>4114422.2</v>
          </cell>
          <cell r="D255" t="str">
            <v>PHP</v>
          </cell>
          <cell r="E255">
            <v>3</v>
          </cell>
          <cell r="F255" t="str">
            <v>PC</v>
          </cell>
          <cell r="G255">
            <v>0</v>
          </cell>
        </row>
        <row r="256">
          <cell r="B256">
            <v>13958</v>
          </cell>
          <cell r="C256">
            <v>750681.99</v>
          </cell>
          <cell r="D256" t="str">
            <v>PHP</v>
          </cell>
          <cell r="E256">
            <v>2</v>
          </cell>
          <cell r="F256" t="str">
            <v>PC</v>
          </cell>
          <cell r="G256">
            <v>0</v>
          </cell>
        </row>
        <row r="257">
          <cell r="B257">
            <v>13959</v>
          </cell>
          <cell r="C257">
            <v>834130.91</v>
          </cell>
          <cell r="D257" t="str">
            <v>PHP</v>
          </cell>
          <cell r="E257">
            <v>2</v>
          </cell>
          <cell r="F257" t="str">
            <v>PC</v>
          </cell>
          <cell r="G257">
            <v>0</v>
          </cell>
        </row>
        <row r="258">
          <cell r="B258">
            <v>13960</v>
          </cell>
          <cell r="C258">
            <v>0</v>
          </cell>
          <cell r="D258" t="str">
            <v>PHP</v>
          </cell>
          <cell r="E258">
            <v>0</v>
          </cell>
          <cell r="F258" t="str">
            <v>PC</v>
          </cell>
          <cell r="G258">
            <v>0</v>
          </cell>
        </row>
        <row r="259">
          <cell r="B259">
            <v>13961</v>
          </cell>
          <cell r="C259">
            <v>1144334.01</v>
          </cell>
          <cell r="D259" t="str">
            <v>PHP</v>
          </cell>
          <cell r="E259">
            <v>3</v>
          </cell>
          <cell r="F259" t="str">
            <v>PC</v>
          </cell>
          <cell r="G259">
            <v>0</v>
          </cell>
        </row>
        <row r="260">
          <cell r="B260">
            <v>13962</v>
          </cell>
          <cell r="C260">
            <v>0</v>
          </cell>
          <cell r="D260" t="str">
            <v>PHP</v>
          </cell>
          <cell r="E260">
            <v>0</v>
          </cell>
          <cell r="F260" t="str">
            <v>PC</v>
          </cell>
          <cell r="G260">
            <v>0</v>
          </cell>
        </row>
        <row r="261">
          <cell r="B261">
            <v>13963</v>
          </cell>
          <cell r="C261">
            <v>0</v>
          </cell>
          <cell r="D261" t="str">
            <v>PHP</v>
          </cell>
          <cell r="E261">
            <v>0</v>
          </cell>
          <cell r="F261" t="str">
            <v>PC</v>
          </cell>
          <cell r="G261">
            <v>0</v>
          </cell>
        </row>
        <row r="262">
          <cell r="B262">
            <v>13964</v>
          </cell>
          <cell r="C262">
            <v>0</v>
          </cell>
          <cell r="D262" t="str">
            <v>PHP</v>
          </cell>
          <cell r="E262">
            <v>0</v>
          </cell>
          <cell r="F262" t="str">
            <v>PC</v>
          </cell>
          <cell r="G262">
            <v>0</v>
          </cell>
        </row>
        <row r="263">
          <cell r="B263">
            <v>13967</v>
          </cell>
          <cell r="C263">
            <v>3903567.56</v>
          </cell>
          <cell r="D263" t="str">
            <v>PHP</v>
          </cell>
          <cell r="E263">
            <v>3</v>
          </cell>
          <cell r="F263" t="str">
            <v>PC</v>
          </cell>
          <cell r="G263">
            <v>0</v>
          </cell>
        </row>
        <row r="264">
          <cell r="B264">
            <v>13968</v>
          </cell>
          <cell r="C264">
            <v>0</v>
          </cell>
          <cell r="D264" t="str">
            <v>PHP</v>
          </cell>
          <cell r="E264">
            <v>0</v>
          </cell>
          <cell r="F264" t="str">
            <v>PC</v>
          </cell>
          <cell r="G264">
            <v>0</v>
          </cell>
        </row>
        <row r="265">
          <cell r="B265">
            <v>13969</v>
          </cell>
          <cell r="C265">
            <v>0</v>
          </cell>
          <cell r="D265" t="str">
            <v>PHP</v>
          </cell>
          <cell r="E265">
            <v>0</v>
          </cell>
          <cell r="F265" t="str">
            <v>PC</v>
          </cell>
          <cell r="G265">
            <v>0</v>
          </cell>
        </row>
        <row r="266">
          <cell r="B266">
            <v>13971</v>
          </cell>
          <cell r="C266">
            <v>536750.57999999996</v>
          </cell>
          <cell r="D266" t="str">
            <v>PHP</v>
          </cell>
          <cell r="E266">
            <v>2</v>
          </cell>
          <cell r="F266" t="str">
            <v>PC</v>
          </cell>
          <cell r="G266">
            <v>0</v>
          </cell>
        </row>
        <row r="267">
          <cell r="B267">
            <v>13973</v>
          </cell>
          <cell r="C267">
            <v>0</v>
          </cell>
          <cell r="D267" t="str">
            <v>PHP</v>
          </cell>
          <cell r="E267">
            <v>0</v>
          </cell>
          <cell r="F267" t="str">
            <v>PC</v>
          </cell>
          <cell r="G267">
            <v>0</v>
          </cell>
        </row>
        <row r="268">
          <cell r="B268">
            <v>13975</v>
          </cell>
          <cell r="C268">
            <v>0</v>
          </cell>
          <cell r="D268" t="str">
            <v>PHP</v>
          </cell>
          <cell r="E268">
            <v>0</v>
          </cell>
          <cell r="F268" t="str">
            <v>PC</v>
          </cell>
          <cell r="G268">
            <v>0</v>
          </cell>
        </row>
        <row r="269">
          <cell r="B269">
            <v>14014</v>
          </cell>
          <cell r="C269">
            <v>0</v>
          </cell>
          <cell r="D269" t="str">
            <v>PHP</v>
          </cell>
          <cell r="E269">
            <v>0</v>
          </cell>
          <cell r="F269" t="str">
            <v>FT</v>
          </cell>
          <cell r="G269">
            <v>0</v>
          </cell>
        </row>
        <row r="270">
          <cell r="B270">
            <v>14049</v>
          </cell>
          <cell r="C270">
            <v>6336704.7400000002</v>
          </cell>
          <cell r="D270" t="str">
            <v>PHP</v>
          </cell>
          <cell r="E270">
            <v>3</v>
          </cell>
          <cell r="F270" t="str">
            <v>PC</v>
          </cell>
          <cell r="G270">
            <v>0</v>
          </cell>
        </row>
        <row r="271">
          <cell r="B271">
            <v>14052</v>
          </cell>
          <cell r="C271">
            <v>211888.74</v>
          </cell>
          <cell r="D271" t="str">
            <v>PHP</v>
          </cell>
          <cell r="E271">
            <v>1</v>
          </cell>
          <cell r="F271" t="str">
            <v>PC</v>
          </cell>
          <cell r="G271">
            <v>0</v>
          </cell>
        </row>
        <row r="272">
          <cell r="B272">
            <v>14144</v>
          </cell>
          <cell r="C272">
            <v>0</v>
          </cell>
          <cell r="D272" t="str">
            <v>PHP</v>
          </cell>
          <cell r="E272">
            <v>0</v>
          </cell>
          <cell r="F272" t="str">
            <v>PC</v>
          </cell>
          <cell r="G272">
            <v>0</v>
          </cell>
        </row>
        <row r="273">
          <cell r="B273">
            <v>14159</v>
          </cell>
          <cell r="C273">
            <v>0</v>
          </cell>
          <cell r="D273" t="str">
            <v>PHP</v>
          </cell>
          <cell r="E273">
            <v>0</v>
          </cell>
          <cell r="F273" t="str">
            <v>PC</v>
          </cell>
          <cell r="G273">
            <v>0</v>
          </cell>
        </row>
        <row r="274">
          <cell r="B274">
            <v>14193</v>
          </cell>
          <cell r="C274">
            <v>19723.2</v>
          </cell>
          <cell r="D274" t="str">
            <v>PHP</v>
          </cell>
          <cell r="E274">
            <v>12</v>
          </cell>
          <cell r="F274" t="str">
            <v>PC</v>
          </cell>
          <cell r="G274">
            <v>0</v>
          </cell>
        </row>
        <row r="275">
          <cell r="B275">
            <v>14195</v>
          </cell>
          <cell r="C275">
            <v>50419.68</v>
          </cell>
          <cell r="D275" t="str">
            <v>PHP</v>
          </cell>
          <cell r="E275">
            <v>6</v>
          </cell>
          <cell r="F275" t="str">
            <v>PC</v>
          </cell>
          <cell r="G275">
            <v>0</v>
          </cell>
        </row>
        <row r="276">
          <cell r="B276">
            <v>14326</v>
          </cell>
          <cell r="C276">
            <v>123595.56</v>
          </cell>
          <cell r="D276" t="str">
            <v>PHP</v>
          </cell>
          <cell r="E276">
            <v>1</v>
          </cell>
          <cell r="F276" t="str">
            <v>PC</v>
          </cell>
          <cell r="G276">
            <v>0</v>
          </cell>
        </row>
        <row r="277">
          <cell r="B277">
            <v>14327</v>
          </cell>
          <cell r="C277">
            <v>72775.59</v>
          </cell>
          <cell r="D277" t="str">
            <v>PHP</v>
          </cell>
          <cell r="E277">
            <v>2</v>
          </cell>
          <cell r="F277" t="str">
            <v>PC</v>
          </cell>
          <cell r="G277">
            <v>0</v>
          </cell>
        </row>
        <row r="278">
          <cell r="B278">
            <v>14328</v>
          </cell>
          <cell r="C278">
            <v>140058.39000000001</v>
          </cell>
          <cell r="D278" t="str">
            <v>PHP</v>
          </cell>
          <cell r="E278">
            <v>6</v>
          </cell>
          <cell r="F278" t="str">
            <v>PC</v>
          </cell>
          <cell r="G278">
            <v>0</v>
          </cell>
        </row>
        <row r="279">
          <cell r="B279">
            <v>14332</v>
          </cell>
          <cell r="C279">
            <v>0</v>
          </cell>
          <cell r="D279" t="str">
            <v>PHP</v>
          </cell>
          <cell r="E279">
            <v>0</v>
          </cell>
          <cell r="F279" t="str">
            <v>PC</v>
          </cell>
          <cell r="G279">
            <v>0</v>
          </cell>
        </row>
        <row r="280">
          <cell r="B280">
            <v>14335</v>
          </cell>
          <cell r="C280">
            <v>0</v>
          </cell>
          <cell r="D280" t="str">
            <v>PHP</v>
          </cell>
          <cell r="E280">
            <v>0</v>
          </cell>
          <cell r="F280" t="str">
            <v>PC</v>
          </cell>
          <cell r="G280">
            <v>0</v>
          </cell>
        </row>
        <row r="281">
          <cell r="B281">
            <v>14377</v>
          </cell>
          <cell r="C281">
            <v>178587.97</v>
          </cell>
          <cell r="D281" t="str">
            <v>PHP</v>
          </cell>
          <cell r="E281">
            <v>3</v>
          </cell>
          <cell r="F281" t="str">
            <v>PC</v>
          </cell>
          <cell r="G281">
            <v>0</v>
          </cell>
        </row>
        <row r="282">
          <cell r="B282">
            <v>14378</v>
          </cell>
          <cell r="C282">
            <v>28298.43</v>
          </cell>
          <cell r="D282" t="str">
            <v>PHP</v>
          </cell>
          <cell r="E282">
            <v>1</v>
          </cell>
          <cell r="F282" t="str">
            <v>PC</v>
          </cell>
          <cell r="G282">
            <v>0</v>
          </cell>
        </row>
        <row r="283">
          <cell r="B283">
            <v>14379</v>
          </cell>
          <cell r="C283">
            <v>0</v>
          </cell>
          <cell r="D283" t="str">
            <v>PHP</v>
          </cell>
          <cell r="E283">
            <v>0</v>
          </cell>
          <cell r="F283" t="str">
            <v>PAA</v>
          </cell>
          <cell r="G283">
            <v>0</v>
          </cell>
        </row>
        <row r="284">
          <cell r="B284">
            <v>14399</v>
          </cell>
          <cell r="C284">
            <v>717507.34</v>
          </cell>
          <cell r="D284" t="str">
            <v>PHP</v>
          </cell>
          <cell r="E284">
            <v>11</v>
          </cell>
          <cell r="F284" t="str">
            <v>PC</v>
          </cell>
          <cell r="G284">
            <v>0</v>
          </cell>
        </row>
        <row r="285">
          <cell r="B285">
            <v>14401</v>
          </cell>
          <cell r="C285">
            <v>3856596.1</v>
          </cell>
          <cell r="D285" t="str">
            <v>PHP</v>
          </cell>
          <cell r="E285">
            <v>35</v>
          </cell>
          <cell r="F285" t="str">
            <v>PC</v>
          </cell>
          <cell r="G285">
            <v>0</v>
          </cell>
        </row>
        <row r="286">
          <cell r="B286">
            <v>14406</v>
          </cell>
          <cell r="C286">
            <v>0</v>
          </cell>
          <cell r="D286" t="str">
            <v>PHP</v>
          </cell>
          <cell r="E286">
            <v>0</v>
          </cell>
          <cell r="F286" t="str">
            <v>PC</v>
          </cell>
          <cell r="G286">
            <v>0</v>
          </cell>
        </row>
        <row r="287">
          <cell r="B287">
            <v>14509</v>
          </cell>
          <cell r="C287">
            <v>0</v>
          </cell>
          <cell r="D287" t="str">
            <v>PHP</v>
          </cell>
          <cell r="E287">
            <v>0</v>
          </cell>
          <cell r="F287" t="str">
            <v>DR</v>
          </cell>
          <cell r="G287">
            <v>0</v>
          </cell>
        </row>
        <row r="288">
          <cell r="B288">
            <v>14518</v>
          </cell>
          <cell r="C288">
            <v>0</v>
          </cell>
          <cell r="D288" t="str">
            <v>PHP</v>
          </cell>
          <cell r="E288">
            <v>0</v>
          </cell>
          <cell r="F288" t="str">
            <v>BAG</v>
          </cell>
          <cell r="G288">
            <v>0</v>
          </cell>
        </row>
        <row r="289">
          <cell r="B289">
            <v>14639</v>
          </cell>
          <cell r="C289">
            <v>4538105.3600000003</v>
          </cell>
          <cell r="D289" t="str">
            <v>PHP</v>
          </cell>
          <cell r="E289">
            <v>9</v>
          </cell>
          <cell r="F289" t="str">
            <v>PC</v>
          </cell>
          <cell r="G289">
            <v>0</v>
          </cell>
        </row>
        <row r="290">
          <cell r="B290">
            <v>14640</v>
          </cell>
          <cell r="C290">
            <v>743072.92</v>
          </cell>
          <cell r="D290" t="str">
            <v>PHP</v>
          </cell>
          <cell r="E290">
            <v>1</v>
          </cell>
          <cell r="F290" t="str">
            <v>PC</v>
          </cell>
          <cell r="G290">
            <v>0</v>
          </cell>
        </row>
        <row r="291">
          <cell r="B291">
            <v>14674</v>
          </cell>
          <cell r="C291">
            <v>0</v>
          </cell>
          <cell r="D291" t="str">
            <v>PHP</v>
          </cell>
          <cell r="E291">
            <v>0</v>
          </cell>
          <cell r="F291" t="str">
            <v>ASY</v>
          </cell>
          <cell r="G291">
            <v>0</v>
          </cell>
        </row>
        <row r="292">
          <cell r="B292">
            <v>14676</v>
          </cell>
          <cell r="C292">
            <v>0</v>
          </cell>
          <cell r="D292" t="str">
            <v>PHP</v>
          </cell>
          <cell r="E292">
            <v>0</v>
          </cell>
          <cell r="F292" t="str">
            <v>ASY</v>
          </cell>
          <cell r="G292">
            <v>0</v>
          </cell>
        </row>
        <row r="293">
          <cell r="B293">
            <v>14677</v>
          </cell>
          <cell r="C293">
            <v>0</v>
          </cell>
          <cell r="D293" t="str">
            <v>PHP</v>
          </cell>
          <cell r="E293">
            <v>0</v>
          </cell>
          <cell r="F293" t="str">
            <v>ASY</v>
          </cell>
          <cell r="G293">
            <v>0</v>
          </cell>
        </row>
        <row r="294">
          <cell r="B294">
            <v>14685</v>
          </cell>
          <cell r="C294">
            <v>44348.86</v>
          </cell>
          <cell r="D294" t="str">
            <v>PHP</v>
          </cell>
          <cell r="E294">
            <v>2</v>
          </cell>
          <cell r="F294" t="str">
            <v>PC</v>
          </cell>
          <cell r="G294">
            <v>0</v>
          </cell>
        </row>
        <row r="295">
          <cell r="B295">
            <v>15155</v>
          </cell>
          <cell r="C295">
            <v>54618</v>
          </cell>
          <cell r="D295" t="str">
            <v>PHP</v>
          </cell>
          <cell r="E295">
            <v>2</v>
          </cell>
          <cell r="F295" t="str">
            <v>PC</v>
          </cell>
          <cell r="G295">
            <v>0</v>
          </cell>
        </row>
        <row r="296">
          <cell r="B296">
            <v>15161</v>
          </cell>
          <cell r="C296">
            <v>0</v>
          </cell>
          <cell r="D296" t="str">
            <v>PHP</v>
          </cell>
          <cell r="E296">
            <v>0</v>
          </cell>
          <cell r="F296" t="str">
            <v>GAL</v>
          </cell>
          <cell r="G296">
            <v>0</v>
          </cell>
        </row>
        <row r="297">
          <cell r="B297">
            <v>15174</v>
          </cell>
          <cell r="C297">
            <v>813684.59</v>
          </cell>
          <cell r="D297" t="str">
            <v>PHP</v>
          </cell>
          <cell r="E297">
            <v>1</v>
          </cell>
          <cell r="F297" t="str">
            <v>SET</v>
          </cell>
          <cell r="G297">
            <v>0</v>
          </cell>
        </row>
        <row r="298">
          <cell r="B298">
            <v>15176</v>
          </cell>
          <cell r="C298">
            <v>1981112.88</v>
          </cell>
          <cell r="D298" t="str">
            <v>PHP</v>
          </cell>
          <cell r="E298">
            <v>1</v>
          </cell>
          <cell r="F298" t="str">
            <v>PC</v>
          </cell>
          <cell r="G298">
            <v>0</v>
          </cell>
        </row>
        <row r="299">
          <cell r="B299">
            <v>15192</v>
          </cell>
          <cell r="C299">
            <v>0</v>
          </cell>
          <cell r="D299" t="str">
            <v>PHP</v>
          </cell>
          <cell r="E299">
            <v>0</v>
          </cell>
          <cell r="F299" t="str">
            <v>PC</v>
          </cell>
          <cell r="G299">
            <v>0</v>
          </cell>
        </row>
        <row r="300">
          <cell r="B300">
            <v>15199</v>
          </cell>
          <cell r="C300">
            <v>0</v>
          </cell>
          <cell r="D300" t="str">
            <v>PHP</v>
          </cell>
          <cell r="E300">
            <v>0</v>
          </cell>
          <cell r="F300" t="str">
            <v>PC</v>
          </cell>
          <cell r="G300">
            <v>0</v>
          </cell>
        </row>
        <row r="301">
          <cell r="B301">
            <v>15207</v>
          </cell>
          <cell r="C301">
            <v>0</v>
          </cell>
          <cell r="D301" t="str">
            <v>PHP</v>
          </cell>
          <cell r="E301">
            <v>0</v>
          </cell>
          <cell r="F301" t="str">
            <v>PC</v>
          </cell>
          <cell r="G301">
            <v>0</v>
          </cell>
        </row>
        <row r="302">
          <cell r="B302">
            <v>15216</v>
          </cell>
          <cell r="C302">
            <v>0</v>
          </cell>
          <cell r="D302" t="str">
            <v>PHP</v>
          </cell>
          <cell r="E302">
            <v>0</v>
          </cell>
          <cell r="F302" t="str">
            <v>PC</v>
          </cell>
          <cell r="G302">
            <v>0</v>
          </cell>
        </row>
        <row r="303">
          <cell r="B303">
            <v>15356</v>
          </cell>
          <cell r="C303">
            <v>0</v>
          </cell>
          <cell r="D303" t="str">
            <v>PHP</v>
          </cell>
          <cell r="E303">
            <v>0</v>
          </cell>
          <cell r="F303" t="str">
            <v>PC</v>
          </cell>
          <cell r="G303">
            <v>0</v>
          </cell>
        </row>
        <row r="304">
          <cell r="B304">
            <v>15360</v>
          </cell>
          <cell r="C304">
            <v>16000</v>
          </cell>
          <cell r="D304" t="str">
            <v>PHP</v>
          </cell>
          <cell r="E304">
            <v>8</v>
          </cell>
          <cell r="F304" t="str">
            <v>PC</v>
          </cell>
          <cell r="G304">
            <v>0</v>
          </cell>
        </row>
        <row r="305">
          <cell r="B305">
            <v>15407</v>
          </cell>
          <cell r="C305">
            <v>0</v>
          </cell>
          <cell r="D305" t="str">
            <v>PHP</v>
          </cell>
          <cell r="E305">
            <v>0</v>
          </cell>
          <cell r="F305" t="str">
            <v>LEN</v>
          </cell>
          <cell r="G305">
            <v>0</v>
          </cell>
        </row>
        <row r="306">
          <cell r="B306">
            <v>15440</v>
          </cell>
          <cell r="C306">
            <v>139410</v>
          </cell>
          <cell r="D306" t="str">
            <v>PHP</v>
          </cell>
          <cell r="E306">
            <v>25</v>
          </cell>
          <cell r="F306" t="str">
            <v>PC</v>
          </cell>
          <cell r="G306">
            <v>0</v>
          </cell>
        </row>
        <row r="307">
          <cell r="B307">
            <v>15518</v>
          </cell>
          <cell r="C307">
            <v>0</v>
          </cell>
          <cell r="D307" t="str">
            <v>PHP</v>
          </cell>
          <cell r="E307">
            <v>0</v>
          </cell>
          <cell r="F307" t="str">
            <v>PC</v>
          </cell>
          <cell r="G307">
            <v>0</v>
          </cell>
        </row>
        <row r="308">
          <cell r="B308">
            <v>15655</v>
          </cell>
          <cell r="C308">
            <v>0</v>
          </cell>
          <cell r="D308" t="str">
            <v>PHP</v>
          </cell>
          <cell r="E308">
            <v>0</v>
          </cell>
          <cell r="F308" t="str">
            <v>PC</v>
          </cell>
          <cell r="G308">
            <v>0</v>
          </cell>
        </row>
        <row r="309">
          <cell r="B309">
            <v>15704</v>
          </cell>
          <cell r="C309">
            <v>0</v>
          </cell>
          <cell r="D309" t="str">
            <v>PHP</v>
          </cell>
          <cell r="E309">
            <v>0</v>
          </cell>
          <cell r="F309" t="str">
            <v>PC</v>
          </cell>
          <cell r="G309">
            <v>0</v>
          </cell>
        </row>
        <row r="310">
          <cell r="B310">
            <v>15732</v>
          </cell>
          <cell r="C310">
            <v>1110144</v>
          </cell>
          <cell r="D310" t="str">
            <v>PHP</v>
          </cell>
          <cell r="E310">
            <v>1</v>
          </cell>
          <cell r="F310" t="str">
            <v>PC</v>
          </cell>
          <cell r="G310">
            <v>0</v>
          </cell>
        </row>
        <row r="311">
          <cell r="B311">
            <v>15733</v>
          </cell>
          <cell r="C311">
            <v>0</v>
          </cell>
          <cell r="D311" t="str">
            <v>PHP</v>
          </cell>
          <cell r="E311">
            <v>0</v>
          </cell>
          <cell r="F311" t="str">
            <v>PC</v>
          </cell>
          <cell r="G311">
            <v>0</v>
          </cell>
        </row>
        <row r="312">
          <cell r="B312">
            <v>15734</v>
          </cell>
          <cell r="C312">
            <v>0</v>
          </cell>
          <cell r="D312" t="str">
            <v>PHP</v>
          </cell>
          <cell r="E312">
            <v>0</v>
          </cell>
          <cell r="F312" t="str">
            <v>PC</v>
          </cell>
          <cell r="G312">
            <v>0</v>
          </cell>
        </row>
        <row r="313">
          <cell r="B313">
            <v>15840</v>
          </cell>
          <cell r="C313">
            <v>0</v>
          </cell>
          <cell r="D313" t="str">
            <v>PHP</v>
          </cell>
          <cell r="E313">
            <v>0</v>
          </cell>
          <cell r="F313" t="str">
            <v>PC</v>
          </cell>
          <cell r="G313">
            <v>0</v>
          </cell>
        </row>
        <row r="314">
          <cell r="B314">
            <v>15880</v>
          </cell>
          <cell r="C314">
            <v>0</v>
          </cell>
          <cell r="D314" t="str">
            <v>PHP</v>
          </cell>
          <cell r="E314">
            <v>0</v>
          </cell>
          <cell r="F314" t="str">
            <v>PC</v>
          </cell>
          <cell r="G314">
            <v>0</v>
          </cell>
        </row>
        <row r="315">
          <cell r="B315">
            <v>19542</v>
          </cell>
          <cell r="C315">
            <v>0</v>
          </cell>
          <cell r="D315" t="str">
            <v>PHP</v>
          </cell>
          <cell r="E315">
            <v>0</v>
          </cell>
          <cell r="F315" t="str">
            <v>H</v>
          </cell>
          <cell r="G315">
            <v>0</v>
          </cell>
        </row>
        <row r="316">
          <cell r="B316">
            <v>20422</v>
          </cell>
          <cell r="C316">
            <v>0</v>
          </cell>
          <cell r="D316" t="str">
            <v>PHP</v>
          </cell>
          <cell r="E316">
            <v>0</v>
          </cell>
          <cell r="F316" t="str">
            <v>PC</v>
          </cell>
          <cell r="G316">
            <v>0</v>
          </cell>
        </row>
        <row r="317">
          <cell r="B317">
            <v>29864</v>
          </cell>
          <cell r="C317">
            <v>3773716.08</v>
          </cell>
          <cell r="D317" t="str">
            <v>PHP</v>
          </cell>
          <cell r="E317">
            <v>2</v>
          </cell>
          <cell r="F317" t="str">
            <v>SET</v>
          </cell>
          <cell r="G317">
            <v>0</v>
          </cell>
        </row>
        <row r="318">
          <cell r="B318">
            <v>29868</v>
          </cell>
          <cell r="C318">
            <v>0</v>
          </cell>
          <cell r="D318" t="str">
            <v>PHP</v>
          </cell>
          <cell r="E318">
            <v>0</v>
          </cell>
          <cell r="F318" t="str">
            <v>KG</v>
          </cell>
          <cell r="G318">
            <v>0</v>
          </cell>
        </row>
        <row r="319">
          <cell r="B319">
            <v>29871</v>
          </cell>
          <cell r="C319">
            <v>0</v>
          </cell>
          <cell r="D319" t="str">
            <v>PHP</v>
          </cell>
          <cell r="E319">
            <v>0</v>
          </cell>
          <cell r="F319" t="str">
            <v>PC</v>
          </cell>
          <cell r="G319">
            <v>0</v>
          </cell>
        </row>
        <row r="320">
          <cell r="B320">
            <v>29874</v>
          </cell>
          <cell r="C320">
            <v>133118.25</v>
          </cell>
          <cell r="D320" t="str">
            <v>PHP</v>
          </cell>
          <cell r="E320">
            <v>79</v>
          </cell>
          <cell r="F320" t="str">
            <v>SET</v>
          </cell>
          <cell r="G320">
            <v>0</v>
          </cell>
        </row>
        <row r="321">
          <cell r="B321">
            <v>29875</v>
          </cell>
          <cell r="C321">
            <v>0</v>
          </cell>
          <cell r="D321" t="str">
            <v>PHP</v>
          </cell>
          <cell r="E321">
            <v>0</v>
          </cell>
          <cell r="F321" t="str">
            <v>PC</v>
          </cell>
          <cell r="G321">
            <v>0</v>
          </cell>
        </row>
        <row r="322">
          <cell r="B322">
            <v>29877</v>
          </cell>
          <cell r="C322">
            <v>0</v>
          </cell>
          <cell r="D322" t="str">
            <v>PHP</v>
          </cell>
          <cell r="E322">
            <v>0</v>
          </cell>
          <cell r="F322" t="str">
            <v>KG</v>
          </cell>
          <cell r="G322">
            <v>0</v>
          </cell>
        </row>
        <row r="323">
          <cell r="B323">
            <v>29878</v>
          </cell>
          <cell r="C323">
            <v>326447.55</v>
          </cell>
          <cell r="D323" t="str">
            <v>PHP</v>
          </cell>
          <cell r="E323">
            <v>429</v>
          </cell>
          <cell r="F323" t="str">
            <v>SET</v>
          </cell>
          <cell r="G323">
            <v>0</v>
          </cell>
        </row>
        <row r="324">
          <cell r="B324">
            <v>29882</v>
          </cell>
          <cell r="C324">
            <v>0</v>
          </cell>
          <cell r="D324" t="str">
            <v>PHP</v>
          </cell>
          <cell r="E324">
            <v>0</v>
          </cell>
          <cell r="F324" t="str">
            <v>KG</v>
          </cell>
          <cell r="G324">
            <v>0</v>
          </cell>
        </row>
        <row r="325">
          <cell r="B325">
            <v>29886</v>
          </cell>
          <cell r="C325">
            <v>18831.39</v>
          </cell>
          <cell r="D325" t="str">
            <v>PHP</v>
          </cell>
          <cell r="E325">
            <v>12</v>
          </cell>
          <cell r="F325" t="str">
            <v>SET</v>
          </cell>
          <cell r="G325">
            <v>0</v>
          </cell>
        </row>
        <row r="326">
          <cell r="B326">
            <v>29888</v>
          </cell>
          <cell r="C326">
            <v>96737.31</v>
          </cell>
          <cell r="D326" t="str">
            <v>PHP</v>
          </cell>
          <cell r="E326">
            <v>23</v>
          </cell>
          <cell r="F326" t="str">
            <v>PC</v>
          </cell>
          <cell r="G326">
            <v>0</v>
          </cell>
        </row>
        <row r="327">
          <cell r="B327">
            <v>29890</v>
          </cell>
          <cell r="C327">
            <v>82856.5</v>
          </cell>
          <cell r="D327" t="str">
            <v>PHP</v>
          </cell>
          <cell r="E327">
            <v>19</v>
          </cell>
          <cell r="F327" t="str">
            <v>PC</v>
          </cell>
          <cell r="G327">
            <v>0</v>
          </cell>
        </row>
        <row r="328">
          <cell r="B328">
            <v>29891</v>
          </cell>
          <cell r="C328">
            <v>0</v>
          </cell>
          <cell r="D328" t="str">
            <v>PHP</v>
          </cell>
          <cell r="E328">
            <v>0</v>
          </cell>
          <cell r="F328" t="str">
            <v>SET</v>
          </cell>
          <cell r="G328">
            <v>0</v>
          </cell>
        </row>
        <row r="329">
          <cell r="B329">
            <v>29894</v>
          </cell>
          <cell r="C329">
            <v>0</v>
          </cell>
          <cell r="D329" t="str">
            <v>PHP</v>
          </cell>
          <cell r="E329">
            <v>0</v>
          </cell>
          <cell r="F329" t="str">
            <v>KG</v>
          </cell>
          <cell r="G329">
            <v>0</v>
          </cell>
        </row>
        <row r="330">
          <cell r="B330">
            <v>29895</v>
          </cell>
          <cell r="C330">
            <v>94805.759999999995</v>
          </cell>
          <cell r="D330" t="str">
            <v>PHP</v>
          </cell>
          <cell r="E330">
            <v>7</v>
          </cell>
          <cell r="F330" t="str">
            <v>PC</v>
          </cell>
          <cell r="G330">
            <v>0</v>
          </cell>
        </row>
        <row r="331">
          <cell r="B331">
            <v>29896</v>
          </cell>
          <cell r="C331">
            <v>92737.54</v>
          </cell>
          <cell r="D331" t="str">
            <v>PHP</v>
          </cell>
          <cell r="E331">
            <v>1</v>
          </cell>
          <cell r="F331" t="str">
            <v>SET</v>
          </cell>
          <cell r="G331">
            <v>0</v>
          </cell>
        </row>
        <row r="332">
          <cell r="B332">
            <v>29897</v>
          </cell>
          <cell r="C332">
            <v>86139.88</v>
          </cell>
          <cell r="D332" t="str">
            <v>PHP</v>
          </cell>
          <cell r="E332">
            <v>2</v>
          </cell>
          <cell r="F332" t="str">
            <v>PC</v>
          </cell>
          <cell r="G332">
            <v>0</v>
          </cell>
        </row>
        <row r="333">
          <cell r="B333">
            <v>29900</v>
          </cell>
          <cell r="C333">
            <v>24847.25</v>
          </cell>
          <cell r="D333" t="str">
            <v>PHP</v>
          </cell>
          <cell r="E333">
            <v>1</v>
          </cell>
          <cell r="F333" t="str">
            <v>PC</v>
          </cell>
          <cell r="G333">
            <v>0</v>
          </cell>
        </row>
        <row r="334">
          <cell r="B334">
            <v>29901</v>
          </cell>
          <cell r="C334">
            <v>0</v>
          </cell>
          <cell r="D334" t="str">
            <v>PHP</v>
          </cell>
          <cell r="E334">
            <v>0</v>
          </cell>
          <cell r="F334" t="str">
            <v>PC</v>
          </cell>
          <cell r="G334">
            <v>0</v>
          </cell>
        </row>
        <row r="335">
          <cell r="B335">
            <v>29902</v>
          </cell>
          <cell r="C335">
            <v>0</v>
          </cell>
          <cell r="D335" t="str">
            <v>PHP</v>
          </cell>
          <cell r="E335">
            <v>0</v>
          </cell>
          <cell r="F335" t="str">
            <v>SET</v>
          </cell>
          <cell r="G335">
            <v>0</v>
          </cell>
        </row>
        <row r="336">
          <cell r="B336">
            <v>29903</v>
          </cell>
          <cell r="C336">
            <v>0</v>
          </cell>
          <cell r="D336" t="str">
            <v>PHP</v>
          </cell>
          <cell r="E336">
            <v>0</v>
          </cell>
          <cell r="F336" t="str">
            <v>FT</v>
          </cell>
          <cell r="G336">
            <v>0</v>
          </cell>
        </row>
        <row r="337">
          <cell r="B337">
            <v>29904</v>
          </cell>
          <cell r="C337">
            <v>58668.72</v>
          </cell>
          <cell r="D337" t="str">
            <v>PHP</v>
          </cell>
          <cell r="E337">
            <v>1</v>
          </cell>
          <cell r="F337" t="str">
            <v>PC</v>
          </cell>
          <cell r="G337">
            <v>0</v>
          </cell>
        </row>
        <row r="338">
          <cell r="B338">
            <v>29906</v>
          </cell>
          <cell r="C338">
            <v>0</v>
          </cell>
          <cell r="D338" t="str">
            <v>PHP</v>
          </cell>
          <cell r="E338">
            <v>0</v>
          </cell>
          <cell r="F338" t="str">
            <v>KG</v>
          </cell>
          <cell r="G338">
            <v>0</v>
          </cell>
        </row>
        <row r="339">
          <cell r="B339">
            <v>29909</v>
          </cell>
          <cell r="C339">
            <v>44143.75</v>
          </cell>
          <cell r="D339" t="str">
            <v>PHP</v>
          </cell>
          <cell r="E339">
            <v>5</v>
          </cell>
          <cell r="F339" t="str">
            <v>PC</v>
          </cell>
          <cell r="G339">
            <v>0</v>
          </cell>
        </row>
        <row r="340">
          <cell r="B340">
            <v>29910</v>
          </cell>
          <cell r="C340">
            <v>34138.620000000003</v>
          </cell>
          <cell r="D340" t="str">
            <v>PHP</v>
          </cell>
          <cell r="E340">
            <v>1</v>
          </cell>
          <cell r="F340" t="str">
            <v>PC</v>
          </cell>
          <cell r="G340">
            <v>0</v>
          </cell>
        </row>
        <row r="341">
          <cell r="B341">
            <v>29911</v>
          </cell>
          <cell r="C341">
            <v>0</v>
          </cell>
          <cell r="D341" t="str">
            <v>PHP</v>
          </cell>
          <cell r="E341">
            <v>0</v>
          </cell>
          <cell r="F341" t="str">
            <v>SET</v>
          </cell>
          <cell r="G341">
            <v>0</v>
          </cell>
        </row>
        <row r="342">
          <cell r="B342">
            <v>29912</v>
          </cell>
          <cell r="C342">
            <v>0</v>
          </cell>
          <cell r="D342" t="str">
            <v>PHP</v>
          </cell>
          <cell r="E342">
            <v>0</v>
          </cell>
          <cell r="F342" t="str">
            <v>SET</v>
          </cell>
          <cell r="G342">
            <v>0</v>
          </cell>
        </row>
        <row r="343">
          <cell r="B343">
            <v>29913</v>
          </cell>
          <cell r="C343">
            <v>0</v>
          </cell>
          <cell r="D343" t="str">
            <v>PHP</v>
          </cell>
          <cell r="E343">
            <v>0</v>
          </cell>
          <cell r="F343" t="str">
            <v>KG</v>
          </cell>
          <cell r="G343">
            <v>0</v>
          </cell>
        </row>
        <row r="344">
          <cell r="B344">
            <v>29914</v>
          </cell>
          <cell r="C344">
            <v>27130.52</v>
          </cell>
          <cell r="D344" t="str">
            <v>PHP</v>
          </cell>
          <cell r="E344">
            <v>1</v>
          </cell>
          <cell r="F344" t="str">
            <v>PC</v>
          </cell>
          <cell r="G344">
            <v>0</v>
          </cell>
        </row>
        <row r="345">
          <cell r="B345">
            <v>29916</v>
          </cell>
          <cell r="C345">
            <v>0</v>
          </cell>
          <cell r="D345" t="str">
            <v>PHP</v>
          </cell>
          <cell r="E345">
            <v>0</v>
          </cell>
          <cell r="F345" t="str">
            <v>M</v>
          </cell>
          <cell r="G345">
            <v>0</v>
          </cell>
        </row>
        <row r="346">
          <cell r="B346">
            <v>29917</v>
          </cell>
          <cell r="C346">
            <v>0</v>
          </cell>
          <cell r="D346" t="str">
            <v>PHP</v>
          </cell>
          <cell r="E346">
            <v>0</v>
          </cell>
          <cell r="F346" t="str">
            <v>SET</v>
          </cell>
          <cell r="G346">
            <v>0</v>
          </cell>
        </row>
        <row r="347">
          <cell r="B347">
            <v>29918</v>
          </cell>
          <cell r="C347">
            <v>0</v>
          </cell>
          <cell r="D347" t="str">
            <v>PHP</v>
          </cell>
          <cell r="E347">
            <v>0</v>
          </cell>
          <cell r="F347" t="str">
            <v>PC</v>
          </cell>
          <cell r="G347">
            <v>0</v>
          </cell>
        </row>
        <row r="348">
          <cell r="B348">
            <v>29923</v>
          </cell>
          <cell r="C348">
            <v>0</v>
          </cell>
          <cell r="D348" t="str">
            <v>PHP</v>
          </cell>
          <cell r="E348">
            <v>0</v>
          </cell>
          <cell r="F348" t="str">
            <v>PC</v>
          </cell>
          <cell r="G348">
            <v>0</v>
          </cell>
        </row>
        <row r="349">
          <cell r="B349">
            <v>29927</v>
          </cell>
          <cell r="C349">
            <v>13760.66</v>
          </cell>
          <cell r="D349" t="str">
            <v>PHP</v>
          </cell>
          <cell r="E349">
            <v>1</v>
          </cell>
          <cell r="F349" t="str">
            <v>PC</v>
          </cell>
          <cell r="G349">
            <v>0</v>
          </cell>
        </row>
        <row r="350">
          <cell r="B350">
            <v>29928</v>
          </cell>
          <cell r="C350">
            <v>13054.68</v>
          </cell>
          <cell r="D350" t="str">
            <v>PHP</v>
          </cell>
          <cell r="E350">
            <v>6</v>
          </cell>
          <cell r="F350" t="str">
            <v>PC</v>
          </cell>
          <cell r="G350">
            <v>0</v>
          </cell>
        </row>
        <row r="351">
          <cell r="B351">
            <v>29934</v>
          </cell>
          <cell r="C351">
            <v>0</v>
          </cell>
          <cell r="D351" t="str">
            <v>PHP</v>
          </cell>
          <cell r="E351">
            <v>0</v>
          </cell>
          <cell r="F351" t="str">
            <v>PC</v>
          </cell>
          <cell r="G351">
            <v>0</v>
          </cell>
        </row>
        <row r="352">
          <cell r="B352">
            <v>29935</v>
          </cell>
          <cell r="C352">
            <v>0</v>
          </cell>
          <cell r="D352" t="str">
            <v>PHP</v>
          </cell>
          <cell r="E352">
            <v>0</v>
          </cell>
          <cell r="F352" t="str">
            <v>SET</v>
          </cell>
          <cell r="G352">
            <v>0</v>
          </cell>
        </row>
        <row r="353">
          <cell r="B353">
            <v>29938</v>
          </cell>
          <cell r="C353">
            <v>0</v>
          </cell>
          <cell r="D353" t="str">
            <v>PHP</v>
          </cell>
          <cell r="E353">
            <v>0</v>
          </cell>
          <cell r="F353" t="str">
            <v>SET</v>
          </cell>
          <cell r="G353">
            <v>0</v>
          </cell>
        </row>
        <row r="354">
          <cell r="B354">
            <v>29940</v>
          </cell>
          <cell r="C354">
            <v>0</v>
          </cell>
          <cell r="D354" t="str">
            <v>PHP</v>
          </cell>
          <cell r="E354">
            <v>0</v>
          </cell>
          <cell r="F354" t="str">
            <v>SET</v>
          </cell>
          <cell r="G354">
            <v>0</v>
          </cell>
        </row>
        <row r="355">
          <cell r="B355">
            <v>29941</v>
          </cell>
          <cell r="C355">
            <v>0</v>
          </cell>
          <cell r="D355" t="str">
            <v>PHP</v>
          </cell>
          <cell r="E355">
            <v>0</v>
          </cell>
          <cell r="F355" t="str">
            <v>SET</v>
          </cell>
          <cell r="G355">
            <v>0</v>
          </cell>
        </row>
        <row r="356">
          <cell r="B356">
            <v>29942</v>
          </cell>
          <cell r="C356">
            <v>0</v>
          </cell>
          <cell r="D356" t="str">
            <v>PHP</v>
          </cell>
          <cell r="E356">
            <v>0</v>
          </cell>
          <cell r="F356" t="str">
            <v>PC</v>
          </cell>
          <cell r="G356">
            <v>0</v>
          </cell>
        </row>
        <row r="357">
          <cell r="B357">
            <v>31037</v>
          </cell>
          <cell r="C357">
            <v>0</v>
          </cell>
          <cell r="D357" t="str">
            <v>PHP</v>
          </cell>
          <cell r="E357">
            <v>0</v>
          </cell>
          <cell r="F357" t="str">
            <v>QT</v>
          </cell>
          <cell r="G357">
            <v>0</v>
          </cell>
        </row>
        <row r="358">
          <cell r="B358">
            <v>31460</v>
          </cell>
          <cell r="C358">
            <v>0</v>
          </cell>
          <cell r="D358" t="str">
            <v>PHP</v>
          </cell>
          <cell r="E358">
            <v>0</v>
          </cell>
          <cell r="F358" t="str">
            <v>PC</v>
          </cell>
          <cell r="G358">
            <v>0</v>
          </cell>
        </row>
        <row r="359">
          <cell r="B359">
            <v>31461</v>
          </cell>
          <cell r="C359">
            <v>4225.25</v>
          </cell>
          <cell r="D359" t="str">
            <v>PHP</v>
          </cell>
          <cell r="E359">
            <v>1</v>
          </cell>
          <cell r="F359" t="str">
            <v>PC</v>
          </cell>
          <cell r="G359">
            <v>0</v>
          </cell>
        </row>
        <row r="360">
          <cell r="B360">
            <v>31462</v>
          </cell>
          <cell r="C360">
            <v>5158.5600000000004</v>
          </cell>
          <cell r="D360" t="str">
            <v>PHP</v>
          </cell>
          <cell r="E360">
            <v>6</v>
          </cell>
          <cell r="F360" t="str">
            <v>PC</v>
          </cell>
          <cell r="G360">
            <v>0</v>
          </cell>
        </row>
        <row r="361">
          <cell r="B361">
            <v>31463</v>
          </cell>
          <cell r="C361">
            <v>56336.7</v>
          </cell>
          <cell r="D361" t="str">
            <v>PHP</v>
          </cell>
          <cell r="E361">
            <v>3</v>
          </cell>
          <cell r="F361" t="str">
            <v>PC</v>
          </cell>
          <cell r="G361">
            <v>0</v>
          </cell>
        </row>
        <row r="362">
          <cell r="B362">
            <v>31464</v>
          </cell>
          <cell r="C362">
            <v>35223.85</v>
          </cell>
          <cell r="D362" t="str">
            <v>PHP</v>
          </cell>
          <cell r="E362">
            <v>1</v>
          </cell>
          <cell r="F362" t="str">
            <v>PC</v>
          </cell>
          <cell r="G362">
            <v>0</v>
          </cell>
        </row>
        <row r="363">
          <cell r="B363">
            <v>31465</v>
          </cell>
          <cell r="C363">
            <v>16588.03</v>
          </cell>
          <cell r="D363" t="str">
            <v>PHP</v>
          </cell>
          <cell r="E363">
            <v>1</v>
          </cell>
          <cell r="F363" t="str">
            <v>PC</v>
          </cell>
          <cell r="G363">
            <v>0</v>
          </cell>
        </row>
        <row r="364">
          <cell r="B364">
            <v>31466</v>
          </cell>
          <cell r="C364">
            <v>6752.3</v>
          </cell>
          <cell r="D364" t="str">
            <v>PHP</v>
          </cell>
          <cell r="E364">
            <v>5</v>
          </cell>
          <cell r="F364" t="str">
            <v>PC</v>
          </cell>
          <cell r="G364">
            <v>0</v>
          </cell>
        </row>
        <row r="365">
          <cell r="B365">
            <v>31468</v>
          </cell>
          <cell r="C365">
            <v>0</v>
          </cell>
          <cell r="D365" t="str">
            <v>PHP</v>
          </cell>
          <cell r="E365">
            <v>0</v>
          </cell>
          <cell r="F365" t="str">
            <v>SET</v>
          </cell>
          <cell r="G365">
            <v>0</v>
          </cell>
        </row>
        <row r="366">
          <cell r="B366">
            <v>31469</v>
          </cell>
          <cell r="C366">
            <v>147038.79</v>
          </cell>
          <cell r="D366" t="str">
            <v>PHP</v>
          </cell>
          <cell r="E366">
            <v>3</v>
          </cell>
          <cell r="F366" t="str">
            <v>PC</v>
          </cell>
          <cell r="G366">
            <v>0</v>
          </cell>
        </row>
        <row r="367">
          <cell r="B367">
            <v>31470</v>
          </cell>
          <cell r="C367">
            <v>57463.47</v>
          </cell>
          <cell r="D367" t="str">
            <v>PHP</v>
          </cell>
          <cell r="E367">
            <v>9</v>
          </cell>
          <cell r="F367" t="str">
            <v>PC</v>
          </cell>
          <cell r="G367">
            <v>0</v>
          </cell>
        </row>
        <row r="368">
          <cell r="B368">
            <v>31503</v>
          </cell>
          <cell r="C368">
            <v>0</v>
          </cell>
          <cell r="D368" t="str">
            <v>PHP</v>
          </cell>
          <cell r="E368">
            <v>0</v>
          </cell>
          <cell r="F368" t="str">
            <v>PC</v>
          </cell>
          <cell r="G368">
            <v>0</v>
          </cell>
        </row>
        <row r="369">
          <cell r="B369">
            <v>31592</v>
          </cell>
          <cell r="C369">
            <v>0</v>
          </cell>
          <cell r="D369" t="str">
            <v>PHP</v>
          </cell>
          <cell r="E369">
            <v>0</v>
          </cell>
          <cell r="F369" t="str">
            <v>PC</v>
          </cell>
          <cell r="G369">
            <v>0</v>
          </cell>
        </row>
        <row r="370">
          <cell r="B370">
            <v>33892</v>
          </cell>
          <cell r="C370">
            <v>0</v>
          </cell>
          <cell r="D370" t="str">
            <v>PHP</v>
          </cell>
          <cell r="E370">
            <v>0</v>
          </cell>
          <cell r="F370" t="str">
            <v>PC</v>
          </cell>
          <cell r="G370">
            <v>0</v>
          </cell>
        </row>
        <row r="371">
          <cell r="B371">
            <v>33913</v>
          </cell>
          <cell r="C371">
            <v>0</v>
          </cell>
          <cell r="D371" t="str">
            <v>PHP</v>
          </cell>
          <cell r="E371">
            <v>0</v>
          </cell>
          <cell r="F371" t="str">
            <v>PC</v>
          </cell>
          <cell r="G371">
            <v>0</v>
          </cell>
        </row>
        <row r="372">
          <cell r="B372">
            <v>34416</v>
          </cell>
          <cell r="C372">
            <v>0</v>
          </cell>
          <cell r="D372" t="str">
            <v>PHP</v>
          </cell>
          <cell r="E372">
            <v>0</v>
          </cell>
          <cell r="F372" t="str">
            <v>PC</v>
          </cell>
          <cell r="G372">
            <v>0</v>
          </cell>
        </row>
        <row r="373">
          <cell r="B373">
            <v>34523</v>
          </cell>
          <cell r="C373">
            <v>0</v>
          </cell>
          <cell r="D373" t="str">
            <v>PHP</v>
          </cell>
          <cell r="E373">
            <v>0</v>
          </cell>
          <cell r="F373" t="str">
            <v>PC</v>
          </cell>
          <cell r="G373">
            <v>0</v>
          </cell>
        </row>
        <row r="374">
          <cell r="B374">
            <v>34831</v>
          </cell>
          <cell r="C374">
            <v>0</v>
          </cell>
          <cell r="D374" t="str">
            <v>PHP</v>
          </cell>
          <cell r="E374">
            <v>0</v>
          </cell>
          <cell r="F374" t="str">
            <v>PC</v>
          </cell>
          <cell r="G374">
            <v>0</v>
          </cell>
        </row>
        <row r="375">
          <cell r="B375">
            <v>35086</v>
          </cell>
          <cell r="C375">
            <v>0</v>
          </cell>
          <cell r="D375" t="str">
            <v>PHP</v>
          </cell>
          <cell r="E375">
            <v>0</v>
          </cell>
          <cell r="F375" t="str">
            <v>PC</v>
          </cell>
          <cell r="G375">
            <v>0</v>
          </cell>
        </row>
        <row r="376">
          <cell r="B376">
            <v>37459</v>
          </cell>
          <cell r="C376">
            <v>0</v>
          </cell>
          <cell r="D376" t="str">
            <v>PHP</v>
          </cell>
          <cell r="E376">
            <v>0</v>
          </cell>
          <cell r="F376" t="str">
            <v>PC</v>
          </cell>
          <cell r="G376">
            <v>0</v>
          </cell>
        </row>
        <row r="377">
          <cell r="B377">
            <v>39720</v>
          </cell>
          <cell r="C377">
            <v>0</v>
          </cell>
          <cell r="D377" t="str">
            <v>PHP</v>
          </cell>
          <cell r="E377">
            <v>0</v>
          </cell>
          <cell r="F377" t="str">
            <v>PC</v>
          </cell>
          <cell r="G377">
            <v>0</v>
          </cell>
        </row>
        <row r="378">
          <cell r="B378">
            <v>39762</v>
          </cell>
          <cell r="C378">
            <v>688.21</v>
          </cell>
          <cell r="D378" t="str">
            <v>PHP</v>
          </cell>
          <cell r="E378">
            <v>2</v>
          </cell>
          <cell r="F378" t="str">
            <v>PC</v>
          </cell>
          <cell r="G378">
            <v>0</v>
          </cell>
        </row>
        <row r="379">
          <cell r="B379">
            <v>39836</v>
          </cell>
          <cell r="C379">
            <v>0</v>
          </cell>
          <cell r="D379" t="str">
            <v>PHP</v>
          </cell>
          <cell r="E379">
            <v>0</v>
          </cell>
          <cell r="F379" t="str">
            <v>PC</v>
          </cell>
          <cell r="G379">
            <v>0</v>
          </cell>
        </row>
        <row r="380">
          <cell r="B380">
            <v>40030</v>
          </cell>
          <cell r="C380">
            <v>132.16999999999999</v>
          </cell>
          <cell r="D380" t="str">
            <v>PHP</v>
          </cell>
          <cell r="E380">
            <v>2</v>
          </cell>
          <cell r="F380" t="str">
            <v>PC</v>
          </cell>
          <cell r="G380">
            <v>0</v>
          </cell>
        </row>
        <row r="381">
          <cell r="B381">
            <v>40062</v>
          </cell>
          <cell r="C381">
            <v>0</v>
          </cell>
          <cell r="D381" t="str">
            <v>PHP</v>
          </cell>
          <cell r="E381">
            <v>0</v>
          </cell>
          <cell r="F381" t="str">
            <v>PC</v>
          </cell>
          <cell r="G381">
            <v>0</v>
          </cell>
        </row>
        <row r="382">
          <cell r="B382">
            <v>40084</v>
          </cell>
          <cell r="C382">
            <v>0</v>
          </cell>
          <cell r="D382" t="str">
            <v>PHP</v>
          </cell>
          <cell r="E382">
            <v>0</v>
          </cell>
          <cell r="F382" t="str">
            <v>PC</v>
          </cell>
          <cell r="G382">
            <v>0</v>
          </cell>
        </row>
        <row r="383">
          <cell r="B383">
            <v>40087</v>
          </cell>
          <cell r="C383">
            <v>0</v>
          </cell>
          <cell r="D383" t="str">
            <v>PHP</v>
          </cell>
          <cell r="E383">
            <v>0</v>
          </cell>
          <cell r="F383" t="str">
            <v>PC</v>
          </cell>
          <cell r="G383">
            <v>0</v>
          </cell>
        </row>
        <row r="384">
          <cell r="B384">
            <v>40216</v>
          </cell>
          <cell r="C384">
            <v>607767</v>
          </cell>
          <cell r="D384" t="str">
            <v>PHP</v>
          </cell>
          <cell r="E384">
            <v>102</v>
          </cell>
          <cell r="F384" t="str">
            <v>PL</v>
          </cell>
          <cell r="G384">
            <v>0</v>
          </cell>
        </row>
        <row r="385">
          <cell r="B385">
            <v>40319</v>
          </cell>
          <cell r="C385">
            <v>79786.720000000001</v>
          </cell>
          <cell r="D385" t="str">
            <v>PHP</v>
          </cell>
          <cell r="E385">
            <v>6</v>
          </cell>
          <cell r="F385" t="str">
            <v>PC</v>
          </cell>
          <cell r="G385">
            <v>0</v>
          </cell>
        </row>
        <row r="386">
          <cell r="B386">
            <v>40320</v>
          </cell>
          <cell r="C386">
            <v>8229905.2699999996</v>
          </cell>
          <cell r="D386" t="str">
            <v>PHP</v>
          </cell>
          <cell r="E386">
            <v>336</v>
          </cell>
          <cell r="F386" t="str">
            <v>LEN</v>
          </cell>
          <cell r="G386">
            <v>0</v>
          </cell>
        </row>
        <row r="387">
          <cell r="B387">
            <v>40321</v>
          </cell>
          <cell r="C387">
            <v>24479061</v>
          </cell>
          <cell r="D387" t="str">
            <v>PHP</v>
          </cell>
          <cell r="E387">
            <v>894</v>
          </cell>
          <cell r="F387" t="str">
            <v>LEN</v>
          </cell>
          <cell r="G387">
            <v>0</v>
          </cell>
        </row>
        <row r="388">
          <cell r="B388">
            <v>40322</v>
          </cell>
          <cell r="C388">
            <v>0</v>
          </cell>
          <cell r="D388" t="str">
            <v>PHP</v>
          </cell>
          <cell r="E388">
            <v>0</v>
          </cell>
          <cell r="F388" t="str">
            <v>PC</v>
          </cell>
          <cell r="G388">
            <v>0</v>
          </cell>
        </row>
        <row r="389">
          <cell r="B389">
            <v>40324</v>
          </cell>
          <cell r="C389">
            <v>126276.98</v>
          </cell>
          <cell r="D389" t="str">
            <v>PHP</v>
          </cell>
          <cell r="E389">
            <v>41</v>
          </cell>
          <cell r="F389" t="str">
            <v>PC</v>
          </cell>
          <cell r="G389">
            <v>0</v>
          </cell>
        </row>
        <row r="390">
          <cell r="B390">
            <v>40327</v>
          </cell>
          <cell r="C390">
            <v>7624310.7199999997</v>
          </cell>
          <cell r="D390" t="str">
            <v>PHP</v>
          </cell>
          <cell r="E390">
            <v>4</v>
          </cell>
          <cell r="F390" t="str">
            <v>PC</v>
          </cell>
          <cell r="G390">
            <v>0</v>
          </cell>
        </row>
        <row r="391">
          <cell r="B391">
            <v>40328</v>
          </cell>
          <cell r="C391">
            <v>509119.24</v>
          </cell>
          <cell r="D391" t="str">
            <v>PHP</v>
          </cell>
          <cell r="E391">
            <v>1</v>
          </cell>
          <cell r="F391" t="str">
            <v>PC</v>
          </cell>
          <cell r="G391">
            <v>0</v>
          </cell>
        </row>
        <row r="392">
          <cell r="B392">
            <v>40330</v>
          </cell>
          <cell r="C392">
            <v>425065.42</v>
          </cell>
          <cell r="D392" t="str">
            <v>PHP</v>
          </cell>
          <cell r="E392">
            <v>2</v>
          </cell>
          <cell r="F392" t="str">
            <v>PC</v>
          </cell>
          <cell r="G392">
            <v>0</v>
          </cell>
        </row>
        <row r="393">
          <cell r="B393">
            <v>40334</v>
          </cell>
          <cell r="C393">
            <v>33984.18</v>
          </cell>
          <cell r="D393" t="str">
            <v>PHP</v>
          </cell>
          <cell r="E393">
            <v>1</v>
          </cell>
          <cell r="F393" t="str">
            <v>PC</v>
          </cell>
          <cell r="G393">
            <v>0</v>
          </cell>
        </row>
        <row r="394">
          <cell r="B394">
            <v>40335</v>
          </cell>
          <cell r="C394">
            <v>208223.35999999999</v>
          </cell>
          <cell r="D394" t="str">
            <v>PHP</v>
          </cell>
          <cell r="E394">
            <v>4</v>
          </cell>
          <cell r="F394" t="str">
            <v>PC</v>
          </cell>
          <cell r="G394">
            <v>0</v>
          </cell>
        </row>
        <row r="395">
          <cell r="B395">
            <v>40338</v>
          </cell>
          <cell r="C395">
            <v>0</v>
          </cell>
          <cell r="D395" t="str">
            <v>PHP</v>
          </cell>
          <cell r="E395">
            <v>0</v>
          </cell>
          <cell r="F395" t="str">
            <v>PC</v>
          </cell>
          <cell r="G395">
            <v>0</v>
          </cell>
        </row>
        <row r="396">
          <cell r="B396">
            <v>40339</v>
          </cell>
          <cell r="C396">
            <v>0</v>
          </cell>
          <cell r="D396" t="str">
            <v>PHP</v>
          </cell>
          <cell r="E396">
            <v>0</v>
          </cell>
          <cell r="F396" t="str">
            <v>PC</v>
          </cell>
          <cell r="G396">
            <v>0</v>
          </cell>
        </row>
        <row r="397">
          <cell r="B397">
            <v>40415</v>
          </cell>
          <cell r="C397">
            <v>0</v>
          </cell>
          <cell r="D397" t="str">
            <v>PHP</v>
          </cell>
          <cell r="E397">
            <v>0</v>
          </cell>
          <cell r="F397" t="str">
            <v>PC</v>
          </cell>
          <cell r="G397">
            <v>0</v>
          </cell>
        </row>
        <row r="398">
          <cell r="B398">
            <v>40512</v>
          </cell>
          <cell r="C398">
            <v>0</v>
          </cell>
          <cell r="D398" t="str">
            <v>PHP</v>
          </cell>
          <cell r="E398">
            <v>0</v>
          </cell>
          <cell r="F398" t="str">
            <v>ASY</v>
          </cell>
          <cell r="G398">
            <v>0</v>
          </cell>
        </row>
        <row r="399">
          <cell r="B399">
            <v>40654</v>
          </cell>
          <cell r="C399">
            <v>0</v>
          </cell>
          <cell r="D399" t="str">
            <v>PHP</v>
          </cell>
          <cell r="E399">
            <v>0</v>
          </cell>
          <cell r="F399" t="str">
            <v>PC</v>
          </cell>
          <cell r="G399">
            <v>0</v>
          </cell>
        </row>
        <row r="400">
          <cell r="B400">
            <v>40687</v>
          </cell>
          <cell r="C400">
            <v>113993.82</v>
          </cell>
          <cell r="D400" t="str">
            <v>PHP</v>
          </cell>
          <cell r="E400">
            <v>1</v>
          </cell>
          <cell r="F400" t="str">
            <v>PC</v>
          </cell>
          <cell r="G400">
            <v>0</v>
          </cell>
        </row>
        <row r="401">
          <cell r="B401">
            <v>40833</v>
          </cell>
          <cell r="C401">
            <v>0</v>
          </cell>
          <cell r="D401" t="str">
            <v>PHP</v>
          </cell>
          <cell r="E401">
            <v>0</v>
          </cell>
          <cell r="F401" t="str">
            <v>KIT</v>
          </cell>
          <cell r="G401">
            <v>0</v>
          </cell>
        </row>
        <row r="402">
          <cell r="B402">
            <v>41082</v>
          </cell>
          <cell r="C402">
            <v>0</v>
          </cell>
          <cell r="D402" t="str">
            <v>PHP</v>
          </cell>
          <cell r="E402">
            <v>0</v>
          </cell>
          <cell r="F402" t="str">
            <v>PC</v>
          </cell>
          <cell r="G402">
            <v>0</v>
          </cell>
        </row>
        <row r="403">
          <cell r="B403">
            <v>41094</v>
          </cell>
          <cell r="C403">
            <v>0</v>
          </cell>
          <cell r="D403" t="str">
            <v>PHP</v>
          </cell>
          <cell r="E403">
            <v>0</v>
          </cell>
          <cell r="F403" t="str">
            <v>PC</v>
          </cell>
          <cell r="G403">
            <v>0</v>
          </cell>
        </row>
        <row r="404">
          <cell r="B404">
            <v>41095</v>
          </cell>
          <cell r="C404">
            <v>275216.51</v>
          </cell>
          <cell r="D404" t="str">
            <v>PHP</v>
          </cell>
          <cell r="E404">
            <v>13</v>
          </cell>
          <cell r="F404" t="str">
            <v>KIT</v>
          </cell>
          <cell r="G404">
            <v>0</v>
          </cell>
        </row>
        <row r="405">
          <cell r="B405">
            <v>41169</v>
          </cell>
          <cell r="C405">
            <v>0</v>
          </cell>
          <cell r="D405" t="str">
            <v>PHP</v>
          </cell>
          <cell r="E405">
            <v>0</v>
          </cell>
          <cell r="F405" t="str">
            <v>PC</v>
          </cell>
          <cell r="G405">
            <v>0</v>
          </cell>
        </row>
        <row r="406">
          <cell r="B406">
            <v>41226</v>
          </cell>
          <cell r="C406">
            <v>0</v>
          </cell>
          <cell r="D406" t="str">
            <v>PHP</v>
          </cell>
          <cell r="E406">
            <v>0</v>
          </cell>
          <cell r="F406" t="str">
            <v>PC</v>
          </cell>
          <cell r="G406">
            <v>0</v>
          </cell>
        </row>
        <row r="407">
          <cell r="B407">
            <v>41279</v>
          </cell>
          <cell r="C407">
            <v>135517.29</v>
          </cell>
          <cell r="D407" t="str">
            <v>PHP</v>
          </cell>
          <cell r="E407">
            <v>159</v>
          </cell>
          <cell r="F407" t="str">
            <v>BAG</v>
          </cell>
          <cell r="G407">
            <v>0</v>
          </cell>
        </row>
        <row r="408">
          <cell r="B408">
            <v>41280</v>
          </cell>
          <cell r="C408">
            <v>0</v>
          </cell>
          <cell r="D408" t="str">
            <v>PHP</v>
          </cell>
          <cell r="E408">
            <v>0</v>
          </cell>
          <cell r="F408" t="str">
            <v>BAG</v>
          </cell>
          <cell r="G408">
            <v>0</v>
          </cell>
        </row>
        <row r="409">
          <cell r="B409">
            <v>41281</v>
          </cell>
          <cell r="C409">
            <v>0</v>
          </cell>
          <cell r="D409" t="str">
            <v>PHP</v>
          </cell>
          <cell r="E409">
            <v>0</v>
          </cell>
          <cell r="F409" t="str">
            <v>DR</v>
          </cell>
          <cell r="G409">
            <v>0</v>
          </cell>
        </row>
        <row r="410">
          <cell r="B410">
            <v>41287</v>
          </cell>
          <cell r="C410">
            <v>0</v>
          </cell>
          <cell r="D410" t="str">
            <v>PHP</v>
          </cell>
          <cell r="E410">
            <v>0</v>
          </cell>
          <cell r="F410" t="str">
            <v>L</v>
          </cell>
          <cell r="G410">
            <v>0</v>
          </cell>
        </row>
        <row r="411">
          <cell r="B411">
            <v>41291</v>
          </cell>
          <cell r="C411">
            <v>0</v>
          </cell>
          <cell r="D411" t="str">
            <v>PHP</v>
          </cell>
          <cell r="E411">
            <v>0</v>
          </cell>
          <cell r="F411" t="str">
            <v>DR</v>
          </cell>
          <cell r="G411">
            <v>0</v>
          </cell>
        </row>
        <row r="412">
          <cell r="B412">
            <v>41296</v>
          </cell>
          <cell r="C412">
            <v>616749.84</v>
          </cell>
          <cell r="D412" t="str">
            <v>PHP</v>
          </cell>
          <cell r="E412">
            <v>1659</v>
          </cell>
          <cell r="F412" t="str">
            <v>BAG</v>
          </cell>
          <cell r="G412">
            <v>0</v>
          </cell>
        </row>
        <row r="413">
          <cell r="B413">
            <v>41298</v>
          </cell>
          <cell r="C413">
            <v>152901.6</v>
          </cell>
          <cell r="D413" t="str">
            <v>PHP</v>
          </cell>
          <cell r="E413">
            <v>240</v>
          </cell>
          <cell r="F413" t="str">
            <v>BAG</v>
          </cell>
          <cell r="G413">
            <v>0</v>
          </cell>
        </row>
        <row r="414">
          <cell r="B414">
            <v>41304</v>
          </cell>
          <cell r="C414">
            <v>0</v>
          </cell>
          <cell r="D414" t="str">
            <v>PHP</v>
          </cell>
          <cell r="E414">
            <v>0</v>
          </cell>
          <cell r="F414" t="str">
            <v>BAG</v>
          </cell>
          <cell r="G414">
            <v>0</v>
          </cell>
        </row>
        <row r="415">
          <cell r="B415">
            <v>41313</v>
          </cell>
          <cell r="C415">
            <v>0</v>
          </cell>
          <cell r="D415" t="str">
            <v>PHP</v>
          </cell>
          <cell r="E415">
            <v>0</v>
          </cell>
          <cell r="F415" t="str">
            <v>PC</v>
          </cell>
          <cell r="G415">
            <v>0</v>
          </cell>
        </row>
        <row r="416">
          <cell r="B416">
            <v>41472</v>
          </cell>
          <cell r="C416">
            <v>78272.960000000006</v>
          </cell>
          <cell r="D416" t="str">
            <v>PHP</v>
          </cell>
          <cell r="E416">
            <v>2</v>
          </cell>
          <cell r="F416" t="str">
            <v>PC</v>
          </cell>
          <cell r="G416">
            <v>0</v>
          </cell>
        </row>
        <row r="417">
          <cell r="B417">
            <v>41504</v>
          </cell>
          <cell r="C417">
            <v>0</v>
          </cell>
          <cell r="D417" t="str">
            <v>PHP</v>
          </cell>
          <cell r="E417">
            <v>0</v>
          </cell>
          <cell r="F417" t="str">
            <v>PC</v>
          </cell>
          <cell r="G417">
            <v>0</v>
          </cell>
        </row>
        <row r="418">
          <cell r="B418">
            <v>41532</v>
          </cell>
          <cell r="C418">
            <v>0</v>
          </cell>
          <cell r="D418" t="str">
            <v>PHP</v>
          </cell>
          <cell r="E418">
            <v>0</v>
          </cell>
          <cell r="F418" t="str">
            <v>PC</v>
          </cell>
          <cell r="G418">
            <v>0</v>
          </cell>
        </row>
        <row r="419">
          <cell r="B419">
            <v>41541</v>
          </cell>
          <cell r="C419">
            <v>0</v>
          </cell>
          <cell r="D419" t="str">
            <v>PHP</v>
          </cell>
          <cell r="E419">
            <v>0</v>
          </cell>
          <cell r="F419" t="str">
            <v>PC</v>
          </cell>
          <cell r="G419">
            <v>0</v>
          </cell>
        </row>
        <row r="420">
          <cell r="B420">
            <v>41547</v>
          </cell>
          <cell r="C420">
            <v>0</v>
          </cell>
          <cell r="D420" t="str">
            <v>PHP</v>
          </cell>
          <cell r="E420">
            <v>0</v>
          </cell>
          <cell r="F420" t="str">
            <v>PC</v>
          </cell>
          <cell r="G420">
            <v>0</v>
          </cell>
        </row>
        <row r="421">
          <cell r="B421">
            <v>41554</v>
          </cell>
          <cell r="C421">
            <v>146141.76000000001</v>
          </cell>
          <cell r="D421" t="str">
            <v>PHP</v>
          </cell>
          <cell r="E421">
            <v>4</v>
          </cell>
          <cell r="F421" t="str">
            <v>PC</v>
          </cell>
          <cell r="G421">
            <v>0</v>
          </cell>
        </row>
        <row r="422">
          <cell r="B422">
            <v>41558</v>
          </cell>
          <cell r="C422">
            <v>0</v>
          </cell>
          <cell r="D422" t="str">
            <v>PHP</v>
          </cell>
          <cell r="E422">
            <v>0</v>
          </cell>
          <cell r="F422" t="str">
            <v>PC</v>
          </cell>
          <cell r="G422">
            <v>0</v>
          </cell>
        </row>
        <row r="423">
          <cell r="B423">
            <v>41589</v>
          </cell>
          <cell r="C423">
            <v>0</v>
          </cell>
          <cell r="D423" t="str">
            <v>PHP</v>
          </cell>
          <cell r="E423">
            <v>0</v>
          </cell>
          <cell r="F423" t="str">
            <v>PC</v>
          </cell>
          <cell r="G423">
            <v>0</v>
          </cell>
        </row>
        <row r="424">
          <cell r="B424">
            <v>41666</v>
          </cell>
          <cell r="C424">
            <v>0</v>
          </cell>
          <cell r="D424" t="str">
            <v>PHP</v>
          </cell>
          <cell r="E424">
            <v>0</v>
          </cell>
          <cell r="F424" t="str">
            <v>ASY</v>
          </cell>
          <cell r="G424">
            <v>0</v>
          </cell>
        </row>
        <row r="425">
          <cell r="B425">
            <v>41671</v>
          </cell>
          <cell r="C425">
            <v>0</v>
          </cell>
          <cell r="D425" t="str">
            <v>PHP</v>
          </cell>
          <cell r="E425">
            <v>0</v>
          </cell>
          <cell r="F425" t="str">
            <v>PC</v>
          </cell>
          <cell r="G425">
            <v>0</v>
          </cell>
        </row>
        <row r="426">
          <cell r="B426">
            <v>41885</v>
          </cell>
          <cell r="C426">
            <v>0</v>
          </cell>
          <cell r="D426" t="str">
            <v>PHP</v>
          </cell>
          <cell r="E426">
            <v>0</v>
          </cell>
          <cell r="F426" t="str">
            <v>PC</v>
          </cell>
          <cell r="G426">
            <v>0</v>
          </cell>
        </row>
        <row r="427">
          <cell r="B427">
            <v>42384</v>
          </cell>
          <cell r="C427">
            <v>0</v>
          </cell>
          <cell r="D427" t="str">
            <v>PHP</v>
          </cell>
          <cell r="E427">
            <v>0</v>
          </cell>
          <cell r="F427" t="str">
            <v>PC</v>
          </cell>
          <cell r="G427">
            <v>0</v>
          </cell>
        </row>
        <row r="428">
          <cell r="B428">
            <v>42385</v>
          </cell>
          <cell r="C428">
            <v>0</v>
          </cell>
          <cell r="D428" t="str">
            <v>PHP</v>
          </cell>
          <cell r="E428">
            <v>0</v>
          </cell>
          <cell r="F428" t="str">
            <v>PC</v>
          </cell>
          <cell r="G428">
            <v>0</v>
          </cell>
        </row>
        <row r="429">
          <cell r="B429">
            <v>42393</v>
          </cell>
          <cell r="C429">
            <v>0</v>
          </cell>
          <cell r="D429" t="str">
            <v>PHP</v>
          </cell>
          <cell r="E429">
            <v>0</v>
          </cell>
          <cell r="F429" t="str">
            <v>PC</v>
          </cell>
          <cell r="G429">
            <v>0</v>
          </cell>
        </row>
        <row r="430">
          <cell r="B430">
            <v>42438</v>
          </cell>
          <cell r="C430">
            <v>0</v>
          </cell>
          <cell r="D430" t="str">
            <v>PHP</v>
          </cell>
          <cell r="E430">
            <v>0</v>
          </cell>
          <cell r="F430" t="str">
            <v>PC</v>
          </cell>
          <cell r="G430">
            <v>0</v>
          </cell>
        </row>
        <row r="431">
          <cell r="B431">
            <v>42439</v>
          </cell>
          <cell r="C431">
            <v>0</v>
          </cell>
          <cell r="D431" t="str">
            <v>PHP</v>
          </cell>
          <cell r="E431">
            <v>0</v>
          </cell>
          <cell r="F431" t="str">
            <v>PC</v>
          </cell>
          <cell r="G431">
            <v>0</v>
          </cell>
        </row>
        <row r="432">
          <cell r="B432">
            <v>42441</v>
          </cell>
          <cell r="C432">
            <v>0</v>
          </cell>
          <cell r="D432" t="str">
            <v>PHP</v>
          </cell>
          <cell r="E432">
            <v>0</v>
          </cell>
          <cell r="F432" t="str">
            <v>PC</v>
          </cell>
          <cell r="G432">
            <v>0</v>
          </cell>
        </row>
        <row r="433">
          <cell r="B433">
            <v>42444</v>
          </cell>
          <cell r="C433">
            <v>0</v>
          </cell>
          <cell r="D433" t="str">
            <v>PHP</v>
          </cell>
          <cell r="E433">
            <v>0</v>
          </cell>
          <cell r="F433" t="str">
            <v>PC</v>
          </cell>
          <cell r="G433">
            <v>0</v>
          </cell>
        </row>
        <row r="434">
          <cell r="B434">
            <v>42465</v>
          </cell>
          <cell r="C434">
            <v>0</v>
          </cell>
          <cell r="D434" t="str">
            <v>PHP</v>
          </cell>
          <cell r="E434">
            <v>0</v>
          </cell>
          <cell r="F434" t="str">
            <v>PC</v>
          </cell>
          <cell r="G434">
            <v>0</v>
          </cell>
        </row>
        <row r="435">
          <cell r="B435">
            <v>42474</v>
          </cell>
          <cell r="C435">
            <v>0</v>
          </cell>
          <cell r="D435" t="str">
            <v>PHP</v>
          </cell>
          <cell r="E435">
            <v>0</v>
          </cell>
          <cell r="F435" t="str">
            <v>PC</v>
          </cell>
          <cell r="G435">
            <v>0</v>
          </cell>
        </row>
        <row r="436">
          <cell r="B436">
            <v>42493</v>
          </cell>
          <cell r="C436">
            <v>0</v>
          </cell>
          <cell r="D436" t="str">
            <v>PHP</v>
          </cell>
          <cell r="E436">
            <v>0</v>
          </cell>
          <cell r="F436" t="str">
            <v>KIT</v>
          </cell>
          <cell r="G436">
            <v>0</v>
          </cell>
        </row>
        <row r="437">
          <cell r="B437">
            <v>42521</v>
          </cell>
          <cell r="C437">
            <v>0</v>
          </cell>
          <cell r="D437" t="str">
            <v>PHP</v>
          </cell>
          <cell r="E437">
            <v>0</v>
          </cell>
          <cell r="F437" t="str">
            <v>PC</v>
          </cell>
          <cell r="G437">
            <v>0</v>
          </cell>
        </row>
        <row r="438">
          <cell r="B438">
            <v>42523</v>
          </cell>
          <cell r="C438">
            <v>0</v>
          </cell>
          <cell r="D438" t="str">
            <v>PHP</v>
          </cell>
          <cell r="E438">
            <v>0</v>
          </cell>
          <cell r="F438" t="str">
            <v>PC</v>
          </cell>
          <cell r="G438">
            <v>0</v>
          </cell>
        </row>
        <row r="439">
          <cell r="B439">
            <v>42560</v>
          </cell>
          <cell r="C439">
            <v>0</v>
          </cell>
          <cell r="D439" t="str">
            <v>PHP</v>
          </cell>
          <cell r="E439">
            <v>0</v>
          </cell>
          <cell r="F439" t="str">
            <v>PC</v>
          </cell>
          <cell r="G439">
            <v>0</v>
          </cell>
        </row>
        <row r="440">
          <cell r="B440">
            <v>42570</v>
          </cell>
          <cell r="C440">
            <v>0</v>
          </cell>
          <cell r="D440" t="str">
            <v>PHP</v>
          </cell>
          <cell r="E440">
            <v>0</v>
          </cell>
          <cell r="F440" t="str">
            <v>ASY</v>
          </cell>
          <cell r="G440">
            <v>0</v>
          </cell>
        </row>
        <row r="441">
          <cell r="B441">
            <v>42572</v>
          </cell>
          <cell r="C441">
            <v>0</v>
          </cell>
          <cell r="D441" t="str">
            <v>PHP</v>
          </cell>
          <cell r="E441">
            <v>0</v>
          </cell>
          <cell r="F441" t="str">
            <v>ASY</v>
          </cell>
          <cell r="G441">
            <v>0</v>
          </cell>
        </row>
        <row r="442">
          <cell r="B442">
            <v>42573</v>
          </cell>
          <cell r="C442">
            <v>0</v>
          </cell>
          <cell r="D442" t="str">
            <v>PHP</v>
          </cell>
          <cell r="E442">
            <v>0</v>
          </cell>
          <cell r="F442" t="str">
            <v>ASY</v>
          </cell>
          <cell r="G442">
            <v>0</v>
          </cell>
        </row>
        <row r="443">
          <cell r="B443">
            <v>42649</v>
          </cell>
          <cell r="C443">
            <v>0</v>
          </cell>
          <cell r="D443" t="str">
            <v>PHP</v>
          </cell>
          <cell r="E443">
            <v>0</v>
          </cell>
          <cell r="F443" t="str">
            <v>PC</v>
          </cell>
          <cell r="G443">
            <v>0</v>
          </cell>
        </row>
        <row r="444">
          <cell r="B444">
            <v>42694</v>
          </cell>
          <cell r="C444">
            <v>0</v>
          </cell>
          <cell r="D444" t="str">
            <v>PHP</v>
          </cell>
          <cell r="E444">
            <v>0</v>
          </cell>
          <cell r="F444" t="str">
            <v>PC</v>
          </cell>
          <cell r="G444">
            <v>0</v>
          </cell>
        </row>
        <row r="445">
          <cell r="B445">
            <v>43732</v>
          </cell>
          <cell r="C445">
            <v>0</v>
          </cell>
          <cell r="D445" t="str">
            <v>PHP</v>
          </cell>
          <cell r="E445">
            <v>0</v>
          </cell>
          <cell r="F445" t="str">
            <v>PC</v>
          </cell>
          <cell r="G445">
            <v>0</v>
          </cell>
        </row>
        <row r="446">
          <cell r="B446">
            <v>43769</v>
          </cell>
          <cell r="C446">
            <v>0</v>
          </cell>
          <cell r="D446" t="str">
            <v>PHP</v>
          </cell>
          <cell r="E446">
            <v>0</v>
          </cell>
          <cell r="F446" t="str">
            <v>PC</v>
          </cell>
          <cell r="G446">
            <v>0</v>
          </cell>
        </row>
        <row r="447">
          <cell r="B447">
            <v>43777</v>
          </cell>
          <cell r="C447">
            <v>0</v>
          </cell>
          <cell r="D447" t="str">
            <v>PHP</v>
          </cell>
          <cell r="E447">
            <v>0</v>
          </cell>
          <cell r="F447" t="str">
            <v>SET</v>
          </cell>
          <cell r="G447">
            <v>0</v>
          </cell>
        </row>
        <row r="448">
          <cell r="B448">
            <v>43778</v>
          </cell>
          <cell r="C448">
            <v>0</v>
          </cell>
          <cell r="D448" t="str">
            <v>PHP</v>
          </cell>
          <cell r="E448">
            <v>0</v>
          </cell>
          <cell r="F448" t="str">
            <v>PC</v>
          </cell>
          <cell r="G448">
            <v>0</v>
          </cell>
        </row>
        <row r="449">
          <cell r="B449">
            <v>43805</v>
          </cell>
          <cell r="C449">
            <v>0</v>
          </cell>
          <cell r="D449" t="str">
            <v>PHP</v>
          </cell>
          <cell r="E449">
            <v>0</v>
          </cell>
          <cell r="F449" t="str">
            <v>ASY</v>
          </cell>
          <cell r="G449">
            <v>0</v>
          </cell>
        </row>
        <row r="450">
          <cell r="B450">
            <v>43852</v>
          </cell>
          <cell r="C450">
            <v>0</v>
          </cell>
          <cell r="D450" t="str">
            <v>PHP</v>
          </cell>
          <cell r="E450">
            <v>0</v>
          </cell>
          <cell r="F450" t="str">
            <v>PC</v>
          </cell>
          <cell r="G450">
            <v>0</v>
          </cell>
        </row>
        <row r="451">
          <cell r="B451">
            <v>43872</v>
          </cell>
          <cell r="C451">
            <v>0</v>
          </cell>
          <cell r="D451" t="str">
            <v>PHP</v>
          </cell>
          <cell r="E451">
            <v>0</v>
          </cell>
          <cell r="F451" t="str">
            <v>PC</v>
          </cell>
          <cell r="G451">
            <v>0</v>
          </cell>
        </row>
        <row r="452">
          <cell r="B452">
            <v>45996</v>
          </cell>
          <cell r="C452">
            <v>0</v>
          </cell>
          <cell r="D452" t="str">
            <v>PHP</v>
          </cell>
          <cell r="E452">
            <v>0</v>
          </cell>
          <cell r="F452" t="str">
            <v>L</v>
          </cell>
          <cell r="G452">
            <v>0</v>
          </cell>
        </row>
        <row r="453">
          <cell r="B453">
            <v>50513</v>
          </cell>
          <cell r="C453">
            <v>1182253</v>
          </cell>
          <cell r="D453" t="str">
            <v>PHP</v>
          </cell>
          <cell r="E453">
            <v>2</v>
          </cell>
          <cell r="F453" t="str">
            <v>PC</v>
          </cell>
          <cell r="G453">
            <v>0</v>
          </cell>
        </row>
        <row r="454">
          <cell r="B454">
            <v>51037</v>
          </cell>
          <cell r="C454">
            <v>0</v>
          </cell>
          <cell r="D454" t="str">
            <v>PHP</v>
          </cell>
          <cell r="E454">
            <v>0</v>
          </cell>
          <cell r="F454" t="str">
            <v>PC</v>
          </cell>
          <cell r="G454">
            <v>0</v>
          </cell>
        </row>
        <row r="455">
          <cell r="B455">
            <v>52541</v>
          </cell>
          <cell r="C455">
            <v>1123603.3799999999</v>
          </cell>
          <cell r="D455" t="str">
            <v>PHP</v>
          </cell>
          <cell r="E455">
            <v>1</v>
          </cell>
          <cell r="F455" t="str">
            <v>PC</v>
          </cell>
          <cell r="G455">
            <v>0</v>
          </cell>
        </row>
        <row r="456">
          <cell r="B456">
            <v>52542</v>
          </cell>
          <cell r="C456">
            <v>14139945.859999999</v>
          </cell>
          <cell r="D456" t="str">
            <v>PHP</v>
          </cell>
          <cell r="E456">
            <v>10</v>
          </cell>
          <cell r="F456" t="str">
            <v>PC</v>
          </cell>
          <cell r="G456">
            <v>0</v>
          </cell>
        </row>
        <row r="457">
          <cell r="B457">
            <v>52543</v>
          </cell>
          <cell r="C457">
            <v>0</v>
          </cell>
          <cell r="D457" t="str">
            <v>PHP</v>
          </cell>
          <cell r="E457">
            <v>0</v>
          </cell>
          <cell r="F457" t="str">
            <v>PC</v>
          </cell>
          <cell r="G457">
            <v>0</v>
          </cell>
        </row>
        <row r="458">
          <cell r="B458">
            <v>52581</v>
          </cell>
          <cell r="C458">
            <v>0</v>
          </cell>
          <cell r="D458" t="str">
            <v>PHP</v>
          </cell>
          <cell r="E458">
            <v>0</v>
          </cell>
          <cell r="F458" t="str">
            <v>PC</v>
          </cell>
          <cell r="G458">
            <v>0</v>
          </cell>
        </row>
        <row r="459">
          <cell r="B459">
            <v>52582</v>
          </cell>
          <cell r="C459">
            <v>21562901.170000002</v>
          </cell>
          <cell r="D459" t="str">
            <v>PHP</v>
          </cell>
          <cell r="E459">
            <v>11</v>
          </cell>
          <cell r="F459" t="str">
            <v>PC</v>
          </cell>
          <cell r="G459">
            <v>0</v>
          </cell>
        </row>
        <row r="460">
          <cell r="B460">
            <v>53303</v>
          </cell>
          <cell r="C460">
            <v>475758.54</v>
          </cell>
          <cell r="D460" t="str">
            <v>PHP</v>
          </cell>
          <cell r="E460">
            <v>148</v>
          </cell>
          <cell r="F460" t="str">
            <v>PC</v>
          </cell>
          <cell r="G460">
            <v>0</v>
          </cell>
        </row>
        <row r="461">
          <cell r="B461">
            <v>53304</v>
          </cell>
          <cell r="C461">
            <v>1431596.69</v>
          </cell>
          <cell r="D461" t="str">
            <v>PHP</v>
          </cell>
          <cell r="E461">
            <v>158</v>
          </cell>
          <cell r="F461" t="str">
            <v>PC</v>
          </cell>
          <cell r="G461">
            <v>0</v>
          </cell>
        </row>
        <row r="462">
          <cell r="B462">
            <v>53741</v>
          </cell>
          <cell r="C462">
            <v>0</v>
          </cell>
          <cell r="D462" t="str">
            <v>PHP</v>
          </cell>
          <cell r="E462">
            <v>0</v>
          </cell>
          <cell r="F462" t="str">
            <v>PC</v>
          </cell>
          <cell r="G462">
            <v>0</v>
          </cell>
        </row>
        <row r="463">
          <cell r="B463">
            <v>53742</v>
          </cell>
          <cell r="C463">
            <v>0</v>
          </cell>
          <cell r="D463" t="str">
            <v>PHP</v>
          </cell>
          <cell r="E463">
            <v>0</v>
          </cell>
          <cell r="F463" t="str">
            <v>PC</v>
          </cell>
          <cell r="G463">
            <v>0</v>
          </cell>
        </row>
        <row r="464">
          <cell r="B464">
            <v>53743</v>
          </cell>
          <cell r="C464">
            <v>0</v>
          </cell>
          <cell r="D464" t="str">
            <v>PHP</v>
          </cell>
          <cell r="E464">
            <v>0</v>
          </cell>
          <cell r="F464" t="str">
            <v>PC</v>
          </cell>
          <cell r="G464">
            <v>0</v>
          </cell>
        </row>
        <row r="465">
          <cell r="B465">
            <v>53744</v>
          </cell>
          <cell r="C465">
            <v>0</v>
          </cell>
          <cell r="D465" t="str">
            <v>PHP</v>
          </cell>
          <cell r="E465">
            <v>0</v>
          </cell>
          <cell r="F465" t="str">
            <v>PC</v>
          </cell>
          <cell r="G465">
            <v>0</v>
          </cell>
        </row>
        <row r="466">
          <cell r="B466">
            <v>53745</v>
          </cell>
          <cell r="C466">
            <v>0</v>
          </cell>
          <cell r="D466" t="str">
            <v>PHP</v>
          </cell>
          <cell r="E466">
            <v>0</v>
          </cell>
          <cell r="F466" t="str">
            <v>PC</v>
          </cell>
          <cell r="G466">
            <v>0</v>
          </cell>
        </row>
        <row r="467">
          <cell r="B467">
            <v>53746</v>
          </cell>
          <cell r="C467">
            <v>0</v>
          </cell>
          <cell r="D467" t="str">
            <v>PHP</v>
          </cell>
          <cell r="E467">
            <v>0</v>
          </cell>
          <cell r="F467" t="str">
            <v>PC</v>
          </cell>
          <cell r="G467">
            <v>0</v>
          </cell>
        </row>
        <row r="468">
          <cell r="B468">
            <v>53886</v>
          </cell>
          <cell r="C468">
            <v>0</v>
          </cell>
          <cell r="D468" t="str">
            <v>PHP</v>
          </cell>
          <cell r="E468">
            <v>0</v>
          </cell>
          <cell r="F468" t="str">
            <v>PC</v>
          </cell>
          <cell r="G468">
            <v>0</v>
          </cell>
        </row>
        <row r="469">
          <cell r="B469">
            <v>53887</v>
          </cell>
          <cell r="C469">
            <v>0</v>
          </cell>
          <cell r="D469" t="str">
            <v>PHP</v>
          </cell>
          <cell r="E469">
            <v>0</v>
          </cell>
          <cell r="F469" t="str">
            <v>PC</v>
          </cell>
          <cell r="G469">
            <v>0</v>
          </cell>
        </row>
        <row r="470">
          <cell r="B470">
            <v>53906</v>
          </cell>
          <cell r="C470">
            <v>0</v>
          </cell>
          <cell r="D470" t="str">
            <v>PHP</v>
          </cell>
          <cell r="E470">
            <v>0</v>
          </cell>
          <cell r="F470" t="str">
            <v>PC</v>
          </cell>
          <cell r="G470">
            <v>0</v>
          </cell>
        </row>
        <row r="471">
          <cell r="B471">
            <v>53908</v>
          </cell>
          <cell r="C471">
            <v>0</v>
          </cell>
          <cell r="D471" t="str">
            <v>PHP</v>
          </cell>
          <cell r="E471">
            <v>0</v>
          </cell>
          <cell r="F471" t="str">
            <v>PC</v>
          </cell>
          <cell r="G471">
            <v>0</v>
          </cell>
        </row>
        <row r="472">
          <cell r="B472">
            <v>53909</v>
          </cell>
          <cell r="C472">
            <v>0</v>
          </cell>
          <cell r="D472" t="str">
            <v>PHP</v>
          </cell>
          <cell r="E472">
            <v>0</v>
          </cell>
          <cell r="F472" t="str">
            <v>PC</v>
          </cell>
          <cell r="G472">
            <v>0</v>
          </cell>
        </row>
        <row r="473">
          <cell r="B473">
            <v>53927</v>
          </cell>
          <cell r="C473">
            <v>0</v>
          </cell>
          <cell r="D473" t="str">
            <v>PHP</v>
          </cell>
          <cell r="E473">
            <v>0</v>
          </cell>
          <cell r="F473" t="str">
            <v>PC</v>
          </cell>
          <cell r="G473">
            <v>0</v>
          </cell>
        </row>
        <row r="474">
          <cell r="B474">
            <v>53928</v>
          </cell>
          <cell r="C474">
            <v>0</v>
          </cell>
          <cell r="D474" t="str">
            <v>PHP</v>
          </cell>
          <cell r="E474">
            <v>0</v>
          </cell>
          <cell r="F474" t="str">
            <v>PC</v>
          </cell>
          <cell r="G474">
            <v>0</v>
          </cell>
        </row>
        <row r="475">
          <cell r="B475">
            <v>53946</v>
          </cell>
          <cell r="C475">
            <v>0</v>
          </cell>
          <cell r="D475" t="str">
            <v>PHP</v>
          </cell>
          <cell r="E475">
            <v>0</v>
          </cell>
          <cell r="F475" t="str">
            <v>PC</v>
          </cell>
          <cell r="G475">
            <v>0</v>
          </cell>
        </row>
        <row r="476">
          <cell r="B476">
            <v>53947</v>
          </cell>
          <cell r="C476">
            <v>0</v>
          </cell>
          <cell r="D476" t="str">
            <v>PHP</v>
          </cell>
          <cell r="E476">
            <v>0</v>
          </cell>
          <cell r="F476" t="str">
            <v>PC</v>
          </cell>
          <cell r="G476">
            <v>0</v>
          </cell>
        </row>
        <row r="477">
          <cell r="B477">
            <v>53948</v>
          </cell>
          <cell r="C477">
            <v>0</v>
          </cell>
          <cell r="D477" t="str">
            <v>PHP</v>
          </cell>
          <cell r="E477">
            <v>0</v>
          </cell>
          <cell r="F477" t="str">
            <v>PC</v>
          </cell>
          <cell r="G477">
            <v>0</v>
          </cell>
        </row>
        <row r="478">
          <cell r="B478">
            <v>53963</v>
          </cell>
          <cell r="C478">
            <v>0</v>
          </cell>
          <cell r="D478" t="str">
            <v>PHP</v>
          </cell>
          <cell r="E478">
            <v>0</v>
          </cell>
          <cell r="F478" t="str">
            <v>PC</v>
          </cell>
          <cell r="G478">
            <v>0</v>
          </cell>
        </row>
        <row r="479">
          <cell r="B479">
            <v>53964</v>
          </cell>
          <cell r="C479">
            <v>0</v>
          </cell>
          <cell r="D479" t="str">
            <v>PHP</v>
          </cell>
          <cell r="E479">
            <v>0</v>
          </cell>
          <cell r="F479" t="str">
            <v>PC</v>
          </cell>
          <cell r="G479">
            <v>0</v>
          </cell>
        </row>
        <row r="480">
          <cell r="B480">
            <v>53969</v>
          </cell>
          <cell r="C480">
            <v>0</v>
          </cell>
          <cell r="D480" t="str">
            <v>PHP</v>
          </cell>
          <cell r="E480">
            <v>0</v>
          </cell>
          <cell r="F480" t="str">
            <v>PC</v>
          </cell>
          <cell r="G480">
            <v>0</v>
          </cell>
        </row>
        <row r="481">
          <cell r="B481">
            <v>53970</v>
          </cell>
          <cell r="C481">
            <v>0</v>
          </cell>
          <cell r="D481" t="str">
            <v>PHP</v>
          </cell>
          <cell r="E481">
            <v>0</v>
          </cell>
          <cell r="F481" t="str">
            <v>PC</v>
          </cell>
          <cell r="G481">
            <v>0</v>
          </cell>
        </row>
        <row r="482">
          <cell r="B482">
            <v>54381</v>
          </cell>
          <cell r="C482">
            <v>0</v>
          </cell>
          <cell r="D482" t="str">
            <v>PHP</v>
          </cell>
          <cell r="E482">
            <v>0</v>
          </cell>
          <cell r="F482" t="str">
            <v>PC</v>
          </cell>
          <cell r="G482">
            <v>0</v>
          </cell>
        </row>
        <row r="483">
          <cell r="B483">
            <v>54669</v>
          </cell>
          <cell r="C483">
            <v>0</v>
          </cell>
          <cell r="D483" t="str">
            <v>PHP</v>
          </cell>
          <cell r="E483">
            <v>0</v>
          </cell>
          <cell r="F483" t="str">
            <v>PC</v>
          </cell>
          <cell r="G483">
            <v>0</v>
          </cell>
        </row>
        <row r="484">
          <cell r="B484">
            <v>58921</v>
          </cell>
          <cell r="C484">
            <v>0</v>
          </cell>
          <cell r="D484" t="str">
            <v>PHP</v>
          </cell>
          <cell r="E484">
            <v>0</v>
          </cell>
          <cell r="F484" t="str">
            <v>PC</v>
          </cell>
          <cell r="G484">
            <v>0</v>
          </cell>
        </row>
        <row r="485">
          <cell r="B485">
            <v>58982</v>
          </cell>
          <cell r="C485">
            <v>0</v>
          </cell>
          <cell r="D485" t="str">
            <v>PHP</v>
          </cell>
          <cell r="E485">
            <v>0</v>
          </cell>
          <cell r="F485" t="str">
            <v>PC</v>
          </cell>
          <cell r="G485">
            <v>0</v>
          </cell>
        </row>
        <row r="486">
          <cell r="B486">
            <v>58983</v>
          </cell>
          <cell r="C486">
            <v>0</v>
          </cell>
          <cell r="D486" t="str">
            <v>PHP</v>
          </cell>
          <cell r="E486">
            <v>0</v>
          </cell>
          <cell r="F486" t="str">
            <v>PC</v>
          </cell>
          <cell r="G486">
            <v>0</v>
          </cell>
        </row>
        <row r="487">
          <cell r="B487">
            <v>58986</v>
          </cell>
          <cell r="C487">
            <v>0</v>
          </cell>
          <cell r="D487" t="str">
            <v>PHP</v>
          </cell>
          <cell r="E487">
            <v>0</v>
          </cell>
          <cell r="F487" t="str">
            <v>PC</v>
          </cell>
          <cell r="G487">
            <v>0</v>
          </cell>
        </row>
        <row r="488">
          <cell r="B488">
            <v>58990</v>
          </cell>
          <cell r="C488">
            <v>0</v>
          </cell>
          <cell r="D488" t="str">
            <v>PHP</v>
          </cell>
          <cell r="E488">
            <v>0</v>
          </cell>
          <cell r="F488" t="str">
            <v>PC</v>
          </cell>
          <cell r="G488">
            <v>0</v>
          </cell>
        </row>
        <row r="489">
          <cell r="B489">
            <v>59202</v>
          </cell>
          <cell r="C489">
            <v>0</v>
          </cell>
          <cell r="D489" t="str">
            <v>PHP</v>
          </cell>
          <cell r="E489">
            <v>0</v>
          </cell>
          <cell r="F489" t="str">
            <v>PC</v>
          </cell>
          <cell r="G489">
            <v>0</v>
          </cell>
        </row>
        <row r="490">
          <cell r="B490">
            <v>59205</v>
          </cell>
          <cell r="C490">
            <v>29500.92</v>
          </cell>
          <cell r="D490" t="str">
            <v>PHP</v>
          </cell>
          <cell r="E490">
            <v>19</v>
          </cell>
          <cell r="F490" t="str">
            <v>PC</v>
          </cell>
          <cell r="G490">
            <v>0</v>
          </cell>
        </row>
        <row r="491">
          <cell r="B491">
            <v>59209</v>
          </cell>
          <cell r="C491">
            <v>0</v>
          </cell>
          <cell r="D491" t="str">
            <v>PHP</v>
          </cell>
          <cell r="E491">
            <v>0</v>
          </cell>
          <cell r="F491" t="str">
            <v>PC</v>
          </cell>
          <cell r="G491">
            <v>0</v>
          </cell>
        </row>
        <row r="492">
          <cell r="B492">
            <v>59243</v>
          </cell>
          <cell r="C492">
            <v>0</v>
          </cell>
          <cell r="D492" t="str">
            <v>PHP</v>
          </cell>
          <cell r="E492">
            <v>0</v>
          </cell>
          <cell r="F492" t="str">
            <v>PC</v>
          </cell>
          <cell r="G492">
            <v>0</v>
          </cell>
        </row>
        <row r="493">
          <cell r="B493">
            <v>59547</v>
          </cell>
          <cell r="C493">
            <v>0</v>
          </cell>
          <cell r="D493" t="str">
            <v>PHP</v>
          </cell>
          <cell r="E493">
            <v>0</v>
          </cell>
          <cell r="F493" t="str">
            <v>PC</v>
          </cell>
          <cell r="G493">
            <v>0</v>
          </cell>
        </row>
        <row r="494">
          <cell r="B494">
            <v>59641</v>
          </cell>
          <cell r="C494">
            <v>0</v>
          </cell>
          <cell r="D494" t="str">
            <v>PHP</v>
          </cell>
          <cell r="E494">
            <v>0</v>
          </cell>
          <cell r="F494" t="str">
            <v>PC</v>
          </cell>
          <cell r="G494">
            <v>0</v>
          </cell>
        </row>
        <row r="495">
          <cell r="B495">
            <v>59661</v>
          </cell>
          <cell r="C495">
            <v>0</v>
          </cell>
          <cell r="D495" t="str">
            <v>PHP</v>
          </cell>
          <cell r="E495">
            <v>0</v>
          </cell>
          <cell r="F495" t="str">
            <v>DR</v>
          </cell>
          <cell r="G495">
            <v>0</v>
          </cell>
        </row>
        <row r="496">
          <cell r="B496">
            <v>59662</v>
          </cell>
          <cell r="C496">
            <v>0</v>
          </cell>
          <cell r="D496" t="str">
            <v>PHP</v>
          </cell>
          <cell r="E496">
            <v>0</v>
          </cell>
          <cell r="F496" t="str">
            <v>BAG</v>
          </cell>
          <cell r="G496">
            <v>0</v>
          </cell>
        </row>
        <row r="497">
          <cell r="B497">
            <v>59663</v>
          </cell>
          <cell r="C497">
            <v>0</v>
          </cell>
          <cell r="D497" t="str">
            <v>PHP</v>
          </cell>
          <cell r="E497">
            <v>0</v>
          </cell>
          <cell r="F497" t="str">
            <v>BAG</v>
          </cell>
          <cell r="G497">
            <v>0</v>
          </cell>
        </row>
        <row r="498">
          <cell r="B498">
            <v>59666</v>
          </cell>
          <cell r="C498">
            <v>0</v>
          </cell>
          <cell r="D498" t="str">
            <v>PHP</v>
          </cell>
          <cell r="E498">
            <v>0</v>
          </cell>
          <cell r="F498" t="str">
            <v>PL</v>
          </cell>
          <cell r="G498">
            <v>0</v>
          </cell>
        </row>
        <row r="499">
          <cell r="B499">
            <v>59667</v>
          </cell>
          <cell r="C499">
            <v>0</v>
          </cell>
          <cell r="D499" t="str">
            <v>PHP</v>
          </cell>
          <cell r="E499">
            <v>0</v>
          </cell>
          <cell r="F499" t="str">
            <v>DR</v>
          </cell>
          <cell r="G499">
            <v>0</v>
          </cell>
        </row>
        <row r="500">
          <cell r="B500">
            <v>60003</v>
          </cell>
          <cell r="C500">
            <v>0</v>
          </cell>
          <cell r="D500" t="str">
            <v>PHP</v>
          </cell>
          <cell r="E500">
            <v>0</v>
          </cell>
          <cell r="F500" t="str">
            <v>PC</v>
          </cell>
          <cell r="G500">
            <v>0</v>
          </cell>
        </row>
        <row r="501">
          <cell r="B501">
            <v>61082</v>
          </cell>
          <cell r="C501">
            <v>0</v>
          </cell>
          <cell r="D501" t="str">
            <v>PHP</v>
          </cell>
          <cell r="E501">
            <v>0</v>
          </cell>
          <cell r="F501" t="str">
            <v>PC</v>
          </cell>
          <cell r="G501">
            <v>0</v>
          </cell>
        </row>
        <row r="502">
          <cell r="B502">
            <v>62802</v>
          </cell>
          <cell r="C502">
            <v>0</v>
          </cell>
          <cell r="D502" t="str">
            <v>PHP</v>
          </cell>
          <cell r="E502">
            <v>0</v>
          </cell>
          <cell r="F502" t="str">
            <v>BAG</v>
          </cell>
          <cell r="G502">
            <v>0</v>
          </cell>
        </row>
        <row r="503">
          <cell r="B503">
            <v>62821</v>
          </cell>
          <cell r="C503">
            <v>0</v>
          </cell>
          <cell r="D503" t="str">
            <v>PHP</v>
          </cell>
          <cell r="E503">
            <v>0</v>
          </cell>
          <cell r="F503" t="str">
            <v>DR</v>
          </cell>
          <cell r="G503">
            <v>0</v>
          </cell>
        </row>
        <row r="504">
          <cell r="B504">
            <v>62822</v>
          </cell>
          <cell r="C504">
            <v>0</v>
          </cell>
          <cell r="D504" t="str">
            <v>PHP</v>
          </cell>
          <cell r="E504">
            <v>0</v>
          </cell>
          <cell r="F504" t="str">
            <v>DR</v>
          </cell>
          <cell r="G504">
            <v>0</v>
          </cell>
        </row>
        <row r="505">
          <cell r="B505">
            <v>62823</v>
          </cell>
          <cell r="C505">
            <v>0</v>
          </cell>
          <cell r="D505" t="str">
            <v>PHP</v>
          </cell>
          <cell r="E505">
            <v>0</v>
          </cell>
          <cell r="F505" t="str">
            <v>DR</v>
          </cell>
          <cell r="G505">
            <v>0</v>
          </cell>
        </row>
        <row r="506">
          <cell r="B506">
            <v>62825</v>
          </cell>
          <cell r="C506">
            <v>0</v>
          </cell>
          <cell r="D506" t="str">
            <v>PHP</v>
          </cell>
          <cell r="E506">
            <v>0</v>
          </cell>
          <cell r="F506" t="str">
            <v>PL</v>
          </cell>
          <cell r="G506">
            <v>0</v>
          </cell>
        </row>
        <row r="507">
          <cell r="B507">
            <v>62826</v>
          </cell>
          <cell r="C507">
            <v>0</v>
          </cell>
          <cell r="D507" t="str">
            <v>PHP</v>
          </cell>
          <cell r="E507">
            <v>0</v>
          </cell>
          <cell r="F507" t="str">
            <v>BAG</v>
          </cell>
          <cell r="G507">
            <v>0</v>
          </cell>
        </row>
        <row r="508">
          <cell r="B508">
            <v>62827</v>
          </cell>
          <cell r="C508">
            <v>0</v>
          </cell>
          <cell r="D508" t="str">
            <v>PHP</v>
          </cell>
          <cell r="E508">
            <v>0</v>
          </cell>
          <cell r="F508" t="str">
            <v>BAG</v>
          </cell>
          <cell r="G508">
            <v>0</v>
          </cell>
        </row>
        <row r="509">
          <cell r="B509">
            <v>65981</v>
          </cell>
          <cell r="C509">
            <v>0</v>
          </cell>
          <cell r="D509" t="str">
            <v>PHP</v>
          </cell>
          <cell r="E509">
            <v>0</v>
          </cell>
          <cell r="F509" t="str">
            <v>PC</v>
          </cell>
          <cell r="G509">
            <v>0</v>
          </cell>
        </row>
        <row r="510">
          <cell r="B510">
            <v>67442</v>
          </cell>
          <cell r="C510">
            <v>166917</v>
          </cell>
          <cell r="D510" t="str">
            <v>PHP</v>
          </cell>
          <cell r="E510">
            <v>1</v>
          </cell>
          <cell r="F510" t="str">
            <v>PC</v>
          </cell>
          <cell r="G510">
            <v>0</v>
          </cell>
        </row>
        <row r="511">
          <cell r="B511">
            <v>67983</v>
          </cell>
          <cell r="C511">
            <v>42803.41</v>
          </cell>
          <cell r="D511" t="str">
            <v>PHP</v>
          </cell>
          <cell r="E511">
            <v>1</v>
          </cell>
          <cell r="F511" t="str">
            <v>PC</v>
          </cell>
          <cell r="G511">
            <v>0</v>
          </cell>
        </row>
        <row r="512">
          <cell r="B512">
            <v>67984</v>
          </cell>
          <cell r="C512">
            <v>0</v>
          </cell>
          <cell r="D512" t="str">
            <v>PHP</v>
          </cell>
          <cell r="E512">
            <v>0</v>
          </cell>
          <cell r="F512" t="str">
            <v>PC</v>
          </cell>
          <cell r="G512">
            <v>0</v>
          </cell>
        </row>
        <row r="513">
          <cell r="B513">
            <v>67985</v>
          </cell>
          <cell r="C513">
            <v>0</v>
          </cell>
          <cell r="D513" t="str">
            <v>PHP</v>
          </cell>
          <cell r="E513">
            <v>0</v>
          </cell>
          <cell r="F513" t="str">
            <v>PC</v>
          </cell>
          <cell r="G513">
            <v>0</v>
          </cell>
        </row>
        <row r="514">
          <cell r="B514">
            <v>67986</v>
          </cell>
          <cell r="C514">
            <v>257849.09</v>
          </cell>
          <cell r="D514" t="str">
            <v>PHP</v>
          </cell>
          <cell r="E514">
            <v>8</v>
          </cell>
          <cell r="F514" t="str">
            <v>PC</v>
          </cell>
          <cell r="G514">
            <v>0</v>
          </cell>
        </row>
        <row r="515">
          <cell r="B515">
            <v>68801</v>
          </cell>
          <cell r="C515">
            <v>0</v>
          </cell>
          <cell r="D515" t="str">
            <v>PHP</v>
          </cell>
          <cell r="E515">
            <v>0</v>
          </cell>
          <cell r="F515" t="str">
            <v>PC</v>
          </cell>
          <cell r="G515">
            <v>0</v>
          </cell>
        </row>
        <row r="516">
          <cell r="B516">
            <v>68802</v>
          </cell>
          <cell r="C516">
            <v>0</v>
          </cell>
          <cell r="D516" t="str">
            <v>PHP</v>
          </cell>
          <cell r="E516">
            <v>0</v>
          </cell>
          <cell r="F516" t="str">
            <v>PC</v>
          </cell>
          <cell r="G516">
            <v>0</v>
          </cell>
        </row>
        <row r="517">
          <cell r="B517">
            <v>69321</v>
          </cell>
          <cell r="C517">
            <v>454483.8</v>
          </cell>
          <cell r="D517" t="str">
            <v>PHP</v>
          </cell>
          <cell r="E517">
            <v>2</v>
          </cell>
          <cell r="F517" t="str">
            <v>SET</v>
          </cell>
          <cell r="G517">
            <v>0</v>
          </cell>
        </row>
        <row r="518">
          <cell r="B518">
            <v>71989</v>
          </cell>
          <cell r="C518">
            <v>0</v>
          </cell>
          <cell r="D518" t="str">
            <v>PHP</v>
          </cell>
          <cell r="E518">
            <v>0</v>
          </cell>
          <cell r="F518" t="str">
            <v>LOT</v>
          </cell>
          <cell r="G518">
            <v>0</v>
          </cell>
        </row>
        <row r="519">
          <cell r="B519">
            <v>72015</v>
          </cell>
          <cell r="C519">
            <v>0</v>
          </cell>
          <cell r="D519" t="str">
            <v>PHP</v>
          </cell>
          <cell r="E519">
            <v>0</v>
          </cell>
          <cell r="F519" t="str">
            <v>LOT</v>
          </cell>
          <cell r="G519">
            <v>0</v>
          </cell>
        </row>
        <row r="520">
          <cell r="B520">
            <v>72098</v>
          </cell>
          <cell r="C520">
            <v>0</v>
          </cell>
          <cell r="D520" t="str">
            <v>PHP</v>
          </cell>
          <cell r="E520">
            <v>0</v>
          </cell>
          <cell r="F520" t="str">
            <v>LOT</v>
          </cell>
          <cell r="G520">
            <v>0</v>
          </cell>
        </row>
        <row r="521">
          <cell r="B521">
            <v>72099</v>
          </cell>
          <cell r="C521">
            <v>0</v>
          </cell>
          <cell r="D521" t="str">
            <v>PHP</v>
          </cell>
          <cell r="E521">
            <v>0</v>
          </cell>
          <cell r="F521" t="str">
            <v>LOT</v>
          </cell>
          <cell r="G521">
            <v>0</v>
          </cell>
        </row>
        <row r="522">
          <cell r="B522">
            <v>72153</v>
          </cell>
          <cell r="C522">
            <v>0</v>
          </cell>
          <cell r="D522" t="str">
            <v>PHP</v>
          </cell>
          <cell r="E522">
            <v>0</v>
          </cell>
          <cell r="F522" t="str">
            <v>LOT</v>
          </cell>
          <cell r="G522">
            <v>0</v>
          </cell>
        </row>
        <row r="523">
          <cell r="B523">
            <v>72428</v>
          </cell>
          <cell r="C523">
            <v>0</v>
          </cell>
          <cell r="D523" t="str">
            <v>PHP</v>
          </cell>
          <cell r="E523">
            <v>0</v>
          </cell>
          <cell r="F523" t="str">
            <v>LOT</v>
          </cell>
          <cell r="G523">
            <v>0</v>
          </cell>
        </row>
        <row r="524">
          <cell r="B524">
            <v>72607</v>
          </cell>
          <cell r="C524">
            <v>0</v>
          </cell>
          <cell r="D524" t="str">
            <v>PHP</v>
          </cell>
          <cell r="E524">
            <v>0</v>
          </cell>
          <cell r="F524" t="str">
            <v>LOT</v>
          </cell>
          <cell r="G524">
            <v>0</v>
          </cell>
        </row>
        <row r="525">
          <cell r="B525">
            <v>72847</v>
          </cell>
          <cell r="C525">
            <v>0</v>
          </cell>
          <cell r="D525" t="str">
            <v>PHP</v>
          </cell>
          <cell r="E525">
            <v>0</v>
          </cell>
          <cell r="F525" t="str">
            <v>LOT</v>
          </cell>
          <cell r="G525">
            <v>0</v>
          </cell>
        </row>
        <row r="526">
          <cell r="B526">
            <v>73065</v>
          </cell>
          <cell r="C526">
            <v>0</v>
          </cell>
          <cell r="D526" t="str">
            <v>PHP</v>
          </cell>
          <cell r="E526">
            <v>0</v>
          </cell>
          <cell r="F526" t="str">
            <v>LOT</v>
          </cell>
          <cell r="G526">
            <v>0</v>
          </cell>
        </row>
        <row r="527">
          <cell r="B527">
            <v>73110</v>
          </cell>
          <cell r="C527">
            <v>0</v>
          </cell>
          <cell r="D527" t="str">
            <v>PHP</v>
          </cell>
          <cell r="E527">
            <v>0</v>
          </cell>
          <cell r="F527" t="str">
            <v>LOT</v>
          </cell>
          <cell r="G527">
            <v>0</v>
          </cell>
        </row>
        <row r="528">
          <cell r="B528">
            <v>73418</v>
          </cell>
          <cell r="C528">
            <v>0</v>
          </cell>
          <cell r="D528" t="str">
            <v>PHP</v>
          </cell>
          <cell r="E528">
            <v>0</v>
          </cell>
          <cell r="F528" t="str">
            <v>LOT</v>
          </cell>
          <cell r="G528">
            <v>0</v>
          </cell>
        </row>
        <row r="529">
          <cell r="B529">
            <v>74026</v>
          </cell>
          <cell r="C529">
            <v>0</v>
          </cell>
          <cell r="D529" t="str">
            <v>PHP</v>
          </cell>
          <cell r="E529">
            <v>0</v>
          </cell>
          <cell r="F529" t="str">
            <v>PC</v>
          </cell>
          <cell r="G529">
            <v>0</v>
          </cell>
        </row>
        <row r="530">
          <cell r="B530">
            <v>74088</v>
          </cell>
          <cell r="C530">
            <v>0</v>
          </cell>
          <cell r="D530" t="str">
            <v>PHP</v>
          </cell>
          <cell r="E530">
            <v>0</v>
          </cell>
          <cell r="F530" t="str">
            <v>PC</v>
          </cell>
          <cell r="G530">
            <v>0</v>
          </cell>
        </row>
        <row r="531">
          <cell r="B531">
            <v>75783</v>
          </cell>
          <cell r="C531">
            <v>0</v>
          </cell>
          <cell r="D531" t="str">
            <v>PHP</v>
          </cell>
          <cell r="E531">
            <v>0</v>
          </cell>
          <cell r="F531" t="str">
            <v>PC</v>
          </cell>
          <cell r="G531">
            <v>0</v>
          </cell>
        </row>
        <row r="532">
          <cell r="B532">
            <v>75784</v>
          </cell>
          <cell r="C532">
            <v>199426.9</v>
          </cell>
          <cell r="D532" t="str">
            <v>PHP</v>
          </cell>
          <cell r="E532">
            <v>3</v>
          </cell>
          <cell r="F532" t="str">
            <v>PC</v>
          </cell>
          <cell r="G532">
            <v>0</v>
          </cell>
        </row>
        <row r="533">
          <cell r="B533">
            <v>75786</v>
          </cell>
          <cell r="C533">
            <v>549573.21</v>
          </cell>
          <cell r="D533" t="str">
            <v>PHP</v>
          </cell>
          <cell r="E533">
            <v>5</v>
          </cell>
          <cell r="F533" t="str">
            <v>PC</v>
          </cell>
          <cell r="G533">
            <v>0</v>
          </cell>
        </row>
        <row r="534">
          <cell r="B534">
            <v>77681</v>
          </cell>
          <cell r="C534">
            <v>88381.61</v>
          </cell>
          <cell r="D534" t="str">
            <v>PHP</v>
          </cell>
          <cell r="E534">
            <v>1</v>
          </cell>
          <cell r="F534" t="str">
            <v>PC</v>
          </cell>
          <cell r="G534">
            <v>0</v>
          </cell>
        </row>
        <row r="535">
          <cell r="B535">
            <v>77682</v>
          </cell>
          <cell r="C535">
            <v>487096.18</v>
          </cell>
          <cell r="D535" t="str">
            <v>PHP</v>
          </cell>
          <cell r="E535">
            <v>3</v>
          </cell>
          <cell r="F535" t="str">
            <v>SET</v>
          </cell>
          <cell r="G535">
            <v>0</v>
          </cell>
        </row>
        <row r="536">
          <cell r="B536">
            <v>77683</v>
          </cell>
          <cell r="C536">
            <v>0</v>
          </cell>
          <cell r="D536" t="str">
            <v>PHP</v>
          </cell>
          <cell r="E536">
            <v>0</v>
          </cell>
          <cell r="F536" t="str">
            <v>SET</v>
          </cell>
          <cell r="G536">
            <v>0</v>
          </cell>
        </row>
        <row r="537">
          <cell r="B537">
            <v>80161</v>
          </cell>
          <cell r="C537">
            <v>76703.62</v>
          </cell>
          <cell r="D537" t="str">
            <v>PHP</v>
          </cell>
          <cell r="E537">
            <v>14</v>
          </cell>
          <cell r="F537" t="str">
            <v>PC</v>
          </cell>
          <cell r="G537">
            <v>0</v>
          </cell>
        </row>
        <row r="538">
          <cell r="B538">
            <v>82520</v>
          </cell>
          <cell r="C538">
            <v>0</v>
          </cell>
          <cell r="D538" t="str">
            <v>PHP</v>
          </cell>
          <cell r="E538">
            <v>0</v>
          </cell>
          <cell r="F538" t="str">
            <v>PC</v>
          </cell>
          <cell r="G538">
            <v>0</v>
          </cell>
        </row>
        <row r="539">
          <cell r="B539">
            <v>82523</v>
          </cell>
          <cell r="C539">
            <v>0</v>
          </cell>
          <cell r="D539" t="str">
            <v>PHP</v>
          </cell>
          <cell r="E539">
            <v>0</v>
          </cell>
          <cell r="F539" t="str">
            <v>PAA</v>
          </cell>
          <cell r="G539">
            <v>0</v>
          </cell>
        </row>
        <row r="540">
          <cell r="B540">
            <v>82530</v>
          </cell>
          <cell r="C540">
            <v>0</v>
          </cell>
          <cell r="D540" t="str">
            <v>PHP</v>
          </cell>
          <cell r="E540">
            <v>0</v>
          </cell>
          <cell r="F540" t="str">
            <v>EA</v>
          </cell>
          <cell r="G540">
            <v>0</v>
          </cell>
        </row>
        <row r="541">
          <cell r="B541">
            <v>82534</v>
          </cell>
          <cell r="C541">
            <v>0</v>
          </cell>
          <cell r="D541" t="str">
            <v>PHP</v>
          </cell>
          <cell r="E541">
            <v>0</v>
          </cell>
          <cell r="F541" t="str">
            <v>EA</v>
          </cell>
          <cell r="G541">
            <v>0</v>
          </cell>
        </row>
        <row r="542">
          <cell r="B542">
            <v>83621</v>
          </cell>
          <cell r="C542">
            <v>0</v>
          </cell>
          <cell r="D542" t="str">
            <v>PHP</v>
          </cell>
          <cell r="E542">
            <v>0</v>
          </cell>
          <cell r="F542" t="str">
            <v xml:space="preserve">	             0	</v>
          </cell>
        </row>
        <row r="543">
          <cell r="B543">
            <v>84439</v>
          </cell>
          <cell r="C543">
            <v>0</v>
          </cell>
          <cell r="D543" t="str">
            <v>PHP</v>
          </cell>
          <cell r="E543">
            <v>0</v>
          </cell>
          <cell r="F543" t="str">
            <v>LEN</v>
          </cell>
          <cell r="G543">
            <v>0</v>
          </cell>
        </row>
        <row r="544">
          <cell r="B544">
            <v>85122</v>
          </cell>
          <cell r="C544">
            <v>0</v>
          </cell>
          <cell r="D544" t="str">
            <v>PHP</v>
          </cell>
          <cell r="E544">
            <v>0</v>
          </cell>
          <cell r="F544" t="str">
            <v>PC</v>
          </cell>
          <cell r="G544">
            <v>0</v>
          </cell>
        </row>
        <row r="545">
          <cell r="B545">
            <v>85206</v>
          </cell>
          <cell r="C545">
            <v>428300</v>
          </cell>
          <cell r="D545" t="str">
            <v>PHP</v>
          </cell>
          <cell r="E545">
            <v>2</v>
          </cell>
          <cell r="F545" t="str">
            <v>LEN</v>
          </cell>
          <cell r="G545">
            <v>0</v>
          </cell>
        </row>
        <row r="546">
          <cell r="B546">
            <v>85208</v>
          </cell>
          <cell r="C546">
            <v>0</v>
          </cell>
          <cell r="D546" t="str">
            <v>PHP</v>
          </cell>
          <cell r="E546">
            <v>0</v>
          </cell>
          <cell r="F546" t="str">
            <v>LEN</v>
          </cell>
          <cell r="G546">
            <v>0</v>
          </cell>
        </row>
        <row r="547">
          <cell r="B547">
            <v>85210</v>
          </cell>
          <cell r="C547">
            <v>24330315.620000001</v>
          </cell>
          <cell r="D547" t="str">
            <v>PHP</v>
          </cell>
          <cell r="E547">
            <v>50</v>
          </cell>
          <cell r="F547" t="str">
            <v>LEN</v>
          </cell>
          <cell r="G547">
            <v>0</v>
          </cell>
        </row>
        <row r="548">
          <cell r="B548">
            <v>85214</v>
          </cell>
          <cell r="C548">
            <v>0</v>
          </cell>
          <cell r="D548" t="str">
            <v>PHP</v>
          </cell>
          <cell r="E548">
            <v>0</v>
          </cell>
          <cell r="F548" t="str">
            <v>PC</v>
          </cell>
          <cell r="G548">
            <v>0</v>
          </cell>
        </row>
        <row r="549">
          <cell r="B549">
            <v>85216</v>
          </cell>
          <cell r="C549">
            <v>4160726.09</v>
          </cell>
          <cell r="D549" t="str">
            <v>PHP</v>
          </cell>
          <cell r="E549">
            <v>4</v>
          </cell>
          <cell r="F549" t="str">
            <v>PC</v>
          </cell>
          <cell r="G549">
            <v>0</v>
          </cell>
        </row>
        <row r="550">
          <cell r="B550">
            <v>85217</v>
          </cell>
          <cell r="C550">
            <v>267211.71999999997</v>
          </cell>
          <cell r="D550" t="str">
            <v>PHP</v>
          </cell>
          <cell r="E550">
            <v>1</v>
          </cell>
          <cell r="F550" t="str">
            <v>PC</v>
          </cell>
          <cell r="G550">
            <v>0</v>
          </cell>
        </row>
        <row r="551">
          <cell r="B551">
            <v>85218</v>
          </cell>
          <cell r="C551">
            <v>0</v>
          </cell>
          <cell r="D551" t="str">
            <v>PHP</v>
          </cell>
          <cell r="E551">
            <v>0</v>
          </cell>
          <cell r="F551" t="str">
            <v>PC</v>
          </cell>
          <cell r="G551">
            <v>0</v>
          </cell>
        </row>
        <row r="552">
          <cell r="B552">
            <v>85219</v>
          </cell>
          <cell r="C552">
            <v>0</v>
          </cell>
          <cell r="D552" t="str">
            <v>PHP</v>
          </cell>
          <cell r="E552">
            <v>0</v>
          </cell>
          <cell r="F552" t="str">
            <v>PC</v>
          </cell>
          <cell r="G552">
            <v>0</v>
          </cell>
        </row>
        <row r="553">
          <cell r="B553">
            <v>85220</v>
          </cell>
          <cell r="C553">
            <v>364743.16</v>
          </cell>
          <cell r="D553" t="str">
            <v>PHP</v>
          </cell>
          <cell r="E553">
            <v>2</v>
          </cell>
          <cell r="F553" t="str">
            <v>PC</v>
          </cell>
          <cell r="G553">
            <v>0</v>
          </cell>
        </row>
        <row r="554">
          <cell r="B554">
            <v>85222</v>
          </cell>
          <cell r="C554">
            <v>0</v>
          </cell>
          <cell r="D554" t="str">
            <v>PHP</v>
          </cell>
          <cell r="E554">
            <v>0</v>
          </cell>
          <cell r="F554" t="str">
            <v>PC</v>
          </cell>
          <cell r="G554">
            <v>0</v>
          </cell>
        </row>
        <row r="555">
          <cell r="B555">
            <v>85226</v>
          </cell>
          <cell r="C555">
            <v>26712</v>
          </cell>
          <cell r="D555" t="str">
            <v>PHP</v>
          </cell>
          <cell r="E555">
            <v>2</v>
          </cell>
          <cell r="F555" t="str">
            <v>PC</v>
          </cell>
          <cell r="G555">
            <v>0</v>
          </cell>
        </row>
        <row r="556">
          <cell r="B556">
            <v>85227</v>
          </cell>
          <cell r="C556">
            <v>29299.56</v>
          </cell>
          <cell r="D556" t="str">
            <v>PHP</v>
          </cell>
          <cell r="E556">
            <v>1</v>
          </cell>
          <cell r="F556" t="str">
            <v>SET</v>
          </cell>
          <cell r="G556">
            <v>0</v>
          </cell>
        </row>
        <row r="557">
          <cell r="B557">
            <v>85228</v>
          </cell>
          <cell r="C557">
            <v>0</v>
          </cell>
          <cell r="D557" t="str">
            <v>PHP</v>
          </cell>
          <cell r="E557">
            <v>0</v>
          </cell>
          <cell r="F557" t="str">
            <v>SET</v>
          </cell>
          <cell r="G557">
            <v>0</v>
          </cell>
        </row>
        <row r="558">
          <cell r="B558">
            <v>85230</v>
          </cell>
          <cell r="C558">
            <v>0</v>
          </cell>
          <cell r="D558" t="str">
            <v>PHP</v>
          </cell>
          <cell r="E558">
            <v>0</v>
          </cell>
          <cell r="F558" t="str">
            <v>SET</v>
          </cell>
          <cell r="G558">
            <v>0</v>
          </cell>
        </row>
        <row r="559">
          <cell r="B559">
            <v>85243</v>
          </cell>
          <cell r="C559">
            <v>198671.55</v>
          </cell>
          <cell r="D559" t="str">
            <v>PHP</v>
          </cell>
          <cell r="E559">
            <v>32</v>
          </cell>
          <cell r="F559" t="str">
            <v>PC</v>
          </cell>
          <cell r="G559">
            <v>0</v>
          </cell>
        </row>
        <row r="560">
          <cell r="B560">
            <v>85421</v>
          </cell>
          <cell r="C560">
            <v>0</v>
          </cell>
          <cell r="D560" t="str">
            <v>PHP</v>
          </cell>
          <cell r="E560">
            <v>0</v>
          </cell>
          <cell r="F560" t="str">
            <v>PC</v>
          </cell>
          <cell r="G560">
            <v>0</v>
          </cell>
        </row>
        <row r="561">
          <cell r="B561">
            <v>85883</v>
          </cell>
          <cell r="C561">
            <v>0</v>
          </cell>
          <cell r="D561" t="str">
            <v>PHP</v>
          </cell>
          <cell r="E561">
            <v>0</v>
          </cell>
          <cell r="F561" t="str">
            <v>PC</v>
          </cell>
          <cell r="G561">
            <v>0</v>
          </cell>
        </row>
        <row r="562">
          <cell r="B562">
            <v>85884</v>
          </cell>
          <cell r="C562">
            <v>0</v>
          </cell>
          <cell r="D562" t="str">
            <v>PHP</v>
          </cell>
          <cell r="E562">
            <v>0</v>
          </cell>
          <cell r="F562" t="str">
            <v>ASY</v>
          </cell>
          <cell r="G562">
            <v>0</v>
          </cell>
        </row>
        <row r="563">
          <cell r="B563">
            <v>85885</v>
          </cell>
          <cell r="C563">
            <v>0</v>
          </cell>
          <cell r="D563" t="str">
            <v>PHP</v>
          </cell>
          <cell r="E563">
            <v>0</v>
          </cell>
          <cell r="F563" t="str">
            <v>PC</v>
          </cell>
          <cell r="G563">
            <v>0</v>
          </cell>
        </row>
        <row r="564">
          <cell r="B564">
            <v>85889</v>
          </cell>
          <cell r="C564">
            <v>0</v>
          </cell>
          <cell r="D564" t="str">
            <v>PHP</v>
          </cell>
          <cell r="E564">
            <v>0</v>
          </cell>
          <cell r="F564" t="str">
            <v>PC</v>
          </cell>
          <cell r="G564">
            <v>0</v>
          </cell>
        </row>
        <row r="565">
          <cell r="B565">
            <v>87021</v>
          </cell>
          <cell r="C565">
            <v>0</v>
          </cell>
          <cell r="D565" t="str">
            <v>PHP</v>
          </cell>
          <cell r="E565">
            <v>0</v>
          </cell>
          <cell r="F565" t="str">
            <v>LOT</v>
          </cell>
          <cell r="G565">
            <v>0</v>
          </cell>
        </row>
        <row r="566">
          <cell r="B566">
            <v>87072</v>
          </cell>
          <cell r="C566">
            <v>0</v>
          </cell>
          <cell r="D566" t="str">
            <v>PHP</v>
          </cell>
          <cell r="E566">
            <v>0</v>
          </cell>
          <cell r="F566" t="str">
            <v>PC</v>
          </cell>
          <cell r="G566">
            <v>0</v>
          </cell>
        </row>
        <row r="567">
          <cell r="B567">
            <v>87073</v>
          </cell>
          <cell r="C567">
            <v>222768.04</v>
          </cell>
          <cell r="D567" t="str">
            <v>PHP</v>
          </cell>
          <cell r="E567">
            <v>2</v>
          </cell>
          <cell r="F567" t="str">
            <v>PC</v>
          </cell>
          <cell r="G567">
            <v>0</v>
          </cell>
        </row>
        <row r="568">
          <cell r="B568">
            <v>87082</v>
          </cell>
          <cell r="C568">
            <v>0</v>
          </cell>
          <cell r="D568" t="str">
            <v>PHP</v>
          </cell>
          <cell r="E568">
            <v>0</v>
          </cell>
          <cell r="F568" t="str">
            <v>PC</v>
          </cell>
          <cell r="G568">
            <v>0</v>
          </cell>
        </row>
        <row r="569">
          <cell r="B569">
            <v>87087</v>
          </cell>
          <cell r="C569">
            <v>0</v>
          </cell>
          <cell r="D569" t="str">
            <v>PHP</v>
          </cell>
          <cell r="E569">
            <v>0</v>
          </cell>
          <cell r="F569" t="str">
            <v>PC</v>
          </cell>
          <cell r="G569">
            <v>0</v>
          </cell>
        </row>
        <row r="570">
          <cell r="B570">
            <v>87095</v>
          </cell>
          <cell r="C570">
            <v>0</v>
          </cell>
          <cell r="D570" t="str">
            <v>PHP</v>
          </cell>
          <cell r="E570">
            <v>0</v>
          </cell>
          <cell r="F570" t="str">
            <v>PC</v>
          </cell>
          <cell r="G570">
            <v>0</v>
          </cell>
        </row>
        <row r="571">
          <cell r="B571">
            <v>87099</v>
          </cell>
          <cell r="C571">
            <v>0</v>
          </cell>
          <cell r="D571" t="str">
            <v>PHP</v>
          </cell>
          <cell r="E571">
            <v>0</v>
          </cell>
          <cell r="F571" t="str">
            <v>PC</v>
          </cell>
          <cell r="G571">
            <v>0</v>
          </cell>
        </row>
        <row r="572">
          <cell r="B572">
            <v>87172</v>
          </cell>
          <cell r="C572">
            <v>0</v>
          </cell>
          <cell r="D572" t="str">
            <v>PHP</v>
          </cell>
          <cell r="E572">
            <v>0</v>
          </cell>
          <cell r="F572" t="str">
            <v>PC</v>
          </cell>
          <cell r="G572">
            <v>0</v>
          </cell>
        </row>
        <row r="573">
          <cell r="B573">
            <v>87173</v>
          </cell>
          <cell r="C573">
            <v>0</v>
          </cell>
          <cell r="D573" t="str">
            <v>PHP</v>
          </cell>
          <cell r="E573">
            <v>0</v>
          </cell>
          <cell r="F573" t="str">
            <v>PC</v>
          </cell>
          <cell r="G573">
            <v>0</v>
          </cell>
        </row>
        <row r="574">
          <cell r="B574">
            <v>87179</v>
          </cell>
          <cell r="C574">
            <v>0</v>
          </cell>
          <cell r="D574" t="str">
            <v>PHP</v>
          </cell>
          <cell r="E574">
            <v>0</v>
          </cell>
          <cell r="F574" t="str">
            <v>PC</v>
          </cell>
          <cell r="G574">
            <v>0</v>
          </cell>
        </row>
        <row r="575">
          <cell r="B575">
            <v>87182</v>
          </cell>
          <cell r="C575">
            <v>0</v>
          </cell>
          <cell r="D575" t="str">
            <v>PHP</v>
          </cell>
          <cell r="E575">
            <v>0</v>
          </cell>
          <cell r="F575" t="str">
            <v>PC</v>
          </cell>
          <cell r="G575">
            <v>0</v>
          </cell>
        </row>
        <row r="576">
          <cell r="B576">
            <v>87183</v>
          </cell>
          <cell r="C576">
            <v>0</v>
          </cell>
          <cell r="D576" t="str">
            <v>PHP</v>
          </cell>
          <cell r="E576">
            <v>0</v>
          </cell>
          <cell r="F576" t="str">
            <v>PC</v>
          </cell>
          <cell r="G576">
            <v>0</v>
          </cell>
        </row>
        <row r="577">
          <cell r="B577">
            <v>108569</v>
          </cell>
          <cell r="C577">
            <v>0</v>
          </cell>
          <cell r="D577" t="str">
            <v>PHP</v>
          </cell>
          <cell r="E577">
            <v>0</v>
          </cell>
          <cell r="F577" t="str">
            <v>PC</v>
          </cell>
          <cell r="G577">
            <v>0</v>
          </cell>
        </row>
        <row r="578">
          <cell r="B578">
            <v>108574</v>
          </cell>
          <cell r="C578">
            <v>0</v>
          </cell>
          <cell r="D578" t="str">
            <v>PHP</v>
          </cell>
          <cell r="E578">
            <v>0</v>
          </cell>
          <cell r="F578" t="str">
            <v>ASY</v>
          </cell>
          <cell r="G578">
            <v>0</v>
          </cell>
        </row>
        <row r="579">
          <cell r="B579">
            <v>108575</v>
          </cell>
          <cell r="C579">
            <v>0</v>
          </cell>
          <cell r="D579" t="str">
            <v>PHP</v>
          </cell>
          <cell r="E579">
            <v>0</v>
          </cell>
          <cell r="F579" t="str">
            <v>ASY</v>
          </cell>
          <cell r="G579">
            <v>0</v>
          </cell>
        </row>
        <row r="580">
          <cell r="B580">
            <v>108595</v>
          </cell>
          <cell r="C580">
            <v>205299.28</v>
          </cell>
          <cell r="D580" t="str">
            <v>PHP</v>
          </cell>
          <cell r="E580">
            <v>1</v>
          </cell>
          <cell r="F580" t="str">
            <v>PC</v>
          </cell>
          <cell r="G580">
            <v>0</v>
          </cell>
        </row>
        <row r="581">
          <cell r="B581">
            <v>109061</v>
          </cell>
          <cell r="C581">
            <v>0</v>
          </cell>
          <cell r="D581" t="str">
            <v>PHP</v>
          </cell>
          <cell r="E581">
            <v>0</v>
          </cell>
          <cell r="F581" t="str">
            <v>LOT</v>
          </cell>
          <cell r="G581">
            <v>0</v>
          </cell>
        </row>
        <row r="582">
          <cell r="B582">
            <v>109062</v>
          </cell>
          <cell r="C582">
            <v>99753.1</v>
          </cell>
          <cell r="D582" t="str">
            <v>PHP</v>
          </cell>
          <cell r="E582">
            <v>0.60299999999999998</v>
          </cell>
          <cell r="F582" t="str">
            <v>LOT</v>
          </cell>
          <cell r="G582">
            <v>0</v>
          </cell>
        </row>
        <row r="583">
          <cell r="B583">
            <v>109257</v>
          </cell>
          <cell r="C583">
            <v>0</v>
          </cell>
          <cell r="D583" t="str">
            <v>PHP</v>
          </cell>
          <cell r="E583">
            <v>0</v>
          </cell>
          <cell r="F583" t="str">
            <v>PC</v>
          </cell>
          <cell r="G583">
            <v>0</v>
          </cell>
        </row>
        <row r="584">
          <cell r="B584">
            <v>109261</v>
          </cell>
          <cell r="C584">
            <v>0</v>
          </cell>
          <cell r="D584" t="str">
            <v>PHP</v>
          </cell>
          <cell r="E584">
            <v>0</v>
          </cell>
          <cell r="F584" t="str">
            <v>PL</v>
          </cell>
          <cell r="G584">
            <v>0</v>
          </cell>
        </row>
        <row r="585">
          <cell r="B585">
            <v>109766</v>
          </cell>
          <cell r="C585">
            <v>0</v>
          </cell>
          <cell r="D585" t="str">
            <v>PHP</v>
          </cell>
          <cell r="E585">
            <v>0</v>
          </cell>
          <cell r="F585" t="str">
            <v>PC</v>
          </cell>
          <cell r="G585">
            <v>0</v>
          </cell>
        </row>
        <row r="586">
          <cell r="B586">
            <v>109767</v>
          </cell>
          <cell r="C586">
            <v>1521517.94</v>
          </cell>
          <cell r="D586" t="str">
            <v>PHP</v>
          </cell>
          <cell r="E586">
            <v>3</v>
          </cell>
          <cell r="F586" t="str">
            <v>PC</v>
          </cell>
          <cell r="G586">
            <v>0</v>
          </cell>
        </row>
        <row r="587">
          <cell r="B587">
            <v>109768</v>
          </cell>
          <cell r="C587">
            <v>0</v>
          </cell>
          <cell r="D587" t="str">
            <v>PHP</v>
          </cell>
          <cell r="E587">
            <v>0</v>
          </cell>
          <cell r="F587" t="str">
            <v>PC</v>
          </cell>
          <cell r="G587">
            <v>0</v>
          </cell>
        </row>
        <row r="588">
          <cell r="B588">
            <v>110453</v>
          </cell>
          <cell r="C588">
            <v>0</v>
          </cell>
          <cell r="D588" t="str">
            <v>PHP</v>
          </cell>
          <cell r="E588">
            <v>0</v>
          </cell>
          <cell r="F588" t="str">
            <v>LEN</v>
          </cell>
          <cell r="G588">
            <v>0</v>
          </cell>
        </row>
        <row r="589">
          <cell r="B589">
            <v>110495</v>
          </cell>
          <cell r="C589">
            <v>329618.7</v>
          </cell>
          <cell r="D589" t="str">
            <v>PHP</v>
          </cell>
          <cell r="E589">
            <v>270</v>
          </cell>
          <cell r="F589" t="str">
            <v>BAG</v>
          </cell>
          <cell r="G589">
            <v>0</v>
          </cell>
        </row>
        <row r="590">
          <cell r="B590">
            <v>110496</v>
          </cell>
          <cell r="C590">
            <v>0</v>
          </cell>
          <cell r="D590" t="str">
            <v>PHP</v>
          </cell>
          <cell r="E590">
            <v>0</v>
          </cell>
          <cell r="F590" t="str">
            <v>BAG</v>
          </cell>
          <cell r="G590">
            <v>0</v>
          </cell>
        </row>
        <row r="591">
          <cell r="B591">
            <v>110497</v>
          </cell>
          <cell r="C591">
            <v>0</v>
          </cell>
          <cell r="D591" t="str">
            <v>PHP</v>
          </cell>
          <cell r="E591">
            <v>0</v>
          </cell>
          <cell r="F591" t="str">
            <v>BAG</v>
          </cell>
          <cell r="G591">
            <v>0</v>
          </cell>
        </row>
        <row r="592">
          <cell r="B592">
            <v>110498</v>
          </cell>
          <cell r="C592">
            <v>736723.52</v>
          </cell>
          <cell r="D592" t="str">
            <v>PHP</v>
          </cell>
          <cell r="E592">
            <v>416</v>
          </cell>
          <cell r="F592" t="str">
            <v>BAG</v>
          </cell>
          <cell r="G592">
            <v>0</v>
          </cell>
        </row>
        <row r="593">
          <cell r="B593">
            <v>110525</v>
          </cell>
          <cell r="C593">
            <v>0</v>
          </cell>
          <cell r="D593" t="str">
            <v>PHP</v>
          </cell>
          <cell r="E593">
            <v>0</v>
          </cell>
          <cell r="F593" t="str">
            <v>CAN</v>
          </cell>
          <cell r="G593">
            <v>0</v>
          </cell>
        </row>
        <row r="594">
          <cell r="B594">
            <v>110562</v>
          </cell>
          <cell r="C594">
            <v>2080</v>
          </cell>
          <cell r="D594" t="str">
            <v>PHP</v>
          </cell>
          <cell r="E594">
            <v>4</v>
          </cell>
          <cell r="F594" t="str">
            <v>ROL</v>
          </cell>
          <cell r="G594">
            <v>0</v>
          </cell>
        </row>
        <row r="595">
          <cell r="B595">
            <v>111104</v>
          </cell>
          <cell r="C595">
            <v>0</v>
          </cell>
          <cell r="D595" t="str">
            <v>PHP</v>
          </cell>
          <cell r="E595">
            <v>0</v>
          </cell>
          <cell r="F595" t="str">
            <v>LEN</v>
          </cell>
          <cell r="G595">
            <v>0</v>
          </cell>
        </row>
        <row r="596">
          <cell r="B596">
            <v>111105</v>
          </cell>
          <cell r="C596">
            <v>0</v>
          </cell>
          <cell r="D596" t="str">
            <v>PHP</v>
          </cell>
          <cell r="E596">
            <v>0</v>
          </cell>
          <cell r="F596" t="str">
            <v>LEN</v>
          </cell>
          <cell r="G596">
            <v>0</v>
          </cell>
        </row>
        <row r="597">
          <cell r="B597">
            <v>111514</v>
          </cell>
          <cell r="C597">
            <v>465157.37</v>
          </cell>
          <cell r="D597" t="str">
            <v>PHP</v>
          </cell>
          <cell r="E597">
            <v>2</v>
          </cell>
          <cell r="F597" t="str">
            <v>SET</v>
          </cell>
          <cell r="G597">
            <v>0</v>
          </cell>
        </row>
        <row r="598">
          <cell r="B598">
            <v>111522</v>
          </cell>
          <cell r="C598">
            <v>0</v>
          </cell>
          <cell r="D598" t="str">
            <v>PHP</v>
          </cell>
          <cell r="E598">
            <v>0</v>
          </cell>
          <cell r="F598" t="str">
            <v>PC</v>
          </cell>
          <cell r="G598">
            <v>0</v>
          </cell>
        </row>
        <row r="599">
          <cell r="B599">
            <v>111656</v>
          </cell>
          <cell r="C599">
            <v>0</v>
          </cell>
          <cell r="D599" t="str">
            <v>PHP</v>
          </cell>
          <cell r="E599">
            <v>0</v>
          </cell>
          <cell r="F599" t="str">
            <v>PC</v>
          </cell>
          <cell r="G599">
            <v>0</v>
          </cell>
        </row>
        <row r="600">
          <cell r="B600">
            <v>112533</v>
          </cell>
          <cell r="C600">
            <v>0</v>
          </cell>
          <cell r="D600" t="str">
            <v>PHP</v>
          </cell>
          <cell r="E600">
            <v>0</v>
          </cell>
          <cell r="F600" t="str">
            <v>PC</v>
          </cell>
          <cell r="G600">
            <v>0</v>
          </cell>
        </row>
        <row r="601">
          <cell r="B601">
            <v>112534</v>
          </cell>
          <cell r="C601">
            <v>0</v>
          </cell>
          <cell r="D601" t="str">
            <v>PHP</v>
          </cell>
          <cell r="E601">
            <v>0</v>
          </cell>
          <cell r="F601" t="str">
            <v>PC</v>
          </cell>
          <cell r="G601">
            <v>0</v>
          </cell>
        </row>
        <row r="602">
          <cell r="B602">
            <v>112535</v>
          </cell>
          <cell r="C602">
            <v>40156.42</v>
          </cell>
          <cell r="D602" t="str">
            <v>PHP</v>
          </cell>
          <cell r="E602">
            <v>5</v>
          </cell>
          <cell r="F602" t="str">
            <v>PC</v>
          </cell>
          <cell r="G602">
            <v>0</v>
          </cell>
        </row>
        <row r="603">
          <cell r="B603">
            <v>114153</v>
          </cell>
          <cell r="C603">
            <v>0</v>
          </cell>
          <cell r="D603" t="str">
            <v>PHP</v>
          </cell>
          <cell r="E603">
            <v>0</v>
          </cell>
          <cell r="F603" t="str">
            <v>EA</v>
          </cell>
          <cell r="G603">
            <v>0</v>
          </cell>
        </row>
        <row r="604">
          <cell r="B604">
            <v>114154</v>
          </cell>
          <cell r="C604">
            <v>0</v>
          </cell>
          <cell r="D604" t="str">
            <v>PHP</v>
          </cell>
          <cell r="E604">
            <v>0</v>
          </cell>
          <cell r="F604" t="str">
            <v>EA</v>
          </cell>
          <cell r="G604">
            <v>0</v>
          </cell>
        </row>
        <row r="605">
          <cell r="B605">
            <v>114165</v>
          </cell>
          <cell r="C605">
            <v>0</v>
          </cell>
          <cell r="D605" t="str">
            <v>PHP</v>
          </cell>
          <cell r="E605">
            <v>0</v>
          </cell>
          <cell r="F605" t="str">
            <v>EA</v>
          </cell>
          <cell r="G605">
            <v>0</v>
          </cell>
        </row>
        <row r="606">
          <cell r="B606">
            <v>114167</v>
          </cell>
          <cell r="C606">
            <v>0</v>
          </cell>
          <cell r="D606" t="str">
            <v>PHP</v>
          </cell>
          <cell r="E606">
            <v>0</v>
          </cell>
          <cell r="F606" t="str">
            <v>EA</v>
          </cell>
          <cell r="G606">
            <v>0</v>
          </cell>
        </row>
        <row r="607">
          <cell r="B607">
            <v>114168</v>
          </cell>
          <cell r="C607">
            <v>0</v>
          </cell>
          <cell r="D607" t="str">
            <v>PHP</v>
          </cell>
          <cell r="E607">
            <v>0</v>
          </cell>
          <cell r="F607" t="str">
            <v>EA</v>
          </cell>
          <cell r="G607">
            <v>0</v>
          </cell>
        </row>
        <row r="608">
          <cell r="B608">
            <v>114171</v>
          </cell>
          <cell r="C608">
            <v>0</v>
          </cell>
          <cell r="D608" t="str">
            <v>PHP</v>
          </cell>
          <cell r="E608">
            <v>0</v>
          </cell>
          <cell r="F608" t="str">
            <v>EA</v>
          </cell>
          <cell r="G608">
            <v>0</v>
          </cell>
        </row>
        <row r="609">
          <cell r="B609">
            <v>114174</v>
          </cell>
          <cell r="C609">
            <v>0</v>
          </cell>
          <cell r="D609" t="str">
            <v>PHP</v>
          </cell>
          <cell r="E609">
            <v>0</v>
          </cell>
          <cell r="F609" t="str">
            <v>EA</v>
          </cell>
          <cell r="G609">
            <v>0</v>
          </cell>
        </row>
        <row r="610">
          <cell r="B610">
            <v>114175</v>
          </cell>
          <cell r="C610">
            <v>0</v>
          </cell>
          <cell r="D610" t="str">
            <v>PHP</v>
          </cell>
          <cell r="E610">
            <v>0</v>
          </cell>
          <cell r="F610" t="str">
            <v>EA</v>
          </cell>
          <cell r="G610">
            <v>0</v>
          </cell>
        </row>
        <row r="611">
          <cell r="B611">
            <v>114429</v>
          </cell>
          <cell r="C611">
            <v>0</v>
          </cell>
          <cell r="D611" t="str">
            <v>PHP</v>
          </cell>
          <cell r="E611">
            <v>0</v>
          </cell>
          <cell r="F611" t="str">
            <v>LOT</v>
          </cell>
          <cell r="G611">
            <v>0</v>
          </cell>
        </row>
        <row r="612">
          <cell r="B612">
            <v>114432</v>
          </cell>
          <cell r="C612">
            <v>0</v>
          </cell>
          <cell r="D612" t="str">
            <v>PHP</v>
          </cell>
          <cell r="E612">
            <v>0</v>
          </cell>
          <cell r="F612" t="str">
            <v>LOT</v>
          </cell>
          <cell r="G612">
            <v>0</v>
          </cell>
        </row>
        <row r="613">
          <cell r="B613">
            <v>114433</v>
          </cell>
          <cell r="C613">
            <v>0</v>
          </cell>
          <cell r="D613" t="str">
            <v>PHP</v>
          </cell>
          <cell r="E613">
            <v>0</v>
          </cell>
          <cell r="F613" t="str">
            <v>LOT</v>
          </cell>
          <cell r="G613">
            <v>0</v>
          </cell>
        </row>
        <row r="614">
          <cell r="B614">
            <v>114434</v>
          </cell>
          <cell r="C614">
            <v>0</v>
          </cell>
          <cell r="D614" t="str">
            <v>PHP</v>
          </cell>
          <cell r="E614">
            <v>0</v>
          </cell>
          <cell r="F614" t="str">
            <v>LOT</v>
          </cell>
          <cell r="G614">
            <v>0</v>
          </cell>
        </row>
        <row r="615">
          <cell r="B615">
            <v>114435</v>
          </cell>
          <cell r="C615">
            <v>0</v>
          </cell>
          <cell r="D615" t="str">
            <v>PHP</v>
          </cell>
          <cell r="E615">
            <v>0</v>
          </cell>
          <cell r="F615" t="str">
            <v>LOT</v>
          </cell>
          <cell r="G615">
            <v>0</v>
          </cell>
        </row>
        <row r="616">
          <cell r="B616">
            <v>114438</v>
          </cell>
          <cell r="C616">
            <v>0</v>
          </cell>
          <cell r="D616" t="str">
            <v>PHP</v>
          </cell>
          <cell r="E616">
            <v>0</v>
          </cell>
          <cell r="F616" t="str">
            <v>LOT</v>
          </cell>
          <cell r="G616">
            <v>0</v>
          </cell>
        </row>
        <row r="617">
          <cell r="B617">
            <v>114454</v>
          </cell>
          <cell r="C617">
            <v>0</v>
          </cell>
          <cell r="D617" t="str">
            <v>PHP</v>
          </cell>
          <cell r="E617">
            <v>0</v>
          </cell>
          <cell r="F617" t="str">
            <v>PC</v>
          </cell>
          <cell r="G617">
            <v>0</v>
          </cell>
        </row>
        <row r="618">
          <cell r="B618">
            <v>114455</v>
          </cell>
          <cell r="C618">
            <v>0</v>
          </cell>
          <cell r="D618" t="str">
            <v>PHP</v>
          </cell>
          <cell r="E618">
            <v>0</v>
          </cell>
          <cell r="F618" t="str">
            <v>PC</v>
          </cell>
          <cell r="G618">
            <v>0</v>
          </cell>
        </row>
        <row r="619">
          <cell r="B619">
            <v>114468</v>
          </cell>
          <cell r="C619">
            <v>0</v>
          </cell>
          <cell r="D619" t="str">
            <v>PHP</v>
          </cell>
          <cell r="E619">
            <v>0</v>
          </cell>
          <cell r="F619" t="str">
            <v>LOT</v>
          </cell>
          <cell r="G619">
            <v>0</v>
          </cell>
        </row>
        <row r="620">
          <cell r="B620">
            <v>114516</v>
          </cell>
          <cell r="C620">
            <v>0</v>
          </cell>
          <cell r="D620" t="str">
            <v>PHP</v>
          </cell>
          <cell r="E620">
            <v>0</v>
          </cell>
          <cell r="F620" t="str">
            <v xml:space="preserve">	             0	</v>
          </cell>
        </row>
        <row r="621">
          <cell r="B621">
            <v>114519</v>
          </cell>
          <cell r="C621">
            <v>0</v>
          </cell>
          <cell r="D621" t="str">
            <v>PHP</v>
          </cell>
          <cell r="E621">
            <v>0</v>
          </cell>
          <cell r="F621" t="str">
            <v xml:space="preserve">	             0	</v>
          </cell>
        </row>
        <row r="622">
          <cell r="B622">
            <v>114520</v>
          </cell>
          <cell r="C622">
            <v>0</v>
          </cell>
          <cell r="D622" t="str">
            <v>PHP</v>
          </cell>
          <cell r="E622">
            <v>0</v>
          </cell>
          <cell r="F622" t="str">
            <v xml:space="preserve">	             0	</v>
          </cell>
        </row>
        <row r="623">
          <cell r="B623">
            <v>114804</v>
          </cell>
          <cell r="C623">
            <v>55048</v>
          </cell>
          <cell r="D623" t="str">
            <v>PHP</v>
          </cell>
          <cell r="E623">
            <v>2</v>
          </cell>
          <cell r="F623" t="str">
            <v>PC</v>
          </cell>
          <cell r="G623">
            <v>0</v>
          </cell>
        </row>
        <row r="624">
          <cell r="B624">
            <v>114865</v>
          </cell>
          <cell r="C624">
            <v>8171730.8099999996</v>
          </cell>
          <cell r="D624" t="str">
            <v>PHP</v>
          </cell>
          <cell r="E624">
            <v>68</v>
          </cell>
          <cell r="F624" t="str">
            <v>LEN</v>
          </cell>
          <cell r="G624">
            <v>0</v>
          </cell>
        </row>
        <row r="625">
          <cell r="B625">
            <v>114929</v>
          </cell>
          <cell r="C625">
            <v>0</v>
          </cell>
          <cell r="D625" t="str">
            <v>PHP</v>
          </cell>
          <cell r="E625">
            <v>0</v>
          </cell>
          <cell r="F625" t="str">
            <v>LOT</v>
          </cell>
          <cell r="G625">
            <v>0</v>
          </cell>
        </row>
        <row r="626">
          <cell r="B626">
            <v>114940</v>
          </cell>
          <cell r="C626">
            <v>0</v>
          </cell>
          <cell r="D626" t="str">
            <v>PHP</v>
          </cell>
          <cell r="E626">
            <v>0</v>
          </cell>
          <cell r="F626" t="str">
            <v>LOT</v>
          </cell>
          <cell r="G626">
            <v>0</v>
          </cell>
        </row>
        <row r="627">
          <cell r="B627">
            <v>115057</v>
          </cell>
          <cell r="C627">
            <v>4260142.22</v>
          </cell>
          <cell r="D627" t="str">
            <v>PHP</v>
          </cell>
          <cell r="E627">
            <v>27</v>
          </cell>
          <cell r="F627" t="str">
            <v>LEN</v>
          </cell>
          <cell r="G627">
            <v>0</v>
          </cell>
        </row>
        <row r="628">
          <cell r="B628">
            <v>115058</v>
          </cell>
          <cell r="C628">
            <v>2270150.65</v>
          </cell>
          <cell r="D628" t="str">
            <v>PHP</v>
          </cell>
          <cell r="E628">
            <v>38</v>
          </cell>
          <cell r="F628" t="str">
            <v>LEN</v>
          </cell>
          <cell r="G628">
            <v>0</v>
          </cell>
        </row>
        <row r="629">
          <cell r="B629">
            <v>115059</v>
          </cell>
          <cell r="C629">
            <v>72616.23</v>
          </cell>
          <cell r="D629" t="str">
            <v>PHP</v>
          </cell>
          <cell r="E629">
            <v>27</v>
          </cell>
          <cell r="F629" t="str">
            <v>PC</v>
          </cell>
          <cell r="G629">
            <v>0</v>
          </cell>
        </row>
        <row r="630">
          <cell r="B630">
            <v>115060</v>
          </cell>
          <cell r="C630">
            <v>5782600.8600000003</v>
          </cell>
          <cell r="D630" t="str">
            <v>PHP</v>
          </cell>
          <cell r="E630">
            <v>3</v>
          </cell>
          <cell r="F630" t="str">
            <v>PC</v>
          </cell>
          <cell r="G630">
            <v>0</v>
          </cell>
        </row>
        <row r="631">
          <cell r="B631">
            <v>115426</v>
          </cell>
          <cell r="C631">
            <v>505433.59999999998</v>
          </cell>
          <cell r="D631" t="str">
            <v>PHP</v>
          </cell>
          <cell r="E631">
            <v>2</v>
          </cell>
          <cell r="F631" t="str">
            <v>PC</v>
          </cell>
          <cell r="G631">
            <v>0</v>
          </cell>
        </row>
        <row r="632">
          <cell r="B632">
            <v>115427</v>
          </cell>
          <cell r="C632">
            <v>0</v>
          </cell>
          <cell r="D632" t="str">
            <v>PHP</v>
          </cell>
          <cell r="E632">
            <v>0</v>
          </cell>
          <cell r="F632" t="str">
            <v>PC</v>
          </cell>
          <cell r="G632">
            <v>0</v>
          </cell>
        </row>
        <row r="633">
          <cell r="B633">
            <v>115865</v>
          </cell>
          <cell r="C633">
            <v>793274.79</v>
          </cell>
          <cell r="D633" t="str">
            <v>PHP</v>
          </cell>
          <cell r="E633">
            <v>5</v>
          </cell>
          <cell r="F633" t="str">
            <v>PC</v>
          </cell>
          <cell r="G633">
            <v>0</v>
          </cell>
        </row>
        <row r="634">
          <cell r="B634">
            <v>115866</v>
          </cell>
          <cell r="C634">
            <v>0</v>
          </cell>
          <cell r="D634" t="str">
            <v>PHP</v>
          </cell>
          <cell r="E634">
            <v>0</v>
          </cell>
          <cell r="F634" t="str">
            <v>PC</v>
          </cell>
          <cell r="G634">
            <v>0</v>
          </cell>
        </row>
        <row r="635">
          <cell r="B635">
            <v>115869</v>
          </cell>
          <cell r="C635">
            <v>75620.13</v>
          </cell>
          <cell r="D635" t="str">
            <v>PHP</v>
          </cell>
          <cell r="E635">
            <v>1</v>
          </cell>
          <cell r="F635" t="str">
            <v>PC</v>
          </cell>
          <cell r="G635">
            <v>0</v>
          </cell>
        </row>
        <row r="636">
          <cell r="B636">
            <v>116019</v>
          </cell>
          <cell r="C636">
            <v>0</v>
          </cell>
          <cell r="D636" t="str">
            <v>PHP</v>
          </cell>
          <cell r="E636">
            <v>0</v>
          </cell>
          <cell r="F636" t="str">
            <v>DAY</v>
          </cell>
          <cell r="G636">
            <v>0</v>
          </cell>
        </row>
        <row r="637">
          <cell r="B637">
            <v>116020</v>
          </cell>
          <cell r="C637">
            <v>0</v>
          </cell>
          <cell r="D637" t="str">
            <v>PHP</v>
          </cell>
          <cell r="E637">
            <v>0</v>
          </cell>
          <cell r="F637" t="str">
            <v>UT</v>
          </cell>
          <cell r="G637">
            <v>0</v>
          </cell>
        </row>
        <row r="638">
          <cell r="B638">
            <v>116219</v>
          </cell>
          <cell r="C638">
            <v>15916.68</v>
          </cell>
          <cell r="D638" t="str">
            <v>PHP</v>
          </cell>
          <cell r="E638">
            <v>3</v>
          </cell>
          <cell r="F638" t="str">
            <v>PC</v>
          </cell>
          <cell r="G638">
            <v>0</v>
          </cell>
        </row>
        <row r="639">
          <cell r="B639">
            <v>116389</v>
          </cell>
          <cell r="C639">
            <v>0</v>
          </cell>
          <cell r="D639" t="str">
            <v>PHP</v>
          </cell>
          <cell r="E639">
            <v>0</v>
          </cell>
          <cell r="F639" t="str">
            <v>PC</v>
          </cell>
          <cell r="G639">
            <v>0</v>
          </cell>
        </row>
        <row r="640">
          <cell r="B640">
            <v>120077</v>
          </cell>
          <cell r="C640">
            <v>37209.03</v>
          </cell>
          <cell r="D640" t="str">
            <v>PHP</v>
          </cell>
          <cell r="E640">
            <v>19</v>
          </cell>
          <cell r="F640" t="str">
            <v>PC</v>
          </cell>
          <cell r="G640">
            <v>0</v>
          </cell>
        </row>
        <row r="641">
          <cell r="B641">
            <v>120152</v>
          </cell>
          <cell r="C641">
            <v>9908.17</v>
          </cell>
          <cell r="D641" t="str">
            <v>PHP</v>
          </cell>
          <cell r="E641">
            <v>5</v>
          </cell>
          <cell r="F641" t="str">
            <v>PC</v>
          </cell>
          <cell r="G641">
            <v>0</v>
          </cell>
        </row>
        <row r="642">
          <cell r="B642">
            <v>120154</v>
          </cell>
          <cell r="C642">
            <v>32134.560000000001</v>
          </cell>
          <cell r="D642" t="str">
            <v>PHP</v>
          </cell>
          <cell r="E642">
            <v>30</v>
          </cell>
          <cell r="F642" t="str">
            <v>PC</v>
          </cell>
          <cell r="G642">
            <v>0</v>
          </cell>
        </row>
        <row r="643">
          <cell r="B643">
            <v>120155</v>
          </cell>
          <cell r="C643">
            <v>42846.080000000002</v>
          </cell>
          <cell r="D643" t="str">
            <v>PHP</v>
          </cell>
          <cell r="E643">
            <v>50</v>
          </cell>
          <cell r="F643" t="str">
            <v>PC</v>
          </cell>
          <cell r="G643">
            <v>0</v>
          </cell>
        </row>
        <row r="644">
          <cell r="B644">
            <v>121431</v>
          </cell>
          <cell r="C644">
            <v>169392.64000000001</v>
          </cell>
          <cell r="D644" t="str">
            <v>PHP</v>
          </cell>
          <cell r="E644">
            <v>8</v>
          </cell>
          <cell r="F644" t="str">
            <v>PC</v>
          </cell>
          <cell r="G644">
            <v>0</v>
          </cell>
        </row>
        <row r="645">
          <cell r="B645">
            <v>121851</v>
          </cell>
          <cell r="C645">
            <v>49934.14</v>
          </cell>
          <cell r="D645" t="str">
            <v>PHP</v>
          </cell>
          <cell r="E645">
            <v>1</v>
          </cell>
          <cell r="F645" t="str">
            <v>PC</v>
          </cell>
          <cell r="G645">
            <v>0</v>
          </cell>
        </row>
        <row r="646">
          <cell r="B646">
            <v>121906</v>
          </cell>
          <cell r="C646">
            <v>250898.7</v>
          </cell>
          <cell r="D646" t="str">
            <v>PHP</v>
          </cell>
          <cell r="E646">
            <v>13</v>
          </cell>
          <cell r="F646" t="str">
            <v>PC</v>
          </cell>
          <cell r="G646">
            <v>0</v>
          </cell>
        </row>
        <row r="647">
          <cell r="B647" t="str">
            <v>32738-R</v>
          </cell>
          <cell r="C647">
            <v>0</v>
          </cell>
          <cell r="D647" t="str">
            <v>PHP</v>
          </cell>
          <cell r="E647">
            <v>0</v>
          </cell>
          <cell r="F647" t="str">
            <v>PC</v>
          </cell>
          <cell r="G647">
            <v>0</v>
          </cell>
        </row>
        <row r="648">
          <cell r="B648" t="str">
            <v>32740-R</v>
          </cell>
          <cell r="C648">
            <v>0</v>
          </cell>
          <cell r="D648" t="str">
            <v>PHP</v>
          </cell>
          <cell r="E648">
            <v>0</v>
          </cell>
          <cell r="F648" t="str">
            <v>PC</v>
          </cell>
          <cell r="G648">
            <v>0</v>
          </cell>
        </row>
      </sheetData>
      <sheetData sheetId="4">
        <row r="6">
          <cell r="B6">
            <v>22</v>
          </cell>
          <cell r="C6">
            <v>0</v>
          </cell>
          <cell r="D6" t="str">
            <v>PHP</v>
          </cell>
          <cell r="E6">
            <v>0</v>
          </cell>
          <cell r="F6" t="str">
            <v>PC</v>
          </cell>
          <cell r="G6">
            <v>0</v>
          </cell>
        </row>
        <row r="7">
          <cell r="B7">
            <v>23</v>
          </cell>
          <cell r="C7">
            <v>0</v>
          </cell>
          <cell r="D7" t="str">
            <v>PHP</v>
          </cell>
          <cell r="E7">
            <v>0</v>
          </cell>
          <cell r="F7" t="str">
            <v>PC</v>
          </cell>
          <cell r="G7">
            <v>0</v>
          </cell>
        </row>
        <row r="8">
          <cell r="B8">
            <v>37</v>
          </cell>
          <cell r="C8">
            <v>0</v>
          </cell>
          <cell r="D8" t="str">
            <v>PHP</v>
          </cell>
          <cell r="E8">
            <v>0</v>
          </cell>
          <cell r="F8" t="str">
            <v>PC</v>
          </cell>
          <cell r="G8">
            <v>0</v>
          </cell>
        </row>
        <row r="9">
          <cell r="B9">
            <v>347</v>
          </cell>
          <cell r="C9">
            <v>0</v>
          </cell>
          <cell r="D9" t="str">
            <v>PHP</v>
          </cell>
          <cell r="E9">
            <v>0</v>
          </cell>
          <cell r="F9" t="str">
            <v>PC</v>
          </cell>
          <cell r="G9">
            <v>0</v>
          </cell>
        </row>
        <row r="10">
          <cell r="B10">
            <v>403</v>
          </cell>
          <cell r="C10">
            <v>0</v>
          </cell>
          <cell r="D10" t="str">
            <v>PHP</v>
          </cell>
          <cell r="E10">
            <v>0</v>
          </cell>
          <cell r="F10" t="str">
            <v>PC</v>
          </cell>
          <cell r="G10">
            <v>0</v>
          </cell>
        </row>
        <row r="11">
          <cell r="B11">
            <v>413</v>
          </cell>
          <cell r="C11">
            <v>0</v>
          </cell>
          <cell r="D11" t="str">
            <v>PHP</v>
          </cell>
          <cell r="E11">
            <v>0</v>
          </cell>
          <cell r="F11" t="str">
            <v>PC</v>
          </cell>
          <cell r="G11">
            <v>0</v>
          </cell>
        </row>
        <row r="12">
          <cell r="B12">
            <v>465</v>
          </cell>
          <cell r="C12">
            <v>0</v>
          </cell>
          <cell r="D12" t="str">
            <v>PHP</v>
          </cell>
          <cell r="E12">
            <v>0</v>
          </cell>
          <cell r="F12" t="str">
            <v>PC</v>
          </cell>
          <cell r="G12">
            <v>0</v>
          </cell>
        </row>
        <row r="13">
          <cell r="B13">
            <v>468</v>
          </cell>
          <cell r="C13">
            <v>0</v>
          </cell>
          <cell r="D13" t="str">
            <v>PHP</v>
          </cell>
          <cell r="E13">
            <v>0</v>
          </cell>
          <cell r="F13" t="str">
            <v>PC</v>
          </cell>
          <cell r="G13">
            <v>0</v>
          </cell>
        </row>
        <row r="14">
          <cell r="B14">
            <v>506</v>
          </cell>
          <cell r="C14">
            <v>0</v>
          </cell>
          <cell r="D14" t="str">
            <v>PHP</v>
          </cell>
          <cell r="E14">
            <v>0</v>
          </cell>
          <cell r="F14" t="str">
            <v>PC</v>
          </cell>
          <cell r="G14">
            <v>0</v>
          </cell>
        </row>
        <row r="15">
          <cell r="B15">
            <v>532</v>
          </cell>
          <cell r="C15">
            <v>0</v>
          </cell>
          <cell r="D15" t="str">
            <v>PHP</v>
          </cell>
          <cell r="E15">
            <v>0</v>
          </cell>
          <cell r="F15" t="str">
            <v>ASY</v>
          </cell>
          <cell r="G15">
            <v>0</v>
          </cell>
        </row>
        <row r="16">
          <cell r="B16">
            <v>565</v>
          </cell>
          <cell r="C16">
            <v>0</v>
          </cell>
          <cell r="D16" t="str">
            <v>PHP</v>
          </cell>
          <cell r="E16">
            <v>0</v>
          </cell>
          <cell r="F16" t="str">
            <v>PC</v>
          </cell>
          <cell r="G16">
            <v>0</v>
          </cell>
        </row>
        <row r="17">
          <cell r="B17">
            <v>656</v>
          </cell>
          <cell r="C17">
            <v>0</v>
          </cell>
          <cell r="D17" t="str">
            <v>PHP</v>
          </cell>
          <cell r="E17">
            <v>0</v>
          </cell>
          <cell r="F17" t="str">
            <v>PC</v>
          </cell>
          <cell r="G17">
            <v>0</v>
          </cell>
        </row>
        <row r="18">
          <cell r="B18">
            <v>697</v>
          </cell>
          <cell r="C18">
            <v>0</v>
          </cell>
          <cell r="D18" t="str">
            <v>PHP</v>
          </cell>
          <cell r="E18">
            <v>0</v>
          </cell>
          <cell r="F18" t="str">
            <v>PC</v>
          </cell>
          <cell r="G18">
            <v>0</v>
          </cell>
        </row>
        <row r="19">
          <cell r="B19">
            <v>738</v>
          </cell>
          <cell r="C19">
            <v>0</v>
          </cell>
          <cell r="D19" t="str">
            <v>PHP</v>
          </cell>
          <cell r="E19">
            <v>0</v>
          </cell>
          <cell r="F19" t="str">
            <v>PC</v>
          </cell>
          <cell r="G19">
            <v>0</v>
          </cell>
        </row>
        <row r="20">
          <cell r="B20">
            <v>792</v>
          </cell>
          <cell r="C20">
            <v>0</v>
          </cell>
          <cell r="D20" t="str">
            <v>PHP</v>
          </cell>
          <cell r="E20">
            <v>0</v>
          </cell>
          <cell r="F20" t="str">
            <v>PC</v>
          </cell>
          <cell r="G20">
            <v>0</v>
          </cell>
        </row>
        <row r="21">
          <cell r="B21">
            <v>907</v>
          </cell>
          <cell r="C21">
            <v>0</v>
          </cell>
          <cell r="D21" t="str">
            <v>PHP</v>
          </cell>
          <cell r="E21">
            <v>0</v>
          </cell>
          <cell r="F21" t="str">
            <v>PC</v>
          </cell>
          <cell r="G21">
            <v>0</v>
          </cell>
        </row>
        <row r="22">
          <cell r="B22">
            <v>993</v>
          </cell>
          <cell r="C22">
            <v>0</v>
          </cell>
          <cell r="D22" t="str">
            <v>PHP</v>
          </cell>
          <cell r="E22">
            <v>0</v>
          </cell>
          <cell r="F22" t="str">
            <v>PC</v>
          </cell>
          <cell r="G22">
            <v>0</v>
          </cell>
        </row>
        <row r="23">
          <cell r="B23">
            <v>995</v>
          </cell>
          <cell r="C23">
            <v>0</v>
          </cell>
          <cell r="D23" t="str">
            <v>PHP</v>
          </cell>
          <cell r="E23">
            <v>0</v>
          </cell>
          <cell r="F23" t="str">
            <v>PC</v>
          </cell>
          <cell r="G23">
            <v>0</v>
          </cell>
        </row>
        <row r="24">
          <cell r="B24">
            <v>996</v>
          </cell>
          <cell r="C24">
            <v>0</v>
          </cell>
          <cell r="D24" t="str">
            <v>PHP</v>
          </cell>
          <cell r="E24">
            <v>0</v>
          </cell>
          <cell r="F24" t="str">
            <v>PC</v>
          </cell>
          <cell r="G24">
            <v>0</v>
          </cell>
        </row>
        <row r="25">
          <cell r="B25">
            <v>1002</v>
          </cell>
          <cell r="C25">
            <v>0</v>
          </cell>
          <cell r="D25" t="str">
            <v>PHP</v>
          </cell>
          <cell r="E25">
            <v>0</v>
          </cell>
          <cell r="F25" t="str">
            <v>PC</v>
          </cell>
          <cell r="G25">
            <v>0</v>
          </cell>
        </row>
        <row r="26">
          <cell r="B26">
            <v>1042</v>
          </cell>
          <cell r="C26">
            <v>0</v>
          </cell>
          <cell r="D26" t="str">
            <v>PHP</v>
          </cell>
          <cell r="E26">
            <v>0</v>
          </cell>
          <cell r="F26" t="str">
            <v>PC</v>
          </cell>
          <cell r="G26">
            <v>0</v>
          </cell>
        </row>
        <row r="27">
          <cell r="B27">
            <v>1140</v>
          </cell>
          <cell r="C27">
            <v>0</v>
          </cell>
          <cell r="D27" t="str">
            <v>PHP</v>
          </cell>
          <cell r="E27">
            <v>0</v>
          </cell>
          <cell r="F27" t="str">
            <v>PC</v>
          </cell>
          <cell r="G27">
            <v>0</v>
          </cell>
        </row>
        <row r="28">
          <cell r="B28">
            <v>1148</v>
          </cell>
          <cell r="C28">
            <v>0</v>
          </cell>
          <cell r="D28" t="str">
            <v>PHP</v>
          </cell>
          <cell r="E28">
            <v>0</v>
          </cell>
          <cell r="F28" t="str">
            <v>PC</v>
          </cell>
          <cell r="G28">
            <v>0</v>
          </cell>
        </row>
        <row r="29">
          <cell r="B29">
            <v>1229</v>
          </cell>
          <cell r="C29">
            <v>0</v>
          </cell>
          <cell r="D29" t="str">
            <v>PHP</v>
          </cell>
          <cell r="E29">
            <v>0</v>
          </cell>
          <cell r="F29" t="str">
            <v>PC</v>
          </cell>
          <cell r="G29">
            <v>0</v>
          </cell>
        </row>
        <row r="30">
          <cell r="B30">
            <v>1388</v>
          </cell>
          <cell r="C30">
            <v>0</v>
          </cell>
          <cell r="D30" t="str">
            <v>PHP</v>
          </cell>
          <cell r="E30">
            <v>0</v>
          </cell>
          <cell r="F30" t="str">
            <v>PC</v>
          </cell>
          <cell r="G30">
            <v>0</v>
          </cell>
        </row>
        <row r="31">
          <cell r="B31">
            <v>1479</v>
          </cell>
          <cell r="C31">
            <v>0</v>
          </cell>
          <cell r="D31" t="str">
            <v>PHP</v>
          </cell>
          <cell r="E31">
            <v>0</v>
          </cell>
          <cell r="F31" t="str">
            <v>PC</v>
          </cell>
          <cell r="G31">
            <v>0</v>
          </cell>
        </row>
        <row r="32">
          <cell r="B32">
            <v>1621</v>
          </cell>
          <cell r="C32">
            <v>0</v>
          </cell>
          <cell r="D32" t="str">
            <v>PHP</v>
          </cell>
          <cell r="E32">
            <v>0</v>
          </cell>
          <cell r="F32" t="str">
            <v>PC</v>
          </cell>
          <cell r="G32">
            <v>0</v>
          </cell>
        </row>
        <row r="33">
          <cell r="B33">
            <v>1622</v>
          </cell>
          <cell r="C33">
            <v>0</v>
          </cell>
          <cell r="D33" t="str">
            <v>PHP</v>
          </cell>
          <cell r="E33">
            <v>0</v>
          </cell>
          <cell r="F33" t="str">
            <v>PC</v>
          </cell>
          <cell r="G33">
            <v>0</v>
          </cell>
        </row>
        <row r="34">
          <cell r="B34">
            <v>1623</v>
          </cell>
          <cell r="C34">
            <v>0</v>
          </cell>
          <cell r="D34" t="str">
            <v>PHP</v>
          </cell>
          <cell r="E34">
            <v>0</v>
          </cell>
          <cell r="F34" t="str">
            <v>PC</v>
          </cell>
          <cell r="G34">
            <v>0</v>
          </cell>
        </row>
        <row r="35">
          <cell r="B35">
            <v>1624</v>
          </cell>
          <cell r="C35">
            <v>0</v>
          </cell>
          <cell r="D35" t="str">
            <v>PHP</v>
          </cell>
          <cell r="E35">
            <v>0</v>
          </cell>
          <cell r="F35" t="str">
            <v>PC</v>
          </cell>
          <cell r="G35">
            <v>0</v>
          </cell>
        </row>
        <row r="36">
          <cell r="B36">
            <v>1703</v>
          </cell>
          <cell r="C36">
            <v>0</v>
          </cell>
          <cell r="D36" t="str">
            <v>PHP</v>
          </cell>
          <cell r="E36">
            <v>0</v>
          </cell>
          <cell r="F36" t="str">
            <v>PC</v>
          </cell>
          <cell r="G36">
            <v>0</v>
          </cell>
        </row>
        <row r="37">
          <cell r="B37">
            <v>1720</v>
          </cell>
          <cell r="C37">
            <v>0</v>
          </cell>
          <cell r="D37" t="str">
            <v>PHP</v>
          </cell>
          <cell r="E37">
            <v>0</v>
          </cell>
          <cell r="F37" t="str">
            <v>PC</v>
          </cell>
          <cell r="G37">
            <v>0</v>
          </cell>
        </row>
        <row r="38">
          <cell r="B38">
            <v>1726</v>
          </cell>
          <cell r="C38">
            <v>0</v>
          </cell>
          <cell r="D38" t="str">
            <v>PHP</v>
          </cell>
          <cell r="E38">
            <v>0</v>
          </cell>
          <cell r="F38" t="str">
            <v>PC</v>
          </cell>
          <cell r="G38">
            <v>0</v>
          </cell>
        </row>
        <row r="39">
          <cell r="B39">
            <v>1739</v>
          </cell>
          <cell r="C39">
            <v>0</v>
          </cell>
          <cell r="D39" t="str">
            <v>PHP</v>
          </cell>
          <cell r="E39">
            <v>0</v>
          </cell>
          <cell r="F39" t="str">
            <v>PC</v>
          </cell>
          <cell r="G39">
            <v>0</v>
          </cell>
        </row>
        <row r="40">
          <cell r="B40">
            <v>1922</v>
          </cell>
          <cell r="C40">
            <v>0</v>
          </cell>
          <cell r="D40" t="str">
            <v>PHP</v>
          </cell>
          <cell r="E40">
            <v>0</v>
          </cell>
          <cell r="F40" t="str">
            <v>PC</v>
          </cell>
          <cell r="G40">
            <v>0</v>
          </cell>
        </row>
        <row r="41">
          <cell r="B41">
            <v>1923</v>
          </cell>
          <cell r="C41">
            <v>0</v>
          </cell>
          <cell r="D41" t="str">
            <v>PHP</v>
          </cell>
          <cell r="E41">
            <v>0</v>
          </cell>
          <cell r="F41" t="str">
            <v>PC</v>
          </cell>
          <cell r="G41">
            <v>0</v>
          </cell>
        </row>
        <row r="42">
          <cell r="B42">
            <v>1934</v>
          </cell>
          <cell r="C42">
            <v>0</v>
          </cell>
          <cell r="D42" t="str">
            <v>PHP</v>
          </cell>
          <cell r="E42">
            <v>0</v>
          </cell>
          <cell r="F42" t="str">
            <v>ROL</v>
          </cell>
          <cell r="G42">
            <v>0</v>
          </cell>
        </row>
        <row r="43">
          <cell r="B43">
            <v>1935</v>
          </cell>
          <cell r="C43">
            <v>0</v>
          </cell>
          <cell r="D43" t="str">
            <v>PHP</v>
          </cell>
          <cell r="E43">
            <v>0</v>
          </cell>
          <cell r="F43" t="str">
            <v>ROL</v>
          </cell>
          <cell r="G43">
            <v>0</v>
          </cell>
        </row>
        <row r="44">
          <cell r="B44">
            <v>1968</v>
          </cell>
          <cell r="C44">
            <v>0</v>
          </cell>
          <cell r="D44" t="str">
            <v>PHP</v>
          </cell>
          <cell r="E44">
            <v>0</v>
          </cell>
          <cell r="F44" t="str">
            <v>PC</v>
          </cell>
          <cell r="G44">
            <v>0</v>
          </cell>
        </row>
        <row r="45">
          <cell r="B45">
            <v>2302</v>
          </cell>
          <cell r="C45">
            <v>0</v>
          </cell>
          <cell r="D45" t="str">
            <v>PHP</v>
          </cell>
          <cell r="E45">
            <v>0</v>
          </cell>
          <cell r="F45" t="str">
            <v>PC</v>
          </cell>
          <cell r="G45">
            <v>0</v>
          </cell>
        </row>
        <row r="46">
          <cell r="B46">
            <v>2304</v>
          </cell>
          <cell r="C46">
            <v>0</v>
          </cell>
          <cell r="D46" t="str">
            <v>PHP</v>
          </cell>
          <cell r="E46">
            <v>0</v>
          </cell>
          <cell r="F46" t="str">
            <v>PC</v>
          </cell>
          <cell r="G46">
            <v>0</v>
          </cell>
        </row>
        <row r="47">
          <cell r="B47">
            <v>2511</v>
          </cell>
          <cell r="C47">
            <v>0</v>
          </cell>
          <cell r="D47" t="str">
            <v>PHP</v>
          </cell>
          <cell r="E47">
            <v>0</v>
          </cell>
          <cell r="F47" t="str">
            <v>PC</v>
          </cell>
          <cell r="G47">
            <v>0</v>
          </cell>
        </row>
        <row r="48">
          <cell r="B48">
            <v>2516</v>
          </cell>
          <cell r="C48">
            <v>0</v>
          </cell>
          <cell r="D48" t="str">
            <v>PHP</v>
          </cell>
          <cell r="E48">
            <v>0</v>
          </cell>
          <cell r="F48" t="str">
            <v>PC</v>
          </cell>
          <cell r="G48">
            <v>0</v>
          </cell>
        </row>
        <row r="49">
          <cell r="B49">
            <v>2519</v>
          </cell>
          <cell r="C49">
            <v>0</v>
          </cell>
          <cell r="D49" t="str">
            <v>PHP</v>
          </cell>
          <cell r="E49">
            <v>0</v>
          </cell>
          <cell r="F49" t="str">
            <v>PC</v>
          </cell>
          <cell r="G49">
            <v>0</v>
          </cell>
        </row>
        <row r="50">
          <cell r="B50">
            <v>2521</v>
          </cell>
          <cell r="C50">
            <v>0</v>
          </cell>
          <cell r="D50" t="str">
            <v>PHP</v>
          </cell>
          <cell r="E50">
            <v>0</v>
          </cell>
          <cell r="F50" t="str">
            <v>PC</v>
          </cell>
          <cell r="G50">
            <v>0</v>
          </cell>
        </row>
        <row r="51">
          <cell r="B51">
            <v>2522</v>
          </cell>
          <cell r="C51">
            <v>0</v>
          </cell>
          <cell r="D51" t="str">
            <v>PHP</v>
          </cell>
          <cell r="E51">
            <v>0</v>
          </cell>
          <cell r="F51" t="str">
            <v>PC</v>
          </cell>
          <cell r="G51">
            <v>0</v>
          </cell>
        </row>
        <row r="52">
          <cell r="B52">
            <v>2591</v>
          </cell>
          <cell r="C52">
            <v>0</v>
          </cell>
          <cell r="D52" t="str">
            <v>PHP</v>
          </cell>
          <cell r="E52">
            <v>0</v>
          </cell>
          <cell r="F52" t="str">
            <v>PC</v>
          </cell>
          <cell r="G52">
            <v>0</v>
          </cell>
        </row>
        <row r="53">
          <cell r="B53">
            <v>2614</v>
          </cell>
          <cell r="C53">
            <v>0</v>
          </cell>
          <cell r="D53" t="str">
            <v>PHP</v>
          </cell>
          <cell r="E53">
            <v>0</v>
          </cell>
          <cell r="F53" t="str">
            <v>PC</v>
          </cell>
          <cell r="G53">
            <v>0</v>
          </cell>
        </row>
        <row r="54">
          <cell r="B54">
            <v>2663</v>
          </cell>
          <cell r="C54">
            <v>0</v>
          </cell>
          <cell r="D54" t="str">
            <v>PHP</v>
          </cell>
          <cell r="E54">
            <v>0</v>
          </cell>
          <cell r="F54" t="str">
            <v>PC</v>
          </cell>
          <cell r="G54">
            <v>0</v>
          </cell>
        </row>
        <row r="55">
          <cell r="B55">
            <v>2699</v>
          </cell>
          <cell r="C55">
            <v>0</v>
          </cell>
          <cell r="D55" t="str">
            <v>PHP</v>
          </cell>
          <cell r="E55">
            <v>0</v>
          </cell>
          <cell r="F55" t="str">
            <v>PC</v>
          </cell>
          <cell r="G55">
            <v>0</v>
          </cell>
        </row>
        <row r="56">
          <cell r="B56">
            <v>2745</v>
          </cell>
          <cell r="C56">
            <v>0</v>
          </cell>
          <cell r="D56" t="str">
            <v>PHP</v>
          </cell>
          <cell r="E56">
            <v>0</v>
          </cell>
          <cell r="F56" t="str">
            <v>PC</v>
          </cell>
          <cell r="G56">
            <v>0</v>
          </cell>
        </row>
        <row r="57">
          <cell r="B57">
            <v>2759</v>
          </cell>
          <cell r="C57">
            <v>0</v>
          </cell>
          <cell r="D57" t="str">
            <v>PHP</v>
          </cell>
          <cell r="E57">
            <v>0</v>
          </cell>
          <cell r="F57" t="str">
            <v>PC</v>
          </cell>
          <cell r="G57">
            <v>0</v>
          </cell>
        </row>
        <row r="58">
          <cell r="B58">
            <v>2763</v>
          </cell>
          <cell r="C58">
            <v>0</v>
          </cell>
          <cell r="D58" t="str">
            <v>PHP</v>
          </cell>
          <cell r="E58">
            <v>0</v>
          </cell>
          <cell r="F58" t="str">
            <v>PC</v>
          </cell>
          <cell r="G58">
            <v>0</v>
          </cell>
        </row>
        <row r="59">
          <cell r="B59">
            <v>2764</v>
          </cell>
          <cell r="C59">
            <v>0</v>
          </cell>
          <cell r="D59" t="str">
            <v>PHP</v>
          </cell>
          <cell r="E59">
            <v>0</v>
          </cell>
          <cell r="F59" t="str">
            <v>PC</v>
          </cell>
          <cell r="G59">
            <v>0</v>
          </cell>
        </row>
        <row r="60">
          <cell r="B60">
            <v>2765</v>
          </cell>
          <cell r="C60">
            <v>0</v>
          </cell>
          <cell r="D60" t="str">
            <v>PHP</v>
          </cell>
          <cell r="E60">
            <v>0</v>
          </cell>
          <cell r="F60" t="str">
            <v>PC</v>
          </cell>
          <cell r="G60">
            <v>0</v>
          </cell>
        </row>
        <row r="61">
          <cell r="B61">
            <v>2767</v>
          </cell>
          <cell r="C61">
            <v>0</v>
          </cell>
          <cell r="D61" t="str">
            <v>PHP</v>
          </cell>
          <cell r="E61">
            <v>0</v>
          </cell>
          <cell r="F61" t="str">
            <v>PC</v>
          </cell>
          <cell r="G61">
            <v>0</v>
          </cell>
        </row>
        <row r="62">
          <cell r="B62">
            <v>2823</v>
          </cell>
          <cell r="C62">
            <v>0</v>
          </cell>
          <cell r="D62" t="str">
            <v>PHP</v>
          </cell>
          <cell r="E62">
            <v>0</v>
          </cell>
          <cell r="F62" t="str">
            <v>PC</v>
          </cell>
          <cell r="G62">
            <v>0</v>
          </cell>
        </row>
        <row r="63">
          <cell r="B63">
            <v>3086</v>
          </cell>
          <cell r="C63">
            <v>992074.07</v>
          </cell>
          <cell r="D63" t="str">
            <v>PHP</v>
          </cell>
          <cell r="E63">
            <v>31</v>
          </cell>
          <cell r="F63" t="str">
            <v>LEN</v>
          </cell>
          <cell r="G63">
            <v>0</v>
          </cell>
        </row>
        <row r="64">
          <cell r="B64">
            <v>3087</v>
          </cell>
          <cell r="C64">
            <v>11778331.41</v>
          </cell>
          <cell r="D64" t="str">
            <v>PHP</v>
          </cell>
          <cell r="E64">
            <v>244</v>
          </cell>
          <cell r="F64" t="str">
            <v>LEN</v>
          </cell>
          <cell r="G64">
            <v>0</v>
          </cell>
        </row>
        <row r="65">
          <cell r="B65">
            <v>3091</v>
          </cell>
          <cell r="C65">
            <v>9307937.7400000002</v>
          </cell>
          <cell r="D65" t="str">
            <v>PHP</v>
          </cell>
          <cell r="E65">
            <v>63</v>
          </cell>
          <cell r="F65" t="str">
            <v>PC</v>
          </cell>
          <cell r="G65">
            <v>0</v>
          </cell>
        </row>
        <row r="66">
          <cell r="B66">
            <v>3098</v>
          </cell>
          <cell r="C66">
            <v>0</v>
          </cell>
          <cell r="D66" t="str">
            <v>PHP</v>
          </cell>
          <cell r="E66">
            <v>0</v>
          </cell>
          <cell r="F66" t="str">
            <v>PC</v>
          </cell>
          <cell r="G66">
            <v>0</v>
          </cell>
        </row>
        <row r="67">
          <cell r="B67">
            <v>3109</v>
          </cell>
          <cell r="C67">
            <v>886952.16</v>
          </cell>
          <cell r="D67" t="str">
            <v>PHP</v>
          </cell>
          <cell r="E67">
            <v>111</v>
          </cell>
          <cell r="F67" t="str">
            <v>PC</v>
          </cell>
          <cell r="G67">
            <v>0</v>
          </cell>
        </row>
        <row r="68">
          <cell r="B68">
            <v>3138</v>
          </cell>
          <cell r="C68">
            <v>0</v>
          </cell>
          <cell r="D68" t="str">
            <v>PHP</v>
          </cell>
          <cell r="E68">
            <v>0</v>
          </cell>
          <cell r="F68" t="str">
            <v>ASY</v>
          </cell>
          <cell r="G68">
            <v>0</v>
          </cell>
        </row>
        <row r="69">
          <cell r="B69">
            <v>3163</v>
          </cell>
          <cell r="C69">
            <v>0</v>
          </cell>
          <cell r="D69" t="str">
            <v>PHP</v>
          </cell>
          <cell r="E69">
            <v>0</v>
          </cell>
          <cell r="F69" t="str">
            <v>PC</v>
          </cell>
          <cell r="G69">
            <v>0</v>
          </cell>
        </row>
        <row r="70">
          <cell r="B70">
            <v>3276</v>
          </cell>
          <cell r="C70">
            <v>0</v>
          </cell>
          <cell r="D70" t="str">
            <v>PHP</v>
          </cell>
          <cell r="E70">
            <v>0</v>
          </cell>
          <cell r="F70" t="str">
            <v>PC</v>
          </cell>
          <cell r="G70">
            <v>0</v>
          </cell>
        </row>
        <row r="71">
          <cell r="B71">
            <v>3315</v>
          </cell>
          <cell r="C71">
            <v>0</v>
          </cell>
          <cell r="D71" t="str">
            <v>PHP</v>
          </cell>
          <cell r="E71">
            <v>0</v>
          </cell>
          <cell r="F71" t="str">
            <v>PC</v>
          </cell>
          <cell r="G71">
            <v>0</v>
          </cell>
        </row>
        <row r="72">
          <cell r="B72">
            <v>3418</v>
          </cell>
          <cell r="C72">
            <v>0</v>
          </cell>
          <cell r="D72" t="str">
            <v>PHP</v>
          </cell>
          <cell r="E72">
            <v>0</v>
          </cell>
          <cell r="F72" t="str">
            <v>PC</v>
          </cell>
          <cell r="G72">
            <v>0</v>
          </cell>
        </row>
        <row r="73">
          <cell r="B73">
            <v>3437</v>
          </cell>
          <cell r="C73">
            <v>0</v>
          </cell>
          <cell r="D73" t="str">
            <v>PHP</v>
          </cell>
          <cell r="E73">
            <v>0</v>
          </cell>
          <cell r="F73" t="str">
            <v>PC</v>
          </cell>
          <cell r="G73">
            <v>0</v>
          </cell>
        </row>
        <row r="74">
          <cell r="B74">
            <v>3438</v>
          </cell>
          <cell r="C74">
            <v>0</v>
          </cell>
          <cell r="D74" t="str">
            <v>PHP</v>
          </cell>
          <cell r="E74">
            <v>0</v>
          </cell>
          <cell r="F74" t="str">
            <v>PC</v>
          </cell>
          <cell r="G74">
            <v>0</v>
          </cell>
        </row>
        <row r="75">
          <cell r="B75">
            <v>3456</v>
          </cell>
          <cell r="C75">
            <v>0</v>
          </cell>
          <cell r="D75" t="str">
            <v>PHP</v>
          </cell>
          <cell r="E75">
            <v>0</v>
          </cell>
          <cell r="F75" t="str">
            <v>DR</v>
          </cell>
          <cell r="G75">
            <v>0</v>
          </cell>
        </row>
        <row r="76">
          <cell r="B76">
            <v>3477</v>
          </cell>
          <cell r="C76">
            <v>0</v>
          </cell>
          <cell r="D76" t="str">
            <v>PHP</v>
          </cell>
          <cell r="E76">
            <v>0</v>
          </cell>
          <cell r="F76" t="str">
            <v>PC</v>
          </cell>
          <cell r="G76">
            <v>0</v>
          </cell>
        </row>
        <row r="77">
          <cell r="B77">
            <v>3483</v>
          </cell>
          <cell r="C77">
            <v>0</v>
          </cell>
          <cell r="D77" t="str">
            <v>PHP</v>
          </cell>
          <cell r="E77">
            <v>0</v>
          </cell>
          <cell r="F77" t="str">
            <v>PC</v>
          </cell>
          <cell r="G77">
            <v>0</v>
          </cell>
        </row>
        <row r="78">
          <cell r="B78">
            <v>3486</v>
          </cell>
          <cell r="C78">
            <v>0</v>
          </cell>
          <cell r="D78" t="str">
            <v>PHP</v>
          </cell>
          <cell r="E78">
            <v>0</v>
          </cell>
          <cell r="F78" t="str">
            <v>PC</v>
          </cell>
          <cell r="G78">
            <v>0</v>
          </cell>
        </row>
        <row r="79">
          <cell r="B79">
            <v>3487</v>
          </cell>
          <cell r="C79">
            <v>0</v>
          </cell>
          <cell r="D79" t="str">
            <v>PHP</v>
          </cell>
          <cell r="E79">
            <v>0</v>
          </cell>
          <cell r="F79" t="str">
            <v>PC</v>
          </cell>
          <cell r="G79">
            <v>0</v>
          </cell>
        </row>
        <row r="80">
          <cell r="B80">
            <v>3488</v>
          </cell>
          <cell r="C80">
            <v>0</v>
          </cell>
          <cell r="D80" t="str">
            <v>PHP</v>
          </cell>
          <cell r="E80">
            <v>0</v>
          </cell>
          <cell r="F80" t="str">
            <v>UT</v>
          </cell>
          <cell r="G80">
            <v>0</v>
          </cell>
        </row>
        <row r="81">
          <cell r="B81">
            <v>3490</v>
          </cell>
          <cell r="C81">
            <v>0</v>
          </cell>
          <cell r="D81" t="str">
            <v>PHP</v>
          </cell>
          <cell r="E81">
            <v>0</v>
          </cell>
          <cell r="F81" t="str">
            <v>PC</v>
          </cell>
          <cell r="G81">
            <v>0</v>
          </cell>
        </row>
        <row r="82">
          <cell r="B82">
            <v>3492</v>
          </cell>
          <cell r="C82">
            <v>0</v>
          </cell>
          <cell r="D82" t="str">
            <v>PHP</v>
          </cell>
          <cell r="E82">
            <v>0</v>
          </cell>
          <cell r="F82" t="str">
            <v>PC</v>
          </cell>
          <cell r="G82">
            <v>0</v>
          </cell>
        </row>
        <row r="83">
          <cell r="B83">
            <v>3493</v>
          </cell>
          <cell r="C83">
            <v>0</v>
          </cell>
          <cell r="D83" t="str">
            <v>PHP</v>
          </cell>
          <cell r="E83">
            <v>0</v>
          </cell>
          <cell r="F83" t="str">
            <v>PC</v>
          </cell>
          <cell r="G83">
            <v>0</v>
          </cell>
        </row>
        <row r="84">
          <cell r="B84">
            <v>3494</v>
          </cell>
          <cell r="C84">
            <v>0</v>
          </cell>
          <cell r="D84" t="str">
            <v>PHP</v>
          </cell>
          <cell r="E84">
            <v>0</v>
          </cell>
          <cell r="F84" t="str">
            <v>PC</v>
          </cell>
          <cell r="G84">
            <v>0</v>
          </cell>
        </row>
        <row r="85">
          <cell r="B85">
            <v>3500</v>
          </cell>
          <cell r="C85">
            <v>0</v>
          </cell>
          <cell r="D85" t="str">
            <v>PHP</v>
          </cell>
          <cell r="E85">
            <v>0</v>
          </cell>
          <cell r="F85" t="str">
            <v>UT</v>
          </cell>
          <cell r="G85">
            <v>0</v>
          </cell>
        </row>
        <row r="86">
          <cell r="B86">
            <v>3504</v>
          </cell>
          <cell r="C86">
            <v>0</v>
          </cell>
          <cell r="D86" t="str">
            <v>PHP</v>
          </cell>
          <cell r="E86">
            <v>0</v>
          </cell>
          <cell r="F86" t="str">
            <v>PC</v>
          </cell>
          <cell r="G86">
            <v>0</v>
          </cell>
        </row>
        <row r="87">
          <cell r="B87">
            <v>3508</v>
          </cell>
          <cell r="C87">
            <v>0</v>
          </cell>
          <cell r="D87" t="str">
            <v>PHP</v>
          </cell>
          <cell r="E87">
            <v>0</v>
          </cell>
          <cell r="F87" t="str">
            <v>UT</v>
          </cell>
          <cell r="G87">
            <v>0</v>
          </cell>
        </row>
        <row r="88">
          <cell r="B88">
            <v>3610</v>
          </cell>
          <cell r="C88">
            <v>0</v>
          </cell>
          <cell r="D88" t="str">
            <v>PHP</v>
          </cell>
          <cell r="E88">
            <v>0</v>
          </cell>
          <cell r="F88" t="str">
            <v>PC</v>
          </cell>
          <cell r="G88">
            <v>0</v>
          </cell>
        </row>
        <row r="89">
          <cell r="B89">
            <v>3616</v>
          </cell>
          <cell r="C89">
            <v>0</v>
          </cell>
          <cell r="D89" t="str">
            <v>PHP</v>
          </cell>
          <cell r="E89">
            <v>0</v>
          </cell>
          <cell r="F89" t="str">
            <v>PC</v>
          </cell>
          <cell r="G89">
            <v>0</v>
          </cell>
        </row>
        <row r="90">
          <cell r="B90">
            <v>3712</v>
          </cell>
          <cell r="C90">
            <v>0</v>
          </cell>
          <cell r="D90" t="str">
            <v>PHP</v>
          </cell>
          <cell r="E90">
            <v>0</v>
          </cell>
          <cell r="F90" t="str">
            <v>PC</v>
          </cell>
          <cell r="G90">
            <v>0</v>
          </cell>
        </row>
        <row r="91">
          <cell r="B91">
            <v>3713</v>
          </cell>
          <cell r="C91">
            <v>0</v>
          </cell>
          <cell r="D91" t="str">
            <v>PHP</v>
          </cell>
          <cell r="E91">
            <v>0</v>
          </cell>
          <cell r="F91" t="str">
            <v>UT</v>
          </cell>
          <cell r="G91">
            <v>0</v>
          </cell>
        </row>
        <row r="92">
          <cell r="B92">
            <v>3716</v>
          </cell>
          <cell r="C92">
            <v>0</v>
          </cell>
          <cell r="D92" t="str">
            <v>PHP</v>
          </cell>
          <cell r="E92">
            <v>0</v>
          </cell>
          <cell r="F92" t="str">
            <v>PC</v>
          </cell>
          <cell r="G92">
            <v>0</v>
          </cell>
        </row>
        <row r="93">
          <cell r="B93">
            <v>3720</v>
          </cell>
          <cell r="C93">
            <v>0</v>
          </cell>
          <cell r="D93" t="str">
            <v>PHP</v>
          </cell>
          <cell r="E93">
            <v>0</v>
          </cell>
          <cell r="F93" t="str">
            <v>PC</v>
          </cell>
          <cell r="G93">
            <v>0</v>
          </cell>
        </row>
        <row r="94">
          <cell r="B94">
            <v>3883</v>
          </cell>
          <cell r="C94">
            <v>0</v>
          </cell>
          <cell r="D94" t="str">
            <v>PHP</v>
          </cell>
          <cell r="E94">
            <v>0</v>
          </cell>
          <cell r="F94" t="str">
            <v>PC</v>
          </cell>
          <cell r="G94">
            <v>0</v>
          </cell>
        </row>
        <row r="95">
          <cell r="B95">
            <v>3921</v>
          </cell>
          <cell r="C95">
            <v>0</v>
          </cell>
          <cell r="D95" t="str">
            <v>PHP</v>
          </cell>
          <cell r="E95">
            <v>0</v>
          </cell>
          <cell r="F95" t="str">
            <v>PC</v>
          </cell>
          <cell r="G95">
            <v>0</v>
          </cell>
        </row>
        <row r="96">
          <cell r="B96">
            <v>3964</v>
          </cell>
          <cell r="C96">
            <v>0</v>
          </cell>
          <cell r="D96" t="str">
            <v>PHP</v>
          </cell>
          <cell r="E96">
            <v>0</v>
          </cell>
          <cell r="F96" t="str">
            <v>PC</v>
          </cell>
          <cell r="G96">
            <v>0</v>
          </cell>
        </row>
        <row r="97">
          <cell r="B97">
            <v>4000</v>
          </cell>
          <cell r="C97">
            <v>0</v>
          </cell>
          <cell r="D97" t="str">
            <v>PHP</v>
          </cell>
          <cell r="E97">
            <v>0</v>
          </cell>
          <cell r="F97" t="str">
            <v>PC</v>
          </cell>
          <cell r="G97">
            <v>0</v>
          </cell>
        </row>
        <row r="98">
          <cell r="B98">
            <v>4057</v>
          </cell>
          <cell r="C98">
            <v>0</v>
          </cell>
          <cell r="D98" t="str">
            <v>PHP</v>
          </cell>
          <cell r="E98">
            <v>0</v>
          </cell>
          <cell r="F98" t="str">
            <v>PC</v>
          </cell>
          <cell r="G98">
            <v>0</v>
          </cell>
        </row>
        <row r="99">
          <cell r="B99">
            <v>4058</v>
          </cell>
          <cell r="C99">
            <v>0</v>
          </cell>
          <cell r="D99" t="str">
            <v>PHP</v>
          </cell>
          <cell r="E99">
            <v>0</v>
          </cell>
          <cell r="F99" t="str">
            <v>ASY</v>
          </cell>
          <cell r="G99">
            <v>0</v>
          </cell>
        </row>
        <row r="100">
          <cell r="B100">
            <v>4060</v>
          </cell>
          <cell r="C100">
            <v>0</v>
          </cell>
          <cell r="D100" t="str">
            <v>PHP</v>
          </cell>
          <cell r="E100">
            <v>0</v>
          </cell>
          <cell r="F100" t="str">
            <v>PC</v>
          </cell>
          <cell r="G100">
            <v>0</v>
          </cell>
        </row>
        <row r="101">
          <cell r="B101">
            <v>4092</v>
          </cell>
          <cell r="C101">
            <v>0</v>
          </cell>
          <cell r="D101" t="str">
            <v>PHP</v>
          </cell>
          <cell r="E101">
            <v>0</v>
          </cell>
          <cell r="F101" t="str">
            <v>PC</v>
          </cell>
          <cell r="G101">
            <v>0</v>
          </cell>
        </row>
        <row r="102">
          <cell r="B102">
            <v>4096</v>
          </cell>
          <cell r="C102">
            <v>0</v>
          </cell>
          <cell r="D102" t="str">
            <v>PHP</v>
          </cell>
          <cell r="E102">
            <v>0</v>
          </cell>
          <cell r="F102" t="str">
            <v>PC</v>
          </cell>
          <cell r="G102">
            <v>0</v>
          </cell>
        </row>
        <row r="103">
          <cell r="B103">
            <v>4219</v>
          </cell>
          <cell r="C103">
            <v>0</v>
          </cell>
          <cell r="D103" t="str">
            <v>PHP</v>
          </cell>
          <cell r="E103">
            <v>0</v>
          </cell>
          <cell r="F103" t="str">
            <v>UT</v>
          </cell>
          <cell r="G103">
            <v>0</v>
          </cell>
        </row>
        <row r="104">
          <cell r="B104">
            <v>4225</v>
          </cell>
          <cell r="C104">
            <v>0</v>
          </cell>
          <cell r="D104" t="str">
            <v>PHP</v>
          </cell>
          <cell r="E104">
            <v>0</v>
          </cell>
          <cell r="F104" t="str">
            <v>UT</v>
          </cell>
          <cell r="G104">
            <v>0</v>
          </cell>
        </row>
        <row r="105">
          <cell r="B105">
            <v>4379</v>
          </cell>
          <cell r="C105">
            <v>0</v>
          </cell>
          <cell r="D105" t="str">
            <v>PHP</v>
          </cell>
          <cell r="E105">
            <v>0</v>
          </cell>
          <cell r="F105" t="str">
            <v>PC</v>
          </cell>
          <cell r="G105">
            <v>0</v>
          </cell>
        </row>
        <row r="106">
          <cell r="B106">
            <v>4380</v>
          </cell>
          <cell r="C106">
            <v>0</v>
          </cell>
          <cell r="D106" t="str">
            <v>PHP</v>
          </cell>
          <cell r="E106">
            <v>0</v>
          </cell>
          <cell r="F106" t="str">
            <v>PC</v>
          </cell>
          <cell r="G106">
            <v>0</v>
          </cell>
        </row>
        <row r="107">
          <cell r="B107">
            <v>4391</v>
          </cell>
          <cell r="C107">
            <v>0</v>
          </cell>
          <cell r="D107" t="str">
            <v>PHP</v>
          </cell>
          <cell r="E107">
            <v>0</v>
          </cell>
          <cell r="F107" t="str">
            <v>PC</v>
          </cell>
          <cell r="G107">
            <v>0</v>
          </cell>
        </row>
        <row r="108">
          <cell r="B108">
            <v>4479</v>
          </cell>
          <cell r="C108">
            <v>0</v>
          </cell>
          <cell r="D108" t="str">
            <v>PHP</v>
          </cell>
          <cell r="E108">
            <v>0</v>
          </cell>
          <cell r="F108" t="str">
            <v>PC</v>
          </cell>
          <cell r="G108">
            <v>0</v>
          </cell>
        </row>
        <row r="109">
          <cell r="B109">
            <v>4597</v>
          </cell>
          <cell r="C109">
            <v>0</v>
          </cell>
          <cell r="D109" t="str">
            <v>PHP</v>
          </cell>
          <cell r="E109">
            <v>0</v>
          </cell>
          <cell r="F109" t="str">
            <v>UT</v>
          </cell>
          <cell r="G109">
            <v>0</v>
          </cell>
        </row>
        <row r="110">
          <cell r="B110">
            <v>4598</v>
          </cell>
          <cell r="C110">
            <v>0</v>
          </cell>
          <cell r="D110" t="str">
            <v>PHP</v>
          </cell>
          <cell r="E110">
            <v>0</v>
          </cell>
          <cell r="F110" t="str">
            <v>UT</v>
          </cell>
          <cell r="G110">
            <v>0</v>
          </cell>
        </row>
        <row r="111">
          <cell r="B111">
            <v>4601</v>
          </cell>
          <cell r="C111">
            <v>0</v>
          </cell>
          <cell r="D111" t="str">
            <v>PHP</v>
          </cell>
          <cell r="E111">
            <v>0</v>
          </cell>
          <cell r="F111" t="str">
            <v>PC</v>
          </cell>
          <cell r="G111">
            <v>0</v>
          </cell>
        </row>
        <row r="112">
          <cell r="B112">
            <v>4629</v>
          </cell>
          <cell r="C112">
            <v>0</v>
          </cell>
          <cell r="D112" t="str">
            <v>PHP</v>
          </cell>
          <cell r="E112">
            <v>0</v>
          </cell>
          <cell r="F112" t="str">
            <v>PC</v>
          </cell>
          <cell r="G112">
            <v>0</v>
          </cell>
        </row>
        <row r="113">
          <cell r="B113">
            <v>4630</v>
          </cell>
          <cell r="C113">
            <v>0</v>
          </cell>
          <cell r="D113" t="str">
            <v>PHP</v>
          </cell>
          <cell r="E113">
            <v>0</v>
          </cell>
          <cell r="F113" t="str">
            <v>PC</v>
          </cell>
          <cell r="G113">
            <v>0</v>
          </cell>
        </row>
        <row r="114">
          <cell r="B114">
            <v>4654</v>
          </cell>
          <cell r="C114">
            <v>0</v>
          </cell>
          <cell r="D114" t="str">
            <v>PHP</v>
          </cell>
          <cell r="E114">
            <v>0</v>
          </cell>
          <cell r="F114" t="str">
            <v>PC</v>
          </cell>
          <cell r="G114">
            <v>0</v>
          </cell>
        </row>
        <row r="115">
          <cell r="B115">
            <v>4655</v>
          </cell>
          <cell r="C115">
            <v>0</v>
          </cell>
          <cell r="D115" t="str">
            <v>PHP</v>
          </cell>
          <cell r="E115">
            <v>0</v>
          </cell>
          <cell r="F115" t="str">
            <v>PC</v>
          </cell>
          <cell r="G115">
            <v>0</v>
          </cell>
        </row>
        <row r="116">
          <cell r="B116">
            <v>4660</v>
          </cell>
          <cell r="C116">
            <v>0</v>
          </cell>
          <cell r="D116" t="str">
            <v>PHP</v>
          </cell>
          <cell r="E116">
            <v>0</v>
          </cell>
          <cell r="F116" t="str">
            <v>PC</v>
          </cell>
          <cell r="G116">
            <v>0</v>
          </cell>
        </row>
        <row r="117">
          <cell r="B117">
            <v>4692</v>
          </cell>
          <cell r="C117">
            <v>0</v>
          </cell>
          <cell r="D117" t="str">
            <v>PHP</v>
          </cell>
          <cell r="E117">
            <v>0</v>
          </cell>
          <cell r="F117" t="str">
            <v>BOX</v>
          </cell>
          <cell r="G117">
            <v>0</v>
          </cell>
        </row>
        <row r="118">
          <cell r="B118">
            <v>4694</v>
          </cell>
          <cell r="C118">
            <v>0</v>
          </cell>
          <cell r="D118" t="str">
            <v>PHP</v>
          </cell>
          <cell r="E118">
            <v>0</v>
          </cell>
          <cell r="F118" t="str">
            <v>BOX</v>
          </cell>
          <cell r="G118">
            <v>0</v>
          </cell>
        </row>
        <row r="119">
          <cell r="B119">
            <v>4751</v>
          </cell>
          <cell r="C119">
            <v>0</v>
          </cell>
          <cell r="D119" t="str">
            <v>PHP</v>
          </cell>
          <cell r="E119">
            <v>0</v>
          </cell>
          <cell r="F119" t="str">
            <v>ASY</v>
          </cell>
          <cell r="G119">
            <v>0</v>
          </cell>
        </row>
        <row r="120">
          <cell r="B120">
            <v>4786</v>
          </cell>
          <cell r="C120">
            <v>0</v>
          </cell>
          <cell r="D120" t="str">
            <v>PHP</v>
          </cell>
          <cell r="E120">
            <v>0</v>
          </cell>
          <cell r="F120" t="str">
            <v>PC</v>
          </cell>
          <cell r="G120">
            <v>0</v>
          </cell>
        </row>
        <row r="121">
          <cell r="B121">
            <v>4868</v>
          </cell>
          <cell r="C121">
            <v>0</v>
          </cell>
          <cell r="D121" t="str">
            <v>PHP</v>
          </cell>
          <cell r="E121">
            <v>0</v>
          </cell>
          <cell r="F121" t="str">
            <v>SET</v>
          </cell>
          <cell r="G121">
            <v>0</v>
          </cell>
        </row>
        <row r="122">
          <cell r="B122">
            <v>4870</v>
          </cell>
          <cell r="C122">
            <v>0</v>
          </cell>
          <cell r="D122" t="str">
            <v>PHP</v>
          </cell>
          <cell r="E122">
            <v>0</v>
          </cell>
          <cell r="F122" t="str">
            <v>PC</v>
          </cell>
          <cell r="G122">
            <v>0</v>
          </cell>
        </row>
        <row r="123">
          <cell r="B123">
            <v>4873</v>
          </cell>
          <cell r="C123">
            <v>0</v>
          </cell>
          <cell r="D123" t="str">
            <v>PHP</v>
          </cell>
          <cell r="E123">
            <v>0</v>
          </cell>
          <cell r="F123" t="str">
            <v>KIT</v>
          </cell>
          <cell r="G123">
            <v>0</v>
          </cell>
        </row>
        <row r="124">
          <cell r="B124">
            <v>4876</v>
          </cell>
          <cell r="C124">
            <v>0</v>
          </cell>
          <cell r="D124" t="str">
            <v>PHP</v>
          </cell>
          <cell r="E124">
            <v>0</v>
          </cell>
          <cell r="F124" t="str">
            <v>KIT</v>
          </cell>
          <cell r="G124">
            <v>0</v>
          </cell>
        </row>
        <row r="125">
          <cell r="B125">
            <v>4877</v>
          </cell>
          <cell r="C125">
            <v>0</v>
          </cell>
          <cell r="D125" t="str">
            <v>PHP</v>
          </cell>
          <cell r="E125">
            <v>0</v>
          </cell>
          <cell r="F125" t="str">
            <v>KIT</v>
          </cell>
          <cell r="G125">
            <v>0</v>
          </cell>
        </row>
        <row r="126">
          <cell r="B126">
            <v>4879</v>
          </cell>
          <cell r="C126">
            <v>0</v>
          </cell>
          <cell r="D126" t="str">
            <v>PHP</v>
          </cell>
          <cell r="E126">
            <v>0</v>
          </cell>
          <cell r="F126" t="str">
            <v>KIT</v>
          </cell>
          <cell r="G126">
            <v>0</v>
          </cell>
        </row>
        <row r="127">
          <cell r="B127">
            <v>4888</v>
          </cell>
          <cell r="C127">
            <v>0</v>
          </cell>
          <cell r="D127" t="str">
            <v>PHP</v>
          </cell>
          <cell r="E127">
            <v>0</v>
          </cell>
          <cell r="F127" t="str">
            <v>KIT</v>
          </cell>
          <cell r="G127">
            <v>0</v>
          </cell>
        </row>
        <row r="128">
          <cell r="B128">
            <v>4889</v>
          </cell>
          <cell r="C128">
            <v>0</v>
          </cell>
          <cell r="D128" t="str">
            <v>PHP</v>
          </cell>
          <cell r="E128">
            <v>0</v>
          </cell>
          <cell r="F128" t="str">
            <v>KIT</v>
          </cell>
          <cell r="G128">
            <v>0</v>
          </cell>
        </row>
        <row r="129">
          <cell r="B129">
            <v>4890</v>
          </cell>
          <cell r="C129">
            <v>0</v>
          </cell>
          <cell r="D129" t="str">
            <v>PHP</v>
          </cell>
          <cell r="E129">
            <v>0</v>
          </cell>
          <cell r="F129" t="str">
            <v>KIT</v>
          </cell>
          <cell r="G129">
            <v>0</v>
          </cell>
        </row>
        <row r="130">
          <cell r="B130">
            <v>4899</v>
          </cell>
          <cell r="C130">
            <v>0</v>
          </cell>
          <cell r="D130" t="str">
            <v>PHP</v>
          </cell>
          <cell r="E130">
            <v>0</v>
          </cell>
          <cell r="F130" t="str">
            <v>SET</v>
          </cell>
          <cell r="G130">
            <v>0</v>
          </cell>
        </row>
        <row r="131">
          <cell r="B131">
            <v>4906</v>
          </cell>
          <cell r="C131">
            <v>0</v>
          </cell>
          <cell r="D131" t="str">
            <v>PHP</v>
          </cell>
          <cell r="E131">
            <v>0</v>
          </cell>
          <cell r="F131" t="str">
            <v>PC</v>
          </cell>
          <cell r="G131">
            <v>0</v>
          </cell>
        </row>
        <row r="132">
          <cell r="B132">
            <v>4926</v>
          </cell>
          <cell r="C132">
            <v>0</v>
          </cell>
          <cell r="D132" t="str">
            <v>PHP</v>
          </cell>
          <cell r="E132">
            <v>0</v>
          </cell>
          <cell r="F132" t="str">
            <v>SET</v>
          </cell>
          <cell r="G132">
            <v>0</v>
          </cell>
        </row>
        <row r="133">
          <cell r="B133">
            <v>4927</v>
          </cell>
          <cell r="C133">
            <v>0</v>
          </cell>
          <cell r="D133" t="str">
            <v>PHP</v>
          </cell>
          <cell r="E133">
            <v>0</v>
          </cell>
          <cell r="F133" t="str">
            <v>PC</v>
          </cell>
          <cell r="G133">
            <v>0</v>
          </cell>
        </row>
        <row r="134">
          <cell r="B134">
            <v>5048</v>
          </cell>
          <cell r="C134">
            <v>0</v>
          </cell>
          <cell r="D134" t="str">
            <v>PHP</v>
          </cell>
          <cell r="E134">
            <v>0</v>
          </cell>
          <cell r="F134" t="str">
            <v>SET</v>
          </cell>
          <cell r="G134">
            <v>0</v>
          </cell>
        </row>
        <row r="135">
          <cell r="B135">
            <v>5066</v>
          </cell>
          <cell r="C135">
            <v>0</v>
          </cell>
          <cell r="D135" t="str">
            <v>PHP</v>
          </cell>
          <cell r="E135">
            <v>0</v>
          </cell>
          <cell r="F135" t="str">
            <v>PC</v>
          </cell>
          <cell r="G135">
            <v>0</v>
          </cell>
        </row>
        <row r="136">
          <cell r="B136">
            <v>5111</v>
          </cell>
          <cell r="C136">
            <v>0</v>
          </cell>
          <cell r="D136" t="str">
            <v>PHP</v>
          </cell>
          <cell r="E136">
            <v>0</v>
          </cell>
          <cell r="F136" t="str">
            <v>PC</v>
          </cell>
          <cell r="G136">
            <v>0</v>
          </cell>
        </row>
        <row r="137">
          <cell r="B137">
            <v>5143</v>
          </cell>
          <cell r="C137">
            <v>0</v>
          </cell>
          <cell r="D137" t="str">
            <v>PHP</v>
          </cell>
          <cell r="E137">
            <v>0</v>
          </cell>
          <cell r="F137" t="str">
            <v>ASY</v>
          </cell>
          <cell r="G137">
            <v>0</v>
          </cell>
        </row>
        <row r="138">
          <cell r="B138">
            <v>5149</v>
          </cell>
          <cell r="C138">
            <v>0</v>
          </cell>
          <cell r="D138" t="str">
            <v>PHP</v>
          </cell>
          <cell r="E138">
            <v>0</v>
          </cell>
          <cell r="F138" t="str">
            <v>PC</v>
          </cell>
          <cell r="G138">
            <v>0</v>
          </cell>
        </row>
        <row r="139">
          <cell r="B139">
            <v>5150</v>
          </cell>
          <cell r="C139">
            <v>0</v>
          </cell>
          <cell r="D139" t="str">
            <v>PHP</v>
          </cell>
          <cell r="E139">
            <v>0</v>
          </cell>
          <cell r="F139" t="str">
            <v>PC</v>
          </cell>
          <cell r="G139">
            <v>0</v>
          </cell>
        </row>
        <row r="140">
          <cell r="B140">
            <v>5151</v>
          </cell>
          <cell r="C140">
            <v>0</v>
          </cell>
          <cell r="D140" t="str">
            <v>PHP</v>
          </cell>
          <cell r="E140">
            <v>0</v>
          </cell>
          <cell r="F140" t="str">
            <v>PC</v>
          </cell>
          <cell r="G140">
            <v>0</v>
          </cell>
        </row>
        <row r="141">
          <cell r="B141">
            <v>5152</v>
          </cell>
          <cell r="C141">
            <v>0</v>
          </cell>
          <cell r="D141" t="str">
            <v>PHP</v>
          </cell>
          <cell r="E141">
            <v>0</v>
          </cell>
          <cell r="F141" t="str">
            <v>PC</v>
          </cell>
          <cell r="G141">
            <v>0</v>
          </cell>
        </row>
        <row r="142">
          <cell r="B142">
            <v>5156</v>
          </cell>
          <cell r="C142">
            <v>0</v>
          </cell>
          <cell r="D142" t="str">
            <v>PHP</v>
          </cell>
          <cell r="E142">
            <v>0</v>
          </cell>
          <cell r="F142" t="str">
            <v>PC</v>
          </cell>
          <cell r="G142">
            <v>0</v>
          </cell>
        </row>
        <row r="143">
          <cell r="B143">
            <v>5157</v>
          </cell>
          <cell r="C143">
            <v>0</v>
          </cell>
          <cell r="D143" t="str">
            <v>PHP</v>
          </cell>
          <cell r="E143">
            <v>0</v>
          </cell>
          <cell r="F143" t="str">
            <v>PC</v>
          </cell>
          <cell r="G143">
            <v>0</v>
          </cell>
        </row>
        <row r="144">
          <cell r="B144">
            <v>5158</v>
          </cell>
          <cell r="C144">
            <v>0</v>
          </cell>
          <cell r="D144" t="str">
            <v>PHP</v>
          </cell>
          <cell r="E144">
            <v>0</v>
          </cell>
          <cell r="F144" t="str">
            <v>PC</v>
          </cell>
          <cell r="G144">
            <v>0</v>
          </cell>
        </row>
        <row r="145">
          <cell r="B145">
            <v>5171</v>
          </cell>
          <cell r="C145">
            <v>0</v>
          </cell>
          <cell r="D145" t="str">
            <v>PHP</v>
          </cell>
          <cell r="E145">
            <v>0</v>
          </cell>
          <cell r="F145" t="str">
            <v>PC</v>
          </cell>
          <cell r="G145">
            <v>0</v>
          </cell>
        </row>
        <row r="146">
          <cell r="B146">
            <v>5180</v>
          </cell>
          <cell r="C146">
            <v>0</v>
          </cell>
          <cell r="D146" t="str">
            <v>PHP</v>
          </cell>
          <cell r="E146">
            <v>0</v>
          </cell>
          <cell r="F146" t="str">
            <v>PC</v>
          </cell>
          <cell r="G146">
            <v>0</v>
          </cell>
        </row>
        <row r="147">
          <cell r="B147">
            <v>5182</v>
          </cell>
          <cell r="C147">
            <v>0</v>
          </cell>
          <cell r="D147" t="str">
            <v>PHP</v>
          </cell>
          <cell r="E147">
            <v>0</v>
          </cell>
          <cell r="F147" t="str">
            <v>PC</v>
          </cell>
          <cell r="G147">
            <v>0</v>
          </cell>
        </row>
        <row r="148">
          <cell r="B148">
            <v>5224</v>
          </cell>
          <cell r="C148">
            <v>0</v>
          </cell>
          <cell r="D148" t="str">
            <v>PHP</v>
          </cell>
          <cell r="E148">
            <v>0</v>
          </cell>
          <cell r="F148" t="str">
            <v>PC</v>
          </cell>
          <cell r="G148">
            <v>0</v>
          </cell>
        </row>
        <row r="149">
          <cell r="B149">
            <v>5245</v>
          </cell>
          <cell r="C149">
            <v>0</v>
          </cell>
          <cell r="D149" t="str">
            <v>PHP</v>
          </cell>
          <cell r="E149">
            <v>0</v>
          </cell>
          <cell r="F149" t="str">
            <v>PC</v>
          </cell>
          <cell r="G149">
            <v>0</v>
          </cell>
        </row>
        <row r="150">
          <cell r="B150">
            <v>5470</v>
          </cell>
          <cell r="C150">
            <v>0</v>
          </cell>
          <cell r="D150" t="str">
            <v>PHP</v>
          </cell>
          <cell r="E150">
            <v>0</v>
          </cell>
          <cell r="F150" t="str">
            <v>PC</v>
          </cell>
          <cell r="G150">
            <v>0</v>
          </cell>
        </row>
        <row r="151">
          <cell r="B151">
            <v>5477</v>
          </cell>
          <cell r="C151">
            <v>0</v>
          </cell>
          <cell r="D151" t="str">
            <v>PHP</v>
          </cell>
          <cell r="E151">
            <v>0</v>
          </cell>
          <cell r="F151" t="str">
            <v>PC</v>
          </cell>
          <cell r="G151">
            <v>0</v>
          </cell>
        </row>
        <row r="152">
          <cell r="B152">
            <v>5519</v>
          </cell>
          <cell r="C152">
            <v>0</v>
          </cell>
          <cell r="D152" t="str">
            <v>PHP</v>
          </cell>
          <cell r="E152">
            <v>0</v>
          </cell>
          <cell r="F152" t="str">
            <v>PC</v>
          </cell>
          <cell r="G152">
            <v>0</v>
          </cell>
        </row>
        <row r="153">
          <cell r="B153">
            <v>5520</v>
          </cell>
          <cell r="C153">
            <v>0</v>
          </cell>
          <cell r="D153" t="str">
            <v>PHP</v>
          </cell>
          <cell r="E153">
            <v>0</v>
          </cell>
          <cell r="F153" t="str">
            <v>PC</v>
          </cell>
          <cell r="G153">
            <v>0</v>
          </cell>
        </row>
        <row r="154">
          <cell r="B154">
            <v>5625</v>
          </cell>
          <cell r="C154">
            <v>0</v>
          </cell>
          <cell r="D154" t="str">
            <v>PHP</v>
          </cell>
          <cell r="E154">
            <v>0</v>
          </cell>
          <cell r="F154" t="str">
            <v>DR</v>
          </cell>
          <cell r="G154">
            <v>0</v>
          </cell>
        </row>
        <row r="155">
          <cell r="B155">
            <v>5653</v>
          </cell>
          <cell r="C155">
            <v>0</v>
          </cell>
          <cell r="D155" t="str">
            <v>PHP</v>
          </cell>
          <cell r="E155">
            <v>0</v>
          </cell>
          <cell r="F155" t="str">
            <v>PC</v>
          </cell>
          <cell r="G155">
            <v>0</v>
          </cell>
        </row>
        <row r="156">
          <cell r="B156">
            <v>5672</v>
          </cell>
          <cell r="C156">
            <v>0</v>
          </cell>
          <cell r="D156" t="str">
            <v>PHP</v>
          </cell>
          <cell r="E156">
            <v>0</v>
          </cell>
          <cell r="F156" t="str">
            <v>PC</v>
          </cell>
          <cell r="G156">
            <v>0</v>
          </cell>
        </row>
        <row r="157">
          <cell r="B157">
            <v>5745</v>
          </cell>
          <cell r="C157">
            <v>0</v>
          </cell>
          <cell r="D157" t="str">
            <v>PHP</v>
          </cell>
          <cell r="E157">
            <v>0</v>
          </cell>
          <cell r="F157" t="str">
            <v>PC</v>
          </cell>
          <cell r="G157">
            <v>0</v>
          </cell>
        </row>
        <row r="158">
          <cell r="B158">
            <v>5755</v>
          </cell>
          <cell r="C158">
            <v>0</v>
          </cell>
          <cell r="D158" t="str">
            <v>PHP</v>
          </cell>
          <cell r="E158">
            <v>0</v>
          </cell>
          <cell r="F158" t="str">
            <v>PC</v>
          </cell>
          <cell r="G158">
            <v>0</v>
          </cell>
        </row>
        <row r="159">
          <cell r="B159">
            <v>5757</v>
          </cell>
          <cell r="C159">
            <v>0</v>
          </cell>
          <cell r="D159" t="str">
            <v>PHP</v>
          </cell>
          <cell r="E159">
            <v>0</v>
          </cell>
          <cell r="F159" t="str">
            <v>PC</v>
          </cell>
          <cell r="G159">
            <v>0</v>
          </cell>
        </row>
        <row r="160">
          <cell r="B160">
            <v>5782</v>
          </cell>
          <cell r="C160">
            <v>0</v>
          </cell>
          <cell r="D160" t="str">
            <v>PHP</v>
          </cell>
          <cell r="E160">
            <v>0</v>
          </cell>
          <cell r="F160" t="str">
            <v>PC</v>
          </cell>
          <cell r="G160">
            <v>0</v>
          </cell>
        </row>
        <row r="161">
          <cell r="B161">
            <v>5891</v>
          </cell>
          <cell r="C161">
            <v>0</v>
          </cell>
          <cell r="D161" t="str">
            <v>PHP</v>
          </cell>
          <cell r="E161">
            <v>0</v>
          </cell>
          <cell r="F161" t="str">
            <v>PC</v>
          </cell>
          <cell r="G161">
            <v>0</v>
          </cell>
        </row>
        <row r="162">
          <cell r="B162">
            <v>5901</v>
          </cell>
          <cell r="C162">
            <v>0</v>
          </cell>
          <cell r="D162" t="str">
            <v>PHP</v>
          </cell>
          <cell r="E162">
            <v>0</v>
          </cell>
          <cell r="F162" t="str">
            <v>PC</v>
          </cell>
          <cell r="G162">
            <v>0</v>
          </cell>
        </row>
        <row r="163">
          <cell r="B163">
            <v>6191</v>
          </cell>
          <cell r="C163">
            <v>0</v>
          </cell>
          <cell r="D163" t="str">
            <v>PHP</v>
          </cell>
          <cell r="E163">
            <v>0</v>
          </cell>
          <cell r="F163" t="str">
            <v>UT</v>
          </cell>
          <cell r="G163">
            <v>0</v>
          </cell>
        </row>
        <row r="164">
          <cell r="B164">
            <v>6212</v>
          </cell>
          <cell r="C164">
            <v>0</v>
          </cell>
          <cell r="D164" t="str">
            <v>PHP</v>
          </cell>
          <cell r="E164">
            <v>0</v>
          </cell>
          <cell r="F164" t="str">
            <v>PC</v>
          </cell>
          <cell r="G164">
            <v>0</v>
          </cell>
        </row>
        <row r="165">
          <cell r="B165">
            <v>6217</v>
          </cell>
          <cell r="C165">
            <v>0</v>
          </cell>
          <cell r="D165" t="str">
            <v>PHP</v>
          </cell>
          <cell r="E165">
            <v>0</v>
          </cell>
          <cell r="F165" t="str">
            <v>PC</v>
          </cell>
          <cell r="G165">
            <v>0</v>
          </cell>
        </row>
        <row r="166">
          <cell r="B166">
            <v>6245</v>
          </cell>
          <cell r="C166">
            <v>0</v>
          </cell>
          <cell r="D166" t="str">
            <v>PHP</v>
          </cell>
          <cell r="E166">
            <v>0</v>
          </cell>
          <cell r="F166" t="str">
            <v>PC</v>
          </cell>
          <cell r="G166">
            <v>0</v>
          </cell>
        </row>
        <row r="167">
          <cell r="B167">
            <v>6381</v>
          </cell>
          <cell r="C167">
            <v>0</v>
          </cell>
          <cell r="D167" t="str">
            <v>PHP</v>
          </cell>
          <cell r="E167">
            <v>0</v>
          </cell>
          <cell r="F167" t="str">
            <v>PC</v>
          </cell>
          <cell r="G167">
            <v>0</v>
          </cell>
        </row>
        <row r="168">
          <cell r="B168">
            <v>6427</v>
          </cell>
          <cell r="C168">
            <v>0</v>
          </cell>
          <cell r="D168" t="str">
            <v>PHP</v>
          </cell>
          <cell r="E168">
            <v>0</v>
          </cell>
          <cell r="F168" t="str">
            <v>PC</v>
          </cell>
          <cell r="G168">
            <v>0</v>
          </cell>
        </row>
        <row r="169">
          <cell r="B169">
            <v>6443</v>
          </cell>
          <cell r="C169">
            <v>0</v>
          </cell>
          <cell r="D169" t="str">
            <v>PHP</v>
          </cell>
          <cell r="E169">
            <v>0</v>
          </cell>
          <cell r="F169" t="str">
            <v>PC</v>
          </cell>
          <cell r="G169">
            <v>0</v>
          </cell>
        </row>
        <row r="170">
          <cell r="B170">
            <v>6538</v>
          </cell>
          <cell r="C170">
            <v>0</v>
          </cell>
          <cell r="D170" t="str">
            <v>PHP</v>
          </cell>
          <cell r="E170">
            <v>0</v>
          </cell>
          <cell r="F170" t="str">
            <v>PC</v>
          </cell>
          <cell r="G170">
            <v>0</v>
          </cell>
        </row>
        <row r="171">
          <cell r="B171">
            <v>6540</v>
          </cell>
          <cell r="C171">
            <v>0</v>
          </cell>
          <cell r="D171" t="str">
            <v>PHP</v>
          </cell>
          <cell r="E171">
            <v>0</v>
          </cell>
          <cell r="F171" t="str">
            <v>PC</v>
          </cell>
          <cell r="G171">
            <v>0</v>
          </cell>
        </row>
        <row r="172">
          <cell r="B172">
            <v>6541</v>
          </cell>
          <cell r="C172">
            <v>0</v>
          </cell>
          <cell r="D172" t="str">
            <v>PHP</v>
          </cell>
          <cell r="E172">
            <v>0</v>
          </cell>
          <cell r="F172" t="str">
            <v>PC</v>
          </cell>
          <cell r="G172">
            <v>0</v>
          </cell>
        </row>
        <row r="173">
          <cell r="B173">
            <v>6548</v>
          </cell>
          <cell r="C173">
            <v>0</v>
          </cell>
          <cell r="D173" t="str">
            <v>PHP</v>
          </cell>
          <cell r="E173">
            <v>0</v>
          </cell>
          <cell r="F173" t="str">
            <v>PC</v>
          </cell>
          <cell r="G173">
            <v>0</v>
          </cell>
        </row>
        <row r="174">
          <cell r="B174">
            <v>6636</v>
          </cell>
          <cell r="C174">
            <v>0</v>
          </cell>
          <cell r="D174" t="str">
            <v>PHP</v>
          </cell>
          <cell r="E174">
            <v>0</v>
          </cell>
          <cell r="F174" t="str">
            <v>ASY</v>
          </cell>
          <cell r="G174">
            <v>0</v>
          </cell>
        </row>
        <row r="175">
          <cell r="B175">
            <v>6669</v>
          </cell>
          <cell r="C175">
            <v>0</v>
          </cell>
          <cell r="D175" t="str">
            <v>PHP</v>
          </cell>
          <cell r="E175">
            <v>0</v>
          </cell>
          <cell r="F175" t="str">
            <v>PC</v>
          </cell>
          <cell r="G175">
            <v>0</v>
          </cell>
        </row>
        <row r="176">
          <cell r="B176">
            <v>6678</v>
          </cell>
          <cell r="C176">
            <v>0</v>
          </cell>
          <cell r="D176" t="str">
            <v>PHP</v>
          </cell>
          <cell r="E176">
            <v>0</v>
          </cell>
          <cell r="F176" t="str">
            <v>PC</v>
          </cell>
          <cell r="G176">
            <v>0</v>
          </cell>
        </row>
        <row r="177">
          <cell r="B177">
            <v>6709</v>
          </cell>
          <cell r="C177">
            <v>0</v>
          </cell>
          <cell r="D177" t="str">
            <v>PHP</v>
          </cell>
          <cell r="E177">
            <v>0</v>
          </cell>
          <cell r="F177" t="str">
            <v>PC</v>
          </cell>
          <cell r="G177">
            <v>0</v>
          </cell>
        </row>
        <row r="178">
          <cell r="B178">
            <v>6710</v>
          </cell>
          <cell r="C178">
            <v>0</v>
          </cell>
          <cell r="D178" t="str">
            <v>PHP</v>
          </cell>
          <cell r="E178">
            <v>0</v>
          </cell>
          <cell r="F178" t="str">
            <v>PC</v>
          </cell>
          <cell r="G178">
            <v>0</v>
          </cell>
        </row>
        <row r="179">
          <cell r="B179">
            <v>6712</v>
          </cell>
          <cell r="C179">
            <v>0</v>
          </cell>
          <cell r="D179" t="str">
            <v>PHP</v>
          </cell>
          <cell r="E179">
            <v>0</v>
          </cell>
          <cell r="F179" t="str">
            <v>PC</v>
          </cell>
          <cell r="G179">
            <v>0</v>
          </cell>
        </row>
        <row r="180">
          <cell r="B180">
            <v>6765</v>
          </cell>
          <cell r="C180">
            <v>0</v>
          </cell>
          <cell r="D180" t="str">
            <v>PHP</v>
          </cell>
          <cell r="E180">
            <v>0</v>
          </cell>
          <cell r="F180" t="str">
            <v>PC</v>
          </cell>
          <cell r="G180">
            <v>0</v>
          </cell>
        </row>
        <row r="181">
          <cell r="B181">
            <v>6811</v>
          </cell>
          <cell r="C181">
            <v>0</v>
          </cell>
          <cell r="D181" t="str">
            <v>PHP</v>
          </cell>
          <cell r="E181">
            <v>0</v>
          </cell>
          <cell r="F181" t="str">
            <v>PC</v>
          </cell>
          <cell r="G181">
            <v>0</v>
          </cell>
        </row>
        <row r="182">
          <cell r="B182">
            <v>6914</v>
          </cell>
          <cell r="C182">
            <v>0</v>
          </cell>
          <cell r="D182" t="str">
            <v>PHP</v>
          </cell>
          <cell r="E182">
            <v>0</v>
          </cell>
          <cell r="F182" t="str">
            <v>PC</v>
          </cell>
          <cell r="G182">
            <v>0</v>
          </cell>
        </row>
        <row r="183">
          <cell r="B183">
            <v>6939</v>
          </cell>
          <cell r="C183">
            <v>0</v>
          </cell>
          <cell r="D183" t="str">
            <v>PHP</v>
          </cell>
          <cell r="E183">
            <v>0</v>
          </cell>
          <cell r="F183" t="str">
            <v>PC</v>
          </cell>
          <cell r="G183">
            <v>0</v>
          </cell>
        </row>
        <row r="184">
          <cell r="B184">
            <v>6940</v>
          </cell>
          <cell r="C184">
            <v>0</v>
          </cell>
          <cell r="D184" t="str">
            <v>PHP</v>
          </cell>
          <cell r="E184">
            <v>0</v>
          </cell>
          <cell r="F184" t="str">
            <v>PC</v>
          </cell>
          <cell r="G184">
            <v>0</v>
          </cell>
        </row>
        <row r="185">
          <cell r="B185">
            <v>7005</v>
          </cell>
          <cell r="C185">
            <v>0</v>
          </cell>
          <cell r="D185" t="str">
            <v>PHP</v>
          </cell>
          <cell r="E185">
            <v>0</v>
          </cell>
          <cell r="F185" t="str">
            <v>PC</v>
          </cell>
          <cell r="G185">
            <v>0</v>
          </cell>
        </row>
        <row r="186">
          <cell r="B186">
            <v>7013</v>
          </cell>
          <cell r="C186">
            <v>0</v>
          </cell>
          <cell r="D186" t="str">
            <v>PHP</v>
          </cell>
          <cell r="E186">
            <v>0</v>
          </cell>
          <cell r="F186" t="str">
            <v>PC</v>
          </cell>
          <cell r="G186">
            <v>0</v>
          </cell>
        </row>
        <row r="187">
          <cell r="B187">
            <v>7014</v>
          </cell>
          <cell r="C187">
            <v>0</v>
          </cell>
          <cell r="D187" t="str">
            <v>PHP</v>
          </cell>
          <cell r="E187">
            <v>0</v>
          </cell>
          <cell r="F187" t="str">
            <v>PC</v>
          </cell>
          <cell r="G187">
            <v>0</v>
          </cell>
        </row>
        <row r="188">
          <cell r="B188">
            <v>7051</v>
          </cell>
          <cell r="C188">
            <v>0</v>
          </cell>
          <cell r="D188" t="str">
            <v>PHP</v>
          </cell>
          <cell r="E188">
            <v>0</v>
          </cell>
          <cell r="F188" t="str">
            <v>PC</v>
          </cell>
          <cell r="G188">
            <v>0</v>
          </cell>
        </row>
        <row r="189">
          <cell r="B189">
            <v>7052</v>
          </cell>
          <cell r="C189">
            <v>0</v>
          </cell>
          <cell r="D189" t="str">
            <v>PHP</v>
          </cell>
          <cell r="E189">
            <v>0</v>
          </cell>
          <cell r="F189" t="str">
            <v>PC</v>
          </cell>
          <cell r="G189">
            <v>0</v>
          </cell>
        </row>
        <row r="190">
          <cell r="B190">
            <v>7093</v>
          </cell>
          <cell r="C190">
            <v>0</v>
          </cell>
          <cell r="D190" t="str">
            <v>PHP</v>
          </cell>
          <cell r="E190">
            <v>0</v>
          </cell>
          <cell r="F190" t="str">
            <v>PC</v>
          </cell>
          <cell r="G190">
            <v>0</v>
          </cell>
        </row>
        <row r="191">
          <cell r="B191">
            <v>7142</v>
          </cell>
          <cell r="C191">
            <v>0</v>
          </cell>
          <cell r="D191" t="str">
            <v>PHP</v>
          </cell>
          <cell r="E191">
            <v>0</v>
          </cell>
          <cell r="F191" t="str">
            <v>PC</v>
          </cell>
          <cell r="G191">
            <v>0</v>
          </cell>
        </row>
        <row r="192">
          <cell r="B192">
            <v>7174</v>
          </cell>
          <cell r="C192">
            <v>0</v>
          </cell>
          <cell r="D192" t="str">
            <v>PHP</v>
          </cell>
          <cell r="E192">
            <v>0</v>
          </cell>
          <cell r="F192" t="str">
            <v>PC</v>
          </cell>
          <cell r="G192">
            <v>0</v>
          </cell>
        </row>
        <row r="193">
          <cell r="B193">
            <v>7276</v>
          </cell>
          <cell r="C193">
            <v>0</v>
          </cell>
          <cell r="D193" t="str">
            <v>PHP</v>
          </cell>
          <cell r="E193">
            <v>0</v>
          </cell>
          <cell r="F193" t="str">
            <v>PC</v>
          </cell>
          <cell r="G193">
            <v>0</v>
          </cell>
        </row>
        <row r="194">
          <cell r="B194">
            <v>7280</v>
          </cell>
          <cell r="C194">
            <v>58396.02</v>
          </cell>
          <cell r="D194" t="str">
            <v>PHP</v>
          </cell>
          <cell r="E194">
            <v>1</v>
          </cell>
          <cell r="F194" t="str">
            <v>PC</v>
          </cell>
          <cell r="G194">
            <v>0</v>
          </cell>
        </row>
        <row r="195">
          <cell r="B195">
            <v>7395</v>
          </cell>
          <cell r="C195">
            <v>0</v>
          </cell>
          <cell r="D195" t="str">
            <v>PHP</v>
          </cell>
          <cell r="E195">
            <v>0</v>
          </cell>
          <cell r="F195" t="str">
            <v>PC</v>
          </cell>
          <cell r="G195">
            <v>0</v>
          </cell>
        </row>
        <row r="196">
          <cell r="B196">
            <v>7407</v>
          </cell>
          <cell r="C196">
            <v>0</v>
          </cell>
          <cell r="D196" t="str">
            <v>PHP</v>
          </cell>
          <cell r="E196">
            <v>0</v>
          </cell>
          <cell r="F196" t="str">
            <v>PC</v>
          </cell>
          <cell r="G196">
            <v>0</v>
          </cell>
        </row>
        <row r="197">
          <cell r="B197">
            <v>7472</v>
          </cell>
          <cell r="C197">
            <v>0</v>
          </cell>
          <cell r="D197" t="str">
            <v>PHP</v>
          </cell>
          <cell r="E197">
            <v>0</v>
          </cell>
          <cell r="F197" t="str">
            <v>PC</v>
          </cell>
          <cell r="G197">
            <v>0</v>
          </cell>
        </row>
        <row r="198">
          <cell r="B198">
            <v>7479</v>
          </cell>
          <cell r="C198">
            <v>0</v>
          </cell>
          <cell r="D198" t="str">
            <v>PHP</v>
          </cell>
          <cell r="E198">
            <v>0</v>
          </cell>
          <cell r="F198" t="str">
            <v>PC</v>
          </cell>
          <cell r="G198">
            <v>0</v>
          </cell>
        </row>
        <row r="199">
          <cell r="B199">
            <v>7513</v>
          </cell>
          <cell r="C199">
            <v>0</v>
          </cell>
          <cell r="D199" t="str">
            <v>PHP</v>
          </cell>
          <cell r="E199">
            <v>0</v>
          </cell>
          <cell r="F199" t="str">
            <v>PC</v>
          </cell>
          <cell r="G199">
            <v>0</v>
          </cell>
        </row>
        <row r="200">
          <cell r="B200">
            <v>7734</v>
          </cell>
          <cell r="C200">
            <v>0</v>
          </cell>
          <cell r="D200" t="str">
            <v>PHP</v>
          </cell>
          <cell r="E200">
            <v>0</v>
          </cell>
          <cell r="F200" t="str">
            <v>UT</v>
          </cell>
          <cell r="G200">
            <v>0</v>
          </cell>
        </row>
        <row r="201">
          <cell r="B201">
            <v>7744</v>
          </cell>
          <cell r="C201">
            <v>0</v>
          </cell>
          <cell r="D201" t="str">
            <v>PHP</v>
          </cell>
          <cell r="E201">
            <v>0</v>
          </cell>
          <cell r="F201" t="str">
            <v>UT</v>
          </cell>
          <cell r="G201">
            <v>0</v>
          </cell>
        </row>
        <row r="202">
          <cell r="B202">
            <v>7749</v>
          </cell>
          <cell r="C202">
            <v>0</v>
          </cell>
          <cell r="D202" t="str">
            <v>PHP</v>
          </cell>
          <cell r="E202">
            <v>0</v>
          </cell>
          <cell r="F202" t="str">
            <v>UT</v>
          </cell>
          <cell r="G202">
            <v>0</v>
          </cell>
        </row>
        <row r="203">
          <cell r="B203">
            <v>7804</v>
          </cell>
          <cell r="C203">
            <v>0</v>
          </cell>
          <cell r="D203" t="str">
            <v>PHP</v>
          </cell>
          <cell r="E203">
            <v>0</v>
          </cell>
          <cell r="F203" t="str">
            <v>PC</v>
          </cell>
          <cell r="G203">
            <v>0</v>
          </cell>
        </row>
        <row r="204">
          <cell r="B204">
            <v>7864</v>
          </cell>
          <cell r="C204">
            <v>0</v>
          </cell>
          <cell r="D204" t="str">
            <v>PHP</v>
          </cell>
          <cell r="E204">
            <v>0</v>
          </cell>
          <cell r="F204" t="str">
            <v>PC</v>
          </cell>
          <cell r="G204">
            <v>0</v>
          </cell>
        </row>
        <row r="205">
          <cell r="B205">
            <v>7865</v>
          </cell>
          <cell r="C205">
            <v>0</v>
          </cell>
          <cell r="D205" t="str">
            <v>PHP</v>
          </cell>
          <cell r="E205">
            <v>0</v>
          </cell>
          <cell r="F205" t="str">
            <v>PC</v>
          </cell>
          <cell r="G205">
            <v>0</v>
          </cell>
        </row>
        <row r="206">
          <cell r="B206">
            <v>7885</v>
          </cell>
          <cell r="C206">
            <v>0</v>
          </cell>
          <cell r="D206" t="str">
            <v>PHP</v>
          </cell>
          <cell r="E206">
            <v>0</v>
          </cell>
          <cell r="F206" t="str">
            <v>PC</v>
          </cell>
          <cell r="G206">
            <v>0</v>
          </cell>
        </row>
        <row r="207">
          <cell r="B207">
            <v>7904</v>
          </cell>
          <cell r="C207">
            <v>0</v>
          </cell>
          <cell r="D207" t="str">
            <v>PHP</v>
          </cell>
          <cell r="E207">
            <v>0</v>
          </cell>
          <cell r="F207" t="str">
            <v>PC</v>
          </cell>
          <cell r="G207">
            <v>0</v>
          </cell>
        </row>
        <row r="208">
          <cell r="B208">
            <v>7995</v>
          </cell>
          <cell r="C208">
            <v>0</v>
          </cell>
          <cell r="D208" t="str">
            <v>PHP</v>
          </cell>
          <cell r="E208">
            <v>0</v>
          </cell>
          <cell r="F208" t="str">
            <v>PC</v>
          </cell>
          <cell r="G208">
            <v>0</v>
          </cell>
        </row>
        <row r="209">
          <cell r="B209">
            <v>8024</v>
          </cell>
          <cell r="C209">
            <v>0</v>
          </cell>
          <cell r="D209" t="str">
            <v>PHP</v>
          </cell>
          <cell r="E209">
            <v>0</v>
          </cell>
          <cell r="F209" t="str">
            <v>PC</v>
          </cell>
          <cell r="G209">
            <v>0</v>
          </cell>
        </row>
        <row r="210">
          <cell r="B210">
            <v>8092</v>
          </cell>
          <cell r="C210">
            <v>0</v>
          </cell>
          <cell r="D210" t="str">
            <v>PHP</v>
          </cell>
          <cell r="E210">
            <v>0</v>
          </cell>
          <cell r="F210" t="str">
            <v>PC</v>
          </cell>
          <cell r="G210">
            <v>0</v>
          </cell>
        </row>
        <row r="211">
          <cell r="B211">
            <v>8095</v>
          </cell>
          <cell r="C211">
            <v>0</v>
          </cell>
          <cell r="D211" t="str">
            <v>PHP</v>
          </cell>
          <cell r="E211">
            <v>0</v>
          </cell>
          <cell r="F211" t="str">
            <v>PC</v>
          </cell>
          <cell r="G211">
            <v>0</v>
          </cell>
        </row>
        <row r="212">
          <cell r="B212">
            <v>8096</v>
          </cell>
          <cell r="C212">
            <v>0</v>
          </cell>
          <cell r="D212" t="str">
            <v>PHP</v>
          </cell>
          <cell r="E212">
            <v>0</v>
          </cell>
          <cell r="F212" t="str">
            <v>PC</v>
          </cell>
          <cell r="G212">
            <v>0</v>
          </cell>
        </row>
        <row r="213">
          <cell r="B213">
            <v>8097</v>
          </cell>
          <cell r="C213">
            <v>0</v>
          </cell>
          <cell r="D213" t="str">
            <v>PHP</v>
          </cell>
          <cell r="E213">
            <v>0</v>
          </cell>
          <cell r="F213" t="str">
            <v>PC</v>
          </cell>
          <cell r="G213">
            <v>0</v>
          </cell>
        </row>
        <row r="214">
          <cell r="B214">
            <v>8099</v>
          </cell>
          <cell r="C214">
            <v>0</v>
          </cell>
          <cell r="D214" t="str">
            <v>PHP</v>
          </cell>
          <cell r="E214">
            <v>0</v>
          </cell>
          <cell r="F214" t="str">
            <v>PC</v>
          </cell>
          <cell r="G214">
            <v>0</v>
          </cell>
        </row>
        <row r="215">
          <cell r="B215">
            <v>8113</v>
          </cell>
          <cell r="C215">
            <v>0</v>
          </cell>
          <cell r="D215" t="str">
            <v>PHP</v>
          </cell>
          <cell r="E215">
            <v>0</v>
          </cell>
          <cell r="F215" t="str">
            <v>ASY</v>
          </cell>
          <cell r="G215">
            <v>0</v>
          </cell>
        </row>
        <row r="216">
          <cell r="B216">
            <v>8123</v>
          </cell>
          <cell r="C216">
            <v>0</v>
          </cell>
          <cell r="D216" t="str">
            <v>PHP</v>
          </cell>
          <cell r="E216">
            <v>0</v>
          </cell>
          <cell r="F216" t="str">
            <v>PC</v>
          </cell>
          <cell r="G216">
            <v>0</v>
          </cell>
        </row>
        <row r="217">
          <cell r="B217">
            <v>8150</v>
          </cell>
          <cell r="C217">
            <v>0</v>
          </cell>
          <cell r="D217" t="str">
            <v>PHP</v>
          </cell>
          <cell r="E217">
            <v>0</v>
          </cell>
          <cell r="F217" t="str">
            <v>PC</v>
          </cell>
          <cell r="G217">
            <v>0</v>
          </cell>
        </row>
        <row r="218">
          <cell r="B218">
            <v>8168</v>
          </cell>
          <cell r="C218">
            <v>0</v>
          </cell>
          <cell r="D218" t="str">
            <v>PHP</v>
          </cell>
          <cell r="E218">
            <v>0</v>
          </cell>
          <cell r="F218" t="str">
            <v>PC</v>
          </cell>
          <cell r="G218">
            <v>0</v>
          </cell>
        </row>
        <row r="219">
          <cell r="B219">
            <v>8181</v>
          </cell>
          <cell r="C219">
            <v>0</v>
          </cell>
          <cell r="D219" t="str">
            <v>PHP</v>
          </cell>
          <cell r="E219">
            <v>0</v>
          </cell>
          <cell r="F219" t="str">
            <v>PC</v>
          </cell>
          <cell r="G219">
            <v>0</v>
          </cell>
        </row>
        <row r="220">
          <cell r="B220">
            <v>8186</v>
          </cell>
          <cell r="C220">
            <v>0</v>
          </cell>
          <cell r="D220" t="str">
            <v>PHP</v>
          </cell>
          <cell r="E220">
            <v>0</v>
          </cell>
          <cell r="F220" t="str">
            <v>PC</v>
          </cell>
          <cell r="G220">
            <v>0</v>
          </cell>
        </row>
        <row r="221">
          <cell r="B221">
            <v>8194</v>
          </cell>
          <cell r="C221">
            <v>0</v>
          </cell>
          <cell r="D221" t="str">
            <v>PHP</v>
          </cell>
          <cell r="E221">
            <v>0</v>
          </cell>
          <cell r="F221" t="str">
            <v>PC</v>
          </cell>
          <cell r="G221">
            <v>0</v>
          </cell>
        </row>
        <row r="222">
          <cell r="B222">
            <v>8197</v>
          </cell>
          <cell r="C222">
            <v>0</v>
          </cell>
          <cell r="D222" t="str">
            <v>PHP</v>
          </cell>
          <cell r="E222">
            <v>0</v>
          </cell>
          <cell r="F222" t="str">
            <v>PC</v>
          </cell>
          <cell r="G222">
            <v>0</v>
          </cell>
        </row>
        <row r="223">
          <cell r="B223">
            <v>8247</v>
          </cell>
          <cell r="C223">
            <v>0</v>
          </cell>
          <cell r="D223" t="str">
            <v>PHP</v>
          </cell>
          <cell r="E223">
            <v>0</v>
          </cell>
          <cell r="F223" t="str">
            <v>PC</v>
          </cell>
          <cell r="G223">
            <v>0</v>
          </cell>
        </row>
        <row r="224">
          <cell r="B224">
            <v>8248</v>
          </cell>
          <cell r="C224">
            <v>0</v>
          </cell>
          <cell r="D224" t="str">
            <v>PHP</v>
          </cell>
          <cell r="E224">
            <v>0</v>
          </cell>
          <cell r="F224" t="str">
            <v>PC</v>
          </cell>
          <cell r="G224">
            <v>0</v>
          </cell>
        </row>
        <row r="225">
          <cell r="B225">
            <v>8250</v>
          </cell>
          <cell r="C225">
            <v>0</v>
          </cell>
          <cell r="D225" t="str">
            <v>PHP</v>
          </cell>
          <cell r="E225">
            <v>0</v>
          </cell>
          <cell r="F225" t="str">
            <v>PC</v>
          </cell>
          <cell r="G225">
            <v>0</v>
          </cell>
        </row>
        <row r="226">
          <cell r="B226">
            <v>8325</v>
          </cell>
          <cell r="C226">
            <v>0</v>
          </cell>
          <cell r="D226" t="str">
            <v>PHP</v>
          </cell>
          <cell r="E226">
            <v>0</v>
          </cell>
          <cell r="F226" t="str">
            <v>PC</v>
          </cell>
          <cell r="G226">
            <v>0</v>
          </cell>
        </row>
        <row r="227">
          <cell r="B227">
            <v>8341</v>
          </cell>
          <cell r="C227">
            <v>0</v>
          </cell>
          <cell r="D227" t="str">
            <v>PHP</v>
          </cell>
          <cell r="E227">
            <v>0</v>
          </cell>
          <cell r="F227" t="str">
            <v>PC</v>
          </cell>
          <cell r="G227">
            <v>0</v>
          </cell>
        </row>
        <row r="228">
          <cell r="B228">
            <v>8388</v>
          </cell>
          <cell r="C228">
            <v>0</v>
          </cell>
          <cell r="D228" t="str">
            <v>PHP</v>
          </cell>
          <cell r="E228">
            <v>0</v>
          </cell>
          <cell r="F228" t="str">
            <v>PC</v>
          </cell>
          <cell r="G228">
            <v>0</v>
          </cell>
        </row>
        <row r="229">
          <cell r="B229">
            <v>8549</v>
          </cell>
          <cell r="C229">
            <v>488462.8</v>
          </cell>
          <cell r="D229" t="str">
            <v>PHP</v>
          </cell>
          <cell r="E229">
            <v>280</v>
          </cell>
          <cell r="F229" t="str">
            <v>BAG</v>
          </cell>
          <cell r="G229">
            <v>0</v>
          </cell>
        </row>
        <row r="230">
          <cell r="B230">
            <v>8713</v>
          </cell>
          <cell r="C230">
            <v>0</v>
          </cell>
          <cell r="D230" t="str">
            <v>PHP</v>
          </cell>
          <cell r="E230">
            <v>0</v>
          </cell>
          <cell r="F230" t="str">
            <v>PC</v>
          </cell>
          <cell r="G230">
            <v>0</v>
          </cell>
        </row>
        <row r="231">
          <cell r="B231">
            <v>8714</v>
          </cell>
          <cell r="C231">
            <v>98445.74</v>
          </cell>
          <cell r="D231" t="str">
            <v>PHP</v>
          </cell>
          <cell r="E231">
            <v>12</v>
          </cell>
          <cell r="F231" t="str">
            <v>PC</v>
          </cell>
          <cell r="G231">
            <v>0</v>
          </cell>
        </row>
        <row r="232">
          <cell r="B232">
            <v>8715</v>
          </cell>
          <cell r="C232">
            <v>113222.78</v>
          </cell>
          <cell r="D232" t="str">
            <v>PHP</v>
          </cell>
          <cell r="E232">
            <v>9</v>
          </cell>
          <cell r="F232" t="str">
            <v>PC</v>
          </cell>
          <cell r="G232">
            <v>0</v>
          </cell>
        </row>
        <row r="233">
          <cell r="B233">
            <v>8719</v>
          </cell>
          <cell r="C233">
            <v>0</v>
          </cell>
          <cell r="D233" t="str">
            <v>PHP</v>
          </cell>
          <cell r="E233">
            <v>0</v>
          </cell>
          <cell r="F233" t="str">
            <v>PC</v>
          </cell>
          <cell r="G233">
            <v>0</v>
          </cell>
        </row>
        <row r="234">
          <cell r="B234">
            <v>8849</v>
          </cell>
          <cell r="C234">
            <v>0</v>
          </cell>
          <cell r="D234" t="str">
            <v>PHP</v>
          </cell>
          <cell r="E234">
            <v>0</v>
          </cell>
          <cell r="F234" t="str">
            <v>PC</v>
          </cell>
          <cell r="G234">
            <v>0</v>
          </cell>
        </row>
        <row r="235">
          <cell r="B235">
            <v>8889</v>
          </cell>
          <cell r="C235">
            <v>7347914.46</v>
          </cell>
          <cell r="D235" t="str">
            <v>PHP</v>
          </cell>
          <cell r="E235">
            <v>6</v>
          </cell>
          <cell r="F235" t="str">
            <v>PC</v>
          </cell>
          <cell r="G235">
            <v>0</v>
          </cell>
        </row>
        <row r="236">
          <cell r="B236">
            <v>8906</v>
          </cell>
          <cell r="C236">
            <v>0</v>
          </cell>
          <cell r="D236" t="str">
            <v>PHP</v>
          </cell>
          <cell r="E236">
            <v>0</v>
          </cell>
          <cell r="F236" t="str">
            <v>PC</v>
          </cell>
          <cell r="G236">
            <v>0</v>
          </cell>
        </row>
        <row r="237">
          <cell r="B237">
            <v>8908</v>
          </cell>
          <cell r="C237">
            <v>0</v>
          </cell>
          <cell r="D237" t="str">
            <v>PHP</v>
          </cell>
          <cell r="E237">
            <v>0</v>
          </cell>
          <cell r="F237" t="str">
            <v>PC</v>
          </cell>
          <cell r="G237">
            <v>0</v>
          </cell>
        </row>
        <row r="238">
          <cell r="B238">
            <v>8911</v>
          </cell>
          <cell r="C238">
            <v>442298.44</v>
          </cell>
          <cell r="D238" t="str">
            <v>PHP</v>
          </cell>
          <cell r="E238">
            <v>2</v>
          </cell>
          <cell r="F238" t="str">
            <v>PC</v>
          </cell>
          <cell r="G238">
            <v>0</v>
          </cell>
        </row>
        <row r="239">
          <cell r="B239">
            <v>8914</v>
          </cell>
          <cell r="C239">
            <v>252756</v>
          </cell>
          <cell r="D239" t="str">
            <v>PHP</v>
          </cell>
          <cell r="E239">
            <v>1</v>
          </cell>
          <cell r="F239" t="str">
            <v>PC</v>
          </cell>
          <cell r="G239">
            <v>0</v>
          </cell>
        </row>
        <row r="240">
          <cell r="B240">
            <v>9147</v>
          </cell>
          <cell r="C240">
            <v>4717.9399999999996</v>
          </cell>
          <cell r="D240" t="str">
            <v>PHP</v>
          </cell>
          <cell r="E240">
            <v>40</v>
          </cell>
          <cell r="F240" t="str">
            <v>SET</v>
          </cell>
          <cell r="G240">
            <v>0</v>
          </cell>
        </row>
        <row r="241">
          <cell r="B241">
            <v>9148</v>
          </cell>
          <cell r="C241">
            <v>0</v>
          </cell>
          <cell r="D241" t="str">
            <v>PHP</v>
          </cell>
          <cell r="E241">
            <v>0</v>
          </cell>
          <cell r="F241" t="str">
            <v>SET</v>
          </cell>
          <cell r="G241">
            <v>0</v>
          </cell>
        </row>
        <row r="242">
          <cell r="B242">
            <v>9151</v>
          </cell>
          <cell r="C242">
            <v>44382.239999999998</v>
          </cell>
          <cell r="D242" t="str">
            <v>PHP</v>
          </cell>
          <cell r="E242">
            <v>100</v>
          </cell>
          <cell r="F242" t="str">
            <v>SET</v>
          </cell>
          <cell r="G242">
            <v>0</v>
          </cell>
        </row>
        <row r="243">
          <cell r="B243">
            <v>9338</v>
          </cell>
          <cell r="C243">
            <v>46285.68</v>
          </cell>
          <cell r="D243" t="str">
            <v>PHP</v>
          </cell>
          <cell r="E243">
            <v>20</v>
          </cell>
          <cell r="F243" t="str">
            <v>SET</v>
          </cell>
          <cell r="G243">
            <v>0</v>
          </cell>
        </row>
        <row r="244">
          <cell r="B244">
            <v>9340</v>
          </cell>
          <cell r="C244">
            <v>1975.23</v>
          </cell>
          <cell r="D244" t="str">
            <v>PHP</v>
          </cell>
          <cell r="E244">
            <v>16</v>
          </cell>
          <cell r="F244" t="str">
            <v>SET</v>
          </cell>
          <cell r="G244">
            <v>0</v>
          </cell>
        </row>
        <row r="245">
          <cell r="B245">
            <v>9534</v>
          </cell>
          <cell r="C245">
            <v>0</v>
          </cell>
          <cell r="D245" t="str">
            <v>PHP</v>
          </cell>
          <cell r="E245">
            <v>0</v>
          </cell>
          <cell r="F245" t="str">
            <v>PC</v>
          </cell>
          <cell r="G245">
            <v>0</v>
          </cell>
        </row>
        <row r="246">
          <cell r="B246">
            <v>9578</v>
          </cell>
          <cell r="C246">
            <v>0</v>
          </cell>
          <cell r="D246" t="str">
            <v>PHP</v>
          </cell>
          <cell r="E246">
            <v>0</v>
          </cell>
          <cell r="F246" t="str">
            <v>PC</v>
          </cell>
          <cell r="G246">
            <v>0</v>
          </cell>
        </row>
        <row r="247">
          <cell r="B247">
            <v>9634</v>
          </cell>
          <cell r="C247">
            <v>175980.89</v>
          </cell>
          <cell r="D247" t="str">
            <v>PHP</v>
          </cell>
          <cell r="E247">
            <v>1</v>
          </cell>
          <cell r="F247" t="str">
            <v>SET</v>
          </cell>
          <cell r="G247">
            <v>0</v>
          </cell>
        </row>
        <row r="248">
          <cell r="B248">
            <v>9747</v>
          </cell>
          <cell r="C248">
            <v>0</v>
          </cell>
          <cell r="D248" t="str">
            <v>PHP</v>
          </cell>
          <cell r="E248">
            <v>0</v>
          </cell>
          <cell r="F248" t="str">
            <v>BAG</v>
          </cell>
          <cell r="G248">
            <v>0</v>
          </cell>
        </row>
        <row r="249">
          <cell r="B249">
            <v>10138</v>
          </cell>
          <cell r="C249">
            <v>1892812.42</v>
          </cell>
          <cell r="D249" t="str">
            <v>PHP</v>
          </cell>
          <cell r="E249">
            <v>99</v>
          </cell>
          <cell r="F249" t="str">
            <v>LEN</v>
          </cell>
          <cell r="G249">
            <v>0</v>
          </cell>
        </row>
        <row r="250">
          <cell r="B250">
            <v>10140</v>
          </cell>
          <cell r="C250">
            <v>296000.34000000003</v>
          </cell>
          <cell r="D250" t="str">
            <v>PHP</v>
          </cell>
          <cell r="E250">
            <v>1</v>
          </cell>
          <cell r="F250" t="str">
            <v>LEN</v>
          </cell>
          <cell r="G250">
            <v>0</v>
          </cell>
        </row>
        <row r="251">
          <cell r="B251">
            <v>10142</v>
          </cell>
          <cell r="C251">
            <v>386739.67</v>
          </cell>
          <cell r="D251" t="str">
            <v>PHP</v>
          </cell>
          <cell r="E251">
            <v>17</v>
          </cell>
          <cell r="F251" t="str">
            <v>LEN</v>
          </cell>
          <cell r="G251">
            <v>0</v>
          </cell>
        </row>
        <row r="252">
          <cell r="B252">
            <v>10145</v>
          </cell>
          <cell r="C252">
            <v>1056841.03</v>
          </cell>
          <cell r="D252" t="str">
            <v>PHP</v>
          </cell>
          <cell r="E252">
            <v>7</v>
          </cell>
          <cell r="F252" t="str">
            <v>PC</v>
          </cell>
          <cell r="G252">
            <v>0</v>
          </cell>
        </row>
        <row r="253">
          <cell r="B253">
            <v>10147</v>
          </cell>
          <cell r="C253">
            <v>26301949.890000001</v>
          </cell>
          <cell r="D253" t="str">
            <v>PHP</v>
          </cell>
          <cell r="E253">
            <v>345</v>
          </cell>
          <cell r="F253" t="str">
            <v>LEN</v>
          </cell>
          <cell r="G253">
            <v>0</v>
          </cell>
        </row>
        <row r="254">
          <cell r="B254">
            <v>10148</v>
          </cell>
          <cell r="C254">
            <v>0</v>
          </cell>
          <cell r="D254" t="str">
            <v>PHP</v>
          </cell>
          <cell r="E254">
            <v>0</v>
          </cell>
          <cell r="F254" t="str">
            <v>PC</v>
          </cell>
          <cell r="G254">
            <v>0</v>
          </cell>
        </row>
        <row r="255">
          <cell r="B255">
            <v>10149</v>
          </cell>
          <cell r="C255">
            <v>1468470.5</v>
          </cell>
          <cell r="D255" t="str">
            <v>PHP</v>
          </cell>
          <cell r="E255">
            <v>26</v>
          </cell>
          <cell r="F255" t="str">
            <v>PC</v>
          </cell>
          <cell r="G255">
            <v>0</v>
          </cell>
        </row>
        <row r="256">
          <cell r="B256">
            <v>10151</v>
          </cell>
          <cell r="C256">
            <v>0</v>
          </cell>
          <cell r="D256" t="str">
            <v>PHP</v>
          </cell>
          <cell r="E256">
            <v>0</v>
          </cell>
          <cell r="F256" t="str">
            <v>LEN</v>
          </cell>
          <cell r="G256">
            <v>0</v>
          </cell>
        </row>
        <row r="257">
          <cell r="B257">
            <v>10154</v>
          </cell>
          <cell r="C257">
            <v>1478467.15</v>
          </cell>
          <cell r="D257" t="str">
            <v>PHP</v>
          </cell>
          <cell r="E257">
            <v>47</v>
          </cell>
          <cell r="F257" t="str">
            <v>LEN</v>
          </cell>
          <cell r="G257">
            <v>0</v>
          </cell>
        </row>
        <row r="258">
          <cell r="B258">
            <v>10161</v>
          </cell>
          <cell r="C258">
            <v>0</v>
          </cell>
          <cell r="D258" t="str">
            <v>PHP</v>
          </cell>
          <cell r="E258">
            <v>0</v>
          </cell>
          <cell r="F258" t="str">
            <v>BAG</v>
          </cell>
          <cell r="G258">
            <v>0</v>
          </cell>
        </row>
        <row r="259">
          <cell r="B259">
            <v>10172</v>
          </cell>
          <cell r="C259">
            <v>137394.1</v>
          </cell>
          <cell r="D259" t="str">
            <v>PHP</v>
          </cell>
          <cell r="E259">
            <v>45</v>
          </cell>
          <cell r="F259" t="str">
            <v>PC</v>
          </cell>
          <cell r="G259">
            <v>0</v>
          </cell>
        </row>
        <row r="260">
          <cell r="B260">
            <v>10173</v>
          </cell>
          <cell r="C260">
            <v>85987.7</v>
          </cell>
          <cell r="D260" t="str">
            <v>PHP</v>
          </cell>
          <cell r="E260">
            <v>20</v>
          </cell>
          <cell r="F260" t="str">
            <v>PC</v>
          </cell>
          <cell r="G260">
            <v>0</v>
          </cell>
        </row>
        <row r="261">
          <cell r="B261">
            <v>10174</v>
          </cell>
          <cell r="C261">
            <v>0</v>
          </cell>
          <cell r="D261" t="str">
            <v>PHP</v>
          </cell>
          <cell r="E261">
            <v>0</v>
          </cell>
          <cell r="F261" t="str">
            <v>PC</v>
          </cell>
          <cell r="G261">
            <v>0</v>
          </cell>
        </row>
        <row r="262">
          <cell r="B262">
            <v>10175</v>
          </cell>
          <cell r="C262">
            <v>734860.47</v>
          </cell>
          <cell r="D262" t="str">
            <v>PHP</v>
          </cell>
          <cell r="E262">
            <v>67</v>
          </cell>
          <cell r="F262" t="str">
            <v>PC</v>
          </cell>
          <cell r="G262">
            <v>0</v>
          </cell>
        </row>
        <row r="263">
          <cell r="B263">
            <v>10176</v>
          </cell>
          <cell r="C263">
            <v>9385.81</v>
          </cell>
          <cell r="D263" t="str">
            <v>PHP</v>
          </cell>
          <cell r="E263">
            <v>7</v>
          </cell>
          <cell r="F263" t="str">
            <v>SET</v>
          </cell>
          <cell r="G263">
            <v>0</v>
          </cell>
        </row>
        <row r="264">
          <cell r="B264">
            <v>10177</v>
          </cell>
          <cell r="C264">
            <v>0</v>
          </cell>
          <cell r="D264" t="str">
            <v>PHP</v>
          </cell>
          <cell r="E264">
            <v>0</v>
          </cell>
          <cell r="F264" t="str">
            <v>SET</v>
          </cell>
          <cell r="G264">
            <v>0</v>
          </cell>
        </row>
        <row r="265">
          <cell r="B265">
            <v>10179</v>
          </cell>
          <cell r="C265">
            <v>3559.95</v>
          </cell>
          <cell r="D265" t="str">
            <v>PHP</v>
          </cell>
          <cell r="E265">
            <v>1</v>
          </cell>
          <cell r="F265" t="str">
            <v>PC</v>
          </cell>
          <cell r="G265">
            <v>0</v>
          </cell>
        </row>
        <row r="266">
          <cell r="B266">
            <v>10180</v>
          </cell>
          <cell r="C266">
            <v>51744.17</v>
          </cell>
          <cell r="D266" t="str">
            <v>PHP</v>
          </cell>
          <cell r="E266">
            <v>7</v>
          </cell>
          <cell r="F266" t="str">
            <v>PC</v>
          </cell>
          <cell r="G266">
            <v>0</v>
          </cell>
        </row>
        <row r="267">
          <cell r="B267">
            <v>10181</v>
          </cell>
          <cell r="C267">
            <v>79096.960000000006</v>
          </cell>
          <cell r="D267" t="str">
            <v>PHP</v>
          </cell>
          <cell r="E267">
            <v>9</v>
          </cell>
          <cell r="F267" t="str">
            <v>PC</v>
          </cell>
          <cell r="G267">
            <v>0</v>
          </cell>
        </row>
        <row r="268">
          <cell r="B268">
            <v>10184</v>
          </cell>
          <cell r="C268">
            <v>0</v>
          </cell>
          <cell r="D268" t="str">
            <v>PHP</v>
          </cell>
          <cell r="E268">
            <v>0</v>
          </cell>
          <cell r="F268" t="str">
            <v>ROL</v>
          </cell>
          <cell r="G268">
            <v>0</v>
          </cell>
        </row>
        <row r="269">
          <cell r="B269">
            <v>10360</v>
          </cell>
          <cell r="C269">
            <v>0</v>
          </cell>
          <cell r="D269" t="str">
            <v>PHP</v>
          </cell>
          <cell r="E269">
            <v>0</v>
          </cell>
          <cell r="F269" t="str">
            <v>PC</v>
          </cell>
          <cell r="G269">
            <v>0</v>
          </cell>
        </row>
        <row r="270">
          <cell r="B270">
            <v>10370</v>
          </cell>
          <cell r="C270">
            <v>0</v>
          </cell>
          <cell r="D270" t="str">
            <v>PHP</v>
          </cell>
          <cell r="E270">
            <v>0</v>
          </cell>
          <cell r="F270" t="str">
            <v>PC</v>
          </cell>
          <cell r="G270">
            <v>0</v>
          </cell>
        </row>
        <row r="271">
          <cell r="B271">
            <v>10371</v>
          </cell>
          <cell r="C271">
            <v>0</v>
          </cell>
          <cell r="D271" t="str">
            <v>PHP</v>
          </cell>
          <cell r="E271">
            <v>0</v>
          </cell>
          <cell r="F271" t="str">
            <v>PC</v>
          </cell>
          <cell r="G271">
            <v>0</v>
          </cell>
        </row>
        <row r="272">
          <cell r="B272">
            <v>10378</v>
          </cell>
          <cell r="C272">
            <v>0</v>
          </cell>
          <cell r="D272" t="str">
            <v>PHP</v>
          </cell>
          <cell r="E272">
            <v>0</v>
          </cell>
          <cell r="F272" t="str">
            <v>PC</v>
          </cell>
          <cell r="G272">
            <v>0</v>
          </cell>
        </row>
        <row r="273">
          <cell r="B273">
            <v>10402</v>
          </cell>
          <cell r="C273">
            <v>310591.92</v>
          </cell>
          <cell r="D273" t="str">
            <v>PHP</v>
          </cell>
          <cell r="E273">
            <v>12</v>
          </cell>
          <cell r="F273" t="str">
            <v>DR</v>
          </cell>
          <cell r="G273">
            <v>0</v>
          </cell>
        </row>
        <row r="274">
          <cell r="B274">
            <v>10416</v>
          </cell>
          <cell r="C274">
            <v>0</v>
          </cell>
          <cell r="D274" t="str">
            <v>PHP</v>
          </cell>
          <cell r="E274">
            <v>0</v>
          </cell>
          <cell r="F274" t="str">
            <v>PL</v>
          </cell>
          <cell r="G274">
            <v>0</v>
          </cell>
        </row>
        <row r="275">
          <cell r="B275">
            <v>10417</v>
          </cell>
          <cell r="C275">
            <v>0</v>
          </cell>
          <cell r="D275" t="str">
            <v>PHP</v>
          </cell>
          <cell r="E275">
            <v>0</v>
          </cell>
          <cell r="F275" t="str">
            <v>PL</v>
          </cell>
          <cell r="G275">
            <v>0</v>
          </cell>
        </row>
        <row r="276">
          <cell r="B276">
            <v>10421</v>
          </cell>
          <cell r="C276">
            <v>88650.2</v>
          </cell>
          <cell r="D276" t="str">
            <v>PHP</v>
          </cell>
          <cell r="E276">
            <v>18</v>
          </cell>
          <cell r="F276" t="str">
            <v>PL</v>
          </cell>
          <cell r="G276">
            <v>0</v>
          </cell>
        </row>
        <row r="277">
          <cell r="B277">
            <v>10567</v>
          </cell>
          <cell r="C277">
            <v>0</v>
          </cell>
          <cell r="D277" t="str">
            <v>PHP</v>
          </cell>
          <cell r="E277">
            <v>0</v>
          </cell>
          <cell r="F277" t="str">
            <v>BAG</v>
          </cell>
          <cell r="G277">
            <v>0</v>
          </cell>
        </row>
        <row r="278">
          <cell r="B278">
            <v>10596</v>
          </cell>
          <cell r="C278">
            <v>0</v>
          </cell>
          <cell r="D278" t="str">
            <v>PHP</v>
          </cell>
          <cell r="E278">
            <v>0</v>
          </cell>
          <cell r="F278" t="str">
            <v>PC</v>
          </cell>
          <cell r="G278">
            <v>0</v>
          </cell>
        </row>
        <row r="279">
          <cell r="B279">
            <v>10723</v>
          </cell>
          <cell r="C279">
            <v>0</v>
          </cell>
          <cell r="D279" t="str">
            <v>PHP</v>
          </cell>
          <cell r="E279">
            <v>0</v>
          </cell>
          <cell r="F279" t="str">
            <v>PC</v>
          </cell>
          <cell r="G279">
            <v>0</v>
          </cell>
        </row>
        <row r="280">
          <cell r="B280">
            <v>11482</v>
          </cell>
          <cell r="C280">
            <v>981381.8</v>
          </cell>
          <cell r="D280" t="str">
            <v>PHP</v>
          </cell>
          <cell r="E280">
            <v>2</v>
          </cell>
          <cell r="F280" t="str">
            <v>PC</v>
          </cell>
          <cell r="G280">
            <v>0</v>
          </cell>
        </row>
        <row r="281">
          <cell r="B281">
            <v>11644</v>
          </cell>
          <cell r="C281">
            <v>0</v>
          </cell>
          <cell r="D281" t="str">
            <v>PHP</v>
          </cell>
          <cell r="E281">
            <v>0</v>
          </cell>
          <cell r="F281" t="str">
            <v>PC</v>
          </cell>
          <cell r="G281">
            <v>0</v>
          </cell>
        </row>
        <row r="282">
          <cell r="B282">
            <v>11700</v>
          </cell>
          <cell r="C282">
            <v>0</v>
          </cell>
          <cell r="D282" t="str">
            <v>PHP</v>
          </cell>
          <cell r="E282">
            <v>0</v>
          </cell>
          <cell r="F282" t="str">
            <v>DR</v>
          </cell>
          <cell r="G282">
            <v>0</v>
          </cell>
        </row>
        <row r="283">
          <cell r="B283">
            <v>11719</v>
          </cell>
          <cell r="C283">
            <v>0</v>
          </cell>
          <cell r="D283" t="str">
            <v>PHP</v>
          </cell>
          <cell r="E283">
            <v>0</v>
          </cell>
          <cell r="F283" t="str">
            <v>PAD</v>
          </cell>
          <cell r="G283">
            <v>0</v>
          </cell>
        </row>
        <row r="284">
          <cell r="B284">
            <v>11821</v>
          </cell>
          <cell r="C284">
            <v>0</v>
          </cell>
          <cell r="D284" t="str">
            <v>PHP</v>
          </cell>
          <cell r="E284">
            <v>0</v>
          </cell>
          <cell r="F284" t="str">
            <v>TUB</v>
          </cell>
          <cell r="G284">
            <v>0</v>
          </cell>
        </row>
        <row r="285">
          <cell r="B285">
            <v>11934</v>
          </cell>
          <cell r="C285">
            <v>407255.82</v>
          </cell>
          <cell r="D285" t="str">
            <v>PHP</v>
          </cell>
          <cell r="E285">
            <v>1</v>
          </cell>
          <cell r="F285" t="str">
            <v>PC</v>
          </cell>
          <cell r="G285">
            <v>0</v>
          </cell>
        </row>
        <row r="286">
          <cell r="B286">
            <v>12016</v>
          </cell>
          <cell r="C286">
            <v>0</v>
          </cell>
          <cell r="D286" t="str">
            <v>PHP</v>
          </cell>
          <cell r="E286">
            <v>0</v>
          </cell>
          <cell r="F286" t="str">
            <v>LEN</v>
          </cell>
          <cell r="G286">
            <v>0</v>
          </cell>
        </row>
        <row r="287">
          <cell r="B287">
            <v>12019</v>
          </cell>
          <cell r="C287">
            <v>0</v>
          </cell>
          <cell r="D287" t="str">
            <v>PHP</v>
          </cell>
          <cell r="E287">
            <v>0</v>
          </cell>
          <cell r="F287" t="str">
            <v>PC</v>
          </cell>
          <cell r="G287">
            <v>0</v>
          </cell>
        </row>
        <row r="288">
          <cell r="B288">
            <v>12248</v>
          </cell>
          <cell r="C288">
            <v>0</v>
          </cell>
          <cell r="D288" t="str">
            <v>PHP</v>
          </cell>
          <cell r="E288">
            <v>0</v>
          </cell>
          <cell r="F288" t="str">
            <v>ASY</v>
          </cell>
          <cell r="G288">
            <v>0</v>
          </cell>
        </row>
        <row r="289">
          <cell r="B289">
            <v>12369</v>
          </cell>
          <cell r="C289">
            <v>0</v>
          </cell>
          <cell r="D289" t="str">
            <v>PHP</v>
          </cell>
          <cell r="E289">
            <v>0</v>
          </cell>
          <cell r="F289" t="str">
            <v>L</v>
          </cell>
          <cell r="G289">
            <v>0</v>
          </cell>
        </row>
        <row r="290">
          <cell r="B290">
            <v>12646</v>
          </cell>
          <cell r="C290">
            <v>0</v>
          </cell>
          <cell r="D290" t="str">
            <v>PHP</v>
          </cell>
          <cell r="E290">
            <v>0</v>
          </cell>
          <cell r="F290" t="str">
            <v>PC</v>
          </cell>
          <cell r="G290">
            <v>0</v>
          </cell>
        </row>
        <row r="291">
          <cell r="B291">
            <v>12806</v>
          </cell>
          <cell r="C291">
            <v>0</v>
          </cell>
          <cell r="D291" t="str">
            <v>PHP</v>
          </cell>
          <cell r="E291">
            <v>0</v>
          </cell>
          <cell r="F291" t="str">
            <v>PC</v>
          </cell>
          <cell r="G291">
            <v>0</v>
          </cell>
        </row>
        <row r="292">
          <cell r="B292">
            <v>12831</v>
          </cell>
          <cell r="C292">
            <v>13500.8</v>
          </cell>
          <cell r="D292" t="str">
            <v>PHP</v>
          </cell>
          <cell r="E292">
            <v>2</v>
          </cell>
          <cell r="F292" t="str">
            <v>PC</v>
          </cell>
          <cell r="G292">
            <v>0</v>
          </cell>
        </row>
        <row r="293">
          <cell r="B293">
            <v>13465</v>
          </cell>
          <cell r="C293">
            <v>0</v>
          </cell>
          <cell r="D293" t="str">
            <v>PHP</v>
          </cell>
          <cell r="E293">
            <v>0</v>
          </cell>
          <cell r="F293" t="str">
            <v>PC</v>
          </cell>
          <cell r="G293">
            <v>0</v>
          </cell>
        </row>
        <row r="294">
          <cell r="B294">
            <v>13466</v>
          </cell>
          <cell r="C294">
            <v>0</v>
          </cell>
          <cell r="D294" t="str">
            <v>PHP</v>
          </cell>
          <cell r="E294">
            <v>0</v>
          </cell>
          <cell r="F294" t="str">
            <v>PC</v>
          </cell>
          <cell r="G294">
            <v>0</v>
          </cell>
        </row>
        <row r="295">
          <cell r="B295">
            <v>13467</v>
          </cell>
          <cell r="C295">
            <v>136296.76999999999</v>
          </cell>
          <cell r="D295" t="str">
            <v>PHP</v>
          </cell>
          <cell r="E295">
            <v>6</v>
          </cell>
          <cell r="F295" t="str">
            <v>PC</v>
          </cell>
          <cell r="G295">
            <v>0</v>
          </cell>
        </row>
        <row r="296">
          <cell r="B296">
            <v>13470</v>
          </cell>
          <cell r="C296">
            <v>0</v>
          </cell>
          <cell r="D296" t="str">
            <v>PHP</v>
          </cell>
          <cell r="E296">
            <v>0</v>
          </cell>
          <cell r="F296" t="str">
            <v>PC</v>
          </cell>
          <cell r="G296">
            <v>0</v>
          </cell>
        </row>
        <row r="297">
          <cell r="B297">
            <v>13472</v>
          </cell>
          <cell r="C297">
            <v>21564.799999999999</v>
          </cell>
          <cell r="D297" t="str">
            <v>PHP</v>
          </cell>
          <cell r="E297">
            <v>5</v>
          </cell>
          <cell r="F297" t="str">
            <v>PC</v>
          </cell>
          <cell r="G297">
            <v>0</v>
          </cell>
        </row>
        <row r="298">
          <cell r="B298">
            <v>13859</v>
          </cell>
          <cell r="C298">
            <v>0</v>
          </cell>
          <cell r="D298" t="str">
            <v>PHP</v>
          </cell>
          <cell r="E298">
            <v>0</v>
          </cell>
          <cell r="F298" t="str">
            <v>ASY</v>
          </cell>
          <cell r="G298">
            <v>0</v>
          </cell>
        </row>
        <row r="299">
          <cell r="B299">
            <v>13860</v>
          </cell>
          <cell r="C299">
            <v>0</v>
          </cell>
          <cell r="D299" t="str">
            <v>PHP</v>
          </cell>
          <cell r="E299">
            <v>0</v>
          </cell>
          <cell r="F299" t="str">
            <v>ASY</v>
          </cell>
          <cell r="G299">
            <v>0</v>
          </cell>
        </row>
        <row r="300">
          <cell r="B300">
            <v>13909</v>
          </cell>
          <cell r="C300">
            <v>116850</v>
          </cell>
          <cell r="D300" t="str">
            <v>PHP</v>
          </cell>
          <cell r="E300">
            <v>30</v>
          </cell>
          <cell r="F300" t="str">
            <v>PC</v>
          </cell>
          <cell r="G300">
            <v>0</v>
          </cell>
        </row>
        <row r="301">
          <cell r="B301">
            <v>13913</v>
          </cell>
          <cell r="C301">
            <v>0</v>
          </cell>
          <cell r="D301" t="str">
            <v>PHP</v>
          </cell>
          <cell r="E301">
            <v>0</v>
          </cell>
          <cell r="F301" t="str">
            <v>PC</v>
          </cell>
          <cell r="G301">
            <v>0</v>
          </cell>
        </row>
        <row r="302">
          <cell r="B302">
            <v>13940</v>
          </cell>
          <cell r="C302">
            <v>0</v>
          </cell>
          <cell r="D302" t="str">
            <v>PHP</v>
          </cell>
          <cell r="E302">
            <v>0</v>
          </cell>
          <cell r="F302" t="str">
            <v>PC</v>
          </cell>
          <cell r="G302">
            <v>0</v>
          </cell>
        </row>
        <row r="303">
          <cell r="B303">
            <v>13942</v>
          </cell>
          <cell r="C303">
            <v>246265.65</v>
          </cell>
          <cell r="D303" t="str">
            <v>PHP</v>
          </cell>
          <cell r="E303">
            <v>1</v>
          </cell>
          <cell r="F303" t="str">
            <v>PC</v>
          </cell>
          <cell r="G303">
            <v>0</v>
          </cell>
        </row>
        <row r="304">
          <cell r="B304">
            <v>13944</v>
          </cell>
          <cell r="C304">
            <v>11904201.539999999</v>
          </cell>
          <cell r="D304" t="str">
            <v>PHP</v>
          </cell>
          <cell r="E304">
            <v>6</v>
          </cell>
          <cell r="F304" t="str">
            <v>PC</v>
          </cell>
          <cell r="G304">
            <v>0</v>
          </cell>
        </row>
        <row r="305">
          <cell r="B305">
            <v>13945</v>
          </cell>
          <cell r="C305">
            <v>1078414.46</v>
          </cell>
          <cell r="D305" t="str">
            <v>PHP</v>
          </cell>
          <cell r="E305">
            <v>1</v>
          </cell>
          <cell r="F305" t="str">
            <v>PC</v>
          </cell>
          <cell r="G305">
            <v>0</v>
          </cell>
        </row>
        <row r="306">
          <cell r="B306">
            <v>13948</v>
          </cell>
          <cell r="C306">
            <v>0</v>
          </cell>
          <cell r="D306" t="str">
            <v>PHP</v>
          </cell>
          <cell r="E306">
            <v>0</v>
          </cell>
          <cell r="F306" t="str">
            <v>PC</v>
          </cell>
          <cell r="G306">
            <v>0</v>
          </cell>
        </row>
        <row r="307">
          <cell r="B307">
            <v>13949</v>
          </cell>
          <cell r="C307">
            <v>3802283.33</v>
          </cell>
          <cell r="D307" t="str">
            <v>PHP</v>
          </cell>
          <cell r="E307">
            <v>2</v>
          </cell>
          <cell r="F307" t="str">
            <v>PC</v>
          </cell>
          <cell r="G307">
            <v>0</v>
          </cell>
        </row>
        <row r="308">
          <cell r="B308">
            <v>13950</v>
          </cell>
          <cell r="C308">
            <v>0</v>
          </cell>
          <cell r="D308" t="str">
            <v>PHP</v>
          </cell>
          <cell r="E308">
            <v>0</v>
          </cell>
          <cell r="F308" t="str">
            <v>PC</v>
          </cell>
          <cell r="G308">
            <v>0</v>
          </cell>
        </row>
        <row r="309">
          <cell r="B309">
            <v>13951</v>
          </cell>
          <cell r="C309">
            <v>0</v>
          </cell>
          <cell r="D309" t="str">
            <v>PHP</v>
          </cell>
          <cell r="E309">
            <v>0</v>
          </cell>
          <cell r="F309" t="str">
            <v>PC</v>
          </cell>
          <cell r="G309">
            <v>0</v>
          </cell>
        </row>
        <row r="310">
          <cell r="B310">
            <v>13952</v>
          </cell>
          <cell r="C310">
            <v>3987853.52</v>
          </cell>
          <cell r="D310" t="str">
            <v>PHP</v>
          </cell>
          <cell r="E310">
            <v>6</v>
          </cell>
          <cell r="F310" t="str">
            <v>PC</v>
          </cell>
          <cell r="G310">
            <v>0</v>
          </cell>
        </row>
        <row r="311">
          <cell r="B311">
            <v>13954</v>
          </cell>
          <cell r="C311">
            <v>0</v>
          </cell>
          <cell r="D311" t="str">
            <v>PHP</v>
          </cell>
          <cell r="E311">
            <v>0</v>
          </cell>
          <cell r="F311" t="str">
            <v>PC</v>
          </cell>
          <cell r="G311">
            <v>0</v>
          </cell>
        </row>
        <row r="312">
          <cell r="B312">
            <v>13957</v>
          </cell>
          <cell r="C312">
            <v>3184356.11</v>
          </cell>
          <cell r="D312" t="str">
            <v>PHP</v>
          </cell>
          <cell r="E312">
            <v>2</v>
          </cell>
          <cell r="F312" t="str">
            <v>PC</v>
          </cell>
          <cell r="G312">
            <v>0</v>
          </cell>
        </row>
        <row r="313">
          <cell r="B313">
            <v>13959</v>
          </cell>
          <cell r="C313">
            <v>0</v>
          </cell>
          <cell r="D313" t="str">
            <v>PHP</v>
          </cell>
          <cell r="E313">
            <v>0</v>
          </cell>
          <cell r="F313" t="str">
            <v>PC</v>
          </cell>
          <cell r="G313">
            <v>0</v>
          </cell>
        </row>
        <row r="314">
          <cell r="B314">
            <v>13960</v>
          </cell>
          <cell r="C314">
            <v>0</v>
          </cell>
          <cell r="D314" t="str">
            <v>PHP</v>
          </cell>
          <cell r="E314">
            <v>0</v>
          </cell>
          <cell r="F314" t="str">
            <v>PC</v>
          </cell>
          <cell r="G314">
            <v>0</v>
          </cell>
        </row>
        <row r="315">
          <cell r="B315">
            <v>13961</v>
          </cell>
          <cell r="C315">
            <v>0</v>
          </cell>
          <cell r="D315" t="str">
            <v>PHP</v>
          </cell>
          <cell r="E315">
            <v>0</v>
          </cell>
          <cell r="F315" t="str">
            <v>PC</v>
          </cell>
          <cell r="G315">
            <v>0</v>
          </cell>
        </row>
        <row r="316">
          <cell r="B316">
            <v>13964</v>
          </cell>
          <cell r="C316">
            <v>0</v>
          </cell>
          <cell r="D316" t="str">
            <v>PHP</v>
          </cell>
          <cell r="E316">
            <v>0</v>
          </cell>
          <cell r="F316" t="str">
            <v>PC</v>
          </cell>
          <cell r="G316">
            <v>0</v>
          </cell>
        </row>
        <row r="317">
          <cell r="B317">
            <v>13971</v>
          </cell>
          <cell r="C317">
            <v>530228.72</v>
          </cell>
          <cell r="D317" t="str">
            <v>PHP</v>
          </cell>
          <cell r="E317">
            <v>2</v>
          </cell>
          <cell r="F317" t="str">
            <v>PC</v>
          </cell>
          <cell r="G317">
            <v>0</v>
          </cell>
        </row>
        <row r="318">
          <cell r="B318">
            <v>13974</v>
          </cell>
          <cell r="C318">
            <v>128867.52</v>
          </cell>
          <cell r="D318" t="str">
            <v>PHP</v>
          </cell>
          <cell r="E318">
            <v>1</v>
          </cell>
          <cell r="F318" t="str">
            <v>PC</v>
          </cell>
          <cell r="G318">
            <v>0</v>
          </cell>
        </row>
        <row r="319">
          <cell r="B319">
            <v>14020</v>
          </cell>
          <cell r="C319">
            <v>0</v>
          </cell>
          <cell r="D319" t="str">
            <v>PHP</v>
          </cell>
          <cell r="E319">
            <v>0</v>
          </cell>
          <cell r="F319" t="str">
            <v>FT</v>
          </cell>
          <cell r="G319">
            <v>0</v>
          </cell>
        </row>
        <row r="320">
          <cell r="B320">
            <v>14049</v>
          </cell>
          <cell r="C320">
            <v>8448939.6500000004</v>
          </cell>
          <cell r="D320" t="str">
            <v>PHP</v>
          </cell>
          <cell r="E320">
            <v>4</v>
          </cell>
          <cell r="F320" t="str">
            <v>PC</v>
          </cell>
          <cell r="G320">
            <v>0</v>
          </cell>
        </row>
        <row r="321">
          <cell r="B321">
            <v>14052</v>
          </cell>
          <cell r="C321">
            <v>211888.74</v>
          </cell>
          <cell r="D321" t="str">
            <v>PHP</v>
          </cell>
          <cell r="E321">
            <v>1</v>
          </cell>
          <cell r="F321" t="str">
            <v>PC</v>
          </cell>
          <cell r="G321">
            <v>0</v>
          </cell>
        </row>
        <row r="322">
          <cell r="B322">
            <v>14081</v>
          </cell>
          <cell r="C322">
            <v>0</v>
          </cell>
          <cell r="D322" t="str">
            <v>PHP</v>
          </cell>
          <cell r="E322">
            <v>0</v>
          </cell>
          <cell r="F322" t="str">
            <v>UT</v>
          </cell>
          <cell r="G322">
            <v>0</v>
          </cell>
        </row>
        <row r="323">
          <cell r="B323">
            <v>14131</v>
          </cell>
          <cell r="C323">
            <v>0</v>
          </cell>
          <cell r="D323" t="str">
            <v>PHP</v>
          </cell>
          <cell r="E323">
            <v>0</v>
          </cell>
          <cell r="F323" t="str">
            <v>PC</v>
          </cell>
          <cell r="G323">
            <v>0</v>
          </cell>
        </row>
        <row r="324">
          <cell r="B324">
            <v>14141</v>
          </cell>
          <cell r="C324">
            <v>0</v>
          </cell>
          <cell r="D324" t="str">
            <v>PHP</v>
          </cell>
          <cell r="E324">
            <v>0</v>
          </cell>
          <cell r="F324" t="str">
            <v>PC</v>
          </cell>
          <cell r="G324">
            <v>0</v>
          </cell>
        </row>
        <row r="325">
          <cell r="B325">
            <v>14193</v>
          </cell>
          <cell r="C325">
            <v>0</v>
          </cell>
          <cell r="D325" t="str">
            <v>PHP</v>
          </cell>
          <cell r="E325">
            <v>0</v>
          </cell>
          <cell r="F325" t="str">
            <v>PC</v>
          </cell>
          <cell r="G325">
            <v>0</v>
          </cell>
        </row>
        <row r="326">
          <cell r="B326">
            <v>14195</v>
          </cell>
          <cell r="C326">
            <v>0</v>
          </cell>
          <cell r="D326" t="str">
            <v>PHP</v>
          </cell>
          <cell r="E326">
            <v>0</v>
          </cell>
          <cell r="F326" t="str">
            <v>PC</v>
          </cell>
          <cell r="G326">
            <v>0</v>
          </cell>
        </row>
        <row r="327">
          <cell r="B327">
            <v>14326</v>
          </cell>
          <cell r="C327">
            <v>0</v>
          </cell>
          <cell r="D327" t="str">
            <v>PHP</v>
          </cell>
          <cell r="E327">
            <v>0</v>
          </cell>
          <cell r="F327" t="str">
            <v>PC</v>
          </cell>
          <cell r="G327">
            <v>0</v>
          </cell>
        </row>
        <row r="328">
          <cell r="B328">
            <v>14327</v>
          </cell>
          <cell r="C328">
            <v>115807.11</v>
          </cell>
          <cell r="D328" t="str">
            <v>PHP</v>
          </cell>
          <cell r="E328">
            <v>3</v>
          </cell>
          <cell r="F328" t="str">
            <v>PC</v>
          </cell>
          <cell r="G328">
            <v>0</v>
          </cell>
        </row>
        <row r="329">
          <cell r="B329">
            <v>14328</v>
          </cell>
          <cell r="C329">
            <v>0</v>
          </cell>
          <cell r="D329" t="str">
            <v>PHP</v>
          </cell>
          <cell r="E329">
            <v>0</v>
          </cell>
          <cell r="F329" t="str">
            <v>PC</v>
          </cell>
          <cell r="G329">
            <v>0</v>
          </cell>
        </row>
        <row r="330">
          <cell r="B330">
            <v>14331</v>
          </cell>
          <cell r="C330">
            <v>0</v>
          </cell>
          <cell r="D330" t="str">
            <v>PHP</v>
          </cell>
          <cell r="E330">
            <v>0</v>
          </cell>
          <cell r="F330" t="str">
            <v>PC</v>
          </cell>
          <cell r="G330">
            <v>0</v>
          </cell>
        </row>
        <row r="331">
          <cell r="B331">
            <v>14335</v>
          </cell>
          <cell r="C331">
            <v>0</v>
          </cell>
          <cell r="D331" t="str">
            <v>PHP</v>
          </cell>
          <cell r="E331">
            <v>0</v>
          </cell>
          <cell r="F331" t="str">
            <v>PC</v>
          </cell>
          <cell r="G331">
            <v>0</v>
          </cell>
        </row>
        <row r="332">
          <cell r="B332">
            <v>14377</v>
          </cell>
          <cell r="C332">
            <v>0</v>
          </cell>
          <cell r="D332" t="str">
            <v>PHP</v>
          </cell>
          <cell r="E332">
            <v>0</v>
          </cell>
          <cell r="F332" t="str">
            <v>PC</v>
          </cell>
          <cell r="G332">
            <v>0</v>
          </cell>
        </row>
        <row r="333">
          <cell r="B333">
            <v>14399</v>
          </cell>
          <cell r="C333">
            <v>0</v>
          </cell>
          <cell r="D333" t="str">
            <v>PHP</v>
          </cell>
          <cell r="E333">
            <v>0</v>
          </cell>
          <cell r="F333" t="str">
            <v>PC</v>
          </cell>
          <cell r="G333">
            <v>0</v>
          </cell>
        </row>
        <row r="334">
          <cell r="B334">
            <v>14462</v>
          </cell>
          <cell r="C334">
            <v>0</v>
          </cell>
          <cell r="D334" t="str">
            <v>PHP</v>
          </cell>
          <cell r="E334">
            <v>0</v>
          </cell>
          <cell r="F334" t="str">
            <v>PC</v>
          </cell>
          <cell r="G334">
            <v>0</v>
          </cell>
        </row>
        <row r="335">
          <cell r="B335">
            <v>14518</v>
          </cell>
          <cell r="C335">
            <v>0</v>
          </cell>
          <cell r="D335" t="str">
            <v>PHP</v>
          </cell>
          <cell r="E335">
            <v>0</v>
          </cell>
          <cell r="F335" t="str">
            <v>BAG</v>
          </cell>
          <cell r="G335">
            <v>0</v>
          </cell>
        </row>
        <row r="336">
          <cell r="B336">
            <v>14639</v>
          </cell>
          <cell r="C336">
            <v>0</v>
          </cell>
          <cell r="D336" t="str">
            <v>PHP</v>
          </cell>
          <cell r="E336">
            <v>0</v>
          </cell>
          <cell r="F336" t="str">
            <v>PC</v>
          </cell>
          <cell r="G336">
            <v>0</v>
          </cell>
        </row>
        <row r="337">
          <cell r="B337">
            <v>14640</v>
          </cell>
          <cell r="C337">
            <v>2226416.56</v>
          </cell>
          <cell r="D337" t="str">
            <v>PHP</v>
          </cell>
          <cell r="E337">
            <v>3</v>
          </cell>
          <cell r="F337" t="str">
            <v>PC</v>
          </cell>
          <cell r="G337">
            <v>0</v>
          </cell>
        </row>
        <row r="338">
          <cell r="B338">
            <v>14798</v>
          </cell>
          <cell r="C338">
            <v>0</v>
          </cell>
          <cell r="D338" t="str">
            <v>PHP</v>
          </cell>
          <cell r="E338">
            <v>0</v>
          </cell>
          <cell r="F338" t="str">
            <v>PC</v>
          </cell>
          <cell r="G338">
            <v>0</v>
          </cell>
        </row>
        <row r="339">
          <cell r="B339">
            <v>15174</v>
          </cell>
          <cell r="C339">
            <v>0</v>
          </cell>
          <cell r="D339" t="str">
            <v>PHP</v>
          </cell>
          <cell r="E339">
            <v>0</v>
          </cell>
          <cell r="F339" t="str">
            <v>SET</v>
          </cell>
          <cell r="G339">
            <v>0</v>
          </cell>
        </row>
        <row r="340">
          <cell r="B340">
            <v>15176</v>
          </cell>
          <cell r="C340">
            <v>6137196.7000000002</v>
          </cell>
          <cell r="D340" t="str">
            <v>PHP</v>
          </cell>
          <cell r="E340">
            <v>3</v>
          </cell>
          <cell r="F340" t="str">
            <v>PC</v>
          </cell>
          <cell r="G340">
            <v>0</v>
          </cell>
        </row>
        <row r="341">
          <cell r="B341">
            <v>15356</v>
          </cell>
          <cell r="C341">
            <v>0</v>
          </cell>
          <cell r="D341" t="str">
            <v>PHP</v>
          </cell>
          <cell r="E341">
            <v>0</v>
          </cell>
          <cell r="F341" t="str">
            <v>PC</v>
          </cell>
          <cell r="G341">
            <v>0</v>
          </cell>
        </row>
        <row r="342">
          <cell r="B342">
            <v>15360</v>
          </cell>
          <cell r="C342">
            <v>50000</v>
          </cell>
          <cell r="D342" t="str">
            <v>PHP</v>
          </cell>
          <cell r="E342">
            <v>25</v>
          </cell>
          <cell r="F342" t="str">
            <v>PC</v>
          </cell>
          <cell r="G342">
            <v>0</v>
          </cell>
        </row>
        <row r="343">
          <cell r="B343">
            <v>15618</v>
          </cell>
          <cell r="C343">
            <v>0</v>
          </cell>
          <cell r="D343" t="str">
            <v>PHP</v>
          </cell>
          <cell r="E343">
            <v>0</v>
          </cell>
          <cell r="F343" t="str">
            <v>PC</v>
          </cell>
          <cell r="G343">
            <v>0</v>
          </cell>
        </row>
        <row r="344">
          <cell r="B344">
            <v>15655</v>
          </cell>
          <cell r="C344">
            <v>0</v>
          </cell>
          <cell r="D344" t="str">
            <v>PHP</v>
          </cell>
          <cell r="E344">
            <v>0</v>
          </cell>
          <cell r="F344" t="str">
            <v>PC</v>
          </cell>
          <cell r="G344">
            <v>0</v>
          </cell>
        </row>
        <row r="345">
          <cell r="B345">
            <v>15704</v>
          </cell>
          <cell r="C345">
            <v>4650349.72</v>
          </cell>
          <cell r="D345" t="str">
            <v>PHP</v>
          </cell>
          <cell r="E345">
            <v>3</v>
          </cell>
          <cell r="F345" t="str">
            <v>PC</v>
          </cell>
          <cell r="G345">
            <v>0</v>
          </cell>
        </row>
        <row r="346">
          <cell r="B346">
            <v>15880</v>
          </cell>
          <cell r="C346">
            <v>0</v>
          </cell>
          <cell r="D346" t="str">
            <v>PHP</v>
          </cell>
          <cell r="E346">
            <v>0</v>
          </cell>
          <cell r="F346" t="str">
            <v>PC</v>
          </cell>
          <cell r="G346">
            <v>0</v>
          </cell>
        </row>
        <row r="347">
          <cell r="B347">
            <v>19542</v>
          </cell>
          <cell r="C347">
            <v>0</v>
          </cell>
          <cell r="D347" t="str">
            <v>PHP</v>
          </cell>
          <cell r="E347">
            <v>0</v>
          </cell>
          <cell r="F347" t="str">
            <v>H</v>
          </cell>
          <cell r="G347">
            <v>0</v>
          </cell>
        </row>
        <row r="348">
          <cell r="B348">
            <v>29873</v>
          </cell>
          <cell r="C348">
            <v>0</v>
          </cell>
          <cell r="D348" t="str">
            <v>PHP</v>
          </cell>
          <cell r="E348">
            <v>0</v>
          </cell>
          <cell r="F348" t="str">
            <v>PC</v>
          </cell>
          <cell r="G348">
            <v>0</v>
          </cell>
        </row>
        <row r="349">
          <cell r="B349">
            <v>29874</v>
          </cell>
          <cell r="C349">
            <v>0</v>
          </cell>
          <cell r="D349" t="str">
            <v>PHP</v>
          </cell>
          <cell r="E349">
            <v>0</v>
          </cell>
          <cell r="F349" t="str">
            <v>SET</v>
          </cell>
          <cell r="G349">
            <v>0</v>
          </cell>
        </row>
        <row r="350">
          <cell r="B350">
            <v>29879</v>
          </cell>
          <cell r="C350">
            <v>0</v>
          </cell>
          <cell r="D350" t="str">
            <v>PHP</v>
          </cell>
          <cell r="E350">
            <v>0</v>
          </cell>
          <cell r="F350" t="str">
            <v>PC</v>
          </cell>
          <cell r="G350">
            <v>0</v>
          </cell>
        </row>
        <row r="351">
          <cell r="B351">
            <v>29886</v>
          </cell>
          <cell r="C351">
            <v>47078.28</v>
          </cell>
          <cell r="D351" t="str">
            <v>PHP</v>
          </cell>
          <cell r="E351">
            <v>30</v>
          </cell>
          <cell r="F351" t="str">
            <v>SET</v>
          </cell>
          <cell r="G351">
            <v>0</v>
          </cell>
        </row>
        <row r="352">
          <cell r="B352">
            <v>29888</v>
          </cell>
          <cell r="C352">
            <v>8225.4500000000007</v>
          </cell>
          <cell r="D352" t="str">
            <v>PHP</v>
          </cell>
          <cell r="E352">
            <v>2</v>
          </cell>
          <cell r="F352" t="str">
            <v>PC</v>
          </cell>
          <cell r="G352">
            <v>0</v>
          </cell>
        </row>
        <row r="353">
          <cell r="B353">
            <v>29889</v>
          </cell>
          <cell r="C353">
            <v>149056.51999999999</v>
          </cell>
          <cell r="D353" t="str">
            <v>PHP</v>
          </cell>
          <cell r="E353">
            <v>2</v>
          </cell>
          <cell r="F353" t="str">
            <v>PC</v>
          </cell>
          <cell r="G353">
            <v>0</v>
          </cell>
        </row>
        <row r="354">
          <cell r="B354">
            <v>29890</v>
          </cell>
          <cell r="C354">
            <v>13082.6</v>
          </cell>
          <cell r="D354" t="str">
            <v>PHP</v>
          </cell>
          <cell r="E354">
            <v>3</v>
          </cell>
          <cell r="F354" t="str">
            <v>PC</v>
          </cell>
          <cell r="G354">
            <v>0</v>
          </cell>
        </row>
        <row r="355">
          <cell r="B355">
            <v>29894</v>
          </cell>
          <cell r="C355">
            <v>0</v>
          </cell>
          <cell r="D355" t="str">
            <v>PHP</v>
          </cell>
          <cell r="E355">
            <v>0</v>
          </cell>
          <cell r="F355" t="str">
            <v>KG</v>
          </cell>
          <cell r="G355">
            <v>0</v>
          </cell>
        </row>
        <row r="356">
          <cell r="B356">
            <v>29900</v>
          </cell>
          <cell r="C356">
            <v>11478.47</v>
          </cell>
          <cell r="D356" t="str">
            <v>PHP</v>
          </cell>
          <cell r="E356">
            <v>3</v>
          </cell>
          <cell r="F356" t="str">
            <v>PC</v>
          </cell>
          <cell r="G356">
            <v>0</v>
          </cell>
        </row>
        <row r="357">
          <cell r="B357">
            <v>29907</v>
          </cell>
          <cell r="C357">
            <v>0</v>
          </cell>
          <cell r="D357" t="str">
            <v>PHP</v>
          </cell>
          <cell r="E357">
            <v>0</v>
          </cell>
          <cell r="F357" t="str">
            <v>PC</v>
          </cell>
          <cell r="G357">
            <v>0</v>
          </cell>
        </row>
        <row r="358">
          <cell r="B358">
            <v>29908</v>
          </cell>
          <cell r="C358">
            <v>50319.6</v>
          </cell>
          <cell r="D358" t="str">
            <v>PHP</v>
          </cell>
          <cell r="E358">
            <v>2</v>
          </cell>
          <cell r="F358" t="str">
            <v>PC</v>
          </cell>
          <cell r="G358">
            <v>0</v>
          </cell>
        </row>
        <row r="359">
          <cell r="B359">
            <v>29915</v>
          </cell>
          <cell r="C359">
            <v>27059.13</v>
          </cell>
          <cell r="D359" t="str">
            <v>PHP</v>
          </cell>
          <cell r="E359">
            <v>3</v>
          </cell>
          <cell r="F359" t="str">
            <v>PC</v>
          </cell>
          <cell r="G359">
            <v>0</v>
          </cell>
        </row>
        <row r="360">
          <cell r="B360">
            <v>29923</v>
          </cell>
          <cell r="C360">
            <v>0</v>
          </cell>
          <cell r="D360" t="str">
            <v>PHP</v>
          </cell>
          <cell r="E360">
            <v>0</v>
          </cell>
          <cell r="F360" t="str">
            <v>PC</v>
          </cell>
          <cell r="G360">
            <v>0</v>
          </cell>
        </row>
        <row r="361">
          <cell r="B361">
            <v>29924</v>
          </cell>
          <cell r="C361">
            <v>0</v>
          </cell>
          <cell r="D361" t="str">
            <v>PHP</v>
          </cell>
          <cell r="E361">
            <v>0</v>
          </cell>
          <cell r="F361" t="str">
            <v>PC</v>
          </cell>
          <cell r="G361">
            <v>0</v>
          </cell>
        </row>
        <row r="362">
          <cell r="B362">
            <v>29930</v>
          </cell>
          <cell r="C362">
            <v>9775</v>
          </cell>
          <cell r="D362" t="str">
            <v>PHP</v>
          </cell>
          <cell r="E362">
            <v>1</v>
          </cell>
          <cell r="F362" t="str">
            <v>PC</v>
          </cell>
          <cell r="G362">
            <v>0</v>
          </cell>
        </row>
        <row r="363">
          <cell r="B363">
            <v>29936</v>
          </cell>
          <cell r="C363">
            <v>5734.5</v>
          </cell>
          <cell r="D363" t="str">
            <v>PHP</v>
          </cell>
          <cell r="E363">
            <v>6</v>
          </cell>
          <cell r="F363" t="str">
            <v>SET</v>
          </cell>
          <cell r="G363">
            <v>0</v>
          </cell>
        </row>
        <row r="364">
          <cell r="B364">
            <v>29939</v>
          </cell>
          <cell r="C364">
            <v>0</v>
          </cell>
          <cell r="D364" t="str">
            <v>PHP</v>
          </cell>
          <cell r="E364">
            <v>0</v>
          </cell>
          <cell r="F364" t="str">
            <v>PC</v>
          </cell>
          <cell r="G364">
            <v>0</v>
          </cell>
        </row>
        <row r="365">
          <cell r="B365">
            <v>31466</v>
          </cell>
          <cell r="C365">
            <v>0</v>
          </cell>
          <cell r="D365" t="str">
            <v>PHP</v>
          </cell>
          <cell r="E365">
            <v>0</v>
          </cell>
          <cell r="F365" t="str">
            <v>PC</v>
          </cell>
          <cell r="G365">
            <v>0</v>
          </cell>
        </row>
        <row r="366">
          <cell r="B366">
            <v>31472</v>
          </cell>
          <cell r="C366">
            <v>9700</v>
          </cell>
          <cell r="D366" t="str">
            <v>PHP</v>
          </cell>
          <cell r="E366">
            <v>1</v>
          </cell>
          <cell r="F366" t="str">
            <v>PC</v>
          </cell>
          <cell r="G366">
            <v>0</v>
          </cell>
        </row>
        <row r="367">
          <cell r="B367">
            <v>33681</v>
          </cell>
          <cell r="C367">
            <v>0</v>
          </cell>
          <cell r="D367" t="str">
            <v>PHP</v>
          </cell>
          <cell r="E367">
            <v>0</v>
          </cell>
          <cell r="F367" t="str">
            <v>PC</v>
          </cell>
          <cell r="G367">
            <v>0</v>
          </cell>
        </row>
        <row r="368">
          <cell r="B368">
            <v>33699</v>
          </cell>
          <cell r="C368">
            <v>0</v>
          </cell>
          <cell r="D368" t="str">
            <v>PHP</v>
          </cell>
          <cell r="E368">
            <v>0</v>
          </cell>
          <cell r="F368" t="str">
            <v>PC</v>
          </cell>
          <cell r="G368">
            <v>0</v>
          </cell>
        </row>
        <row r="369">
          <cell r="B369">
            <v>33703</v>
          </cell>
          <cell r="C369">
            <v>0</v>
          </cell>
          <cell r="D369" t="str">
            <v>PHP</v>
          </cell>
          <cell r="E369">
            <v>0</v>
          </cell>
          <cell r="F369" t="str">
            <v>PC</v>
          </cell>
          <cell r="G369">
            <v>0</v>
          </cell>
        </row>
        <row r="370">
          <cell r="B370">
            <v>33713</v>
          </cell>
          <cell r="C370">
            <v>0</v>
          </cell>
          <cell r="D370" t="str">
            <v>PHP</v>
          </cell>
          <cell r="E370">
            <v>0</v>
          </cell>
          <cell r="F370" t="str">
            <v>PC</v>
          </cell>
          <cell r="G370">
            <v>0</v>
          </cell>
        </row>
        <row r="371">
          <cell r="B371">
            <v>33878</v>
          </cell>
          <cell r="C371">
            <v>0</v>
          </cell>
          <cell r="D371" t="str">
            <v>PHP</v>
          </cell>
          <cell r="E371">
            <v>0</v>
          </cell>
          <cell r="F371" t="str">
            <v>PC</v>
          </cell>
          <cell r="G371">
            <v>0</v>
          </cell>
        </row>
        <row r="372">
          <cell r="B372">
            <v>33881</v>
          </cell>
          <cell r="C372">
            <v>0</v>
          </cell>
          <cell r="D372" t="str">
            <v>PHP</v>
          </cell>
          <cell r="E372">
            <v>0</v>
          </cell>
          <cell r="F372" t="str">
            <v>PC</v>
          </cell>
          <cell r="G372">
            <v>0</v>
          </cell>
        </row>
        <row r="373">
          <cell r="B373">
            <v>33906</v>
          </cell>
          <cell r="C373">
            <v>0</v>
          </cell>
          <cell r="D373" t="str">
            <v>PHP</v>
          </cell>
          <cell r="E373">
            <v>0</v>
          </cell>
          <cell r="F373" t="str">
            <v>PC</v>
          </cell>
          <cell r="G373">
            <v>0</v>
          </cell>
        </row>
        <row r="374">
          <cell r="B374">
            <v>33911</v>
          </cell>
          <cell r="C374">
            <v>0</v>
          </cell>
          <cell r="D374" t="str">
            <v>PHP</v>
          </cell>
          <cell r="E374">
            <v>0</v>
          </cell>
          <cell r="F374" t="str">
            <v>PC</v>
          </cell>
          <cell r="G374">
            <v>0</v>
          </cell>
        </row>
        <row r="375">
          <cell r="B375">
            <v>33919</v>
          </cell>
          <cell r="C375">
            <v>0</v>
          </cell>
          <cell r="D375" t="str">
            <v>PHP</v>
          </cell>
          <cell r="E375">
            <v>0</v>
          </cell>
          <cell r="F375" t="str">
            <v>PC</v>
          </cell>
          <cell r="G375">
            <v>0</v>
          </cell>
        </row>
        <row r="376">
          <cell r="B376">
            <v>34125</v>
          </cell>
          <cell r="C376">
            <v>0</v>
          </cell>
          <cell r="D376" t="str">
            <v>PHP</v>
          </cell>
          <cell r="E376">
            <v>0</v>
          </cell>
          <cell r="F376" t="str">
            <v>PC</v>
          </cell>
          <cell r="G376">
            <v>0</v>
          </cell>
        </row>
        <row r="377">
          <cell r="B377">
            <v>34127</v>
          </cell>
          <cell r="C377">
            <v>0</v>
          </cell>
          <cell r="D377" t="str">
            <v>PHP</v>
          </cell>
          <cell r="E377">
            <v>0</v>
          </cell>
          <cell r="F377" t="str">
            <v>PC</v>
          </cell>
          <cell r="G377">
            <v>0</v>
          </cell>
        </row>
        <row r="378">
          <cell r="B378">
            <v>34129</v>
          </cell>
          <cell r="C378">
            <v>0</v>
          </cell>
          <cell r="D378" t="str">
            <v>PHP</v>
          </cell>
          <cell r="E378">
            <v>0</v>
          </cell>
          <cell r="F378" t="str">
            <v>PC</v>
          </cell>
          <cell r="G378">
            <v>0</v>
          </cell>
        </row>
        <row r="379">
          <cell r="B379">
            <v>34131</v>
          </cell>
          <cell r="C379">
            <v>0</v>
          </cell>
          <cell r="D379" t="str">
            <v>PHP</v>
          </cell>
          <cell r="E379">
            <v>0</v>
          </cell>
          <cell r="F379" t="str">
            <v>PC</v>
          </cell>
          <cell r="G379">
            <v>0</v>
          </cell>
        </row>
        <row r="380">
          <cell r="B380">
            <v>34132</v>
          </cell>
          <cell r="C380">
            <v>0</v>
          </cell>
          <cell r="D380" t="str">
            <v>PHP</v>
          </cell>
          <cell r="E380">
            <v>0</v>
          </cell>
          <cell r="F380" t="str">
            <v>PC</v>
          </cell>
          <cell r="G380">
            <v>0</v>
          </cell>
        </row>
        <row r="381">
          <cell r="B381">
            <v>34135</v>
          </cell>
          <cell r="C381">
            <v>0</v>
          </cell>
          <cell r="D381" t="str">
            <v>PHP</v>
          </cell>
          <cell r="E381">
            <v>0</v>
          </cell>
          <cell r="F381" t="str">
            <v>PC</v>
          </cell>
          <cell r="G381">
            <v>0</v>
          </cell>
        </row>
        <row r="382">
          <cell r="B382">
            <v>34147</v>
          </cell>
          <cell r="C382">
            <v>0</v>
          </cell>
          <cell r="D382" t="str">
            <v>PHP</v>
          </cell>
          <cell r="E382">
            <v>0</v>
          </cell>
          <cell r="F382" t="str">
            <v>PC</v>
          </cell>
          <cell r="G382">
            <v>0</v>
          </cell>
        </row>
        <row r="383">
          <cell r="B383">
            <v>34152</v>
          </cell>
          <cell r="C383">
            <v>0</v>
          </cell>
          <cell r="D383" t="str">
            <v>PHP</v>
          </cell>
          <cell r="E383">
            <v>0</v>
          </cell>
          <cell r="F383" t="str">
            <v>PC</v>
          </cell>
          <cell r="G383">
            <v>0</v>
          </cell>
        </row>
        <row r="384">
          <cell r="B384">
            <v>34159</v>
          </cell>
          <cell r="C384">
            <v>0</v>
          </cell>
          <cell r="D384" t="str">
            <v>PHP</v>
          </cell>
          <cell r="E384">
            <v>0</v>
          </cell>
          <cell r="F384" t="str">
            <v>PC</v>
          </cell>
          <cell r="G384">
            <v>0</v>
          </cell>
        </row>
        <row r="385">
          <cell r="B385">
            <v>34172</v>
          </cell>
          <cell r="C385">
            <v>0</v>
          </cell>
          <cell r="D385" t="str">
            <v>PHP</v>
          </cell>
          <cell r="E385">
            <v>0</v>
          </cell>
          <cell r="F385" t="str">
            <v>PC</v>
          </cell>
          <cell r="G385">
            <v>0</v>
          </cell>
        </row>
        <row r="386">
          <cell r="B386">
            <v>34183</v>
          </cell>
          <cell r="C386">
            <v>0</v>
          </cell>
          <cell r="D386" t="str">
            <v>PHP</v>
          </cell>
          <cell r="E386">
            <v>0</v>
          </cell>
          <cell r="F386" t="str">
            <v>PC</v>
          </cell>
          <cell r="G386">
            <v>0</v>
          </cell>
        </row>
        <row r="387">
          <cell r="B387">
            <v>34184</v>
          </cell>
          <cell r="C387">
            <v>0</v>
          </cell>
          <cell r="D387" t="str">
            <v>PHP</v>
          </cell>
          <cell r="E387">
            <v>0</v>
          </cell>
          <cell r="F387" t="str">
            <v>PC</v>
          </cell>
          <cell r="G387">
            <v>0</v>
          </cell>
        </row>
        <row r="388">
          <cell r="B388">
            <v>34185</v>
          </cell>
          <cell r="C388">
            <v>0</v>
          </cell>
          <cell r="D388" t="str">
            <v>PHP</v>
          </cell>
          <cell r="E388">
            <v>0</v>
          </cell>
          <cell r="F388" t="str">
            <v>PC</v>
          </cell>
          <cell r="G388">
            <v>0</v>
          </cell>
        </row>
        <row r="389">
          <cell r="B389">
            <v>34189</v>
          </cell>
          <cell r="C389">
            <v>0</v>
          </cell>
          <cell r="D389" t="str">
            <v>PHP</v>
          </cell>
          <cell r="E389">
            <v>0</v>
          </cell>
          <cell r="F389" t="str">
            <v>PC</v>
          </cell>
          <cell r="G389">
            <v>0</v>
          </cell>
        </row>
        <row r="390">
          <cell r="B390">
            <v>34190</v>
          </cell>
          <cell r="C390">
            <v>0</v>
          </cell>
          <cell r="D390" t="str">
            <v>PHP</v>
          </cell>
          <cell r="E390">
            <v>0</v>
          </cell>
          <cell r="F390" t="str">
            <v>PC</v>
          </cell>
          <cell r="G390">
            <v>0</v>
          </cell>
        </row>
        <row r="391">
          <cell r="B391">
            <v>34192</v>
          </cell>
          <cell r="C391">
            <v>0</v>
          </cell>
          <cell r="D391" t="str">
            <v>PHP</v>
          </cell>
          <cell r="E391">
            <v>0</v>
          </cell>
          <cell r="F391" t="str">
            <v>PC</v>
          </cell>
          <cell r="G391">
            <v>0</v>
          </cell>
        </row>
        <row r="392">
          <cell r="B392">
            <v>34194</v>
          </cell>
          <cell r="C392">
            <v>0</v>
          </cell>
          <cell r="D392" t="str">
            <v>PHP</v>
          </cell>
          <cell r="E392">
            <v>0</v>
          </cell>
          <cell r="F392" t="str">
            <v>PC</v>
          </cell>
          <cell r="G392">
            <v>0</v>
          </cell>
        </row>
        <row r="393">
          <cell r="B393">
            <v>34195</v>
          </cell>
          <cell r="C393">
            <v>0</v>
          </cell>
          <cell r="D393" t="str">
            <v>PHP</v>
          </cell>
          <cell r="E393">
            <v>0</v>
          </cell>
          <cell r="F393" t="str">
            <v>PC</v>
          </cell>
          <cell r="G393">
            <v>0</v>
          </cell>
        </row>
        <row r="394">
          <cell r="B394">
            <v>34197</v>
          </cell>
          <cell r="C394">
            <v>0</v>
          </cell>
          <cell r="D394" t="str">
            <v>PHP</v>
          </cell>
          <cell r="E394">
            <v>0</v>
          </cell>
          <cell r="F394" t="str">
            <v>PC</v>
          </cell>
          <cell r="G394">
            <v>0</v>
          </cell>
        </row>
        <row r="395">
          <cell r="B395">
            <v>34219</v>
          </cell>
          <cell r="C395">
            <v>0</v>
          </cell>
          <cell r="D395" t="str">
            <v>PHP</v>
          </cell>
          <cell r="E395">
            <v>0</v>
          </cell>
          <cell r="F395" t="str">
            <v>PC</v>
          </cell>
          <cell r="G395">
            <v>0</v>
          </cell>
        </row>
        <row r="396">
          <cell r="B396">
            <v>34318</v>
          </cell>
          <cell r="C396">
            <v>0</v>
          </cell>
          <cell r="D396" t="str">
            <v>PHP</v>
          </cell>
          <cell r="E396">
            <v>0</v>
          </cell>
          <cell r="F396" t="str">
            <v>PC</v>
          </cell>
          <cell r="G396">
            <v>0</v>
          </cell>
        </row>
        <row r="397">
          <cell r="B397">
            <v>34862</v>
          </cell>
          <cell r="C397">
            <v>0</v>
          </cell>
          <cell r="D397" t="str">
            <v>PHP</v>
          </cell>
          <cell r="E397">
            <v>0</v>
          </cell>
          <cell r="F397" t="str">
            <v>PC</v>
          </cell>
          <cell r="G397">
            <v>0</v>
          </cell>
        </row>
        <row r="398">
          <cell r="B398">
            <v>34932</v>
          </cell>
          <cell r="C398">
            <v>0</v>
          </cell>
          <cell r="D398" t="str">
            <v>PHP</v>
          </cell>
          <cell r="E398">
            <v>0</v>
          </cell>
          <cell r="F398" t="str">
            <v>PC</v>
          </cell>
          <cell r="G398">
            <v>0</v>
          </cell>
        </row>
        <row r="399">
          <cell r="B399">
            <v>35070</v>
          </cell>
          <cell r="C399">
            <v>0</v>
          </cell>
          <cell r="D399" t="str">
            <v>PHP</v>
          </cell>
          <cell r="E399">
            <v>0</v>
          </cell>
          <cell r="F399" t="str">
            <v>PC</v>
          </cell>
          <cell r="G399">
            <v>0</v>
          </cell>
        </row>
        <row r="400">
          <cell r="B400">
            <v>35079</v>
          </cell>
          <cell r="C400">
            <v>0</v>
          </cell>
          <cell r="D400" t="str">
            <v>PHP</v>
          </cell>
          <cell r="E400">
            <v>0</v>
          </cell>
          <cell r="F400" t="str">
            <v>SET</v>
          </cell>
          <cell r="G400">
            <v>0</v>
          </cell>
        </row>
        <row r="401">
          <cell r="B401">
            <v>35089</v>
          </cell>
          <cell r="C401">
            <v>0</v>
          </cell>
          <cell r="D401" t="str">
            <v>PHP</v>
          </cell>
          <cell r="E401">
            <v>0</v>
          </cell>
          <cell r="F401" t="str">
            <v>PC</v>
          </cell>
          <cell r="G401">
            <v>0</v>
          </cell>
        </row>
        <row r="402">
          <cell r="B402">
            <v>35090</v>
          </cell>
          <cell r="C402">
            <v>0</v>
          </cell>
          <cell r="D402" t="str">
            <v>PHP</v>
          </cell>
          <cell r="E402">
            <v>0</v>
          </cell>
          <cell r="F402" t="str">
            <v>PC</v>
          </cell>
          <cell r="G402">
            <v>0</v>
          </cell>
        </row>
        <row r="403">
          <cell r="B403">
            <v>39863</v>
          </cell>
          <cell r="C403">
            <v>0</v>
          </cell>
          <cell r="D403" t="str">
            <v>PHP</v>
          </cell>
          <cell r="E403">
            <v>0</v>
          </cell>
          <cell r="F403" t="str">
            <v>PC</v>
          </cell>
          <cell r="G403">
            <v>0</v>
          </cell>
        </row>
        <row r="404">
          <cell r="B404">
            <v>39895</v>
          </cell>
          <cell r="C404">
            <v>0</v>
          </cell>
          <cell r="D404" t="str">
            <v>PHP</v>
          </cell>
          <cell r="E404">
            <v>0</v>
          </cell>
          <cell r="F404" t="str">
            <v>PC</v>
          </cell>
          <cell r="G404">
            <v>0</v>
          </cell>
        </row>
        <row r="405">
          <cell r="B405">
            <v>39898</v>
          </cell>
          <cell r="C405">
            <v>0</v>
          </cell>
          <cell r="D405" t="str">
            <v>PHP</v>
          </cell>
          <cell r="E405">
            <v>0</v>
          </cell>
          <cell r="F405" t="str">
            <v>PC</v>
          </cell>
          <cell r="G405">
            <v>0</v>
          </cell>
        </row>
        <row r="406">
          <cell r="B406">
            <v>39899</v>
          </cell>
          <cell r="C406">
            <v>0</v>
          </cell>
          <cell r="D406" t="str">
            <v>PHP</v>
          </cell>
          <cell r="E406">
            <v>0</v>
          </cell>
          <cell r="F406" t="str">
            <v>PC</v>
          </cell>
          <cell r="G406">
            <v>0</v>
          </cell>
        </row>
        <row r="407">
          <cell r="B407">
            <v>39905</v>
          </cell>
          <cell r="C407">
            <v>0</v>
          </cell>
          <cell r="D407" t="str">
            <v>PHP</v>
          </cell>
          <cell r="E407">
            <v>0</v>
          </cell>
          <cell r="F407" t="str">
            <v>PC</v>
          </cell>
          <cell r="G407">
            <v>0</v>
          </cell>
        </row>
        <row r="408">
          <cell r="B408">
            <v>39914</v>
          </cell>
          <cell r="C408">
            <v>0</v>
          </cell>
          <cell r="D408" t="str">
            <v>PHP</v>
          </cell>
          <cell r="E408">
            <v>0</v>
          </cell>
          <cell r="F408" t="str">
            <v>PC</v>
          </cell>
          <cell r="G408">
            <v>0</v>
          </cell>
        </row>
        <row r="409">
          <cell r="B409">
            <v>39918</v>
          </cell>
          <cell r="C409">
            <v>0</v>
          </cell>
          <cell r="D409" t="str">
            <v>PHP</v>
          </cell>
          <cell r="E409">
            <v>0</v>
          </cell>
          <cell r="F409" t="str">
            <v>PC</v>
          </cell>
          <cell r="G409">
            <v>0</v>
          </cell>
        </row>
        <row r="410">
          <cell r="B410">
            <v>39924</v>
          </cell>
          <cell r="C410">
            <v>0</v>
          </cell>
          <cell r="D410" t="str">
            <v>PHP</v>
          </cell>
          <cell r="E410">
            <v>0</v>
          </cell>
          <cell r="F410" t="str">
            <v>PC</v>
          </cell>
          <cell r="G410">
            <v>0</v>
          </cell>
        </row>
        <row r="411">
          <cell r="B411">
            <v>39927</v>
          </cell>
          <cell r="C411">
            <v>0</v>
          </cell>
          <cell r="D411" t="str">
            <v>PHP</v>
          </cell>
          <cell r="E411">
            <v>0</v>
          </cell>
          <cell r="F411" t="str">
            <v>PC</v>
          </cell>
          <cell r="G411">
            <v>0</v>
          </cell>
        </row>
        <row r="412">
          <cell r="B412">
            <v>40038</v>
          </cell>
          <cell r="C412">
            <v>0</v>
          </cell>
          <cell r="D412" t="str">
            <v>PHP</v>
          </cell>
          <cell r="E412">
            <v>0</v>
          </cell>
          <cell r="F412" t="str">
            <v>PC</v>
          </cell>
          <cell r="G412">
            <v>0</v>
          </cell>
        </row>
        <row r="413">
          <cell r="B413">
            <v>40216</v>
          </cell>
          <cell r="C413">
            <v>0</v>
          </cell>
          <cell r="D413" t="str">
            <v>PHP</v>
          </cell>
          <cell r="E413">
            <v>0</v>
          </cell>
          <cell r="F413" t="str">
            <v>PL</v>
          </cell>
          <cell r="G413">
            <v>0</v>
          </cell>
        </row>
        <row r="414">
          <cell r="B414">
            <v>40320</v>
          </cell>
          <cell r="C414">
            <v>0</v>
          </cell>
          <cell r="D414" t="str">
            <v>PHP</v>
          </cell>
          <cell r="E414">
            <v>0</v>
          </cell>
          <cell r="F414" t="str">
            <v>LEN</v>
          </cell>
          <cell r="G414">
            <v>0</v>
          </cell>
        </row>
        <row r="415">
          <cell r="B415">
            <v>40321</v>
          </cell>
          <cell r="C415">
            <v>6643712.5300000003</v>
          </cell>
          <cell r="D415" t="str">
            <v>PHP</v>
          </cell>
          <cell r="E415">
            <v>214</v>
          </cell>
          <cell r="F415" t="str">
            <v>LEN</v>
          </cell>
          <cell r="G415">
            <v>0</v>
          </cell>
        </row>
        <row r="416">
          <cell r="B416">
            <v>40322</v>
          </cell>
          <cell r="C416">
            <v>0</v>
          </cell>
          <cell r="D416" t="str">
            <v>PHP</v>
          </cell>
          <cell r="E416">
            <v>0</v>
          </cell>
          <cell r="F416" t="str">
            <v>PC</v>
          </cell>
          <cell r="G416">
            <v>0</v>
          </cell>
        </row>
        <row r="417">
          <cell r="B417">
            <v>40327</v>
          </cell>
          <cell r="C417">
            <v>7569271.5099999998</v>
          </cell>
          <cell r="D417" t="str">
            <v>PHP</v>
          </cell>
          <cell r="E417">
            <v>4</v>
          </cell>
          <cell r="F417" t="str">
            <v>PC</v>
          </cell>
          <cell r="G417">
            <v>0</v>
          </cell>
        </row>
        <row r="418">
          <cell r="B418">
            <v>40328</v>
          </cell>
          <cell r="C418">
            <v>0</v>
          </cell>
          <cell r="D418" t="str">
            <v>PHP</v>
          </cell>
          <cell r="E418">
            <v>0</v>
          </cell>
          <cell r="F418" t="str">
            <v>PC</v>
          </cell>
          <cell r="G418">
            <v>0</v>
          </cell>
        </row>
        <row r="419">
          <cell r="B419">
            <v>40330</v>
          </cell>
          <cell r="C419">
            <v>0</v>
          </cell>
          <cell r="D419" t="str">
            <v>PHP</v>
          </cell>
          <cell r="E419">
            <v>0</v>
          </cell>
          <cell r="F419" t="str">
            <v>PC</v>
          </cell>
          <cell r="G419">
            <v>0</v>
          </cell>
        </row>
        <row r="420">
          <cell r="B420">
            <v>40334</v>
          </cell>
          <cell r="C420">
            <v>101952.54</v>
          </cell>
          <cell r="D420" t="str">
            <v>PHP</v>
          </cell>
          <cell r="E420">
            <v>3</v>
          </cell>
          <cell r="F420" t="str">
            <v>PC</v>
          </cell>
          <cell r="G420">
            <v>0</v>
          </cell>
        </row>
        <row r="421">
          <cell r="B421">
            <v>40335</v>
          </cell>
          <cell r="C421">
            <v>0</v>
          </cell>
          <cell r="D421" t="str">
            <v>PHP</v>
          </cell>
          <cell r="E421">
            <v>0</v>
          </cell>
          <cell r="F421" t="str">
            <v>PC</v>
          </cell>
          <cell r="G421">
            <v>0</v>
          </cell>
        </row>
        <row r="422">
          <cell r="B422">
            <v>40337</v>
          </cell>
          <cell r="C422">
            <v>0</v>
          </cell>
          <cell r="D422" t="str">
            <v>PHP</v>
          </cell>
          <cell r="E422">
            <v>0</v>
          </cell>
          <cell r="F422" t="str">
            <v>SET</v>
          </cell>
          <cell r="G422">
            <v>0</v>
          </cell>
        </row>
        <row r="423">
          <cell r="B423">
            <v>40339</v>
          </cell>
          <cell r="C423">
            <v>0</v>
          </cell>
          <cell r="D423" t="str">
            <v>PHP</v>
          </cell>
          <cell r="E423">
            <v>0</v>
          </cell>
          <cell r="F423" t="str">
            <v>PC</v>
          </cell>
          <cell r="G423">
            <v>0</v>
          </cell>
        </row>
        <row r="424">
          <cell r="B424">
            <v>40415</v>
          </cell>
          <cell r="C424">
            <v>0</v>
          </cell>
          <cell r="D424" t="str">
            <v>PHP</v>
          </cell>
          <cell r="E424">
            <v>0</v>
          </cell>
          <cell r="F424" t="str">
            <v>PC</v>
          </cell>
          <cell r="G424">
            <v>0</v>
          </cell>
        </row>
        <row r="425">
          <cell r="B425">
            <v>40653</v>
          </cell>
          <cell r="C425">
            <v>0</v>
          </cell>
          <cell r="D425" t="str">
            <v>PHP</v>
          </cell>
          <cell r="E425">
            <v>0</v>
          </cell>
          <cell r="F425" t="str">
            <v>PC</v>
          </cell>
          <cell r="G425">
            <v>0</v>
          </cell>
        </row>
        <row r="426">
          <cell r="B426">
            <v>40684</v>
          </cell>
          <cell r="C426">
            <v>0</v>
          </cell>
          <cell r="D426" t="str">
            <v>PHP</v>
          </cell>
          <cell r="E426">
            <v>0</v>
          </cell>
          <cell r="F426" t="str">
            <v>PC</v>
          </cell>
          <cell r="G426">
            <v>0</v>
          </cell>
        </row>
        <row r="427">
          <cell r="B427">
            <v>40796</v>
          </cell>
          <cell r="C427">
            <v>0</v>
          </cell>
          <cell r="D427" t="str">
            <v>PHP</v>
          </cell>
          <cell r="E427">
            <v>0</v>
          </cell>
          <cell r="F427" t="str">
            <v>PC</v>
          </cell>
          <cell r="G427">
            <v>0</v>
          </cell>
        </row>
        <row r="428">
          <cell r="B428">
            <v>40833</v>
          </cell>
          <cell r="C428">
            <v>0</v>
          </cell>
          <cell r="D428" t="str">
            <v>PHP</v>
          </cell>
          <cell r="E428">
            <v>0</v>
          </cell>
          <cell r="F428" t="str">
            <v>KIT</v>
          </cell>
          <cell r="G428">
            <v>0</v>
          </cell>
        </row>
        <row r="429">
          <cell r="B429">
            <v>41279</v>
          </cell>
          <cell r="C429">
            <v>0</v>
          </cell>
          <cell r="D429" t="str">
            <v>PHP</v>
          </cell>
          <cell r="E429">
            <v>0</v>
          </cell>
          <cell r="F429" t="str">
            <v>BAG</v>
          </cell>
          <cell r="G429">
            <v>0</v>
          </cell>
        </row>
        <row r="430">
          <cell r="B430">
            <v>41280</v>
          </cell>
          <cell r="C430">
            <v>105403.65</v>
          </cell>
          <cell r="D430" t="str">
            <v>PHP</v>
          </cell>
          <cell r="E430">
            <v>110</v>
          </cell>
          <cell r="F430" t="str">
            <v>BAG</v>
          </cell>
          <cell r="G430">
            <v>0</v>
          </cell>
        </row>
        <row r="431">
          <cell r="B431">
            <v>41296</v>
          </cell>
          <cell r="C431">
            <v>44611.199999999997</v>
          </cell>
          <cell r="D431" t="str">
            <v>PHP</v>
          </cell>
          <cell r="E431">
            <v>120</v>
          </cell>
          <cell r="F431" t="str">
            <v>BAG</v>
          </cell>
          <cell r="G431">
            <v>0</v>
          </cell>
        </row>
        <row r="432">
          <cell r="B432">
            <v>41298</v>
          </cell>
          <cell r="C432">
            <v>0</v>
          </cell>
          <cell r="D432" t="str">
            <v>PHP</v>
          </cell>
          <cell r="E432">
            <v>0</v>
          </cell>
          <cell r="F432" t="str">
            <v>BAG</v>
          </cell>
          <cell r="G432">
            <v>0</v>
          </cell>
        </row>
        <row r="433">
          <cell r="B433">
            <v>41304</v>
          </cell>
          <cell r="C433">
            <v>0</v>
          </cell>
          <cell r="D433" t="str">
            <v>PHP</v>
          </cell>
          <cell r="E433">
            <v>0</v>
          </cell>
          <cell r="F433" t="str">
            <v>BAG</v>
          </cell>
          <cell r="G433">
            <v>0</v>
          </cell>
        </row>
        <row r="434">
          <cell r="B434">
            <v>41313</v>
          </cell>
          <cell r="C434">
            <v>0</v>
          </cell>
          <cell r="D434" t="str">
            <v>PHP</v>
          </cell>
          <cell r="E434">
            <v>0</v>
          </cell>
          <cell r="F434" t="str">
            <v>PC</v>
          </cell>
          <cell r="G434">
            <v>0</v>
          </cell>
        </row>
        <row r="435">
          <cell r="B435">
            <v>41472</v>
          </cell>
          <cell r="C435">
            <v>0</v>
          </cell>
          <cell r="D435" t="str">
            <v>PHP</v>
          </cell>
          <cell r="E435">
            <v>0</v>
          </cell>
          <cell r="F435" t="str">
            <v>PC</v>
          </cell>
          <cell r="G435">
            <v>0</v>
          </cell>
        </row>
        <row r="436">
          <cell r="B436">
            <v>41532</v>
          </cell>
          <cell r="C436">
            <v>0</v>
          </cell>
          <cell r="D436" t="str">
            <v>PHP</v>
          </cell>
          <cell r="E436">
            <v>0</v>
          </cell>
          <cell r="F436" t="str">
            <v>PC</v>
          </cell>
          <cell r="G436">
            <v>0</v>
          </cell>
        </row>
        <row r="437">
          <cell r="B437">
            <v>41535</v>
          </cell>
          <cell r="C437">
            <v>0</v>
          </cell>
          <cell r="D437" t="str">
            <v>PHP</v>
          </cell>
          <cell r="E437">
            <v>0</v>
          </cell>
          <cell r="F437" t="str">
            <v>PC</v>
          </cell>
          <cell r="G437">
            <v>0</v>
          </cell>
        </row>
        <row r="438">
          <cell r="B438">
            <v>41546</v>
          </cell>
          <cell r="C438">
            <v>0</v>
          </cell>
          <cell r="D438" t="str">
            <v>PHP</v>
          </cell>
          <cell r="E438">
            <v>0</v>
          </cell>
          <cell r="F438" t="str">
            <v>PC</v>
          </cell>
          <cell r="G438">
            <v>0</v>
          </cell>
        </row>
        <row r="439">
          <cell r="B439">
            <v>41668</v>
          </cell>
          <cell r="C439">
            <v>0</v>
          </cell>
          <cell r="D439" t="str">
            <v>PHP</v>
          </cell>
          <cell r="E439">
            <v>0</v>
          </cell>
          <cell r="F439" t="str">
            <v>PC</v>
          </cell>
          <cell r="G439">
            <v>0</v>
          </cell>
        </row>
        <row r="440">
          <cell r="B440">
            <v>41670</v>
          </cell>
          <cell r="C440">
            <v>0</v>
          </cell>
          <cell r="D440" t="str">
            <v>PHP</v>
          </cell>
          <cell r="E440">
            <v>0</v>
          </cell>
          <cell r="F440" t="str">
            <v>PC</v>
          </cell>
          <cell r="G440">
            <v>0</v>
          </cell>
        </row>
        <row r="441">
          <cell r="B441">
            <v>41671</v>
          </cell>
          <cell r="C441">
            <v>0</v>
          </cell>
          <cell r="D441" t="str">
            <v>PHP</v>
          </cell>
          <cell r="E441">
            <v>0</v>
          </cell>
          <cell r="F441" t="str">
            <v>PC</v>
          </cell>
          <cell r="G441">
            <v>0</v>
          </cell>
        </row>
        <row r="442">
          <cell r="B442">
            <v>41689</v>
          </cell>
          <cell r="C442">
            <v>0</v>
          </cell>
          <cell r="D442" t="str">
            <v>PHP</v>
          </cell>
          <cell r="E442">
            <v>0</v>
          </cell>
          <cell r="F442" t="str">
            <v>PC</v>
          </cell>
          <cell r="G442">
            <v>0</v>
          </cell>
        </row>
        <row r="443">
          <cell r="B443">
            <v>41785</v>
          </cell>
          <cell r="C443">
            <v>0</v>
          </cell>
          <cell r="D443" t="str">
            <v>PHP</v>
          </cell>
          <cell r="E443">
            <v>0</v>
          </cell>
          <cell r="F443" t="str">
            <v>PC</v>
          </cell>
          <cell r="G443">
            <v>0</v>
          </cell>
        </row>
        <row r="444">
          <cell r="B444">
            <v>41885</v>
          </cell>
          <cell r="C444">
            <v>0</v>
          </cell>
          <cell r="D444" t="str">
            <v>PHP</v>
          </cell>
          <cell r="E444">
            <v>0</v>
          </cell>
          <cell r="F444" t="str">
            <v>PC</v>
          </cell>
          <cell r="G444">
            <v>0</v>
          </cell>
        </row>
        <row r="445">
          <cell r="B445">
            <v>42385</v>
          </cell>
          <cell r="C445">
            <v>0</v>
          </cell>
          <cell r="D445" t="str">
            <v>PHP</v>
          </cell>
          <cell r="E445">
            <v>0</v>
          </cell>
          <cell r="F445" t="str">
            <v>PC</v>
          </cell>
          <cell r="G445">
            <v>0</v>
          </cell>
        </row>
        <row r="446">
          <cell r="B446">
            <v>42388</v>
          </cell>
          <cell r="C446">
            <v>0</v>
          </cell>
          <cell r="D446" t="str">
            <v>PHP</v>
          </cell>
          <cell r="E446">
            <v>0</v>
          </cell>
          <cell r="F446" t="str">
            <v>PC</v>
          </cell>
          <cell r="G446">
            <v>0</v>
          </cell>
        </row>
        <row r="447">
          <cell r="B447">
            <v>42396</v>
          </cell>
          <cell r="C447">
            <v>0</v>
          </cell>
          <cell r="D447" t="str">
            <v>PHP</v>
          </cell>
          <cell r="E447">
            <v>0</v>
          </cell>
          <cell r="F447" t="str">
            <v>PC</v>
          </cell>
          <cell r="G447">
            <v>0</v>
          </cell>
        </row>
        <row r="448">
          <cell r="B448">
            <v>42399</v>
          </cell>
          <cell r="C448">
            <v>0</v>
          </cell>
          <cell r="D448" t="str">
            <v>PHP</v>
          </cell>
          <cell r="E448">
            <v>0</v>
          </cell>
          <cell r="F448" t="str">
            <v>PC</v>
          </cell>
          <cell r="G448">
            <v>0</v>
          </cell>
        </row>
        <row r="449">
          <cell r="B449">
            <v>42438</v>
          </cell>
          <cell r="C449">
            <v>0</v>
          </cell>
          <cell r="D449" t="str">
            <v>PHP</v>
          </cell>
          <cell r="E449">
            <v>0</v>
          </cell>
          <cell r="F449" t="str">
            <v>PC</v>
          </cell>
          <cell r="G449">
            <v>0</v>
          </cell>
        </row>
        <row r="450">
          <cell r="B450">
            <v>42445</v>
          </cell>
          <cell r="C450">
            <v>0</v>
          </cell>
          <cell r="D450" t="str">
            <v>PHP</v>
          </cell>
          <cell r="E450">
            <v>0</v>
          </cell>
          <cell r="F450" t="str">
            <v>PC</v>
          </cell>
          <cell r="G450">
            <v>0</v>
          </cell>
        </row>
        <row r="451">
          <cell r="B451">
            <v>42459</v>
          </cell>
          <cell r="C451">
            <v>0</v>
          </cell>
          <cell r="D451" t="str">
            <v>PHP</v>
          </cell>
          <cell r="E451">
            <v>0</v>
          </cell>
          <cell r="F451" t="str">
            <v>ASY</v>
          </cell>
          <cell r="G451">
            <v>0</v>
          </cell>
        </row>
        <row r="452">
          <cell r="B452">
            <v>42466</v>
          </cell>
          <cell r="C452">
            <v>0</v>
          </cell>
          <cell r="D452" t="str">
            <v>PHP</v>
          </cell>
          <cell r="E452">
            <v>0</v>
          </cell>
          <cell r="F452" t="str">
            <v>PC</v>
          </cell>
          <cell r="G452">
            <v>0</v>
          </cell>
        </row>
        <row r="453">
          <cell r="B453">
            <v>42473</v>
          </cell>
          <cell r="C453">
            <v>0</v>
          </cell>
          <cell r="D453" t="str">
            <v>PHP</v>
          </cell>
          <cell r="E453">
            <v>0</v>
          </cell>
          <cell r="F453" t="str">
            <v>PC</v>
          </cell>
          <cell r="G453">
            <v>0</v>
          </cell>
        </row>
        <row r="454">
          <cell r="B454">
            <v>42474</v>
          </cell>
          <cell r="C454">
            <v>0</v>
          </cell>
          <cell r="D454" t="str">
            <v>PHP</v>
          </cell>
          <cell r="E454">
            <v>0</v>
          </cell>
          <cell r="F454" t="str">
            <v>PC</v>
          </cell>
          <cell r="G454">
            <v>0</v>
          </cell>
        </row>
        <row r="455">
          <cell r="B455">
            <v>42475</v>
          </cell>
          <cell r="C455">
            <v>0</v>
          </cell>
          <cell r="D455" t="str">
            <v>PHP</v>
          </cell>
          <cell r="E455">
            <v>0</v>
          </cell>
          <cell r="F455" t="str">
            <v>ASY</v>
          </cell>
          <cell r="G455">
            <v>0</v>
          </cell>
        </row>
        <row r="456">
          <cell r="B456">
            <v>42484</v>
          </cell>
          <cell r="C456">
            <v>0</v>
          </cell>
          <cell r="D456" t="str">
            <v>PHP</v>
          </cell>
          <cell r="E456">
            <v>0</v>
          </cell>
          <cell r="F456" t="str">
            <v>PC</v>
          </cell>
          <cell r="G456">
            <v>0</v>
          </cell>
        </row>
        <row r="457">
          <cell r="B457">
            <v>42485</v>
          </cell>
          <cell r="C457">
            <v>0</v>
          </cell>
          <cell r="D457" t="str">
            <v>PHP</v>
          </cell>
          <cell r="E457">
            <v>0</v>
          </cell>
          <cell r="F457" t="str">
            <v>PC</v>
          </cell>
          <cell r="G457">
            <v>0</v>
          </cell>
        </row>
        <row r="458">
          <cell r="B458">
            <v>42500</v>
          </cell>
          <cell r="C458">
            <v>0</v>
          </cell>
          <cell r="D458" t="str">
            <v>PHP</v>
          </cell>
          <cell r="E458">
            <v>0</v>
          </cell>
          <cell r="F458" t="str">
            <v>ASY</v>
          </cell>
          <cell r="G458">
            <v>0</v>
          </cell>
        </row>
        <row r="459">
          <cell r="B459">
            <v>42508</v>
          </cell>
          <cell r="C459">
            <v>0</v>
          </cell>
          <cell r="D459" t="str">
            <v>PHP</v>
          </cell>
          <cell r="E459">
            <v>0</v>
          </cell>
          <cell r="F459" t="str">
            <v>PC</v>
          </cell>
          <cell r="G459">
            <v>0</v>
          </cell>
        </row>
        <row r="460">
          <cell r="B460">
            <v>42533</v>
          </cell>
          <cell r="C460">
            <v>0</v>
          </cell>
          <cell r="D460" t="str">
            <v>PHP</v>
          </cell>
          <cell r="E460">
            <v>0</v>
          </cell>
          <cell r="F460" t="str">
            <v>PC</v>
          </cell>
          <cell r="G460">
            <v>0</v>
          </cell>
        </row>
        <row r="461">
          <cell r="B461">
            <v>42536</v>
          </cell>
          <cell r="C461">
            <v>0</v>
          </cell>
          <cell r="D461" t="str">
            <v>PHP</v>
          </cell>
          <cell r="E461">
            <v>0</v>
          </cell>
          <cell r="F461" t="str">
            <v>PC</v>
          </cell>
          <cell r="G461">
            <v>0</v>
          </cell>
        </row>
        <row r="462">
          <cell r="B462">
            <v>42539</v>
          </cell>
          <cell r="C462">
            <v>0</v>
          </cell>
          <cell r="D462" t="str">
            <v>PHP</v>
          </cell>
          <cell r="E462">
            <v>0</v>
          </cell>
          <cell r="F462" t="str">
            <v>PC</v>
          </cell>
          <cell r="G462">
            <v>0</v>
          </cell>
        </row>
        <row r="463">
          <cell r="B463">
            <v>42678</v>
          </cell>
          <cell r="C463">
            <v>0</v>
          </cell>
          <cell r="D463" t="str">
            <v>PHP</v>
          </cell>
          <cell r="E463">
            <v>0</v>
          </cell>
          <cell r="F463" t="str">
            <v>PC</v>
          </cell>
          <cell r="G463">
            <v>0</v>
          </cell>
        </row>
        <row r="464">
          <cell r="B464">
            <v>43727</v>
          </cell>
          <cell r="C464">
            <v>0</v>
          </cell>
          <cell r="D464" t="str">
            <v>PHP</v>
          </cell>
          <cell r="E464">
            <v>0</v>
          </cell>
          <cell r="F464" t="str">
            <v>PC</v>
          </cell>
          <cell r="G464">
            <v>0</v>
          </cell>
        </row>
        <row r="465">
          <cell r="B465">
            <v>43729</v>
          </cell>
          <cell r="C465">
            <v>0</v>
          </cell>
          <cell r="D465" t="str">
            <v>PHP</v>
          </cell>
          <cell r="E465">
            <v>0</v>
          </cell>
          <cell r="F465" t="str">
            <v>PC</v>
          </cell>
          <cell r="G465">
            <v>0</v>
          </cell>
        </row>
        <row r="466">
          <cell r="B466">
            <v>43734</v>
          </cell>
          <cell r="C466">
            <v>0</v>
          </cell>
          <cell r="D466" t="str">
            <v>PHP</v>
          </cell>
          <cell r="E466">
            <v>0</v>
          </cell>
          <cell r="F466" t="str">
            <v>PC</v>
          </cell>
          <cell r="G466">
            <v>0</v>
          </cell>
        </row>
        <row r="467">
          <cell r="B467">
            <v>43772</v>
          </cell>
          <cell r="C467">
            <v>0</v>
          </cell>
          <cell r="D467" t="str">
            <v>PHP</v>
          </cell>
          <cell r="E467">
            <v>0</v>
          </cell>
          <cell r="F467" t="str">
            <v>PC</v>
          </cell>
          <cell r="G467">
            <v>0</v>
          </cell>
        </row>
        <row r="468">
          <cell r="B468">
            <v>46364</v>
          </cell>
          <cell r="C468">
            <v>0</v>
          </cell>
          <cell r="D468" t="str">
            <v>PHP</v>
          </cell>
          <cell r="E468">
            <v>0</v>
          </cell>
          <cell r="F468" t="str">
            <v>PC</v>
          </cell>
          <cell r="G468">
            <v>0</v>
          </cell>
        </row>
        <row r="469">
          <cell r="B469">
            <v>48927</v>
          </cell>
          <cell r="C469">
            <v>0</v>
          </cell>
          <cell r="D469" t="str">
            <v>PHP</v>
          </cell>
          <cell r="E469">
            <v>0</v>
          </cell>
          <cell r="F469" t="str">
            <v>CAN</v>
          </cell>
          <cell r="G469">
            <v>0</v>
          </cell>
        </row>
        <row r="470">
          <cell r="B470">
            <v>48933</v>
          </cell>
          <cell r="C470">
            <v>0</v>
          </cell>
          <cell r="D470" t="str">
            <v>PHP</v>
          </cell>
          <cell r="E470">
            <v>0</v>
          </cell>
          <cell r="F470" t="str">
            <v>PL</v>
          </cell>
          <cell r="G470">
            <v>0</v>
          </cell>
        </row>
        <row r="471">
          <cell r="B471">
            <v>51058</v>
          </cell>
          <cell r="C471">
            <v>0</v>
          </cell>
          <cell r="D471" t="str">
            <v>PHP</v>
          </cell>
          <cell r="E471">
            <v>0</v>
          </cell>
          <cell r="F471" t="str">
            <v>PC</v>
          </cell>
          <cell r="G471">
            <v>0</v>
          </cell>
        </row>
        <row r="472">
          <cell r="B472">
            <v>51119</v>
          </cell>
          <cell r="C472">
            <v>0</v>
          </cell>
          <cell r="D472" t="str">
            <v>PHP</v>
          </cell>
          <cell r="E472">
            <v>0</v>
          </cell>
          <cell r="F472" t="str">
            <v>PC</v>
          </cell>
          <cell r="G472">
            <v>0</v>
          </cell>
        </row>
        <row r="473">
          <cell r="B473">
            <v>51121</v>
          </cell>
          <cell r="C473">
            <v>0</v>
          </cell>
          <cell r="D473" t="str">
            <v>PHP</v>
          </cell>
          <cell r="E473">
            <v>0</v>
          </cell>
          <cell r="F473" t="str">
            <v>PC</v>
          </cell>
          <cell r="G473">
            <v>0</v>
          </cell>
        </row>
        <row r="474">
          <cell r="B474">
            <v>51122</v>
          </cell>
          <cell r="C474">
            <v>0</v>
          </cell>
          <cell r="D474" t="str">
            <v>PHP</v>
          </cell>
          <cell r="E474">
            <v>0</v>
          </cell>
          <cell r="F474" t="str">
            <v>PC</v>
          </cell>
          <cell r="G474">
            <v>0</v>
          </cell>
        </row>
        <row r="475">
          <cell r="B475">
            <v>51123</v>
          </cell>
          <cell r="C475">
            <v>0</v>
          </cell>
          <cell r="D475" t="str">
            <v>PHP</v>
          </cell>
          <cell r="E475">
            <v>0</v>
          </cell>
          <cell r="F475" t="str">
            <v>PC</v>
          </cell>
          <cell r="G475">
            <v>0</v>
          </cell>
        </row>
        <row r="476">
          <cell r="B476">
            <v>51124</v>
          </cell>
          <cell r="C476">
            <v>0</v>
          </cell>
          <cell r="D476" t="str">
            <v>PHP</v>
          </cell>
          <cell r="E476">
            <v>0</v>
          </cell>
          <cell r="F476" t="str">
            <v>PC</v>
          </cell>
          <cell r="G476">
            <v>0</v>
          </cell>
        </row>
        <row r="477">
          <cell r="B477">
            <v>51127</v>
          </cell>
          <cell r="C477">
            <v>0</v>
          </cell>
          <cell r="D477" t="str">
            <v>PHP</v>
          </cell>
          <cell r="E477">
            <v>0</v>
          </cell>
          <cell r="F477" t="str">
            <v>PC</v>
          </cell>
          <cell r="G477">
            <v>0</v>
          </cell>
        </row>
        <row r="478">
          <cell r="B478">
            <v>51136</v>
          </cell>
          <cell r="C478">
            <v>0</v>
          </cell>
          <cell r="D478" t="str">
            <v>PHP</v>
          </cell>
          <cell r="E478">
            <v>0</v>
          </cell>
          <cell r="F478" t="str">
            <v>PC</v>
          </cell>
          <cell r="G478">
            <v>0</v>
          </cell>
        </row>
        <row r="479">
          <cell r="B479">
            <v>51137</v>
          </cell>
          <cell r="C479">
            <v>0</v>
          </cell>
          <cell r="D479" t="str">
            <v>PHP</v>
          </cell>
          <cell r="E479">
            <v>0</v>
          </cell>
          <cell r="F479" t="str">
            <v>PC</v>
          </cell>
          <cell r="G479">
            <v>0</v>
          </cell>
        </row>
        <row r="480">
          <cell r="B480">
            <v>51138</v>
          </cell>
          <cell r="C480">
            <v>0</v>
          </cell>
          <cell r="D480" t="str">
            <v>PHP</v>
          </cell>
          <cell r="E480">
            <v>0</v>
          </cell>
          <cell r="F480" t="str">
            <v>PC</v>
          </cell>
          <cell r="G480">
            <v>0</v>
          </cell>
        </row>
        <row r="481">
          <cell r="B481">
            <v>51140</v>
          </cell>
          <cell r="C481">
            <v>0</v>
          </cell>
          <cell r="D481" t="str">
            <v>PHP</v>
          </cell>
          <cell r="E481">
            <v>0</v>
          </cell>
          <cell r="F481" t="str">
            <v>PC</v>
          </cell>
          <cell r="G481">
            <v>0</v>
          </cell>
        </row>
        <row r="482">
          <cell r="B482">
            <v>51144</v>
          </cell>
          <cell r="C482">
            <v>0</v>
          </cell>
          <cell r="D482" t="str">
            <v>PHP</v>
          </cell>
          <cell r="E482">
            <v>0</v>
          </cell>
          <cell r="F482" t="str">
            <v>PC</v>
          </cell>
          <cell r="G482">
            <v>0</v>
          </cell>
        </row>
        <row r="483">
          <cell r="B483">
            <v>51145</v>
          </cell>
          <cell r="C483">
            <v>0</v>
          </cell>
          <cell r="D483" t="str">
            <v>PHP</v>
          </cell>
          <cell r="E483">
            <v>0</v>
          </cell>
          <cell r="F483" t="str">
            <v>PC</v>
          </cell>
          <cell r="G483">
            <v>0</v>
          </cell>
        </row>
        <row r="484">
          <cell r="B484">
            <v>51146</v>
          </cell>
          <cell r="C484">
            <v>0</v>
          </cell>
          <cell r="D484" t="str">
            <v>PHP</v>
          </cell>
          <cell r="E484">
            <v>0</v>
          </cell>
          <cell r="F484" t="str">
            <v>PC</v>
          </cell>
          <cell r="G484">
            <v>0</v>
          </cell>
        </row>
        <row r="485">
          <cell r="B485">
            <v>51151</v>
          </cell>
          <cell r="C485">
            <v>0</v>
          </cell>
          <cell r="D485" t="str">
            <v>PHP</v>
          </cell>
          <cell r="E485">
            <v>0</v>
          </cell>
          <cell r="F485" t="str">
            <v>PC</v>
          </cell>
          <cell r="G485">
            <v>0</v>
          </cell>
        </row>
        <row r="486">
          <cell r="B486">
            <v>51154</v>
          </cell>
          <cell r="C486">
            <v>0</v>
          </cell>
          <cell r="D486" t="str">
            <v>PHP</v>
          </cell>
          <cell r="E486">
            <v>0</v>
          </cell>
          <cell r="F486" t="str">
            <v>PC</v>
          </cell>
          <cell r="G486">
            <v>0</v>
          </cell>
        </row>
        <row r="487">
          <cell r="B487">
            <v>51155</v>
          </cell>
          <cell r="C487">
            <v>0</v>
          </cell>
          <cell r="D487" t="str">
            <v>PHP</v>
          </cell>
          <cell r="E487">
            <v>0</v>
          </cell>
          <cell r="F487" t="str">
            <v>PC</v>
          </cell>
          <cell r="G487">
            <v>0</v>
          </cell>
        </row>
        <row r="488">
          <cell r="B488">
            <v>52284</v>
          </cell>
          <cell r="C488">
            <v>0</v>
          </cell>
          <cell r="D488" t="str">
            <v>PHP</v>
          </cell>
          <cell r="E488">
            <v>0</v>
          </cell>
          <cell r="F488" t="str">
            <v>ASY</v>
          </cell>
          <cell r="G488">
            <v>0</v>
          </cell>
        </row>
        <row r="489">
          <cell r="B489">
            <v>52542</v>
          </cell>
          <cell r="C489">
            <v>0</v>
          </cell>
          <cell r="D489" t="str">
            <v>PHP</v>
          </cell>
          <cell r="E489">
            <v>0</v>
          </cell>
          <cell r="F489" t="str">
            <v>PC</v>
          </cell>
          <cell r="G489">
            <v>0</v>
          </cell>
        </row>
        <row r="490">
          <cell r="B490">
            <v>52543</v>
          </cell>
          <cell r="C490">
            <v>3727780.22</v>
          </cell>
          <cell r="D490" t="str">
            <v>PHP</v>
          </cell>
          <cell r="E490">
            <v>2</v>
          </cell>
          <cell r="F490" t="str">
            <v>PC</v>
          </cell>
          <cell r="G490">
            <v>0</v>
          </cell>
        </row>
        <row r="491">
          <cell r="B491">
            <v>52581</v>
          </cell>
          <cell r="C491">
            <v>0</v>
          </cell>
          <cell r="D491" t="str">
            <v>PHP</v>
          </cell>
          <cell r="E491">
            <v>0</v>
          </cell>
          <cell r="F491" t="str">
            <v>PC</v>
          </cell>
          <cell r="G491">
            <v>0</v>
          </cell>
        </row>
        <row r="492">
          <cell r="B492">
            <v>52582</v>
          </cell>
          <cell r="C492">
            <v>3910252.2</v>
          </cell>
          <cell r="D492" t="str">
            <v>PHP</v>
          </cell>
          <cell r="E492">
            <v>2</v>
          </cell>
          <cell r="F492" t="str">
            <v>PC</v>
          </cell>
          <cell r="G492">
            <v>0</v>
          </cell>
        </row>
        <row r="493">
          <cell r="B493">
            <v>53142</v>
          </cell>
          <cell r="C493">
            <v>0</v>
          </cell>
          <cell r="D493" t="str">
            <v>PHP</v>
          </cell>
          <cell r="E493">
            <v>0</v>
          </cell>
          <cell r="F493" t="str">
            <v>PC</v>
          </cell>
          <cell r="G493">
            <v>0</v>
          </cell>
        </row>
        <row r="494">
          <cell r="B494">
            <v>53143</v>
          </cell>
          <cell r="C494">
            <v>0</v>
          </cell>
          <cell r="D494" t="str">
            <v>PHP</v>
          </cell>
          <cell r="E494">
            <v>0</v>
          </cell>
          <cell r="F494" t="str">
            <v>PC</v>
          </cell>
          <cell r="G494">
            <v>0</v>
          </cell>
        </row>
        <row r="495">
          <cell r="B495">
            <v>53144</v>
          </cell>
          <cell r="C495">
            <v>0</v>
          </cell>
          <cell r="D495" t="str">
            <v>PHP</v>
          </cell>
          <cell r="E495">
            <v>0</v>
          </cell>
          <cell r="F495" t="str">
            <v>PC</v>
          </cell>
          <cell r="G495">
            <v>0</v>
          </cell>
        </row>
        <row r="496">
          <cell r="B496">
            <v>53145</v>
          </cell>
          <cell r="C496">
            <v>0</v>
          </cell>
          <cell r="D496" t="str">
            <v>PHP</v>
          </cell>
          <cell r="E496">
            <v>0</v>
          </cell>
          <cell r="F496" t="str">
            <v>PC</v>
          </cell>
          <cell r="G496">
            <v>0</v>
          </cell>
        </row>
        <row r="497">
          <cell r="B497">
            <v>53146</v>
          </cell>
          <cell r="C497">
            <v>0</v>
          </cell>
          <cell r="D497" t="str">
            <v>PHP</v>
          </cell>
          <cell r="E497">
            <v>0</v>
          </cell>
          <cell r="F497" t="str">
            <v>PC</v>
          </cell>
          <cell r="G497">
            <v>0</v>
          </cell>
        </row>
        <row r="498">
          <cell r="B498">
            <v>53147</v>
          </cell>
          <cell r="C498">
            <v>0</v>
          </cell>
          <cell r="D498" t="str">
            <v>PHP</v>
          </cell>
          <cell r="E498">
            <v>0</v>
          </cell>
          <cell r="F498" t="str">
            <v>PC</v>
          </cell>
          <cell r="G498">
            <v>0</v>
          </cell>
        </row>
        <row r="499">
          <cell r="B499">
            <v>53148</v>
          </cell>
          <cell r="C499">
            <v>0</v>
          </cell>
          <cell r="D499" t="str">
            <v>PHP</v>
          </cell>
          <cell r="E499">
            <v>0</v>
          </cell>
          <cell r="F499" t="str">
            <v>PC</v>
          </cell>
          <cell r="G499">
            <v>0</v>
          </cell>
        </row>
        <row r="500">
          <cell r="B500">
            <v>53149</v>
          </cell>
          <cell r="C500">
            <v>0</v>
          </cell>
          <cell r="D500" t="str">
            <v>PHP</v>
          </cell>
          <cell r="E500">
            <v>0</v>
          </cell>
          <cell r="F500" t="str">
            <v>PC</v>
          </cell>
          <cell r="G500">
            <v>0</v>
          </cell>
        </row>
        <row r="501">
          <cell r="B501">
            <v>53150</v>
          </cell>
          <cell r="C501">
            <v>0</v>
          </cell>
          <cell r="D501" t="str">
            <v>PHP</v>
          </cell>
          <cell r="E501">
            <v>0</v>
          </cell>
          <cell r="F501" t="str">
            <v>PC</v>
          </cell>
          <cell r="G501">
            <v>0</v>
          </cell>
        </row>
        <row r="502">
          <cell r="B502">
            <v>53151</v>
          </cell>
          <cell r="C502">
            <v>0</v>
          </cell>
          <cell r="D502" t="str">
            <v>PHP</v>
          </cell>
          <cell r="E502">
            <v>0</v>
          </cell>
          <cell r="F502" t="str">
            <v>PC</v>
          </cell>
          <cell r="G502">
            <v>0</v>
          </cell>
        </row>
        <row r="503">
          <cell r="B503">
            <v>53161</v>
          </cell>
          <cell r="C503">
            <v>0</v>
          </cell>
          <cell r="D503" t="str">
            <v>PHP</v>
          </cell>
          <cell r="E503">
            <v>0</v>
          </cell>
          <cell r="F503" t="str">
            <v>PC</v>
          </cell>
          <cell r="G503">
            <v>0</v>
          </cell>
        </row>
        <row r="504">
          <cell r="B504">
            <v>53162</v>
          </cell>
          <cell r="C504">
            <v>0</v>
          </cell>
          <cell r="D504" t="str">
            <v>PHP</v>
          </cell>
          <cell r="E504">
            <v>0</v>
          </cell>
          <cell r="F504" t="str">
            <v>PC</v>
          </cell>
          <cell r="G504">
            <v>0</v>
          </cell>
        </row>
        <row r="505">
          <cell r="B505">
            <v>53163</v>
          </cell>
          <cell r="C505">
            <v>0</v>
          </cell>
          <cell r="D505" t="str">
            <v>PHP</v>
          </cell>
          <cell r="E505">
            <v>0</v>
          </cell>
          <cell r="F505" t="str">
            <v>PC</v>
          </cell>
          <cell r="G505">
            <v>0</v>
          </cell>
        </row>
        <row r="506">
          <cell r="B506">
            <v>53164</v>
          </cell>
          <cell r="C506">
            <v>0</v>
          </cell>
          <cell r="D506" t="str">
            <v>PHP</v>
          </cell>
          <cell r="E506">
            <v>0</v>
          </cell>
          <cell r="F506" t="str">
            <v>PC</v>
          </cell>
          <cell r="G506">
            <v>0</v>
          </cell>
        </row>
        <row r="507">
          <cell r="B507">
            <v>53165</v>
          </cell>
          <cell r="C507">
            <v>0</v>
          </cell>
          <cell r="D507" t="str">
            <v>PHP</v>
          </cell>
          <cell r="E507">
            <v>0</v>
          </cell>
          <cell r="F507" t="str">
            <v>PC</v>
          </cell>
          <cell r="G507">
            <v>0</v>
          </cell>
        </row>
        <row r="508">
          <cell r="B508">
            <v>53166</v>
          </cell>
          <cell r="C508">
            <v>0</v>
          </cell>
          <cell r="D508" t="str">
            <v>PHP</v>
          </cell>
          <cell r="E508">
            <v>0</v>
          </cell>
          <cell r="F508" t="str">
            <v>PC</v>
          </cell>
          <cell r="G508">
            <v>0</v>
          </cell>
        </row>
        <row r="509">
          <cell r="B509">
            <v>53167</v>
          </cell>
          <cell r="C509">
            <v>0</v>
          </cell>
          <cell r="D509" t="str">
            <v>PHP</v>
          </cell>
          <cell r="E509">
            <v>0</v>
          </cell>
          <cell r="F509" t="str">
            <v>PC</v>
          </cell>
          <cell r="G509">
            <v>0</v>
          </cell>
        </row>
        <row r="510">
          <cell r="B510">
            <v>54021</v>
          </cell>
          <cell r="C510">
            <v>0</v>
          </cell>
          <cell r="D510" t="str">
            <v>PHP</v>
          </cell>
          <cell r="E510">
            <v>0</v>
          </cell>
          <cell r="F510" t="str">
            <v>PC</v>
          </cell>
          <cell r="G510">
            <v>0</v>
          </cell>
        </row>
        <row r="511">
          <cell r="B511">
            <v>54022</v>
          </cell>
          <cell r="C511">
            <v>0</v>
          </cell>
          <cell r="D511" t="str">
            <v>PHP</v>
          </cell>
          <cell r="E511">
            <v>0</v>
          </cell>
          <cell r="F511" t="str">
            <v>PC</v>
          </cell>
          <cell r="G511">
            <v>0</v>
          </cell>
        </row>
        <row r="512">
          <cell r="B512">
            <v>54023</v>
          </cell>
          <cell r="C512">
            <v>0</v>
          </cell>
          <cell r="D512" t="str">
            <v>PHP</v>
          </cell>
          <cell r="E512">
            <v>0</v>
          </cell>
          <cell r="F512" t="str">
            <v>PC</v>
          </cell>
          <cell r="G512">
            <v>0</v>
          </cell>
        </row>
        <row r="513">
          <cell r="B513">
            <v>54024</v>
          </cell>
          <cell r="C513">
            <v>0</v>
          </cell>
          <cell r="D513" t="str">
            <v>PHP</v>
          </cell>
          <cell r="E513">
            <v>0</v>
          </cell>
          <cell r="F513" t="str">
            <v>PC</v>
          </cell>
          <cell r="G513">
            <v>0</v>
          </cell>
        </row>
        <row r="514">
          <cell r="B514">
            <v>54028</v>
          </cell>
          <cell r="C514">
            <v>0</v>
          </cell>
          <cell r="D514" t="str">
            <v>PHP</v>
          </cell>
          <cell r="E514">
            <v>0</v>
          </cell>
          <cell r="F514" t="str">
            <v>PC</v>
          </cell>
          <cell r="G514">
            <v>0</v>
          </cell>
        </row>
        <row r="515">
          <cell r="B515">
            <v>54066</v>
          </cell>
          <cell r="C515">
            <v>0</v>
          </cell>
          <cell r="D515" t="str">
            <v>PHP</v>
          </cell>
          <cell r="E515">
            <v>0</v>
          </cell>
          <cell r="F515" t="str">
            <v>PC</v>
          </cell>
          <cell r="G515">
            <v>0</v>
          </cell>
        </row>
        <row r="516">
          <cell r="B516">
            <v>54067</v>
          </cell>
          <cell r="C516">
            <v>0</v>
          </cell>
          <cell r="D516" t="str">
            <v>PHP</v>
          </cell>
          <cell r="E516">
            <v>0</v>
          </cell>
          <cell r="F516" t="str">
            <v>PC</v>
          </cell>
          <cell r="G516">
            <v>0</v>
          </cell>
        </row>
        <row r="517">
          <cell r="B517">
            <v>54069</v>
          </cell>
          <cell r="C517">
            <v>0</v>
          </cell>
          <cell r="D517" t="str">
            <v>PHP</v>
          </cell>
          <cell r="E517">
            <v>0</v>
          </cell>
          <cell r="F517" t="str">
            <v>PC</v>
          </cell>
          <cell r="G517">
            <v>0</v>
          </cell>
        </row>
        <row r="518">
          <cell r="B518">
            <v>54071</v>
          </cell>
          <cell r="C518">
            <v>0</v>
          </cell>
          <cell r="D518" t="str">
            <v>PHP</v>
          </cell>
          <cell r="E518">
            <v>0</v>
          </cell>
          <cell r="F518" t="str">
            <v>PC</v>
          </cell>
          <cell r="G518">
            <v>0</v>
          </cell>
        </row>
        <row r="519">
          <cell r="B519">
            <v>54073</v>
          </cell>
          <cell r="C519">
            <v>0</v>
          </cell>
          <cell r="D519" t="str">
            <v>PHP</v>
          </cell>
          <cell r="E519">
            <v>0</v>
          </cell>
          <cell r="F519" t="str">
            <v>PC</v>
          </cell>
          <cell r="G519">
            <v>0</v>
          </cell>
        </row>
        <row r="520">
          <cell r="B520">
            <v>54085</v>
          </cell>
          <cell r="C520">
            <v>0</v>
          </cell>
          <cell r="D520" t="str">
            <v>PHP</v>
          </cell>
          <cell r="E520">
            <v>0</v>
          </cell>
          <cell r="F520" t="str">
            <v>PC</v>
          </cell>
          <cell r="G520">
            <v>0</v>
          </cell>
        </row>
        <row r="521">
          <cell r="B521">
            <v>54086</v>
          </cell>
          <cell r="C521">
            <v>0</v>
          </cell>
          <cell r="D521" t="str">
            <v>PHP</v>
          </cell>
          <cell r="E521">
            <v>0</v>
          </cell>
          <cell r="F521" t="str">
            <v>PC</v>
          </cell>
          <cell r="G521">
            <v>0</v>
          </cell>
        </row>
        <row r="522">
          <cell r="B522">
            <v>54087</v>
          </cell>
          <cell r="C522">
            <v>0</v>
          </cell>
          <cell r="D522" t="str">
            <v>PHP</v>
          </cell>
          <cell r="E522">
            <v>0</v>
          </cell>
          <cell r="F522" t="str">
            <v>PC</v>
          </cell>
          <cell r="G522">
            <v>0</v>
          </cell>
        </row>
        <row r="523">
          <cell r="B523">
            <v>54088</v>
          </cell>
          <cell r="C523">
            <v>0</v>
          </cell>
          <cell r="D523" t="str">
            <v>PHP</v>
          </cell>
          <cell r="E523">
            <v>0</v>
          </cell>
          <cell r="F523" t="str">
            <v>PC</v>
          </cell>
          <cell r="G523">
            <v>0</v>
          </cell>
        </row>
        <row r="524">
          <cell r="B524">
            <v>54542</v>
          </cell>
          <cell r="C524">
            <v>0</v>
          </cell>
          <cell r="D524" t="str">
            <v>PHP</v>
          </cell>
          <cell r="E524">
            <v>0</v>
          </cell>
          <cell r="F524" t="str">
            <v>PC</v>
          </cell>
          <cell r="G524">
            <v>0</v>
          </cell>
        </row>
        <row r="525">
          <cell r="B525">
            <v>54543</v>
          </cell>
          <cell r="C525">
            <v>0</v>
          </cell>
          <cell r="D525" t="str">
            <v>PHP</v>
          </cell>
          <cell r="E525">
            <v>0</v>
          </cell>
          <cell r="F525" t="str">
            <v>PC</v>
          </cell>
          <cell r="G525">
            <v>0</v>
          </cell>
        </row>
        <row r="526">
          <cell r="B526">
            <v>54544</v>
          </cell>
          <cell r="C526">
            <v>0</v>
          </cell>
          <cell r="D526" t="str">
            <v>PHP</v>
          </cell>
          <cell r="E526">
            <v>0</v>
          </cell>
          <cell r="F526" t="str">
            <v>PC</v>
          </cell>
          <cell r="G526">
            <v>0</v>
          </cell>
        </row>
        <row r="527">
          <cell r="B527">
            <v>54545</v>
          </cell>
          <cell r="C527">
            <v>0</v>
          </cell>
          <cell r="D527" t="str">
            <v>PHP</v>
          </cell>
          <cell r="E527">
            <v>0</v>
          </cell>
          <cell r="F527" t="str">
            <v>PC</v>
          </cell>
          <cell r="G527">
            <v>0</v>
          </cell>
        </row>
        <row r="528">
          <cell r="B528">
            <v>54546</v>
          </cell>
          <cell r="C528">
            <v>0</v>
          </cell>
          <cell r="D528" t="str">
            <v>PHP</v>
          </cell>
          <cell r="E528">
            <v>0</v>
          </cell>
          <cell r="F528" t="str">
            <v>PC</v>
          </cell>
          <cell r="G528">
            <v>0</v>
          </cell>
        </row>
        <row r="529">
          <cell r="B529">
            <v>54547</v>
          </cell>
          <cell r="C529">
            <v>0</v>
          </cell>
          <cell r="D529" t="str">
            <v>PHP</v>
          </cell>
          <cell r="E529">
            <v>0</v>
          </cell>
          <cell r="F529" t="str">
            <v>PC</v>
          </cell>
          <cell r="G529">
            <v>0</v>
          </cell>
        </row>
        <row r="530">
          <cell r="B530">
            <v>54549</v>
          </cell>
          <cell r="C530">
            <v>0</v>
          </cell>
          <cell r="D530" t="str">
            <v>PHP</v>
          </cell>
          <cell r="E530">
            <v>0</v>
          </cell>
          <cell r="F530" t="str">
            <v>PC</v>
          </cell>
          <cell r="G530">
            <v>0</v>
          </cell>
        </row>
        <row r="531">
          <cell r="B531">
            <v>54581</v>
          </cell>
          <cell r="C531">
            <v>0</v>
          </cell>
          <cell r="D531" t="str">
            <v>PHP</v>
          </cell>
          <cell r="E531">
            <v>0</v>
          </cell>
          <cell r="F531" t="str">
            <v>PC</v>
          </cell>
          <cell r="G531">
            <v>0</v>
          </cell>
        </row>
        <row r="532">
          <cell r="B532">
            <v>54582</v>
          </cell>
          <cell r="C532">
            <v>0</v>
          </cell>
          <cell r="D532" t="str">
            <v>PHP</v>
          </cell>
          <cell r="E532">
            <v>0</v>
          </cell>
          <cell r="F532" t="str">
            <v>PC</v>
          </cell>
          <cell r="G532">
            <v>0</v>
          </cell>
        </row>
        <row r="533">
          <cell r="B533">
            <v>54583</v>
          </cell>
          <cell r="C533">
            <v>0</v>
          </cell>
          <cell r="D533" t="str">
            <v>PHP</v>
          </cell>
          <cell r="E533">
            <v>0</v>
          </cell>
          <cell r="F533" t="str">
            <v>PC</v>
          </cell>
          <cell r="G533">
            <v>0</v>
          </cell>
        </row>
        <row r="534">
          <cell r="B534">
            <v>54584</v>
          </cell>
          <cell r="C534">
            <v>0</v>
          </cell>
          <cell r="D534" t="str">
            <v>PHP</v>
          </cell>
          <cell r="E534">
            <v>0</v>
          </cell>
          <cell r="F534" t="str">
            <v>PC</v>
          </cell>
          <cell r="G534">
            <v>0</v>
          </cell>
        </row>
        <row r="535">
          <cell r="B535">
            <v>54585</v>
          </cell>
          <cell r="C535">
            <v>0</v>
          </cell>
          <cell r="D535" t="str">
            <v>PHP</v>
          </cell>
          <cell r="E535">
            <v>0</v>
          </cell>
          <cell r="F535" t="str">
            <v>PC</v>
          </cell>
          <cell r="G535">
            <v>0</v>
          </cell>
        </row>
        <row r="536">
          <cell r="B536">
            <v>54586</v>
          </cell>
          <cell r="C536">
            <v>0</v>
          </cell>
          <cell r="D536" t="str">
            <v>PHP</v>
          </cell>
          <cell r="E536">
            <v>0</v>
          </cell>
          <cell r="F536" t="str">
            <v>PC</v>
          </cell>
          <cell r="G536">
            <v>0</v>
          </cell>
        </row>
        <row r="537">
          <cell r="B537">
            <v>54587</v>
          </cell>
          <cell r="C537">
            <v>0</v>
          </cell>
          <cell r="D537" t="str">
            <v>PHP</v>
          </cell>
          <cell r="E537">
            <v>0</v>
          </cell>
          <cell r="F537" t="str">
            <v>PC</v>
          </cell>
          <cell r="G537">
            <v>0</v>
          </cell>
        </row>
        <row r="538">
          <cell r="B538">
            <v>54590</v>
          </cell>
          <cell r="C538">
            <v>0</v>
          </cell>
          <cell r="D538" t="str">
            <v>PHP</v>
          </cell>
          <cell r="E538">
            <v>0</v>
          </cell>
          <cell r="F538" t="str">
            <v>PC</v>
          </cell>
          <cell r="G538">
            <v>0</v>
          </cell>
        </row>
        <row r="539">
          <cell r="B539">
            <v>54602</v>
          </cell>
          <cell r="C539">
            <v>0</v>
          </cell>
          <cell r="D539" t="str">
            <v>PHP</v>
          </cell>
          <cell r="E539">
            <v>0</v>
          </cell>
          <cell r="F539" t="str">
            <v>PC</v>
          </cell>
          <cell r="G539">
            <v>0</v>
          </cell>
        </row>
        <row r="540">
          <cell r="B540">
            <v>54603</v>
          </cell>
          <cell r="C540">
            <v>0</v>
          </cell>
          <cell r="D540" t="str">
            <v>PHP</v>
          </cell>
          <cell r="E540">
            <v>0</v>
          </cell>
          <cell r="F540" t="str">
            <v>PC</v>
          </cell>
          <cell r="G540">
            <v>0</v>
          </cell>
        </row>
        <row r="541">
          <cell r="B541">
            <v>54604</v>
          </cell>
          <cell r="C541">
            <v>0</v>
          </cell>
          <cell r="D541" t="str">
            <v>PHP</v>
          </cell>
          <cell r="E541">
            <v>0</v>
          </cell>
          <cell r="F541" t="str">
            <v>PC</v>
          </cell>
          <cell r="G541">
            <v>0</v>
          </cell>
        </row>
        <row r="542">
          <cell r="B542">
            <v>54605</v>
          </cell>
          <cell r="C542">
            <v>0</v>
          </cell>
          <cell r="D542" t="str">
            <v>PHP</v>
          </cell>
          <cell r="E542">
            <v>0</v>
          </cell>
          <cell r="F542" t="str">
            <v>PC</v>
          </cell>
          <cell r="G542">
            <v>0</v>
          </cell>
        </row>
        <row r="543">
          <cell r="B543">
            <v>54606</v>
          </cell>
          <cell r="C543">
            <v>0</v>
          </cell>
          <cell r="D543" t="str">
            <v>PHP</v>
          </cell>
          <cell r="E543">
            <v>0</v>
          </cell>
          <cell r="F543" t="str">
            <v>PC</v>
          </cell>
          <cell r="G543">
            <v>0</v>
          </cell>
        </row>
        <row r="544">
          <cell r="B544">
            <v>54607</v>
          </cell>
          <cell r="C544">
            <v>0</v>
          </cell>
          <cell r="D544" t="str">
            <v>PHP</v>
          </cell>
          <cell r="E544">
            <v>0</v>
          </cell>
          <cell r="F544" t="str">
            <v>PC</v>
          </cell>
          <cell r="G544">
            <v>0</v>
          </cell>
        </row>
        <row r="545">
          <cell r="B545">
            <v>54608</v>
          </cell>
          <cell r="C545">
            <v>0</v>
          </cell>
          <cell r="D545" t="str">
            <v>PHP</v>
          </cell>
          <cell r="E545">
            <v>0</v>
          </cell>
          <cell r="F545" t="str">
            <v>PC</v>
          </cell>
          <cell r="G545">
            <v>0</v>
          </cell>
        </row>
        <row r="546">
          <cell r="B546">
            <v>54622</v>
          </cell>
          <cell r="C546">
            <v>0</v>
          </cell>
          <cell r="D546" t="str">
            <v>PHP</v>
          </cell>
          <cell r="E546">
            <v>0</v>
          </cell>
          <cell r="F546" t="str">
            <v>PC</v>
          </cell>
          <cell r="G546">
            <v>0</v>
          </cell>
        </row>
        <row r="547">
          <cell r="B547">
            <v>54623</v>
          </cell>
          <cell r="C547">
            <v>0</v>
          </cell>
          <cell r="D547" t="str">
            <v>PHP</v>
          </cell>
          <cell r="E547">
            <v>0</v>
          </cell>
          <cell r="F547" t="str">
            <v>PC</v>
          </cell>
          <cell r="G547">
            <v>0</v>
          </cell>
        </row>
        <row r="548">
          <cell r="B548">
            <v>54624</v>
          </cell>
          <cell r="C548">
            <v>0</v>
          </cell>
          <cell r="D548" t="str">
            <v>PHP</v>
          </cell>
          <cell r="E548">
            <v>0</v>
          </cell>
          <cell r="F548" t="str">
            <v>PC</v>
          </cell>
          <cell r="G548">
            <v>0</v>
          </cell>
        </row>
        <row r="549">
          <cell r="B549">
            <v>54625</v>
          </cell>
          <cell r="C549">
            <v>0</v>
          </cell>
          <cell r="D549" t="str">
            <v>PHP</v>
          </cell>
          <cell r="E549">
            <v>0</v>
          </cell>
          <cell r="F549" t="str">
            <v>PC</v>
          </cell>
          <cell r="G549">
            <v>0</v>
          </cell>
        </row>
        <row r="550">
          <cell r="B550">
            <v>54626</v>
          </cell>
          <cell r="C550">
            <v>0</v>
          </cell>
          <cell r="D550" t="str">
            <v>PHP</v>
          </cell>
          <cell r="E550">
            <v>0</v>
          </cell>
          <cell r="F550" t="str">
            <v>PC</v>
          </cell>
          <cell r="G550">
            <v>0</v>
          </cell>
        </row>
        <row r="551">
          <cell r="B551">
            <v>54627</v>
          </cell>
          <cell r="C551">
            <v>0</v>
          </cell>
          <cell r="D551" t="str">
            <v>PHP</v>
          </cell>
          <cell r="E551">
            <v>0</v>
          </cell>
          <cell r="F551" t="str">
            <v>PC</v>
          </cell>
          <cell r="G551">
            <v>0</v>
          </cell>
        </row>
        <row r="552">
          <cell r="B552">
            <v>54628</v>
          </cell>
          <cell r="C552">
            <v>0</v>
          </cell>
          <cell r="D552" t="str">
            <v>PHP</v>
          </cell>
          <cell r="E552">
            <v>0</v>
          </cell>
          <cell r="F552" t="str">
            <v>PC</v>
          </cell>
          <cell r="G552">
            <v>0</v>
          </cell>
        </row>
        <row r="553">
          <cell r="B553">
            <v>54629</v>
          </cell>
          <cell r="C553">
            <v>0</v>
          </cell>
          <cell r="D553" t="str">
            <v>PHP</v>
          </cell>
          <cell r="E553">
            <v>0</v>
          </cell>
          <cell r="F553" t="str">
            <v>PC</v>
          </cell>
          <cell r="G553">
            <v>0</v>
          </cell>
        </row>
        <row r="554">
          <cell r="B554">
            <v>54630</v>
          </cell>
          <cell r="C554">
            <v>0</v>
          </cell>
          <cell r="D554" t="str">
            <v>PHP</v>
          </cell>
          <cell r="E554">
            <v>0</v>
          </cell>
          <cell r="F554" t="str">
            <v>PC</v>
          </cell>
          <cell r="G554">
            <v>0</v>
          </cell>
        </row>
        <row r="555">
          <cell r="B555">
            <v>54631</v>
          </cell>
          <cell r="C555">
            <v>0</v>
          </cell>
          <cell r="D555" t="str">
            <v>PHP</v>
          </cell>
          <cell r="E555">
            <v>0</v>
          </cell>
          <cell r="F555" t="str">
            <v>PC</v>
          </cell>
          <cell r="G555">
            <v>0</v>
          </cell>
        </row>
        <row r="556">
          <cell r="B556">
            <v>54641</v>
          </cell>
          <cell r="C556">
            <v>0</v>
          </cell>
          <cell r="D556" t="str">
            <v>PHP</v>
          </cell>
          <cell r="E556">
            <v>0</v>
          </cell>
          <cell r="F556" t="str">
            <v>PC</v>
          </cell>
          <cell r="G556">
            <v>0</v>
          </cell>
        </row>
        <row r="557">
          <cell r="B557">
            <v>54642</v>
          </cell>
          <cell r="C557">
            <v>0</v>
          </cell>
          <cell r="D557" t="str">
            <v>PHP</v>
          </cell>
          <cell r="E557">
            <v>0</v>
          </cell>
          <cell r="F557" t="str">
            <v>PC</v>
          </cell>
          <cell r="G557">
            <v>0</v>
          </cell>
        </row>
        <row r="558">
          <cell r="B558">
            <v>54643</v>
          </cell>
          <cell r="C558">
            <v>0</v>
          </cell>
          <cell r="D558" t="str">
            <v>PHP</v>
          </cell>
          <cell r="E558">
            <v>0</v>
          </cell>
          <cell r="F558" t="str">
            <v>PC</v>
          </cell>
          <cell r="G558">
            <v>0</v>
          </cell>
        </row>
        <row r="559">
          <cell r="B559">
            <v>54644</v>
          </cell>
          <cell r="C559">
            <v>0</v>
          </cell>
          <cell r="D559" t="str">
            <v>PHP</v>
          </cell>
          <cell r="E559">
            <v>0</v>
          </cell>
          <cell r="F559" t="str">
            <v>PC</v>
          </cell>
          <cell r="G559">
            <v>0</v>
          </cell>
        </row>
        <row r="560">
          <cell r="B560">
            <v>54645</v>
          </cell>
          <cell r="C560">
            <v>0</v>
          </cell>
          <cell r="D560" t="str">
            <v>PHP</v>
          </cell>
          <cell r="E560">
            <v>0</v>
          </cell>
          <cell r="F560" t="str">
            <v>PC</v>
          </cell>
          <cell r="G560">
            <v>0</v>
          </cell>
        </row>
        <row r="561">
          <cell r="B561">
            <v>54646</v>
          </cell>
          <cell r="C561">
            <v>0</v>
          </cell>
          <cell r="D561" t="str">
            <v>PHP</v>
          </cell>
          <cell r="E561">
            <v>0</v>
          </cell>
          <cell r="F561" t="str">
            <v>PC</v>
          </cell>
          <cell r="G561">
            <v>0</v>
          </cell>
        </row>
        <row r="562">
          <cell r="B562">
            <v>54661</v>
          </cell>
          <cell r="C562">
            <v>0</v>
          </cell>
          <cell r="D562" t="str">
            <v>PHP</v>
          </cell>
          <cell r="E562">
            <v>0</v>
          </cell>
          <cell r="F562" t="str">
            <v>PC</v>
          </cell>
          <cell r="G562">
            <v>0</v>
          </cell>
        </row>
        <row r="563">
          <cell r="B563">
            <v>54662</v>
          </cell>
          <cell r="C563">
            <v>0</v>
          </cell>
          <cell r="D563" t="str">
            <v>PHP</v>
          </cell>
          <cell r="E563">
            <v>0</v>
          </cell>
          <cell r="F563" t="str">
            <v>PC</v>
          </cell>
          <cell r="G563">
            <v>0</v>
          </cell>
        </row>
        <row r="564">
          <cell r="B564">
            <v>54663</v>
          </cell>
          <cell r="C564">
            <v>0</v>
          </cell>
          <cell r="D564" t="str">
            <v>PHP</v>
          </cell>
          <cell r="E564">
            <v>0</v>
          </cell>
          <cell r="F564" t="str">
            <v>PC</v>
          </cell>
          <cell r="G564">
            <v>0</v>
          </cell>
        </row>
        <row r="565">
          <cell r="B565">
            <v>54664</v>
          </cell>
          <cell r="C565">
            <v>0</v>
          </cell>
          <cell r="D565" t="str">
            <v>PHP</v>
          </cell>
          <cell r="E565">
            <v>0</v>
          </cell>
          <cell r="F565" t="str">
            <v>PC</v>
          </cell>
          <cell r="G565">
            <v>0</v>
          </cell>
        </row>
        <row r="566">
          <cell r="B566">
            <v>54665</v>
          </cell>
          <cell r="C566">
            <v>0</v>
          </cell>
          <cell r="D566" t="str">
            <v>PHP</v>
          </cell>
          <cell r="E566">
            <v>0</v>
          </cell>
          <cell r="F566" t="str">
            <v>PC</v>
          </cell>
          <cell r="G566">
            <v>0</v>
          </cell>
        </row>
        <row r="567">
          <cell r="B567">
            <v>54666</v>
          </cell>
          <cell r="C567">
            <v>0</v>
          </cell>
          <cell r="D567" t="str">
            <v>PHP</v>
          </cell>
          <cell r="E567">
            <v>0</v>
          </cell>
          <cell r="F567" t="str">
            <v>PC</v>
          </cell>
          <cell r="G567">
            <v>0</v>
          </cell>
        </row>
        <row r="568">
          <cell r="B568">
            <v>54667</v>
          </cell>
          <cell r="C568">
            <v>0</v>
          </cell>
          <cell r="D568" t="str">
            <v>PHP</v>
          </cell>
          <cell r="E568">
            <v>0</v>
          </cell>
          <cell r="F568" t="str">
            <v>PC</v>
          </cell>
          <cell r="G568">
            <v>0</v>
          </cell>
        </row>
        <row r="569">
          <cell r="B569">
            <v>54668</v>
          </cell>
          <cell r="C569">
            <v>0</v>
          </cell>
          <cell r="D569" t="str">
            <v>PHP</v>
          </cell>
          <cell r="E569">
            <v>0</v>
          </cell>
          <cell r="F569" t="str">
            <v>PC</v>
          </cell>
          <cell r="G569">
            <v>0</v>
          </cell>
        </row>
        <row r="570">
          <cell r="B570">
            <v>54669</v>
          </cell>
          <cell r="C570">
            <v>0</v>
          </cell>
          <cell r="D570" t="str">
            <v>PHP</v>
          </cell>
          <cell r="E570">
            <v>0</v>
          </cell>
          <cell r="F570" t="str">
            <v>PC</v>
          </cell>
          <cell r="G570">
            <v>0</v>
          </cell>
        </row>
        <row r="571">
          <cell r="B571">
            <v>54670</v>
          </cell>
          <cell r="C571">
            <v>0</v>
          </cell>
          <cell r="D571" t="str">
            <v>PHP</v>
          </cell>
          <cell r="E571">
            <v>0</v>
          </cell>
          <cell r="F571" t="str">
            <v>PC</v>
          </cell>
          <cell r="G571">
            <v>0</v>
          </cell>
        </row>
        <row r="572">
          <cell r="B572">
            <v>54681</v>
          </cell>
          <cell r="C572">
            <v>0</v>
          </cell>
          <cell r="D572" t="str">
            <v>PHP</v>
          </cell>
          <cell r="E572">
            <v>0</v>
          </cell>
          <cell r="F572" t="str">
            <v>PC</v>
          </cell>
          <cell r="G572">
            <v>0</v>
          </cell>
        </row>
        <row r="573">
          <cell r="B573">
            <v>54682</v>
          </cell>
          <cell r="C573">
            <v>0</v>
          </cell>
          <cell r="D573" t="str">
            <v>PHP</v>
          </cell>
          <cell r="E573">
            <v>0</v>
          </cell>
          <cell r="F573" t="str">
            <v>PC</v>
          </cell>
          <cell r="G573">
            <v>0</v>
          </cell>
        </row>
        <row r="574">
          <cell r="B574">
            <v>54683</v>
          </cell>
          <cell r="C574">
            <v>0</v>
          </cell>
          <cell r="D574" t="str">
            <v>PHP</v>
          </cell>
          <cell r="E574">
            <v>0</v>
          </cell>
          <cell r="F574" t="str">
            <v>PC</v>
          </cell>
          <cell r="G574">
            <v>0</v>
          </cell>
        </row>
        <row r="575">
          <cell r="B575">
            <v>54684</v>
          </cell>
          <cell r="C575">
            <v>0</v>
          </cell>
          <cell r="D575" t="str">
            <v>PHP</v>
          </cell>
          <cell r="E575">
            <v>0</v>
          </cell>
          <cell r="F575" t="str">
            <v>PC</v>
          </cell>
          <cell r="G575">
            <v>0</v>
          </cell>
        </row>
        <row r="576">
          <cell r="B576">
            <v>54685</v>
          </cell>
          <cell r="C576">
            <v>0</v>
          </cell>
          <cell r="D576" t="str">
            <v>PHP</v>
          </cell>
          <cell r="E576">
            <v>0</v>
          </cell>
          <cell r="F576" t="str">
            <v>PC</v>
          </cell>
          <cell r="G576">
            <v>0</v>
          </cell>
        </row>
        <row r="577">
          <cell r="B577">
            <v>54686</v>
          </cell>
          <cell r="C577">
            <v>0</v>
          </cell>
          <cell r="D577" t="str">
            <v>PHP</v>
          </cell>
          <cell r="E577">
            <v>0</v>
          </cell>
          <cell r="F577" t="str">
            <v>PC</v>
          </cell>
          <cell r="G577">
            <v>0</v>
          </cell>
        </row>
        <row r="578">
          <cell r="B578">
            <v>54687</v>
          </cell>
          <cell r="C578">
            <v>0</v>
          </cell>
          <cell r="D578" t="str">
            <v>PHP</v>
          </cell>
          <cell r="E578">
            <v>0</v>
          </cell>
          <cell r="F578" t="str">
            <v>PC</v>
          </cell>
          <cell r="G578">
            <v>0</v>
          </cell>
        </row>
        <row r="579">
          <cell r="B579">
            <v>54688</v>
          </cell>
          <cell r="C579">
            <v>0</v>
          </cell>
          <cell r="D579" t="str">
            <v>PHP</v>
          </cell>
          <cell r="E579">
            <v>0</v>
          </cell>
          <cell r="F579" t="str">
            <v>PC</v>
          </cell>
          <cell r="G579">
            <v>0</v>
          </cell>
        </row>
        <row r="580">
          <cell r="B580">
            <v>54689</v>
          </cell>
          <cell r="C580">
            <v>0</v>
          </cell>
          <cell r="D580" t="str">
            <v>PHP</v>
          </cell>
          <cell r="E580">
            <v>0</v>
          </cell>
          <cell r="F580" t="str">
            <v>PC</v>
          </cell>
          <cell r="G580">
            <v>0</v>
          </cell>
        </row>
        <row r="581">
          <cell r="B581">
            <v>54701</v>
          </cell>
          <cell r="C581">
            <v>0</v>
          </cell>
          <cell r="D581" t="str">
            <v>PHP</v>
          </cell>
          <cell r="E581">
            <v>0</v>
          </cell>
          <cell r="F581" t="str">
            <v>PC</v>
          </cell>
          <cell r="G581">
            <v>0</v>
          </cell>
        </row>
        <row r="582">
          <cell r="B582">
            <v>54708</v>
          </cell>
          <cell r="C582">
            <v>0</v>
          </cell>
          <cell r="D582" t="str">
            <v>PHP</v>
          </cell>
          <cell r="E582">
            <v>0</v>
          </cell>
          <cell r="F582" t="str">
            <v>PC</v>
          </cell>
          <cell r="G582">
            <v>0</v>
          </cell>
        </row>
        <row r="583">
          <cell r="B583">
            <v>54709</v>
          </cell>
          <cell r="C583">
            <v>0</v>
          </cell>
          <cell r="D583" t="str">
            <v>PHP</v>
          </cell>
          <cell r="E583">
            <v>0</v>
          </cell>
          <cell r="F583" t="str">
            <v>PC</v>
          </cell>
          <cell r="G583">
            <v>0</v>
          </cell>
        </row>
        <row r="584">
          <cell r="B584">
            <v>54724</v>
          </cell>
          <cell r="C584">
            <v>0</v>
          </cell>
          <cell r="D584" t="str">
            <v>PHP</v>
          </cell>
          <cell r="E584">
            <v>0</v>
          </cell>
          <cell r="F584" t="str">
            <v>PC</v>
          </cell>
          <cell r="G584">
            <v>0</v>
          </cell>
        </row>
        <row r="585">
          <cell r="B585">
            <v>54726</v>
          </cell>
          <cell r="C585">
            <v>0</v>
          </cell>
          <cell r="D585" t="str">
            <v>PHP</v>
          </cell>
          <cell r="E585">
            <v>0</v>
          </cell>
          <cell r="F585" t="str">
            <v>PC</v>
          </cell>
          <cell r="G585">
            <v>0</v>
          </cell>
        </row>
        <row r="586">
          <cell r="B586">
            <v>54745</v>
          </cell>
          <cell r="C586">
            <v>0</v>
          </cell>
          <cell r="D586" t="str">
            <v>PHP</v>
          </cell>
          <cell r="E586">
            <v>0</v>
          </cell>
          <cell r="F586" t="str">
            <v>PC</v>
          </cell>
          <cell r="G586">
            <v>0</v>
          </cell>
        </row>
        <row r="587">
          <cell r="B587">
            <v>54763</v>
          </cell>
          <cell r="C587">
            <v>0</v>
          </cell>
          <cell r="D587" t="str">
            <v>PHP</v>
          </cell>
          <cell r="E587">
            <v>0</v>
          </cell>
          <cell r="F587" t="str">
            <v>PC</v>
          </cell>
          <cell r="G587">
            <v>0</v>
          </cell>
        </row>
        <row r="588">
          <cell r="B588">
            <v>54768</v>
          </cell>
          <cell r="C588">
            <v>0</v>
          </cell>
          <cell r="D588" t="str">
            <v>PHP</v>
          </cell>
          <cell r="E588">
            <v>0</v>
          </cell>
          <cell r="F588" t="str">
            <v>PC</v>
          </cell>
          <cell r="G588">
            <v>0</v>
          </cell>
        </row>
        <row r="589">
          <cell r="B589">
            <v>54777</v>
          </cell>
          <cell r="C589">
            <v>0</v>
          </cell>
          <cell r="D589" t="str">
            <v>PHP</v>
          </cell>
          <cell r="E589">
            <v>0</v>
          </cell>
          <cell r="F589" t="str">
            <v>PC</v>
          </cell>
          <cell r="G589">
            <v>0</v>
          </cell>
        </row>
        <row r="590">
          <cell r="B590">
            <v>54781</v>
          </cell>
          <cell r="C590">
            <v>0</v>
          </cell>
          <cell r="D590" t="str">
            <v>PHP</v>
          </cell>
          <cell r="E590">
            <v>0</v>
          </cell>
          <cell r="F590" t="str">
            <v>PC</v>
          </cell>
          <cell r="G590">
            <v>0</v>
          </cell>
        </row>
        <row r="591">
          <cell r="B591">
            <v>54783</v>
          </cell>
          <cell r="C591">
            <v>0</v>
          </cell>
          <cell r="D591" t="str">
            <v>PHP</v>
          </cell>
          <cell r="E591">
            <v>0</v>
          </cell>
          <cell r="F591" t="str">
            <v>PC</v>
          </cell>
          <cell r="G591">
            <v>0</v>
          </cell>
        </row>
        <row r="592">
          <cell r="B592">
            <v>54791</v>
          </cell>
          <cell r="C592">
            <v>0</v>
          </cell>
          <cell r="D592" t="str">
            <v>PHP</v>
          </cell>
          <cell r="E592">
            <v>0</v>
          </cell>
          <cell r="F592" t="str">
            <v>PC</v>
          </cell>
          <cell r="G592">
            <v>0</v>
          </cell>
        </row>
        <row r="593">
          <cell r="B593">
            <v>54792</v>
          </cell>
          <cell r="C593">
            <v>0</v>
          </cell>
          <cell r="D593" t="str">
            <v>PHP</v>
          </cell>
          <cell r="E593">
            <v>0</v>
          </cell>
          <cell r="F593" t="str">
            <v>PC</v>
          </cell>
          <cell r="G593">
            <v>0</v>
          </cell>
        </row>
        <row r="594">
          <cell r="B594">
            <v>54793</v>
          </cell>
          <cell r="C594">
            <v>0</v>
          </cell>
          <cell r="D594" t="str">
            <v>PHP</v>
          </cell>
          <cell r="E594">
            <v>0</v>
          </cell>
          <cell r="F594" t="str">
            <v>PC</v>
          </cell>
          <cell r="G594">
            <v>0</v>
          </cell>
        </row>
        <row r="595">
          <cell r="B595">
            <v>54794</v>
          </cell>
          <cell r="C595">
            <v>0</v>
          </cell>
          <cell r="D595" t="str">
            <v>PHP</v>
          </cell>
          <cell r="E595">
            <v>0</v>
          </cell>
          <cell r="F595" t="str">
            <v>PC</v>
          </cell>
          <cell r="G595">
            <v>0</v>
          </cell>
        </row>
        <row r="596">
          <cell r="B596">
            <v>54795</v>
          </cell>
          <cell r="C596">
            <v>0</v>
          </cell>
          <cell r="D596" t="str">
            <v>PHP</v>
          </cell>
          <cell r="E596">
            <v>0</v>
          </cell>
          <cell r="F596" t="str">
            <v>PC</v>
          </cell>
          <cell r="G596">
            <v>0</v>
          </cell>
        </row>
        <row r="597">
          <cell r="B597">
            <v>54796</v>
          </cell>
          <cell r="C597">
            <v>0</v>
          </cell>
          <cell r="D597" t="str">
            <v>PHP</v>
          </cell>
          <cell r="E597">
            <v>0</v>
          </cell>
          <cell r="F597" t="str">
            <v>PC</v>
          </cell>
          <cell r="G597">
            <v>0</v>
          </cell>
        </row>
        <row r="598">
          <cell r="B598">
            <v>54797</v>
          </cell>
          <cell r="C598">
            <v>0</v>
          </cell>
          <cell r="D598" t="str">
            <v>PHP</v>
          </cell>
          <cell r="E598">
            <v>0</v>
          </cell>
          <cell r="F598" t="str">
            <v>PC</v>
          </cell>
          <cell r="G598">
            <v>0</v>
          </cell>
        </row>
        <row r="599">
          <cell r="B599">
            <v>54799</v>
          </cell>
          <cell r="C599">
            <v>0</v>
          </cell>
          <cell r="D599" t="str">
            <v>PHP</v>
          </cell>
          <cell r="E599">
            <v>0</v>
          </cell>
          <cell r="F599" t="str">
            <v>PC</v>
          </cell>
          <cell r="G599">
            <v>0</v>
          </cell>
        </row>
        <row r="600">
          <cell r="B600">
            <v>54801</v>
          </cell>
          <cell r="C600">
            <v>0</v>
          </cell>
          <cell r="D600" t="str">
            <v>PHP</v>
          </cell>
          <cell r="E600">
            <v>0</v>
          </cell>
          <cell r="F600" t="str">
            <v>PC</v>
          </cell>
          <cell r="G600">
            <v>0</v>
          </cell>
        </row>
        <row r="601">
          <cell r="B601">
            <v>54802</v>
          </cell>
          <cell r="C601">
            <v>0</v>
          </cell>
          <cell r="D601" t="str">
            <v>PHP</v>
          </cell>
          <cell r="E601">
            <v>0</v>
          </cell>
          <cell r="F601" t="str">
            <v>PC</v>
          </cell>
          <cell r="G601">
            <v>0</v>
          </cell>
        </row>
        <row r="602">
          <cell r="B602">
            <v>54806</v>
          </cell>
          <cell r="C602">
            <v>0</v>
          </cell>
          <cell r="D602" t="str">
            <v>PHP</v>
          </cell>
          <cell r="E602">
            <v>0</v>
          </cell>
          <cell r="F602" t="str">
            <v>PC</v>
          </cell>
          <cell r="G602">
            <v>0</v>
          </cell>
        </row>
        <row r="603">
          <cell r="B603">
            <v>54807</v>
          </cell>
          <cell r="C603">
            <v>0</v>
          </cell>
          <cell r="D603" t="str">
            <v>PHP</v>
          </cell>
          <cell r="E603">
            <v>0</v>
          </cell>
          <cell r="F603" t="str">
            <v>PC</v>
          </cell>
          <cell r="G603">
            <v>0</v>
          </cell>
        </row>
        <row r="604">
          <cell r="B604">
            <v>54808</v>
          </cell>
          <cell r="C604">
            <v>0</v>
          </cell>
          <cell r="D604" t="str">
            <v>PHP</v>
          </cell>
          <cell r="E604">
            <v>0</v>
          </cell>
          <cell r="F604" t="str">
            <v>PC</v>
          </cell>
          <cell r="G604">
            <v>0</v>
          </cell>
        </row>
        <row r="605">
          <cell r="B605">
            <v>54809</v>
          </cell>
          <cell r="C605">
            <v>0</v>
          </cell>
          <cell r="D605" t="str">
            <v>PHP</v>
          </cell>
          <cell r="E605">
            <v>0</v>
          </cell>
          <cell r="F605" t="str">
            <v>PC</v>
          </cell>
          <cell r="G605">
            <v>0</v>
          </cell>
        </row>
        <row r="606">
          <cell r="B606">
            <v>54861</v>
          </cell>
          <cell r="C606">
            <v>0</v>
          </cell>
          <cell r="D606" t="str">
            <v>PHP</v>
          </cell>
          <cell r="E606">
            <v>0</v>
          </cell>
          <cell r="F606" t="str">
            <v>PC</v>
          </cell>
          <cell r="G606">
            <v>0</v>
          </cell>
        </row>
        <row r="607">
          <cell r="B607">
            <v>54862</v>
          </cell>
          <cell r="C607">
            <v>0</v>
          </cell>
          <cell r="D607" t="str">
            <v>PHP</v>
          </cell>
          <cell r="E607">
            <v>0</v>
          </cell>
          <cell r="F607" t="str">
            <v>PC</v>
          </cell>
          <cell r="G607">
            <v>0</v>
          </cell>
        </row>
        <row r="608">
          <cell r="B608">
            <v>54863</v>
          </cell>
          <cell r="C608">
            <v>0</v>
          </cell>
          <cell r="D608" t="str">
            <v>PHP</v>
          </cell>
          <cell r="E608">
            <v>0</v>
          </cell>
          <cell r="F608" t="str">
            <v>PC</v>
          </cell>
          <cell r="G608">
            <v>0</v>
          </cell>
        </row>
        <row r="609">
          <cell r="B609">
            <v>54864</v>
          </cell>
          <cell r="C609">
            <v>0</v>
          </cell>
          <cell r="D609" t="str">
            <v>PHP</v>
          </cell>
          <cell r="E609">
            <v>0</v>
          </cell>
          <cell r="F609" t="str">
            <v>PC</v>
          </cell>
          <cell r="G609">
            <v>0</v>
          </cell>
        </row>
        <row r="610">
          <cell r="B610">
            <v>54865</v>
          </cell>
          <cell r="C610">
            <v>0</v>
          </cell>
          <cell r="D610" t="str">
            <v>PHP</v>
          </cell>
          <cell r="E610">
            <v>0</v>
          </cell>
          <cell r="F610" t="str">
            <v>PC</v>
          </cell>
          <cell r="G610">
            <v>0</v>
          </cell>
        </row>
        <row r="611">
          <cell r="B611">
            <v>54866</v>
          </cell>
          <cell r="C611">
            <v>0</v>
          </cell>
          <cell r="D611" t="str">
            <v>PHP</v>
          </cell>
          <cell r="E611">
            <v>0</v>
          </cell>
          <cell r="F611" t="str">
            <v>PC</v>
          </cell>
          <cell r="G611">
            <v>0</v>
          </cell>
        </row>
        <row r="612">
          <cell r="B612">
            <v>54867</v>
          </cell>
          <cell r="C612">
            <v>0</v>
          </cell>
          <cell r="D612" t="str">
            <v>PHP</v>
          </cell>
          <cell r="E612">
            <v>0</v>
          </cell>
          <cell r="F612" t="str">
            <v>PC</v>
          </cell>
          <cell r="G612">
            <v>0</v>
          </cell>
        </row>
        <row r="613">
          <cell r="B613">
            <v>54868</v>
          </cell>
          <cell r="C613">
            <v>0</v>
          </cell>
          <cell r="D613" t="str">
            <v>PHP</v>
          </cell>
          <cell r="E613">
            <v>0</v>
          </cell>
          <cell r="F613" t="str">
            <v>PC</v>
          </cell>
          <cell r="G613">
            <v>0</v>
          </cell>
        </row>
        <row r="614">
          <cell r="B614">
            <v>54869</v>
          </cell>
          <cell r="C614">
            <v>0</v>
          </cell>
          <cell r="D614" t="str">
            <v>PHP</v>
          </cell>
          <cell r="E614">
            <v>0</v>
          </cell>
          <cell r="F614" t="str">
            <v>PC</v>
          </cell>
          <cell r="G614">
            <v>0</v>
          </cell>
        </row>
        <row r="615">
          <cell r="B615">
            <v>54870</v>
          </cell>
          <cell r="C615">
            <v>0</v>
          </cell>
          <cell r="D615" t="str">
            <v>PHP</v>
          </cell>
          <cell r="E615">
            <v>0</v>
          </cell>
          <cell r="F615" t="str">
            <v>PC</v>
          </cell>
          <cell r="G615">
            <v>0</v>
          </cell>
        </row>
        <row r="616">
          <cell r="B616">
            <v>54901</v>
          </cell>
          <cell r="C616">
            <v>0</v>
          </cell>
          <cell r="D616" t="str">
            <v>PHP</v>
          </cell>
          <cell r="E616">
            <v>0</v>
          </cell>
          <cell r="F616" t="str">
            <v>PC</v>
          </cell>
          <cell r="G616">
            <v>0</v>
          </cell>
        </row>
        <row r="617">
          <cell r="B617">
            <v>54902</v>
          </cell>
          <cell r="C617">
            <v>0</v>
          </cell>
          <cell r="D617" t="str">
            <v>PHP</v>
          </cell>
          <cell r="E617">
            <v>0</v>
          </cell>
          <cell r="F617" t="str">
            <v>PC</v>
          </cell>
          <cell r="G617">
            <v>0</v>
          </cell>
        </row>
        <row r="618">
          <cell r="B618">
            <v>54903</v>
          </cell>
          <cell r="C618">
            <v>0</v>
          </cell>
          <cell r="D618" t="str">
            <v>PHP</v>
          </cell>
          <cell r="E618">
            <v>0</v>
          </cell>
          <cell r="F618" t="str">
            <v>PC</v>
          </cell>
          <cell r="G618">
            <v>0</v>
          </cell>
        </row>
        <row r="619">
          <cell r="B619">
            <v>54904</v>
          </cell>
          <cell r="C619">
            <v>0</v>
          </cell>
          <cell r="D619" t="str">
            <v>PHP</v>
          </cell>
          <cell r="E619">
            <v>0</v>
          </cell>
          <cell r="F619" t="str">
            <v>PC</v>
          </cell>
          <cell r="G619">
            <v>0</v>
          </cell>
        </row>
        <row r="620">
          <cell r="B620">
            <v>54905</v>
          </cell>
          <cell r="C620">
            <v>0</v>
          </cell>
          <cell r="D620" t="str">
            <v>PHP</v>
          </cell>
          <cell r="E620">
            <v>0</v>
          </cell>
          <cell r="F620" t="str">
            <v>PC</v>
          </cell>
          <cell r="G620">
            <v>0</v>
          </cell>
        </row>
        <row r="621">
          <cell r="B621">
            <v>54906</v>
          </cell>
          <cell r="C621">
            <v>0</v>
          </cell>
          <cell r="D621" t="str">
            <v>PHP</v>
          </cell>
          <cell r="E621">
            <v>0</v>
          </cell>
          <cell r="F621" t="str">
            <v>PC</v>
          </cell>
          <cell r="G621">
            <v>0</v>
          </cell>
        </row>
        <row r="622">
          <cell r="B622">
            <v>54908</v>
          </cell>
          <cell r="C622">
            <v>0</v>
          </cell>
          <cell r="D622" t="str">
            <v>PHP</v>
          </cell>
          <cell r="E622">
            <v>0</v>
          </cell>
          <cell r="F622" t="str">
            <v>PC</v>
          </cell>
          <cell r="G622">
            <v>0</v>
          </cell>
        </row>
        <row r="623">
          <cell r="B623">
            <v>54909</v>
          </cell>
          <cell r="C623">
            <v>0</v>
          </cell>
          <cell r="D623" t="str">
            <v>PHP</v>
          </cell>
          <cell r="E623">
            <v>0</v>
          </cell>
          <cell r="F623" t="str">
            <v>PC</v>
          </cell>
          <cell r="G623">
            <v>0</v>
          </cell>
        </row>
        <row r="624">
          <cell r="B624">
            <v>54910</v>
          </cell>
          <cell r="C624">
            <v>0</v>
          </cell>
          <cell r="D624" t="str">
            <v>PHP</v>
          </cell>
          <cell r="E624">
            <v>0</v>
          </cell>
          <cell r="F624" t="str">
            <v>PC</v>
          </cell>
          <cell r="G624">
            <v>0</v>
          </cell>
        </row>
        <row r="625">
          <cell r="B625">
            <v>54921</v>
          </cell>
          <cell r="C625">
            <v>0</v>
          </cell>
          <cell r="D625" t="str">
            <v>PHP</v>
          </cell>
          <cell r="E625">
            <v>0</v>
          </cell>
          <cell r="F625" t="str">
            <v>PC</v>
          </cell>
          <cell r="G625">
            <v>0</v>
          </cell>
        </row>
        <row r="626">
          <cell r="B626">
            <v>54923</v>
          </cell>
          <cell r="C626">
            <v>0</v>
          </cell>
          <cell r="D626" t="str">
            <v>PHP</v>
          </cell>
          <cell r="E626">
            <v>0</v>
          </cell>
          <cell r="F626" t="str">
            <v>PC</v>
          </cell>
          <cell r="G626">
            <v>0</v>
          </cell>
        </row>
        <row r="627">
          <cell r="B627">
            <v>54924</v>
          </cell>
          <cell r="C627">
            <v>0</v>
          </cell>
          <cell r="D627" t="str">
            <v>PHP</v>
          </cell>
          <cell r="E627">
            <v>0</v>
          </cell>
          <cell r="F627" t="str">
            <v>PC</v>
          </cell>
          <cell r="G627">
            <v>0</v>
          </cell>
        </row>
        <row r="628">
          <cell r="B628">
            <v>54925</v>
          </cell>
          <cell r="C628">
            <v>0</v>
          </cell>
          <cell r="D628" t="str">
            <v>PHP</v>
          </cell>
          <cell r="E628">
            <v>0</v>
          </cell>
          <cell r="F628" t="str">
            <v>PC</v>
          </cell>
          <cell r="G628">
            <v>0</v>
          </cell>
        </row>
        <row r="629">
          <cell r="B629">
            <v>54926</v>
          </cell>
          <cell r="C629">
            <v>0</v>
          </cell>
          <cell r="D629" t="str">
            <v>PHP</v>
          </cell>
          <cell r="E629">
            <v>0</v>
          </cell>
          <cell r="F629" t="str">
            <v>PC</v>
          </cell>
          <cell r="G629">
            <v>0</v>
          </cell>
        </row>
        <row r="630">
          <cell r="B630">
            <v>54927</v>
          </cell>
          <cell r="C630">
            <v>0</v>
          </cell>
          <cell r="D630" t="str">
            <v>PHP</v>
          </cell>
          <cell r="E630">
            <v>0</v>
          </cell>
          <cell r="F630" t="str">
            <v>PC</v>
          </cell>
          <cell r="G630">
            <v>0</v>
          </cell>
        </row>
        <row r="631">
          <cell r="B631">
            <v>54928</v>
          </cell>
          <cell r="C631">
            <v>0</v>
          </cell>
          <cell r="D631" t="str">
            <v>PHP</v>
          </cell>
          <cell r="E631">
            <v>0</v>
          </cell>
          <cell r="F631" t="str">
            <v>PC</v>
          </cell>
          <cell r="G631">
            <v>0</v>
          </cell>
        </row>
        <row r="632">
          <cell r="B632">
            <v>54929</v>
          </cell>
          <cell r="C632">
            <v>0</v>
          </cell>
          <cell r="D632" t="str">
            <v>PHP</v>
          </cell>
          <cell r="E632">
            <v>0</v>
          </cell>
          <cell r="F632" t="str">
            <v>PC</v>
          </cell>
          <cell r="G632">
            <v>0</v>
          </cell>
        </row>
        <row r="633">
          <cell r="B633">
            <v>54930</v>
          </cell>
          <cell r="C633">
            <v>0</v>
          </cell>
          <cell r="D633" t="str">
            <v>PHP</v>
          </cell>
          <cell r="E633">
            <v>0</v>
          </cell>
          <cell r="F633" t="str">
            <v>PC</v>
          </cell>
          <cell r="G633">
            <v>0</v>
          </cell>
        </row>
        <row r="634">
          <cell r="B634">
            <v>54944</v>
          </cell>
          <cell r="C634">
            <v>0</v>
          </cell>
          <cell r="D634" t="str">
            <v>PHP</v>
          </cell>
          <cell r="E634">
            <v>0</v>
          </cell>
          <cell r="F634" t="str">
            <v>PC</v>
          </cell>
          <cell r="G634">
            <v>0</v>
          </cell>
        </row>
        <row r="635">
          <cell r="B635">
            <v>54945</v>
          </cell>
          <cell r="C635">
            <v>0</v>
          </cell>
          <cell r="D635" t="str">
            <v>PHP</v>
          </cell>
          <cell r="E635">
            <v>0</v>
          </cell>
          <cell r="F635" t="str">
            <v>PC</v>
          </cell>
          <cell r="G635">
            <v>0</v>
          </cell>
        </row>
        <row r="636">
          <cell r="B636">
            <v>54946</v>
          </cell>
          <cell r="C636">
            <v>0</v>
          </cell>
          <cell r="D636" t="str">
            <v>PHP</v>
          </cell>
          <cell r="E636">
            <v>0</v>
          </cell>
          <cell r="F636" t="str">
            <v>PC</v>
          </cell>
          <cell r="G636">
            <v>0</v>
          </cell>
        </row>
        <row r="637">
          <cell r="B637">
            <v>54947</v>
          </cell>
          <cell r="C637">
            <v>0</v>
          </cell>
          <cell r="D637" t="str">
            <v>PHP</v>
          </cell>
          <cell r="E637">
            <v>0</v>
          </cell>
          <cell r="F637" t="str">
            <v>PC</v>
          </cell>
          <cell r="G637">
            <v>0</v>
          </cell>
        </row>
        <row r="638">
          <cell r="B638">
            <v>54950</v>
          </cell>
          <cell r="C638">
            <v>0</v>
          </cell>
          <cell r="D638" t="str">
            <v>PHP</v>
          </cell>
          <cell r="E638">
            <v>0</v>
          </cell>
          <cell r="F638" t="str">
            <v>PC</v>
          </cell>
          <cell r="G638">
            <v>0</v>
          </cell>
        </row>
        <row r="639">
          <cell r="B639">
            <v>54983</v>
          </cell>
          <cell r="C639">
            <v>0</v>
          </cell>
          <cell r="D639" t="str">
            <v>PHP</v>
          </cell>
          <cell r="E639">
            <v>0</v>
          </cell>
          <cell r="F639" t="str">
            <v>PC</v>
          </cell>
          <cell r="G639">
            <v>0</v>
          </cell>
        </row>
        <row r="640">
          <cell r="B640">
            <v>54984</v>
          </cell>
          <cell r="C640">
            <v>0</v>
          </cell>
          <cell r="D640" t="str">
            <v>PHP</v>
          </cell>
          <cell r="E640">
            <v>0</v>
          </cell>
          <cell r="F640" t="str">
            <v>PC</v>
          </cell>
          <cell r="G640">
            <v>0</v>
          </cell>
        </row>
        <row r="641">
          <cell r="B641">
            <v>54985</v>
          </cell>
          <cell r="C641">
            <v>0</v>
          </cell>
          <cell r="D641" t="str">
            <v>PHP</v>
          </cell>
          <cell r="E641">
            <v>0</v>
          </cell>
          <cell r="F641" t="str">
            <v>PC</v>
          </cell>
          <cell r="G641">
            <v>0</v>
          </cell>
        </row>
        <row r="642">
          <cell r="B642">
            <v>54986</v>
          </cell>
          <cell r="C642">
            <v>0</v>
          </cell>
          <cell r="D642" t="str">
            <v>PHP</v>
          </cell>
          <cell r="E642">
            <v>0</v>
          </cell>
          <cell r="F642" t="str">
            <v>PC</v>
          </cell>
          <cell r="G642">
            <v>0</v>
          </cell>
        </row>
        <row r="643">
          <cell r="B643">
            <v>56401</v>
          </cell>
          <cell r="C643">
            <v>0</v>
          </cell>
          <cell r="D643" t="str">
            <v>PHP</v>
          </cell>
          <cell r="E643">
            <v>0</v>
          </cell>
          <cell r="F643" t="str">
            <v>PC</v>
          </cell>
          <cell r="G643">
            <v>0</v>
          </cell>
        </row>
        <row r="644">
          <cell r="B644">
            <v>56402</v>
          </cell>
          <cell r="C644">
            <v>0</v>
          </cell>
          <cell r="D644" t="str">
            <v>PHP</v>
          </cell>
          <cell r="E644">
            <v>0</v>
          </cell>
          <cell r="F644" t="str">
            <v>PC</v>
          </cell>
          <cell r="G644">
            <v>0</v>
          </cell>
        </row>
        <row r="645">
          <cell r="B645">
            <v>56423</v>
          </cell>
          <cell r="C645">
            <v>0</v>
          </cell>
          <cell r="D645" t="str">
            <v>PHP</v>
          </cell>
          <cell r="E645">
            <v>0</v>
          </cell>
          <cell r="F645" t="str">
            <v>PC</v>
          </cell>
          <cell r="G645">
            <v>0</v>
          </cell>
        </row>
        <row r="646">
          <cell r="B646">
            <v>56424</v>
          </cell>
          <cell r="C646">
            <v>0</v>
          </cell>
          <cell r="D646" t="str">
            <v>PHP</v>
          </cell>
          <cell r="E646">
            <v>0</v>
          </cell>
          <cell r="F646" t="str">
            <v>PC</v>
          </cell>
          <cell r="G646">
            <v>0</v>
          </cell>
        </row>
        <row r="647">
          <cell r="B647">
            <v>56425</v>
          </cell>
          <cell r="C647">
            <v>0</v>
          </cell>
          <cell r="D647" t="str">
            <v>PHP</v>
          </cell>
          <cell r="E647">
            <v>0</v>
          </cell>
          <cell r="F647" t="str">
            <v>PC</v>
          </cell>
          <cell r="G647">
            <v>0</v>
          </cell>
        </row>
        <row r="648">
          <cell r="B648">
            <v>56426</v>
          </cell>
          <cell r="C648">
            <v>0</v>
          </cell>
          <cell r="D648" t="str">
            <v>PHP</v>
          </cell>
          <cell r="E648">
            <v>0</v>
          </cell>
          <cell r="F648" t="str">
            <v>PC</v>
          </cell>
          <cell r="G648">
            <v>0</v>
          </cell>
        </row>
        <row r="649">
          <cell r="B649">
            <v>56427</v>
          </cell>
          <cell r="C649">
            <v>0</v>
          </cell>
          <cell r="D649" t="str">
            <v>PHP</v>
          </cell>
          <cell r="E649">
            <v>0</v>
          </cell>
          <cell r="F649" t="str">
            <v>PC</v>
          </cell>
          <cell r="G649">
            <v>0</v>
          </cell>
        </row>
        <row r="650">
          <cell r="B650">
            <v>56430</v>
          </cell>
          <cell r="C650">
            <v>0</v>
          </cell>
          <cell r="D650" t="str">
            <v>PHP</v>
          </cell>
          <cell r="E650">
            <v>0</v>
          </cell>
          <cell r="F650" t="str">
            <v>PC</v>
          </cell>
          <cell r="G650">
            <v>0</v>
          </cell>
        </row>
        <row r="651">
          <cell r="B651">
            <v>56461</v>
          </cell>
          <cell r="C651">
            <v>0</v>
          </cell>
          <cell r="D651" t="str">
            <v>PHP</v>
          </cell>
          <cell r="E651">
            <v>0</v>
          </cell>
          <cell r="F651" t="str">
            <v>PC</v>
          </cell>
          <cell r="G651">
            <v>0</v>
          </cell>
        </row>
        <row r="652">
          <cell r="B652">
            <v>56462</v>
          </cell>
          <cell r="C652">
            <v>0</v>
          </cell>
          <cell r="D652" t="str">
            <v>PHP</v>
          </cell>
          <cell r="E652">
            <v>0</v>
          </cell>
          <cell r="F652" t="str">
            <v>PC</v>
          </cell>
          <cell r="G652">
            <v>0</v>
          </cell>
        </row>
        <row r="653">
          <cell r="B653">
            <v>56463</v>
          </cell>
          <cell r="C653">
            <v>0</v>
          </cell>
          <cell r="D653" t="str">
            <v>PHP</v>
          </cell>
          <cell r="E653">
            <v>0</v>
          </cell>
          <cell r="F653" t="str">
            <v>PC</v>
          </cell>
          <cell r="G653">
            <v>0</v>
          </cell>
        </row>
        <row r="654">
          <cell r="B654">
            <v>56464</v>
          </cell>
          <cell r="C654">
            <v>0</v>
          </cell>
          <cell r="D654" t="str">
            <v>PHP</v>
          </cell>
          <cell r="E654">
            <v>0</v>
          </cell>
          <cell r="F654" t="str">
            <v>PC</v>
          </cell>
          <cell r="G654">
            <v>0</v>
          </cell>
        </row>
        <row r="655">
          <cell r="B655">
            <v>56465</v>
          </cell>
          <cell r="C655">
            <v>0</v>
          </cell>
          <cell r="D655" t="str">
            <v>PHP</v>
          </cell>
          <cell r="E655">
            <v>0</v>
          </cell>
          <cell r="F655" t="str">
            <v>PC</v>
          </cell>
          <cell r="G655">
            <v>0</v>
          </cell>
        </row>
        <row r="656">
          <cell r="B656">
            <v>56466</v>
          </cell>
          <cell r="C656">
            <v>0</v>
          </cell>
          <cell r="D656" t="str">
            <v>PHP</v>
          </cell>
          <cell r="E656">
            <v>0</v>
          </cell>
          <cell r="F656" t="str">
            <v>PC</v>
          </cell>
          <cell r="G656">
            <v>0</v>
          </cell>
        </row>
        <row r="657">
          <cell r="B657">
            <v>56467</v>
          </cell>
          <cell r="C657">
            <v>0</v>
          </cell>
          <cell r="D657" t="str">
            <v>PHP</v>
          </cell>
          <cell r="E657">
            <v>0</v>
          </cell>
          <cell r="F657" t="str">
            <v>PC</v>
          </cell>
          <cell r="G657">
            <v>0</v>
          </cell>
        </row>
        <row r="658">
          <cell r="B658">
            <v>56468</v>
          </cell>
          <cell r="C658">
            <v>0</v>
          </cell>
          <cell r="D658" t="str">
            <v>PHP</v>
          </cell>
          <cell r="E658">
            <v>0</v>
          </cell>
          <cell r="F658" t="str">
            <v>PC</v>
          </cell>
          <cell r="G658">
            <v>0</v>
          </cell>
        </row>
        <row r="659">
          <cell r="B659">
            <v>56469</v>
          </cell>
          <cell r="C659">
            <v>0</v>
          </cell>
          <cell r="D659" t="str">
            <v>PHP</v>
          </cell>
          <cell r="E659">
            <v>0</v>
          </cell>
          <cell r="F659" t="str">
            <v>PC</v>
          </cell>
          <cell r="G659">
            <v>0</v>
          </cell>
        </row>
        <row r="660">
          <cell r="B660">
            <v>56481</v>
          </cell>
          <cell r="C660">
            <v>0</v>
          </cell>
          <cell r="D660" t="str">
            <v>PHP</v>
          </cell>
          <cell r="E660">
            <v>0</v>
          </cell>
          <cell r="F660" t="str">
            <v>PC</v>
          </cell>
          <cell r="G660">
            <v>0</v>
          </cell>
        </row>
        <row r="661">
          <cell r="B661">
            <v>56482</v>
          </cell>
          <cell r="C661">
            <v>0</v>
          </cell>
          <cell r="D661" t="str">
            <v>PHP</v>
          </cell>
          <cell r="E661">
            <v>0</v>
          </cell>
          <cell r="F661" t="str">
            <v>PC</v>
          </cell>
          <cell r="G661">
            <v>0</v>
          </cell>
        </row>
        <row r="662">
          <cell r="B662">
            <v>56485</v>
          </cell>
          <cell r="C662">
            <v>0</v>
          </cell>
          <cell r="D662" t="str">
            <v>PHP</v>
          </cell>
          <cell r="E662">
            <v>0</v>
          </cell>
          <cell r="F662" t="str">
            <v>PC</v>
          </cell>
          <cell r="G662">
            <v>0</v>
          </cell>
        </row>
        <row r="663">
          <cell r="B663">
            <v>56491</v>
          </cell>
          <cell r="C663">
            <v>0</v>
          </cell>
          <cell r="D663" t="str">
            <v>PHP</v>
          </cell>
          <cell r="E663">
            <v>0</v>
          </cell>
          <cell r="F663" t="str">
            <v>PC</v>
          </cell>
          <cell r="G663">
            <v>0</v>
          </cell>
        </row>
        <row r="664">
          <cell r="B664">
            <v>56493</v>
          </cell>
          <cell r="C664">
            <v>0</v>
          </cell>
          <cell r="D664" t="str">
            <v>PHP</v>
          </cell>
          <cell r="E664">
            <v>0</v>
          </cell>
          <cell r="F664" t="str">
            <v>PC</v>
          </cell>
          <cell r="G664">
            <v>0</v>
          </cell>
        </row>
        <row r="665">
          <cell r="B665">
            <v>62544</v>
          </cell>
          <cell r="C665">
            <v>0</v>
          </cell>
          <cell r="D665" t="str">
            <v>PHP</v>
          </cell>
          <cell r="E665">
            <v>0</v>
          </cell>
          <cell r="F665" t="str">
            <v>PC</v>
          </cell>
          <cell r="G665">
            <v>0</v>
          </cell>
        </row>
        <row r="666">
          <cell r="B666">
            <v>62545</v>
          </cell>
          <cell r="C666">
            <v>0</v>
          </cell>
          <cell r="D666" t="str">
            <v>PHP</v>
          </cell>
          <cell r="E666">
            <v>0</v>
          </cell>
          <cell r="F666" t="str">
            <v>PC</v>
          </cell>
          <cell r="G666">
            <v>0</v>
          </cell>
        </row>
        <row r="667">
          <cell r="B667">
            <v>66002</v>
          </cell>
          <cell r="C667">
            <v>0</v>
          </cell>
          <cell r="D667" t="str">
            <v>PHP</v>
          </cell>
          <cell r="E667">
            <v>0</v>
          </cell>
          <cell r="F667" t="str">
            <v>PC</v>
          </cell>
          <cell r="G667">
            <v>0</v>
          </cell>
        </row>
        <row r="668">
          <cell r="B668">
            <v>66003</v>
          </cell>
          <cell r="C668">
            <v>0</v>
          </cell>
          <cell r="D668" t="str">
            <v>PHP</v>
          </cell>
          <cell r="E668">
            <v>0</v>
          </cell>
          <cell r="F668" t="str">
            <v>PC</v>
          </cell>
          <cell r="G668">
            <v>0</v>
          </cell>
        </row>
        <row r="669">
          <cell r="B669">
            <v>66561</v>
          </cell>
          <cell r="C669">
            <v>0</v>
          </cell>
          <cell r="D669" t="str">
            <v>PHP</v>
          </cell>
          <cell r="E669">
            <v>0</v>
          </cell>
          <cell r="F669" t="str">
            <v>PC</v>
          </cell>
          <cell r="G669">
            <v>0</v>
          </cell>
        </row>
        <row r="670">
          <cell r="B670">
            <v>67981</v>
          </cell>
          <cell r="C670">
            <v>0</v>
          </cell>
          <cell r="D670" t="str">
            <v>PHP</v>
          </cell>
          <cell r="E670">
            <v>0</v>
          </cell>
          <cell r="F670" t="str">
            <v>PC</v>
          </cell>
          <cell r="G670">
            <v>0</v>
          </cell>
        </row>
        <row r="671">
          <cell r="B671">
            <v>67983</v>
          </cell>
          <cell r="C671">
            <v>86491.06</v>
          </cell>
          <cell r="D671" t="str">
            <v>PHP</v>
          </cell>
          <cell r="E671">
            <v>2</v>
          </cell>
          <cell r="F671" t="str">
            <v>PC</v>
          </cell>
          <cell r="G671">
            <v>0</v>
          </cell>
        </row>
        <row r="672">
          <cell r="B672">
            <v>67984</v>
          </cell>
          <cell r="C672">
            <v>161791.07</v>
          </cell>
          <cell r="D672" t="str">
            <v>PHP</v>
          </cell>
          <cell r="E672">
            <v>3</v>
          </cell>
          <cell r="F672" t="str">
            <v>PC</v>
          </cell>
          <cell r="G672">
            <v>0</v>
          </cell>
        </row>
        <row r="673">
          <cell r="B673">
            <v>67985</v>
          </cell>
          <cell r="C673">
            <v>0</v>
          </cell>
          <cell r="D673" t="str">
            <v>PHP</v>
          </cell>
          <cell r="E673">
            <v>0</v>
          </cell>
          <cell r="F673" t="str">
            <v>PC</v>
          </cell>
          <cell r="G673">
            <v>0</v>
          </cell>
        </row>
        <row r="674">
          <cell r="B674">
            <v>67986</v>
          </cell>
          <cell r="C674">
            <v>130419.73</v>
          </cell>
          <cell r="D674" t="str">
            <v>PHP</v>
          </cell>
          <cell r="E674">
            <v>4</v>
          </cell>
          <cell r="F674" t="str">
            <v>PC</v>
          </cell>
          <cell r="G674">
            <v>0</v>
          </cell>
        </row>
        <row r="675">
          <cell r="B675">
            <v>69202</v>
          </cell>
          <cell r="C675">
            <v>0</v>
          </cell>
          <cell r="D675" t="str">
            <v>PHP</v>
          </cell>
          <cell r="E675">
            <v>0</v>
          </cell>
          <cell r="F675" t="str">
            <v>PC</v>
          </cell>
          <cell r="G675">
            <v>0</v>
          </cell>
        </row>
        <row r="676">
          <cell r="B676">
            <v>69321</v>
          </cell>
          <cell r="C676">
            <v>0</v>
          </cell>
          <cell r="D676" t="str">
            <v>PHP</v>
          </cell>
          <cell r="E676">
            <v>0</v>
          </cell>
          <cell r="F676" t="str">
            <v>SET</v>
          </cell>
          <cell r="G676">
            <v>0</v>
          </cell>
        </row>
        <row r="677">
          <cell r="B677">
            <v>69801</v>
          </cell>
          <cell r="C677">
            <v>0</v>
          </cell>
          <cell r="D677" t="str">
            <v>PHP</v>
          </cell>
          <cell r="E677">
            <v>0</v>
          </cell>
          <cell r="F677" t="str">
            <v>PC</v>
          </cell>
          <cell r="G677">
            <v>0</v>
          </cell>
        </row>
        <row r="678">
          <cell r="B678">
            <v>69866</v>
          </cell>
          <cell r="C678">
            <v>0</v>
          </cell>
          <cell r="D678" t="str">
            <v>PHP</v>
          </cell>
          <cell r="E678">
            <v>0</v>
          </cell>
          <cell r="F678" t="str">
            <v>PC</v>
          </cell>
          <cell r="G678">
            <v>0</v>
          </cell>
        </row>
        <row r="679">
          <cell r="B679">
            <v>72847</v>
          </cell>
          <cell r="C679">
            <v>0</v>
          </cell>
          <cell r="D679" t="str">
            <v>PHP</v>
          </cell>
          <cell r="E679">
            <v>0</v>
          </cell>
          <cell r="F679" t="str">
            <v>LOT</v>
          </cell>
          <cell r="G679">
            <v>0</v>
          </cell>
        </row>
        <row r="680">
          <cell r="B680">
            <v>72865</v>
          </cell>
          <cell r="C680">
            <v>0</v>
          </cell>
          <cell r="D680" t="str">
            <v>PHP</v>
          </cell>
          <cell r="E680">
            <v>0</v>
          </cell>
          <cell r="F680" t="str">
            <v>D</v>
          </cell>
          <cell r="G680">
            <v>0</v>
          </cell>
        </row>
        <row r="681">
          <cell r="B681">
            <v>74041</v>
          </cell>
          <cell r="C681">
            <v>0</v>
          </cell>
          <cell r="D681" t="str">
            <v>PHP</v>
          </cell>
          <cell r="E681">
            <v>0</v>
          </cell>
          <cell r="F681" t="str">
            <v>PC</v>
          </cell>
          <cell r="G681">
            <v>0</v>
          </cell>
        </row>
        <row r="682">
          <cell r="B682">
            <v>75786</v>
          </cell>
          <cell r="C682">
            <v>0</v>
          </cell>
          <cell r="D682" t="str">
            <v>PHP</v>
          </cell>
          <cell r="E682">
            <v>0</v>
          </cell>
          <cell r="F682" t="str">
            <v>PC</v>
          </cell>
          <cell r="G682">
            <v>0</v>
          </cell>
        </row>
        <row r="683">
          <cell r="B683">
            <v>77681</v>
          </cell>
          <cell r="C683">
            <v>0</v>
          </cell>
          <cell r="D683" t="str">
            <v>PHP</v>
          </cell>
          <cell r="E683">
            <v>0</v>
          </cell>
          <cell r="F683" t="str">
            <v>PC</v>
          </cell>
          <cell r="G683">
            <v>0</v>
          </cell>
        </row>
        <row r="684">
          <cell r="B684">
            <v>77682</v>
          </cell>
          <cell r="C684">
            <v>486074.65</v>
          </cell>
          <cell r="D684" t="str">
            <v>PHP</v>
          </cell>
          <cell r="E684">
            <v>3</v>
          </cell>
          <cell r="F684" t="str">
            <v>SET</v>
          </cell>
          <cell r="G684">
            <v>0</v>
          </cell>
        </row>
        <row r="685">
          <cell r="B685">
            <v>85122</v>
          </cell>
          <cell r="C685">
            <v>0</v>
          </cell>
          <cell r="D685" t="str">
            <v>PHP</v>
          </cell>
          <cell r="E685">
            <v>0</v>
          </cell>
          <cell r="F685" t="str">
            <v>PC</v>
          </cell>
          <cell r="G685">
            <v>0</v>
          </cell>
        </row>
        <row r="686">
          <cell r="B686">
            <v>85210</v>
          </cell>
          <cell r="C686">
            <v>38791179.789999999</v>
          </cell>
          <cell r="D686" t="str">
            <v>PHP</v>
          </cell>
          <cell r="E686">
            <v>73</v>
          </cell>
          <cell r="F686" t="str">
            <v>LEN</v>
          </cell>
          <cell r="G686">
            <v>0</v>
          </cell>
        </row>
        <row r="687">
          <cell r="B687">
            <v>85214</v>
          </cell>
          <cell r="C687">
            <v>0</v>
          </cell>
          <cell r="D687" t="str">
            <v>PHP</v>
          </cell>
          <cell r="E687">
            <v>0</v>
          </cell>
          <cell r="F687" t="str">
            <v>PC</v>
          </cell>
          <cell r="G687">
            <v>0</v>
          </cell>
        </row>
        <row r="688">
          <cell r="B688">
            <v>85216</v>
          </cell>
          <cell r="C688">
            <v>1029200.31</v>
          </cell>
          <cell r="D688" t="str">
            <v>PHP</v>
          </cell>
          <cell r="E688">
            <v>1</v>
          </cell>
          <cell r="F688" t="str">
            <v>PC</v>
          </cell>
          <cell r="G688">
            <v>0</v>
          </cell>
        </row>
        <row r="689">
          <cell r="B689">
            <v>85227</v>
          </cell>
          <cell r="C689">
            <v>29299.56</v>
          </cell>
          <cell r="D689" t="str">
            <v>PHP</v>
          </cell>
          <cell r="E689">
            <v>1</v>
          </cell>
          <cell r="F689" t="str">
            <v>SET</v>
          </cell>
          <cell r="G689">
            <v>0</v>
          </cell>
        </row>
        <row r="690">
          <cell r="B690">
            <v>85239</v>
          </cell>
          <cell r="C690">
            <v>31168.799999999999</v>
          </cell>
          <cell r="D690" t="str">
            <v>PHP</v>
          </cell>
          <cell r="E690">
            <v>3</v>
          </cell>
          <cell r="F690" t="str">
            <v>SET</v>
          </cell>
          <cell r="G690">
            <v>0</v>
          </cell>
        </row>
        <row r="691">
          <cell r="B691">
            <v>85243</v>
          </cell>
          <cell r="C691">
            <v>35465.089999999997</v>
          </cell>
          <cell r="D691" t="str">
            <v>PHP</v>
          </cell>
          <cell r="E691">
            <v>10</v>
          </cell>
          <cell r="F691" t="str">
            <v>PC</v>
          </cell>
          <cell r="G691">
            <v>0</v>
          </cell>
        </row>
        <row r="692">
          <cell r="B692">
            <v>85360</v>
          </cell>
          <cell r="C692">
            <v>0</v>
          </cell>
          <cell r="D692" t="str">
            <v>PHP</v>
          </cell>
          <cell r="E692">
            <v>0</v>
          </cell>
          <cell r="F692" t="str">
            <v>PC</v>
          </cell>
          <cell r="G692">
            <v>0</v>
          </cell>
        </row>
        <row r="693">
          <cell r="B693">
            <v>85421</v>
          </cell>
          <cell r="C693">
            <v>0</v>
          </cell>
          <cell r="D693" t="str">
            <v>PHP</v>
          </cell>
          <cell r="E693">
            <v>0</v>
          </cell>
          <cell r="F693" t="str">
            <v>PC</v>
          </cell>
          <cell r="G693">
            <v>0</v>
          </cell>
        </row>
        <row r="694">
          <cell r="B694">
            <v>85883</v>
          </cell>
          <cell r="C694">
            <v>0</v>
          </cell>
          <cell r="D694" t="str">
            <v>PHP</v>
          </cell>
          <cell r="E694">
            <v>0</v>
          </cell>
          <cell r="F694" t="str">
            <v>PC</v>
          </cell>
          <cell r="G694">
            <v>0</v>
          </cell>
        </row>
        <row r="695">
          <cell r="B695">
            <v>85884</v>
          </cell>
          <cell r="C695">
            <v>0</v>
          </cell>
          <cell r="D695" t="str">
            <v>PHP</v>
          </cell>
          <cell r="E695">
            <v>0</v>
          </cell>
          <cell r="F695" t="str">
            <v>ASY</v>
          </cell>
          <cell r="G695">
            <v>0</v>
          </cell>
        </row>
        <row r="696">
          <cell r="B696">
            <v>85885</v>
          </cell>
          <cell r="C696">
            <v>0</v>
          </cell>
          <cell r="D696" t="str">
            <v>PHP</v>
          </cell>
          <cell r="E696">
            <v>0</v>
          </cell>
          <cell r="F696" t="str">
            <v>PC</v>
          </cell>
          <cell r="G696">
            <v>0</v>
          </cell>
        </row>
        <row r="697">
          <cell r="B697">
            <v>85892</v>
          </cell>
          <cell r="C697">
            <v>0</v>
          </cell>
          <cell r="D697" t="str">
            <v>PHP</v>
          </cell>
          <cell r="E697">
            <v>0</v>
          </cell>
          <cell r="F697" t="str">
            <v>PC</v>
          </cell>
          <cell r="G697">
            <v>0</v>
          </cell>
        </row>
        <row r="698">
          <cell r="B698">
            <v>85896</v>
          </cell>
          <cell r="C698">
            <v>0</v>
          </cell>
          <cell r="D698" t="str">
            <v>PHP</v>
          </cell>
          <cell r="E698">
            <v>0</v>
          </cell>
          <cell r="F698" t="str">
            <v>PC</v>
          </cell>
          <cell r="G698">
            <v>0</v>
          </cell>
        </row>
        <row r="699">
          <cell r="B699">
            <v>85897</v>
          </cell>
          <cell r="C699">
            <v>0</v>
          </cell>
          <cell r="D699" t="str">
            <v>PHP</v>
          </cell>
          <cell r="E699">
            <v>0</v>
          </cell>
          <cell r="F699" t="str">
            <v>PC</v>
          </cell>
          <cell r="G699">
            <v>0</v>
          </cell>
        </row>
        <row r="700">
          <cell r="B700">
            <v>85898</v>
          </cell>
          <cell r="C700">
            <v>0</v>
          </cell>
          <cell r="D700" t="str">
            <v>PHP</v>
          </cell>
          <cell r="E700">
            <v>0</v>
          </cell>
          <cell r="F700" t="str">
            <v>ASY</v>
          </cell>
          <cell r="G700">
            <v>0</v>
          </cell>
        </row>
        <row r="701">
          <cell r="B701">
            <v>85920</v>
          </cell>
          <cell r="C701">
            <v>0</v>
          </cell>
          <cell r="D701" t="str">
            <v>PHP</v>
          </cell>
          <cell r="E701">
            <v>0</v>
          </cell>
          <cell r="F701" t="str">
            <v>PC</v>
          </cell>
          <cell r="G701">
            <v>0</v>
          </cell>
        </row>
        <row r="702">
          <cell r="B702">
            <v>85928</v>
          </cell>
          <cell r="C702">
            <v>0</v>
          </cell>
          <cell r="D702" t="str">
            <v>PHP</v>
          </cell>
          <cell r="E702">
            <v>0</v>
          </cell>
          <cell r="F702" t="str">
            <v>PC</v>
          </cell>
          <cell r="G702">
            <v>0</v>
          </cell>
        </row>
        <row r="703">
          <cell r="B703">
            <v>85934</v>
          </cell>
          <cell r="C703">
            <v>0</v>
          </cell>
          <cell r="D703" t="str">
            <v>PHP</v>
          </cell>
          <cell r="E703">
            <v>0</v>
          </cell>
          <cell r="F703" t="str">
            <v>PC</v>
          </cell>
          <cell r="G703">
            <v>0</v>
          </cell>
        </row>
        <row r="704">
          <cell r="B704">
            <v>86165</v>
          </cell>
          <cell r="C704">
            <v>0</v>
          </cell>
          <cell r="D704" t="str">
            <v>PHP</v>
          </cell>
          <cell r="E704">
            <v>0</v>
          </cell>
          <cell r="F704" t="str">
            <v>PC</v>
          </cell>
          <cell r="G704">
            <v>0</v>
          </cell>
        </row>
        <row r="705">
          <cell r="B705">
            <v>87166</v>
          </cell>
          <cell r="C705">
            <v>0</v>
          </cell>
          <cell r="D705" t="str">
            <v>PHP</v>
          </cell>
          <cell r="E705">
            <v>0</v>
          </cell>
          <cell r="F705" t="str">
            <v>PC</v>
          </cell>
          <cell r="G705">
            <v>0</v>
          </cell>
        </row>
        <row r="706">
          <cell r="B706">
            <v>87176</v>
          </cell>
          <cell r="C706">
            <v>0</v>
          </cell>
          <cell r="D706" t="str">
            <v>PHP</v>
          </cell>
          <cell r="E706">
            <v>0</v>
          </cell>
          <cell r="F706" t="str">
            <v>PC</v>
          </cell>
          <cell r="G706">
            <v>0</v>
          </cell>
        </row>
        <row r="707">
          <cell r="B707">
            <v>108568</v>
          </cell>
          <cell r="C707">
            <v>0</v>
          </cell>
          <cell r="D707" t="str">
            <v>PHP</v>
          </cell>
          <cell r="E707">
            <v>0</v>
          </cell>
          <cell r="F707" t="str">
            <v>PC</v>
          </cell>
          <cell r="G707">
            <v>0</v>
          </cell>
        </row>
        <row r="708">
          <cell r="B708">
            <v>108595</v>
          </cell>
          <cell r="C708">
            <v>949857.51</v>
          </cell>
          <cell r="D708" t="str">
            <v>PHP</v>
          </cell>
          <cell r="E708">
            <v>4</v>
          </cell>
          <cell r="F708" t="str">
            <v>PC</v>
          </cell>
          <cell r="G708">
            <v>0</v>
          </cell>
        </row>
        <row r="709">
          <cell r="B709">
            <v>109154</v>
          </cell>
          <cell r="C709">
            <v>0</v>
          </cell>
          <cell r="D709" t="str">
            <v>PHP</v>
          </cell>
          <cell r="E709">
            <v>0</v>
          </cell>
          <cell r="F709" t="str">
            <v>PC</v>
          </cell>
          <cell r="G709">
            <v>0</v>
          </cell>
        </row>
        <row r="710">
          <cell r="B710">
            <v>109161</v>
          </cell>
          <cell r="C710">
            <v>0</v>
          </cell>
          <cell r="D710" t="str">
            <v>PHP</v>
          </cell>
          <cell r="E710">
            <v>0</v>
          </cell>
          <cell r="F710" t="str">
            <v>PC</v>
          </cell>
          <cell r="G710">
            <v>0</v>
          </cell>
        </row>
        <row r="711">
          <cell r="B711">
            <v>109180</v>
          </cell>
          <cell r="C711">
            <v>0</v>
          </cell>
          <cell r="D711" t="str">
            <v>PHP</v>
          </cell>
          <cell r="E711">
            <v>0</v>
          </cell>
          <cell r="F711" t="str">
            <v>PC</v>
          </cell>
          <cell r="G711">
            <v>0</v>
          </cell>
        </row>
        <row r="712">
          <cell r="B712">
            <v>109261</v>
          </cell>
          <cell r="C712">
            <v>0</v>
          </cell>
          <cell r="D712" t="str">
            <v>PHP</v>
          </cell>
          <cell r="E712">
            <v>0</v>
          </cell>
          <cell r="F712" t="str">
            <v>PL</v>
          </cell>
          <cell r="G712">
            <v>0</v>
          </cell>
        </row>
        <row r="713">
          <cell r="B713">
            <v>109766</v>
          </cell>
          <cell r="C713">
            <v>0</v>
          </cell>
          <cell r="D713" t="str">
            <v>PHP</v>
          </cell>
          <cell r="E713">
            <v>0</v>
          </cell>
          <cell r="F713" t="str">
            <v>PC</v>
          </cell>
          <cell r="G713">
            <v>0</v>
          </cell>
        </row>
        <row r="714">
          <cell r="B714">
            <v>109768</v>
          </cell>
          <cell r="C714">
            <v>4273205.97</v>
          </cell>
          <cell r="D714" t="str">
            <v>PHP</v>
          </cell>
          <cell r="E714">
            <v>3</v>
          </cell>
          <cell r="F714" t="str">
            <v>PC</v>
          </cell>
          <cell r="G714">
            <v>0</v>
          </cell>
        </row>
        <row r="715">
          <cell r="B715">
            <v>110454</v>
          </cell>
          <cell r="C715">
            <v>496417.49</v>
          </cell>
          <cell r="D715" t="str">
            <v>PHP</v>
          </cell>
          <cell r="E715">
            <v>57</v>
          </cell>
          <cell r="F715" t="str">
            <v>LEN</v>
          </cell>
          <cell r="G715">
            <v>0</v>
          </cell>
        </row>
        <row r="716">
          <cell r="B716">
            <v>110496</v>
          </cell>
          <cell r="C716">
            <v>0</v>
          </cell>
          <cell r="D716" t="str">
            <v>PHP</v>
          </cell>
          <cell r="E716">
            <v>0</v>
          </cell>
          <cell r="F716" t="str">
            <v>BAG</v>
          </cell>
          <cell r="G716">
            <v>0</v>
          </cell>
        </row>
        <row r="717">
          <cell r="B717">
            <v>110804</v>
          </cell>
          <cell r="C717">
            <v>0</v>
          </cell>
          <cell r="D717" t="str">
            <v>PHP</v>
          </cell>
          <cell r="E717">
            <v>0</v>
          </cell>
          <cell r="F717" t="str">
            <v>BOX</v>
          </cell>
          <cell r="G717">
            <v>0</v>
          </cell>
        </row>
        <row r="718">
          <cell r="B718">
            <v>111104</v>
          </cell>
          <cell r="C718">
            <v>0</v>
          </cell>
          <cell r="D718" t="str">
            <v>PHP</v>
          </cell>
          <cell r="E718">
            <v>0</v>
          </cell>
          <cell r="F718" t="str">
            <v>LEN</v>
          </cell>
          <cell r="G718">
            <v>0</v>
          </cell>
        </row>
        <row r="719">
          <cell r="B719">
            <v>111105</v>
          </cell>
          <cell r="C719">
            <v>0</v>
          </cell>
          <cell r="D719" t="str">
            <v>PHP</v>
          </cell>
          <cell r="E719">
            <v>0</v>
          </cell>
          <cell r="F719" t="str">
            <v>LEN</v>
          </cell>
          <cell r="G719">
            <v>0</v>
          </cell>
        </row>
        <row r="720">
          <cell r="B720">
            <v>111482</v>
          </cell>
          <cell r="C720">
            <v>0</v>
          </cell>
          <cell r="D720" t="str">
            <v>PHP</v>
          </cell>
          <cell r="E720">
            <v>0</v>
          </cell>
          <cell r="F720" t="str">
            <v>PC</v>
          </cell>
          <cell r="G720">
            <v>0</v>
          </cell>
        </row>
        <row r="721">
          <cell r="B721">
            <v>111483</v>
          </cell>
          <cell r="C721">
            <v>0</v>
          </cell>
          <cell r="D721" t="str">
            <v>PHP</v>
          </cell>
          <cell r="E721">
            <v>0</v>
          </cell>
          <cell r="F721" t="str">
            <v>PC</v>
          </cell>
          <cell r="G721">
            <v>0</v>
          </cell>
        </row>
        <row r="722">
          <cell r="B722">
            <v>111484</v>
          </cell>
          <cell r="C722">
            <v>0</v>
          </cell>
          <cell r="D722" t="str">
            <v>PHP</v>
          </cell>
          <cell r="E722">
            <v>0</v>
          </cell>
          <cell r="F722" t="str">
            <v>PC</v>
          </cell>
          <cell r="G722">
            <v>0</v>
          </cell>
        </row>
        <row r="723">
          <cell r="B723">
            <v>111485</v>
          </cell>
          <cell r="C723">
            <v>0</v>
          </cell>
          <cell r="D723" t="str">
            <v>PHP</v>
          </cell>
          <cell r="E723">
            <v>0</v>
          </cell>
          <cell r="F723" t="str">
            <v>PC</v>
          </cell>
          <cell r="G723">
            <v>0</v>
          </cell>
        </row>
        <row r="724">
          <cell r="B724">
            <v>111514</v>
          </cell>
          <cell r="C724">
            <v>833225.36</v>
          </cell>
          <cell r="D724" t="str">
            <v>PHP</v>
          </cell>
          <cell r="E724">
            <v>1</v>
          </cell>
          <cell r="F724" t="str">
            <v>SET</v>
          </cell>
          <cell r="G724">
            <v>0</v>
          </cell>
        </row>
        <row r="725">
          <cell r="B725">
            <v>114804</v>
          </cell>
          <cell r="C725">
            <v>0</v>
          </cell>
          <cell r="D725" t="str">
            <v>PHP</v>
          </cell>
          <cell r="E725">
            <v>0</v>
          </cell>
          <cell r="F725" t="str">
            <v>PC</v>
          </cell>
          <cell r="G725">
            <v>0</v>
          </cell>
        </row>
        <row r="726">
          <cell r="B726">
            <v>114865</v>
          </cell>
          <cell r="C726">
            <v>0</v>
          </cell>
          <cell r="D726" t="str">
            <v>PHP</v>
          </cell>
          <cell r="E726">
            <v>0</v>
          </cell>
          <cell r="F726" t="str">
            <v>LEN</v>
          </cell>
          <cell r="G726">
            <v>0</v>
          </cell>
        </row>
        <row r="727">
          <cell r="B727">
            <v>115057</v>
          </cell>
          <cell r="C727">
            <v>0</v>
          </cell>
          <cell r="D727" t="str">
            <v>PHP</v>
          </cell>
          <cell r="E727">
            <v>0</v>
          </cell>
          <cell r="F727" t="str">
            <v>LEN</v>
          </cell>
          <cell r="G727">
            <v>0</v>
          </cell>
        </row>
        <row r="728">
          <cell r="B728">
            <v>115058</v>
          </cell>
          <cell r="C728">
            <v>3351254.57</v>
          </cell>
          <cell r="D728" t="str">
            <v>PHP</v>
          </cell>
          <cell r="E728">
            <v>56</v>
          </cell>
          <cell r="F728" t="str">
            <v>LEN</v>
          </cell>
          <cell r="G728">
            <v>0</v>
          </cell>
        </row>
        <row r="729">
          <cell r="B729">
            <v>115060</v>
          </cell>
          <cell r="C729">
            <v>1909133.62</v>
          </cell>
          <cell r="D729" t="str">
            <v>PHP</v>
          </cell>
          <cell r="E729">
            <v>1</v>
          </cell>
          <cell r="F729" t="str">
            <v>PC</v>
          </cell>
          <cell r="G729">
            <v>0</v>
          </cell>
        </row>
        <row r="730">
          <cell r="B730">
            <v>115062</v>
          </cell>
          <cell r="C730">
            <v>0</v>
          </cell>
          <cell r="D730" t="str">
            <v>PHP</v>
          </cell>
          <cell r="E730">
            <v>0</v>
          </cell>
          <cell r="F730" t="str">
            <v>PC</v>
          </cell>
          <cell r="G730">
            <v>0</v>
          </cell>
        </row>
        <row r="731">
          <cell r="B731">
            <v>115422</v>
          </cell>
          <cell r="C731">
            <v>0</v>
          </cell>
          <cell r="D731" t="str">
            <v>PHP</v>
          </cell>
          <cell r="E731">
            <v>0</v>
          </cell>
          <cell r="F731" t="str">
            <v>PC</v>
          </cell>
          <cell r="G731">
            <v>0</v>
          </cell>
        </row>
        <row r="732">
          <cell r="B732">
            <v>115423</v>
          </cell>
          <cell r="C732">
            <v>0</v>
          </cell>
          <cell r="D732" t="str">
            <v>PHP</v>
          </cell>
          <cell r="E732">
            <v>0</v>
          </cell>
          <cell r="F732" t="str">
            <v>PC</v>
          </cell>
          <cell r="G732">
            <v>0</v>
          </cell>
        </row>
        <row r="733">
          <cell r="B733">
            <v>115866</v>
          </cell>
          <cell r="C733">
            <v>187130.63</v>
          </cell>
          <cell r="D733" t="str">
            <v>PHP</v>
          </cell>
          <cell r="E733">
            <v>2</v>
          </cell>
          <cell r="F733" t="str">
            <v>PC</v>
          </cell>
          <cell r="G733">
            <v>0</v>
          </cell>
        </row>
        <row r="734">
          <cell r="B734">
            <v>115868</v>
          </cell>
          <cell r="C734">
            <v>471495.58</v>
          </cell>
          <cell r="D734" t="str">
            <v>PHP</v>
          </cell>
          <cell r="E734">
            <v>3</v>
          </cell>
          <cell r="F734" t="str">
            <v>PC</v>
          </cell>
          <cell r="G734">
            <v>0</v>
          </cell>
        </row>
        <row r="735">
          <cell r="B735">
            <v>120117</v>
          </cell>
          <cell r="C735">
            <v>880171.5</v>
          </cell>
          <cell r="D735" t="str">
            <v>PHP</v>
          </cell>
          <cell r="E735">
            <v>1</v>
          </cell>
          <cell r="F735" t="str">
            <v>PC</v>
          </cell>
          <cell r="G735">
            <v>0</v>
          </cell>
        </row>
      </sheetData>
      <sheetData sheetId="5">
        <row r="6">
          <cell r="B6">
            <v>361</v>
          </cell>
          <cell r="C6">
            <v>0</v>
          </cell>
          <cell r="D6" t="str">
            <v>PHP</v>
          </cell>
          <cell r="E6">
            <v>0</v>
          </cell>
          <cell r="F6" t="str">
            <v>PC</v>
          </cell>
          <cell r="G6">
            <v>0</v>
          </cell>
        </row>
        <row r="7">
          <cell r="B7">
            <v>414</v>
          </cell>
          <cell r="C7">
            <v>0</v>
          </cell>
          <cell r="D7" t="str">
            <v>PHP</v>
          </cell>
          <cell r="E7">
            <v>0</v>
          </cell>
          <cell r="F7" t="str">
            <v>PC</v>
          </cell>
          <cell r="G7">
            <v>0</v>
          </cell>
        </row>
        <row r="8">
          <cell r="B8">
            <v>422</v>
          </cell>
          <cell r="C8">
            <v>0</v>
          </cell>
          <cell r="D8" t="str">
            <v>PHP</v>
          </cell>
          <cell r="E8">
            <v>0</v>
          </cell>
          <cell r="F8" t="str">
            <v>PC</v>
          </cell>
          <cell r="G8">
            <v>0</v>
          </cell>
        </row>
        <row r="9">
          <cell r="B9">
            <v>1002</v>
          </cell>
          <cell r="C9">
            <v>0</v>
          </cell>
          <cell r="D9" t="str">
            <v>PHP</v>
          </cell>
          <cell r="E9">
            <v>0</v>
          </cell>
          <cell r="F9" t="str">
            <v>PC</v>
          </cell>
          <cell r="G9">
            <v>0</v>
          </cell>
        </row>
        <row r="10">
          <cell r="B10">
            <v>1127</v>
          </cell>
          <cell r="C10">
            <v>0</v>
          </cell>
          <cell r="D10" t="str">
            <v>PHP</v>
          </cell>
          <cell r="E10">
            <v>0</v>
          </cell>
          <cell r="F10" t="str">
            <v>PC</v>
          </cell>
          <cell r="G10">
            <v>0</v>
          </cell>
        </row>
        <row r="11">
          <cell r="B11">
            <v>1495</v>
          </cell>
          <cell r="C11">
            <v>0</v>
          </cell>
          <cell r="D11" t="str">
            <v>PHP</v>
          </cell>
          <cell r="E11">
            <v>0</v>
          </cell>
          <cell r="F11" t="str">
            <v>PC</v>
          </cell>
          <cell r="G11">
            <v>0</v>
          </cell>
        </row>
        <row r="12">
          <cell r="B12">
            <v>1703</v>
          </cell>
          <cell r="C12">
            <v>0</v>
          </cell>
          <cell r="D12" t="str">
            <v>PHP</v>
          </cell>
          <cell r="E12">
            <v>0</v>
          </cell>
          <cell r="F12" t="str">
            <v>PC</v>
          </cell>
          <cell r="G12">
            <v>0</v>
          </cell>
        </row>
        <row r="13">
          <cell r="B13">
            <v>1714</v>
          </cell>
          <cell r="C13">
            <v>0</v>
          </cell>
          <cell r="D13" t="str">
            <v>PHP</v>
          </cell>
          <cell r="E13">
            <v>0</v>
          </cell>
          <cell r="F13" t="str">
            <v>PC</v>
          </cell>
          <cell r="G13">
            <v>0</v>
          </cell>
        </row>
        <row r="14">
          <cell r="B14">
            <v>1993</v>
          </cell>
          <cell r="C14">
            <v>0</v>
          </cell>
          <cell r="D14" t="str">
            <v>PHP</v>
          </cell>
          <cell r="E14">
            <v>0</v>
          </cell>
          <cell r="F14" t="str">
            <v>PC</v>
          </cell>
          <cell r="G14">
            <v>0</v>
          </cell>
        </row>
        <row r="15">
          <cell r="B15">
            <v>2516</v>
          </cell>
          <cell r="C15">
            <v>515475.20000000001</v>
          </cell>
          <cell r="D15" t="str">
            <v>PHP</v>
          </cell>
          <cell r="E15">
            <v>1</v>
          </cell>
          <cell r="F15" t="str">
            <v>PC</v>
          </cell>
          <cell r="G15">
            <v>0</v>
          </cell>
        </row>
        <row r="16">
          <cell r="B16">
            <v>2614</v>
          </cell>
          <cell r="C16">
            <v>0</v>
          </cell>
          <cell r="D16" t="str">
            <v>PHP</v>
          </cell>
          <cell r="E16">
            <v>0</v>
          </cell>
          <cell r="F16" t="str">
            <v>PC</v>
          </cell>
          <cell r="G16">
            <v>0</v>
          </cell>
        </row>
        <row r="17">
          <cell r="B17">
            <v>2923</v>
          </cell>
          <cell r="C17">
            <v>0</v>
          </cell>
          <cell r="D17" t="str">
            <v>PHP</v>
          </cell>
          <cell r="E17">
            <v>0</v>
          </cell>
          <cell r="F17" t="str">
            <v>PC</v>
          </cell>
          <cell r="G17">
            <v>0</v>
          </cell>
        </row>
        <row r="18">
          <cell r="B18">
            <v>2949</v>
          </cell>
          <cell r="C18">
            <v>0</v>
          </cell>
          <cell r="D18" t="str">
            <v>PHP</v>
          </cell>
          <cell r="E18">
            <v>0</v>
          </cell>
          <cell r="F18" t="str">
            <v>PC</v>
          </cell>
          <cell r="G18">
            <v>0</v>
          </cell>
        </row>
        <row r="19">
          <cell r="B19">
            <v>3078</v>
          </cell>
          <cell r="C19">
            <v>594996.93999999994</v>
          </cell>
          <cell r="D19" t="str">
            <v>PHP</v>
          </cell>
          <cell r="E19">
            <v>1</v>
          </cell>
          <cell r="F19" t="str">
            <v>PC</v>
          </cell>
          <cell r="G19">
            <v>0</v>
          </cell>
        </row>
        <row r="20">
          <cell r="B20">
            <v>3086</v>
          </cell>
          <cell r="C20">
            <v>0</v>
          </cell>
          <cell r="D20" t="str">
            <v>PHP</v>
          </cell>
          <cell r="E20">
            <v>0</v>
          </cell>
          <cell r="F20" t="str">
            <v>LEN</v>
          </cell>
          <cell r="G20">
            <v>0</v>
          </cell>
        </row>
        <row r="21">
          <cell r="B21">
            <v>3087</v>
          </cell>
          <cell r="C21">
            <v>5386060.6799999997</v>
          </cell>
          <cell r="D21" t="str">
            <v>PHP</v>
          </cell>
          <cell r="E21">
            <v>132</v>
          </cell>
          <cell r="F21" t="str">
            <v>LEN</v>
          </cell>
          <cell r="G21">
            <v>0</v>
          </cell>
        </row>
        <row r="22">
          <cell r="B22">
            <v>3091</v>
          </cell>
          <cell r="C22">
            <v>269696.3</v>
          </cell>
          <cell r="D22" t="str">
            <v>PHP</v>
          </cell>
          <cell r="E22">
            <v>2</v>
          </cell>
          <cell r="F22" t="str">
            <v>PC</v>
          </cell>
          <cell r="G22">
            <v>0</v>
          </cell>
        </row>
        <row r="23">
          <cell r="B23">
            <v>3109</v>
          </cell>
          <cell r="C23">
            <v>799056</v>
          </cell>
          <cell r="D23" t="str">
            <v>PHP</v>
          </cell>
          <cell r="E23">
            <v>100</v>
          </cell>
          <cell r="F23" t="str">
            <v>PC</v>
          </cell>
          <cell r="G23">
            <v>0</v>
          </cell>
        </row>
        <row r="24">
          <cell r="B24">
            <v>3198</v>
          </cell>
          <cell r="C24">
            <v>0</v>
          </cell>
          <cell r="D24" t="str">
            <v>PHP</v>
          </cell>
          <cell r="E24">
            <v>0</v>
          </cell>
          <cell r="F24" t="str">
            <v>PC</v>
          </cell>
          <cell r="G24">
            <v>0</v>
          </cell>
        </row>
        <row r="25">
          <cell r="B25">
            <v>3726</v>
          </cell>
          <cell r="C25">
            <v>0</v>
          </cell>
          <cell r="D25" t="str">
            <v>PHP</v>
          </cell>
          <cell r="E25">
            <v>0</v>
          </cell>
          <cell r="F25" t="str">
            <v>PC</v>
          </cell>
          <cell r="G25">
            <v>0</v>
          </cell>
        </row>
        <row r="26">
          <cell r="B26">
            <v>3799</v>
          </cell>
          <cell r="C26">
            <v>0</v>
          </cell>
          <cell r="D26" t="str">
            <v>PHP</v>
          </cell>
          <cell r="E26">
            <v>0</v>
          </cell>
          <cell r="F26" t="str">
            <v>PC</v>
          </cell>
          <cell r="G26">
            <v>0</v>
          </cell>
        </row>
        <row r="27">
          <cell r="B27">
            <v>3849</v>
          </cell>
          <cell r="C27">
            <v>0</v>
          </cell>
          <cell r="D27" t="str">
            <v>PHP</v>
          </cell>
          <cell r="E27">
            <v>0</v>
          </cell>
          <cell r="F27" t="str">
            <v>PC</v>
          </cell>
          <cell r="G27">
            <v>0</v>
          </cell>
        </row>
        <row r="28">
          <cell r="B28">
            <v>4059</v>
          </cell>
          <cell r="C28">
            <v>9860</v>
          </cell>
          <cell r="D28" t="str">
            <v>PHP</v>
          </cell>
          <cell r="E28">
            <v>10</v>
          </cell>
          <cell r="F28" t="str">
            <v>ASY</v>
          </cell>
          <cell r="G28">
            <v>0</v>
          </cell>
        </row>
        <row r="29">
          <cell r="B29">
            <v>4709</v>
          </cell>
          <cell r="C29">
            <v>0</v>
          </cell>
          <cell r="D29" t="str">
            <v>PHP</v>
          </cell>
          <cell r="E29">
            <v>0</v>
          </cell>
          <cell r="F29" t="str">
            <v>PC</v>
          </cell>
          <cell r="G29">
            <v>0</v>
          </cell>
        </row>
        <row r="30">
          <cell r="B30">
            <v>5625</v>
          </cell>
          <cell r="C30">
            <v>0</v>
          </cell>
          <cell r="D30" t="str">
            <v>PHP</v>
          </cell>
          <cell r="E30">
            <v>0</v>
          </cell>
          <cell r="F30" t="str">
            <v>DR</v>
          </cell>
          <cell r="G30">
            <v>0</v>
          </cell>
        </row>
        <row r="31">
          <cell r="B31">
            <v>5862</v>
          </cell>
          <cell r="C31">
            <v>0</v>
          </cell>
          <cell r="D31" t="str">
            <v>PHP</v>
          </cell>
          <cell r="E31">
            <v>0</v>
          </cell>
          <cell r="F31" t="str">
            <v>PC</v>
          </cell>
          <cell r="G31">
            <v>0</v>
          </cell>
        </row>
        <row r="32">
          <cell r="B32">
            <v>6155</v>
          </cell>
          <cell r="C32">
            <v>0</v>
          </cell>
          <cell r="D32" t="str">
            <v>PHP</v>
          </cell>
          <cell r="E32">
            <v>0</v>
          </cell>
          <cell r="F32" t="str">
            <v>PC</v>
          </cell>
          <cell r="G32">
            <v>0</v>
          </cell>
        </row>
        <row r="33">
          <cell r="B33">
            <v>6333</v>
          </cell>
          <cell r="C33">
            <v>0</v>
          </cell>
          <cell r="D33" t="str">
            <v>PHP</v>
          </cell>
          <cell r="E33">
            <v>0</v>
          </cell>
          <cell r="F33" t="str">
            <v>PC</v>
          </cell>
          <cell r="G33">
            <v>0</v>
          </cell>
        </row>
        <row r="34">
          <cell r="B34">
            <v>6695</v>
          </cell>
          <cell r="C34">
            <v>0</v>
          </cell>
          <cell r="D34" t="str">
            <v>PHP</v>
          </cell>
          <cell r="E34">
            <v>0</v>
          </cell>
          <cell r="F34" t="str">
            <v>PC</v>
          </cell>
          <cell r="G34">
            <v>0</v>
          </cell>
        </row>
        <row r="35">
          <cell r="B35">
            <v>6696</v>
          </cell>
          <cell r="C35">
            <v>0</v>
          </cell>
          <cell r="D35" t="str">
            <v>PHP</v>
          </cell>
          <cell r="E35">
            <v>0</v>
          </cell>
          <cell r="F35" t="str">
            <v>PC</v>
          </cell>
          <cell r="G35">
            <v>0</v>
          </cell>
        </row>
        <row r="36">
          <cell r="B36">
            <v>6708</v>
          </cell>
          <cell r="C36">
            <v>0</v>
          </cell>
          <cell r="D36" t="str">
            <v>PHP</v>
          </cell>
          <cell r="E36">
            <v>0</v>
          </cell>
          <cell r="F36" t="str">
            <v>PC</v>
          </cell>
          <cell r="G36">
            <v>0</v>
          </cell>
        </row>
        <row r="37">
          <cell r="B37">
            <v>6709</v>
          </cell>
          <cell r="C37">
            <v>0</v>
          </cell>
          <cell r="D37" t="str">
            <v>PHP</v>
          </cell>
          <cell r="E37">
            <v>0</v>
          </cell>
          <cell r="F37" t="str">
            <v>PC</v>
          </cell>
          <cell r="G37">
            <v>0</v>
          </cell>
        </row>
        <row r="38">
          <cell r="B38">
            <v>6710</v>
          </cell>
          <cell r="C38">
            <v>0</v>
          </cell>
          <cell r="D38" t="str">
            <v>PHP</v>
          </cell>
          <cell r="E38">
            <v>0</v>
          </cell>
          <cell r="F38" t="str">
            <v>PC</v>
          </cell>
          <cell r="G38">
            <v>0</v>
          </cell>
        </row>
        <row r="39">
          <cell r="B39">
            <v>6711</v>
          </cell>
          <cell r="C39">
            <v>0</v>
          </cell>
          <cell r="D39" t="str">
            <v>PHP</v>
          </cell>
          <cell r="E39">
            <v>0</v>
          </cell>
          <cell r="F39" t="str">
            <v>PC</v>
          </cell>
          <cell r="G39">
            <v>0</v>
          </cell>
        </row>
        <row r="40">
          <cell r="B40">
            <v>6712</v>
          </cell>
          <cell r="C40">
            <v>0</v>
          </cell>
          <cell r="D40" t="str">
            <v>PHP</v>
          </cell>
          <cell r="E40">
            <v>0</v>
          </cell>
          <cell r="F40" t="str">
            <v>PC</v>
          </cell>
          <cell r="G40">
            <v>0</v>
          </cell>
        </row>
        <row r="41">
          <cell r="B41">
            <v>6713</v>
          </cell>
          <cell r="C41">
            <v>0</v>
          </cell>
          <cell r="D41" t="str">
            <v>PHP</v>
          </cell>
          <cell r="E41">
            <v>0</v>
          </cell>
          <cell r="F41" t="str">
            <v>PC</v>
          </cell>
          <cell r="G41">
            <v>0</v>
          </cell>
        </row>
        <row r="42">
          <cell r="B42">
            <v>6716</v>
          </cell>
          <cell r="C42">
            <v>0</v>
          </cell>
          <cell r="D42" t="str">
            <v>PHP</v>
          </cell>
          <cell r="E42">
            <v>0</v>
          </cell>
          <cell r="F42" t="str">
            <v>PC</v>
          </cell>
          <cell r="G42">
            <v>0</v>
          </cell>
        </row>
        <row r="43">
          <cell r="B43">
            <v>6717</v>
          </cell>
          <cell r="C43">
            <v>0</v>
          </cell>
          <cell r="D43" t="str">
            <v>PHP</v>
          </cell>
          <cell r="E43">
            <v>0</v>
          </cell>
          <cell r="F43" t="str">
            <v>PC</v>
          </cell>
          <cell r="G43">
            <v>0</v>
          </cell>
        </row>
        <row r="44">
          <cell r="B44">
            <v>6718</v>
          </cell>
          <cell r="C44">
            <v>0</v>
          </cell>
          <cell r="D44" t="str">
            <v>PHP</v>
          </cell>
          <cell r="E44">
            <v>0</v>
          </cell>
          <cell r="F44" t="str">
            <v>PC</v>
          </cell>
          <cell r="G44">
            <v>0</v>
          </cell>
        </row>
        <row r="45">
          <cell r="B45">
            <v>6719</v>
          </cell>
          <cell r="C45">
            <v>0</v>
          </cell>
          <cell r="D45" t="str">
            <v>PHP</v>
          </cell>
          <cell r="E45">
            <v>0</v>
          </cell>
          <cell r="F45" t="str">
            <v>PC</v>
          </cell>
          <cell r="G45">
            <v>0</v>
          </cell>
        </row>
        <row r="46">
          <cell r="B46">
            <v>6722</v>
          </cell>
          <cell r="C46">
            <v>0</v>
          </cell>
          <cell r="D46" t="str">
            <v>PHP</v>
          </cell>
          <cell r="E46">
            <v>0</v>
          </cell>
          <cell r="F46" t="str">
            <v>PC</v>
          </cell>
          <cell r="G46">
            <v>0</v>
          </cell>
        </row>
        <row r="47">
          <cell r="B47">
            <v>6792</v>
          </cell>
          <cell r="C47">
            <v>0</v>
          </cell>
          <cell r="D47" t="str">
            <v>PHP</v>
          </cell>
          <cell r="E47">
            <v>0</v>
          </cell>
          <cell r="F47" t="str">
            <v>PC</v>
          </cell>
          <cell r="G47">
            <v>0</v>
          </cell>
        </row>
        <row r="48">
          <cell r="B48">
            <v>6823</v>
          </cell>
          <cell r="C48">
            <v>0</v>
          </cell>
          <cell r="D48" t="str">
            <v>PHP</v>
          </cell>
          <cell r="E48">
            <v>0</v>
          </cell>
          <cell r="F48" t="str">
            <v>PC</v>
          </cell>
          <cell r="G48">
            <v>0</v>
          </cell>
        </row>
        <row r="49">
          <cell r="B49">
            <v>6824</v>
          </cell>
          <cell r="C49">
            <v>0</v>
          </cell>
          <cell r="D49" t="str">
            <v>PHP</v>
          </cell>
          <cell r="E49">
            <v>0</v>
          </cell>
          <cell r="F49" t="str">
            <v>PC</v>
          </cell>
          <cell r="G49">
            <v>0</v>
          </cell>
        </row>
        <row r="50">
          <cell r="B50">
            <v>6914</v>
          </cell>
          <cell r="C50">
            <v>0</v>
          </cell>
          <cell r="D50" t="str">
            <v>PHP</v>
          </cell>
          <cell r="E50">
            <v>0</v>
          </cell>
          <cell r="F50" t="str">
            <v>PC</v>
          </cell>
          <cell r="G50">
            <v>0</v>
          </cell>
        </row>
        <row r="51">
          <cell r="B51">
            <v>6979</v>
          </cell>
          <cell r="C51">
            <v>0</v>
          </cell>
          <cell r="D51" t="str">
            <v>PHP</v>
          </cell>
          <cell r="E51">
            <v>0</v>
          </cell>
          <cell r="F51" t="str">
            <v>PC</v>
          </cell>
          <cell r="G51">
            <v>0</v>
          </cell>
        </row>
        <row r="52">
          <cell r="B52">
            <v>7056</v>
          </cell>
          <cell r="C52">
            <v>0</v>
          </cell>
          <cell r="D52" t="str">
            <v>PHP</v>
          </cell>
          <cell r="E52">
            <v>0</v>
          </cell>
          <cell r="F52" t="str">
            <v>PC</v>
          </cell>
          <cell r="G52">
            <v>0</v>
          </cell>
        </row>
        <row r="53">
          <cell r="B53">
            <v>7057</v>
          </cell>
          <cell r="C53">
            <v>0</v>
          </cell>
          <cell r="D53" t="str">
            <v>PHP</v>
          </cell>
          <cell r="E53">
            <v>0</v>
          </cell>
          <cell r="F53" t="str">
            <v>PC</v>
          </cell>
          <cell r="G53">
            <v>0</v>
          </cell>
        </row>
        <row r="54">
          <cell r="B54">
            <v>7099</v>
          </cell>
          <cell r="C54">
            <v>0</v>
          </cell>
          <cell r="D54" t="str">
            <v>PHP</v>
          </cell>
          <cell r="E54">
            <v>0</v>
          </cell>
          <cell r="F54" t="str">
            <v>PC</v>
          </cell>
          <cell r="G54">
            <v>0</v>
          </cell>
        </row>
        <row r="55">
          <cell r="B55">
            <v>7332</v>
          </cell>
          <cell r="C55">
            <v>0</v>
          </cell>
          <cell r="D55" t="str">
            <v>PHP</v>
          </cell>
          <cell r="E55">
            <v>0</v>
          </cell>
          <cell r="F55" t="str">
            <v>PC</v>
          </cell>
          <cell r="G55">
            <v>0</v>
          </cell>
        </row>
        <row r="56">
          <cell r="B56">
            <v>7428</v>
          </cell>
          <cell r="C56">
            <v>1707178.57</v>
          </cell>
          <cell r="D56" t="str">
            <v>PHP</v>
          </cell>
          <cell r="E56">
            <v>3</v>
          </cell>
          <cell r="F56" t="str">
            <v>PC</v>
          </cell>
          <cell r="G56">
            <v>0</v>
          </cell>
        </row>
        <row r="57">
          <cell r="B57">
            <v>8160</v>
          </cell>
          <cell r="C57">
            <v>0</v>
          </cell>
          <cell r="D57" t="str">
            <v>PHP</v>
          </cell>
          <cell r="E57">
            <v>0</v>
          </cell>
          <cell r="F57" t="str">
            <v>PC</v>
          </cell>
          <cell r="G57">
            <v>0</v>
          </cell>
        </row>
        <row r="58">
          <cell r="B58">
            <v>8324</v>
          </cell>
          <cell r="C58">
            <v>0</v>
          </cell>
          <cell r="D58" t="str">
            <v>PHP</v>
          </cell>
          <cell r="E58">
            <v>0</v>
          </cell>
          <cell r="F58" t="str">
            <v>ASY</v>
          </cell>
          <cell r="G58">
            <v>0</v>
          </cell>
        </row>
        <row r="59">
          <cell r="B59">
            <v>8714</v>
          </cell>
          <cell r="C59">
            <v>24611.43</v>
          </cell>
          <cell r="D59" t="str">
            <v>PHP</v>
          </cell>
          <cell r="E59">
            <v>3</v>
          </cell>
          <cell r="F59" t="str">
            <v>PC</v>
          </cell>
          <cell r="G59">
            <v>0</v>
          </cell>
        </row>
        <row r="60">
          <cell r="B60">
            <v>8715</v>
          </cell>
          <cell r="C60">
            <v>154684.82999999999</v>
          </cell>
          <cell r="D60" t="str">
            <v>PHP</v>
          </cell>
          <cell r="E60">
            <v>13</v>
          </cell>
          <cell r="F60" t="str">
            <v>PC</v>
          </cell>
          <cell r="G60">
            <v>0</v>
          </cell>
        </row>
        <row r="61">
          <cell r="B61">
            <v>8719</v>
          </cell>
          <cell r="C61">
            <v>0</v>
          </cell>
          <cell r="D61" t="str">
            <v>PHP</v>
          </cell>
          <cell r="E61">
            <v>0</v>
          </cell>
          <cell r="F61" t="str">
            <v>PC</v>
          </cell>
          <cell r="G61">
            <v>0</v>
          </cell>
        </row>
        <row r="62">
          <cell r="B62">
            <v>8866</v>
          </cell>
          <cell r="C62">
            <v>0</v>
          </cell>
          <cell r="D62" t="str">
            <v>PHP</v>
          </cell>
          <cell r="E62">
            <v>0</v>
          </cell>
          <cell r="F62" t="str">
            <v>BAG</v>
          </cell>
          <cell r="G62">
            <v>0</v>
          </cell>
        </row>
        <row r="63">
          <cell r="B63">
            <v>8889</v>
          </cell>
          <cell r="C63">
            <v>0</v>
          </cell>
          <cell r="D63" t="str">
            <v>PHP</v>
          </cell>
          <cell r="E63">
            <v>0</v>
          </cell>
          <cell r="F63" t="str">
            <v>PC</v>
          </cell>
          <cell r="G63">
            <v>0</v>
          </cell>
        </row>
        <row r="64">
          <cell r="B64">
            <v>8911</v>
          </cell>
          <cell r="C64">
            <v>0</v>
          </cell>
          <cell r="D64" t="str">
            <v>PHP</v>
          </cell>
          <cell r="E64">
            <v>0</v>
          </cell>
          <cell r="F64" t="str">
            <v>PC</v>
          </cell>
          <cell r="G64">
            <v>0</v>
          </cell>
        </row>
        <row r="65">
          <cell r="B65">
            <v>8915</v>
          </cell>
          <cell r="C65">
            <v>576468.1</v>
          </cell>
          <cell r="D65" t="str">
            <v>PHP</v>
          </cell>
          <cell r="E65">
            <v>2</v>
          </cell>
          <cell r="F65" t="str">
            <v>PC</v>
          </cell>
          <cell r="G65">
            <v>0</v>
          </cell>
        </row>
        <row r="66">
          <cell r="B66">
            <v>9598</v>
          </cell>
          <cell r="C66">
            <v>0</v>
          </cell>
          <cell r="D66" t="str">
            <v>PHP</v>
          </cell>
          <cell r="E66">
            <v>0</v>
          </cell>
          <cell r="F66" t="str">
            <v>PC</v>
          </cell>
          <cell r="G66">
            <v>0</v>
          </cell>
        </row>
        <row r="67">
          <cell r="B67">
            <v>9747</v>
          </cell>
          <cell r="C67">
            <v>152842.47</v>
          </cell>
          <cell r="D67" t="str">
            <v>PHP</v>
          </cell>
          <cell r="E67">
            <v>640</v>
          </cell>
          <cell r="F67" t="str">
            <v>BAG</v>
          </cell>
          <cell r="G67">
            <v>0</v>
          </cell>
        </row>
        <row r="68">
          <cell r="B68">
            <v>10138</v>
          </cell>
          <cell r="C68">
            <v>2586301.17</v>
          </cell>
          <cell r="D68" t="str">
            <v>PHP</v>
          </cell>
          <cell r="E68">
            <v>138</v>
          </cell>
          <cell r="F68" t="str">
            <v>LEN</v>
          </cell>
          <cell r="G68">
            <v>0</v>
          </cell>
        </row>
        <row r="69">
          <cell r="B69">
            <v>10140</v>
          </cell>
          <cell r="C69">
            <v>0</v>
          </cell>
          <cell r="D69" t="str">
            <v>PHP</v>
          </cell>
          <cell r="E69">
            <v>0</v>
          </cell>
          <cell r="F69" t="str">
            <v>LEN</v>
          </cell>
          <cell r="G69">
            <v>0</v>
          </cell>
        </row>
        <row r="70">
          <cell r="B70">
            <v>10142</v>
          </cell>
          <cell r="C70">
            <v>0</v>
          </cell>
          <cell r="D70" t="str">
            <v>PHP</v>
          </cell>
          <cell r="E70">
            <v>0</v>
          </cell>
          <cell r="F70" t="str">
            <v>LEN</v>
          </cell>
          <cell r="G70">
            <v>0</v>
          </cell>
        </row>
        <row r="71">
          <cell r="B71">
            <v>10145</v>
          </cell>
          <cell r="C71">
            <v>5570339.9000000004</v>
          </cell>
          <cell r="D71" t="str">
            <v>PHP</v>
          </cell>
          <cell r="E71">
            <v>37</v>
          </cell>
          <cell r="F71" t="str">
            <v>PC</v>
          </cell>
          <cell r="G71">
            <v>0</v>
          </cell>
        </row>
        <row r="72">
          <cell r="B72">
            <v>10146</v>
          </cell>
          <cell r="C72">
            <v>241150</v>
          </cell>
          <cell r="D72" t="str">
            <v>PHP</v>
          </cell>
          <cell r="E72">
            <v>1</v>
          </cell>
          <cell r="F72" t="str">
            <v>LEN</v>
          </cell>
          <cell r="G72">
            <v>0</v>
          </cell>
        </row>
        <row r="73">
          <cell r="B73">
            <v>10147</v>
          </cell>
          <cell r="C73">
            <v>10109705.76</v>
          </cell>
          <cell r="D73" t="str">
            <v>PHP</v>
          </cell>
          <cell r="E73">
            <v>120</v>
          </cell>
          <cell r="F73" t="str">
            <v>LEN</v>
          </cell>
          <cell r="G73">
            <v>0</v>
          </cell>
        </row>
        <row r="74">
          <cell r="B74">
            <v>10148</v>
          </cell>
          <cell r="C74">
            <v>76890.03</v>
          </cell>
          <cell r="D74" t="str">
            <v>PHP</v>
          </cell>
          <cell r="E74">
            <v>1</v>
          </cell>
          <cell r="F74" t="str">
            <v>PC</v>
          </cell>
          <cell r="G74">
            <v>0</v>
          </cell>
        </row>
        <row r="75">
          <cell r="B75">
            <v>10149</v>
          </cell>
          <cell r="C75">
            <v>8718453.5500000007</v>
          </cell>
          <cell r="D75" t="str">
            <v>PHP</v>
          </cell>
          <cell r="E75">
            <v>154</v>
          </cell>
          <cell r="F75" t="str">
            <v>PC</v>
          </cell>
          <cell r="G75">
            <v>0</v>
          </cell>
        </row>
        <row r="76">
          <cell r="B76">
            <v>10151</v>
          </cell>
          <cell r="C76">
            <v>6272655.3399999999</v>
          </cell>
          <cell r="D76" t="str">
            <v>PHP</v>
          </cell>
          <cell r="E76">
            <v>79</v>
          </cell>
          <cell r="F76" t="str">
            <v>LEN</v>
          </cell>
          <cell r="G76">
            <v>0</v>
          </cell>
        </row>
        <row r="77">
          <cell r="B77">
            <v>10161</v>
          </cell>
          <cell r="C77">
            <v>0</v>
          </cell>
          <cell r="D77" t="str">
            <v>PHP</v>
          </cell>
          <cell r="E77">
            <v>0</v>
          </cell>
          <cell r="F77" t="str">
            <v>BAG</v>
          </cell>
          <cell r="G77">
            <v>0</v>
          </cell>
        </row>
        <row r="78">
          <cell r="B78">
            <v>10172</v>
          </cell>
          <cell r="C78">
            <v>57378.1</v>
          </cell>
          <cell r="D78" t="str">
            <v>PHP</v>
          </cell>
          <cell r="E78">
            <v>19</v>
          </cell>
          <cell r="F78" t="str">
            <v>PC</v>
          </cell>
          <cell r="G78">
            <v>0</v>
          </cell>
        </row>
        <row r="79">
          <cell r="B79">
            <v>10173</v>
          </cell>
          <cell r="C79">
            <v>128765</v>
          </cell>
          <cell r="D79" t="str">
            <v>PHP</v>
          </cell>
          <cell r="E79">
            <v>10</v>
          </cell>
          <cell r="F79" t="str">
            <v>PC</v>
          </cell>
          <cell r="G79">
            <v>0</v>
          </cell>
        </row>
        <row r="80">
          <cell r="B80">
            <v>10175</v>
          </cell>
          <cell r="C80">
            <v>340010.07</v>
          </cell>
          <cell r="D80" t="str">
            <v>PHP</v>
          </cell>
          <cell r="E80">
            <v>31</v>
          </cell>
          <cell r="F80" t="str">
            <v>PC</v>
          </cell>
          <cell r="G80">
            <v>0</v>
          </cell>
        </row>
        <row r="81">
          <cell r="B81">
            <v>10177</v>
          </cell>
          <cell r="C81">
            <v>179243.54</v>
          </cell>
          <cell r="D81" t="str">
            <v>PHP</v>
          </cell>
          <cell r="E81">
            <v>74</v>
          </cell>
          <cell r="F81" t="str">
            <v>SET</v>
          </cell>
          <cell r="G81">
            <v>0</v>
          </cell>
        </row>
        <row r="82">
          <cell r="B82">
            <v>10179</v>
          </cell>
          <cell r="C82">
            <v>35599.5</v>
          </cell>
          <cell r="D82" t="str">
            <v>PHP</v>
          </cell>
          <cell r="E82">
            <v>10</v>
          </cell>
          <cell r="F82" t="str">
            <v>PC</v>
          </cell>
          <cell r="G82">
            <v>0</v>
          </cell>
        </row>
        <row r="83">
          <cell r="B83">
            <v>10181</v>
          </cell>
          <cell r="C83">
            <v>18509.080000000002</v>
          </cell>
          <cell r="D83" t="str">
            <v>PHP</v>
          </cell>
          <cell r="E83">
            <v>2</v>
          </cell>
          <cell r="F83" t="str">
            <v>PC</v>
          </cell>
          <cell r="G83">
            <v>0</v>
          </cell>
        </row>
        <row r="84">
          <cell r="B84">
            <v>10182</v>
          </cell>
          <cell r="C84">
            <v>18355.599999999999</v>
          </cell>
          <cell r="D84" t="str">
            <v>PHP</v>
          </cell>
          <cell r="E84">
            <v>1</v>
          </cell>
          <cell r="F84" t="str">
            <v>PC</v>
          </cell>
          <cell r="G84">
            <v>0</v>
          </cell>
        </row>
        <row r="85">
          <cell r="B85">
            <v>10360</v>
          </cell>
          <cell r="C85">
            <v>346550.24</v>
          </cell>
          <cell r="D85" t="str">
            <v>PHP</v>
          </cell>
          <cell r="E85">
            <v>2</v>
          </cell>
          <cell r="F85" t="str">
            <v>PC</v>
          </cell>
          <cell r="G85">
            <v>0</v>
          </cell>
        </row>
        <row r="86">
          <cell r="B86">
            <v>10370</v>
          </cell>
          <cell r="C86">
            <v>0</v>
          </cell>
          <cell r="D86" t="str">
            <v>PHP</v>
          </cell>
          <cell r="E86">
            <v>0</v>
          </cell>
          <cell r="F86" t="str">
            <v>PC</v>
          </cell>
          <cell r="G86">
            <v>0</v>
          </cell>
        </row>
        <row r="87">
          <cell r="B87">
            <v>10371</v>
          </cell>
          <cell r="C87">
            <v>0</v>
          </cell>
          <cell r="D87" t="str">
            <v>PHP</v>
          </cell>
          <cell r="E87">
            <v>0</v>
          </cell>
          <cell r="F87" t="str">
            <v>PC</v>
          </cell>
          <cell r="G87">
            <v>0</v>
          </cell>
        </row>
        <row r="88">
          <cell r="B88">
            <v>10379</v>
          </cell>
          <cell r="C88">
            <v>0</v>
          </cell>
          <cell r="D88" t="str">
            <v>PHP</v>
          </cell>
          <cell r="E88">
            <v>0</v>
          </cell>
          <cell r="F88" t="str">
            <v>PC</v>
          </cell>
          <cell r="G88">
            <v>0</v>
          </cell>
        </row>
        <row r="89">
          <cell r="B89">
            <v>10416</v>
          </cell>
          <cell r="C89">
            <v>0</v>
          </cell>
          <cell r="D89" t="str">
            <v>PHP</v>
          </cell>
          <cell r="E89">
            <v>0</v>
          </cell>
          <cell r="F89" t="str">
            <v>PL</v>
          </cell>
          <cell r="G89">
            <v>0</v>
          </cell>
        </row>
        <row r="90">
          <cell r="B90">
            <v>10776</v>
          </cell>
          <cell r="C90">
            <v>0</v>
          </cell>
          <cell r="D90" t="str">
            <v>PHP</v>
          </cell>
          <cell r="E90">
            <v>0</v>
          </cell>
          <cell r="F90" t="str">
            <v>DR</v>
          </cell>
          <cell r="G90">
            <v>0</v>
          </cell>
        </row>
        <row r="91">
          <cell r="B91">
            <v>11438</v>
          </cell>
          <cell r="C91">
            <v>797720</v>
          </cell>
          <cell r="D91" t="str">
            <v>PHP</v>
          </cell>
          <cell r="E91">
            <v>2</v>
          </cell>
          <cell r="F91" t="str">
            <v>PC</v>
          </cell>
          <cell r="G91">
            <v>0</v>
          </cell>
        </row>
        <row r="92">
          <cell r="B92">
            <v>11681</v>
          </cell>
          <cell r="C92">
            <v>31574.32</v>
          </cell>
          <cell r="D92" t="str">
            <v>PHP</v>
          </cell>
          <cell r="E92">
            <v>1</v>
          </cell>
          <cell r="F92" t="str">
            <v>PC</v>
          </cell>
          <cell r="G92">
            <v>0</v>
          </cell>
        </row>
        <row r="93">
          <cell r="B93">
            <v>11873</v>
          </cell>
          <cell r="C93">
            <v>219514.86</v>
          </cell>
          <cell r="D93" t="str">
            <v>PHP</v>
          </cell>
          <cell r="E93">
            <v>1</v>
          </cell>
          <cell r="F93" t="str">
            <v>SET</v>
          </cell>
          <cell r="G93">
            <v>0</v>
          </cell>
        </row>
        <row r="94">
          <cell r="B94">
            <v>12186</v>
          </cell>
          <cell r="C94">
            <v>91694.64</v>
          </cell>
          <cell r="D94" t="str">
            <v>PHP</v>
          </cell>
          <cell r="E94">
            <v>1</v>
          </cell>
          <cell r="F94" t="str">
            <v>SET</v>
          </cell>
          <cell r="G94">
            <v>0</v>
          </cell>
        </row>
        <row r="95">
          <cell r="B95">
            <v>12834</v>
          </cell>
          <cell r="C95">
            <v>0</v>
          </cell>
          <cell r="D95" t="str">
            <v>PHP</v>
          </cell>
          <cell r="E95">
            <v>0</v>
          </cell>
          <cell r="F95" t="str">
            <v>PC</v>
          </cell>
          <cell r="G95">
            <v>0</v>
          </cell>
        </row>
        <row r="96">
          <cell r="B96">
            <v>12840</v>
          </cell>
          <cell r="C96">
            <v>16941.599999999999</v>
          </cell>
          <cell r="D96" t="str">
            <v>PHP</v>
          </cell>
          <cell r="E96">
            <v>2</v>
          </cell>
          <cell r="F96" t="str">
            <v>PC</v>
          </cell>
          <cell r="G96">
            <v>0</v>
          </cell>
        </row>
        <row r="97">
          <cell r="B97">
            <v>12901</v>
          </cell>
          <cell r="C97">
            <v>0</v>
          </cell>
          <cell r="D97" t="str">
            <v>PHP</v>
          </cell>
          <cell r="E97">
            <v>0</v>
          </cell>
          <cell r="F97" t="str">
            <v>DR</v>
          </cell>
          <cell r="G97">
            <v>0</v>
          </cell>
        </row>
        <row r="98">
          <cell r="B98">
            <v>12902</v>
          </cell>
          <cell r="C98">
            <v>0</v>
          </cell>
          <cell r="D98" t="str">
            <v>PHP</v>
          </cell>
          <cell r="E98">
            <v>0</v>
          </cell>
          <cell r="F98" t="str">
            <v>DR</v>
          </cell>
          <cell r="G98">
            <v>0</v>
          </cell>
        </row>
        <row r="99">
          <cell r="B99">
            <v>13467</v>
          </cell>
          <cell r="C99">
            <v>90864.52</v>
          </cell>
          <cell r="D99" t="str">
            <v>PHP</v>
          </cell>
          <cell r="E99">
            <v>4</v>
          </cell>
          <cell r="F99" t="str">
            <v>PC</v>
          </cell>
          <cell r="G99">
            <v>0</v>
          </cell>
        </row>
        <row r="100">
          <cell r="B100">
            <v>13468</v>
          </cell>
          <cell r="C100">
            <v>17452.060000000001</v>
          </cell>
          <cell r="D100" t="str">
            <v>PHP</v>
          </cell>
          <cell r="E100">
            <v>1</v>
          </cell>
          <cell r="F100" t="str">
            <v>PC</v>
          </cell>
          <cell r="G100">
            <v>0</v>
          </cell>
        </row>
        <row r="101">
          <cell r="B101">
            <v>13471</v>
          </cell>
          <cell r="C101">
            <v>14199.17</v>
          </cell>
          <cell r="D101" t="str">
            <v>PHP</v>
          </cell>
          <cell r="E101">
            <v>1</v>
          </cell>
          <cell r="F101" t="str">
            <v>PC</v>
          </cell>
          <cell r="G101">
            <v>0</v>
          </cell>
        </row>
        <row r="102">
          <cell r="B102">
            <v>13472</v>
          </cell>
          <cell r="C102">
            <v>12938.88</v>
          </cell>
          <cell r="D102" t="str">
            <v>PHP</v>
          </cell>
          <cell r="E102">
            <v>3</v>
          </cell>
          <cell r="F102" t="str">
            <v>PC</v>
          </cell>
          <cell r="G102">
            <v>0</v>
          </cell>
        </row>
        <row r="103">
          <cell r="B103">
            <v>13909</v>
          </cell>
          <cell r="C103">
            <v>8684.25</v>
          </cell>
          <cell r="D103" t="str">
            <v>PHP</v>
          </cell>
          <cell r="E103">
            <v>5</v>
          </cell>
          <cell r="F103" t="str">
            <v>PC</v>
          </cell>
          <cell r="G103">
            <v>0</v>
          </cell>
        </row>
        <row r="104">
          <cell r="B104">
            <v>13943</v>
          </cell>
          <cell r="C104">
            <v>0</v>
          </cell>
          <cell r="D104" t="str">
            <v>PHP</v>
          </cell>
          <cell r="E104">
            <v>0</v>
          </cell>
          <cell r="F104" t="str">
            <v>PC</v>
          </cell>
          <cell r="G104">
            <v>0</v>
          </cell>
        </row>
        <row r="105">
          <cell r="B105">
            <v>13944</v>
          </cell>
          <cell r="C105">
            <v>3065048.7</v>
          </cell>
          <cell r="D105" t="str">
            <v>PHP</v>
          </cell>
          <cell r="E105">
            <v>3</v>
          </cell>
          <cell r="F105" t="str">
            <v>PC</v>
          </cell>
          <cell r="G105">
            <v>0</v>
          </cell>
        </row>
        <row r="106">
          <cell r="B106">
            <v>13945</v>
          </cell>
          <cell r="C106">
            <v>0</v>
          </cell>
          <cell r="D106" t="str">
            <v>PHP</v>
          </cell>
          <cell r="E106">
            <v>0</v>
          </cell>
          <cell r="F106" t="str">
            <v>PC</v>
          </cell>
          <cell r="G106">
            <v>0</v>
          </cell>
        </row>
        <row r="107">
          <cell r="B107">
            <v>13946</v>
          </cell>
          <cell r="C107">
            <v>0</v>
          </cell>
          <cell r="D107" t="str">
            <v>PHP</v>
          </cell>
          <cell r="E107">
            <v>0</v>
          </cell>
          <cell r="F107" t="str">
            <v>PC</v>
          </cell>
          <cell r="G107">
            <v>0</v>
          </cell>
        </row>
        <row r="108">
          <cell r="B108">
            <v>13948</v>
          </cell>
          <cell r="C108">
            <v>455476.29</v>
          </cell>
          <cell r="D108" t="str">
            <v>PHP</v>
          </cell>
          <cell r="E108">
            <v>1</v>
          </cell>
          <cell r="F108" t="str">
            <v>PC</v>
          </cell>
          <cell r="G108">
            <v>0</v>
          </cell>
        </row>
        <row r="109">
          <cell r="B109">
            <v>13949</v>
          </cell>
          <cell r="C109">
            <v>1920511.9</v>
          </cell>
          <cell r="D109" t="str">
            <v>PHP</v>
          </cell>
          <cell r="E109">
            <v>1</v>
          </cell>
          <cell r="F109" t="str">
            <v>PC</v>
          </cell>
          <cell r="G109">
            <v>0</v>
          </cell>
        </row>
        <row r="110">
          <cell r="B110">
            <v>13951</v>
          </cell>
          <cell r="C110">
            <v>0</v>
          </cell>
          <cell r="D110" t="str">
            <v>PHP</v>
          </cell>
          <cell r="E110">
            <v>0</v>
          </cell>
          <cell r="F110" t="str">
            <v>PC</v>
          </cell>
          <cell r="G110">
            <v>0</v>
          </cell>
        </row>
        <row r="111">
          <cell r="B111">
            <v>13952</v>
          </cell>
          <cell r="C111">
            <v>0</v>
          </cell>
          <cell r="D111" t="str">
            <v>PHP</v>
          </cell>
          <cell r="E111">
            <v>0</v>
          </cell>
          <cell r="F111" t="str">
            <v>PC</v>
          </cell>
          <cell r="G111">
            <v>0</v>
          </cell>
        </row>
        <row r="112">
          <cell r="B112">
            <v>13955</v>
          </cell>
          <cell r="C112">
            <v>1208478.93</v>
          </cell>
          <cell r="D112" t="str">
            <v>PHP</v>
          </cell>
          <cell r="E112">
            <v>1</v>
          </cell>
          <cell r="F112" t="str">
            <v>PC</v>
          </cell>
          <cell r="G112">
            <v>0</v>
          </cell>
        </row>
        <row r="113">
          <cell r="B113">
            <v>13957</v>
          </cell>
          <cell r="C113">
            <v>1411371.64</v>
          </cell>
          <cell r="D113" t="str">
            <v>PHP</v>
          </cell>
          <cell r="E113">
            <v>1</v>
          </cell>
          <cell r="F113" t="str">
            <v>PC</v>
          </cell>
          <cell r="G113">
            <v>0</v>
          </cell>
        </row>
        <row r="114">
          <cell r="B114">
            <v>13958</v>
          </cell>
          <cell r="C114">
            <v>0</v>
          </cell>
          <cell r="D114" t="str">
            <v>PHP</v>
          </cell>
          <cell r="E114">
            <v>0</v>
          </cell>
          <cell r="F114" t="str">
            <v>PC</v>
          </cell>
          <cell r="G114">
            <v>0</v>
          </cell>
        </row>
        <row r="115">
          <cell r="B115">
            <v>13959</v>
          </cell>
          <cell r="C115">
            <v>0</v>
          </cell>
          <cell r="D115" t="str">
            <v>PHP</v>
          </cell>
          <cell r="E115">
            <v>0</v>
          </cell>
          <cell r="F115" t="str">
            <v>PC</v>
          </cell>
          <cell r="G115">
            <v>0</v>
          </cell>
        </row>
        <row r="116">
          <cell r="B116">
            <v>13961</v>
          </cell>
          <cell r="C116">
            <v>0</v>
          </cell>
          <cell r="D116" t="str">
            <v>PHP</v>
          </cell>
          <cell r="E116">
            <v>0</v>
          </cell>
          <cell r="F116" t="str">
            <v>PC</v>
          </cell>
          <cell r="G116">
            <v>0</v>
          </cell>
        </row>
        <row r="117">
          <cell r="B117">
            <v>13962</v>
          </cell>
          <cell r="C117">
            <v>0</v>
          </cell>
          <cell r="D117" t="str">
            <v>PHP</v>
          </cell>
          <cell r="E117">
            <v>0</v>
          </cell>
          <cell r="F117" t="str">
            <v>PC</v>
          </cell>
          <cell r="G117">
            <v>0</v>
          </cell>
        </row>
        <row r="118">
          <cell r="B118">
            <v>13964</v>
          </cell>
          <cell r="C118">
            <v>0</v>
          </cell>
          <cell r="D118" t="str">
            <v>PHP</v>
          </cell>
          <cell r="E118">
            <v>0</v>
          </cell>
          <cell r="F118" t="str">
            <v>PC</v>
          </cell>
          <cell r="G118">
            <v>0</v>
          </cell>
        </row>
        <row r="119">
          <cell r="B119">
            <v>13973</v>
          </cell>
          <cell r="C119">
            <v>3180219.4</v>
          </cell>
          <cell r="D119" t="str">
            <v>PHP</v>
          </cell>
          <cell r="E119">
            <v>2</v>
          </cell>
          <cell r="F119" t="str">
            <v>PC</v>
          </cell>
          <cell r="G119">
            <v>0</v>
          </cell>
        </row>
        <row r="120">
          <cell r="B120">
            <v>14051</v>
          </cell>
          <cell r="C120">
            <v>0</v>
          </cell>
          <cell r="D120" t="str">
            <v>PHP</v>
          </cell>
          <cell r="E120">
            <v>0</v>
          </cell>
          <cell r="F120" t="str">
            <v>PC</v>
          </cell>
          <cell r="G120">
            <v>0</v>
          </cell>
        </row>
        <row r="121">
          <cell r="B121">
            <v>14052</v>
          </cell>
          <cell r="C121">
            <v>0</v>
          </cell>
          <cell r="D121" t="str">
            <v>PHP</v>
          </cell>
          <cell r="E121">
            <v>0</v>
          </cell>
          <cell r="F121" t="str">
            <v>PC</v>
          </cell>
          <cell r="G121">
            <v>0</v>
          </cell>
        </row>
        <row r="122">
          <cell r="B122">
            <v>14326</v>
          </cell>
          <cell r="C122">
            <v>0</v>
          </cell>
          <cell r="D122" t="str">
            <v>PHP</v>
          </cell>
          <cell r="E122">
            <v>0</v>
          </cell>
          <cell r="F122" t="str">
            <v>PC</v>
          </cell>
          <cell r="G122">
            <v>0</v>
          </cell>
        </row>
        <row r="123">
          <cell r="B123">
            <v>14331</v>
          </cell>
          <cell r="C123">
            <v>24934.2</v>
          </cell>
          <cell r="D123" t="str">
            <v>PHP</v>
          </cell>
          <cell r="E123">
            <v>1</v>
          </cell>
          <cell r="F123" t="str">
            <v>PC</v>
          </cell>
          <cell r="G123">
            <v>0</v>
          </cell>
        </row>
        <row r="124">
          <cell r="B124">
            <v>14332</v>
          </cell>
          <cell r="C124">
            <v>0</v>
          </cell>
          <cell r="D124" t="str">
            <v>PHP</v>
          </cell>
          <cell r="E124">
            <v>0</v>
          </cell>
          <cell r="F124" t="str">
            <v>PC</v>
          </cell>
          <cell r="G124">
            <v>0</v>
          </cell>
        </row>
        <row r="125">
          <cell r="B125">
            <v>14333</v>
          </cell>
          <cell r="C125">
            <v>133293.10999999999</v>
          </cell>
          <cell r="D125" t="str">
            <v>PHP</v>
          </cell>
          <cell r="E125">
            <v>1</v>
          </cell>
          <cell r="F125" t="str">
            <v>PC</v>
          </cell>
          <cell r="G125">
            <v>0</v>
          </cell>
        </row>
        <row r="126">
          <cell r="B126">
            <v>14335</v>
          </cell>
          <cell r="C126">
            <v>0</v>
          </cell>
          <cell r="D126" t="str">
            <v>PHP</v>
          </cell>
          <cell r="E126">
            <v>0</v>
          </cell>
          <cell r="F126" t="str">
            <v>PC</v>
          </cell>
          <cell r="G126">
            <v>0</v>
          </cell>
        </row>
        <row r="127">
          <cell r="B127">
            <v>14406</v>
          </cell>
          <cell r="C127">
            <v>248503.24</v>
          </cell>
          <cell r="D127" t="str">
            <v>PHP</v>
          </cell>
          <cell r="E127">
            <v>4</v>
          </cell>
          <cell r="F127" t="str">
            <v>PC</v>
          </cell>
          <cell r="G127">
            <v>0</v>
          </cell>
        </row>
        <row r="128">
          <cell r="B128">
            <v>14639</v>
          </cell>
          <cell r="C128">
            <v>1649515</v>
          </cell>
          <cell r="D128" t="str">
            <v>PHP</v>
          </cell>
          <cell r="E128">
            <v>3</v>
          </cell>
          <cell r="F128" t="str">
            <v>PC</v>
          </cell>
          <cell r="G128">
            <v>0</v>
          </cell>
        </row>
        <row r="129">
          <cell r="B129">
            <v>14675</v>
          </cell>
          <cell r="C129">
            <v>170828.6</v>
          </cell>
          <cell r="D129" t="str">
            <v>PHP</v>
          </cell>
          <cell r="E129">
            <v>1</v>
          </cell>
          <cell r="F129" t="str">
            <v>PC</v>
          </cell>
          <cell r="G129">
            <v>0</v>
          </cell>
        </row>
        <row r="130">
          <cell r="B130">
            <v>14798</v>
          </cell>
          <cell r="C130">
            <v>0</v>
          </cell>
          <cell r="D130" t="str">
            <v>PHP</v>
          </cell>
          <cell r="E130">
            <v>0</v>
          </cell>
          <cell r="F130" t="str">
            <v>PC</v>
          </cell>
          <cell r="G130">
            <v>0</v>
          </cell>
        </row>
        <row r="131">
          <cell r="B131">
            <v>15161</v>
          </cell>
          <cell r="C131">
            <v>0</v>
          </cell>
          <cell r="D131" t="str">
            <v>PHP</v>
          </cell>
          <cell r="E131">
            <v>0</v>
          </cell>
          <cell r="F131" t="str">
            <v>GAL</v>
          </cell>
          <cell r="G131">
            <v>0</v>
          </cell>
        </row>
        <row r="132">
          <cell r="B132">
            <v>15174</v>
          </cell>
          <cell r="C132">
            <v>965198.48</v>
          </cell>
          <cell r="D132" t="str">
            <v>PHP</v>
          </cell>
          <cell r="E132">
            <v>1</v>
          </cell>
          <cell r="F132" t="str">
            <v>SET</v>
          </cell>
          <cell r="G132">
            <v>0</v>
          </cell>
        </row>
        <row r="133">
          <cell r="B133">
            <v>15655</v>
          </cell>
          <cell r="C133">
            <v>0</v>
          </cell>
          <cell r="D133" t="str">
            <v>PHP</v>
          </cell>
          <cell r="E133">
            <v>0</v>
          </cell>
          <cell r="F133" t="str">
            <v>PC</v>
          </cell>
          <cell r="G133">
            <v>0</v>
          </cell>
        </row>
        <row r="134">
          <cell r="B134">
            <v>15734</v>
          </cell>
          <cell r="C134">
            <v>0</v>
          </cell>
          <cell r="D134" t="str">
            <v>PHP</v>
          </cell>
          <cell r="E134">
            <v>0</v>
          </cell>
          <cell r="F134" t="str">
            <v>PC</v>
          </cell>
          <cell r="G134">
            <v>0</v>
          </cell>
        </row>
        <row r="135">
          <cell r="B135">
            <v>17290</v>
          </cell>
          <cell r="C135">
            <v>0</v>
          </cell>
          <cell r="D135" t="str">
            <v>PHP</v>
          </cell>
          <cell r="E135">
            <v>0</v>
          </cell>
          <cell r="F135" t="str">
            <v>LEN</v>
          </cell>
          <cell r="G135">
            <v>0</v>
          </cell>
        </row>
        <row r="136">
          <cell r="B136">
            <v>17365</v>
          </cell>
          <cell r="C136">
            <v>0</v>
          </cell>
          <cell r="D136" t="str">
            <v>PHP</v>
          </cell>
          <cell r="E136">
            <v>0</v>
          </cell>
          <cell r="F136" t="str">
            <v>PC</v>
          </cell>
          <cell r="G136">
            <v>0</v>
          </cell>
        </row>
        <row r="137">
          <cell r="B137">
            <v>17370</v>
          </cell>
          <cell r="C137">
            <v>0</v>
          </cell>
          <cell r="D137" t="str">
            <v>PHP</v>
          </cell>
          <cell r="E137">
            <v>0</v>
          </cell>
          <cell r="F137" t="str">
            <v>PC</v>
          </cell>
          <cell r="G137">
            <v>0</v>
          </cell>
        </row>
        <row r="138">
          <cell r="B138">
            <v>20366</v>
          </cell>
          <cell r="C138">
            <v>0</v>
          </cell>
          <cell r="D138" t="str">
            <v>PHP</v>
          </cell>
          <cell r="E138">
            <v>0</v>
          </cell>
          <cell r="F138" t="str">
            <v>PAA</v>
          </cell>
          <cell r="G138">
            <v>0</v>
          </cell>
        </row>
        <row r="139">
          <cell r="B139">
            <v>23630</v>
          </cell>
          <cell r="C139">
            <v>0</v>
          </cell>
          <cell r="D139" t="str">
            <v>PHP</v>
          </cell>
          <cell r="E139">
            <v>0</v>
          </cell>
          <cell r="F139" t="str">
            <v>PC</v>
          </cell>
          <cell r="G139">
            <v>0</v>
          </cell>
        </row>
        <row r="140">
          <cell r="B140">
            <v>23656</v>
          </cell>
          <cell r="C140">
            <v>0</v>
          </cell>
          <cell r="D140" t="str">
            <v>PHP</v>
          </cell>
          <cell r="E140">
            <v>0</v>
          </cell>
          <cell r="F140" t="str">
            <v>PC</v>
          </cell>
          <cell r="G140">
            <v>0</v>
          </cell>
        </row>
        <row r="141">
          <cell r="B141">
            <v>25638</v>
          </cell>
          <cell r="C141">
            <v>0</v>
          </cell>
          <cell r="D141" t="str">
            <v>PHP</v>
          </cell>
          <cell r="E141">
            <v>0</v>
          </cell>
          <cell r="F141" t="str">
            <v>PC</v>
          </cell>
          <cell r="G141">
            <v>0</v>
          </cell>
        </row>
        <row r="142">
          <cell r="B142">
            <v>28406</v>
          </cell>
          <cell r="C142">
            <v>200160</v>
          </cell>
          <cell r="D142" t="str">
            <v>PHP</v>
          </cell>
          <cell r="E142">
            <v>1</v>
          </cell>
          <cell r="F142" t="str">
            <v>PC</v>
          </cell>
          <cell r="G142">
            <v>0</v>
          </cell>
        </row>
        <row r="143">
          <cell r="B143">
            <v>29869</v>
          </cell>
          <cell r="C143">
            <v>0</v>
          </cell>
          <cell r="D143" t="str">
            <v>PHP</v>
          </cell>
          <cell r="E143">
            <v>0</v>
          </cell>
          <cell r="F143" t="str">
            <v>FT</v>
          </cell>
          <cell r="G143">
            <v>0</v>
          </cell>
        </row>
        <row r="144">
          <cell r="B144">
            <v>29874</v>
          </cell>
          <cell r="C144">
            <v>0</v>
          </cell>
          <cell r="D144" t="str">
            <v>PHP</v>
          </cell>
          <cell r="E144">
            <v>0</v>
          </cell>
          <cell r="F144" t="str">
            <v>SET</v>
          </cell>
          <cell r="G144">
            <v>0</v>
          </cell>
        </row>
        <row r="145">
          <cell r="B145">
            <v>29876</v>
          </cell>
          <cell r="C145">
            <v>0</v>
          </cell>
          <cell r="D145" t="str">
            <v>PHP</v>
          </cell>
          <cell r="E145">
            <v>0</v>
          </cell>
          <cell r="F145" t="str">
            <v>FT</v>
          </cell>
          <cell r="G145">
            <v>0</v>
          </cell>
        </row>
        <row r="146">
          <cell r="B146">
            <v>29878</v>
          </cell>
          <cell r="C146">
            <v>22664.55</v>
          </cell>
          <cell r="D146" t="str">
            <v>PHP</v>
          </cell>
          <cell r="E146">
            <v>15</v>
          </cell>
          <cell r="F146" t="str">
            <v>SET</v>
          </cell>
          <cell r="G146">
            <v>0</v>
          </cell>
        </row>
        <row r="147">
          <cell r="B147">
            <v>29879</v>
          </cell>
          <cell r="C147">
            <v>179090.16</v>
          </cell>
          <cell r="D147" t="str">
            <v>PHP</v>
          </cell>
          <cell r="E147">
            <v>4</v>
          </cell>
          <cell r="F147" t="str">
            <v>PC</v>
          </cell>
          <cell r="G147">
            <v>0</v>
          </cell>
        </row>
        <row r="148">
          <cell r="B148">
            <v>29880</v>
          </cell>
          <cell r="C148">
            <v>220365.28</v>
          </cell>
          <cell r="D148" t="str">
            <v>PHP</v>
          </cell>
          <cell r="E148">
            <v>1</v>
          </cell>
          <cell r="F148" t="str">
            <v>PC</v>
          </cell>
          <cell r="G148">
            <v>0</v>
          </cell>
        </row>
        <row r="149">
          <cell r="B149">
            <v>29883</v>
          </cell>
          <cell r="C149">
            <v>0</v>
          </cell>
          <cell r="D149" t="str">
            <v>PHP</v>
          </cell>
          <cell r="E149">
            <v>0</v>
          </cell>
          <cell r="F149" t="str">
            <v>PC</v>
          </cell>
          <cell r="G149">
            <v>0</v>
          </cell>
        </row>
        <row r="150">
          <cell r="B150">
            <v>29886</v>
          </cell>
          <cell r="C150">
            <v>14123.49</v>
          </cell>
          <cell r="D150" t="str">
            <v>PHP</v>
          </cell>
          <cell r="E150">
            <v>9</v>
          </cell>
          <cell r="F150" t="str">
            <v>SET</v>
          </cell>
          <cell r="G150">
            <v>0</v>
          </cell>
        </row>
        <row r="151">
          <cell r="B151">
            <v>29888</v>
          </cell>
          <cell r="C151">
            <v>18991.72</v>
          </cell>
          <cell r="D151" t="str">
            <v>PHP</v>
          </cell>
          <cell r="E151">
            <v>4</v>
          </cell>
          <cell r="F151" t="str">
            <v>PC</v>
          </cell>
          <cell r="G151">
            <v>0</v>
          </cell>
        </row>
        <row r="152">
          <cell r="B152">
            <v>29889</v>
          </cell>
          <cell r="C152">
            <v>41852.9</v>
          </cell>
          <cell r="D152" t="str">
            <v>PHP</v>
          </cell>
          <cell r="E152">
            <v>1</v>
          </cell>
          <cell r="F152" t="str">
            <v>PC</v>
          </cell>
          <cell r="G152">
            <v>0</v>
          </cell>
        </row>
        <row r="153">
          <cell r="B153">
            <v>29898</v>
          </cell>
          <cell r="C153">
            <v>0</v>
          </cell>
          <cell r="D153" t="str">
            <v>PHP</v>
          </cell>
          <cell r="E153">
            <v>0</v>
          </cell>
          <cell r="F153" t="str">
            <v>PC</v>
          </cell>
          <cell r="G153">
            <v>0</v>
          </cell>
        </row>
        <row r="154">
          <cell r="B154">
            <v>29900</v>
          </cell>
          <cell r="C154">
            <v>27766.080000000002</v>
          </cell>
          <cell r="D154" t="str">
            <v>PHP</v>
          </cell>
          <cell r="E154">
            <v>6</v>
          </cell>
          <cell r="F154" t="str">
            <v>PC</v>
          </cell>
          <cell r="G154">
            <v>0</v>
          </cell>
        </row>
        <row r="155">
          <cell r="B155">
            <v>29909</v>
          </cell>
          <cell r="C155">
            <v>8828.75</v>
          </cell>
          <cell r="D155" t="str">
            <v>PHP</v>
          </cell>
          <cell r="E155">
            <v>1</v>
          </cell>
          <cell r="F155" t="str">
            <v>PC</v>
          </cell>
          <cell r="G155">
            <v>0</v>
          </cell>
        </row>
        <row r="156">
          <cell r="B156">
            <v>29923</v>
          </cell>
          <cell r="C156">
            <v>88344.38</v>
          </cell>
          <cell r="D156" t="str">
            <v>PHP</v>
          </cell>
          <cell r="E156">
            <v>11</v>
          </cell>
          <cell r="F156" t="str">
            <v>PC</v>
          </cell>
          <cell r="G156">
            <v>0</v>
          </cell>
        </row>
        <row r="157">
          <cell r="B157">
            <v>29926</v>
          </cell>
          <cell r="C157">
            <v>0</v>
          </cell>
          <cell r="D157" t="str">
            <v>PHP</v>
          </cell>
          <cell r="E157">
            <v>0</v>
          </cell>
          <cell r="F157" t="str">
            <v>SET</v>
          </cell>
          <cell r="G157">
            <v>0</v>
          </cell>
        </row>
        <row r="158">
          <cell r="B158">
            <v>29933</v>
          </cell>
          <cell r="C158">
            <v>8673.06</v>
          </cell>
          <cell r="D158" t="str">
            <v>PHP</v>
          </cell>
          <cell r="E158">
            <v>2</v>
          </cell>
          <cell r="F158" t="str">
            <v>PC</v>
          </cell>
          <cell r="G158">
            <v>0</v>
          </cell>
        </row>
        <row r="159">
          <cell r="B159">
            <v>29942</v>
          </cell>
          <cell r="C159">
            <v>227.18</v>
          </cell>
          <cell r="D159" t="str">
            <v>PHP</v>
          </cell>
          <cell r="E159">
            <v>1</v>
          </cell>
          <cell r="F159" t="str">
            <v>PC</v>
          </cell>
          <cell r="G159">
            <v>0</v>
          </cell>
        </row>
        <row r="160">
          <cell r="B160">
            <v>31192</v>
          </cell>
          <cell r="C160">
            <v>0</v>
          </cell>
          <cell r="D160" t="str">
            <v>PHP</v>
          </cell>
          <cell r="E160">
            <v>0</v>
          </cell>
          <cell r="F160" t="str">
            <v>PC</v>
          </cell>
          <cell r="G160">
            <v>0</v>
          </cell>
        </row>
        <row r="161">
          <cell r="B161">
            <v>35850</v>
          </cell>
          <cell r="C161">
            <v>0</v>
          </cell>
          <cell r="D161" t="str">
            <v>PHP</v>
          </cell>
          <cell r="E161">
            <v>0</v>
          </cell>
          <cell r="F161" t="str">
            <v>PC</v>
          </cell>
          <cell r="G161">
            <v>0</v>
          </cell>
        </row>
        <row r="162">
          <cell r="B162">
            <v>35865</v>
          </cell>
          <cell r="C162">
            <v>0</v>
          </cell>
          <cell r="D162" t="str">
            <v>PHP</v>
          </cell>
          <cell r="E162">
            <v>0</v>
          </cell>
          <cell r="F162" t="str">
            <v>PC</v>
          </cell>
          <cell r="G162">
            <v>0</v>
          </cell>
        </row>
        <row r="163">
          <cell r="B163">
            <v>39971</v>
          </cell>
          <cell r="C163">
            <v>0</v>
          </cell>
          <cell r="D163" t="str">
            <v>PHP</v>
          </cell>
          <cell r="E163">
            <v>0</v>
          </cell>
          <cell r="F163" t="str">
            <v>PC</v>
          </cell>
          <cell r="G163">
            <v>0</v>
          </cell>
        </row>
        <row r="164">
          <cell r="B164">
            <v>40216</v>
          </cell>
          <cell r="C164">
            <v>0</v>
          </cell>
          <cell r="D164" t="str">
            <v>PHP</v>
          </cell>
          <cell r="E164">
            <v>0</v>
          </cell>
          <cell r="F164" t="str">
            <v>PL</v>
          </cell>
          <cell r="G164">
            <v>0</v>
          </cell>
        </row>
        <row r="165">
          <cell r="B165">
            <v>40321</v>
          </cell>
          <cell r="C165">
            <v>0</v>
          </cell>
          <cell r="D165" t="str">
            <v>PHP</v>
          </cell>
          <cell r="E165">
            <v>0</v>
          </cell>
          <cell r="F165" t="str">
            <v>LEN</v>
          </cell>
          <cell r="G165">
            <v>0</v>
          </cell>
        </row>
        <row r="166">
          <cell r="B166">
            <v>40322</v>
          </cell>
          <cell r="C166">
            <v>0</v>
          </cell>
          <cell r="D166" t="str">
            <v>PHP</v>
          </cell>
          <cell r="E166">
            <v>0</v>
          </cell>
          <cell r="F166" t="str">
            <v>PC</v>
          </cell>
          <cell r="G166">
            <v>0</v>
          </cell>
        </row>
        <row r="167">
          <cell r="B167">
            <v>40324</v>
          </cell>
          <cell r="C167">
            <v>9953.64</v>
          </cell>
          <cell r="D167" t="str">
            <v>PHP</v>
          </cell>
          <cell r="E167">
            <v>3</v>
          </cell>
          <cell r="F167" t="str">
            <v>PC</v>
          </cell>
          <cell r="G167">
            <v>0</v>
          </cell>
        </row>
        <row r="168">
          <cell r="B168">
            <v>40327</v>
          </cell>
          <cell r="C168">
            <v>1827487.1</v>
          </cell>
          <cell r="D168" t="str">
            <v>PHP</v>
          </cell>
          <cell r="E168">
            <v>1</v>
          </cell>
          <cell r="F168" t="str">
            <v>PC</v>
          </cell>
          <cell r="G168">
            <v>0</v>
          </cell>
        </row>
        <row r="169">
          <cell r="B169">
            <v>40334</v>
          </cell>
          <cell r="C169">
            <v>67968.36</v>
          </cell>
          <cell r="D169" t="str">
            <v>PHP</v>
          </cell>
          <cell r="E169">
            <v>2</v>
          </cell>
          <cell r="F169" t="str">
            <v>PC</v>
          </cell>
          <cell r="G169">
            <v>0</v>
          </cell>
        </row>
        <row r="170">
          <cell r="B170">
            <v>40335</v>
          </cell>
          <cell r="C170">
            <v>260279.2</v>
          </cell>
          <cell r="D170" t="str">
            <v>PHP</v>
          </cell>
          <cell r="E170">
            <v>5</v>
          </cell>
          <cell r="F170" t="str">
            <v>PC</v>
          </cell>
          <cell r="G170">
            <v>0</v>
          </cell>
        </row>
        <row r="171">
          <cell r="B171">
            <v>40339</v>
          </cell>
          <cell r="C171">
            <v>1397075.33</v>
          </cell>
          <cell r="D171" t="str">
            <v>PHP</v>
          </cell>
          <cell r="E171">
            <v>3</v>
          </cell>
          <cell r="F171" t="str">
            <v>PC</v>
          </cell>
          <cell r="G171">
            <v>0</v>
          </cell>
        </row>
        <row r="172">
          <cell r="B172">
            <v>40494</v>
          </cell>
          <cell r="C172">
            <v>0</v>
          </cell>
          <cell r="D172" t="str">
            <v>PHP</v>
          </cell>
          <cell r="E172">
            <v>0</v>
          </cell>
          <cell r="F172" t="str">
            <v>PC</v>
          </cell>
          <cell r="G172">
            <v>0</v>
          </cell>
        </row>
        <row r="173">
          <cell r="B173">
            <v>41279</v>
          </cell>
          <cell r="C173">
            <v>98680.04</v>
          </cell>
          <cell r="D173" t="str">
            <v>PHP</v>
          </cell>
          <cell r="E173">
            <v>116</v>
          </cell>
          <cell r="F173" t="str">
            <v>BAG</v>
          </cell>
          <cell r="G173">
            <v>0</v>
          </cell>
        </row>
        <row r="174">
          <cell r="B174">
            <v>41280</v>
          </cell>
          <cell r="C174">
            <v>708372</v>
          </cell>
          <cell r="D174" t="str">
            <v>PHP</v>
          </cell>
          <cell r="E174">
            <v>720</v>
          </cell>
          <cell r="F174" t="str">
            <v>BAG</v>
          </cell>
          <cell r="G174">
            <v>0</v>
          </cell>
        </row>
        <row r="175">
          <cell r="B175">
            <v>41281</v>
          </cell>
          <cell r="C175">
            <v>0</v>
          </cell>
          <cell r="D175" t="str">
            <v>PHP</v>
          </cell>
          <cell r="E175">
            <v>0</v>
          </cell>
          <cell r="F175" t="str">
            <v>DR</v>
          </cell>
          <cell r="G175">
            <v>0</v>
          </cell>
        </row>
        <row r="176">
          <cell r="B176">
            <v>41296</v>
          </cell>
          <cell r="C176">
            <v>0</v>
          </cell>
          <cell r="D176" t="str">
            <v>PHP</v>
          </cell>
          <cell r="E176">
            <v>0</v>
          </cell>
          <cell r="F176" t="str">
            <v>BAG</v>
          </cell>
          <cell r="G176">
            <v>0</v>
          </cell>
        </row>
        <row r="177">
          <cell r="B177">
            <v>41304</v>
          </cell>
          <cell r="C177">
            <v>222186</v>
          </cell>
          <cell r="D177" t="str">
            <v>PHP</v>
          </cell>
          <cell r="E177">
            <v>1140</v>
          </cell>
          <cell r="F177" t="str">
            <v>BAG</v>
          </cell>
          <cell r="G177">
            <v>0</v>
          </cell>
        </row>
        <row r="178">
          <cell r="B178">
            <v>41337</v>
          </cell>
          <cell r="C178">
            <v>0</v>
          </cell>
          <cell r="D178" t="str">
            <v>PHP</v>
          </cell>
          <cell r="E178">
            <v>0</v>
          </cell>
          <cell r="F178" t="str">
            <v>PC</v>
          </cell>
          <cell r="G178">
            <v>0</v>
          </cell>
        </row>
        <row r="179">
          <cell r="B179">
            <v>41472</v>
          </cell>
          <cell r="C179">
            <v>44296.56</v>
          </cell>
          <cell r="D179" t="str">
            <v>PHP</v>
          </cell>
          <cell r="E179">
            <v>1</v>
          </cell>
          <cell r="F179" t="str">
            <v>PC</v>
          </cell>
          <cell r="G179">
            <v>0</v>
          </cell>
        </row>
        <row r="180">
          <cell r="B180">
            <v>41665</v>
          </cell>
          <cell r="C180">
            <v>0</v>
          </cell>
          <cell r="D180" t="str">
            <v>PHP</v>
          </cell>
          <cell r="E180">
            <v>0</v>
          </cell>
          <cell r="F180" t="str">
            <v>PC</v>
          </cell>
          <cell r="G180">
            <v>0</v>
          </cell>
        </row>
        <row r="181">
          <cell r="B181">
            <v>42419</v>
          </cell>
          <cell r="C181">
            <v>0</v>
          </cell>
          <cell r="D181" t="str">
            <v>PHP</v>
          </cell>
          <cell r="E181">
            <v>0</v>
          </cell>
          <cell r="F181" t="str">
            <v>M</v>
          </cell>
          <cell r="G181">
            <v>0</v>
          </cell>
        </row>
        <row r="182">
          <cell r="B182">
            <v>42479</v>
          </cell>
          <cell r="C182">
            <v>822.54</v>
          </cell>
          <cell r="D182" t="str">
            <v>PHP</v>
          </cell>
          <cell r="E182">
            <v>1</v>
          </cell>
          <cell r="F182" t="str">
            <v>PC</v>
          </cell>
          <cell r="G182">
            <v>0</v>
          </cell>
        </row>
        <row r="183">
          <cell r="B183">
            <v>42539</v>
          </cell>
          <cell r="C183">
            <v>0</v>
          </cell>
          <cell r="D183" t="str">
            <v>PHP</v>
          </cell>
          <cell r="E183">
            <v>0</v>
          </cell>
          <cell r="F183" t="str">
            <v>PC</v>
          </cell>
          <cell r="G183">
            <v>0</v>
          </cell>
        </row>
        <row r="184">
          <cell r="B184">
            <v>42691</v>
          </cell>
          <cell r="C184">
            <v>0</v>
          </cell>
          <cell r="D184" t="str">
            <v>PHP</v>
          </cell>
          <cell r="E184">
            <v>0</v>
          </cell>
          <cell r="F184" t="str">
            <v>PC</v>
          </cell>
          <cell r="G184">
            <v>0</v>
          </cell>
        </row>
        <row r="185">
          <cell r="B185">
            <v>43767</v>
          </cell>
          <cell r="C185">
            <v>0</v>
          </cell>
          <cell r="D185" t="str">
            <v>PHP</v>
          </cell>
          <cell r="E185">
            <v>0</v>
          </cell>
          <cell r="F185" t="str">
            <v>PC</v>
          </cell>
          <cell r="G185">
            <v>0</v>
          </cell>
        </row>
        <row r="186">
          <cell r="B186">
            <v>46109</v>
          </cell>
          <cell r="C186">
            <v>0</v>
          </cell>
          <cell r="D186" t="str">
            <v>PHP</v>
          </cell>
          <cell r="E186">
            <v>0</v>
          </cell>
          <cell r="F186" t="str">
            <v>PC</v>
          </cell>
          <cell r="G186">
            <v>0</v>
          </cell>
        </row>
        <row r="187">
          <cell r="B187">
            <v>46403</v>
          </cell>
          <cell r="C187">
            <v>0</v>
          </cell>
          <cell r="D187" t="str">
            <v>PHP</v>
          </cell>
          <cell r="E187">
            <v>0</v>
          </cell>
          <cell r="F187" t="str">
            <v>PC</v>
          </cell>
          <cell r="G187">
            <v>0</v>
          </cell>
        </row>
        <row r="188">
          <cell r="B188">
            <v>50630</v>
          </cell>
          <cell r="C188">
            <v>0</v>
          </cell>
          <cell r="D188" t="str">
            <v>PHP</v>
          </cell>
          <cell r="E188">
            <v>0</v>
          </cell>
          <cell r="F188" t="str">
            <v>PC</v>
          </cell>
          <cell r="G188">
            <v>0</v>
          </cell>
        </row>
        <row r="189">
          <cell r="B189">
            <v>53303</v>
          </cell>
          <cell r="C189">
            <v>40995.599999999999</v>
          </cell>
          <cell r="D189" t="str">
            <v>PHP</v>
          </cell>
          <cell r="E189">
            <v>12</v>
          </cell>
          <cell r="F189" t="str">
            <v>PC</v>
          </cell>
          <cell r="G189">
            <v>0</v>
          </cell>
        </row>
        <row r="190">
          <cell r="B190">
            <v>53304</v>
          </cell>
          <cell r="C190">
            <v>267169.61</v>
          </cell>
          <cell r="D190" t="str">
            <v>PHP</v>
          </cell>
          <cell r="E190">
            <v>22</v>
          </cell>
          <cell r="F190" t="str">
            <v>PC</v>
          </cell>
          <cell r="G190">
            <v>0</v>
          </cell>
        </row>
        <row r="191">
          <cell r="B191">
            <v>58982</v>
          </cell>
          <cell r="C191">
            <v>0</v>
          </cell>
          <cell r="D191" t="str">
            <v>PHP</v>
          </cell>
          <cell r="E191">
            <v>0</v>
          </cell>
          <cell r="F191" t="str">
            <v>PC</v>
          </cell>
          <cell r="G191">
            <v>0</v>
          </cell>
        </row>
        <row r="192">
          <cell r="B192">
            <v>58984</v>
          </cell>
          <cell r="C192">
            <v>0</v>
          </cell>
          <cell r="D192" t="str">
            <v>PHP</v>
          </cell>
          <cell r="E192">
            <v>0</v>
          </cell>
          <cell r="F192" t="str">
            <v>PC</v>
          </cell>
          <cell r="G192">
            <v>0</v>
          </cell>
        </row>
        <row r="193">
          <cell r="B193">
            <v>58985</v>
          </cell>
          <cell r="C193">
            <v>0</v>
          </cell>
          <cell r="D193" t="str">
            <v>PHP</v>
          </cell>
          <cell r="E193">
            <v>0</v>
          </cell>
          <cell r="F193" t="str">
            <v>PC</v>
          </cell>
          <cell r="G193">
            <v>0</v>
          </cell>
        </row>
        <row r="194">
          <cell r="B194">
            <v>58986</v>
          </cell>
          <cell r="C194">
            <v>0</v>
          </cell>
          <cell r="D194" t="str">
            <v>PHP</v>
          </cell>
          <cell r="E194">
            <v>0</v>
          </cell>
          <cell r="F194" t="str">
            <v>PC</v>
          </cell>
          <cell r="G194">
            <v>0</v>
          </cell>
        </row>
        <row r="195">
          <cell r="B195">
            <v>59202</v>
          </cell>
          <cell r="C195">
            <v>0</v>
          </cell>
          <cell r="D195" t="str">
            <v>PHP</v>
          </cell>
          <cell r="E195">
            <v>0</v>
          </cell>
          <cell r="F195" t="str">
            <v>PC</v>
          </cell>
          <cell r="G195">
            <v>0</v>
          </cell>
        </row>
        <row r="196">
          <cell r="B196">
            <v>59203</v>
          </cell>
          <cell r="C196">
            <v>0</v>
          </cell>
          <cell r="D196" t="str">
            <v>PHP</v>
          </cell>
          <cell r="E196">
            <v>0</v>
          </cell>
          <cell r="F196" t="str">
            <v>PC</v>
          </cell>
          <cell r="G196">
            <v>0</v>
          </cell>
        </row>
        <row r="197">
          <cell r="B197">
            <v>59204</v>
          </cell>
          <cell r="C197">
            <v>4903.2</v>
          </cell>
          <cell r="D197" t="str">
            <v>PHP</v>
          </cell>
          <cell r="E197">
            <v>4</v>
          </cell>
          <cell r="F197" t="str">
            <v>PC</v>
          </cell>
          <cell r="G197">
            <v>0</v>
          </cell>
        </row>
        <row r="198">
          <cell r="B198">
            <v>67983</v>
          </cell>
          <cell r="C198">
            <v>43245.53</v>
          </cell>
          <cell r="D198" t="str">
            <v>PHP</v>
          </cell>
          <cell r="E198">
            <v>1</v>
          </cell>
          <cell r="F198" t="str">
            <v>PC</v>
          </cell>
          <cell r="G198">
            <v>0</v>
          </cell>
        </row>
        <row r="199">
          <cell r="B199">
            <v>67984</v>
          </cell>
          <cell r="C199">
            <v>153691.57999999999</v>
          </cell>
          <cell r="D199" t="str">
            <v>PHP</v>
          </cell>
          <cell r="E199">
            <v>3</v>
          </cell>
          <cell r="F199" t="str">
            <v>PC</v>
          </cell>
          <cell r="G199">
            <v>0</v>
          </cell>
        </row>
        <row r="200">
          <cell r="B200">
            <v>67985</v>
          </cell>
          <cell r="C200">
            <v>73708.679999999993</v>
          </cell>
          <cell r="D200" t="str">
            <v>PHP</v>
          </cell>
          <cell r="E200">
            <v>3</v>
          </cell>
          <cell r="F200" t="str">
            <v>PC</v>
          </cell>
          <cell r="G200">
            <v>0</v>
          </cell>
        </row>
        <row r="201">
          <cell r="B201">
            <v>67986</v>
          </cell>
          <cell r="C201">
            <v>191144.02</v>
          </cell>
          <cell r="D201" t="str">
            <v>PHP</v>
          </cell>
          <cell r="E201">
            <v>6</v>
          </cell>
          <cell r="F201" t="str">
            <v>PC</v>
          </cell>
          <cell r="G201">
            <v>0</v>
          </cell>
        </row>
        <row r="202">
          <cell r="B202">
            <v>69321</v>
          </cell>
          <cell r="C202">
            <v>454483.8</v>
          </cell>
          <cell r="D202" t="str">
            <v>PHP</v>
          </cell>
          <cell r="E202">
            <v>2</v>
          </cell>
          <cell r="F202" t="str">
            <v>SET</v>
          </cell>
          <cell r="G202">
            <v>0</v>
          </cell>
        </row>
        <row r="203">
          <cell r="B203">
            <v>75786</v>
          </cell>
          <cell r="C203">
            <v>0</v>
          </cell>
          <cell r="D203" t="str">
            <v>PHP</v>
          </cell>
          <cell r="E203">
            <v>0</v>
          </cell>
          <cell r="F203" t="str">
            <v>PC</v>
          </cell>
          <cell r="G203">
            <v>0</v>
          </cell>
        </row>
        <row r="204">
          <cell r="B204">
            <v>77682</v>
          </cell>
          <cell r="C204">
            <v>324730.78999999998</v>
          </cell>
          <cell r="D204" t="str">
            <v>PHP</v>
          </cell>
          <cell r="E204">
            <v>2</v>
          </cell>
          <cell r="F204" t="str">
            <v>SET</v>
          </cell>
          <cell r="G204">
            <v>0</v>
          </cell>
        </row>
        <row r="205">
          <cell r="B205">
            <v>85218</v>
          </cell>
          <cell r="C205">
            <v>210240.99</v>
          </cell>
          <cell r="D205" t="str">
            <v>PHP</v>
          </cell>
          <cell r="E205">
            <v>1</v>
          </cell>
          <cell r="F205" t="str">
            <v>PC</v>
          </cell>
          <cell r="G205">
            <v>0</v>
          </cell>
        </row>
        <row r="206">
          <cell r="B206">
            <v>109061</v>
          </cell>
          <cell r="C206">
            <v>0</v>
          </cell>
          <cell r="D206" t="str">
            <v>PHP</v>
          </cell>
          <cell r="E206">
            <v>0</v>
          </cell>
          <cell r="F206" t="str">
            <v>LOT</v>
          </cell>
          <cell r="G206">
            <v>0</v>
          </cell>
        </row>
        <row r="207">
          <cell r="B207">
            <v>109191</v>
          </cell>
          <cell r="C207">
            <v>0</v>
          </cell>
          <cell r="D207" t="str">
            <v>PHP</v>
          </cell>
          <cell r="E207">
            <v>0</v>
          </cell>
          <cell r="F207" t="str">
            <v>GAL</v>
          </cell>
          <cell r="G207">
            <v>0</v>
          </cell>
        </row>
        <row r="208">
          <cell r="B208">
            <v>110454</v>
          </cell>
          <cell r="C208">
            <v>0</v>
          </cell>
          <cell r="D208" t="str">
            <v>PHP</v>
          </cell>
          <cell r="E208">
            <v>0</v>
          </cell>
          <cell r="F208" t="str">
            <v>LEN</v>
          </cell>
          <cell r="G208">
            <v>0</v>
          </cell>
        </row>
        <row r="209">
          <cell r="B209">
            <v>110455</v>
          </cell>
          <cell r="C209">
            <v>622242.82999999996</v>
          </cell>
          <cell r="D209" t="str">
            <v>PHP</v>
          </cell>
          <cell r="E209">
            <v>123</v>
          </cell>
          <cell r="F209" t="str">
            <v>LEN</v>
          </cell>
          <cell r="G209">
            <v>0</v>
          </cell>
        </row>
        <row r="210">
          <cell r="B210">
            <v>112532</v>
          </cell>
          <cell r="C210">
            <v>0</v>
          </cell>
          <cell r="D210" t="str">
            <v>PHP</v>
          </cell>
          <cell r="E210">
            <v>0</v>
          </cell>
          <cell r="F210" t="str">
            <v>PC</v>
          </cell>
          <cell r="G210">
            <v>0</v>
          </cell>
        </row>
        <row r="211">
          <cell r="B211">
            <v>112533</v>
          </cell>
          <cell r="C211">
            <v>0</v>
          </cell>
          <cell r="D211" t="str">
            <v>PHP</v>
          </cell>
          <cell r="E211">
            <v>0</v>
          </cell>
          <cell r="F211" t="str">
            <v>PC</v>
          </cell>
          <cell r="G211">
            <v>0</v>
          </cell>
        </row>
        <row r="212">
          <cell r="B212">
            <v>112534</v>
          </cell>
          <cell r="C212">
            <v>0</v>
          </cell>
          <cell r="D212" t="str">
            <v>PHP</v>
          </cell>
          <cell r="E212">
            <v>0</v>
          </cell>
          <cell r="F212" t="str">
            <v>PC</v>
          </cell>
          <cell r="G212">
            <v>0</v>
          </cell>
        </row>
        <row r="213">
          <cell r="B213">
            <v>112535</v>
          </cell>
          <cell r="C213">
            <v>0</v>
          </cell>
          <cell r="D213" t="str">
            <v>PHP</v>
          </cell>
          <cell r="E213">
            <v>0</v>
          </cell>
          <cell r="F213" t="str">
            <v>PC</v>
          </cell>
          <cell r="G213">
            <v>0</v>
          </cell>
        </row>
        <row r="214">
          <cell r="B214">
            <v>120077</v>
          </cell>
          <cell r="C214">
            <v>48959.3</v>
          </cell>
          <cell r="D214" t="str">
            <v>PHP</v>
          </cell>
          <cell r="E214">
            <v>25</v>
          </cell>
          <cell r="F214" t="str">
            <v>PC</v>
          </cell>
          <cell r="G214">
            <v>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H SDI (MFM)"/>
      <sheetName val="BH SDI"/>
      <sheetName val="RH SDI"/>
      <sheetName val="BH HB"/>
      <sheetName val="RH HB"/>
      <sheetName val="JARSSHOCKTOOLDDT"/>
      <sheetName val="Cost Details_DF_REG HOLE"/>
      <sheetName val="Cost Details_DF_BH_double"/>
      <sheetName val="Cost Details_DF_BH_SINGE LINER"/>
      <sheetName val="Cost Details_DF_BH_single"/>
      <sheetName val="Sheet3"/>
    </sheetNames>
    <sheetDataSet>
      <sheetData sheetId="0">
        <row r="6">
          <cell r="H6">
            <v>1390</v>
          </cell>
        </row>
      </sheetData>
      <sheetData sheetId="1">
        <row r="6">
          <cell r="H6">
            <v>1390</v>
          </cell>
          <cell r="I6">
            <v>2</v>
          </cell>
        </row>
        <row r="7">
          <cell r="H7">
            <v>800</v>
          </cell>
          <cell r="I7">
            <v>2</v>
          </cell>
        </row>
        <row r="8">
          <cell r="H8">
            <v>0</v>
          </cell>
          <cell r="I8">
            <v>0</v>
          </cell>
        </row>
        <row r="9">
          <cell r="H9">
            <v>160</v>
          </cell>
          <cell r="I9">
            <v>3</v>
          </cell>
        </row>
        <row r="10">
          <cell r="H10">
            <v>117</v>
          </cell>
          <cell r="I10">
            <v>1</v>
          </cell>
        </row>
        <row r="11">
          <cell r="H11">
            <v>0</v>
          </cell>
          <cell r="I11">
            <v>0</v>
          </cell>
        </row>
        <row r="12">
          <cell r="H12">
            <v>86.5</v>
          </cell>
          <cell r="I12">
            <v>1</v>
          </cell>
        </row>
        <row r="13">
          <cell r="H13">
            <v>1390</v>
          </cell>
          <cell r="I13">
            <v>2</v>
          </cell>
        </row>
        <row r="14">
          <cell r="H14">
            <v>800</v>
          </cell>
          <cell r="I14">
            <v>2</v>
          </cell>
        </row>
        <row r="15">
          <cell r="H15">
            <v>0</v>
          </cell>
        </row>
        <row r="16">
          <cell r="H16">
            <v>160</v>
          </cell>
          <cell r="I16">
            <v>3</v>
          </cell>
        </row>
        <row r="17">
          <cell r="H17">
            <v>117</v>
          </cell>
        </row>
        <row r="18">
          <cell r="H18">
            <v>0</v>
          </cell>
          <cell r="I18">
            <v>2</v>
          </cell>
        </row>
        <row r="19">
          <cell r="H19">
            <v>86.5</v>
          </cell>
          <cell r="I19">
            <v>1</v>
          </cell>
        </row>
        <row r="20">
          <cell r="H20">
            <v>855</v>
          </cell>
          <cell r="I20">
            <v>1</v>
          </cell>
        </row>
        <row r="21">
          <cell r="H21">
            <v>0</v>
          </cell>
          <cell r="I21">
            <v>2</v>
          </cell>
        </row>
        <row r="23">
          <cell r="H23">
            <v>16000</v>
          </cell>
          <cell r="I23">
            <v>0</v>
          </cell>
        </row>
        <row r="24">
          <cell r="H24">
            <v>200</v>
          </cell>
          <cell r="I24">
            <v>1</v>
          </cell>
        </row>
        <row r="25">
          <cell r="H25">
            <v>200</v>
          </cell>
          <cell r="I25">
            <v>2</v>
          </cell>
        </row>
        <row r="26">
          <cell r="H26">
            <v>180</v>
          </cell>
          <cell r="I26">
            <v>3</v>
          </cell>
        </row>
        <row r="27">
          <cell r="H27">
            <v>0</v>
          </cell>
          <cell r="I27">
            <v>2</v>
          </cell>
        </row>
        <row r="28">
          <cell r="H28">
            <v>140</v>
          </cell>
          <cell r="I28">
            <v>3</v>
          </cell>
        </row>
        <row r="29">
          <cell r="H29">
            <v>102</v>
          </cell>
          <cell r="I29">
            <v>1</v>
          </cell>
        </row>
        <row r="31">
          <cell r="H31">
            <v>0</v>
          </cell>
          <cell r="I31">
            <v>1</v>
          </cell>
        </row>
        <row r="32">
          <cell r="H32">
            <v>0</v>
          </cell>
          <cell r="I32">
            <v>2</v>
          </cell>
        </row>
        <row r="33">
          <cell r="H33">
            <v>125</v>
          </cell>
          <cell r="I33">
            <v>1</v>
          </cell>
        </row>
        <row r="34">
          <cell r="H34">
            <v>0</v>
          </cell>
          <cell r="I34">
            <v>1</v>
          </cell>
        </row>
        <row r="35">
          <cell r="H35">
            <v>130</v>
          </cell>
          <cell r="I35">
            <v>3</v>
          </cell>
        </row>
        <row r="36">
          <cell r="H36">
            <v>85</v>
          </cell>
          <cell r="I36">
            <v>1</v>
          </cell>
        </row>
        <row r="37">
          <cell r="H37">
            <v>0</v>
          </cell>
          <cell r="I37">
            <v>3</v>
          </cell>
        </row>
        <row r="38">
          <cell r="H38">
            <v>0</v>
          </cell>
          <cell r="I38">
            <v>2</v>
          </cell>
        </row>
      </sheetData>
      <sheetData sheetId="2">
        <row r="6">
          <cell r="F6">
            <v>850</v>
          </cell>
        </row>
        <row r="13">
          <cell r="H13">
            <v>1390</v>
          </cell>
          <cell r="I13">
            <v>2</v>
          </cell>
        </row>
        <row r="14">
          <cell r="H14">
            <v>800</v>
          </cell>
          <cell r="I14">
            <v>2</v>
          </cell>
        </row>
        <row r="15">
          <cell r="H15">
            <v>0</v>
          </cell>
          <cell r="I15">
            <v>0</v>
          </cell>
        </row>
        <row r="16">
          <cell r="H16">
            <v>160</v>
          </cell>
          <cell r="I16">
            <v>3</v>
          </cell>
        </row>
        <row r="17">
          <cell r="H17">
            <v>117</v>
          </cell>
          <cell r="I17">
            <v>1</v>
          </cell>
        </row>
        <row r="18">
          <cell r="H18">
            <v>0</v>
          </cell>
          <cell r="I18">
            <v>2</v>
          </cell>
        </row>
        <row r="19">
          <cell r="H19">
            <v>86.5</v>
          </cell>
          <cell r="I19">
            <v>1</v>
          </cell>
        </row>
        <row r="20">
          <cell r="H20">
            <v>855</v>
          </cell>
          <cell r="I20">
            <v>1</v>
          </cell>
        </row>
        <row r="21">
          <cell r="H21">
            <v>0</v>
          </cell>
          <cell r="I21">
            <v>2</v>
          </cell>
        </row>
        <row r="22">
          <cell r="H22">
            <v>150</v>
          </cell>
          <cell r="I22">
            <v>1</v>
          </cell>
        </row>
        <row r="23">
          <cell r="H23">
            <v>16000</v>
          </cell>
          <cell r="I23">
            <v>0</v>
          </cell>
        </row>
        <row r="24">
          <cell r="H24">
            <v>200</v>
          </cell>
          <cell r="I24">
            <v>1</v>
          </cell>
        </row>
        <row r="25">
          <cell r="H25">
            <v>200</v>
          </cell>
          <cell r="I25">
            <v>2</v>
          </cell>
        </row>
        <row r="26">
          <cell r="H26">
            <v>180</v>
          </cell>
          <cell r="I26">
            <v>3</v>
          </cell>
        </row>
        <row r="28">
          <cell r="H28">
            <v>140</v>
          </cell>
          <cell r="I28">
            <v>3</v>
          </cell>
        </row>
        <row r="29">
          <cell r="H29">
            <v>102</v>
          </cell>
          <cell r="I29">
            <v>1</v>
          </cell>
        </row>
        <row r="30">
          <cell r="H30">
            <v>0</v>
          </cell>
          <cell r="I30">
            <v>2</v>
          </cell>
        </row>
        <row r="31">
          <cell r="H31">
            <v>0</v>
          </cell>
          <cell r="I31">
            <v>1</v>
          </cell>
        </row>
        <row r="32">
          <cell r="H32">
            <v>0</v>
          </cell>
          <cell r="I32">
            <v>2</v>
          </cell>
        </row>
        <row r="33">
          <cell r="H33">
            <v>125</v>
          </cell>
          <cell r="I33">
            <v>1</v>
          </cell>
        </row>
        <row r="34">
          <cell r="H34">
            <v>0</v>
          </cell>
          <cell r="I34">
            <v>1</v>
          </cell>
        </row>
        <row r="35">
          <cell r="H35">
            <v>130</v>
          </cell>
          <cell r="I35">
            <v>3</v>
          </cell>
        </row>
        <row r="36">
          <cell r="H36">
            <v>85</v>
          </cell>
          <cell r="I36">
            <v>1</v>
          </cell>
        </row>
        <row r="37">
          <cell r="H37">
            <v>0</v>
          </cell>
          <cell r="I37">
            <v>3</v>
          </cell>
        </row>
        <row r="38">
          <cell r="H38">
            <v>0</v>
          </cell>
          <cell r="I38">
            <v>2</v>
          </cell>
        </row>
        <row r="39">
          <cell r="H39">
            <v>0</v>
          </cell>
          <cell r="I39">
            <v>2</v>
          </cell>
        </row>
        <row r="40">
          <cell r="H40">
            <v>160</v>
          </cell>
          <cell r="I40">
            <v>3</v>
          </cell>
        </row>
        <row r="41">
          <cell r="H41">
            <v>145</v>
          </cell>
          <cell r="I41">
            <v>2</v>
          </cell>
        </row>
      </sheetData>
      <sheetData sheetId="3">
        <row r="6">
          <cell r="F6">
            <v>850</v>
          </cell>
          <cell r="G6">
            <v>2</v>
          </cell>
        </row>
        <row r="7">
          <cell r="F7">
            <v>850</v>
          </cell>
          <cell r="G7">
            <v>2</v>
          </cell>
        </row>
        <row r="8">
          <cell r="F8">
            <v>0</v>
          </cell>
        </row>
        <row r="9">
          <cell r="F9">
            <v>700</v>
          </cell>
          <cell r="G9">
            <v>2</v>
          </cell>
        </row>
        <row r="10">
          <cell r="F10">
            <v>5</v>
          </cell>
          <cell r="G10">
            <v>2</v>
          </cell>
        </row>
        <row r="11">
          <cell r="F11">
            <v>0</v>
          </cell>
          <cell r="G11">
            <v>0</v>
          </cell>
        </row>
        <row r="12">
          <cell r="F12">
            <v>5</v>
          </cell>
          <cell r="G12">
            <v>1</v>
          </cell>
        </row>
        <row r="13">
          <cell r="F13">
            <v>850</v>
          </cell>
          <cell r="G13">
            <v>2</v>
          </cell>
        </row>
        <row r="14">
          <cell r="F14">
            <v>850</v>
          </cell>
          <cell r="G14">
            <v>2</v>
          </cell>
        </row>
        <row r="15">
          <cell r="F15">
            <v>0</v>
          </cell>
          <cell r="G15">
            <v>0</v>
          </cell>
        </row>
        <row r="16">
          <cell r="F16">
            <v>700</v>
          </cell>
          <cell r="G16">
            <v>2</v>
          </cell>
        </row>
        <row r="17">
          <cell r="F17">
            <v>5</v>
          </cell>
          <cell r="G17">
            <v>1</v>
          </cell>
        </row>
        <row r="18">
          <cell r="F18">
            <v>0</v>
          </cell>
          <cell r="G18">
            <v>2</v>
          </cell>
        </row>
        <row r="19">
          <cell r="G19">
            <v>1</v>
          </cell>
        </row>
        <row r="20">
          <cell r="G20">
            <v>1</v>
          </cell>
        </row>
        <row r="21">
          <cell r="G21">
            <v>2</v>
          </cell>
        </row>
        <row r="23">
          <cell r="F23">
            <v>0</v>
          </cell>
          <cell r="G23">
            <v>0</v>
          </cell>
        </row>
        <row r="24">
          <cell r="F24">
            <v>357.2</v>
          </cell>
          <cell r="G24">
            <v>2</v>
          </cell>
        </row>
        <row r="25">
          <cell r="F25">
            <v>380</v>
          </cell>
          <cell r="G25">
            <v>1</v>
          </cell>
        </row>
        <row r="26">
          <cell r="F26">
            <v>308</v>
          </cell>
          <cell r="G26">
            <v>2</v>
          </cell>
        </row>
        <row r="27">
          <cell r="F27">
            <v>338.4</v>
          </cell>
          <cell r="G27">
            <v>2</v>
          </cell>
        </row>
        <row r="28">
          <cell r="F28">
            <v>200</v>
          </cell>
          <cell r="G28">
            <v>2</v>
          </cell>
        </row>
        <row r="29">
          <cell r="F29">
            <v>5</v>
          </cell>
          <cell r="G29">
            <v>1</v>
          </cell>
        </row>
        <row r="31">
          <cell r="F31">
            <v>338.4</v>
          </cell>
          <cell r="G31">
            <v>1</v>
          </cell>
        </row>
        <row r="32">
          <cell r="F32">
            <v>338.4</v>
          </cell>
          <cell r="G32">
            <v>2</v>
          </cell>
        </row>
        <row r="33">
          <cell r="F33">
            <v>250</v>
          </cell>
          <cell r="G33">
            <v>1</v>
          </cell>
        </row>
        <row r="34">
          <cell r="F34">
            <v>338.4</v>
          </cell>
          <cell r="G34">
            <v>1</v>
          </cell>
        </row>
        <row r="35">
          <cell r="F35">
            <v>150</v>
          </cell>
          <cell r="G35">
            <v>3</v>
          </cell>
        </row>
        <row r="36">
          <cell r="F36">
            <v>5</v>
          </cell>
          <cell r="G36">
            <v>1</v>
          </cell>
        </row>
        <row r="37">
          <cell r="F37">
            <v>0</v>
          </cell>
          <cell r="G37">
            <v>3</v>
          </cell>
        </row>
        <row r="38">
          <cell r="F38">
            <v>338.4</v>
          </cell>
          <cell r="G38">
            <v>2</v>
          </cell>
        </row>
      </sheetData>
      <sheetData sheetId="4">
        <row r="13">
          <cell r="F13">
            <v>850</v>
          </cell>
          <cell r="G13">
            <v>2</v>
          </cell>
        </row>
        <row r="14">
          <cell r="F14">
            <v>850</v>
          </cell>
          <cell r="G14">
            <v>2</v>
          </cell>
        </row>
        <row r="15">
          <cell r="F15">
            <v>0</v>
          </cell>
          <cell r="G15">
            <v>0</v>
          </cell>
        </row>
        <row r="16">
          <cell r="F16">
            <v>700</v>
          </cell>
          <cell r="G16">
            <v>2</v>
          </cell>
        </row>
        <row r="17">
          <cell r="F17">
            <v>5</v>
          </cell>
          <cell r="G17">
            <v>1</v>
          </cell>
        </row>
        <row r="18">
          <cell r="F18">
            <v>0</v>
          </cell>
          <cell r="G18">
            <v>2</v>
          </cell>
        </row>
        <row r="19">
          <cell r="F19">
            <v>5</v>
          </cell>
          <cell r="G19">
            <v>1</v>
          </cell>
        </row>
        <row r="20">
          <cell r="F20">
            <v>3136</v>
          </cell>
          <cell r="G20">
            <v>1</v>
          </cell>
        </row>
        <row r="21">
          <cell r="F21">
            <v>338.4</v>
          </cell>
          <cell r="G21">
            <v>2</v>
          </cell>
        </row>
        <row r="22">
          <cell r="F22">
            <v>0</v>
          </cell>
          <cell r="G22">
            <v>0</v>
          </cell>
        </row>
        <row r="23">
          <cell r="F23">
            <v>0</v>
          </cell>
          <cell r="G23">
            <v>0</v>
          </cell>
        </row>
        <row r="24">
          <cell r="F24">
            <v>357.2</v>
          </cell>
          <cell r="G24">
            <v>2</v>
          </cell>
        </row>
        <row r="25">
          <cell r="F25">
            <v>380</v>
          </cell>
          <cell r="G25">
            <v>1</v>
          </cell>
        </row>
        <row r="26">
          <cell r="F26">
            <v>308</v>
          </cell>
          <cell r="G26">
            <v>2</v>
          </cell>
        </row>
        <row r="28">
          <cell r="F28">
            <v>200</v>
          </cell>
          <cell r="G28">
            <v>2</v>
          </cell>
        </row>
        <row r="29">
          <cell r="F29">
            <v>5</v>
          </cell>
          <cell r="G29">
            <v>1</v>
          </cell>
        </row>
        <row r="30">
          <cell r="F30">
            <v>200</v>
          </cell>
          <cell r="G30">
            <v>2</v>
          </cell>
        </row>
        <row r="31">
          <cell r="F31">
            <v>338.4</v>
          </cell>
          <cell r="G31">
            <v>1</v>
          </cell>
        </row>
        <row r="32">
          <cell r="F32">
            <v>338.4</v>
          </cell>
          <cell r="G32">
            <v>2</v>
          </cell>
        </row>
        <row r="33">
          <cell r="F33">
            <v>250</v>
          </cell>
          <cell r="G33">
            <v>1</v>
          </cell>
        </row>
        <row r="34">
          <cell r="G34">
            <v>1</v>
          </cell>
        </row>
        <row r="35">
          <cell r="F35">
            <v>150</v>
          </cell>
          <cell r="G35">
            <v>3</v>
          </cell>
        </row>
        <row r="36">
          <cell r="F36">
            <v>5</v>
          </cell>
          <cell r="G36">
            <v>1</v>
          </cell>
        </row>
        <row r="37">
          <cell r="F37">
            <v>0</v>
          </cell>
          <cell r="G37">
            <v>3</v>
          </cell>
        </row>
        <row r="38">
          <cell r="F38">
            <v>338.4</v>
          </cell>
          <cell r="G38">
            <v>2</v>
          </cell>
        </row>
        <row r="39">
          <cell r="F39">
            <v>338.4</v>
          </cell>
          <cell r="G39">
            <v>2</v>
          </cell>
        </row>
        <row r="40">
          <cell r="F40">
            <v>200</v>
          </cell>
          <cell r="G40">
            <v>3</v>
          </cell>
        </row>
        <row r="41">
          <cell r="F41">
            <v>200</v>
          </cell>
          <cell r="G41">
            <v>2</v>
          </cell>
        </row>
      </sheetData>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4.vml"/><Relationship Id="rId4" Type="http://schemas.openxmlformats.org/officeDocument/2006/relationships/comments" Target="../comments4.xml"/><Relationship Id="rId1" Type="http://schemas.openxmlformats.org/officeDocument/2006/relationships/printerSettings" Target="../printerSettings/printerSettings9.bin"/><Relationship Id="rId2"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0.bin"/><Relationship Id="rId4" Type="http://schemas.openxmlformats.org/officeDocument/2006/relationships/drawing" Target="../drawings/drawing3.xml"/><Relationship Id="rId5" Type="http://schemas.openxmlformats.org/officeDocument/2006/relationships/vmlDrawing" Target="../drawings/vmlDrawing6.vml"/><Relationship Id="rId6" Type="http://schemas.openxmlformats.org/officeDocument/2006/relationships/comments" Target="../comments6.xml"/><Relationship Id="rId1" Type="http://schemas.openxmlformats.org/officeDocument/2006/relationships/hyperlink" Target="http://www.doe.gov.ph/oil-price-monitoring" TargetMode="External"/><Relationship Id="rId2" Type="http://schemas.openxmlformats.org/officeDocument/2006/relationships/hyperlink" Target="http://www.globalpetrolprices.com/Philippines/diesel_prices/"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 Id="rId2" Type="http://schemas.openxmlformats.org/officeDocument/2006/relationships/vmlDrawing" Target="../drawings/vmlDrawing7.vml"/><Relationship Id="rId3" Type="http://schemas.openxmlformats.org/officeDocument/2006/relationships/comments" Target="../comments7.xml"/></Relationships>
</file>

<file path=xl/worksheets/_rels/sheet21.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23.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0.vml"/><Relationship Id="rId4" Type="http://schemas.openxmlformats.org/officeDocument/2006/relationships/comments" Target="../comments10.xml"/><Relationship Id="rId1" Type="http://schemas.openxmlformats.org/officeDocument/2006/relationships/printerSettings" Target="../printerSettings/printerSettings13.bin"/><Relationship Id="rId2" Type="http://schemas.openxmlformats.org/officeDocument/2006/relationships/drawing" Target="../drawings/drawing4.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tabColor rgb="FFFF0000"/>
    <pageSetUpPr fitToPage="1"/>
  </sheetPr>
  <dimension ref="A1:V35"/>
  <sheetViews>
    <sheetView zoomScale="90" zoomScaleNormal="90" workbookViewId="0">
      <selection activeCell="A26" sqref="A26:M26"/>
    </sheetView>
  </sheetViews>
  <sheetFormatPr baseColWidth="10" defaultColWidth="9.83203125" defaultRowHeight="11.25" customHeight="1" x14ac:dyDescent="0.15"/>
  <cols>
    <col min="1" max="1" width="5.5" style="1582" customWidth="1"/>
    <col min="2" max="4" width="9.83203125" style="1582"/>
    <col min="5" max="5" width="11" style="1582" customWidth="1"/>
    <col min="6" max="7" width="9.83203125" style="1582"/>
    <col min="8" max="8" width="31.83203125" style="1582" customWidth="1"/>
    <col min="9" max="9" width="4.83203125" style="1582" customWidth="1"/>
    <col min="10" max="10" width="5.5" style="1582" customWidth="1"/>
    <col min="11" max="11" width="19.5" style="1582" customWidth="1"/>
    <col min="12" max="12" width="11" style="1582" customWidth="1"/>
    <col min="13" max="13" width="9.83203125" style="1582"/>
    <col min="14" max="14" width="3.6640625" style="1582" customWidth="1"/>
    <col min="15" max="15" width="10" style="1593" bestFit="1" customWidth="1"/>
    <col min="16" max="16" width="20.5" style="1582" bestFit="1" customWidth="1"/>
    <col min="17" max="17" width="19.6640625" style="1582" bestFit="1" customWidth="1"/>
    <col min="18" max="18" width="12.1640625" style="1582" bestFit="1" customWidth="1"/>
    <col min="19" max="22" width="9.83203125" style="1582"/>
    <col min="23" max="16384" width="9.83203125" style="358"/>
  </cols>
  <sheetData>
    <row r="1" spans="1:22" ht="15" customHeight="1" x14ac:dyDescent="0.15">
      <c r="A1" s="2269" t="s">
        <v>421</v>
      </c>
      <c r="B1" s="2269"/>
      <c r="C1" s="2269"/>
      <c r="D1" s="2269"/>
      <c r="E1" s="2269"/>
      <c r="F1" s="2269"/>
      <c r="G1" s="2269"/>
      <c r="H1" s="2269"/>
      <c r="I1" s="2269"/>
      <c r="J1" s="2269"/>
      <c r="K1" s="2269"/>
      <c r="L1" s="2269"/>
      <c r="M1" s="2269"/>
      <c r="N1" s="357"/>
      <c r="O1" s="1551"/>
      <c r="P1" s="357"/>
      <c r="Q1" s="1553"/>
      <c r="R1" s="357"/>
      <c r="S1" s="357"/>
      <c r="T1" s="357"/>
      <c r="U1" s="357"/>
      <c r="V1" s="357"/>
    </row>
    <row r="2" spans="1:22" ht="15" x14ac:dyDescent="0.15">
      <c r="A2" s="1554"/>
      <c r="B2" s="1554"/>
      <c r="C2" s="1554"/>
      <c r="D2" s="1554"/>
      <c r="E2" s="357"/>
      <c r="F2" s="357"/>
      <c r="G2" s="357"/>
      <c r="H2" s="357"/>
      <c r="I2" s="1554"/>
      <c r="J2" s="1554"/>
      <c r="K2" s="1554"/>
      <c r="L2" s="1554"/>
      <c r="M2" s="1554"/>
      <c r="N2" s="357"/>
      <c r="O2" s="1551"/>
      <c r="P2" s="357"/>
      <c r="Q2" s="1553"/>
      <c r="R2" s="357"/>
      <c r="S2" s="357"/>
      <c r="T2" s="357"/>
      <c r="U2" s="357"/>
      <c r="V2" s="357"/>
    </row>
    <row r="3" spans="1:22" ht="15" x14ac:dyDescent="0.15">
      <c r="A3" s="2270" t="s">
        <v>422</v>
      </c>
      <c r="B3" s="2270"/>
      <c r="C3" s="2271"/>
      <c r="D3" s="2271"/>
      <c r="E3" s="356"/>
      <c r="F3" s="357"/>
      <c r="G3" s="357"/>
      <c r="H3" s="1555"/>
      <c r="I3" s="2270" t="s">
        <v>423</v>
      </c>
      <c r="J3" s="2270"/>
      <c r="K3" s="2270"/>
      <c r="L3" s="2267" t="str">
        <f>'PR Template(USD)'!L3:M3</f>
        <v>REGUIS.MU</v>
      </c>
      <c r="M3" s="2267"/>
      <c r="N3" s="356"/>
      <c r="O3" s="1551"/>
      <c r="P3" s="357"/>
      <c r="Q3" s="1553"/>
      <c r="R3" s="357"/>
      <c r="S3" s="357"/>
      <c r="T3" s="357"/>
      <c r="U3" s="357"/>
      <c r="V3" s="357"/>
    </row>
    <row r="4" spans="1:22" ht="5.25" customHeight="1" x14ac:dyDescent="0.15">
      <c r="A4" s="1556"/>
      <c r="B4" s="1556"/>
      <c r="C4" s="1556"/>
      <c r="D4" s="1556"/>
      <c r="E4" s="1554"/>
      <c r="F4" s="1554"/>
      <c r="G4" s="1554"/>
      <c r="H4" s="1554"/>
      <c r="I4" s="1556"/>
      <c r="J4" s="1556"/>
      <c r="K4" s="1556"/>
      <c r="L4" s="1556"/>
      <c r="M4" s="1556"/>
      <c r="N4" s="357"/>
      <c r="O4" s="1551"/>
      <c r="P4" s="357"/>
      <c r="Q4" s="1553"/>
      <c r="R4" s="357"/>
      <c r="S4" s="357"/>
      <c r="T4" s="357"/>
      <c r="U4" s="357"/>
      <c r="V4" s="357"/>
    </row>
    <row r="5" spans="1:22" ht="19.5" customHeight="1" x14ac:dyDescent="0.15">
      <c r="A5" s="1557" t="s">
        <v>424</v>
      </c>
      <c r="B5" s="2263" t="s">
        <v>425</v>
      </c>
      <c r="C5" s="2263"/>
      <c r="D5" s="2263"/>
      <c r="E5" s="2263"/>
      <c r="F5" s="2263"/>
      <c r="G5" s="2263"/>
      <c r="H5" s="1549" t="s">
        <v>426</v>
      </c>
      <c r="I5" s="2263" t="s">
        <v>419</v>
      </c>
      <c r="J5" s="2263"/>
      <c r="K5" s="2263"/>
      <c r="L5" s="2263" t="s">
        <v>427</v>
      </c>
      <c r="M5" s="2263"/>
      <c r="N5" s="356"/>
      <c r="O5" s="1551"/>
      <c r="P5" s="357"/>
      <c r="Q5" s="357"/>
      <c r="R5" s="357"/>
      <c r="S5" s="357"/>
      <c r="T5" s="357"/>
      <c r="U5" s="357"/>
      <c r="V5" s="357"/>
    </row>
    <row r="6" spans="1:22" ht="46.5" customHeight="1" x14ac:dyDescent="0.15">
      <c r="A6" s="1594" t="s">
        <v>428</v>
      </c>
      <c r="B6" s="2264" t="str">
        <f>'PR Template(USD)'!B6:G6</f>
        <v>438D / Rig 2 / LGBU / 2500m</v>
      </c>
      <c r="C6" s="2265"/>
      <c r="D6" s="2265"/>
      <c r="E6" s="2265"/>
      <c r="F6" s="2265"/>
      <c r="G6" s="2265"/>
      <c r="H6" s="1595">
        <f ca="1">'PR Template(USD)'!H6</f>
        <v>43168</v>
      </c>
      <c r="I6" s="2266">
        <f>'PR Template(USD)'!I6:K6</f>
        <v>42855</v>
      </c>
      <c r="J6" s="2267"/>
      <c r="K6" s="2267"/>
      <c r="L6" s="2268">
        <f ca="1">K9+K10</f>
        <v>132705000</v>
      </c>
      <c r="M6" s="2268"/>
      <c r="N6" s="356"/>
      <c r="O6" s="1551"/>
      <c r="P6" s="357">
        <f ca="1">'COVER SHEET'!H37+'COVER SHEET'!H42</f>
        <v>132705000</v>
      </c>
      <c r="Q6" s="1018"/>
      <c r="R6" s="357"/>
      <c r="S6" s="357"/>
      <c r="T6" s="357"/>
      <c r="U6" s="357"/>
      <c r="V6" s="357"/>
    </row>
    <row r="7" spans="1:22" ht="6.75" customHeight="1" x14ac:dyDescent="0.15">
      <c r="A7" s="1558"/>
      <c r="B7" s="1559"/>
      <c r="C7" s="1559"/>
      <c r="D7" s="1559"/>
      <c r="E7" s="1559"/>
      <c r="F7" s="1559"/>
      <c r="G7" s="1559"/>
      <c r="H7" s="1559"/>
      <c r="I7" s="1559"/>
      <c r="J7" s="1559"/>
      <c r="K7" s="1559"/>
      <c r="L7" s="1559"/>
      <c r="M7" s="1560"/>
      <c r="N7" s="356"/>
      <c r="O7" s="1551"/>
      <c r="P7" s="357"/>
      <c r="Q7" s="357"/>
      <c r="R7" s="357"/>
      <c r="S7" s="357"/>
      <c r="T7" s="357"/>
      <c r="U7" s="357"/>
      <c r="V7" s="357"/>
    </row>
    <row r="8" spans="1:22" ht="30.75" customHeight="1" x14ac:dyDescent="0.15">
      <c r="A8" s="359" t="s">
        <v>414</v>
      </c>
      <c r="B8" s="359" t="s">
        <v>429</v>
      </c>
      <c r="C8" s="360" t="s">
        <v>430</v>
      </c>
      <c r="D8" s="359" t="s">
        <v>415</v>
      </c>
      <c r="E8" s="359" t="s">
        <v>431</v>
      </c>
      <c r="F8" s="359" t="s">
        <v>416</v>
      </c>
      <c r="G8" s="359" t="s">
        <v>432</v>
      </c>
      <c r="H8" s="359" t="s">
        <v>418</v>
      </c>
      <c r="I8" s="359" t="s">
        <v>138</v>
      </c>
      <c r="J8" s="359" t="s">
        <v>433</v>
      </c>
      <c r="K8" s="359" t="s">
        <v>420</v>
      </c>
      <c r="L8" s="360" t="s">
        <v>434</v>
      </c>
      <c r="M8" s="359" t="s">
        <v>435</v>
      </c>
      <c r="N8" s="356"/>
      <c r="O8" s="1551"/>
      <c r="P8" s="1561"/>
      <c r="Q8" s="1562"/>
      <c r="R8" s="357"/>
      <c r="S8" s="357"/>
      <c r="T8" s="357"/>
      <c r="U8" s="357"/>
      <c r="V8" s="357"/>
    </row>
    <row r="9" spans="1:22" ht="15" x14ac:dyDescent="0.15">
      <c r="A9" s="1594">
        <v>1</v>
      </c>
      <c r="B9" s="1594"/>
      <c r="C9" s="1596" t="str">
        <f>IFERROR(VLOOKUP(H9,MFM_DATASOURCE,3,FALSE)," ")</f>
        <v>F</v>
      </c>
      <c r="D9" s="1596"/>
      <c r="E9" s="1596"/>
      <c r="F9" s="1594"/>
      <c r="G9" s="1594" t="str">
        <f>IFERROR(VLOOKUP(H9,MFM_DATASOURCE,7,FALSE),"")</f>
        <v>114438</v>
      </c>
      <c r="H9" s="1597" t="s">
        <v>795</v>
      </c>
      <c r="I9" s="1598">
        <v>1</v>
      </c>
      <c r="J9" s="1599" t="str">
        <f>IFERROR(VLOOKUP(H9,MFM_DATASOURCE,9,FALSE),"")</f>
        <v>LOT</v>
      </c>
      <c r="K9" s="1600">
        <f ca="1">'COVER SHEET'!H37</f>
        <v>94036000</v>
      </c>
      <c r="L9" s="1601">
        <f>'PR Template(USD)'!R9</f>
        <v>43220</v>
      </c>
      <c r="M9" s="1594">
        <f>IF(H9="","",((VLOOKUP(INPUT!$H$8,MFM_PLANT,2,FALSE))))</f>
        <v>1003</v>
      </c>
      <c r="N9" s="356"/>
      <c r="O9" s="1551"/>
      <c r="P9" s="1561"/>
      <c r="Q9" s="1562"/>
      <c r="R9" s="357"/>
      <c r="S9" s="357"/>
      <c r="T9" s="357"/>
      <c r="U9" s="357"/>
      <c r="V9" s="357"/>
    </row>
    <row r="10" spans="1:22" ht="15" x14ac:dyDescent="0.15">
      <c r="A10" s="1594">
        <v>2</v>
      </c>
      <c r="B10" s="1594"/>
      <c r="C10" s="1846" t="str">
        <f>IFERROR(VLOOKUP(H10,MFM_DATASOURCE,3,FALSE)," ")</f>
        <v>F</v>
      </c>
      <c r="D10" s="1596"/>
      <c r="E10" s="1596"/>
      <c r="F10" s="1594"/>
      <c r="G10" s="1594" t="str">
        <f>IFERROR(VLOOKUP(H10,MFM_DATASOURCE,7,FALSE),"")</f>
        <v>114438</v>
      </c>
      <c r="H10" s="1597" t="s">
        <v>795</v>
      </c>
      <c r="I10" s="1598">
        <v>1</v>
      </c>
      <c r="J10" s="1599" t="str">
        <f>IFERROR(VLOOKUP(H10,MFM_DATASOURCE,9,FALSE),"")</f>
        <v>LOT</v>
      </c>
      <c r="K10" s="1600">
        <f ca="1">'COVER SHEET'!H42</f>
        <v>38669000</v>
      </c>
      <c r="L10" s="1601">
        <f>L9</f>
        <v>43220</v>
      </c>
      <c r="M10" s="1594">
        <f>IF(H10="","",((VLOOKUP(INPUT!$H$8,MFM_PLANT,2,FALSE))))</f>
        <v>1003</v>
      </c>
      <c r="N10" s="356"/>
      <c r="O10" s="1563"/>
      <c r="P10" s="1561"/>
      <c r="Q10" s="1562"/>
      <c r="R10" s="357"/>
      <c r="S10" s="357"/>
      <c r="T10" s="357"/>
      <c r="U10" s="357"/>
      <c r="V10" s="357"/>
    </row>
    <row r="11" spans="1:22" ht="15" x14ac:dyDescent="0.15">
      <c r="A11" s="1594">
        <v>3</v>
      </c>
      <c r="B11" s="1594"/>
      <c r="C11" s="1846" t="str">
        <f>IFERROR(VLOOKUP(H11,MFM_DATASOURCE,3,FALSE)," ")</f>
        <v>F</v>
      </c>
      <c r="D11" s="1596"/>
      <c r="E11" s="1596"/>
      <c r="F11" s="1594"/>
      <c r="G11" s="1594" t="str">
        <f>IFERROR(VLOOKUP(H11,MFM_DATASOURCE,7,FALSE),"")</f>
        <v>72557</v>
      </c>
      <c r="H11" s="1597" t="s">
        <v>204</v>
      </c>
      <c r="I11" s="1598">
        <v>1</v>
      </c>
      <c r="J11" s="1599" t="str">
        <f>IFERROR(VLOOKUP(H11,MFM_DATASOURCE,9,FALSE),"")</f>
        <v>LOT</v>
      </c>
      <c r="K11" s="1600">
        <f>'COVER SHEET'!H34-50000</f>
        <v>1327000</v>
      </c>
      <c r="L11" s="1601">
        <f>L10</f>
        <v>43220</v>
      </c>
      <c r="M11" s="1594">
        <f>IF(H11="","",((VLOOKUP(INPUT!$H$8,MFM_PLANT,2,FALSE))))</f>
        <v>1003</v>
      </c>
      <c r="N11" s="356"/>
      <c r="O11" s="1563"/>
      <c r="P11" s="1561"/>
      <c r="Q11" s="1564"/>
      <c r="R11" s="357"/>
      <c r="S11" s="357"/>
      <c r="T11" s="357"/>
      <c r="U11" s="357"/>
      <c r="V11" s="357"/>
    </row>
    <row r="12" spans="1:22" ht="15" x14ac:dyDescent="0.15">
      <c r="A12" s="1594">
        <v>4</v>
      </c>
      <c r="B12" s="1594"/>
      <c r="C12" s="1846" t="str">
        <f>IFERROR(VLOOKUP(H12,MFM_DATASOURCE,3,FALSE)," ")</f>
        <v>F</v>
      </c>
      <c r="D12" s="1596"/>
      <c r="E12" s="1596"/>
      <c r="F12" s="1594"/>
      <c r="G12" s="1603">
        <f>IFERROR(VLOOKUP(H12,MFM_DATASOURCE,7,FALSE),"")</f>
        <v>87021</v>
      </c>
      <c r="H12" s="1597" t="s">
        <v>892</v>
      </c>
      <c r="I12" s="1598">
        <v>1</v>
      </c>
      <c r="J12" s="1599" t="str">
        <f>IFERROR(VLOOKUP(H12,MFM_DATASOURCE,9,FALSE),"")</f>
        <v>LOT</v>
      </c>
      <c r="K12" s="1600">
        <v>50000</v>
      </c>
      <c r="L12" s="1601">
        <f>L11</f>
        <v>43220</v>
      </c>
      <c r="M12" s="1594">
        <f>IF(H12="","",((VLOOKUP(INPUT!$H$8,MFM_PLANT,2,FALSE))))</f>
        <v>1003</v>
      </c>
      <c r="N12" s="356"/>
      <c r="O12" s="1563"/>
      <c r="P12" s="358"/>
      <c r="Q12" s="1565"/>
      <c r="R12" s="357"/>
      <c r="S12" s="357"/>
      <c r="T12" s="357"/>
      <c r="U12" s="357"/>
      <c r="V12" s="357"/>
    </row>
    <row r="13" spans="1:22" ht="15" x14ac:dyDescent="0.15">
      <c r="A13" s="1594">
        <v>4</v>
      </c>
      <c r="B13" s="1594"/>
      <c r="C13" s="1596"/>
      <c r="D13" s="1596"/>
      <c r="E13" s="1596"/>
      <c r="F13" s="1594"/>
      <c r="G13" s="1928">
        <v>72153</v>
      </c>
      <c r="H13" s="1929" t="s">
        <v>2211</v>
      </c>
      <c r="I13" s="1598">
        <v>11</v>
      </c>
      <c r="J13" s="1599" t="s">
        <v>462</v>
      </c>
      <c r="K13" s="1600">
        <f ca="1">'COVER SHEET'!H38</f>
        <v>0</v>
      </c>
      <c r="L13" s="1601">
        <f>L12</f>
        <v>43220</v>
      </c>
      <c r="M13" s="1594">
        <f>IF(H13="","",((VLOOKUP(INPUT!$H$8,MFM_PLANT,2,FALSE))))</f>
        <v>1003</v>
      </c>
      <c r="N13" s="356"/>
      <c r="O13" s="1563"/>
      <c r="P13" s="1561"/>
      <c r="Q13" s="1566"/>
      <c r="R13" s="357"/>
      <c r="S13" s="357"/>
      <c r="T13" s="357"/>
      <c r="U13" s="357"/>
      <c r="V13" s="357"/>
    </row>
    <row r="14" spans="1:22" ht="15" x14ac:dyDescent="0.15">
      <c r="A14" s="1594"/>
      <c r="B14" s="1594"/>
      <c r="C14" s="1596"/>
      <c r="D14" s="1596"/>
      <c r="E14" s="1596"/>
      <c r="F14" s="1594"/>
      <c r="G14" s="1594"/>
      <c r="H14" s="1597"/>
      <c r="I14" s="1598"/>
      <c r="J14" s="1599"/>
      <c r="K14" s="1600"/>
      <c r="L14" s="1601"/>
      <c r="M14" s="1594"/>
      <c r="N14" s="356"/>
      <c r="O14" s="1551"/>
      <c r="P14" s="1561"/>
      <c r="Q14" s="1566"/>
      <c r="R14" s="357"/>
      <c r="S14" s="357"/>
      <c r="T14" s="357"/>
      <c r="U14" s="357"/>
      <c r="V14" s="357"/>
    </row>
    <row r="15" spans="1:22" ht="15" x14ac:dyDescent="0.15">
      <c r="A15" s="1594"/>
      <c r="B15" s="1594"/>
      <c r="C15" s="1596"/>
      <c r="D15" s="1596"/>
      <c r="E15" s="1596"/>
      <c r="F15" s="1594"/>
      <c r="G15" s="1594"/>
      <c r="H15" s="1597"/>
      <c r="I15" s="1598"/>
      <c r="J15" s="1599"/>
      <c r="K15" s="1600"/>
      <c r="L15" s="1601"/>
      <c r="M15" s="1594"/>
      <c r="N15" s="356"/>
      <c r="O15" s="1551"/>
      <c r="P15" s="358"/>
      <c r="Q15" s="358"/>
      <c r="R15" s="357"/>
      <c r="S15" s="357"/>
      <c r="T15" s="357"/>
      <c r="U15" s="357"/>
      <c r="V15" s="357"/>
    </row>
    <row r="16" spans="1:22" ht="15" x14ac:dyDescent="0.15">
      <c r="A16" s="1594"/>
      <c r="B16" s="1594"/>
      <c r="C16" s="1596"/>
      <c r="D16" s="1596"/>
      <c r="E16" s="1596"/>
      <c r="F16" s="1594"/>
      <c r="G16" s="1594"/>
      <c r="H16" s="1597"/>
      <c r="I16" s="1598"/>
      <c r="J16" s="1599"/>
      <c r="K16" s="1600"/>
      <c r="L16" s="1601"/>
      <c r="M16" s="1594"/>
      <c r="N16" s="356"/>
      <c r="O16" s="1551"/>
      <c r="P16" s="357"/>
      <c r="Q16" s="1567"/>
      <c r="R16" s="1568"/>
      <c r="S16" s="357"/>
      <c r="T16" s="357"/>
      <c r="U16" s="357"/>
      <c r="V16" s="357"/>
    </row>
    <row r="17" spans="1:22" ht="15" x14ac:dyDescent="0.15">
      <c r="A17" s="1594" t="str">
        <f>IF(K17="","",#REF!+IF(K17&gt;0,1,0))</f>
        <v/>
      </c>
      <c r="B17" s="1594"/>
      <c r="C17" s="1596" t="str">
        <f>IFERROR(VLOOKUP(H17,MFM_DATASOURCE,3,FALSE)," ")</f>
        <v xml:space="preserve"> </v>
      </c>
      <c r="D17" s="1596"/>
      <c r="E17" s="1596"/>
      <c r="F17" s="1594"/>
      <c r="G17" s="1594" t="str">
        <f>IFERROR(VLOOKUP(H17,MFM_DATASOURCE,7,FALSE),"")</f>
        <v/>
      </c>
      <c r="H17" s="1597"/>
      <c r="I17" s="1598" t="str">
        <f>IFERROR(VLOOKUP(H17,MFM_DATASOURCE,17+COUNTIF($H$9:H17,H17),FALSE)/VLOOKUP(H17,MFM_DATASOURCE,10,FALSE)*100,"")</f>
        <v/>
      </c>
      <c r="J17" s="1599" t="str">
        <f>IFERROR(VLOOKUP(H17,MFM_DATASOURCE,9,FALSE),"")</f>
        <v/>
      </c>
      <c r="K17" s="1600" t="str">
        <f>IFERROR(VLOOKUP($H17,MFM_DATASOURCE,17+COUNTIF($H$9:H17,H17),FALSE),"")</f>
        <v/>
      </c>
      <c r="L17" s="1601" t="str">
        <f ca="1">IFERROR(MIN($I$6,DATE(YEAR(OFFSET('DATA RESOURCE'!$Q$7,0,COUNTIF($H$9:H17,H17),1,1)),MONTH(OFFSET('DATA RESOURCE'!$Q$7,0,COUNTIF($H$9:H17,H17),1,1)),VLOOKUP(H17,'DATA RESOURCE'!$A$9:$O$21,15,FALSE))),"")</f>
        <v/>
      </c>
      <c r="M17" s="1594" t="str">
        <f>IF(H17="","",((VLOOKUP(INPUT!$H$8,MFM_PLANT,2,FALSE))))</f>
        <v/>
      </c>
      <c r="N17" s="362"/>
      <c r="O17" s="1552"/>
      <c r="P17" s="357"/>
      <c r="Q17" s="1568"/>
      <c r="R17" s="363"/>
      <c r="S17" s="363"/>
      <c r="T17" s="363"/>
      <c r="U17" s="363"/>
      <c r="V17" s="364"/>
    </row>
    <row r="18" spans="1:22" ht="15" x14ac:dyDescent="0.15">
      <c r="A18" s="1558"/>
      <c r="B18" s="1559"/>
      <c r="C18" s="1559"/>
      <c r="D18" s="1559"/>
      <c r="E18" s="1559"/>
      <c r="F18" s="1559"/>
      <c r="G18" s="1559"/>
      <c r="H18" s="1559"/>
      <c r="I18" s="1559"/>
      <c r="J18" s="1559"/>
      <c r="K18" s="1559"/>
      <c r="L18" s="1559"/>
      <c r="M18" s="1560"/>
      <c r="N18" s="356"/>
      <c r="O18" s="1551"/>
      <c r="P18" s="357"/>
      <c r="Q18" s="1568"/>
      <c r="R18" s="357"/>
      <c r="S18" s="357"/>
      <c r="T18" s="357"/>
      <c r="U18" s="357"/>
      <c r="V18" s="357"/>
    </row>
    <row r="19" spans="1:22" ht="12" customHeight="1" x14ac:dyDescent="0.15">
      <c r="A19" s="2258" t="s">
        <v>441</v>
      </c>
      <c r="B19" s="2258"/>
      <c r="C19" s="2258"/>
      <c r="D19" s="2258"/>
      <c r="E19" s="2258"/>
      <c r="F19" s="2258"/>
      <c r="G19" s="2258"/>
      <c r="H19" s="2258"/>
      <c r="I19" s="2258"/>
      <c r="J19" s="2258"/>
      <c r="K19" s="2258"/>
      <c r="L19" s="2258"/>
      <c r="M19" s="2258"/>
      <c r="N19" s="356"/>
      <c r="O19" s="1551"/>
      <c r="P19" s="357"/>
      <c r="Q19" s="357"/>
      <c r="R19" s="357"/>
      <c r="S19" s="357"/>
      <c r="T19" s="357"/>
      <c r="U19" s="357"/>
      <c r="V19" s="357"/>
    </row>
    <row r="20" spans="1:22" ht="15" customHeight="1" x14ac:dyDescent="0.15">
      <c r="A20" s="2275" t="str">
        <f ca="1">CONCATENATE("RIG MOB COST",":","Php",$K$10)</f>
        <v>RIG MOB COST:Php38669000</v>
      </c>
      <c r="B20" s="2276"/>
      <c r="C20" s="2276"/>
      <c r="D20" s="2276"/>
      <c r="E20" s="2276"/>
      <c r="F20" s="2276"/>
      <c r="G20" s="2276"/>
      <c r="H20" s="2276"/>
      <c r="I20" s="2276"/>
      <c r="J20" s="2276"/>
      <c r="K20" s="2276"/>
      <c r="L20" s="2276"/>
      <c r="M20" s="2277"/>
      <c r="N20" s="356"/>
      <c r="O20" s="1551"/>
      <c r="P20" s="357"/>
      <c r="Q20" s="357"/>
      <c r="R20" s="357"/>
      <c r="S20" s="357"/>
      <c r="T20" s="357"/>
      <c r="U20" s="357"/>
      <c r="V20" s="357"/>
    </row>
    <row r="21" spans="1:22" ht="15" customHeight="1" x14ac:dyDescent="0.15">
      <c r="A21" s="2275" t="str">
        <f ca="1">CONCATENATE("Drilling Rig Services",":","Php",$K$9)</f>
        <v>Drilling Rig Services:Php94036000</v>
      </c>
      <c r="B21" s="2276"/>
      <c r="C21" s="2276"/>
      <c r="D21" s="2276"/>
      <c r="E21" s="2276"/>
      <c r="F21" s="2276"/>
      <c r="G21" s="2276"/>
      <c r="H21" s="2276"/>
      <c r="I21" s="2276"/>
      <c r="J21" s="2276"/>
      <c r="K21" s="2276"/>
      <c r="L21" s="2276"/>
      <c r="M21" s="2277"/>
      <c r="N21" s="356"/>
      <c r="O21" s="1551"/>
      <c r="P21" s="1553"/>
      <c r="Q21" s="357"/>
      <c r="R21" s="357"/>
      <c r="S21" s="357"/>
      <c r="T21" s="357"/>
      <c r="U21" s="357"/>
      <c r="V21" s="357"/>
    </row>
    <row r="22" spans="1:22" ht="15" customHeight="1" x14ac:dyDescent="0.15">
      <c r="A22" s="2259"/>
      <c r="B22" s="2259"/>
      <c r="C22" s="2259"/>
      <c r="D22" s="2259"/>
      <c r="E22" s="2259"/>
      <c r="F22" s="2259"/>
      <c r="G22" s="2259"/>
      <c r="H22" s="2259"/>
      <c r="I22" s="2259"/>
      <c r="J22" s="2259"/>
      <c r="K22" s="2259"/>
      <c r="L22" s="2259"/>
      <c r="M22" s="2260"/>
      <c r="N22" s="356"/>
      <c r="O22" s="1551"/>
      <c r="P22" s="1553"/>
      <c r="Q22" s="1569"/>
      <c r="R22" s="357"/>
      <c r="S22" s="357"/>
      <c r="T22" s="357"/>
      <c r="U22" s="357"/>
      <c r="V22" s="357"/>
    </row>
    <row r="23" spans="1:22" ht="15" customHeight="1" x14ac:dyDescent="0.15">
      <c r="A23" s="2259"/>
      <c r="B23" s="2259"/>
      <c r="C23" s="2259"/>
      <c r="D23" s="2259"/>
      <c r="E23" s="2259"/>
      <c r="F23" s="2259"/>
      <c r="G23" s="2259"/>
      <c r="H23" s="2259"/>
      <c r="I23" s="2259"/>
      <c r="J23" s="2259"/>
      <c r="K23" s="2259"/>
      <c r="L23" s="2259"/>
      <c r="M23" s="2260"/>
      <c r="N23" s="356"/>
      <c r="O23" s="1551"/>
      <c r="P23" s="357"/>
      <c r="Q23" s="1567"/>
      <c r="R23" s="357"/>
      <c r="S23" s="357"/>
      <c r="T23" s="357"/>
      <c r="U23" s="357"/>
      <c r="V23" s="357"/>
    </row>
    <row r="24" spans="1:22" ht="15" customHeight="1" x14ac:dyDescent="0.15">
      <c r="A24" s="2261"/>
      <c r="B24" s="2262"/>
      <c r="C24" s="2262"/>
      <c r="D24" s="2262"/>
      <c r="E24" s="2262"/>
      <c r="F24" s="2262"/>
      <c r="G24" s="2262"/>
      <c r="H24" s="2262"/>
      <c r="I24" s="2262"/>
      <c r="J24" s="2262"/>
      <c r="K24" s="2262"/>
      <c r="L24" s="2262"/>
      <c r="M24" s="2260"/>
      <c r="N24" s="356"/>
      <c r="O24" s="1551"/>
      <c r="P24" s="357"/>
      <c r="Q24" s="1569"/>
      <c r="R24" s="357"/>
      <c r="S24" s="357"/>
      <c r="T24" s="357"/>
      <c r="U24" s="357"/>
      <c r="V24" s="357"/>
    </row>
    <row r="25" spans="1:22" ht="15" customHeight="1" x14ac:dyDescent="0.15">
      <c r="A25" s="2259" t="str">
        <f>CONCATENATE("Estimated Rig Mob Date",":",TEXT('PR Template(USD)'!$P$8,"mmmm d, yyyy"))</f>
        <v>Estimated Rig Mob Date:March 1, 2018</v>
      </c>
      <c r="B25" s="2259"/>
      <c r="C25" s="2259"/>
      <c r="D25" s="2259"/>
      <c r="E25" s="2259"/>
      <c r="F25" s="2259"/>
      <c r="G25" s="2259"/>
      <c r="H25" s="2259"/>
      <c r="I25" s="2259"/>
      <c r="J25" s="2259"/>
      <c r="K25" s="2259"/>
      <c r="L25" s="2259"/>
      <c r="M25" s="2260"/>
      <c r="N25" s="356"/>
      <c r="O25" s="1551"/>
      <c r="P25" s="357"/>
      <c r="Q25" s="357"/>
      <c r="R25" s="357"/>
      <c r="S25" s="357"/>
      <c r="T25" s="357"/>
      <c r="U25" s="357"/>
      <c r="V25" s="357"/>
    </row>
    <row r="26" spans="1:22" ht="15" customHeight="1" x14ac:dyDescent="0.15">
      <c r="A26" s="2259" t="str">
        <f>CONCATENATE("Estimated Spud Date",":",TEXT(INPUT!$L$6,"mmmm d, yyyy"))</f>
        <v>Estimated Spud Date:March 14, 2018</v>
      </c>
      <c r="B26" s="2259"/>
      <c r="C26" s="2259"/>
      <c r="D26" s="2259"/>
      <c r="E26" s="2259"/>
      <c r="F26" s="2259"/>
      <c r="G26" s="2259"/>
      <c r="H26" s="2259"/>
      <c r="I26" s="2259"/>
      <c r="J26" s="2259"/>
      <c r="K26" s="2259"/>
      <c r="L26" s="2259"/>
      <c r="M26" s="2260"/>
      <c r="N26" s="356"/>
      <c r="O26" s="1551"/>
      <c r="P26" s="1553"/>
      <c r="Q26" s="357"/>
      <c r="R26" s="357"/>
      <c r="S26" s="357"/>
      <c r="T26" s="357"/>
      <c r="U26" s="357"/>
      <c r="V26" s="357"/>
    </row>
    <row r="27" spans="1:22" ht="15" customHeight="1" x14ac:dyDescent="0.15">
      <c r="A27" s="2259" t="str">
        <f>CONCATENATE("Estimated Rig Release",":",TEXT(INPUT!$M$19,"mmmm d, yyyy"))</f>
        <v>Estimated Rig Release:April 30, 2018</v>
      </c>
      <c r="B27" s="2259"/>
      <c r="C27" s="2259"/>
      <c r="D27" s="2259"/>
      <c r="E27" s="2259"/>
      <c r="F27" s="2259"/>
      <c r="G27" s="2259"/>
      <c r="H27" s="2259"/>
      <c r="I27" s="2259"/>
      <c r="J27" s="2259"/>
      <c r="K27" s="2259"/>
      <c r="L27" s="2259"/>
      <c r="M27" s="2260"/>
      <c r="N27" s="356"/>
      <c r="O27" s="1551"/>
      <c r="P27" s="1553"/>
      <c r="Q27" s="1569"/>
      <c r="R27" s="357"/>
      <c r="S27" s="357"/>
      <c r="T27" s="357"/>
      <c r="U27" s="357"/>
      <c r="V27" s="357"/>
    </row>
    <row r="28" spans="1:22" ht="15" customHeight="1" x14ac:dyDescent="0.15">
      <c r="A28" s="2261"/>
      <c r="B28" s="2262"/>
      <c r="C28" s="2262"/>
      <c r="D28" s="2262"/>
      <c r="E28" s="2262"/>
      <c r="F28" s="2262"/>
      <c r="G28" s="2262"/>
      <c r="H28" s="2262"/>
      <c r="I28" s="2262"/>
      <c r="J28" s="2262"/>
      <c r="K28" s="2262"/>
      <c r="L28" s="2262"/>
      <c r="M28" s="2260"/>
      <c r="N28" s="356"/>
      <c r="O28" s="1551"/>
      <c r="P28" s="357"/>
      <c r="Q28" s="1567"/>
      <c r="R28" s="357"/>
      <c r="S28" s="357"/>
      <c r="T28" s="357"/>
      <c r="U28" s="357"/>
      <c r="V28" s="357"/>
    </row>
    <row r="29" spans="1:22" ht="15" x14ac:dyDescent="0.15">
      <c r="A29" s="1570" t="s">
        <v>442</v>
      </c>
      <c r="B29" s="1570"/>
      <c r="C29" s="2280"/>
      <c r="D29" s="2280"/>
      <c r="E29" s="2280"/>
      <c r="F29" s="1571"/>
      <c r="G29" s="1572"/>
      <c r="H29" s="1573"/>
      <c r="I29" s="1574"/>
      <c r="J29" s="1574"/>
      <c r="K29" s="1574"/>
      <c r="L29" s="1574"/>
      <c r="M29" s="1575"/>
      <c r="N29" s="356"/>
      <c r="O29" s="1551"/>
      <c r="P29" s="357"/>
      <c r="Q29" s="357"/>
      <c r="R29" s="357"/>
      <c r="S29" s="357"/>
      <c r="T29" s="357"/>
      <c r="U29" s="357"/>
      <c r="V29" s="357"/>
    </row>
    <row r="30" spans="1:22" ht="15" x14ac:dyDescent="0.15">
      <c r="A30" s="1570" t="s">
        <v>443</v>
      </c>
      <c r="B30" s="1570"/>
      <c r="C30" s="2278"/>
      <c r="D30" s="2278"/>
      <c r="E30" s="2278"/>
      <c r="F30" s="1576"/>
      <c r="G30" s="1577"/>
      <c r="H30" s="1578"/>
      <c r="I30" s="1579"/>
      <c r="J30" s="1579"/>
      <c r="K30" s="1579"/>
      <c r="L30" s="1579"/>
      <c r="M30" s="1580"/>
      <c r="N30" s="356"/>
      <c r="O30" s="1551"/>
      <c r="P30" s="357"/>
      <c r="Q30" s="357"/>
      <c r="R30" s="357"/>
      <c r="S30" s="357"/>
      <c r="T30" s="357"/>
      <c r="U30" s="357"/>
      <c r="V30" s="357"/>
    </row>
    <row r="31" spans="1:22" ht="15" x14ac:dyDescent="0.15">
      <c r="A31" s="1570" t="s">
        <v>444</v>
      </c>
      <c r="B31" s="1570"/>
      <c r="C31" s="2278"/>
      <c r="D31" s="2278"/>
      <c r="E31" s="2278"/>
      <c r="F31" s="1581"/>
      <c r="M31" s="1583"/>
      <c r="N31" s="356"/>
      <c r="O31" s="1551"/>
      <c r="P31" s="1553"/>
      <c r="Q31" s="357"/>
      <c r="R31" s="357"/>
      <c r="S31" s="357"/>
      <c r="T31" s="357"/>
      <c r="U31" s="357"/>
      <c r="V31" s="357"/>
    </row>
    <row r="32" spans="1:22" ht="15" x14ac:dyDescent="0.15">
      <c r="A32" s="1558"/>
      <c r="B32" s="1559"/>
      <c r="C32" s="1559"/>
      <c r="D32" s="1559"/>
      <c r="E32" s="1559"/>
      <c r="F32" s="1584"/>
      <c r="G32" s="1584"/>
      <c r="H32" s="1584"/>
      <c r="I32" s="1584"/>
      <c r="J32" s="1584"/>
      <c r="K32" s="1584"/>
      <c r="L32" s="1584"/>
      <c r="M32" s="1585"/>
      <c r="N32" s="356"/>
      <c r="O32" s="1551"/>
      <c r="P32" s="1553"/>
      <c r="Q32" s="1569"/>
      <c r="R32" s="357"/>
      <c r="S32" s="357"/>
      <c r="T32" s="357"/>
      <c r="U32" s="357"/>
      <c r="V32" s="357"/>
    </row>
    <row r="33" spans="1:22" ht="15" x14ac:dyDescent="0.15">
      <c r="A33" s="2279" t="s">
        <v>445</v>
      </c>
      <c r="B33" s="2279"/>
      <c r="C33" s="2279"/>
      <c r="D33" s="2279"/>
      <c r="E33" s="2279"/>
      <c r="F33" s="2279"/>
      <c r="G33" s="2279"/>
      <c r="H33" s="2279" t="s">
        <v>446</v>
      </c>
      <c r="I33" s="2279"/>
      <c r="J33" s="2279"/>
      <c r="K33" s="2279"/>
      <c r="L33" s="2279"/>
      <c r="M33" s="2279"/>
      <c r="N33" s="356"/>
      <c r="O33" s="1551"/>
      <c r="P33" s="357"/>
      <c r="Q33" s="1567"/>
      <c r="R33" s="357"/>
      <c r="S33" s="357"/>
      <c r="T33" s="357"/>
      <c r="U33" s="357"/>
      <c r="V33" s="357"/>
    </row>
    <row r="34" spans="1:22" ht="15" x14ac:dyDescent="0.15">
      <c r="A34" s="1586"/>
      <c r="B34" s="1587"/>
      <c r="C34" s="1587"/>
      <c r="D34" s="1587"/>
      <c r="E34" s="1587"/>
      <c r="F34" s="1587"/>
      <c r="G34" s="1588"/>
      <c r="H34" s="1586"/>
      <c r="I34" s="1587"/>
      <c r="J34" s="1587"/>
      <c r="K34" s="1587"/>
      <c r="L34" s="1587"/>
      <c r="M34" s="1588"/>
      <c r="N34" s="356"/>
      <c r="O34" s="1551"/>
      <c r="P34" s="357"/>
      <c r="Q34" s="357"/>
      <c r="R34" s="357"/>
      <c r="S34" s="357"/>
      <c r="T34" s="357"/>
      <c r="U34" s="357"/>
      <c r="V34" s="357"/>
    </row>
    <row r="35" spans="1:22" ht="15" x14ac:dyDescent="0.15">
      <c r="A35" s="2272" t="str">
        <f>CONCATENATE(INPUT!$D$35, "/", " ","MU REGUIS")</f>
        <v>MF MISSION/ MU REGUIS</v>
      </c>
      <c r="B35" s="2273"/>
      <c r="C35" s="2273"/>
      <c r="D35" s="2273"/>
      <c r="E35" s="2273"/>
      <c r="F35" s="2273"/>
      <c r="G35" s="2274"/>
      <c r="H35" s="2272" t="s">
        <v>1165</v>
      </c>
      <c r="I35" s="2273"/>
      <c r="J35" s="2273"/>
      <c r="K35" s="2273"/>
      <c r="L35" s="2273"/>
      <c r="M35" s="2274"/>
      <c r="N35" s="356"/>
      <c r="O35" s="1551"/>
      <c r="P35" s="357"/>
      <c r="Q35" s="1592"/>
      <c r="R35" s="357"/>
      <c r="S35" s="357"/>
      <c r="T35" s="357"/>
      <c r="U35" s="357"/>
      <c r="V35" s="357"/>
    </row>
  </sheetData>
  <mergeCells count="28">
    <mergeCell ref="A35:G35"/>
    <mergeCell ref="H35:M35"/>
    <mergeCell ref="A20:M20"/>
    <mergeCell ref="C30:E30"/>
    <mergeCell ref="C31:E31"/>
    <mergeCell ref="A33:G33"/>
    <mergeCell ref="H33:M33"/>
    <mergeCell ref="A21:M21"/>
    <mergeCell ref="A24:M24"/>
    <mergeCell ref="A25:M25"/>
    <mergeCell ref="C29:E29"/>
    <mergeCell ref="A1:M1"/>
    <mergeCell ref="A3:B3"/>
    <mergeCell ref="C3:D3"/>
    <mergeCell ref="I3:K3"/>
    <mergeCell ref="L3:M3"/>
    <mergeCell ref="B5:G5"/>
    <mergeCell ref="I5:K5"/>
    <mergeCell ref="L5:M5"/>
    <mergeCell ref="B6:G6"/>
    <mergeCell ref="I6:K6"/>
    <mergeCell ref="L6:M6"/>
    <mergeCell ref="A19:M19"/>
    <mergeCell ref="A26:M26"/>
    <mergeCell ref="A27:M27"/>
    <mergeCell ref="A28:M28"/>
    <mergeCell ref="A22:M22"/>
    <mergeCell ref="A23:M23"/>
  </mergeCells>
  <dataValidations count="1">
    <dataValidation type="list" allowBlank="1" showInputMessage="1" showErrorMessage="1" sqref="H9:H18">
      <formula1>MFM_PRLIST</formula1>
    </dataValidation>
  </dataValidations>
  <pageMargins left="0.70866141732283472" right="0.70866141732283472" top="0.74803149606299213" bottom="0.74803149606299213" header="0.31496062992125984" footer="0.31496062992125984"/>
  <pageSetup paperSize="9" scale="9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tabColor rgb="FFFF0000"/>
    <pageSetUpPr fitToPage="1"/>
  </sheetPr>
  <dimension ref="A1:AB51"/>
  <sheetViews>
    <sheetView topLeftCell="E1" zoomScale="80" zoomScaleNormal="80" workbookViewId="0">
      <selection activeCell="P13" sqref="P13"/>
    </sheetView>
  </sheetViews>
  <sheetFormatPr baseColWidth="10" defaultColWidth="9.83203125" defaultRowHeight="11.25" customHeight="1" x14ac:dyDescent="0.15"/>
  <cols>
    <col min="1" max="1" width="5.5" style="1582" customWidth="1"/>
    <col min="2" max="4" width="9.83203125" style="1582"/>
    <col min="5" max="5" width="11" style="1582" customWidth="1"/>
    <col min="6" max="7" width="9.83203125" style="1582"/>
    <col min="8" max="8" width="37.83203125" style="1582" customWidth="1"/>
    <col min="9" max="9" width="4.83203125" style="1582" customWidth="1"/>
    <col min="10" max="10" width="5.5" style="1582" customWidth="1"/>
    <col min="11" max="11" width="14.1640625" style="1582" customWidth="1"/>
    <col min="12" max="12" width="10.5" style="1582" bestFit="1" customWidth="1"/>
    <col min="13" max="14" width="9.83203125" style="1582"/>
    <col min="15" max="16" width="20.6640625" style="357" customWidth="1"/>
    <col min="17" max="17" width="7.1640625" style="1582" customWidth="1"/>
    <col min="18" max="18" width="20.6640625" style="1582" customWidth="1"/>
    <col min="19" max="19" width="6.6640625" style="1582" customWidth="1"/>
    <col min="20" max="20" width="13.5" style="1582" bestFit="1" customWidth="1"/>
    <col min="21" max="21" width="14.6640625" style="358" bestFit="1" customWidth="1"/>
    <col min="22" max="22" width="10.5" style="358" bestFit="1" customWidth="1"/>
    <col min="23" max="23" width="9.83203125" style="358"/>
    <col min="24" max="24" width="4.1640625" style="358" customWidth="1"/>
    <col min="25" max="25" width="14.5" style="358" bestFit="1" customWidth="1"/>
    <col min="26" max="26" width="13.5" style="358" bestFit="1" customWidth="1"/>
    <col min="27" max="16384" width="9.83203125" style="358"/>
  </cols>
  <sheetData>
    <row r="1" spans="1:28" ht="15" customHeight="1" x14ac:dyDescent="0.15">
      <c r="A1" s="2269" t="s">
        <v>421</v>
      </c>
      <c r="B1" s="2269"/>
      <c r="C1" s="2269"/>
      <c r="D1" s="2269"/>
      <c r="E1" s="2269"/>
      <c r="F1" s="2269"/>
      <c r="G1" s="2269"/>
      <c r="H1" s="2269"/>
      <c r="I1" s="2269"/>
      <c r="J1" s="2269"/>
      <c r="K1" s="2269"/>
      <c r="L1" s="2269"/>
      <c r="M1" s="2269"/>
      <c r="N1" s="357"/>
      <c r="P1" s="1553"/>
      <c r="Q1" s="357"/>
      <c r="R1" s="357"/>
      <c r="S1" s="357"/>
      <c r="T1" s="357"/>
    </row>
    <row r="2" spans="1:28" ht="15" x14ac:dyDescent="0.15">
      <c r="A2" s="1554"/>
      <c r="B2" s="1554"/>
      <c r="C2" s="1554"/>
      <c r="D2" s="1554"/>
      <c r="E2" s="357"/>
      <c r="F2" s="357"/>
      <c r="G2" s="357"/>
      <c r="H2" s="357"/>
      <c r="I2" s="1554"/>
      <c r="J2" s="1554"/>
      <c r="K2" s="1554"/>
      <c r="L2" s="1554"/>
      <c r="M2" s="1554"/>
      <c r="N2" s="357"/>
      <c r="P2" s="1553"/>
      <c r="Q2" s="357"/>
      <c r="R2" s="357"/>
      <c r="S2" s="357"/>
      <c r="T2" s="357"/>
    </row>
    <row r="3" spans="1:28" ht="15" x14ac:dyDescent="0.15">
      <c r="A3" s="2270" t="s">
        <v>422</v>
      </c>
      <c r="B3" s="2270"/>
      <c r="C3" s="2271"/>
      <c r="D3" s="2271"/>
      <c r="E3" s="356"/>
      <c r="F3" s="357"/>
      <c r="G3" s="357"/>
      <c r="H3" s="1555"/>
      <c r="I3" s="2270" t="s">
        <v>423</v>
      </c>
      <c r="J3" s="2270"/>
      <c r="K3" s="2270"/>
      <c r="L3" s="2267" t="s">
        <v>893</v>
      </c>
      <c r="M3" s="2267"/>
      <c r="N3" s="356"/>
      <c r="P3" s="1553"/>
      <c r="Q3" s="357"/>
      <c r="R3" s="357"/>
      <c r="S3" s="357"/>
      <c r="T3" s="357"/>
    </row>
    <row r="4" spans="1:28" ht="5.25" customHeight="1" x14ac:dyDescent="0.15">
      <c r="A4" s="1556"/>
      <c r="B4" s="1556"/>
      <c r="C4" s="1556"/>
      <c r="D4" s="1556"/>
      <c r="E4" s="1554"/>
      <c r="F4" s="1554"/>
      <c r="G4" s="1554"/>
      <c r="H4" s="1554"/>
      <c r="I4" s="1556"/>
      <c r="J4" s="1556"/>
      <c r="K4" s="1556"/>
      <c r="L4" s="1556"/>
      <c r="M4" s="1556"/>
      <c r="N4" s="357"/>
      <c r="P4" s="1553"/>
      <c r="Q4" s="357"/>
      <c r="R4" s="357"/>
      <c r="S4" s="357"/>
      <c r="T4" s="357"/>
    </row>
    <row r="5" spans="1:28" ht="19.5" customHeight="1" x14ac:dyDescent="0.15">
      <c r="A5" s="1557" t="s">
        <v>424</v>
      </c>
      <c r="B5" s="2263" t="s">
        <v>425</v>
      </c>
      <c r="C5" s="2263"/>
      <c r="D5" s="2263"/>
      <c r="E5" s="2263"/>
      <c r="F5" s="2263"/>
      <c r="G5" s="2263"/>
      <c r="H5" s="1549" t="s">
        <v>426</v>
      </c>
      <c r="I5" s="2263" t="s">
        <v>419</v>
      </c>
      <c r="J5" s="2263"/>
      <c r="K5" s="2263"/>
      <c r="L5" s="2263" t="s">
        <v>427</v>
      </c>
      <c r="M5" s="2263"/>
      <c r="N5" s="356"/>
      <c r="O5" s="1894" t="e">
        <f ca="1">L6-O6</f>
        <v>#N/A</v>
      </c>
      <c r="Q5" s="357"/>
      <c r="R5" s="357"/>
      <c r="S5" s="357"/>
      <c r="T5" s="357" t="s">
        <v>2201</v>
      </c>
    </row>
    <row r="6" spans="1:28" ht="32.25" customHeight="1" x14ac:dyDescent="0.15">
      <c r="A6" s="1594" t="s">
        <v>428</v>
      </c>
      <c r="B6" s="2264" t="str">
        <f>CONCATENATE(INPUT!D4, " / ",INPUT!D5, " / ",INPUT!H8, " / ",INPUT!D6, "m")</f>
        <v>438D / Rig 2 / LGBU / 2500m</v>
      </c>
      <c r="C6" s="2265"/>
      <c r="D6" s="2265"/>
      <c r="E6" s="2265"/>
      <c r="F6" s="2265"/>
      <c r="G6" s="2265"/>
      <c r="H6" s="1595">
        <f ca="1">TODAY()</f>
        <v>43168</v>
      </c>
      <c r="I6" s="2266">
        <v>42855</v>
      </c>
      <c r="J6" s="2267"/>
      <c r="K6" s="2267"/>
      <c r="L6" s="2281" t="e">
        <f ca="1">SUBTOTAL(109,K9:K38)</f>
        <v>#N/A</v>
      </c>
      <c r="M6" s="2281"/>
      <c r="N6" s="356"/>
      <c r="O6" s="1567">
        <f ca="1">SUBTOTAL(109,'COVER SHEET'!H29:H33,'COVER SHEET'!H35:H36,'COVER SHEET'!H22:H23)/FOREX</f>
        <v>1920529.4117647058</v>
      </c>
      <c r="P6" s="1930">
        <f ca="1">O20+O29+O40+T20+T29+T39+Y20+K37+K38</f>
        <v>1920529.411764706</v>
      </c>
      <c r="Q6" s="357"/>
      <c r="R6" s="357" t="s">
        <v>2200</v>
      </c>
      <c r="S6" s="357"/>
      <c r="T6" s="357" t="s">
        <v>2202</v>
      </c>
      <c r="U6" s="358" t="s">
        <v>2200</v>
      </c>
      <c r="V6" s="358" t="s">
        <v>2177</v>
      </c>
    </row>
    <row r="7" spans="1:28" ht="6.75" customHeight="1" x14ac:dyDescent="0.15">
      <c r="A7" s="1558"/>
      <c r="B7" s="1559"/>
      <c r="C7" s="1559"/>
      <c r="D7" s="1559"/>
      <c r="E7" s="1559"/>
      <c r="F7" s="1559"/>
      <c r="G7" s="1559"/>
      <c r="H7" s="1559"/>
      <c r="I7" s="1559"/>
      <c r="J7" s="1559"/>
      <c r="K7" s="1559"/>
      <c r="L7" s="1559"/>
      <c r="M7" s="1560"/>
      <c r="N7" s="356"/>
      <c r="Q7" s="357"/>
      <c r="R7" s="357"/>
      <c r="S7" s="357"/>
      <c r="T7" s="357"/>
    </row>
    <row r="8" spans="1:28" ht="27.75" customHeight="1" x14ac:dyDescent="0.15">
      <c r="A8" s="359" t="s">
        <v>414</v>
      </c>
      <c r="B8" s="359" t="s">
        <v>429</v>
      </c>
      <c r="C8" s="360" t="s">
        <v>430</v>
      </c>
      <c r="D8" s="359" t="s">
        <v>415</v>
      </c>
      <c r="E8" s="359" t="s">
        <v>431</v>
      </c>
      <c r="F8" s="359" t="s">
        <v>416</v>
      </c>
      <c r="G8" s="359" t="s">
        <v>432</v>
      </c>
      <c r="H8" s="359" t="s">
        <v>418</v>
      </c>
      <c r="I8" s="359" t="s">
        <v>138</v>
      </c>
      <c r="J8" s="359" t="s">
        <v>433</v>
      </c>
      <c r="K8" s="359" t="s">
        <v>420</v>
      </c>
      <c r="L8" s="360" t="s">
        <v>434</v>
      </c>
      <c r="M8" s="361" t="s">
        <v>435</v>
      </c>
      <c r="N8" s="356"/>
      <c r="O8" s="1561" t="s">
        <v>1163</v>
      </c>
      <c r="P8" s="1562">
        <f>INPUT!$L$5</f>
        <v>43160</v>
      </c>
      <c r="Q8" s="357"/>
      <c r="R8" s="1553">
        <f>EOMONTH(P8,0)</f>
        <v>43190</v>
      </c>
      <c r="S8" s="1887">
        <f>MONTH(R8)</f>
        <v>3</v>
      </c>
      <c r="T8" s="1890" t="e">
        <f>INDEX($Y$24:$Y$35,MATCH(R8,$Z$24:$Z$35,0))</f>
        <v>#N/A</v>
      </c>
      <c r="U8" s="1892" t="e">
        <f>INDEX($Z$24:$Z$35,MATCH(T8,$Y$24:$Y$35,0))</f>
        <v>#N/A</v>
      </c>
      <c r="V8" s="1888" t="e">
        <f>U8-P8</f>
        <v>#N/A</v>
      </c>
    </row>
    <row r="9" spans="1:28" ht="15" customHeight="1" x14ac:dyDescent="0.15">
      <c r="A9" s="1594">
        <v>1</v>
      </c>
      <c r="B9" s="1594"/>
      <c r="C9" s="1596" t="str">
        <f t="shared" ref="C9:C38" si="0">IFERROR(VLOOKUP(H9,MFM_DATASOURCE,3,FALSE)," ")</f>
        <v>F</v>
      </c>
      <c r="D9" s="1596"/>
      <c r="E9" s="1596"/>
      <c r="F9" s="1594"/>
      <c r="G9" s="1594" t="str">
        <f>IFERROR(VLOOKUP(H9,MFM_DATASOURCE,7,FALSE),"")</f>
        <v>114434</v>
      </c>
      <c r="H9" s="1597" t="s">
        <v>436</v>
      </c>
      <c r="I9" s="1609" t="e">
        <f ca="1">$Q$16</f>
        <v>#N/A</v>
      </c>
      <c r="J9" s="1599" t="str">
        <f>IFERROR(VLOOKUP(H9,MFM_DATASOURCE,9,FALSE),"")</f>
        <v>LOT</v>
      </c>
      <c r="K9" s="1599" t="e">
        <f ca="1">P16</f>
        <v>#N/A</v>
      </c>
      <c r="L9" s="1601" t="e">
        <f>$U$8</f>
        <v>#N/A</v>
      </c>
      <c r="M9" s="1594">
        <f>IF(H9="","",((VLOOKUP(INPUT!$H$8,MFM_PLANT,2,FALSE))))</f>
        <v>1003</v>
      </c>
      <c r="N9" s="356"/>
      <c r="O9" s="1561" t="s">
        <v>1164</v>
      </c>
      <c r="P9" s="1562">
        <f>INPUT!$M$19</f>
        <v>43220</v>
      </c>
      <c r="Q9" s="1890"/>
      <c r="R9" s="1553">
        <f>EOMONTH(P9,0)</f>
        <v>43220</v>
      </c>
      <c r="S9" s="1887">
        <f>MONTH(R9)</f>
        <v>4</v>
      </c>
      <c r="T9" s="1891" t="e">
        <f>T8+1</f>
        <v>#N/A</v>
      </c>
      <c r="U9" s="1892" t="e">
        <f>INDEX($Z$24:$Z$35,MATCH(T9,$Y$24:$Y$35,0))</f>
        <v>#N/A</v>
      </c>
      <c r="V9" s="1888" t="e">
        <f>U9-U8</f>
        <v>#N/A</v>
      </c>
      <c r="W9" s="358" t="e">
        <f>V9+V8</f>
        <v>#N/A</v>
      </c>
    </row>
    <row r="10" spans="1:28" ht="15" customHeight="1" x14ac:dyDescent="0.15">
      <c r="A10" s="1594">
        <v>2</v>
      </c>
      <c r="B10" s="1594"/>
      <c r="C10" s="1596" t="str">
        <f t="shared" si="0"/>
        <v>F</v>
      </c>
      <c r="D10" s="1596"/>
      <c r="E10" s="1596"/>
      <c r="F10" s="1594"/>
      <c r="G10" s="1594" t="str">
        <f>IFERROR(VLOOKUP(H10,MFM_DATASOURCE,7,FALSE),"")</f>
        <v>114434</v>
      </c>
      <c r="H10" s="1597" t="s">
        <v>436</v>
      </c>
      <c r="I10" s="1609" t="e">
        <f ca="1">$Q$17</f>
        <v>#N/A</v>
      </c>
      <c r="J10" s="1599" t="str">
        <f t="shared" ref="J10:J38" si="1">IFERROR(VLOOKUP(H10,MFM_DATASOURCE,9,FALSE),"")</f>
        <v>LOT</v>
      </c>
      <c r="K10" s="1599" t="e">
        <f ca="1">P17</f>
        <v>#N/A</v>
      </c>
      <c r="L10" s="1601" t="e">
        <f>$U$9</f>
        <v>#N/A</v>
      </c>
      <c r="M10" s="1594">
        <f>IF(H10="","",((VLOOKUP(INPUT!$H$8,MFM_PLANT,2,FALSE))))</f>
        <v>1003</v>
      </c>
      <c r="N10" s="356"/>
      <c r="O10" s="1561" t="s">
        <v>1166</v>
      </c>
      <c r="P10" s="1564">
        <f>P9-P8+1</f>
        <v>61</v>
      </c>
      <c r="Q10" s="357"/>
      <c r="R10" s="1887">
        <f>R9-R8</f>
        <v>30</v>
      </c>
      <c r="S10" s="1890"/>
      <c r="T10" s="1891" t="e">
        <f>T9+1</f>
        <v>#N/A</v>
      </c>
      <c r="U10" s="1892" t="e">
        <f>INDEX($Z$24:$Z$35,MATCH(T10,$Y$24:$Y$35,0))</f>
        <v>#N/A</v>
      </c>
      <c r="V10" s="1888" t="e">
        <f>U10-U9</f>
        <v>#N/A</v>
      </c>
      <c r="W10" s="358" t="e">
        <f>W9+V10</f>
        <v>#N/A</v>
      </c>
    </row>
    <row r="11" spans="1:28" ht="15" customHeight="1" x14ac:dyDescent="0.15">
      <c r="A11" s="1594">
        <v>3</v>
      </c>
      <c r="B11" s="1594"/>
      <c r="C11" s="1596" t="str">
        <f t="shared" si="0"/>
        <v>F</v>
      </c>
      <c r="D11" s="1596"/>
      <c r="E11" s="1596"/>
      <c r="F11" s="1594"/>
      <c r="G11" s="1594" t="str">
        <f>IFERROR(VLOOKUP(H11,MFM_DATASOURCE,7,FALSE),"")</f>
        <v>114434</v>
      </c>
      <c r="H11" s="1597" t="s">
        <v>436</v>
      </c>
      <c r="I11" s="1609" t="e">
        <f ca="1">$Q$18</f>
        <v>#N/A</v>
      </c>
      <c r="J11" s="1599" t="str">
        <f t="shared" si="1"/>
        <v>LOT</v>
      </c>
      <c r="K11" s="1599" t="e">
        <f ca="1">P18</f>
        <v>#N/A</v>
      </c>
      <c r="L11" s="1601" t="e">
        <f>$U$10</f>
        <v>#N/A</v>
      </c>
      <c r="M11" s="1594">
        <f>IF(H11="","",((VLOOKUP(INPUT!$H$8,MFM_PLANT,2,FALSE))))</f>
        <v>1003</v>
      </c>
      <c r="N11" s="356"/>
      <c r="O11" s="1561"/>
      <c r="P11" s="1566"/>
      <c r="Q11" s="357"/>
      <c r="R11" s="1893">
        <f>INDEX($Z$24:$Z$35,MATCH(S11,$Y$24:$Y$35,0))</f>
        <v>42886</v>
      </c>
      <c r="S11" s="1887">
        <f>S9+1</f>
        <v>5</v>
      </c>
      <c r="T11" s="1891" t="e">
        <f>T10+1</f>
        <v>#N/A</v>
      </c>
      <c r="U11" s="1956" t="str">
        <f>IF(R10&lt;P10,"",INDEX($Z$24:$Z$35,MATCH(T11,$Y$24:$Y$35,0)))</f>
        <v/>
      </c>
      <c r="V11" s="1888">
        <f>IFERROR(INDEX($AA$24:$AA$35,MATCH(U11,$Z$24:$Z$35,0)),0)</f>
        <v>0</v>
      </c>
      <c r="W11" s="358" t="e">
        <f>W10+V11</f>
        <v>#N/A</v>
      </c>
    </row>
    <row r="12" spans="1:28" ht="15" customHeight="1" x14ac:dyDescent="0.15">
      <c r="A12" s="1594">
        <v>4</v>
      </c>
      <c r="B12" s="1594"/>
      <c r="C12" s="1654" t="str">
        <f>IFERROR(VLOOKUP(H12,MFM_DATASOURCE,3,FALSE)," ")</f>
        <v>F</v>
      </c>
      <c r="D12" s="1654"/>
      <c r="E12" s="1654"/>
      <c r="F12" s="1594"/>
      <c r="G12" s="1594" t="str">
        <f>IFERROR(VLOOKUP(H12,MFM_DATASOURCE,7,FALSE),"")</f>
        <v>114434</v>
      </c>
      <c r="H12" s="1597" t="s">
        <v>436</v>
      </c>
      <c r="I12" s="1609" t="e">
        <f ca="1">$Q$19</f>
        <v>#N/A</v>
      </c>
      <c r="J12" s="1599" t="str">
        <f>IFERROR(VLOOKUP(H12,MFM_DATASOURCE,9,FALSE),"")</f>
        <v>LOT</v>
      </c>
      <c r="K12" s="1599">
        <f ca="1">P19</f>
        <v>0</v>
      </c>
      <c r="L12" s="1601" t="str">
        <f>$U$11</f>
        <v/>
      </c>
      <c r="M12" s="1594">
        <f>IF(H12="","",((VLOOKUP(INPUT!$H$8,MFM_PLANT,2,FALSE))))</f>
        <v>1003</v>
      </c>
      <c r="N12" s="356"/>
      <c r="O12" s="1561"/>
      <c r="P12" s="1564"/>
      <c r="Q12" s="357"/>
      <c r="R12" s="357">
        <f>R11-P8</f>
        <v>-274</v>
      </c>
      <c r="S12" s="357"/>
      <c r="T12" s="357"/>
    </row>
    <row r="13" spans="1:28" ht="15" customHeight="1" x14ac:dyDescent="0.15">
      <c r="A13" s="1594">
        <v>5</v>
      </c>
      <c r="B13" s="1594"/>
      <c r="C13" s="1596" t="str">
        <f t="shared" si="0"/>
        <v>F</v>
      </c>
      <c r="D13" s="1596"/>
      <c r="E13" s="1596"/>
      <c r="F13" s="1594"/>
      <c r="G13" s="1594" t="str">
        <f t="shared" ref="G13:G31" si="2">IFERROR(VLOOKUP(H13,MFM_DATASOURCE,7,FALSE),"")</f>
        <v>114435</v>
      </c>
      <c r="H13" s="1597" t="s">
        <v>437</v>
      </c>
      <c r="I13" s="1609" t="e">
        <f ca="1">$Q$16</f>
        <v>#N/A</v>
      </c>
      <c r="J13" s="1599" t="str">
        <f t="shared" si="1"/>
        <v>LOT</v>
      </c>
      <c r="K13" s="1599" t="e">
        <f>P25</f>
        <v>#N/A</v>
      </c>
      <c r="L13" s="1601" t="e">
        <f>$U$8</f>
        <v>#N/A</v>
      </c>
      <c r="M13" s="1594">
        <f>IF(H13="","",((VLOOKUP(INPUT!$H$8,MFM_PLANT,2,FALSE))))</f>
        <v>1003</v>
      </c>
      <c r="N13" s="356"/>
      <c r="O13" s="1604"/>
      <c r="P13" s="1605"/>
      <c r="Q13" s="357"/>
      <c r="R13" s="357"/>
      <c r="S13" s="357"/>
      <c r="T13" s="357"/>
    </row>
    <row r="14" spans="1:28" ht="15" customHeight="1" x14ac:dyDescent="0.15">
      <c r="A14" s="1594">
        <v>6</v>
      </c>
      <c r="B14" s="1594"/>
      <c r="C14" s="1596" t="str">
        <f t="shared" si="0"/>
        <v>F</v>
      </c>
      <c r="D14" s="1596"/>
      <c r="E14" s="1596"/>
      <c r="F14" s="1594"/>
      <c r="G14" s="1594" t="str">
        <f t="shared" si="2"/>
        <v>114435</v>
      </c>
      <c r="H14" s="1597" t="s">
        <v>437</v>
      </c>
      <c r="I14" s="1609" t="e">
        <f ca="1">$Q$17</f>
        <v>#N/A</v>
      </c>
      <c r="J14" s="1599" t="str">
        <f t="shared" si="1"/>
        <v>LOT</v>
      </c>
      <c r="K14" s="1599" t="e">
        <f>P26</f>
        <v>#N/A</v>
      </c>
      <c r="L14" s="1601" t="e">
        <f>$U$9</f>
        <v>#N/A</v>
      </c>
      <c r="M14" s="1594">
        <f>IF(H14="","",((VLOOKUP(INPUT!$H$8,MFM_PLANT,2,FALSE))))</f>
        <v>1003</v>
      </c>
      <c r="N14" s="356"/>
      <c r="O14" s="1610" t="str">
        <f>'COVER SHEET'!B32</f>
        <v xml:space="preserve">Aerated Drilling Services         </v>
      </c>
      <c r="P14" s="358"/>
      <c r="Q14" s="357"/>
      <c r="R14" s="1610"/>
      <c r="S14" s="358"/>
      <c r="T14" s="1610" t="str">
        <f>'COVER SHEET'!B31</f>
        <v>Mud Engineering Services</v>
      </c>
      <c r="V14" s="357"/>
      <c r="W14" s="1610"/>
      <c r="Y14" s="1610" t="str">
        <f>'COVER SHEET'!B35</f>
        <v>Mud Logging Services</v>
      </c>
      <c r="AA14" s="357"/>
      <c r="AB14" s="1610"/>
    </row>
    <row r="15" spans="1:28" ht="15" customHeight="1" x14ac:dyDescent="0.15">
      <c r="A15" s="1594">
        <v>7</v>
      </c>
      <c r="B15" s="1594"/>
      <c r="C15" s="1596" t="str">
        <f t="shared" si="0"/>
        <v>F</v>
      </c>
      <c r="D15" s="1596"/>
      <c r="E15" s="1596"/>
      <c r="F15" s="1594"/>
      <c r="G15" s="1594" t="str">
        <f t="shared" si="2"/>
        <v>114435</v>
      </c>
      <c r="H15" s="1597" t="s">
        <v>437</v>
      </c>
      <c r="I15" s="1609" t="e">
        <f ca="1">$Q$18</f>
        <v>#N/A</v>
      </c>
      <c r="J15" s="1599" t="str">
        <f t="shared" si="1"/>
        <v>LOT</v>
      </c>
      <c r="K15" s="1599" t="e">
        <f>P27</f>
        <v>#N/A</v>
      </c>
      <c r="L15" s="1601" t="e">
        <f>$U$10</f>
        <v>#N/A</v>
      </c>
      <c r="M15" s="1594">
        <f>IF(H15="","",((VLOOKUP(INPUT!$H$8,MFM_PLANT,2,FALSE))))</f>
        <v>1003</v>
      </c>
      <c r="N15" s="356"/>
      <c r="O15" s="1604" t="s">
        <v>1167</v>
      </c>
      <c r="P15" s="1606">
        <f ca="1">INDEX('COVER SHEET'!$H$20:$H$42,MATCH($O$14,'COVER SHEET'!$B$20:$B$42,0))</f>
        <v>30239000</v>
      </c>
      <c r="Q15" s="357"/>
      <c r="R15" s="1604" t="s">
        <v>1190</v>
      </c>
      <c r="S15" s="1606"/>
      <c r="T15" s="1604" t="s">
        <v>1167</v>
      </c>
      <c r="U15" s="1606">
        <f>INDEX('COVER SHEET'!$H$20:$H$42,MATCH($T$14,'COVER SHEET'!$B$20:$B$42,0))</f>
        <v>2362000</v>
      </c>
      <c r="V15" s="357"/>
      <c r="W15" s="1604" t="s">
        <v>1190</v>
      </c>
      <c r="Y15" s="1604" t="s">
        <v>1167</v>
      </c>
      <c r="Z15" s="1606">
        <f ca="1">INDEX('COVER SHEET'!$H$20:$H$42,MATCH($Y$14,'COVER SHEET'!$B$20:$B$42,0))</f>
        <v>2836000</v>
      </c>
      <c r="AA15" s="357"/>
      <c r="AB15" s="1604" t="s">
        <v>1190</v>
      </c>
    </row>
    <row r="16" spans="1:28" ht="15" customHeight="1" x14ac:dyDescent="0.15">
      <c r="A16" s="1594">
        <v>8</v>
      </c>
      <c r="B16" s="1594"/>
      <c r="C16" s="1654" t="str">
        <f>IFERROR(VLOOKUP(H16,MFM_DATASOURCE,3,FALSE)," ")</f>
        <v>F</v>
      </c>
      <c r="D16" s="1654"/>
      <c r="E16" s="1654"/>
      <c r="F16" s="1594"/>
      <c r="G16" s="1594" t="str">
        <f>IFERROR(VLOOKUP(H16,MFM_DATASOURCE,7,FALSE),"")</f>
        <v>114435</v>
      </c>
      <c r="H16" s="1597" t="s">
        <v>437</v>
      </c>
      <c r="I16" s="1609" t="e">
        <f ca="1">$Q$19</f>
        <v>#N/A</v>
      </c>
      <c r="J16" s="1599" t="str">
        <f>IFERROR(VLOOKUP(H16,MFM_DATASOURCE,9,FALSE),"")</f>
        <v>LOT</v>
      </c>
      <c r="K16" s="1599">
        <f>P28</f>
        <v>0</v>
      </c>
      <c r="L16" s="1601" t="str">
        <f>$U$11</f>
        <v/>
      </c>
      <c r="M16" s="1594">
        <f>IF(H16="","",((VLOOKUP(INPUT!$H$8,MFM_PLANT,2,FALSE))))</f>
        <v>1003</v>
      </c>
      <c r="N16" s="356"/>
      <c r="O16" s="1604" t="s">
        <v>1186</v>
      </c>
      <c r="P16" s="1606" t="e">
        <f ca="1">R16*$P$21</f>
        <v>#N/A</v>
      </c>
      <c r="Q16" s="357" t="e">
        <f ca="1">ROUND(P16/$P$20,2)*100</f>
        <v>#N/A</v>
      </c>
      <c r="R16" s="1657" t="e">
        <f>$V$8</f>
        <v>#N/A</v>
      </c>
      <c r="S16" s="1606"/>
      <c r="T16" s="1604" t="s">
        <v>1186</v>
      </c>
      <c r="U16" s="1606" t="e">
        <f>W16*$U$21</f>
        <v>#N/A</v>
      </c>
      <c r="V16" s="357" t="e">
        <f>ROUND(U16/$U$20,2)*100</f>
        <v>#N/A</v>
      </c>
      <c r="W16" s="1657" t="e">
        <f>$V$8</f>
        <v>#N/A</v>
      </c>
      <c r="Y16" s="1604" t="s">
        <v>1186</v>
      </c>
      <c r="Z16" s="1606" t="e">
        <f ca="1">AB16*$Z$21</f>
        <v>#N/A</v>
      </c>
      <c r="AA16" s="357" t="e">
        <f ca="1">ROUND(Z16/$Z$20,2)*100</f>
        <v>#N/A</v>
      </c>
      <c r="AB16" s="1657" t="e">
        <f>$V8</f>
        <v>#N/A</v>
      </c>
    </row>
    <row r="17" spans="1:28" ht="15" customHeight="1" x14ac:dyDescent="0.15">
      <c r="A17" s="1594">
        <v>9</v>
      </c>
      <c r="B17" s="1594"/>
      <c r="C17" s="1596" t="str">
        <f t="shared" si="0"/>
        <v>F</v>
      </c>
      <c r="D17" s="1596"/>
      <c r="E17" s="1596"/>
      <c r="F17" s="1594"/>
      <c r="G17" s="1603">
        <v>114940</v>
      </c>
      <c r="H17" s="1597" t="s">
        <v>789</v>
      </c>
      <c r="I17" s="1609" t="e">
        <f ca="1">$Q$16</f>
        <v>#N/A</v>
      </c>
      <c r="J17" s="1599" t="str">
        <f t="shared" si="1"/>
        <v>LOT</v>
      </c>
      <c r="K17" s="1599" t="e">
        <f ca="1">P36</f>
        <v>#N/A</v>
      </c>
      <c r="L17" s="1601" t="e">
        <f>$U$8</f>
        <v>#N/A</v>
      </c>
      <c r="M17" s="1594">
        <f>IF(H17="","",((VLOOKUP(INPUT!$H$8,MFM_PLANT,2,FALSE))))</f>
        <v>1003</v>
      </c>
      <c r="N17" s="356"/>
      <c r="O17" s="1604" t="s">
        <v>1187</v>
      </c>
      <c r="P17" s="1606" t="e">
        <f ca="1">R17*$P$21</f>
        <v>#N/A</v>
      </c>
      <c r="Q17" s="357" t="e">
        <f ca="1">ROUND(P17/$P$20,2)*100</f>
        <v>#N/A</v>
      </c>
      <c r="R17" s="1657" t="e">
        <f>$V$9</f>
        <v>#N/A</v>
      </c>
      <c r="S17" s="1607"/>
      <c r="T17" s="1604" t="s">
        <v>1187</v>
      </c>
      <c r="U17" s="1606" t="e">
        <f>W17*$U$21</f>
        <v>#N/A</v>
      </c>
      <c r="V17" s="357" t="e">
        <f>ROUND(U17/$U$20,2)*100</f>
        <v>#N/A</v>
      </c>
      <c r="W17" s="1657" t="e">
        <f>$V$9</f>
        <v>#N/A</v>
      </c>
      <c r="Y17" s="1604" t="s">
        <v>1187</v>
      </c>
      <c r="Z17" s="1606" t="e">
        <f ca="1">AB17*$Z$21</f>
        <v>#N/A</v>
      </c>
      <c r="AA17" s="357" t="e">
        <f ca="1">ROUND(Z17/$Z$20,2)*100</f>
        <v>#N/A</v>
      </c>
      <c r="AB17" s="1657" t="e">
        <f>$V9</f>
        <v>#N/A</v>
      </c>
    </row>
    <row r="18" spans="1:28" ht="15" customHeight="1" x14ac:dyDescent="0.15">
      <c r="A18" s="1594">
        <f t="shared" ref="A18:A38" si="3">A17+1</f>
        <v>10</v>
      </c>
      <c r="B18" s="1594"/>
      <c r="C18" s="1596" t="str">
        <f t="shared" si="0"/>
        <v>F</v>
      </c>
      <c r="D18" s="1596"/>
      <c r="E18" s="1596"/>
      <c r="F18" s="1594"/>
      <c r="G18" s="1603">
        <v>114940</v>
      </c>
      <c r="H18" s="1597" t="s">
        <v>789</v>
      </c>
      <c r="I18" s="1609" t="e">
        <f ca="1">$Q$17</f>
        <v>#N/A</v>
      </c>
      <c r="J18" s="1599" t="str">
        <f t="shared" si="1"/>
        <v>LOT</v>
      </c>
      <c r="K18" s="1599" t="e">
        <f ca="1">P37</f>
        <v>#N/A</v>
      </c>
      <c r="L18" s="1601" t="e">
        <f>$U$9</f>
        <v>#N/A</v>
      </c>
      <c r="M18" s="1594">
        <f>IF(H18="","",((VLOOKUP(INPUT!$H$8,MFM_PLANT,2,FALSE))))</f>
        <v>1003</v>
      </c>
      <c r="N18" s="356"/>
      <c r="O18" s="1604" t="s">
        <v>1188</v>
      </c>
      <c r="P18" s="1606" t="e">
        <f ca="1">R18*$P$21</f>
        <v>#N/A</v>
      </c>
      <c r="Q18" s="357" t="e">
        <f ca="1">ROUND(P18/$P$20,2)*100</f>
        <v>#N/A</v>
      </c>
      <c r="R18" s="1657" t="e">
        <f>IF($W$10&lt;$P$10,$V$10,0)</f>
        <v>#N/A</v>
      </c>
      <c r="S18" s="1607"/>
      <c r="T18" s="1604" t="s">
        <v>1188</v>
      </c>
      <c r="U18" s="1606" t="e">
        <f>W18*$U$21</f>
        <v>#N/A</v>
      </c>
      <c r="V18" s="357" t="e">
        <f>ROUND(U18/$U$20,2)*100</f>
        <v>#N/A</v>
      </c>
      <c r="W18" s="1657" t="e">
        <f>IF($W$10&lt;$P$10,$V$10,0)</f>
        <v>#N/A</v>
      </c>
      <c r="Y18" s="1604" t="s">
        <v>1188</v>
      </c>
      <c r="Z18" s="1606" t="e">
        <f ca="1">AB18*$Z$21</f>
        <v>#N/A</v>
      </c>
      <c r="AA18" s="357" t="e">
        <f ca="1">ROUND(Z18/$Z$20,2)*100</f>
        <v>#N/A</v>
      </c>
      <c r="AB18" s="1657" t="e">
        <f>IF($W$10&lt;$P$10,$V$10,0)</f>
        <v>#N/A</v>
      </c>
    </row>
    <row r="19" spans="1:28" ht="15" customHeight="1" x14ac:dyDescent="0.15">
      <c r="A19" s="1594">
        <f t="shared" si="3"/>
        <v>11</v>
      </c>
      <c r="B19" s="1594"/>
      <c r="C19" s="1596" t="str">
        <f t="shared" si="0"/>
        <v>F</v>
      </c>
      <c r="D19" s="1596"/>
      <c r="E19" s="1596"/>
      <c r="F19" s="1594"/>
      <c r="G19" s="1603">
        <v>114940</v>
      </c>
      <c r="H19" s="1597" t="s">
        <v>789</v>
      </c>
      <c r="I19" s="1609" t="e">
        <f ca="1">$Q$18</f>
        <v>#N/A</v>
      </c>
      <c r="J19" s="1599" t="str">
        <f t="shared" si="1"/>
        <v>LOT</v>
      </c>
      <c r="K19" s="1599" t="e">
        <f ca="1">P38</f>
        <v>#N/A</v>
      </c>
      <c r="L19" s="1601" t="e">
        <f>$U$10</f>
        <v>#N/A</v>
      </c>
      <c r="M19" s="1594">
        <f>IF(H19="","",((VLOOKUP(INPUT!$H$8,MFM_PLANT,2,FALSE))))</f>
        <v>1003</v>
      </c>
      <c r="N19" s="356"/>
      <c r="O19" s="1604" t="s">
        <v>1189</v>
      </c>
      <c r="P19" s="1606">
        <f ca="1">R19*$P$21</f>
        <v>0</v>
      </c>
      <c r="Q19" s="357" t="e">
        <f ca="1">ROUNDUP(P19/$P$20,2)*100</f>
        <v>#N/A</v>
      </c>
      <c r="R19" s="1657">
        <f>IFERROR(IF($W$11&lt;$P$10,$W$11,$P$10-$W$10),0)</f>
        <v>0</v>
      </c>
      <c r="S19" s="1604"/>
      <c r="T19" s="1604" t="s">
        <v>1189</v>
      </c>
      <c r="U19" s="1606">
        <f>IFERROR(W19*$U$21,0)</f>
        <v>0</v>
      </c>
      <c r="V19" s="357" t="e">
        <f>ROUND(U19/$U$20,2)*100</f>
        <v>#N/A</v>
      </c>
      <c r="W19" s="1657">
        <f>IFERROR(IF($W$11&lt;$P$10,$W$11,$P$10-$W$10),0)</f>
        <v>0</v>
      </c>
      <c r="Y19" s="1604" t="s">
        <v>1189</v>
      </c>
      <c r="Z19" s="1606">
        <f ca="1">IFERROR(AB19*$Z$21,0)</f>
        <v>0</v>
      </c>
      <c r="AA19" s="357" t="e">
        <f ca="1">ROUND(Z19/$Z$20,2)*100</f>
        <v>#N/A</v>
      </c>
      <c r="AB19" s="1657">
        <f>IFERROR(IF($W$11&lt;$P$10,$W$11,$P$10-$W$10),0)</f>
        <v>0</v>
      </c>
    </row>
    <row r="20" spans="1:28" ht="15" customHeight="1" x14ac:dyDescent="0.15">
      <c r="A20" s="1594">
        <f t="shared" si="3"/>
        <v>12</v>
      </c>
      <c r="B20" s="1594"/>
      <c r="C20" s="1654" t="str">
        <f>IFERROR(VLOOKUP(H20,MFM_DATASOURCE,3,FALSE)," ")</f>
        <v>F</v>
      </c>
      <c r="D20" s="1654"/>
      <c r="E20" s="1654"/>
      <c r="F20" s="1594"/>
      <c r="G20" s="1603">
        <v>114940</v>
      </c>
      <c r="H20" s="1597" t="s">
        <v>789</v>
      </c>
      <c r="I20" s="1609" t="e">
        <f ca="1">$Q$19</f>
        <v>#N/A</v>
      </c>
      <c r="J20" s="1599" t="str">
        <f>IFERROR(VLOOKUP(H20,MFM_DATASOURCE,9,FALSE),"")</f>
        <v>LOT</v>
      </c>
      <c r="K20" s="1599" t="e">
        <f ca="1">P39</f>
        <v>#N/A</v>
      </c>
      <c r="L20" s="1601" t="str">
        <f>$U$11</f>
        <v/>
      </c>
      <c r="M20" s="1594">
        <f>IF(H20="","",((VLOOKUP(INPUT!$H$8,MFM_PLANT,2,FALSE))))</f>
        <v>1003</v>
      </c>
      <c r="N20" s="356"/>
      <c r="O20" s="1655">
        <f ca="1">P15/FOREX</f>
        <v>592921.56862745096</v>
      </c>
      <c r="P20" s="1656" t="e">
        <f ca="1">SUM(P16:P19)</f>
        <v>#N/A</v>
      </c>
      <c r="Q20" s="357" t="e">
        <f ca="1">SUM(Q16:Q19)</f>
        <v>#N/A</v>
      </c>
      <c r="R20" s="1604"/>
      <c r="S20" s="1604"/>
      <c r="T20" s="1655">
        <f>U15/FOREX</f>
        <v>46313.725490196077</v>
      </c>
      <c r="U20" s="1656" t="e">
        <f>SUM(U16:U19)</f>
        <v>#N/A</v>
      </c>
      <c r="V20" s="1887" t="e">
        <f>SUM(V16:V19)</f>
        <v>#N/A</v>
      </c>
      <c r="W20" s="1604"/>
      <c r="Y20" s="1655">
        <f ca="1">Z15/FOREX</f>
        <v>55607.843137254902</v>
      </c>
      <c r="Z20" s="1656" t="e">
        <f ca="1">SUM(Z16:Z19)</f>
        <v>#N/A</v>
      </c>
      <c r="AA20" s="357" t="e">
        <f ca="1">SUM(AA16:AA19)</f>
        <v>#N/A</v>
      </c>
      <c r="AB20" s="1604"/>
    </row>
    <row r="21" spans="1:28" ht="15" customHeight="1" x14ac:dyDescent="0.15">
      <c r="A21" s="1594">
        <f t="shared" si="3"/>
        <v>13</v>
      </c>
      <c r="B21" s="1594"/>
      <c r="C21" s="1596" t="str">
        <f t="shared" si="0"/>
        <v>F</v>
      </c>
      <c r="D21" s="1596"/>
      <c r="E21" s="1596"/>
      <c r="F21" s="1594"/>
      <c r="G21" s="1594" t="str">
        <f t="shared" si="2"/>
        <v>114432</v>
      </c>
      <c r="H21" s="1597" t="s">
        <v>438</v>
      </c>
      <c r="I21" s="1609" t="e">
        <f ca="1">$Q$16</f>
        <v>#N/A</v>
      </c>
      <c r="J21" s="1599" t="str">
        <f t="shared" si="1"/>
        <v>LOT</v>
      </c>
      <c r="K21" s="1599" t="e">
        <f>U16</f>
        <v>#N/A</v>
      </c>
      <c r="L21" s="1601" t="e">
        <f>$U$8</f>
        <v>#N/A</v>
      </c>
      <c r="M21" s="1594">
        <f>IF(H21="","",((VLOOKUP(INPUT!$H$8,MFM_PLANT,2,FALSE))))</f>
        <v>1003</v>
      </c>
      <c r="N21" s="356"/>
      <c r="O21" s="1658" t="e">
        <f ca="1">P20-O20</f>
        <v>#N/A</v>
      </c>
      <c r="P21" s="1656">
        <f ca="1">(P15/$P$10)/FOREX</f>
        <v>9720.025715204114</v>
      </c>
      <c r="Q21" s="357"/>
      <c r="R21" s="358"/>
      <c r="S21" s="358"/>
      <c r="T21" s="1658" t="e">
        <f>U20-T20</f>
        <v>#N/A</v>
      </c>
      <c r="U21" s="1656">
        <f>(U15/$P$10)/FOREX</f>
        <v>759.2414014786242</v>
      </c>
      <c r="V21" s="357"/>
      <c r="Y21" s="1658" t="e">
        <f ca="1">Z20-Y20</f>
        <v>#N/A</v>
      </c>
      <c r="Z21" s="1656">
        <f ca="1">(Z15/$P$10)/FOREX</f>
        <v>911.60398585663768</v>
      </c>
      <c r="AA21" s="357"/>
    </row>
    <row r="22" spans="1:28" ht="15" customHeight="1" x14ac:dyDescent="0.15">
      <c r="A22" s="1594">
        <f t="shared" si="3"/>
        <v>14</v>
      </c>
      <c r="B22" s="1594"/>
      <c r="C22" s="1596" t="str">
        <f t="shared" si="0"/>
        <v>F</v>
      </c>
      <c r="D22" s="1596"/>
      <c r="E22" s="1596"/>
      <c r="F22" s="1594"/>
      <c r="G22" s="1594" t="str">
        <f t="shared" si="2"/>
        <v>114432</v>
      </c>
      <c r="H22" s="1597" t="s">
        <v>438</v>
      </c>
      <c r="I22" s="1609" t="e">
        <f ca="1">$Q$17</f>
        <v>#N/A</v>
      </c>
      <c r="J22" s="1599" t="str">
        <f t="shared" si="1"/>
        <v>LOT</v>
      </c>
      <c r="K22" s="1599" t="e">
        <f>U17</f>
        <v>#N/A</v>
      </c>
      <c r="L22" s="1601" t="e">
        <f>$U$9</f>
        <v>#N/A</v>
      </c>
      <c r="M22" s="1594">
        <f>IF(H22="","",((VLOOKUP(INPUT!$H$8,MFM_PLANT,2,FALSE))))</f>
        <v>1003</v>
      </c>
      <c r="N22" s="356"/>
      <c r="Q22" s="357"/>
      <c r="R22" s="357"/>
      <c r="S22" s="357"/>
      <c r="T22" s="357"/>
    </row>
    <row r="23" spans="1:28" ht="15" customHeight="1" x14ac:dyDescent="0.15">
      <c r="A23" s="1594">
        <f t="shared" si="3"/>
        <v>15</v>
      </c>
      <c r="B23" s="1594"/>
      <c r="C23" s="1596" t="str">
        <f t="shared" si="0"/>
        <v>F</v>
      </c>
      <c r="D23" s="1596"/>
      <c r="E23" s="1596"/>
      <c r="F23" s="1594"/>
      <c r="G23" s="1594" t="str">
        <f t="shared" si="2"/>
        <v>114432</v>
      </c>
      <c r="H23" s="1597" t="s">
        <v>438</v>
      </c>
      <c r="I23" s="1609" t="e">
        <f ca="1">$Q$18</f>
        <v>#N/A</v>
      </c>
      <c r="J23" s="1599" t="str">
        <f t="shared" si="1"/>
        <v>LOT</v>
      </c>
      <c r="K23" s="1599" t="e">
        <f>U18</f>
        <v>#N/A</v>
      </c>
      <c r="L23" s="1601" t="e">
        <f>$U$10</f>
        <v>#N/A</v>
      </c>
      <c r="M23" s="1594">
        <f>IF(H23="","",((VLOOKUP(INPUT!$H$8,MFM_PLANT,2,FALSE))))</f>
        <v>1003</v>
      </c>
      <c r="N23" s="356"/>
      <c r="O23" s="1610" t="str">
        <f>'COVER SHEET'!B36</f>
        <v xml:space="preserve">Casing Running Services         </v>
      </c>
      <c r="P23" s="358"/>
      <c r="Q23" s="357"/>
      <c r="R23" s="1610"/>
      <c r="S23" s="357"/>
      <c r="T23" s="1610" t="str">
        <f>'COVER SHEET'!B33</f>
        <v>Jars and Shock Tools</v>
      </c>
      <c r="V23" s="357"/>
      <c r="W23" s="1610"/>
    </row>
    <row r="24" spans="1:28" ht="15" customHeight="1" x14ac:dyDescent="0.15">
      <c r="A24" s="1594">
        <f t="shared" si="3"/>
        <v>16</v>
      </c>
      <c r="B24" s="1594"/>
      <c r="C24" s="1654" t="str">
        <f>IFERROR(VLOOKUP(H24,MFM_DATASOURCE,3,FALSE)," ")</f>
        <v>F</v>
      </c>
      <c r="D24" s="1654"/>
      <c r="E24" s="1654"/>
      <c r="F24" s="1594"/>
      <c r="G24" s="1594" t="str">
        <f>IFERROR(VLOOKUP(H24,MFM_DATASOURCE,7,FALSE),"")</f>
        <v>114432</v>
      </c>
      <c r="H24" s="1597" t="s">
        <v>438</v>
      </c>
      <c r="I24" s="1609" t="e">
        <f ca="1">$Q$19</f>
        <v>#N/A</v>
      </c>
      <c r="J24" s="1599" t="str">
        <f>IFERROR(VLOOKUP(H24,MFM_DATASOURCE,9,FALSE),"")</f>
        <v>LOT</v>
      </c>
      <c r="K24" s="1599">
        <f>U19</f>
        <v>0</v>
      </c>
      <c r="L24" s="1601" t="str">
        <f>$U$11</f>
        <v/>
      </c>
      <c r="M24" s="1594">
        <f>IF(H24="","",((VLOOKUP(INPUT!$H$8,MFM_PLANT,2,FALSE))))</f>
        <v>1003</v>
      </c>
      <c r="N24" s="356"/>
      <c r="O24" s="1604" t="s">
        <v>1167</v>
      </c>
      <c r="P24" s="1606">
        <f>INDEX('COVER SHEET'!$H$20:$H$42,MATCH($O$23,'COVER SHEET'!$B$20:$B$42,0))</f>
        <v>6955000</v>
      </c>
      <c r="Q24" s="357"/>
      <c r="R24" s="1604" t="s">
        <v>1190</v>
      </c>
      <c r="S24" s="357"/>
      <c r="T24" s="1604" t="s">
        <v>1167</v>
      </c>
      <c r="U24" s="1606">
        <f ca="1">INDEX('COVER SHEET'!$H$20:$H$42,MATCH($T$23,'COVER SHEET'!$B$20:$B$42,0))</f>
        <v>6292000</v>
      </c>
      <c r="V24" s="357"/>
      <c r="W24" s="1604" t="s">
        <v>1190</v>
      </c>
      <c r="Y24" s="1604">
        <v>1</v>
      </c>
      <c r="Z24" s="1889">
        <v>42766</v>
      </c>
      <c r="AA24" s="1888">
        <f>DAY(DATE(YEAR(Z24),MONTH(Z24)+1,1)-1)</f>
        <v>31</v>
      </c>
    </row>
    <row r="25" spans="1:28" ht="15" customHeight="1" x14ac:dyDescent="0.15">
      <c r="A25" s="1594">
        <f t="shared" si="3"/>
        <v>17</v>
      </c>
      <c r="B25" s="1602"/>
      <c r="C25" s="1596" t="str">
        <f t="shared" si="0"/>
        <v>F</v>
      </c>
      <c r="D25" s="1596"/>
      <c r="E25" s="1596"/>
      <c r="F25" s="1594"/>
      <c r="G25" s="1594" t="str">
        <f t="shared" si="2"/>
        <v>114433</v>
      </c>
      <c r="H25" s="1597" t="s">
        <v>439</v>
      </c>
      <c r="I25" s="1609" t="e">
        <f ca="1">$Q$16</f>
        <v>#N/A</v>
      </c>
      <c r="J25" s="1599" t="str">
        <f t="shared" si="1"/>
        <v>LOT</v>
      </c>
      <c r="K25" s="1599" t="e">
        <f ca="1">U25</f>
        <v>#N/A</v>
      </c>
      <c r="L25" s="1601" t="e">
        <f>$U$8</f>
        <v>#N/A</v>
      </c>
      <c r="M25" s="1594">
        <f>IF(H25="","",((VLOOKUP(INPUT!$H$8,MFM_PLANT,2,FALSE))))</f>
        <v>1003</v>
      </c>
      <c r="N25" s="356"/>
      <c r="O25" s="1604" t="s">
        <v>1186</v>
      </c>
      <c r="P25" s="1606" t="e">
        <f>R25*$P$30</f>
        <v>#N/A</v>
      </c>
      <c r="Q25" s="357" t="e">
        <f>ROUND(P25/$P$29,2)*100</f>
        <v>#N/A</v>
      </c>
      <c r="R25" s="1657" t="e">
        <f>$V$8</f>
        <v>#N/A</v>
      </c>
      <c r="S25" s="1569"/>
      <c r="T25" s="1604" t="s">
        <v>1186</v>
      </c>
      <c r="U25" s="1606" t="e">
        <f ca="1">W25*$U$30</f>
        <v>#N/A</v>
      </c>
      <c r="V25" s="357" t="e">
        <f ca="1">ROUND(U25/$U$29,2)*100</f>
        <v>#N/A</v>
      </c>
      <c r="W25" s="1657" t="e">
        <f>$V$8</f>
        <v>#N/A</v>
      </c>
      <c r="Y25" s="1604">
        <v>2</v>
      </c>
      <c r="Z25" s="1889">
        <v>42794</v>
      </c>
      <c r="AA25" s="1888">
        <f t="shared" ref="AA25:AA35" si="4">DAY(DATE(YEAR(Z25),MONTH(Z25)+1,1)-1)</f>
        <v>28</v>
      </c>
    </row>
    <row r="26" spans="1:28" ht="15" customHeight="1" x14ac:dyDescent="0.15">
      <c r="A26" s="1594">
        <f t="shared" si="3"/>
        <v>18</v>
      </c>
      <c r="B26" s="1602"/>
      <c r="C26" s="1596" t="str">
        <f t="shared" si="0"/>
        <v>F</v>
      </c>
      <c r="D26" s="1596"/>
      <c r="E26" s="1596"/>
      <c r="F26" s="1594"/>
      <c r="G26" s="1594" t="str">
        <f t="shared" si="2"/>
        <v>114433</v>
      </c>
      <c r="H26" s="1597" t="s">
        <v>439</v>
      </c>
      <c r="I26" s="1609" t="e">
        <f ca="1">$Q$17</f>
        <v>#N/A</v>
      </c>
      <c r="J26" s="1599" t="str">
        <f t="shared" si="1"/>
        <v>LOT</v>
      </c>
      <c r="K26" s="1599" t="e">
        <f ca="1">U26</f>
        <v>#N/A</v>
      </c>
      <c r="L26" s="1601" t="e">
        <f>$U$9</f>
        <v>#N/A</v>
      </c>
      <c r="M26" s="1594">
        <f>IF(H26="","",((VLOOKUP(INPUT!$H$8,MFM_PLANT,2,FALSE))))</f>
        <v>1003</v>
      </c>
      <c r="N26" s="356"/>
      <c r="O26" s="1604" t="s">
        <v>1187</v>
      </c>
      <c r="P26" s="1606" t="e">
        <f>R26*$P$30</f>
        <v>#N/A</v>
      </c>
      <c r="Q26" s="357" t="e">
        <f>ROUND(P26/$P$29,2)*100</f>
        <v>#N/A</v>
      </c>
      <c r="R26" s="1657" t="e">
        <f>$V$9</f>
        <v>#N/A</v>
      </c>
      <c r="S26" s="1567"/>
      <c r="T26" s="1604" t="s">
        <v>1187</v>
      </c>
      <c r="U26" s="1606" t="e">
        <f ca="1">W26*$U$30</f>
        <v>#N/A</v>
      </c>
      <c r="V26" s="357" t="e">
        <f ca="1">ROUND(U26/$U$29,2)*100</f>
        <v>#N/A</v>
      </c>
      <c r="W26" s="1657" t="e">
        <f>$V$9</f>
        <v>#N/A</v>
      </c>
      <c r="Y26" s="1604">
        <v>3</v>
      </c>
      <c r="Z26" s="1889">
        <v>42825</v>
      </c>
      <c r="AA26" s="1888">
        <f t="shared" si="4"/>
        <v>31</v>
      </c>
    </row>
    <row r="27" spans="1:28" ht="15" customHeight="1" x14ac:dyDescent="0.15">
      <c r="A27" s="1594">
        <f t="shared" si="3"/>
        <v>19</v>
      </c>
      <c r="B27" s="1602"/>
      <c r="C27" s="1596" t="str">
        <f t="shared" si="0"/>
        <v>F</v>
      </c>
      <c r="D27" s="1596"/>
      <c r="E27" s="1596"/>
      <c r="F27" s="1594"/>
      <c r="G27" s="1594" t="str">
        <f t="shared" si="2"/>
        <v>114433</v>
      </c>
      <c r="H27" s="1597" t="s">
        <v>439</v>
      </c>
      <c r="I27" s="1609" t="e">
        <f ca="1">$Q$18</f>
        <v>#N/A</v>
      </c>
      <c r="J27" s="1599" t="str">
        <f t="shared" si="1"/>
        <v>LOT</v>
      </c>
      <c r="K27" s="1599" t="e">
        <f ca="1">U27</f>
        <v>#N/A</v>
      </c>
      <c r="L27" s="1601" t="e">
        <f>$U$10</f>
        <v>#N/A</v>
      </c>
      <c r="M27" s="1594">
        <f>IF(H27="","",((VLOOKUP(INPUT!$H$8,MFM_PLANT,2,FALSE))))</f>
        <v>1003</v>
      </c>
      <c r="N27" s="356"/>
      <c r="O27" s="1604" t="s">
        <v>1188</v>
      </c>
      <c r="P27" s="1606" t="e">
        <f>R27*$P$30</f>
        <v>#N/A</v>
      </c>
      <c r="Q27" s="357" t="e">
        <f>ROUND(P27/$P$29,2)*100</f>
        <v>#N/A</v>
      </c>
      <c r="R27" s="1657" t="e">
        <f>IF($W$10&lt;$P$10,$V$10,0)</f>
        <v>#N/A</v>
      </c>
      <c r="S27" s="1608"/>
      <c r="T27" s="1604" t="s">
        <v>1188</v>
      </c>
      <c r="U27" s="1606" t="e">
        <f ca="1">W27*$U$30</f>
        <v>#N/A</v>
      </c>
      <c r="V27" s="357" t="e">
        <f ca="1">ROUND(U27/$U$29,2)*100</f>
        <v>#N/A</v>
      </c>
      <c r="W27" s="1657" t="e">
        <f>IF($W$10&lt;$P$10,$V$10,0)</f>
        <v>#N/A</v>
      </c>
      <c r="Y27" s="1604">
        <v>4</v>
      </c>
      <c r="Z27" s="1889">
        <v>42855</v>
      </c>
      <c r="AA27" s="1888">
        <f t="shared" si="4"/>
        <v>30</v>
      </c>
    </row>
    <row r="28" spans="1:28" ht="15" customHeight="1" x14ac:dyDescent="0.15">
      <c r="A28" s="1594">
        <f t="shared" si="3"/>
        <v>20</v>
      </c>
      <c r="B28" s="1594"/>
      <c r="C28" s="1596" t="str">
        <f t="shared" si="0"/>
        <v>F</v>
      </c>
      <c r="D28" s="1596"/>
      <c r="E28" s="1596"/>
      <c r="F28" s="1594"/>
      <c r="G28" s="1594" t="str">
        <f t="shared" si="2"/>
        <v>114433</v>
      </c>
      <c r="H28" s="1597" t="s">
        <v>439</v>
      </c>
      <c r="I28" s="1609" t="e">
        <f ca="1">$Q$19</f>
        <v>#N/A</v>
      </c>
      <c r="J28" s="1599" t="str">
        <f t="shared" si="1"/>
        <v>LOT</v>
      </c>
      <c r="K28" s="1599">
        <f ca="1">U28</f>
        <v>0</v>
      </c>
      <c r="L28" s="1601" t="str">
        <f>$U$11</f>
        <v/>
      </c>
      <c r="M28" s="1594">
        <f>IF(H28="","",((VLOOKUP(INPUT!$H$8,MFM_PLANT,2,FALSE))))</f>
        <v>1003</v>
      </c>
      <c r="N28" s="362"/>
      <c r="O28" s="1604" t="s">
        <v>1189</v>
      </c>
      <c r="P28" s="1606">
        <f>R28*$P$30</f>
        <v>0</v>
      </c>
      <c r="Q28" s="357" t="e">
        <f>ROUNDUP(P28/$P$29,2)*100</f>
        <v>#N/A</v>
      </c>
      <c r="R28" s="1657">
        <f>IFERROR(IF($W$11&lt;$P$10,$W$11,$P$10-$W$10),0)</f>
        <v>0</v>
      </c>
      <c r="S28" s="358"/>
      <c r="T28" s="1604" t="s">
        <v>1189</v>
      </c>
      <c r="U28" s="1606">
        <f ca="1">W28*$U$30</f>
        <v>0</v>
      </c>
      <c r="V28" s="357" t="e">
        <f ca="1">ROUND(U28/$U$29,2)*100</f>
        <v>#N/A</v>
      </c>
      <c r="W28" s="1657">
        <f>IFERROR(IF($W$11&lt;$P$10,$W$11,$P$10-$W$10),0)</f>
        <v>0</v>
      </c>
      <c r="Y28" s="1604">
        <v>5</v>
      </c>
      <c r="Z28" s="1889">
        <v>42886</v>
      </c>
      <c r="AA28" s="1888">
        <f t="shared" si="4"/>
        <v>31</v>
      </c>
    </row>
    <row r="29" spans="1:28" ht="15" customHeight="1" x14ac:dyDescent="0.15">
      <c r="A29" s="1594">
        <f t="shared" si="3"/>
        <v>21</v>
      </c>
      <c r="B29" s="1594"/>
      <c r="C29" s="1596" t="str">
        <f t="shared" si="0"/>
        <v>F</v>
      </c>
      <c r="D29" s="1596"/>
      <c r="E29" s="1596"/>
      <c r="F29" s="1594"/>
      <c r="G29" s="1594" t="str">
        <f t="shared" si="2"/>
        <v>114429</v>
      </c>
      <c r="H29" s="1597" t="s">
        <v>440</v>
      </c>
      <c r="I29" s="1609" t="e">
        <f ca="1">$Q$16</f>
        <v>#N/A</v>
      </c>
      <c r="J29" s="1599" t="str">
        <f t="shared" si="1"/>
        <v>LOT</v>
      </c>
      <c r="K29" s="1599" t="e">
        <f ca="1">U35</f>
        <v>#N/A</v>
      </c>
      <c r="L29" s="1601" t="e">
        <f>$U$8</f>
        <v>#N/A</v>
      </c>
      <c r="M29" s="1594">
        <f>IF(H29="","",((VLOOKUP(INPUT!$H$8,MFM_PLANT,2,FALSE))))</f>
        <v>1003</v>
      </c>
      <c r="N29" s="356"/>
      <c r="O29" s="1655">
        <f>P24/FOREX</f>
        <v>136372.54901960783</v>
      </c>
      <c r="P29" s="1656" t="e">
        <f>SUM(P25:P28)</f>
        <v>#N/A</v>
      </c>
      <c r="Q29" s="357" t="e">
        <f>SUM(Q25:Q28)</f>
        <v>#N/A</v>
      </c>
      <c r="R29" s="1604"/>
      <c r="S29" s="357"/>
      <c r="T29" s="1655">
        <f ca="1">U24/FOREX</f>
        <v>123372.54901960785</v>
      </c>
      <c r="U29" s="1656" t="e">
        <f ca="1">SUM(U25:U28)</f>
        <v>#N/A</v>
      </c>
      <c r="V29" s="357" t="e">
        <f ca="1">SUM(V25:V28)</f>
        <v>#N/A</v>
      </c>
      <c r="W29" s="1604"/>
      <c r="Y29" s="1604">
        <v>6</v>
      </c>
      <c r="Z29" s="1889">
        <v>42916</v>
      </c>
      <c r="AA29" s="1888">
        <f t="shared" si="4"/>
        <v>30</v>
      </c>
    </row>
    <row r="30" spans="1:28" ht="15" customHeight="1" x14ac:dyDescent="0.15">
      <c r="A30" s="1594">
        <f t="shared" si="3"/>
        <v>22</v>
      </c>
      <c r="B30" s="1594"/>
      <c r="C30" s="1596" t="str">
        <f t="shared" si="0"/>
        <v>F</v>
      </c>
      <c r="D30" s="1596"/>
      <c r="E30" s="1596"/>
      <c r="F30" s="1594"/>
      <c r="G30" s="1594" t="str">
        <f t="shared" si="2"/>
        <v>114429</v>
      </c>
      <c r="H30" s="1597" t="s">
        <v>440</v>
      </c>
      <c r="I30" s="1609" t="e">
        <f ca="1">$Q$17</f>
        <v>#N/A</v>
      </c>
      <c r="J30" s="1599" t="str">
        <f t="shared" si="1"/>
        <v>LOT</v>
      </c>
      <c r="K30" s="1599" t="e">
        <f ca="1">U36</f>
        <v>#N/A</v>
      </c>
      <c r="L30" s="1601" t="e">
        <f>$U$9</f>
        <v>#N/A</v>
      </c>
      <c r="M30" s="1594">
        <f>IF(H30="","",((VLOOKUP(INPUT!$H$8,MFM_PLANT,2,FALSE))))</f>
        <v>1003</v>
      </c>
      <c r="N30" s="356"/>
      <c r="O30" s="1658" t="e">
        <f>P29-O29</f>
        <v>#N/A</v>
      </c>
      <c r="P30" s="1656">
        <f>(P24/$P$10)/FOREX</f>
        <v>2235.6155576984893</v>
      </c>
      <c r="Q30" s="357"/>
      <c r="R30" s="358"/>
      <c r="S30" s="357"/>
      <c r="T30" s="1658" t="e">
        <f ca="1">U29-T29</f>
        <v>#N/A</v>
      </c>
      <c r="U30" s="1656">
        <f ca="1">(U24/$P$10)/FOREX</f>
        <v>2022.5008036001284</v>
      </c>
      <c r="V30" s="357"/>
      <c r="Y30" s="1604">
        <v>7</v>
      </c>
      <c r="Z30" s="1889">
        <v>42947</v>
      </c>
      <c r="AA30" s="1888">
        <f t="shared" si="4"/>
        <v>31</v>
      </c>
    </row>
    <row r="31" spans="1:28" ht="15" customHeight="1" x14ac:dyDescent="0.15">
      <c r="A31" s="1594">
        <f t="shared" si="3"/>
        <v>23</v>
      </c>
      <c r="B31" s="1594"/>
      <c r="C31" s="1596" t="str">
        <f t="shared" si="0"/>
        <v>F</v>
      </c>
      <c r="D31" s="1596"/>
      <c r="E31" s="1596"/>
      <c r="F31" s="1594"/>
      <c r="G31" s="1594" t="str">
        <f t="shared" si="2"/>
        <v>114429</v>
      </c>
      <c r="H31" s="1597" t="s">
        <v>440</v>
      </c>
      <c r="I31" s="1609" t="e">
        <f ca="1">$Q$18</f>
        <v>#N/A</v>
      </c>
      <c r="J31" s="1599" t="str">
        <f t="shared" si="1"/>
        <v>LOT</v>
      </c>
      <c r="K31" s="1599" t="e">
        <f ca="1">U37</f>
        <v>#N/A</v>
      </c>
      <c r="L31" s="1601" t="e">
        <f>$U$10</f>
        <v>#N/A</v>
      </c>
      <c r="M31" s="1594">
        <f>IF(H31="","",((VLOOKUP(INPUT!$H$8,MFM_PLANT,2,FALSE))))</f>
        <v>1003</v>
      </c>
      <c r="N31" s="356"/>
      <c r="O31" s="1553"/>
      <c r="P31" s="1569"/>
      <c r="Q31" s="357"/>
      <c r="R31" s="1553"/>
      <c r="S31" s="1569"/>
      <c r="T31" s="357"/>
      <c r="Y31" s="1604">
        <v>8</v>
      </c>
      <c r="Z31" s="1889">
        <v>42978</v>
      </c>
      <c r="AA31" s="1888">
        <f t="shared" si="4"/>
        <v>31</v>
      </c>
    </row>
    <row r="32" spans="1:28" ht="15" customHeight="1" x14ac:dyDescent="0.15">
      <c r="A32" s="1594">
        <f t="shared" si="3"/>
        <v>24</v>
      </c>
      <c r="B32" s="1594"/>
      <c r="C32" s="1654" t="str">
        <f>IFERROR(VLOOKUP(H32,MFM_DATASOURCE,3,FALSE)," ")</f>
        <v>F</v>
      </c>
      <c r="D32" s="1654"/>
      <c r="E32" s="1654"/>
      <c r="F32" s="1594"/>
      <c r="G32" s="1594" t="str">
        <f>IFERROR(VLOOKUP(H32,MFM_DATASOURCE,7,FALSE),"")</f>
        <v>114429</v>
      </c>
      <c r="H32" s="1597" t="s">
        <v>440</v>
      </c>
      <c r="I32" s="1609" t="e">
        <f ca="1">$Q$19</f>
        <v>#N/A</v>
      </c>
      <c r="J32" s="1599" t="str">
        <f>IFERROR(VLOOKUP(H32,MFM_DATASOURCE,9,FALSE),"")</f>
        <v>LOT</v>
      </c>
      <c r="K32" s="1599" t="e">
        <f ca="1">U38</f>
        <v>#N/A</v>
      </c>
      <c r="L32" s="1601" t="str">
        <f>$U$11</f>
        <v/>
      </c>
      <c r="M32" s="1594">
        <f>IF(H32="","",((VLOOKUP(INPUT!$H$8,MFM_PLANT,2,FALSE))))</f>
        <v>1003</v>
      </c>
      <c r="N32" s="356"/>
      <c r="O32" s="1553"/>
      <c r="P32" s="1569"/>
      <c r="Q32" s="357"/>
      <c r="R32" s="1553"/>
      <c r="S32" s="1569"/>
      <c r="T32" s="357"/>
      <c r="Y32" s="1604">
        <v>9</v>
      </c>
      <c r="Z32" s="1889">
        <v>43008</v>
      </c>
      <c r="AA32" s="1888">
        <f t="shared" si="4"/>
        <v>30</v>
      </c>
    </row>
    <row r="33" spans="1:27" ht="15" customHeight="1" x14ac:dyDescent="0.15">
      <c r="A33" s="1594">
        <f t="shared" si="3"/>
        <v>25</v>
      </c>
      <c r="B33" s="1594"/>
      <c r="C33" s="1596" t="str">
        <f>IFERROR(VLOOKUP(H33,MFM_DATASOURCE,3,FALSE)," ")</f>
        <v>F</v>
      </c>
      <c r="D33" s="1596"/>
      <c r="E33" s="1596"/>
      <c r="F33" s="1594"/>
      <c r="G33" s="1594" t="str">
        <f>IFERROR(VLOOKUP(H33,MFM_DATASOURCE,7,FALSE),"")</f>
        <v>114468</v>
      </c>
      <c r="H33" s="1597" t="s">
        <v>863</v>
      </c>
      <c r="I33" s="1609" t="e">
        <f ca="1">$Q$16</f>
        <v>#N/A</v>
      </c>
      <c r="J33" s="1599" t="str">
        <f t="shared" si="1"/>
        <v>LOT</v>
      </c>
      <c r="K33" s="1599" t="e">
        <f ca="1">Z16</f>
        <v>#N/A</v>
      </c>
      <c r="L33" s="1601" t="e">
        <f>$U$8</f>
        <v>#N/A</v>
      </c>
      <c r="M33" s="1594">
        <f>IF(H33="","",((VLOOKUP(INPUT!$H$8,MFM_PLANT,2,FALSE))))</f>
        <v>1003</v>
      </c>
      <c r="N33" s="356"/>
      <c r="O33" s="1610" t="str">
        <f>'COVER SHEET'!B30</f>
        <v>Directional Drilling Services (with PWD)</v>
      </c>
      <c r="P33" s="358"/>
      <c r="Q33" s="357"/>
      <c r="R33" s="1610"/>
      <c r="S33" s="1567"/>
      <c r="T33" s="1610" t="str">
        <f>'COVER SHEET'!B29</f>
        <v>Cementing Services</v>
      </c>
      <c r="V33" s="357"/>
      <c r="W33" s="1610"/>
      <c r="Y33" s="1604">
        <v>10</v>
      </c>
      <c r="Z33" s="1889">
        <v>43039</v>
      </c>
      <c r="AA33" s="1888">
        <f t="shared" si="4"/>
        <v>31</v>
      </c>
    </row>
    <row r="34" spans="1:27" ht="15" customHeight="1" x14ac:dyDescent="0.15">
      <c r="A34" s="1594">
        <f t="shared" si="3"/>
        <v>26</v>
      </c>
      <c r="B34" s="1594"/>
      <c r="C34" s="1596" t="str">
        <f>IFERROR(VLOOKUP(H34,MFM_DATASOURCE,3,FALSE)," ")</f>
        <v>F</v>
      </c>
      <c r="D34" s="1596"/>
      <c r="E34" s="1596"/>
      <c r="F34" s="1594"/>
      <c r="G34" s="1594" t="str">
        <f>IFERROR(VLOOKUP(H34,MFM_DATASOURCE,7,FALSE),"")</f>
        <v>114468</v>
      </c>
      <c r="H34" s="1597" t="s">
        <v>863</v>
      </c>
      <c r="I34" s="1609" t="e">
        <f ca="1">$Q$17</f>
        <v>#N/A</v>
      </c>
      <c r="J34" s="1599" t="str">
        <f t="shared" si="1"/>
        <v>LOT</v>
      </c>
      <c r="K34" s="1599" t="e">
        <f ca="1">Z17</f>
        <v>#N/A</v>
      </c>
      <c r="L34" s="1601" t="e">
        <f>$U$9</f>
        <v>#N/A</v>
      </c>
      <c r="M34" s="1594">
        <f>IF(H34="","",((VLOOKUP(INPUT!$H$8,MFM_PLANT,2,FALSE))))</f>
        <v>1003</v>
      </c>
      <c r="N34" s="356"/>
      <c r="O34" s="1604" t="s">
        <v>1167</v>
      </c>
      <c r="P34" s="1606">
        <f ca="1">INDEX('COVER SHEET'!$H$20:$H$42,MATCH($O$33,'COVER SHEET'!$B$20:$B$42,0))</f>
        <v>23804000</v>
      </c>
      <c r="Q34" s="357"/>
      <c r="R34" s="1604" t="s">
        <v>1190</v>
      </c>
      <c r="S34" s="1608"/>
      <c r="T34" s="1604" t="s">
        <v>1167</v>
      </c>
      <c r="U34" s="1606">
        <f ca="1">INDEX('COVER SHEET'!$H$20:$H$42,MATCH($T$33,'COVER SHEET'!$B$20:$B$42,0))</f>
        <v>6363000</v>
      </c>
      <c r="V34" s="357"/>
      <c r="W34" s="1604" t="s">
        <v>1190</v>
      </c>
      <c r="Y34" s="1604">
        <v>11</v>
      </c>
      <c r="Z34" s="1889">
        <v>43069</v>
      </c>
      <c r="AA34" s="1888">
        <f t="shared" si="4"/>
        <v>30</v>
      </c>
    </row>
    <row r="35" spans="1:27" ht="15" customHeight="1" x14ac:dyDescent="0.15">
      <c r="A35" s="1594">
        <f t="shared" si="3"/>
        <v>27</v>
      </c>
      <c r="B35" s="1594"/>
      <c r="C35" s="1654" t="str">
        <f>IFERROR(VLOOKUP(H35,MFM_DATASOURCE,3,FALSE)," ")</f>
        <v>F</v>
      </c>
      <c r="D35" s="1654"/>
      <c r="E35" s="1654"/>
      <c r="F35" s="1594"/>
      <c r="G35" s="1594" t="str">
        <f>IFERROR(VLOOKUP(H35,MFM_DATASOURCE,7,FALSE),"")</f>
        <v>114468</v>
      </c>
      <c r="H35" s="1597" t="s">
        <v>863</v>
      </c>
      <c r="I35" s="1609" t="e">
        <f ca="1">$Q$18</f>
        <v>#N/A</v>
      </c>
      <c r="J35" s="1599" t="str">
        <f>IFERROR(VLOOKUP(H35,MFM_DATASOURCE,9,FALSE),"")</f>
        <v>LOT</v>
      </c>
      <c r="K35" s="1599" t="e">
        <f ca="1">Z18</f>
        <v>#N/A</v>
      </c>
      <c r="L35" s="1601" t="e">
        <f>$U$10</f>
        <v>#N/A</v>
      </c>
      <c r="M35" s="1594">
        <f>IF(H35="","",((VLOOKUP(INPUT!$H$8,MFM_PLANT,2,FALSE))))</f>
        <v>1003</v>
      </c>
      <c r="N35" s="356"/>
      <c r="O35" s="1604"/>
      <c r="P35" s="1606"/>
      <c r="Q35" s="357"/>
      <c r="R35" s="1604"/>
      <c r="S35" s="1608"/>
      <c r="T35" s="1604" t="s">
        <v>1186</v>
      </c>
      <c r="U35" s="1606" t="e">
        <f ca="1">W35*$U$40</f>
        <v>#N/A</v>
      </c>
      <c r="V35" s="357" t="e">
        <f ca="1">ROUND(U35/$U$39,2)*100</f>
        <v>#N/A</v>
      </c>
      <c r="W35" s="1657" t="e">
        <f>$V$8</f>
        <v>#N/A</v>
      </c>
      <c r="Y35" s="1604">
        <v>12</v>
      </c>
      <c r="Z35" s="1889">
        <v>43100</v>
      </c>
      <c r="AA35" s="1888">
        <f t="shared" si="4"/>
        <v>31</v>
      </c>
    </row>
    <row r="36" spans="1:27" ht="15" customHeight="1" x14ac:dyDescent="0.15">
      <c r="A36" s="1594">
        <f t="shared" si="3"/>
        <v>28</v>
      </c>
      <c r="B36" s="1594"/>
      <c r="C36" s="1846" t="str">
        <f t="shared" ref="C36:C37" si="5">IFERROR(VLOOKUP(H36,MFM_DATASOURCE,3,FALSE)," ")</f>
        <v>F</v>
      </c>
      <c r="D36" s="1846"/>
      <c r="E36" s="1846"/>
      <c r="F36" s="1594"/>
      <c r="G36" s="1594" t="str">
        <f t="shared" ref="G36" si="6">IFERROR(VLOOKUP(H36,MFM_DATASOURCE,7,FALSE),"")</f>
        <v>114468</v>
      </c>
      <c r="H36" s="1597" t="s">
        <v>863</v>
      </c>
      <c r="I36" s="1609" t="e">
        <f ca="1">$Q$19</f>
        <v>#N/A</v>
      </c>
      <c r="J36" s="1599" t="str">
        <f t="shared" ref="J36" si="7">IFERROR(VLOOKUP(H36,MFM_DATASOURCE,9,FALSE),"")</f>
        <v>LOT</v>
      </c>
      <c r="K36" s="1599">
        <f ca="1">Z19</f>
        <v>0</v>
      </c>
      <c r="L36" s="1601" t="str">
        <f>$U$11</f>
        <v/>
      </c>
      <c r="M36" s="1594">
        <f>IF(H36="","",((VLOOKUP(INPUT!$H$8,MFM_PLANT,2,FALSE))))</f>
        <v>1003</v>
      </c>
      <c r="N36" s="356"/>
      <c r="O36" s="1604" t="s">
        <v>1186</v>
      </c>
      <c r="P36" s="1606" t="e">
        <f ca="1">R36*$P$41</f>
        <v>#N/A</v>
      </c>
      <c r="Q36" s="357" t="e">
        <f ca="1">ROUND(P36/$P$40,2)*100</f>
        <v>#N/A</v>
      </c>
      <c r="R36" s="1657" t="e">
        <f>$V$8</f>
        <v>#N/A</v>
      </c>
      <c r="S36" s="358"/>
      <c r="T36" s="1604" t="s">
        <v>1187</v>
      </c>
      <c r="U36" s="1606" t="e">
        <f ca="1">W36*$U$40</f>
        <v>#N/A</v>
      </c>
      <c r="V36" s="357" t="e">
        <f ca="1">ROUND(U36/$U$39,2)*100</f>
        <v>#N/A</v>
      </c>
      <c r="W36" s="1657" t="e">
        <f>$V$9</f>
        <v>#N/A</v>
      </c>
    </row>
    <row r="37" spans="1:27" ht="15" x14ac:dyDescent="0.15">
      <c r="A37" s="1594">
        <f t="shared" si="3"/>
        <v>29</v>
      </c>
      <c r="B37" s="1594"/>
      <c r="C37" s="1846" t="str">
        <f t="shared" si="5"/>
        <v>F</v>
      </c>
      <c r="D37" s="1846"/>
      <c r="E37" s="1846"/>
      <c r="F37" s="1846" t="s">
        <v>1172</v>
      </c>
      <c r="G37" s="1594" t="str">
        <f t="shared" ref="G37:G38" si="8">IFERROR(VLOOKUP(H37,MFM_DATASOURCE_VMI,7,FALSE),"")</f>
        <v>114454</v>
      </c>
      <c r="H37" s="1597" t="s">
        <v>438</v>
      </c>
      <c r="I37" s="1609">
        <v>100</v>
      </c>
      <c r="J37" s="1599" t="str">
        <f t="shared" si="1"/>
        <v>LOT</v>
      </c>
      <c r="K37" s="1599">
        <f>'COVER SHEET'!$H$22/FOREX</f>
        <v>59156.862745098042</v>
      </c>
      <c r="L37" s="1601" t="str">
        <f>L36</f>
        <v/>
      </c>
      <c r="M37" s="1594">
        <f>IF(H37="","",((VLOOKUP(INPUT!$H$8,MFM_PLANT,2,FALSE))))</f>
        <v>1003</v>
      </c>
      <c r="N37" s="356"/>
      <c r="O37" s="1604" t="s">
        <v>1187</v>
      </c>
      <c r="P37" s="1606" t="e">
        <f ca="1">R37*$P$41</f>
        <v>#N/A</v>
      </c>
      <c r="Q37" s="357" t="e">
        <f ca="1">ROUND(P37/$P$40,2)*100</f>
        <v>#N/A</v>
      </c>
      <c r="R37" s="1657" t="e">
        <f>$V$9</f>
        <v>#N/A</v>
      </c>
      <c r="S37" s="357"/>
      <c r="T37" s="1604" t="s">
        <v>1188</v>
      </c>
      <c r="U37" s="1606" t="e">
        <f ca="1">W37*$U$40</f>
        <v>#N/A</v>
      </c>
      <c r="V37" s="357" t="e">
        <f ca="1">ROUND(U37/$U$39,2)*100</f>
        <v>#N/A</v>
      </c>
      <c r="W37" s="1657" t="e">
        <f>IF($W$10&lt;$P$10,$V$10,0)</f>
        <v>#N/A</v>
      </c>
    </row>
    <row r="38" spans="1:27" ht="15" x14ac:dyDescent="0.15">
      <c r="A38" s="1594">
        <f t="shared" si="3"/>
        <v>30</v>
      </c>
      <c r="B38" s="1594"/>
      <c r="C38" s="1596" t="str">
        <f t="shared" si="0"/>
        <v>F</v>
      </c>
      <c r="D38" s="1596"/>
      <c r="E38" s="1846"/>
      <c r="F38" s="1846" t="s">
        <v>1172</v>
      </c>
      <c r="G38" s="1594" t="str">
        <f t="shared" si="8"/>
        <v>114455</v>
      </c>
      <c r="H38" s="1597" t="s">
        <v>440</v>
      </c>
      <c r="I38" s="1609">
        <v>100</v>
      </c>
      <c r="J38" s="1599" t="str">
        <f t="shared" si="1"/>
        <v>LOT</v>
      </c>
      <c r="K38" s="1599">
        <f>'COVER SHEET'!$H$23/FOREX</f>
        <v>315274.50980392157</v>
      </c>
      <c r="L38" s="1601" t="str">
        <f>$U$11</f>
        <v/>
      </c>
      <c r="M38" s="1594">
        <f>IF(H38="","",((VLOOKUP(INPUT!$H$8,MFM_PLANT,2,FALSE))))</f>
        <v>1003</v>
      </c>
      <c r="N38" s="356"/>
      <c r="O38" s="1604" t="s">
        <v>1188</v>
      </c>
      <c r="P38" s="1606" t="e">
        <f ca="1">R38*$P$41</f>
        <v>#N/A</v>
      </c>
      <c r="Q38" s="357" t="e">
        <f ca="1">ROUND(P38/$P$40,2)*100</f>
        <v>#N/A</v>
      </c>
      <c r="R38" s="1657" t="e">
        <f>IF($W$10&lt;$P$10,$V$10,0)</f>
        <v>#N/A</v>
      </c>
      <c r="S38" s="357"/>
      <c r="T38" s="1604" t="s">
        <v>1189</v>
      </c>
      <c r="U38" s="1606" t="e">
        <f ca="1">W38*$U$40</f>
        <v>#N/A</v>
      </c>
      <c r="V38" s="357" t="e">
        <f ca="1">ROUND(U38/$U$39,2)*100</f>
        <v>#N/A</v>
      </c>
      <c r="W38" s="1657" t="e">
        <f>IF($W$11&lt;$P$10,$W$11,$P$10-$W$10)</f>
        <v>#N/A</v>
      </c>
    </row>
    <row r="39" spans="1:27" ht="12" customHeight="1" x14ac:dyDescent="0.15">
      <c r="A39" s="1558"/>
      <c r="B39" s="1559"/>
      <c r="C39" s="1559"/>
      <c r="D39" s="1559"/>
      <c r="E39" s="1559"/>
      <c r="F39" s="1559"/>
      <c r="G39" s="1559"/>
      <c r="H39" s="1559"/>
      <c r="I39" s="1559"/>
      <c r="J39" s="1559"/>
      <c r="K39" s="1559"/>
      <c r="L39" s="1601"/>
      <c r="M39" s="1560"/>
      <c r="N39" s="356"/>
      <c r="O39" s="1604" t="s">
        <v>1189</v>
      </c>
      <c r="P39" s="1606" t="e">
        <f ca="1">R39*$P$41</f>
        <v>#N/A</v>
      </c>
      <c r="Q39" s="357" t="e">
        <f ca="1">ROUND(P39/$P$40,2)*100</f>
        <v>#N/A</v>
      </c>
      <c r="R39" s="1657" t="e">
        <f>IF($W$11&lt;$P$10,$W$11,$P$10-$W$10)</f>
        <v>#N/A</v>
      </c>
      <c r="S39" s="1569"/>
      <c r="T39" s="1655">
        <f ca="1">U34/FOREX</f>
        <v>124764.70588235294</v>
      </c>
      <c r="U39" s="1656" t="e">
        <f ca="1">SUM(U35:U38)</f>
        <v>#N/A</v>
      </c>
      <c r="V39" s="357" t="e">
        <f ca="1">SUM(V35:V38)</f>
        <v>#N/A</v>
      </c>
      <c r="W39" s="1604"/>
    </row>
    <row r="40" spans="1:27" ht="12" customHeight="1" x14ac:dyDescent="0.15">
      <c r="A40" s="2282" t="s">
        <v>441</v>
      </c>
      <c r="B40" s="2282"/>
      <c r="C40" s="2282"/>
      <c r="D40" s="2282"/>
      <c r="E40" s="2282"/>
      <c r="F40" s="2282"/>
      <c r="G40" s="2282"/>
      <c r="H40" s="2282"/>
      <c r="I40" s="2282"/>
      <c r="J40" s="2282"/>
      <c r="K40" s="2282"/>
      <c r="L40" s="2282"/>
      <c r="M40" s="2282"/>
      <c r="N40" s="356"/>
      <c r="O40" s="1655">
        <f ca="1">P34/FOREX</f>
        <v>466745.09803921566</v>
      </c>
      <c r="P40" s="1656" t="e">
        <f ca="1">SUM(P36:P39)</f>
        <v>#N/A</v>
      </c>
      <c r="Q40" s="357" t="e">
        <f ca="1">SUM(Q36:Q39)</f>
        <v>#N/A</v>
      </c>
      <c r="R40" s="1604"/>
      <c r="S40" s="1567"/>
      <c r="T40" s="1658" t="e">
        <f ca="1">U39-T39</f>
        <v>#N/A</v>
      </c>
      <c r="U40" s="1656">
        <f ca="1">(U34/$P$10)/FOREX</f>
        <v>2045.3230472516877</v>
      </c>
      <c r="V40" s="357"/>
    </row>
    <row r="41" spans="1:27" ht="15" x14ac:dyDescent="0.15">
      <c r="A41" s="1899" t="str">
        <f>CONCATENATE("All these services have long-term contract."," ","Rig Mob Date","- ",TEXT(P8,"mmmm d, yyyy"))</f>
        <v>All these services have long-term contract. Rig Mob Date- March 1, 2018</v>
      </c>
      <c r="B41" s="1900"/>
      <c r="C41" s="1900"/>
      <c r="D41" s="1900"/>
      <c r="E41" s="1900"/>
      <c r="F41" s="1900"/>
      <c r="G41" s="1900"/>
      <c r="H41" s="1900"/>
      <c r="I41" s="1900"/>
      <c r="J41" s="1900"/>
      <c r="K41" s="1900"/>
      <c r="L41" s="1900"/>
      <c r="M41" s="1901"/>
      <c r="N41" s="356"/>
      <c r="O41" s="1658" t="e">
        <f ca="1">P40-O40</f>
        <v>#N/A</v>
      </c>
      <c r="P41" s="1656">
        <f ca="1">(P34/$P$10)/FOREX</f>
        <v>7651.5589842494373</v>
      </c>
      <c r="Q41" s="357"/>
      <c r="R41" s="358"/>
      <c r="S41" s="1608"/>
      <c r="T41" s="357"/>
    </row>
    <row r="42" spans="1:27" ht="15" x14ac:dyDescent="0.15">
      <c r="A42" s="1902" t="str">
        <f>'PR Template (PHP)'!A27:M27</f>
        <v>Estimated Rig Release:April 30, 2018</v>
      </c>
      <c r="B42" s="1903"/>
      <c r="C42" s="1903"/>
      <c r="D42" s="1903"/>
      <c r="E42" s="1903"/>
      <c r="F42" s="1903"/>
      <c r="G42" s="1903"/>
      <c r="H42" s="1903"/>
      <c r="I42" s="1903"/>
      <c r="J42" s="1903"/>
      <c r="K42" s="1903"/>
      <c r="L42" s="1903"/>
      <c r="M42" s="1904"/>
      <c r="N42" s="356"/>
      <c r="O42" s="1604"/>
      <c r="P42" s="1604"/>
      <c r="Q42" s="357"/>
      <c r="R42" s="1604"/>
      <c r="S42" s="1604"/>
      <c r="T42" s="357"/>
    </row>
    <row r="43" spans="1:27" ht="15" x14ac:dyDescent="0.15">
      <c r="A43" s="1905"/>
      <c r="B43" s="1906"/>
      <c r="C43" s="1906"/>
      <c r="D43" s="1906"/>
      <c r="E43" s="1906"/>
      <c r="F43" s="1906"/>
      <c r="G43" s="1906"/>
      <c r="H43" s="1906"/>
      <c r="I43" s="1906"/>
      <c r="J43" s="1906"/>
      <c r="K43" s="1906"/>
      <c r="L43" s="1906"/>
      <c r="M43" s="1907"/>
      <c r="N43" s="356"/>
      <c r="O43" s="1567"/>
      <c r="P43" s="1592"/>
      <c r="Q43" s="357"/>
      <c r="R43" s="357"/>
      <c r="S43" s="1592"/>
      <c r="T43" s="357"/>
    </row>
    <row r="44" spans="1:27" ht="15" x14ac:dyDescent="0.15">
      <c r="A44" s="1570" t="s">
        <v>442</v>
      </c>
      <c r="B44" s="1570"/>
      <c r="C44" s="2280"/>
      <c r="D44" s="2280"/>
      <c r="E44" s="2280"/>
      <c r="F44" s="1571"/>
      <c r="G44" s="1572"/>
      <c r="H44" s="1573"/>
      <c r="I44" s="1574"/>
      <c r="J44" s="1574"/>
      <c r="K44" s="1574"/>
      <c r="L44" s="1574"/>
      <c r="M44" s="1575"/>
      <c r="N44" s="356"/>
      <c r="Q44" s="357"/>
      <c r="R44" s="357"/>
      <c r="S44" s="357"/>
      <c r="T44" s="357"/>
    </row>
    <row r="45" spans="1:27" ht="15" x14ac:dyDescent="0.15">
      <c r="A45" s="1570" t="s">
        <v>443</v>
      </c>
      <c r="B45" s="1570"/>
      <c r="C45" s="2278"/>
      <c r="D45" s="2278"/>
      <c r="E45" s="2278"/>
      <c r="F45" s="1576"/>
      <c r="G45" s="1577"/>
      <c r="H45" s="1578"/>
      <c r="I45" s="1579"/>
      <c r="J45" s="1579"/>
      <c r="K45" s="1579"/>
      <c r="L45" s="1579"/>
      <c r="M45" s="1580"/>
      <c r="N45" s="356"/>
      <c r="Q45" s="357"/>
      <c r="R45" s="357"/>
      <c r="S45" s="357"/>
      <c r="T45" s="357"/>
    </row>
    <row r="46" spans="1:27" ht="15" x14ac:dyDescent="0.15">
      <c r="A46" s="1570" t="s">
        <v>444</v>
      </c>
      <c r="B46" s="1570"/>
      <c r="C46" s="2278"/>
      <c r="D46" s="2278"/>
      <c r="E46" s="2278"/>
      <c r="F46" s="1581"/>
      <c r="M46" s="1583"/>
      <c r="N46" s="356"/>
      <c r="Q46" s="357"/>
      <c r="R46" s="357"/>
      <c r="S46" s="357"/>
      <c r="T46" s="357"/>
    </row>
    <row r="47" spans="1:27" ht="15" x14ac:dyDescent="0.15">
      <c r="A47" s="1558"/>
      <c r="B47" s="1559"/>
      <c r="C47" s="1559"/>
      <c r="D47" s="1559"/>
      <c r="E47" s="1559"/>
      <c r="F47" s="1584"/>
      <c r="G47" s="1584"/>
      <c r="H47" s="1584"/>
      <c r="I47" s="1584"/>
      <c r="J47" s="1584"/>
      <c r="K47" s="1584"/>
      <c r="L47" s="1584"/>
      <c r="M47" s="1585"/>
      <c r="N47" s="356"/>
      <c r="Q47" s="357"/>
      <c r="R47" s="357"/>
      <c r="S47" s="357"/>
      <c r="T47" s="357"/>
    </row>
    <row r="48" spans="1:27" ht="15" x14ac:dyDescent="0.15">
      <c r="A48" s="2279" t="s">
        <v>445</v>
      </c>
      <c r="B48" s="2279"/>
      <c r="C48" s="2279"/>
      <c r="D48" s="2279"/>
      <c r="E48" s="2279"/>
      <c r="F48" s="2279"/>
      <c r="G48" s="2279"/>
      <c r="H48" s="2279" t="s">
        <v>446</v>
      </c>
      <c r="I48" s="2279"/>
      <c r="J48" s="2279"/>
      <c r="K48" s="2279"/>
      <c r="L48" s="2279"/>
      <c r="M48" s="2279"/>
      <c r="N48" s="356"/>
      <c r="Q48" s="357"/>
      <c r="R48" s="357"/>
      <c r="S48" s="357"/>
      <c r="T48" s="357"/>
    </row>
    <row r="49" spans="1:20" ht="24" customHeight="1" x14ac:dyDescent="0.15">
      <c r="A49" s="1586"/>
      <c r="B49" s="1587"/>
      <c r="C49" s="1587"/>
      <c r="D49" s="1587"/>
      <c r="E49" s="1587"/>
      <c r="F49" s="1587"/>
      <c r="G49" s="1588"/>
      <c r="H49" s="1586"/>
      <c r="I49" s="1587"/>
      <c r="J49" s="1587"/>
      <c r="K49" s="1587"/>
      <c r="L49" s="1587"/>
      <c r="M49" s="1588"/>
      <c r="N49" s="356"/>
      <c r="Q49" s="357"/>
      <c r="R49" s="357"/>
      <c r="S49" s="357"/>
      <c r="T49" s="357"/>
    </row>
    <row r="50" spans="1:20" ht="15" x14ac:dyDescent="0.15">
      <c r="A50" s="1589"/>
      <c r="B50" s="1590"/>
      <c r="C50" s="1590"/>
      <c r="D50" s="1590"/>
      <c r="E50" s="1590"/>
      <c r="F50" s="1590"/>
      <c r="G50" s="1591"/>
      <c r="H50" s="1589"/>
      <c r="I50" s="1590"/>
      <c r="J50" s="1590"/>
      <c r="K50" s="1590"/>
      <c r="L50" s="1590"/>
      <c r="M50" s="1591"/>
      <c r="N50" s="356"/>
      <c r="Q50" s="357"/>
      <c r="R50" s="357"/>
      <c r="S50" s="357"/>
      <c r="T50" s="357"/>
    </row>
    <row r="51" spans="1:20" ht="11.25" customHeight="1" x14ac:dyDescent="0.15">
      <c r="A51" s="2272" t="str">
        <f>CONCATENATE(INPUT!$D$35, "/", " ","MU REGUIS")</f>
        <v>MF MISSION/ MU REGUIS</v>
      </c>
      <c r="B51" s="2273"/>
      <c r="C51" s="2273"/>
      <c r="D51" s="2273"/>
      <c r="E51" s="2273"/>
      <c r="F51" s="2273"/>
      <c r="G51" s="2274"/>
      <c r="H51" s="2272" t="s">
        <v>1165</v>
      </c>
      <c r="I51" s="2273"/>
      <c r="J51" s="2273"/>
      <c r="K51" s="2273"/>
      <c r="L51" s="2273"/>
      <c r="M51" s="2274"/>
    </row>
  </sheetData>
  <mergeCells count="19">
    <mergeCell ref="C45:E45"/>
    <mergeCell ref="C46:E46"/>
    <mergeCell ref="A48:G48"/>
    <mergeCell ref="H48:M48"/>
    <mergeCell ref="A51:G51"/>
    <mergeCell ref="H51:M51"/>
    <mergeCell ref="C44:E44"/>
    <mergeCell ref="A1:M1"/>
    <mergeCell ref="A3:B3"/>
    <mergeCell ref="C3:D3"/>
    <mergeCell ref="I3:K3"/>
    <mergeCell ref="L3:M3"/>
    <mergeCell ref="B5:G5"/>
    <mergeCell ref="I5:K5"/>
    <mergeCell ref="L5:M5"/>
    <mergeCell ref="B6:G6"/>
    <mergeCell ref="I6:K6"/>
    <mergeCell ref="L6:M6"/>
    <mergeCell ref="A40:M40"/>
  </mergeCells>
  <conditionalFormatting sqref="K9:K38">
    <cfRule type="cellIs" dxfId="28" priority="10" operator="equal">
      <formula>0</formula>
    </cfRule>
  </conditionalFormatting>
  <conditionalFormatting sqref="O21">
    <cfRule type="cellIs" dxfId="27" priority="3" operator="greaterThan">
      <formula>$O$20</formula>
    </cfRule>
    <cfRule type="cellIs" dxfId="26" priority="2" operator="greaterThan">
      <formula>"&gt;1"</formula>
    </cfRule>
    <cfRule type="cellIs" dxfId="25" priority="1" operator="greaterThan">
      <formula>"&gt;1"</formula>
    </cfRule>
  </conditionalFormatting>
  <dataValidations count="2">
    <dataValidation type="list" allowBlank="1" showInputMessage="1" showErrorMessage="1" sqref="H9:H36 H39">
      <formula1>MFM_PRLIST</formula1>
    </dataValidation>
    <dataValidation type="list" allowBlank="1" showInputMessage="1" showErrorMessage="1" sqref="H37:H38">
      <formula1>PRlist_VMI</formula1>
    </dataValidation>
  </dataValidations>
  <pageMargins left="0.70866141732283472" right="0.70866141732283472" top="0.35433070866141736" bottom="0.23622047244094491" header="0.31496062992125984" footer="0.19685039370078741"/>
  <pageSetup paperSize="9" scale="75" orientation="landscape"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enableFormatConditionsCalculation="0">
    <tabColor rgb="FFFF0000"/>
    <pageSetUpPr fitToPage="1"/>
  </sheetPr>
  <dimension ref="A1:BC118"/>
  <sheetViews>
    <sheetView view="pageBreakPreview" topLeftCell="A6" zoomScale="80" zoomScaleNormal="80" zoomScaleSheetLayoutView="80" workbookViewId="0">
      <pane xSplit="1" ySplit="3" topLeftCell="B9" activePane="bottomRight" state="frozen"/>
      <selection activeCell="H13" sqref="H13:I13"/>
      <selection pane="topRight" activeCell="H13" sqref="H13:I13"/>
      <selection pane="bottomLeft" activeCell="H13" sqref="H13:I13"/>
      <selection pane="bottomRight" activeCell="A55" sqref="A55"/>
    </sheetView>
  </sheetViews>
  <sheetFormatPr baseColWidth="10" defaultColWidth="9.83203125" defaultRowHeight="12.75" customHeight="1" x14ac:dyDescent="0.15"/>
  <cols>
    <col min="1" max="1" width="40.5" style="355" bestFit="1" customWidth="1"/>
    <col min="2" max="2" width="36.33203125" style="355" customWidth="1"/>
    <col min="3" max="3" width="21.1640625" style="355" customWidth="1"/>
    <col min="4" max="4" width="20.6640625" style="355" customWidth="1"/>
    <col min="5" max="6" width="13.83203125" style="355" customWidth="1"/>
    <col min="7" max="7" width="9.83203125" style="355" customWidth="1"/>
    <col min="8" max="8" width="11.33203125" style="355" customWidth="1"/>
    <col min="9" max="9" width="9.83203125" style="355" customWidth="1"/>
    <col min="10" max="10" width="39.33203125" style="355" bestFit="1" customWidth="1"/>
    <col min="11" max="11" width="25.1640625" style="355" hidden="1" customWidth="1"/>
    <col min="12" max="13" width="22.1640625" style="355" hidden="1" customWidth="1"/>
    <col min="14" max="14" width="20.5" style="355" hidden="1" customWidth="1"/>
    <col min="15" max="15" width="16.1640625" style="355" customWidth="1"/>
    <col min="16" max="16" width="13.5" style="355" customWidth="1"/>
    <col min="17" max="17" width="7.83203125" style="355" customWidth="1"/>
    <col min="18" max="18" width="17.33203125" style="355" bestFit="1" customWidth="1"/>
    <col min="19" max="19" width="18.5" style="355" bestFit="1" customWidth="1"/>
    <col min="20" max="20" width="18" style="355" customWidth="1"/>
    <col min="21" max="21" width="18.83203125" style="355" customWidth="1"/>
    <col min="22" max="22" width="9.83203125" style="355" customWidth="1"/>
    <col min="23" max="23" width="9.83203125" style="355" hidden="1" customWidth="1"/>
    <col min="24" max="24" width="15.1640625" style="355" hidden="1" customWidth="1"/>
    <col min="25" max="25" width="16.33203125" style="355" hidden="1" customWidth="1"/>
    <col min="26" max="26" width="9.83203125" style="355" hidden="1" customWidth="1"/>
    <col min="27" max="27" width="37" style="355" hidden="1" customWidth="1"/>
    <col min="28" max="30" width="15.6640625" style="355" hidden="1" customWidth="1"/>
    <col min="31" max="31" width="9.33203125" style="355" hidden="1" customWidth="1"/>
    <col min="32" max="32" width="58.5" style="355" hidden="1" customWidth="1"/>
    <col min="33" max="35" width="13.83203125" style="355" hidden="1" customWidth="1"/>
    <col min="36" max="43" width="0" style="355" hidden="1" customWidth="1"/>
    <col min="44" max="44" width="10.83203125" style="355" hidden="1" customWidth="1"/>
    <col min="45" max="45" width="10.5" style="355" bestFit="1" customWidth="1"/>
    <col min="46" max="46" width="9.5" style="355" customWidth="1"/>
    <col min="47" max="47" width="97.83203125" style="355" customWidth="1"/>
    <col min="48" max="48" width="9.83203125" style="355"/>
    <col min="49" max="51" width="9.83203125" style="355" customWidth="1"/>
    <col min="52" max="52" width="24.33203125" style="355" customWidth="1"/>
    <col min="53" max="53" width="13.5" style="355" bestFit="1" customWidth="1"/>
    <col min="54" max="54" width="12.5" style="355" bestFit="1" customWidth="1"/>
    <col min="55" max="16384" width="9.83203125" style="355"/>
  </cols>
  <sheetData>
    <row r="1" spans="1:55" ht="12.75" customHeight="1" x14ac:dyDescent="0.15">
      <c r="B1" s="365"/>
      <c r="D1" s="365"/>
    </row>
    <row r="2" spans="1:55" ht="18" x14ac:dyDescent="0.15">
      <c r="A2" s="366"/>
      <c r="B2" s="367"/>
      <c r="C2" s="367"/>
      <c r="D2" s="367"/>
      <c r="E2" s="367"/>
      <c r="F2" s="367"/>
      <c r="G2" s="368"/>
      <c r="H2" s="368"/>
      <c r="I2" s="367"/>
      <c r="J2" s="367"/>
      <c r="K2" s="369"/>
      <c r="L2" s="367"/>
      <c r="M2" s="367"/>
      <c r="AF2" s="757"/>
    </row>
    <row r="3" spans="1:55" ht="18" x14ac:dyDescent="0.15">
      <c r="A3" s="366"/>
      <c r="B3" s="367"/>
      <c r="C3" s="367"/>
      <c r="D3" s="367"/>
      <c r="E3" s="367"/>
      <c r="F3" s="367"/>
      <c r="G3" s="367"/>
      <c r="H3" s="367"/>
      <c r="I3" s="367"/>
      <c r="J3" s="367"/>
      <c r="K3" s="369"/>
      <c r="L3" s="370"/>
      <c r="M3" s="367"/>
      <c r="R3" s="758"/>
      <c r="S3" s="371"/>
      <c r="T3" s="371"/>
      <c r="U3" s="371"/>
      <c r="AC3" s="371"/>
      <c r="AD3" s="371"/>
      <c r="AF3" s="759"/>
    </row>
    <row r="4" spans="1:55" ht="18" x14ac:dyDescent="0.2">
      <c r="A4" s="372"/>
      <c r="B4" s="372"/>
      <c r="C4" s="372"/>
      <c r="D4" s="372"/>
      <c r="E4" s="372"/>
      <c r="F4" s="372"/>
      <c r="G4" s="372"/>
      <c r="H4" s="372"/>
      <c r="I4" s="372"/>
      <c r="J4" s="372"/>
      <c r="K4" s="372"/>
      <c r="L4" s="372"/>
      <c r="M4" s="372"/>
      <c r="S4" s="758"/>
      <c r="AC4" s="371"/>
      <c r="AD4" s="758"/>
    </row>
    <row r="5" spans="1:55" ht="13" x14ac:dyDescent="0.15">
      <c r="A5" s="373">
        <v>1</v>
      </c>
      <c r="B5" s="373">
        <v>2</v>
      </c>
      <c r="C5" s="373">
        <v>3</v>
      </c>
      <c r="D5" s="373">
        <v>4</v>
      </c>
      <c r="E5" s="373">
        <v>5</v>
      </c>
      <c r="F5" s="373"/>
      <c r="G5" s="373">
        <v>6</v>
      </c>
      <c r="H5" s="373">
        <v>7</v>
      </c>
      <c r="I5" s="373">
        <v>8</v>
      </c>
      <c r="J5" s="373">
        <v>9</v>
      </c>
      <c r="K5" s="2285" t="s">
        <v>539</v>
      </c>
      <c r="L5" s="2285"/>
      <c r="M5" s="2285"/>
      <c r="N5" s="2285"/>
      <c r="O5" s="374"/>
      <c r="P5" s="373">
        <v>10</v>
      </c>
      <c r="Q5" s="373"/>
      <c r="R5" s="2286" t="s">
        <v>540</v>
      </c>
      <c r="S5" s="2286"/>
      <c r="T5" s="2286"/>
      <c r="U5" s="2286"/>
      <c r="V5" s="373"/>
      <c r="W5" s="373"/>
      <c r="X5" s="2287" t="s">
        <v>537</v>
      </c>
      <c r="Y5" s="2287"/>
      <c r="Z5" s="373"/>
      <c r="AA5" s="373"/>
      <c r="AB5" s="760"/>
      <c r="AC5" s="760"/>
      <c r="AD5" s="373"/>
      <c r="AE5" s="373"/>
      <c r="AF5" s="373"/>
      <c r="AG5" s="373"/>
      <c r="AH5" s="373"/>
      <c r="AI5" s="373"/>
      <c r="AJ5" s="373"/>
      <c r="AK5" s="373"/>
      <c r="AL5" s="373">
        <v>11</v>
      </c>
      <c r="AM5" s="373">
        <v>12</v>
      </c>
      <c r="AN5" s="373">
        <v>13</v>
      </c>
      <c r="AO5" s="373">
        <v>14</v>
      </c>
      <c r="AP5" s="373">
        <v>15</v>
      </c>
      <c r="AQ5" s="373">
        <v>16</v>
      </c>
      <c r="AR5" s="373"/>
    </row>
    <row r="6" spans="1:55" ht="24" x14ac:dyDescent="0.15">
      <c r="A6" s="375" t="s">
        <v>448</v>
      </c>
      <c r="B6" s="375" t="s">
        <v>449</v>
      </c>
      <c r="C6" s="375" t="s">
        <v>450</v>
      </c>
      <c r="D6" s="376" t="s">
        <v>451</v>
      </c>
      <c r="E6" s="376" t="s">
        <v>431</v>
      </c>
      <c r="F6" s="376" t="s">
        <v>454</v>
      </c>
      <c r="G6" s="375" t="s">
        <v>417</v>
      </c>
      <c r="H6" s="375" t="s">
        <v>138</v>
      </c>
      <c r="I6" s="375" t="s">
        <v>452</v>
      </c>
      <c r="J6" s="375" t="s">
        <v>453</v>
      </c>
      <c r="K6" s="377" t="e">
        <f>INDEX($AX$8:$AX$19,MONTH(K7),1)</f>
        <v>#REF!</v>
      </c>
      <c r="L6" s="377" t="e">
        <f>INDEX($AX$8:$AX$19,MONTH(L7),1)</f>
        <v>#REF!</v>
      </c>
      <c r="M6" s="377" t="e">
        <f>INDEX($AX$8:$AX$19,MONTH(M7),1)</f>
        <v>#REF!</v>
      </c>
      <c r="N6" s="377" t="e">
        <f>IF(DAY(#REF!)&gt;21,INDEX($AX$8:$AX$19,MONTH(N7),1),"")</f>
        <v>#REF!</v>
      </c>
      <c r="O6" s="378"/>
      <c r="P6" s="378"/>
      <c r="Q6" s="754"/>
      <c r="R6" s="761" t="str">
        <f>INDEX($AX$8:$AX$19,MONTH(R7),1)</f>
        <v>MAR</v>
      </c>
      <c r="S6" s="761" t="str">
        <f>INDEX($AX$8:$AX$19,MONTH(S7),1)</f>
        <v>APR</v>
      </c>
      <c r="T6" s="761" t="str">
        <f>INDEX($AX$8:$AX$19,MONTH(T7),1)</f>
        <v>MAY</v>
      </c>
      <c r="U6" s="761" t="str">
        <f>INDEX($AX$8:$AX$19,MONTH(U7),1)</f>
        <v>JUN</v>
      </c>
      <c r="V6" s="755"/>
      <c r="W6" s="378"/>
      <c r="X6" s="2283" t="s">
        <v>403</v>
      </c>
      <c r="Y6" s="2284"/>
      <c r="Z6" s="378"/>
      <c r="AA6" s="378"/>
      <c r="AB6" s="2288" t="s">
        <v>479</v>
      </c>
      <c r="AC6" s="2289"/>
      <c r="AD6" s="2289"/>
      <c r="AE6" s="2290"/>
      <c r="AF6" s="762"/>
      <c r="AG6" s="2283" t="s">
        <v>541</v>
      </c>
      <c r="AH6" s="2291"/>
      <c r="AI6" s="2284"/>
      <c r="AJ6" s="2283" t="s">
        <v>542</v>
      </c>
      <c r="AK6" s="2284"/>
      <c r="AL6" s="375" t="s">
        <v>454</v>
      </c>
      <c r="AM6" s="379" t="s">
        <v>455</v>
      </c>
      <c r="AN6" s="379" t="s">
        <v>456</v>
      </c>
      <c r="AO6" s="379" t="s">
        <v>429</v>
      </c>
      <c r="AP6" s="379" t="s">
        <v>457</v>
      </c>
      <c r="AQ6" s="379" t="s">
        <v>458</v>
      </c>
      <c r="AR6" s="379" t="s">
        <v>459</v>
      </c>
      <c r="AU6" s="355" t="s">
        <v>543</v>
      </c>
      <c r="AX6" s="355" t="s">
        <v>362</v>
      </c>
    </row>
    <row r="7" spans="1:55" ht="19" x14ac:dyDescent="0.15">
      <c r="A7" s="375"/>
      <c r="B7" s="375"/>
      <c r="C7" s="375"/>
      <c r="D7" s="376"/>
      <c r="E7" s="376"/>
      <c r="F7" s="376"/>
      <c r="G7" s="375"/>
      <c r="H7" s="375"/>
      <c r="I7" s="375"/>
      <c r="J7" s="375"/>
      <c r="K7" s="380" t="e">
        <f>EOMONTH(#REF!,0)</f>
        <v>#REF!</v>
      </c>
      <c r="L7" s="380" t="e">
        <f>IF(DAY(#REF!)&gt;'DATA RESOURCE'!$O9,EOMONTH(#REF!,1),EOMONTH(EDATE(K7,1),0))</f>
        <v>#REF!</v>
      </c>
      <c r="M7" s="380" t="e">
        <f>EOMONTH(EDATE(L7,1),0)</f>
        <v>#REF!</v>
      </c>
      <c r="N7" s="380" t="e">
        <f>IF(DAY(#REF!)&gt;21,EOMONTH(EDATE(M7,1),0),"")</f>
        <v>#REF!</v>
      </c>
      <c r="O7" s="381"/>
      <c r="P7" s="763"/>
      <c r="Q7" s="501"/>
      <c r="R7" s="790">
        <f>IF(DAY(INPUT!$L$6)&gt;O9,EOMONTH(INPUT!$L$6,1),EOMONTH(INPUT!$L$6,0))</f>
        <v>43190</v>
      </c>
      <c r="S7" s="505">
        <f>EOMONTH(R7,1)</f>
        <v>43220</v>
      </c>
      <c r="T7" s="505">
        <f>EOMONTH(S7,1)</f>
        <v>43251</v>
      </c>
      <c r="U7" s="505">
        <f>EOMONTH(T7,1)</f>
        <v>43281</v>
      </c>
      <c r="V7" s="503"/>
      <c r="W7" s="381"/>
      <c r="X7" s="381" t="s">
        <v>544</v>
      </c>
      <c r="Y7" s="381" t="s">
        <v>545</v>
      </c>
      <c r="Z7" s="381"/>
      <c r="AA7" s="381"/>
      <c r="AB7" s="382" t="s">
        <v>781</v>
      </c>
      <c r="AC7" s="382" t="s">
        <v>538</v>
      </c>
      <c r="AD7" s="382" t="s">
        <v>390</v>
      </c>
      <c r="AE7" s="382" t="s">
        <v>355</v>
      </c>
      <c r="AF7" s="764" t="s">
        <v>782</v>
      </c>
      <c r="AG7" s="382" t="s">
        <v>410</v>
      </c>
      <c r="AH7" s="382" t="s">
        <v>330</v>
      </c>
      <c r="AI7" s="382" t="s">
        <v>546</v>
      </c>
      <c r="AJ7" s="381" t="s">
        <v>330</v>
      </c>
      <c r="AK7" s="381" t="s">
        <v>546</v>
      </c>
      <c r="AL7" s="375"/>
      <c r="AM7" s="379"/>
      <c r="AN7" s="379"/>
      <c r="AO7" s="379"/>
      <c r="AP7" s="379"/>
      <c r="AQ7" s="379"/>
      <c r="AR7" s="379"/>
      <c r="AT7" s="765"/>
      <c r="AX7" s="355" t="s">
        <v>361</v>
      </c>
    </row>
    <row r="8" spans="1:55" ht="16" x14ac:dyDescent="0.15">
      <c r="A8" s="375"/>
      <c r="B8" s="375"/>
      <c r="C8" s="375"/>
      <c r="D8" s="376"/>
      <c r="E8" s="376"/>
      <c r="F8" s="376"/>
      <c r="G8" s="375"/>
      <c r="H8" s="375"/>
      <c r="I8" s="375"/>
      <c r="J8" s="375"/>
      <c r="K8" s="383" t="e">
        <f>K7-#REF!</f>
        <v>#REF!</v>
      </c>
      <c r="L8" s="384" t="e">
        <f>L7-K7</f>
        <v>#REF!</v>
      </c>
      <c r="M8" s="384" t="e">
        <f>IF(DAY(#REF!)&gt;21,M7-L7,#REF!-'DATA RESOURCE'!L7)</f>
        <v>#REF!</v>
      </c>
      <c r="N8" s="384" t="e">
        <f>IF(DAY(#REF!)&gt;21,#REF!-'DATA RESOURCE'!M7,"")</f>
        <v>#REF!</v>
      </c>
      <c r="O8" s="385" t="s">
        <v>783</v>
      </c>
      <c r="P8" s="386" t="s">
        <v>816</v>
      </c>
      <c r="Q8" s="502"/>
      <c r="R8" s="506"/>
      <c r="S8" s="506"/>
      <c r="T8" s="756"/>
      <c r="U8" s="506"/>
      <c r="V8" s="504"/>
      <c r="W8" s="386"/>
      <c r="X8" s="386"/>
      <c r="Y8" s="386"/>
      <c r="Z8" s="386"/>
      <c r="AA8" s="386"/>
      <c r="AB8" s="386" t="s">
        <v>784</v>
      </c>
      <c r="AC8" s="386" t="s">
        <v>784</v>
      </c>
      <c r="AD8" s="386" t="s">
        <v>784</v>
      </c>
      <c r="AE8" s="386"/>
      <c r="AF8" s="386"/>
      <c r="AG8" s="386"/>
      <c r="AH8" s="386"/>
      <c r="AI8" s="386"/>
      <c r="AJ8" s="386"/>
      <c r="AK8" s="386"/>
      <c r="AL8" s="375"/>
      <c r="AM8" s="379"/>
      <c r="AN8" s="379"/>
      <c r="AO8" s="379"/>
      <c r="AP8" s="379"/>
      <c r="AQ8" s="379"/>
      <c r="AR8" s="379"/>
      <c r="AT8" s="371"/>
      <c r="AX8" s="355" t="s">
        <v>479</v>
      </c>
    </row>
    <row r="9" spans="1:55" ht="39" x14ac:dyDescent="0.15">
      <c r="A9" s="387" t="s">
        <v>436</v>
      </c>
      <c r="B9" s="388" t="e">
        <f>#REF!</f>
        <v>#REF!</v>
      </c>
      <c r="C9" s="389" t="s">
        <v>241</v>
      </c>
      <c r="D9" s="390"/>
      <c r="E9" s="1017">
        <v>2001779</v>
      </c>
      <c r="F9" s="390">
        <v>4400000660</v>
      </c>
      <c r="G9" s="391" t="s">
        <v>881</v>
      </c>
      <c r="H9" s="391" t="s">
        <v>547</v>
      </c>
      <c r="I9" s="392" t="s">
        <v>462</v>
      </c>
      <c r="J9" s="850">
        <f>IFERROR(ROUNDUP(VLOOKUP($B9,#REF!,14,FALSE),-3),0)/IF($P9="USD",FOREX,1)</f>
        <v>0</v>
      </c>
      <c r="K9" s="394" t="e">
        <f ca="1">IF(DAY($K$7-$K$8)&gt;O9,0,IFERROR(SUM(OFFSET(INDIRECT(CONCATENATE("'Daily Cost'!A",MATCH($B9,#REF!,0)+8),TRUE),0,8,1,K$8)),0))</f>
        <v>#REF!</v>
      </c>
      <c r="L9" s="394">
        <f ca="1">IFERROR(SUM(OFFSET(INDIRECT(CONCATENATE("'Daily Cost'!A",MATCH($B9,#REF!,0)+8),TRUE),0,IF(DAY($K$7-$K$8)&gt;$O9,8,8+$K$8),1,$K$8+(DATE(YEAR($L$7),MONTH($L$7),$O9)-($K$7-1)))),0)</f>
        <v>0</v>
      </c>
      <c r="M9" s="394">
        <f ca="1">IFERROR(SUM(OFFSET(INDIRECT(CONCATENATE("'Daily Cost'!A",MATCH($B9,#REF!,0)+8),TRUE),0,8+$K$8+(DATE(YEAR($L$7),MONTH($L$7),$O9)-($K$7-1)),1,IF(DAY(#REF!)&gt;21,DATE(YEAR($M$7),MONTH($M$7),$O9)-DATE(YEAR($L$7),MONTH($L$7),$O9),#REF!-DATE(YEAR($L$7),MONTH($L$7),$O9)))),0)</f>
        <v>0</v>
      </c>
      <c r="N9" s="394">
        <f ca="1">IFERROR(IF(K9=0,(VLOOKUP($B9,#REF!,5,FALSE))-SUM(L9:M9),""),0)</f>
        <v>0</v>
      </c>
      <c r="O9" s="395">
        <v>21</v>
      </c>
      <c r="P9" s="948" t="s">
        <v>362</v>
      </c>
      <c r="Q9" s="396"/>
      <c r="R9" s="851" t="e">
        <f ca="1">IF(DATE(YEAR(R$7),MONTH(R$7),$O9)&gt;=MAX(INPUT!$M$6:$M$16),J9,SUMIFS(INDIRECT(CONCATENATE("'Daily Cost'!I",MATCH($B9,#REF!,0)+3,":FB",MATCH($B9,#REF!,0)+3)),#REF!,"&gt;="&amp;INPUT!$L$6,#REF!,"&lt;="&amp;DATE(YEAR(R$7),MONTH(R$7),$O9))/IF($P9="USD",FOREX,1))</f>
        <v>#REF!</v>
      </c>
      <c r="S9" s="851" t="e">
        <f ca="1">IF(DATE(YEAR(S$7),MONTH(S$7),$O9)&gt;=MAX(INPUT!$M$6:$M$16),J9-R9,SUMIFS(INDIRECT(CONCATENATE("'Daily Cost'!I",MATCH($B9,#REF!,0)+3,":FB",MATCH($B9,#REF!,0)+3)),#REF!,"&gt;="&amp;DATE(YEAR(R$7),MONTH(R$7),$O9+1),#REF!,"&lt;="&amp;DATE(YEAR(S$7),MONTH(S$7),$O9))/IF($P9="USD",FOREX,1))</f>
        <v>#REF!</v>
      </c>
      <c r="T9" s="851" t="e">
        <f ca="1">IF(DATE(YEAR(T$7),MONTH(T$7),$O9)&gt;=MAX(INPUT!$M$6:$M$16),J9-R9-S9,SUMIFS(INDIRECT(CONCATENATE("'Daily Cost'!I",MATCH($B9,#REF!,0)+3,":FB",MATCH($B9,#REF!,0)+3)),#REF!,"&gt;=" &amp; DATE(YEAR(S$7),MONTH(S$7),$O9+1),#REF!,"&lt;=" &amp; DATE(YEAR(T$7),MONTH(T$7),$O9))/IF($P9="USD",FOREX,1))</f>
        <v>#REF!</v>
      </c>
      <c r="U9" s="851" t="e">
        <f t="shared" ref="U9:U22" ca="1" si="0">J9-SUM(R9:T9)</f>
        <v>#REF!</v>
      </c>
      <c r="V9" s="396" t="e">
        <f ca="1">SUM(R9:U9)=J9</f>
        <v>#REF!</v>
      </c>
      <c r="W9" s="396"/>
      <c r="X9" s="396">
        <v>0</v>
      </c>
      <c r="Y9" s="396">
        <f t="shared" ref="Y9:Y18" si="1">X9</f>
        <v>0</v>
      </c>
      <c r="Z9" s="396"/>
      <c r="AA9" s="397" t="e">
        <f>B9</f>
        <v>#REF!</v>
      </c>
      <c r="AB9" s="397" t="e">
        <f t="shared" ref="AB9:AB18" ca="1" si="2">S9*FOREX</f>
        <v>#REF!</v>
      </c>
      <c r="AC9" s="397">
        <f>126755*FOREX</f>
        <v>6464505</v>
      </c>
      <c r="AD9" s="397" t="e">
        <f ca="1">AB9-AC9</f>
        <v>#REF!</v>
      </c>
      <c r="AE9" s="766" t="e">
        <f ca="1">AD9/AB9</f>
        <v>#REF!</v>
      </c>
      <c r="AF9" s="767" t="s">
        <v>785</v>
      </c>
      <c r="AG9" s="396">
        <f>J9</f>
        <v>0</v>
      </c>
      <c r="AH9" s="396" t="e">
        <f ca="1">SUM(K9:N9)</f>
        <v>#REF!</v>
      </c>
      <c r="AI9" s="396">
        <f>Y9</f>
        <v>0</v>
      </c>
      <c r="AJ9" s="768" t="str">
        <f ca="1">IFERROR(AH9/AG9-1,"")</f>
        <v/>
      </c>
      <c r="AK9" s="769" t="str">
        <f>IFERROR(AI9/AG9-1,"")</f>
        <v/>
      </c>
      <c r="AL9" s="393" t="e">
        <f>VLOOKUP($B9,MFM_COSTDETAILS,8)/N59*N60</f>
        <v>#REF!</v>
      </c>
      <c r="AM9" s="393" t="str">
        <f>IFERROR((VLOOKUP($B9,MFM_COSTDETAILS,8)),"")</f>
        <v/>
      </c>
      <c r="AN9" s="398"/>
      <c r="AO9" s="399"/>
      <c r="AP9" s="399"/>
      <c r="AQ9" s="400"/>
      <c r="AR9" s="401"/>
      <c r="AS9" s="759"/>
      <c r="AT9" s="371"/>
      <c r="AU9" s="355" t="e">
        <f ca="1">IF(U9=0,CONCATENATE(P9," denominated bill | ",$R$6," - ",ROUND(R9,2),", ",ROUND(R9/J9*100,0)," lots; ",$S$6," - ",ROUND(S9,2),", ",ROUND(S9/J9*100,0)," lots; ",$T$6," - ",ROUND(T9,2),", ",100-ROUND(R9/J9*100,0)-ROUND(S9/J9*100,0)," lots"),CONCATENATE(P9," denominated bill | ",$R$6," - ",ROUND(R9,2),", ",ROUND(R9/J9*100,0)," lots; ",$S$6," - ",ROUND(S9,2),", ",ROUND(S9/J9*100,0)," lots; ",$T$6," - ",ROUND(T9,2),", ",ROUND(T9/J9*100,0)," lots; ",$U$6," - ",ROUND(U9,2),", ",100-ROUND(R9/J9*100,0)-ROUND(S9/J9*100,0)-ROUND(T9/J9*100,0)," lots"))</f>
        <v>#REF!</v>
      </c>
      <c r="AX9" s="355" t="s">
        <v>480</v>
      </c>
    </row>
    <row r="10" spans="1:55" ht="12.75" hidden="1" customHeight="1" x14ac:dyDescent="0.15">
      <c r="A10" s="387" t="s">
        <v>463</v>
      </c>
      <c r="B10" s="388"/>
      <c r="C10" s="389" t="s">
        <v>460</v>
      </c>
      <c r="D10" s="390"/>
      <c r="E10" s="1017">
        <v>2001779</v>
      </c>
      <c r="F10" s="390"/>
      <c r="G10" s="391" t="s">
        <v>461</v>
      </c>
      <c r="H10" s="391" t="s">
        <v>547</v>
      </c>
      <c r="I10" s="392" t="s">
        <v>462</v>
      </c>
      <c r="J10" s="850">
        <f>IFERROR(VLOOKUP($B10,#REF!,14,FALSE),0)</f>
        <v>0</v>
      </c>
      <c r="K10" s="394" t="e">
        <f ca="1">IF(DAY($K$7-$K$8)&gt;O10,0,IFERROR(SUM(OFFSET(INDIRECT(CONCATENATE("'Daily Cost'!A",MATCH($B10,#REF!,0)+8),TRUE),0,8,1,K$8)),0))</f>
        <v>#REF!</v>
      </c>
      <c r="L10" s="394">
        <f ca="1">IFERROR(SUM(OFFSET(INDIRECT(CONCATENATE("'Daily Cost'!A",MATCH($B10,#REF!,0)+8),TRUE),0,IF(DAY($K$7-$K$8)&gt;$O10,8,8+$K$8),1,$K$8+(DATE(YEAR($L$7),MONTH($L$7),$O10)-($K$7-1)))),0)</f>
        <v>0</v>
      </c>
      <c r="M10" s="394">
        <f ca="1">IFERROR(SUM(OFFSET(INDIRECT(CONCATENATE("'Daily Cost'!A",MATCH($B10,#REF!,0)+8),TRUE),0,8+$K$8+(DATE(YEAR($L$7),MONTH($L$7),$O10)-($K$7-1)),1,IF(DAY(#REF!)&gt;21,DATE(YEAR($M$7),MONTH($M$7),$O10)-DATE(YEAR($L$7),MONTH($L$7),$O10),#REF!-DATE(YEAR($L$7),MONTH($L$7),$O10)))),0)</f>
        <v>0</v>
      </c>
      <c r="N10" s="394">
        <f ca="1">IFERROR(IF(K10=0,(VLOOKUP($B10,#REF!,5,FALSE))-SUM(L10:M10),""),0)</f>
        <v>0</v>
      </c>
      <c r="O10" s="395"/>
      <c r="P10" s="396"/>
      <c r="Q10" s="396"/>
      <c r="R10" s="851" t="e">
        <f ca="1">IF(DATE(YEAR(R$7),MONTH(R$7),$O10)&gt;=MAX(INPUT!$M$6:$M$16),J10,SUMIFS(INDIRECT(CONCATENATE("'Daily Cost'!I",MATCH($B10,#REF!,0)+3,":FB",MATCH($B10,#REF!,0)+3)),#REF!,"&gt;="&amp;INPUT!$L$6,#REF!,"&lt;="&amp;DATE(YEAR(R$7),MONTH(R$7),$O10))/IF($P10="USD",FOREX,1))</f>
        <v>#REF!</v>
      </c>
      <c r="S10" s="851" t="e">
        <f ca="1">IF(DATE(YEAR(S$7),MONTH(S$7),$O10)&gt;=MAX(INPUT!$M$6:$M$16),J10-R10,SUMIFS(INDIRECT(CONCATENATE("'Daily Cost'!I",MATCH($B10,#REF!,0)+3,":FB",MATCH($B10,#REF!,0)+3)),#REF!,"&gt;="&amp;DATE(YEAR(R$7),MONTH(R$7),$O10+1),#REF!,"&lt;="&amp;DATE(YEAR(S$7),MONTH(S$7),$O10))/IF($P10="USD",FOREX,1))</f>
        <v>#REF!</v>
      </c>
      <c r="T10" s="851" t="e">
        <f ca="1">IF(DATE(YEAR(T$7),MONTH(T$7),$O10)&gt;=MAX(INPUT!$M$6:$M$16),J10-R10-S10,SUMIFS(INDIRECT(CONCATENATE("'Daily Cost'!I",MATCH($B10,#REF!,0)+3,":FB",MATCH($B10,#REF!,0)+3)),#REF!,"&gt;=" &amp; DATE(YEAR(S$7),MONTH(S$7),$O10+1),#REF!,"&lt;=" &amp; DATE(YEAR(T$7),MONTH(T$7),$O10))/IF($P10="USD",FOREX,1))</f>
        <v>#REF!</v>
      </c>
      <c r="U10" s="851" t="e">
        <f t="shared" ca="1" si="0"/>
        <v>#REF!</v>
      </c>
      <c r="V10" s="396" t="e">
        <f ca="1">SUM(R10:U10)=J10</f>
        <v>#REF!</v>
      </c>
      <c r="W10" s="396"/>
      <c r="X10" s="396"/>
      <c r="Y10" s="396">
        <f t="shared" si="1"/>
        <v>0</v>
      </c>
      <c r="Z10" s="396"/>
      <c r="AA10" s="397">
        <f t="shared" ref="AA10:AA18" si="3">B10</f>
        <v>0</v>
      </c>
      <c r="AB10" s="397" t="e">
        <f t="shared" ca="1" si="2"/>
        <v>#REF!</v>
      </c>
      <c r="AC10" s="397"/>
      <c r="AD10" s="397" t="e">
        <f t="shared" ref="AD10:AD18" ca="1" si="4">AB10-AC10</f>
        <v>#REF!</v>
      </c>
      <c r="AE10" s="766"/>
      <c r="AF10" s="770"/>
      <c r="AG10" s="396">
        <f t="shared" ref="AG10:AG20" si="5">J10</f>
        <v>0</v>
      </c>
      <c r="AH10" s="396" t="e">
        <f t="shared" ref="AH10:AH20" ca="1" si="6">SUM(K10:N10)</f>
        <v>#REF!</v>
      </c>
      <c r="AI10" s="396">
        <f t="shared" ref="AI10:AI20" si="7">Y10</f>
        <v>0</v>
      </c>
      <c r="AJ10" s="768" t="str">
        <f t="shared" ref="AJ10:AJ20" ca="1" si="8">IFERROR(AH10/AG10-1,"")</f>
        <v/>
      </c>
      <c r="AK10" s="769" t="str">
        <f t="shared" ref="AK10:AK20" si="9">IFERROR(AI10/AG10-1,"")</f>
        <v/>
      </c>
      <c r="AL10" s="393" t="str">
        <f>IFERROR((VLOOKUP($B10,MFM_COSTDETAILS,8)/($N$59*P61)),"")</f>
        <v/>
      </c>
      <c r="AM10" s="402" t="e">
        <f>(AM9/N59)*P60</f>
        <v>#VALUE!</v>
      </c>
      <c r="AN10" s="398"/>
      <c r="AO10" s="399"/>
      <c r="AP10" s="399"/>
      <c r="AQ10" s="400"/>
      <c r="AR10" s="401"/>
      <c r="AU10" s="355" t="e">
        <f t="shared" ref="AU10:AU19" ca="1" si="10">IF(U10=0,CONCATENATE(P10," denominated bill | ",$R$6," - ",ROUND(R10,2),", ",ROUND(R10/J10*100,0)," lots; ",$S$6," - ",ROUND(S10,2),", ",ROUND(S10/J10*100,0)," lots; ",$T$6," - ",ROUND(T10,2),", ",100-ROUND(R10/J10*100,0)-ROUND(S10/J10*100,0)," lots"),CONCATENATE(P10," denominated bill | ",$R$6," - ",ROUND(R10,2),", ",ROUND(R10/J10*100,0)," lots; ",$S$6," - ",ROUND(S10,2),", ",ROUND(S10/J10*100,0)," lots; ",$T$6," - ",ROUND(T10,2),", ",ROUND(T10/J10*100,0)," lots; ",$U$6," - ",ROUND(U10,2),", ",100-ROUND(R10/J10*100,0)-ROUND(S10/J10*100,0)-ROUND(T10/J10*100,0)," lots"))</f>
        <v>#REF!</v>
      </c>
      <c r="AX10" s="355" t="s">
        <v>481</v>
      </c>
    </row>
    <row r="11" spans="1:55" ht="14" x14ac:dyDescent="0.15">
      <c r="A11" s="387" t="s">
        <v>437</v>
      </c>
      <c r="B11" s="388" t="e">
        <f>#REF!</f>
        <v>#REF!</v>
      </c>
      <c r="C11" s="389" t="s">
        <v>241</v>
      </c>
      <c r="D11" s="390"/>
      <c r="E11" s="1017">
        <v>2001779</v>
      </c>
      <c r="F11" s="390">
        <v>4400000667</v>
      </c>
      <c r="G11" s="391" t="s">
        <v>882</v>
      </c>
      <c r="H11" s="391" t="s">
        <v>547</v>
      </c>
      <c r="I11" s="392" t="s">
        <v>462</v>
      </c>
      <c r="J11" s="850">
        <f>IFERROR(ROUNDUP(VLOOKUP($B11,#REF!,14,FALSE),-3),0)/IF($P11="USD",FOREX,1)</f>
        <v>0</v>
      </c>
      <c r="K11" s="394" t="e">
        <f ca="1">IF(DAY($K$7-$K$8)&gt;O11,0,IFERROR(SUM(OFFSET(INDIRECT(CONCATENATE("'Daily Cost'!A",MATCH($B11,#REF!,0)+8),TRUE),0,8,1,K$8)),0))</f>
        <v>#REF!</v>
      </c>
      <c r="L11" s="394">
        <f ca="1">IFERROR(SUM(OFFSET(INDIRECT(CONCATENATE("'Daily Cost'!A",MATCH($B11,#REF!,0)+8),TRUE),0,IF(DAY($K$7-$K$8)&gt;$O11,8,8+$K$8),1,$K$8+(DATE(YEAR($L$7),MONTH($L$7),$O11)-($K$7-1)))),0)</f>
        <v>0</v>
      </c>
      <c r="M11" s="394">
        <f ca="1">IFERROR(SUM(OFFSET(INDIRECT(CONCATENATE("'Daily Cost'!A",MATCH($B11,#REF!,0)+8),TRUE),0,8+$K$8+(DATE(YEAR($L$7),MONTH($L$7),$O11)-($K$7-1)),1,IF(DAY(#REF!)&gt;21,DATE(YEAR($M$7),MONTH($M$7),$O11)-DATE(YEAR($L$7),MONTH($L$7),$O11),#REF!-DATE(YEAR($L$7),MONTH($L$7),$O11)))),0)</f>
        <v>0</v>
      </c>
      <c r="N11" s="394">
        <f ca="1">IFERROR(IF(K11=0,(VLOOKUP($B11,#REF!,5,FALSE))-SUM(L11:M11),""),0)</f>
        <v>0</v>
      </c>
      <c r="O11" s="395">
        <v>30</v>
      </c>
      <c r="P11" s="396" t="s">
        <v>362</v>
      </c>
      <c r="Q11" s="396"/>
      <c r="R11" s="851" t="e">
        <f ca="1">IF(DATE(YEAR(R$7),MONTH(R$7),$O11)&gt;=MAX(INPUT!$M$6:$M$16),J11,SUMIFS(INDIRECT(CONCATENATE("'Daily Cost'!I",MATCH($B11,#REF!,0)+3,":FB",MATCH($B11,#REF!,0)+3)),#REF!,"&gt;="&amp;INPUT!$L$6,#REF!,"&lt;="&amp;DATE(YEAR(R$7),MONTH(R$7),$O11))/IF($P11="USD",FOREX,1))</f>
        <v>#REF!</v>
      </c>
      <c r="S11" s="851" t="e">
        <f ca="1">IF(DATE(YEAR(S$7),MONTH(S$7),$O11)&gt;=MAX(INPUT!$M$6:$M$16),J11-R11,SUMIFS(INDIRECT(CONCATENATE("'Daily Cost'!I",MATCH($B11,#REF!,0)+3,":FB",MATCH($B11,#REF!,0)+3)),#REF!,"&gt;="&amp;DATE(YEAR(R$7),MONTH(R$7),$O11+1),#REF!,"&lt;="&amp;DATE(YEAR(S$7),MONTH(S$7),$O11))/IF($P11="USD",FOREX,1))</f>
        <v>#REF!</v>
      </c>
      <c r="T11" s="851" t="e">
        <f ca="1">IF(DATE(YEAR(T$7),MONTH(T$7),$O11)&gt;=MAX(INPUT!$M$6:$M$16),J11-R11-S11,SUMIFS(INDIRECT(CONCATENATE("'Daily Cost'!I",MATCH($B11,#REF!,0)+3,":FB",MATCH($B11,#REF!,0)+3)),#REF!,"&gt;=" &amp; DATE(YEAR(S$7),MONTH(S$7),$O11+1),#REF!,"&lt;=" &amp; DATE(YEAR(T$7),MONTH(T$7),$O11))/IF($P11="USD",FOREX,1))</f>
        <v>#REF!</v>
      </c>
      <c r="U11" s="851" t="e">
        <f t="shared" ca="1" si="0"/>
        <v>#REF!</v>
      </c>
      <c r="V11" s="396" t="e">
        <f t="shared" ref="V11:V22" ca="1" si="11">SUM(R11:U11)=J11</f>
        <v>#REF!</v>
      </c>
      <c r="W11" s="396"/>
      <c r="X11" s="396">
        <v>24476346.93</v>
      </c>
      <c r="Y11" s="396">
        <f>X11</f>
        <v>24476346.93</v>
      </c>
      <c r="Z11" s="396"/>
      <c r="AA11" s="397" t="e">
        <f t="shared" si="3"/>
        <v>#REF!</v>
      </c>
      <c r="AB11" s="397" t="e">
        <f t="shared" ca="1" si="2"/>
        <v>#REF!</v>
      </c>
      <c r="AC11" s="397">
        <v>3528000</v>
      </c>
      <c r="AD11" s="397" t="e">
        <f t="shared" ca="1" si="4"/>
        <v>#REF!</v>
      </c>
      <c r="AE11" s="766" t="e">
        <f ca="1">AD11/AB11</f>
        <v>#REF!</v>
      </c>
      <c r="AF11" s="770" t="s">
        <v>786</v>
      </c>
      <c r="AG11" s="396">
        <f t="shared" si="5"/>
        <v>0</v>
      </c>
      <c r="AH11" s="396" t="e">
        <f t="shared" ca="1" si="6"/>
        <v>#REF!</v>
      </c>
      <c r="AI11" s="396">
        <f t="shared" si="7"/>
        <v>24476346.93</v>
      </c>
      <c r="AJ11" s="768" t="str">
        <f t="shared" ca="1" si="8"/>
        <v/>
      </c>
      <c r="AK11" s="769" t="str">
        <f>IFERROR(AI11/AG11-1,"")</f>
        <v/>
      </c>
      <c r="AL11" s="403"/>
      <c r="AM11" s="402"/>
      <c r="AN11" s="398"/>
      <c r="AO11" s="399"/>
      <c r="AP11" s="399"/>
      <c r="AQ11" s="400"/>
      <c r="AR11" s="401"/>
      <c r="AS11" s="759"/>
      <c r="AT11" s="759"/>
      <c r="AU11" s="355" t="e">
        <f t="shared" ca="1" si="10"/>
        <v>#REF!</v>
      </c>
      <c r="AX11" s="355" t="s">
        <v>482</v>
      </c>
    </row>
    <row r="12" spans="1:55" ht="90.75" customHeight="1" x14ac:dyDescent="0.15">
      <c r="A12" s="387" t="s">
        <v>787</v>
      </c>
      <c r="B12" s="388" t="str">
        <f>IF(INPUT!$H$11="SCIENTIFIC DRILLING INC.",#REF!,"")</f>
        <v/>
      </c>
      <c r="C12" s="389" t="s">
        <v>241</v>
      </c>
      <c r="D12" s="390"/>
      <c r="E12" s="1017">
        <v>2001779</v>
      </c>
      <c r="F12" s="390">
        <v>4400000659</v>
      </c>
      <c r="G12" s="391" t="s">
        <v>883</v>
      </c>
      <c r="H12" s="391" t="s">
        <v>547</v>
      </c>
      <c r="I12" s="392" t="s">
        <v>462</v>
      </c>
      <c r="J12" s="850">
        <f>IFERROR(ROUNDUP(VLOOKUP($B12,#REF!,14,FALSE),-3),0)/IF($P12="USD",FOREX,1)</f>
        <v>0</v>
      </c>
      <c r="K12" s="394" t="e">
        <f ca="1">IF(DAY($K$7-$K$8)&gt;O12,0,IFERROR(SUM(OFFSET(INDIRECT(CONCATENATE("'Daily Cost'!A",MATCH($B12,#REF!,0)+8),TRUE),0,8,1,K$8)),0))</f>
        <v>#REF!</v>
      </c>
      <c r="L12" s="394">
        <f ca="1">IFERROR(SUM(OFFSET(INDIRECT(CONCATENATE("'Daily Cost'!A",MATCH($B12,#REF!,0)+8),TRUE),0,IF(DAY($K$7-$K$8)&gt;$O12,8,8+$K$8),1,$K$8+(DATE(YEAR($L$7),MONTH($L$7),$O12)-($K$7-1)))),0)</f>
        <v>0</v>
      </c>
      <c r="M12" s="394">
        <f ca="1">IFERROR(SUM(OFFSET(INDIRECT(CONCATENATE("'Daily Cost'!A",MATCH($B12,#REF!,0)+8),TRUE),0,8+$K$8+(DATE(YEAR($L$7),MONTH($L$7),$O12)-($K$7-1)),1,IF(DAY(#REF!)&gt;21,DATE(YEAR($M$7),MONTH($M$7),$O12)-DATE(YEAR($L$7),MONTH($L$7),$O12),#REF!-DATE(YEAR($L$7),MONTH($L$7),$O12)))),0)</f>
        <v>0</v>
      </c>
      <c r="N12" s="394">
        <f ca="1">IFERROR(IF(K12=0,(VLOOKUP($B12,#REF!,5,FALSE))-SUM(L12:M12),""),0)</f>
        <v>0</v>
      </c>
      <c r="O12" s="395">
        <f t="shared" ref="O12:O18" si="12">$O$9</f>
        <v>21</v>
      </c>
      <c r="P12" s="948" t="s">
        <v>362</v>
      </c>
      <c r="Q12" s="771"/>
      <c r="R12" s="851" t="e">
        <f ca="1">IF(DATE(YEAR(R$7),MONTH(R$7),$O12)&gt;=MAX(INPUT!$M$6:$M$16),J12,SUMIFS(INDIRECT(CONCATENATE("'Daily Cost'!I",MATCH($B12,#REF!,0)+3,":FB",MATCH($B12,#REF!,0)+3)),#REF!,"&gt;="&amp;INPUT!$L$6,#REF!,"&lt;="&amp;DATE(YEAR(R$7),MONTH(R$7),$O12))/IF($P12="USD",FOREX,1))</f>
        <v>#REF!</v>
      </c>
      <c r="S12" s="851" t="e">
        <f ca="1">IF(DATE(YEAR(S$7),MONTH(S$7),$O12)&gt;=MAX(INPUT!$M$6:$M$16),J12-R12,SUMIFS(INDIRECT(CONCATENATE("'Daily Cost'!I",MATCH($B12,#REF!,0)+3,":FB",MATCH($B12,#REF!,0)+3)),#REF!,"&gt;="&amp;DATE(YEAR(R$7),MONTH(R$7),$O12+1),#REF!,"&lt;="&amp;DATE(YEAR(S$7),MONTH(S$7),$O12))/IF($P12="USD",FOREX,1))</f>
        <v>#REF!</v>
      </c>
      <c r="T12" s="851" t="e">
        <f ca="1">IF(DATE(YEAR(T$7),MONTH(T$7),$O12)&gt;=MAX(INPUT!$M$6:$M$16),J12-R12-S12,SUMIFS(INDIRECT(CONCATENATE("'Daily Cost'!I",MATCH($B12,#REF!,0)+3,":FB",MATCH($B12,#REF!,0)+3)),#REF!,"&gt;=" &amp; DATE(YEAR(S$7),MONTH(S$7),$O12+1),#REF!,"&lt;=" &amp; DATE(YEAR(T$7),MONTH(T$7),$O12))/IF($P12="USD",FOREX,1))</f>
        <v>#REF!</v>
      </c>
      <c r="U12" s="851" t="e">
        <f t="shared" ca="1" si="0"/>
        <v>#REF!</v>
      </c>
      <c r="V12" s="396" t="e">
        <f t="shared" ca="1" si="11"/>
        <v>#REF!</v>
      </c>
      <c r="W12" s="396"/>
      <c r="X12" s="396">
        <v>65220110.460000001</v>
      </c>
      <c r="Y12" s="396">
        <f>X12</f>
        <v>65220110.460000001</v>
      </c>
      <c r="Z12" s="396"/>
      <c r="AA12" s="397" t="str">
        <f t="shared" si="3"/>
        <v/>
      </c>
      <c r="AB12" s="397" t="e">
        <f t="shared" ca="1" si="2"/>
        <v>#REF!</v>
      </c>
      <c r="AC12" s="397">
        <f>(165748.25)*FOREX</f>
        <v>8453160.75</v>
      </c>
      <c r="AD12" s="397" t="e">
        <f t="shared" ca="1" si="4"/>
        <v>#REF!</v>
      </c>
      <c r="AE12" s="766" t="e">
        <f ca="1">AD12/AB12</f>
        <v>#REF!</v>
      </c>
      <c r="AF12" s="770" t="s">
        <v>788</v>
      </c>
      <c r="AG12" s="396">
        <f t="shared" si="5"/>
        <v>0</v>
      </c>
      <c r="AH12" s="396" t="e">
        <f t="shared" ca="1" si="6"/>
        <v>#REF!</v>
      </c>
      <c r="AI12" s="396">
        <f t="shared" si="7"/>
        <v>65220110.460000001</v>
      </c>
      <c r="AJ12" s="768" t="str">
        <f t="shared" ca="1" si="8"/>
        <v/>
      </c>
      <c r="AK12" s="769" t="str">
        <f t="shared" si="9"/>
        <v/>
      </c>
      <c r="AL12" s="403"/>
      <c r="AM12" s="402"/>
      <c r="AN12" s="398"/>
      <c r="AO12" s="399"/>
      <c r="AP12" s="404"/>
      <c r="AQ12" s="400"/>
      <c r="AR12" s="401"/>
      <c r="AT12" s="759"/>
      <c r="AU12" s="355" t="e">
        <f t="shared" ca="1" si="10"/>
        <v>#REF!</v>
      </c>
      <c r="AX12" s="355" t="s">
        <v>483</v>
      </c>
    </row>
    <row r="13" spans="1:55" ht="14" x14ac:dyDescent="0.15">
      <c r="A13" s="387" t="s">
        <v>789</v>
      </c>
      <c r="B13" s="388" t="e">
        <f>IF(INPUT!$H$11="SCIENTIFIC DRILLING INC.","",#REF!)</f>
        <v>#REF!</v>
      </c>
      <c r="C13" s="389" t="s">
        <v>241</v>
      </c>
      <c r="D13" s="390"/>
      <c r="E13" s="1017">
        <v>2001779</v>
      </c>
      <c r="F13" s="390"/>
      <c r="G13" s="391"/>
      <c r="H13" s="391" t="s">
        <v>547</v>
      </c>
      <c r="I13" s="392" t="s">
        <v>462</v>
      </c>
      <c r="J13" s="850">
        <f>IFERROR(ROUNDUP(VLOOKUP($B13,#REF!,14,FALSE),-3),0)/IF($P13="USD",FOREX,1)</f>
        <v>0</v>
      </c>
      <c r="K13" s="394" t="e">
        <f ca="1">IF(DAY($K$7-$K$8)&gt;O13,0,IFERROR(SUM(OFFSET(INDIRECT(CONCATENATE("'Daily Cost'!A",MATCH($B13,#REF!,0)+8),TRUE),0,8,1,K$8)),0))</f>
        <v>#REF!</v>
      </c>
      <c r="L13" s="394">
        <f ca="1">IFERROR(SUM(OFFSET(INDIRECT(CONCATENATE("'Daily Cost'!A",MATCH($B13,#REF!,0)+8),TRUE),0,IF(DAY($K$7-$K$8)&gt;$O13,8,8+$K$8),1,$K$8+(DATE(YEAR($L$7),MONTH($L$7),$O13)-($K$7-1)))),0)</f>
        <v>0</v>
      </c>
      <c r="M13" s="394">
        <f ca="1">IFERROR(SUM(OFFSET(INDIRECT(CONCATENATE("'Daily Cost'!A",MATCH($B13,#REF!,0)+8),TRUE),0,8+$K$8+(DATE(YEAR($L$7),MONTH($L$7),$O13)-($K$7-1)),1,IF(DAY(#REF!)&gt;21,DATE(YEAR($M$7),MONTH($M$7),$O13)-DATE(YEAR($L$7),MONTH($L$7),$O13),#REF!-DATE(YEAR($L$7),MONTH($L$7),$O13)))),0)</f>
        <v>0</v>
      </c>
      <c r="N13" s="394">
        <f ca="1">IFERROR(IF(K13=0,(VLOOKUP($B13,#REF!,5,FALSE))-SUM(L13:M13),""),0)</f>
        <v>0</v>
      </c>
      <c r="O13" s="395">
        <f t="shared" si="12"/>
        <v>21</v>
      </c>
      <c r="P13" s="396" t="s">
        <v>362</v>
      </c>
      <c r="Q13" s="396"/>
      <c r="R13" s="851" t="e">
        <f ca="1">IF(DATE(YEAR(R$7),MONTH(R$7),$O13)&gt;=MAX(INPUT!$M$6:$M$16),J13,SUMIFS(INDIRECT(CONCATENATE("'Daily Cost'!I",MATCH($B13,#REF!,0)+3,":FB",MATCH($B13,#REF!,0)+3)),#REF!,"&gt;="&amp;INPUT!$L$6,#REF!,"&lt;="&amp;DATE(YEAR(R$7),MONTH(R$7),$O13))/IF($P13="USD",FOREX,1))</f>
        <v>#REF!</v>
      </c>
      <c r="S13" s="851" t="e">
        <f ca="1">IF(DATE(YEAR(S$7),MONTH(S$7),$O13)&gt;=MAX(INPUT!$M$6:$M$16),J13-R13,SUMIFS(INDIRECT(CONCATENATE("'Daily Cost'!I",MATCH($B13,#REF!,0)+3,":FB",MATCH($B13,#REF!,0)+3)),#REF!,"&gt;="&amp;DATE(YEAR(R$7),MONTH(R$7),$O13+1),#REF!,"&lt;="&amp;DATE(YEAR(S$7),MONTH(S$7),$O13))/IF($P13="USD",FOREX,1))</f>
        <v>#REF!</v>
      </c>
      <c r="T13" s="851" t="e">
        <f ca="1">IF(DATE(YEAR(T$7),MONTH(T$7),$O13)&gt;=MAX(INPUT!$M$6:$M$16),J13-R13-S13,SUMIFS(INDIRECT(CONCATENATE("'Daily Cost'!I",MATCH($B13,#REF!,0)+3,":FB",MATCH($B13,#REF!,0)+3)),#REF!,"&gt;=" &amp; DATE(YEAR(S$7),MONTH(S$7),$O13+1),#REF!,"&lt;=" &amp; DATE(YEAR(T$7),MONTH(T$7),$O13))/IF($P13="USD",FOREX,1))</f>
        <v>#REF!</v>
      </c>
      <c r="U13" s="851" t="e">
        <f t="shared" ca="1" si="0"/>
        <v>#REF!</v>
      </c>
      <c r="V13" s="396" t="e">
        <f t="shared" ca="1" si="11"/>
        <v>#REF!</v>
      </c>
      <c r="W13" s="396"/>
      <c r="X13" s="396"/>
      <c r="Y13" s="396">
        <f t="shared" si="1"/>
        <v>0</v>
      </c>
      <c r="Z13" s="396"/>
      <c r="AA13" s="397" t="e">
        <f t="shared" si="3"/>
        <v>#REF!</v>
      </c>
      <c r="AB13" s="397" t="e">
        <f t="shared" ca="1" si="2"/>
        <v>#REF!</v>
      </c>
      <c r="AC13" s="397"/>
      <c r="AD13" s="397" t="e">
        <f t="shared" ca="1" si="4"/>
        <v>#REF!</v>
      </c>
      <c r="AE13" s="766"/>
      <c r="AF13" s="770"/>
      <c r="AG13" s="396">
        <f t="shared" si="5"/>
        <v>0</v>
      </c>
      <c r="AH13" s="396" t="e">
        <f t="shared" ca="1" si="6"/>
        <v>#REF!</v>
      </c>
      <c r="AI13" s="396">
        <f t="shared" si="7"/>
        <v>0</v>
      </c>
      <c r="AJ13" s="768" t="str">
        <f t="shared" ca="1" si="8"/>
        <v/>
      </c>
      <c r="AK13" s="769" t="str">
        <f t="shared" si="9"/>
        <v/>
      </c>
      <c r="AL13" s="403"/>
      <c r="AM13" s="402"/>
      <c r="AN13" s="398"/>
      <c r="AO13" s="399"/>
      <c r="AP13" s="399"/>
      <c r="AQ13" s="400"/>
      <c r="AR13" s="400"/>
      <c r="AU13" s="355" t="e">
        <f t="shared" ca="1" si="10"/>
        <v>#REF!</v>
      </c>
      <c r="AX13" s="355" t="s">
        <v>484</v>
      </c>
    </row>
    <row r="14" spans="1:55" ht="26" x14ac:dyDescent="0.15">
      <c r="A14" s="405" t="s">
        <v>438</v>
      </c>
      <c r="B14" s="388" t="e">
        <f>#REF!</f>
        <v>#REF!</v>
      </c>
      <c r="C14" s="389" t="s">
        <v>241</v>
      </c>
      <c r="D14" s="390"/>
      <c r="E14" s="1017">
        <v>2001779</v>
      </c>
      <c r="F14" s="390">
        <v>4400000661</v>
      </c>
      <c r="G14" s="391" t="s">
        <v>884</v>
      </c>
      <c r="H14" s="391" t="s">
        <v>547</v>
      </c>
      <c r="I14" s="392" t="s">
        <v>462</v>
      </c>
      <c r="J14" s="850">
        <f>IFERROR(ROUNDUP(VLOOKUP($B14,#REF!,14,FALSE),-3),0)/IF($P14="USD",FOREX,1)</f>
        <v>0</v>
      </c>
      <c r="K14" s="394" t="e">
        <f ca="1">IF(DAY($K$7-$K$8)&gt;O14,0,IFERROR(SUM(OFFSET(INDIRECT(CONCATENATE("'Daily Cost'!A",MATCH($B14,#REF!,0)+8),TRUE),0,8,1,K$8)),0))</f>
        <v>#REF!</v>
      </c>
      <c r="L14" s="394">
        <f ca="1">IFERROR(SUM(OFFSET(INDIRECT(CONCATENATE("'Daily Cost'!A",MATCH($B14,#REF!,0)+8),TRUE),0,IF(DAY($K$7-$K$8)&gt;$O14,8,8+$K$8),1,$K$8+(DATE(YEAR($L$7),MONTH($L$7),$O14)-($K$7-1)))),0)</f>
        <v>0</v>
      </c>
      <c r="M14" s="394">
        <f ca="1">IFERROR(SUM(OFFSET(INDIRECT(CONCATENATE("'Daily Cost'!A",MATCH($B14,#REF!,0)+8),TRUE),0,8+$K$8+(DATE(YEAR($L$7),MONTH($L$7),$O14)-($K$7-1)),1,IF(DAY(#REF!)&gt;21,DATE(YEAR($M$7),MONTH($M$7),$O14)-DATE(YEAR($L$7),MONTH($L$7),$O14),#REF!-DATE(YEAR($L$7),MONTH($L$7),$O14)))),0)</f>
        <v>0</v>
      </c>
      <c r="N14" s="394">
        <f ca="1">IFERROR(IF(K14=0,(VLOOKUP($B14,#REF!,5,FALSE))-SUM(L14:M14),""),0)</f>
        <v>0</v>
      </c>
      <c r="O14" s="395">
        <f t="shared" si="12"/>
        <v>21</v>
      </c>
      <c r="P14" s="396" t="s">
        <v>362</v>
      </c>
      <c r="Q14" s="396"/>
      <c r="R14" s="851" t="e">
        <f ca="1">IF(DATE(YEAR(R$7),MONTH(R$7),$O14)&gt;=MAX(INPUT!$M$6:$M$16),J14,SUMIFS(INDIRECT(CONCATENATE("'Daily Cost'!I",MATCH($B14,#REF!,0)+3,":FB",MATCH($B14,#REF!,0)+3)),#REF!,"&gt;="&amp;INPUT!$L$6,#REF!,"&lt;="&amp;DATE(YEAR(R$7),MONTH(R$7),$O14))/IF($P14="USD",FOREX,1))</f>
        <v>#REF!</v>
      </c>
      <c r="S14" s="851" t="e">
        <f ca="1">IF(DATE(YEAR(S$7),MONTH(S$7),$O14)&gt;=MAX(INPUT!$M$6:$M$16),J14-R14,SUMIFS(INDIRECT(CONCATENATE("'Daily Cost'!I",MATCH($B14,#REF!,0)+3,":FB",MATCH($B14,#REF!,0)+3)),#REF!,"&gt;="&amp;DATE(YEAR(R$7),MONTH(R$7),$O14+1),#REF!,"&lt;="&amp;DATE(YEAR(S$7),MONTH(S$7),$O14))/IF($P14="USD",FOREX,1))</f>
        <v>#REF!</v>
      </c>
      <c r="T14" s="851" t="e">
        <f ca="1">IF(DATE(YEAR(T$7),MONTH(T$7),$O14)&gt;=MAX(INPUT!$M$6:$M$16),J14-R14-S14,SUMIFS(INDIRECT(CONCATENATE("'Daily Cost'!I",MATCH($B14,#REF!,0)+3,":FB",MATCH($B14,#REF!,0)+3)),#REF!,"&gt;=" &amp; DATE(YEAR(S$7),MONTH(S$7),$O14+1),#REF!,"&lt;=" &amp; DATE(YEAR(T$7),MONTH(T$7),$O14))/IF($P14="USD",FOREX,1))</f>
        <v>#REF!</v>
      </c>
      <c r="U14" s="851" t="e">
        <f t="shared" ca="1" si="0"/>
        <v>#REF!</v>
      </c>
      <c r="V14" s="396" t="e">
        <f t="shared" ca="1" si="11"/>
        <v>#REF!</v>
      </c>
      <c r="W14" s="396"/>
      <c r="X14" s="396">
        <v>345953.47</v>
      </c>
      <c r="Y14" s="396">
        <f>X14</f>
        <v>345953.47</v>
      </c>
      <c r="Z14" s="396"/>
      <c r="AA14" s="397" t="e">
        <f t="shared" si="3"/>
        <v>#REF!</v>
      </c>
      <c r="AB14" s="397" t="e">
        <f t="shared" ca="1" si="2"/>
        <v>#REF!</v>
      </c>
      <c r="AC14" s="397">
        <f>(12000*FOREX)+(250*FOREX*30)</f>
        <v>994500</v>
      </c>
      <c r="AD14" s="397" t="e">
        <f ca="1">AB14-AC14</f>
        <v>#REF!</v>
      </c>
      <c r="AE14" s="766" t="e">
        <f ca="1">AD14/AB14</f>
        <v>#REF!</v>
      </c>
      <c r="AF14" s="770" t="s">
        <v>790</v>
      </c>
      <c r="AG14" s="396">
        <f t="shared" si="5"/>
        <v>0</v>
      </c>
      <c r="AH14" s="396" t="e">
        <f t="shared" ca="1" si="6"/>
        <v>#REF!</v>
      </c>
      <c r="AI14" s="396">
        <f t="shared" si="7"/>
        <v>345953.47</v>
      </c>
      <c r="AJ14" s="768" t="str">
        <f t="shared" ca="1" si="8"/>
        <v/>
      </c>
      <c r="AK14" s="769" t="str">
        <f t="shared" si="9"/>
        <v/>
      </c>
      <c r="AL14" s="403"/>
      <c r="AM14" s="398"/>
      <c r="AN14" s="398"/>
      <c r="AO14" s="399"/>
      <c r="AP14" s="399"/>
      <c r="AQ14" s="406"/>
      <c r="AR14" s="406"/>
      <c r="AU14" s="355" t="e">
        <f t="shared" ca="1" si="10"/>
        <v>#REF!</v>
      </c>
      <c r="AX14" s="355" t="s">
        <v>485</v>
      </c>
      <c r="AZ14" s="355" t="s">
        <v>791</v>
      </c>
      <c r="BA14" s="371" t="e">
        <f>#REF!</f>
        <v>#REF!</v>
      </c>
      <c r="BB14" s="765" t="e">
        <f ca="1">BA14/$AB$12</f>
        <v>#REF!</v>
      </c>
      <c r="BC14" s="470" t="s">
        <v>792</v>
      </c>
    </row>
    <row r="15" spans="1:55" ht="12.75" customHeight="1" x14ac:dyDescent="0.15">
      <c r="A15" s="387" t="s">
        <v>464</v>
      </c>
      <c r="B15" s="388"/>
      <c r="C15" s="389" t="s">
        <v>241</v>
      </c>
      <c r="D15" s="390"/>
      <c r="E15" s="1017">
        <v>2001779</v>
      </c>
      <c r="F15" s="390"/>
      <c r="G15" s="391"/>
      <c r="H15" s="391" t="s">
        <v>547</v>
      </c>
      <c r="I15" s="392" t="s">
        <v>462</v>
      </c>
      <c r="J15" s="850">
        <f>IFERROR(ROUNDUP(VLOOKUP($B15,#REF!,14,FALSE),-3),0)/IF($P15="USD",FOREX,1)</f>
        <v>0</v>
      </c>
      <c r="K15" s="394" t="e">
        <f ca="1">IF(DAY($K$7-$K$8)&gt;O15,0,IFERROR(SUM(OFFSET(INDIRECT(CONCATENATE("'Daily Cost'!A",MATCH($B15,#REF!,0)+8),TRUE),0,8,1,K$8)),0))</f>
        <v>#REF!</v>
      </c>
      <c r="L15" s="394">
        <f ca="1">IFERROR(SUM(OFFSET(INDIRECT(CONCATENATE("'Daily Cost'!A",MATCH($B15,#REF!,0)+8),TRUE),0,IF(DAY($K$7-$K$8)&gt;$O15,8,8+$K$8),1,$K$8+(DATE(YEAR($L$7),MONTH($L$7),$O15)-($K$7-1)))),0)</f>
        <v>0</v>
      </c>
      <c r="M15" s="394">
        <f ca="1">IFERROR(SUM(OFFSET(INDIRECT(CONCATENATE("'Daily Cost'!A",MATCH($B15,#REF!,0)+8),TRUE),0,8+$K$8+(DATE(YEAR($L$7),MONTH($L$7),$O15)-($K$7-1)),1,IF(DAY(#REF!)&gt;21,DATE(YEAR($M$7),MONTH($M$7),$O15)-DATE(YEAR($L$7),MONTH($L$7),$O15),#REF!-DATE(YEAR($L$7),MONTH($L$7),$O15)))),0)</f>
        <v>0</v>
      </c>
      <c r="N15" s="394">
        <f ca="1">IFERROR(IF(K15=0,(VLOOKUP($B15,#REF!,5,FALSE))-SUM(L15:M15),""),0)</f>
        <v>0</v>
      </c>
      <c r="O15" s="395">
        <f t="shared" si="12"/>
        <v>21</v>
      </c>
      <c r="P15" s="396" t="s">
        <v>362</v>
      </c>
      <c r="Q15" s="396"/>
      <c r="R15" s="851" t="e">
        <f ca="1">IF(DATE(YEAR(R$7),MONTH(R$7),$O15)&gt;=MAX(INPUT!$M$6:$M$16),J15,SUMIFS(INDIRECT(CONCATENATE("'Daily Cost'!I",MATCH($B15,#REF!,0)+3,":FB",MATCH($B15,#REF!,0)+3)),#REF!,"&gt;="&amp;INPUT!$L$6,#REF!,"&lt;="&amp;DATE(YEAR(R$7),MONTH(R$7),$O15))/IF($P15="USD",FOREX,1))</f>
        <v>#REF!</v>
      </c>
      <c r="S15" s="851" t="e">
        <f ca="1">IF(DATE(YEAR(S$7),MONTH(S$7),$O15)&gt;=MAX(INPUT!$M$6:$M$16),J15-R15,SUMIFS(INDIRECT(CONCATENATE("'Daily Cost'!I",MATCH($B15,#REF!,0)+3,":FB",MATCH($B15,#REF!,0)+3)),#REF!,"&gt;="&amp;DATE(YEAR(R$7),MONTH(R$7),$O15+1),#REF!,"&lt;="&amp;DATE(YEAR(S$7),MONTH(S$7),$O15))/IF($P15="USD",FOREX,1))</f>
        <v>#REF!</v>
      </c>
      <c r="T15" s="851" t="e">
        <f ca="1">IF(DATE(YEAR(T$7),MONTH(T$7),$O15)&gt;=MAX(INPUT!$M$6:$M$16),J15-R15-S15,SUMIFS(INDIRECT(CONCATENATE("'Daily Cost'!I",MATCH($B15,#REF!,0)+3,":FB",MATCH($B15,#REF!,0)+3)),#REF!,"&gt;=" &amp; DATE(YEAR(S$7),MONTH(S$7),$O15+1),#REF!,"&lt;=" &amp; DATE(YEAR(T$7),MONTH(T$7),$O15))/IF($P15="USD",FOREX,1))</f>
        <v>#REF!</v>
      </c>
      <c r="U15" s="851" t="e">
        <f t="shared" ca="1" si="0"/>
        <v>#REF!</v>
      </c>
      <c r="V15" s="396" t="e">
        <f t="shared" ca="1" si="11"/>
        <v>#REF!</v>
      </c>
      <c r="W15" s="396"/>
      <c r="X15" s="396"/>
      <c r="Y15" s="396">
        <f t="shared" si="1"/>
        <v>0</v>
      </c>
      <c r="Z15" s="396"/>
      <c r="AA15" s="397">
        <f t="shared" si="3"/>
        <v>0</v>
      </c>
      <c r="AB15" s="397" t="e">
        <f t="shared" ca="1" si="2"/>
        <v>#REF!</v>
      </c>
      <c r="AC15" s="397"/>
      <c r="AD15" s="397" t="e">
        <f t="shared" ca="1" si="4"/>
        <v>#REF!</v>
      </c>
      <c r="AE15" s="766"/>
      <c r="AF15" s="770"/>
      <c r="AG15" s="396">
        <f t="shared" si="5"/>
        <v>0</v>
      </c>
      <c r="AH15" s="396" t="e">
        <f t="shared" ca="1" si="6"/>
        <v>#REF!</v>
      </c>
      <c r="AI15" s="396">
        <f t="shared" si="7"/>
        <v>0</v>
      </c>
      <c r="AJ15" s="768" t="str">
        <f t="shared" ca="1" si="8"/>
        <v/>
      </c>
      <c r="AK15" s="769" t="str">
        <f t="shared" si="9"/>
        <v/>
      </c>
      <c r="AL15" s="403"/>
      <c r="AM15" s="398"/>
      <c r="AN15" s="398"/>
      <c r="AO15" s="399"/>
      <c r="AP15" s="399"/>
      <c r="AQ15" s="401"/>
      <c r="AR15" s="406"/>
      <c r="AU15" s="355" t="e">
        <f t="shared" ca="1" si="10"/>
        <v>#REF!</v>
      </c>
      <c r="AX15" s="355" t="s">
        <v>486</v>
      </c>
    </row>
    <row r="16" spans="1:55" ht="12.75" customHeight="1" x14ac:dyDescent="0.15">
      <c r="A16" s="387" t="s">
        <v>863</v>
      </c>
      <c r="B16" s="388" t="e">
        <f>#REF!</f>
        <v>#REF!</v>
      </c>
      <c r="C16" s="389" t="s">
        <v>241</v>
      </c>
      <c r="D16" s="390"/>
      <c r="E16" s="1017">
        <v>2001779</v>
      </c>
      <c r="F16" s="390">
        <v>4400000665</v>
      </c>
      <c r="G16" s="391" t="s">
        <v>885</v>
      </c>
      <c r="H16" s="391" t="s">
        <v>547</v>
      </c>
      <c r="I16" s="392" t="s">
        <v>462</v>
      </c>
      <c r="J16" s="850">
        <f>IFERROR(ROUNDUP(VLOOKUP($B16,#REF!,14,FALSE),-3),0)/IF($P16="USD",FOREX,1)</f>
        <v>0</v>
      </c>
      <c r="K16" s="394" t="e">
        <f ca="1">IF(DAY($K$7-$K$8)&gt;O16,0,IFERROR(SUM(OFFSET(INDIRECT(CONCATENATE("'Daily Cost'!A",MATCH($B16,#REF!,0)+8),TRUE),0,8,1,K$8)),0))</f>
        <v>#REF!</v>
      </c>
      <c r="L16" s="394">
        <f ca="1">IFERROR(SUM(OFFSET(INDIRECT(CONCATENATE("'Daily Cost'!A",MATCH($B16,#REF!,0)+8),TRUE),0,IF(DAY($K$7-$K$8)&gt;$O16,8,8+$K$8),1,$K$8+(DATE(YEAR($L$7),MONTH($L$7),$O16)-($K$7-1)))),0)</f>
        <v>0</v>
      </c>
      <c r="M16" s="394">
        <f ca="1">IFERROR(SUM(OFFSET(INDIRECT(CONCATENATE("'Daily Cost'!A",MATCH($B16,#REF!,0)+8),TRUE),0,8+$K$8+(DATE(YEAR($L$7),MONTH($L$7),$O16)-($K$7-1)),1,IF(DAY(#REF!)&gt;21,DATE(YEAR($M$7),MONTH($M$7),$O16)-DATE(YEAR($L$7),MONTH($L$7),$O16),#REF!-DATE(YEAR($L$7),MONTH($L$7),$O16)))),0)</f>
        <v>0</v>
      </c>
      <c r="N16" s="394">
        <f ca="1">IFERROR(IF(K16=0,(VLOOKUP($B16,#REF!,5,FALSE))-SUM(L16:M16),""),0)</f>
        <v>0</v>
      </c>
      <c r="O16" s="395">
        <f t="shared" si="12"/>
        <v>21</v>
      </c>
      <c r="P16" s="396" t="s">
        <v>362</v>
      </c>
      <c r="Q16" s="396"/>
      <c r="R16" s="851" t="e">
        <f ca="1">IF(DATE(YEAR(R$7),MONTH(R$7),$O16)&gt;=MAX(INPUT!$M$6:$M$16),J16,SUMIFS(INDIRECT(CONCATENATE("'Daily Cost'!I",MATCH($B16,#REF!,0)+3,":FB",MATCH($B16,#REF!,0)+3)),#REF!,"&gt;="&amp;INPUT!$L$6,#REF!,"&lt;="&amp;DATE(YEAR(R$7),MONTH(R$7),$O16))/IF($P16="USD",FOREX,1))</f>
        <v>#REF!</v>
      </c>
      <c r="S16" s="851" t="e">
        <f ca="1">IF(DATE(YEAR(S$7),MONTH(S$7),$O16)&gt;=MAX(INPUT!$M$6:$M$16),J16-R16,SUMIFS(INDIRECT(CONCATENATE("'Daily Cost'!I",MATCH($B16,#REF!,0)+3,":FB",MATCH($B16,#REF!,0)+3)),#REF!,"&gt;="&amp;DATE(YEAR(R$7),MONTH(R$7),$O16+1),#REF!,"&lt;="&amp;DATE(YEAR(S$7),MONTH(S$7),$O16))/IF($P16="USD",FOREX,1))</f>
        <v>#REF!</v>
      </c>
      <c r="T16" s="851" t="e">
        <f ca="1">IF(DATE(YEAR(T$7),MONTH(T$7),$O16)&gt;=MAX(INPUT!$M$6:$M$16),J16-R16-S16,SUMIFS(INDIRECT(CONCATENATE("'Daily Cost'!I",MATCH($B16,#REF!,0)+3,":FB",MATCH($B16,#REF!,0)+3)),#REF!,"&gt;=" &amp; DATE(YEAR(S$7),MONTH(S$7),$O16+1),#REF!,"&lt;=" &amp; DATE(YEAR(T$7),MONTH(T$7),$O16))/IF($P16="USD",FOREX,1))</f>
        <v>#REF!</v>
      </c>
      <c r="U16" s="851" t="e">
        <f t="shared" ca="1" si="0"/>
        <v>#REF!</v>
      </c>
      <c r="V16" s="396" t="e">
        <f t="shared" ca="1" si="11"/>
        <v>#REF!</v>
      </c>
      <c r="W16" s="396"/>
      <c r="X16" s="396"/>
      <c r="Y16" s="396">
        <f t="shared" si="1"/>
        <v>0</v>
      </c>
      <c r="Z16" s="396"/>
      <c r="AA16" s="397" t="e">
        <f t="shared" si="3"/>
        <v>#REF!</v>
      </c>
      <c r="AB16" s="397" t="e">
        <f t="shared" ca="1" si="2"/>
        <v>#REF!</v>
      </c>
      <c r="AC16" s="397"/>
      <c r="AD16" s="397" t="e">
        <f t="shared" ca="1" si="4"/>
        <v>#REF!</v>
      </c>
      <c r="AE16" s="766"/>
      <c r="AF16" s="770"/>
      <c r="AG16" s="396">
        <f t="shared" si="5"/>
        <v>0</v>
      </c>
      <c r="AH16" s="396" t="e">
        <f t="shared" ca="1" si="6"/>
        <v>#REF!</v>
      </c>
      <c r="AI16" s="396">
        <f t="shared" si="7"/>
        <v>0</v>
      </c>
      <c r="AJ16" s="768" t="str">
        <f t="shared" ca="1" si="8"/>
        <v/>
      </c>
      <c r="AK16" s="769" t="str">
        <f t="shared" si="9"/>
        <v/>
      </c>
      <c r="AL16" s="403"/>
      <c r="AM16" s="402"/>
      <c r="AN16" s="398"/>
      <c r="AO16" s="399"/>
      <c r="AP16" s="399"/>
      <c r="AQ16" s="400"/>
      <c r="AR16" s="400"/>
      <c r="AU16" s="355" t="e">
        <f t="shared" ca="1" si="10"/>
        <v>#REF!</v>
      </c>
      <c r="AX16" s="355" t="s">
        <v>487</v>
      </c>
    </row>
    <row r="17" spans="1:55" ht="14" x14ac:dyDescent="0.15">
      <c r="A17" s="387" t="s">
        <v>439</v>
      </c>
      <c r="B17" s="388" t="e">
        <f>#REF!</f>
        <v>#REF!</v>
      </c>
      <c r="C17" s="389" t="s">
        <v>241</v>
      </c>
      <c r="D17" s="390"/>
      <c r="E17" s="1017">
        <v>2001779</v>
      </c>
      <c r="F17" s="390">
        <v>4400000666</v>
      </c>
      <c r="G17" s="391" t="s">
        <v>1054</v>
      </c>
      <c r="H17" s="391" t="s">
        <v>547</v>
      </c>
      <c r="I17" s="392" t="s">
        <v>462</v>
      </c>
      <c r="J17" s="850">
        <f>IFERROR(ROUNDUP(VLOOKUP($B17,#REF!,14,FALSE),-3),0)/IF($P17="USD",FOREX,1)</f>
        <v>0</v>
      </c>
      <c r="K17" s="394" t="e">
        <f ca="1">IF(DAY($K$7-$K$8)&gt;O17,0,IFERROR(SUM(OFFSET(INDIRECT(CONCATENATE("'Daily Cost'!A",MATCH($B17,#REF!,0)+8),TRUE),0,8,1,K$8)),0))</f>
        <v>#REF!</v>
      </c>
      <c r="L17" s="394">
        <f ca="1">IFERROR(SUM(OFFSET(INDIRECT(CONCATENATE("'Daily Cost'!A",MATCH($B17,#REF!,0)+8),TRUE),0,IF(DAY($K$7-$K$8)&gt;$O17,8,8+$K$8),1,$K$8+(DATE(YEAR($L$7),MONTH($L$7),$O17)-($K$7-1)))),0)</f>
        <v>0</v>
      </c>
      <c r="M17" s="394">
        <f ca="1">IFERROR(SUM(OFFSET(INDIRECT(CONCATENATE("'Daily Cost'!A",MATCH($B17,#REF!,0)+8),TRUE),0,8+$K$8+(DATE(YEAR($L$7),MONTH($L$7),$O17)-($K$7-1)),1,IF(DAY(#REF!)&gt;21,DATE(YEAR($M$7),MONTH($M$7),$O17)-DATE(YEAR($L$7),MONTH($L$7),$O17),#REF!-DATE(YEAR($L$7),MONTH($L$7),$O17)))),0)</f>
        <v>0</v>
      </c>
      <c r="N17" s="394">
        <f ca="1">IFERROR(IF(K17=0,(VLOOKUP($B17,#REF!,5,FALSE))-SUM(L17:M17),""),0)</f>
        <v>0</v>
      </c>
      <c r="O17" s="395">
        <f t="shared" si="12"/>
        <v>21</v>
      </c>
      <c r="P17" s="396" t="s">
        <v>362</v>
      </c>
      <c r="Q17" s="396"/>
      <c r="R17" s="851" t="e">
        <f ca="1">IF(DATE(YEAR(R$7),MONTH(R$7),$O17)&gt;=MAX(INPUT!$M$6:$M$16),J17,SUMIFS(INDIRECT(CONCATENATE("'Daily Cost'!I",MATCH($B17,#REF!,0)+3,":FB",MATCH($B17,#REF!,0)+3)),#REF!,"&gt;="&amp;INPUT!$L$6,#REF!,"&lt;="&amp;DATE(YEAR(R$7),MONTH(R$7),$O17))/IF($P17="USD",FOREX,1))</f>
        <v>#REF!</v>
      </c>
      <c r="S17" s="851" t="e">
        <f ca="1">IF(DATE(YEAR(S$7),MONTH(S$7),$O17)&gt;=MAX(INPUT!$M$6:$M$16),J17-R17,SUMIFS(INDIRECT(CONCATENATE("'Daily Cost'!I",MATCH($B17,#REF!,0)+3,":FB",MATCH($B17,#REF!,0)+3)),#REF!,"&gt;="&amp;DATE(YEAR(R$7),MONTH(R$7),$O17+1),#REF!,"&lt;="&amp;DATE(YEAR(S$7),MONTH(S$7),$O17))/IF($P17="USD",FOREX,1))</f>
        <v>#REF!</v>
      </c>
      <c r="T17" s="851" t="e">
        <f ca="1">IF(DATE(YEAR(T$7),MONTH(T$7),$O17)&gt;=MAX(INPUT!$M$6:$M$16),J17-R17-S17,SUMIFS(INDIRECT(CONCATENATE("'Daily Cost'!I",MATCH($B17,#REF!,0)+3,":FB",MATCH($B17,#REF!,0)+3)),#REF!,"&gt;=" &amp; DATE(YEAR(S$7),MONTH(S$7),$O17+1),#REF!,"&lt;=" &amp; DATE(YEAR(T$7),MONTH(T$7),$O17))/IF($P17="USD",FOREX,1))</f>
        <v>#REF!</v>
      </c>
      <c r="U17" s="851" t="e">
        <f t="shared" ca="1" si="0"/>
        <v>#REF!</v>
      </c>
      <c r="V17" s="396" t="e">
        <f t="shared" ca="1" si="11"/>
        <v>#REF!</v>
      </c>
      <c r="W17" s="396"/>
      <c r="X17" s="396">
        <v>5393655.9900000002</v>
      </c>
      <c r="Y17" s="396">
        <f t="shared" si="1"/>
        <v>5393655.9900000002</v>
      </c>
      <c r="Z17" s="396"/>
      <c r="AA17" s="397" t="e">
        <f t="shared" si="3"/>
        <v>#REF!</v>
      </c>
      <c r="AB17" s="397" t="e">
        <f t="shared" ca="1" si="2"/>
        <v>#REF!</v>
      </c>
      <c r="AC17" s="397">
        <f>770731.92*21/30</f>
        <v>539512.34400000004</v>
      </c>
      <c r="AD17" s="397" t="e">
        <f ca="1">AB17-AC17</f>
        <v>#REF!</v>
      </c>
      <c r="AE17" s="766" t="e">
        <f ca="1">AD17/AB17</f>
        <v>#REF!</v>
      </c>
      <c r="AF17" s="767" t="str">
        <f>CONCATENATE("None was charged yet on Dec 2013, Due to FM. ")</f>
        <v xml:space="preserve">None was charged yet on Dec 2013, Due to FM. </v>
      </c>
      <c r="AG17" s="396">
        <f t="shared" si="5"/>
        <v>0</v>
      </c>
      <c r="AH17" s="396" t="e">
        <f t="shared" ca="1" si="6"/>
        <v>#REF!</v>
      </c>
      <c r="AI17" s="396">
        <f t="shared" si="7"/>
        <v>5393655.9900000002</v>
      </c>
      <c r="AJ17" s="768" t="str">
        <f t="shared" ca="1" si="8"/>
        <v/>
      </c>
      <c r="AK17" s="769" t="str">
        <f t="shared" si="9"/>
        <v/>
      </c>
      <c r="AL17" s="403"/>
      <c r="AM17" s="402"/>
      <c r="AN17" s="398"/>
      <c r="AO17" s="399"/>
      <c r="AP17" s="399"/>
      <c r="AQ17" s="400"/>
      <c r="AR17" s="406"/>
      <c r="AU17" s="355" t="e">
        <f t="shared" ca="1" si="10"/>
        <v>#REF!</v>
      </c>
      <c r="AX17" s="355" t="s">
        <v>488</v>
      </c>
      <c r="AZ17" s="355" t="s">
        <v>294</v>
      </c>
      <c r="BA17" s="758">
        <f>992543.5-363935</f>
        <v>628608.5</v>
      </c>
      <c r="BB17" s="765" t="e">
        <f ca="1">BA17/$AB$12</f>
        <v>#REF!</v>
      </c>
      <c r="BC17" s="772" t="s">
        <v>793</v>
      </c>
    </row>
    <row r="18" spans="1:55" ht="14" x14ac:dyDescent="0.15">
      <c r="A18" s="405" t="s">
        <v>440</v>
      </c>
      <c r="B18" s="388" t="e">
        <f>#REF!</f>
        <v>#REF!</v>
      </c>
      <c r="C18" s="389" t="s">
        <v>241</v>
      </c>
      <c r="D18" s="390"/>
      <c r="E18" s="1017">
        <v>2001779</v>
      </c>
      <c r="F18" s="390">
        <v>4400000663</v>
      </c>
      <c r="G18" s="391" t="s">
        <v>886</v>
      </c>
      <c r="H18" s="391" t="s">
        <v>547</v>
      </c>
      <c r="I18" s="392" t="s">
        <v>462</v>
      </c>
      <c r="J18" s="850">
        <f>IFERROR(ROUNDUP(VLOOKUP($B18,#REF!,14,FALSE),-3),0)/IF($P18="USD",FOREX,1)</f>
        <v>0</v>
      </c>
      <c r="K18" s="394" t="e">
        <f ca="1">IF(DAY($K$7-$K$8)&gt;O18,0,IFERROR(SUM(OFFSET(INDIRECT(CONCATENATE("'Daily Cost'!A",MATCH($B18,#REF!,0)+8),TRUE),0,8,1,K$8)),0))</f>
        <v>#REF!</v>
      </c>
      <c r="L18" s="394">
        <f ca="1">IFERROR(SUM(OFFSET(INDIRECT(CONCATENATE("'Daily Cost'!A",MATCH($B18,#REF!,0)+8),TRUE),0,IF(DAY($K$7-$K$8)&gt;$O18,8,8+$K$8),1,$K$8+(DATE(YEAR($L$7),MONTH($L$7),$O18)-($K$7-1)))),0)</f>
        <v>0</v>
      </c>
      <c r="M18" s="394">
        <f ca="1">IFERROR(SUM(OFFSET(INDIRECT(CONCATENATE("'Daily Cost'!A",MATCH($B18,#REF!,0)+8),TRUE),0,8+$K$8+(DATE(YEAR($L$7),MONTH($L$7),$O18)-($K$7-1)),1,IF(DAY(#REF!)&gt;21,DATE(YEAR($M$7),MONTH($M$7),$O18)-DATE(YEAR($L$7),MONTH($L$7),$O18),#REF!-DATE(YEAR($L$7),MONTH($L$7),$O18)))),0)</f>
        <v>0</v>
      </c>
      <c r="N18" s="394">
        <f ca="1">IFERROR(IF(K18=0,(VLOOKUP($B18,#REF!,5,FALSE))-SUM(L18:M18),""),0)</f>
        <v>0</v>
      </c>
      <c r="O18" s="395">
        <f t="shared" si="12"/>
        <v>21</v>
      </c>
      <c r="P18" s="396" t="s">
        <v>362</v>
      </c>
      <c r="Q18" s="396"/>
      <c r="R18" s="851" t="e">
        <f ca="1">IF(DATE(YEAR(R$7),MONTH(R$7),$O18)&gt;=MAX(INPUT!$M$6:$M$16),J18,SUMIFS(INDIRECT(CONCATENATE("'Daily Cost'!I",MATCH($B18,#REF!,0)+3,":FB",MATCH($B18,#REF!,0)+3)),#REF!,"&gt;="&amp;INPUT!$L$6,#REF!,"&lt;="&amp;DATE(YEAR(R$7),MONTH(R$7),$O18))/IF($P18="USD",FOREX,1))</f>
        <v>#REF!</v>
      </c>
      <c r="S18" s="851" t="e">
        <f ca="1">IF(DATE(YEAR(S$7),MONTH(S$7),$O18)&gt;=MAX(INPUT!$M$6:$M$16),J18-R18,SUMIFS(INDIRECT(CONCATENATE("'Daily Cost'!I",MATCH($B18,#REF!,0)+3,":FB",MATCH($B18,#REF!,0)+3)),#REF!,"&gt;="&amp;DATE(YEAR(R$7),MONTH(R$7),$O18+1),#REF!,"&lt;="&amp;DATE(YEAR(S$7),MONTH(S$7),$O18))/IF($P18="USD",FOREX,1))</f>
        <v>#REF!</v>
      </c>
      <c r="T18" s="851" t="e">
        <f ca="1">IF(DATE(YEAR(T$7),MONTH(T$7),$O18)&gt;=MAX(INPUT!$M$6:$M$16),J18-R18-S18,SUMIFS(INDIRECT(CONCATENATE("'Daily Cost'!I",MATCH($B18,#REF!,0)+3,":FB",MATCH($B18,#REF!,0)+3)),#REF!,"&gt;=" &amp; DATE(YEAR(S$7),MONTH(S$7),$O18+1),#REF!,"&lt;=" &amp; DATE(YEAR(T$7),MONTH(T$7),$O18))/IF($P18="USD",FOREX,1))</f>
        <v>#REF!</v>
      </c>
      <c r="U18" s="851" t="e">
        <f t="shared" ca="1" si="0"/>
        <v>#REF!</v>
      </c>
      <c r="V18" s="396" t="e">
        <f t="shared" ca="1" si="11"/>
        <v>#REF!</v>
      </c>
      <c r="W18" s="396"/>
      <c r="X18" s="396">
        <v>15823133.109999999</v>
      </c>
      <c r="Y18" s="396">
        <f t="shared" si="1"/>
        <v>15823133.109999999</v>
      </c>
      <c r="Z18" s="396"/>
      <c r="AA18" s="397" t="e">
        <f t="shared" si="3"/>
        <v>#REF!</v>
      </c>
      <c r="AB18" s="397" t="e">
        <f t="shared" ca="1" si="2"/>
        <v>#REF!</v>
      </c>
      <c r="AC18" s="397">
        <f>41321*44</f>
        <v>1818124</v>
      </c>
      <c r="AD18" s="397" t="e">
        <f t="shared" ca="1" si="4"/>
        <v>#REF!</v>
      </c>
      <c r="AE18" s="766" t="e">
        <f ca="1">AD18/AB18</f>
        <v>#REF!</v>
      </c>
      <c r="AF18" s="773"/>
      <c r="AG18" s="396">
        <f t="shared" si="5"/>
        <v>0</v>
      </c>
      <c r="AH18" s="396" t="e">
        <f t="shared" ca="1" si="6"/>
        <v>#REF!</v>
      </c>
      <c r="AI18" s="396">
        <f t="shared" si="7"/>
        <v>15823133.109999999</v>
      </c>
      <c r="AJ18" s="768" t="str">
        <f t="shared" ca="1" si="8"/>
        <v/>
      </c>
      <c r="AK18" s="769" t="str">
        <f t="shared" si="9"/>
        <v/>
      </c>
      <c r="AL18" s="403"/>
      <c r="AM18" s="402"/>
      <c r="AN18" s="398"/>
      <c r="AO18" s="399"/>
      <c r="AP18" s="399"/>
      <c r="AQ18" s="401"/>
      <c r="AR18" s="401"/>
      <c r="AU18" s="355" t="e">
        <f t="shared" ca="1" si="10"/>
        <v>#REF!</v>
      </c>
      <c r="AX18" s="355" t="s">
        <v>489</v>
      </c>
      <c r="AZ18" s="355" t="s">
        <v>295</v>
      </c>
      <c r="BA18" s="758">
        <v>1114290</v>
      </c>
      <c r="BB18" s="765" t="e">
        <f ca="1">BA18/$AB$12</f>
        <v>#REF!</v>
      </c>
      <c r="BC18" s="772" t="s">
        <v>794</v>
      </c>
    </row>
    <row r="19" spans="1:55" ht="14" x14ac:dyDescent="0.15">
      <c r="A19" s="405" t="s">
        <v>795</v>
      </c>
      <c r="B19" s="407" t="e">
        <f>#REF!</f>
        <v>#REF!</v>
      </c>
      <c r="C19" s="389" t="s">
        <v>241</v>
      </c>
      <c r="D19" s="407"/>
      <c r="E19" s="1017">
        <v>2001779</v>
      </c>
      <c r="F19" s="390">
        <v>4400000668</v>
      </c>
      <c r="G19" s="391" t="s">
        <v>887</v>
      </c>
      <c r="H19" s="391" t="s">
        <v>547</v>
      </c>
      <c r="I19" s="392" t="s">
        <v>462</v>
      </c>
      <c r="J19" s="850">
        <f>IFERROR(ROUNDUP(VLOOKUP($B19,#REF!,14,FALSE),-3)+IF(INPUT!$D$5="Rig 16",'COVER SHEET'!#REF!,0),0)/IF($P19="USD",FOREX,1)</f>
        <v>0</v>
      </c>
      <c r="K19" s="394" t="e">
        <f ca="1">IF(DAY($K$7-$K$8)&gt;O19,0,IFERROR(SUM(OFFSET(INDIRECT(CONCATENATE("'Daily Cost'!A",MATCH($B19,#REF!,0)+8),TRUE),0,8,1,K$8)),0))</f>
        <v>#REF!</v>
      </c>
      <c r="L19" s="394">
        <f ca="1">IFERROR(SUM(OFFSET(INDIRECT(CONCATENATE("'Daily Cost'!A",MATCH($B19,#REF!,0)+8),TRUE),0,IF(DAY($K$7-$K$8)&gt;$O19,8,8+$K$8),1,$K$8+(DATE(YEAR($L$7),MONTH($L$7),$O19)-($K$7-1)))),0)</f>
        <v>0</v>
      </c>
      <c r="M19" s="394">
        <f ca="1">IFERROR(SUM(OFFSET(INDIRECT(CONCATENATE("'Daily Cost'!A",MATCH($B19,#REF!,0)+8),TRUE),0,8+$K$8+(DATE(YEAR($L$7),MONTH($L$7),$O19)-($K$7-1)),1,IF(DAY(#REF!)&gt;21,DATE(YEAR($M$7),MONTH($M$7),$O19)-DATE(YEAR($L$7),MONTH($L$7),$O19),#REF!-DATE(YEAR($L$7),MONTH($L$7),$O19)))),0)</f>
        <v>0</v>
      </c>
      <c r="N19" s="394">
        <f ca="1">IFERROR(IF(K19=0,(VLOOKUP($B19,#REF!,5,FALSE))-SUM(L19:M19),""),0)</f>
        <v>0</v>
      </c>
      <c r="O19" s="395">
        <v>21</v>
      </c>
      <c r="P19" s="396" t="s">
        <v>361</v>
      </c>
      <c r="Q19" s="396"/>
      <c r="R19" s="851" t="e">
        <f ca="1">IF(DATE(YEAR(R$7),MONTH(R$7),$O19)&gt;=MAX(INPUT!$M$6:$M$16),J19,SUMIFS(INDIRECT(CONCATENATE("'Daily Cost'!I",MATCH($B19,#REF!,0)+3,":FB",MATCH($B19,#REF!,0)+3)),#REF!,"&gt;="&amp;INPUT!$L$6,#REF!,"&lt;="&amp;DATE(YEAR(R$7),MONTH(R$7),$O19))/IF($P19="USD",FOREX,1))</f>
        <v>#REF!</v>
      </c>
      <c r="S19" s="851" t="e">
        <f ca="1">IF(DATE(YEAR(S$7),MONTH(S$7),$O19)&gt;=MAX(INPUT!$M$6:$M$16),J19-R19,SUMIFS(INDIRECT(CONCATENATE("'Daily Cost'!I",MATCH($B19,#REF!,0)+3,":FB",MATCH($B19,#REF!,0)+3)),#REF!,"&gt;="&amp;DATE(YEAR(R$7),MONTH(R$7),$O19+1),#REF!,"&lt;="&amp;DATE(YEAR(S$7),MONTH(S$7),$O19))/IF($P19="USD",FOREX,1))</f>
        <v>#REF!</v>
      </c>
      <c r="T19" s="851" t="e">
        <f ca="1">IF(DATE(YEAR(T$7),MONTH(T$7),$O19)&gt;=MAX(INPUT!$M$6:$M$16),J19-R19-S19,SUMIFS(INDIRECT(CONCATENATE("'Daily Cost'!I",MATCH($B19,#REF!,0)+3,":FB",MATCH($B19,#REF!,0)+3)),#REF!,"&gt;=" &amp; DATE(YEAR(S$7),MONTH(S$7),$O19+1),#REF!,"&lt;=" &amp; DATE(YEAR(T$7),MONTH(T$7),$O19))/IF($P19="USD",FOREX,1))</f>
        <v>#REF!</v>
      </c>
      <c r="U19" s="851" t="e">
        <f t="shared" ca="1" si="0"/>
        <v>#REF!</v>
      </c>
      <c r="V19" s="396" t="e">
        <f t="shared" ca="1" si="11"/>
        <v>#REF!</v>
      </c>
      <c r="W19" s="396"/>
      <c r="X19" s="396"/>
      <c r="Y19" s="396"/>
      <c r="Z19" s="396"/>
      <c r="AA19" s="397"/>
      <c r="AB19" s="397"/>
      <c r="AC19" s="397"/>
      <c r="AD19" s="397"/>
      <c r="AE19" s="397"/>
      <c r="AF19" s="397"/>
      <c r="AG19" s="396">
        <f t="shared" si="5"/>
        <v>0</v>
      </c>
      <c r="AH19" s="396" t="e">
        <f t="shared" ca="1" si="6"/>
        <v>#REF!</v>
      </c>
      <c r="AI19" s="396">
        <f t="shared" si="7"/>
        <v>0</v>
      </c>
      <c r="AJ19" s="768" t="str">
        <f t="shared" ca="1" si="8"/>
        <v/>
      </c>
      <c r="AK19" s="769" t="str">
        <f t="shared" si="9"/>
        <v/>
      </c>
      <c r="AL19" s="403"/>
      <c r="AM19" s="402"/>
      <c r="AN19" s="398"/>
      <c r="AO19" s="399"/>
      <c r="AP19" s="399"/>
      <c r="AQ19" s="401"/>
      <c r="AR19" s="406"/>
      <c r="AS19" s="759"/>
      <c r="AT19" s="759"/>
      <c r="AU19" s="355" t="e">
        <f t="shared" ca="1" si="10"/>
        <v>#REF!</v>
      </c>
      <c r="AX19" s="355" t="s">
        <v>490</v>
      </c>
      <c r="AZ19" s="355" t="s">
        <v>796</v>
      </c>
      <c r="BA19" s="758">
        <v>213654.78999999995</v>
      </c>
      <c r="BB19" s="765" t="e">
        <f ca="1">BA19/$AB$12</f>
        <v>#REF!</v>
      </c>
      <c r="BC19" s="772" t="s">
        <v>797</v>
      </c>
    </row>
    <row r="20" spans="1:55" ht="15" thickBot="1" x14ac:dyDescent="0.2">
      <c r="A20" s="405"/>
      <c r="B20" s="407"/>
      <c r="C20" s="389"/>
      <c r="D20" s="390"/>
      <c r="E20" s="1017">
        <v>2001779</v>
      </c>
      <c r="F20" s="390"/>
      <c r="G20" s="391"/>
      <c r="H20" s="391"/>
      <c r="I20" s="392"/>
      <c r="J20" s="393"/>
      <c r="K20" s="394" t="e">
        <f ca="1">IF(DAY($K$7-$K$8)&gt;O20,0,IFERROR(SUM(OFFSET(INDIRECT(CONCATENATE("'Daily Cost'!A",MATCH($B20,#REF!,0)+8),TRUE),0,8,1,K$8)),0))</f>
        <v>#REF!</v>
      </c>
      <c r="L20" s="394">
        <f ca="1">IFERROR(SUM(OFFSET(INDIRECT(CONCATENATE("'Daily Cost'!A",MATCH($B20,#REF!,0)+8),TRUE),0,IF(DAY($K$7-$K$8)&gt;$O20,8,8+$K$8),1,$K$8+(DATE(YEAR($L$7),MONTH($L$7),$O20)-($K$7-1)))),0)</f>
        <v>0</v>
      </c>
      <c r="M20" s="394">
        <f ca="1">IFERROR(SUM(OFFSET(INDIRECT(CONCATENATE("'Daily Cost'!A",MATCH($B20,#REF!,0)+8),TRUE),0,8+$K$8+(DATE(YEAR($L$7),MONTH($L$7),$O20)-($K$7-1)),1,IF(DAY(#REF!)&gt;21,DATE(YEAR($M$7),MONTH($M$7),$O20)-DATE(YEAR($L$7),MONTH($L$7),$O20),#REF!-DATE(YEAR($L$7),MONTH($L$7),$O20)))),0)</f>
        <v>0</v>
      </c>
      <c r="N20" s="394">
        <f ca="1">IFERROR(IF(K20=0,(VLOOKUP($B20,#REF!,5,FALSE))-SUM(L20:M20),""),0)</f>
        <v>0</v>
      </c>
      <c r="O20" s="395"/>
      <c r="P20" s="396"/>
      <c r="Q20" s="396"/>
      <c r="R20" s="498" t="e">
        <f ca="1">SUMIFS(INDIRECT(CONCATENATE("'Daily Cost'!I",MATCH($B20,#REF!,0)+3,":FB",MATCH($B20,#REF!,0)+3)),#REF!,"&gt;="&amp;INPUT!$L$6,#REF!,"&lt;="&amp;DATE(YEAR(R$7),MONTH(R$7),$O20))/IF($P20="USD",FOREX,1)</f>
        <v>#REF!</v>
      </c>
      <c r="S20" s="774" t="e">
        <f ca="1">SUMIFS(INDIRECT(CONCATENATE("'Daily Cost'!I",MATCH($B20,#REF!,0)+3,":FB",MATCH($B20,#REF!,0)+3)),#REF!,"&gt;="&amp;DATE(YEAR(R$7),MONTH(R$7),$O20+1),#REF!,"&lt;="&amp;DATE(YEAR(S$7),MONTH(S$7),$O20))/IF($P20="USD",FOREX,1)</f>
        <v>#REF!</v>
      </c>
      <c r="T20" s="774" t="e">
        <f ca="1">SUMIFS(INDIRECT(CONCATENATE("'Daily Cost'!I",MATCH($B20,#REF!,0)+3,":FB",MATCH($B20,#REF!,0)+3)),#REF!,"&gt;=" &amp; DATE(YEAR(S$7),MONTH(S$7),$O20+1),#REF!,"&lt;=" &amp; DATE(YEAR(T$7),MONTH(T$7),$O20))/IF($P20="USD",FOREX,1)</f>
        <v>#REF!</v>
      </c>
      <c r="U20" s="774" t="e">
        <f t="shared" ca="1" si="0"/>
        <v>#REF!</v>
      </c>
      <c r="V20" s="396"/>
      <c r="W20" s="396"/>
      <c r="X20" s="396"/>
      <c r="Y20" s="396"/>
      <c r="Z20" s="396"/>
      <c r="AA20" s="397"/>
      <c r="AB20" s="397"/>
      <c r="AC20" s="397"/>
      <c r="AD20" s="397"/>
      <c r="AE20" s="397"/>
      <c r="AF20" s="397"/>
      <c r="AG20" s="396">
        <f t="shared" si="5"/>
        <v>0</v>
      </c>
      <c r="AH20" s="396" t="e">
        <f t="shared" ca="1" si="6"/>
        <v>#REF!</v>
      </c>
      <c r="AI20" s="396">
        <f t="shared" si="7"/>
        <v>0</v>
      </c>
      <c r="AJ20" s="768" t="str">
        <f t="shared" ca="1" si="8"/>
        <v/>
      </c>
      <c r="AK20" s="769" t="str">
        <f t="shared" si="9"/>
        <v/>
      </c>
      <c r="AL20" s="403"/>
      <c r="AM20" s="402"/>
      <c r="AN20" s="398"/>
      <c r="AO20" s="399"/>
      <c r="AP20" s="399"/>
      <c r="AQ20" s="400"/>
      <c r="AR20" s="400"/>
      <c r="AT20" s="759"/>
      <c r="BA20" s="775" t="e">
        <f>SUM(BA14:BA19)</f>
        <v>#REF!</v>
      </c>
      <c r="BB20" s="371"/>
    </row>
    <row r="21" spans="1:55" ht="15" thickTop="1" x14ac:dyDescent="0.15">
      <c r="A21" s="405" t="s">
        <v>438</v>
      </c>
      <c r="B21" s="407" t="e">
        <f>#REF!</f>
        <v>#REF!</v>
      </c>
      <c r="C21" s="389" t="s">
        <v>241</v>
      </c>
      <c r="D21" s="390"/>
      <c r="E21" s="1017">
        <v>2001779</v>
      </c>
      <c r="F21" s="390">
        <v>4400000662</v>
      </c>
      <c r="G21" s="391" t="s">
        <v>888</v>
      </c>
      <c r="H21" s="391" t="s">
        <v>547</v>
      </c>
      <c r="I21" s="392" t="s">
        <v>462</v>
      </c>
      <c r="J21" s="850">
        <f>IFERROR(ROUNDUP(VLOOKUP($B21,#REF!,14,FALSE),-3),0)/IF($P21="USD",FOREX,1)</f>
        <v>0</v>
      </c>
      <c r="K21" s="394"/>
      <c r="L21" s="394"/>
      <c r="M21" s="394"/>
      <c r="N21" s="394"/>
      <c r="O21" s="395">
        <v>21</v>
      </c>
      <c r="P21" s="396" t="s">
        <v>362</v>
      </c>
      <c r="Q21" s="396"/>
      <c r="R21" s="851" t="e">
        <f ca="1">SUMIFS(INDIRECT(CONCATENATE("'Daily Cost'!I",MATCH($B21,#REF!,0)+3,":FB",MATCH($B21,#REF!,0)+3)),#REF!,"&gt;="&amp;INPUT!$L$6,#REF!,"&lt;="&amp;DATE(YEAR(R$7),MONTH(R$7),$O21))/IF($P21="USD",FOREX,1)</f>
        <v>#REF!</v>
      </c>
      <c r="S21" s="851" t="e">
        <f ca="1">SUMIFS(INDIRECT(CONCATENATE("'Daily Cost'!I",MATCH($B21,#REF!,0)+3,":FB",MATCH($B21,#REF!,0)+3)),#REF!,"&gt;="&amp;DATE(YEAR(R$7),MONTH(R$7),$O21+1),#REF!,"&lt;="&amp;DATE(YEAR(S$7),MONTH(S$7),$O21))/IF($P21="USD",FOREX,1)</f>
        <v>#REF!</v>
      </c>
      <c r="T21" s="851" t="e">
        <f ca="1">SUMIFS(INDIRECT(CONCATENATE("'Daily Cost'!I",MATCH($B21,#REF!,0)+3,":FB",MATCH($B21,#REF!,0)+3)),#REF!,"&gt;=" &amp; DATE(YEAR(S$7),MONTH(S$7),$O21+1),#REF!,"&lt;=" &amp; DATE(YEAR(T$7),MONTH(T$7),$O21))/IF($P21="USD",FOREX,1)</f>
        <v>#REF!</v>
      </c>
      <c r="U21" s="851" t="e">
        <f t="shared" ca="1" si="0"/>
        <v>#REF!</v>
      </c>
      <c r="V21" s="396" t="e">
        <f t="shared" ca="1" si="11"/>
        <v>#REF!</v>
      </c>
      <c r="W21" s="396"/>
      <c r="X21" s="396"/>
      <c r="Y21" s="396"/>
      <c r="Z21" s="396"/>
      <c r="AA21" s="397"/>
      <c r="AB21" s="397"/>
      <c r="AC21" s="397"/>
      <c r="AD21" s="397"/>
      <c r="AE21" s="397"/>
      <c r="AF21" s="777"/>
      <c r="AG21" s="409"/>
      <c r="AH21" s="409"/>
      <c r="AI21" s="409"/>
      <c r="AJ21" s="778"/>
      <c r="AK21" s="779"/>
      <c r="AL21" s="411"/>
      <c r="AM21" s="412"/>
      <c r="AN21" s="413"/>
      <c r="AO21" s="414"/>
      <c r="AP21" s="414"/>
      <c r="AQ21" s="415"/>
      <c r="AR21" s="415"/>
      <c r="AU21" s="355" t="e">
        <f ca="1">IF(U21=0,CONCATENATE(P21," denominated bill | ",$R$6," - ",ROUND(R21,2),", ",ROUND(R21/J21*100,0)," lots; ",$S$6," - ",ROUND(S21,2),", ",ROUND(S21/J21*100,0)," lots; ",$T$6," - ",ROUND(T21,2),", ",100-ROUND(R21/J21*100,0)-ROUND(S21/J21*100,0)," lots"),CONCATENATE(P21," denominated bill | ",$R$6," - ",ROUND(R21,2),", ",ROUND(R21/J21*100,0)," lots; ",$S$6," - ",ROUND(S21,2),", ",ROUND(S21/J21*100,0)," lots; ",$T$6," - ",ROUND(T21,2),", ",ROUND(T21/J21*100,0)," lots; ",$U$6," - ",ROUND(U21,2),", ",100-ROUND(R21/J21*100,0)-ROUND(S21/J21*100,0)-ROUND(T21/J21*100,0)," lots"))</f>
        <v>#REF!</v>
      </c>
    </row>
    <row r="22" spans="1:55" ht="14" x14ac:dyDescent="0.15">
      <c r="A22" s="405" t="s">
        <v>440</v>
      </c>
      <c r="B22" s="407" t="e">
        <f>#REF!</f>
        <v>#REF!</v>
      </c>
      <c r="C22" s="389" t="s">
        <v>241</v>
      </c>
      <c r="D22" s="390"/>
      <c r="E22" s="1017">
        <v>2001779</v>
      </c>
      <c r="F22" s="390">
        <v>4400000664</v>
      </c>
      <c r="G22" s="391" t="s">
        <v>889</v>
      </c>
      <c r="H22" s="391" t="s">
        <v>547</v>
      </c>
      <c r="I22" s="392" t="s">
        <v>462</v>
      </c>
      <c r="J22" s="850">
        <f>IFERROR(ROUNDUP(VLOOKUP($B22,#REF!,14,FALSE),-3),0)/IF($P22="USD",FOREX,1)</f>
        <v>0</v>
      </c>
      <c r="K22" s="394"/>
      <c r="L22" s="394"/>
      <c r="M22" s="394"/>
      <c r="N22" s="394"/>
      <c r="O22" s="395">
        <v>21</v>
      </c>
      <c r="P22" s="396" t="s">
        <v>362</v>
      </c>
      <c r="Q22" s="396"/>
      <c r="R22" s="851" t="e">
        <f ca="1">SUMIFS(INDIRECT(CONCATENATE("'Daily Cost'!I",MATCH($B22,#REF!,0)+3,":FB",MATCH($B22,#REF!,0)+3)),#REF!,"&gt;="&amp;INPUT!$L$6,#REF!,"&lt;="&amp;DATE(YEAR(R$7),MONTH(R$7),$O22))/IF($P22="USD",FOREX,1)</f>
        <v>#REF!</v>
      </c>
      <c r="S22" s="851" t="e">
        <f ca="1">SUMIFS(INDIRECT(CONCATENATE("'Daily Cost'!I",MATCH($B22,#REF!,0)+3,":FB",MATCH($B22,#REF!,0)+3)),#REF!,"&gt;="&amp;DATE(YEAR(R$7),MONTH(R$7),$O22+1),#REF!,"&lt;="&amp;DATE(YEAR(S$7),MONTH(S$7),$O22))/IF($P22="USD",FOREX,1)</f>
        <v>#REF!</v>
      </c>
      <c r="T22" s="851" t="e">
        <f ca="1">SUMIFS(INDIRECT(CONCATENATE("'Daily Cost'!I",MATCH($B22,#REF!,0)+3,":FB",MATCH($B22,#REF!,0)+3)),#REF!,"&gt;=" &amp; DATE(YEAR(S$7),MONTH(S$7),$O22+1),#REF!,"&lt;=" &amp; DATE(YEAR(T$7),MONTH(T$7),$O22))/IF($P22="USD",FOREX,1)</f>
        <v>#REF!</v>
      </c>
      <c r="U22" s="851" t="e">
        <f t="shared" ca="1" si="0"/>
        <v>#REF!</v>
      </c>
      <c r="V22" s="396" t="e">
        <f t="shared" ca="1" si="11"/>
        <v>#REF!</v>
      </c>
      <c r="W22" s="396"/>
      <c r="X22" s="396"/>
      <c r="Y22" s="396"/>
      <c r="Z22" s="396"/>
      <c r="AA22" s="397"/>
      <c r="AB22" s="397"/>
      <c r="AC22" s="397"/>
      <c r="AD22" s="397"/>
      <c r="AE22" s="397"/>
      <c r="AF22" s="397"/>
      <c r="AG22" s="409"/>
      <c r="AH22" s="409"/>
      <c r="AI22" s="409"/>
      <c r="AJ22" s="778"/>
      <c r="AK22" s="779"/>
      <c r="AL22" s="411"/>
      <c r="AM22" s="412"/>
      <c r="AN22" s="413"/>
      <c r="AO22" s="414"/>
      <c r="AP22" s="414"/>
      <c r="AQ22" s="415"/>
      <c r="AR22" s="415"/>
      <c r="AT22" s="371"/>
      <c r="AU22" s="355" t="e">
        <f ca="1">IF(U22=0,CONCATENATE(P22," denominated bill | ",$R$6," - ",ROUND(R22,2),", ",ROUND(R22/J22*100,0)," lots; ",$S$6," - ",ROUND(S22,2),", ",ROUND(S22/J22*100,0)," lots; ",$T$6," - ",ROUND(T22,2),", ",100-ROUND(R22/J22*100,0)-ROUND(S22/J22*100,0)," lots"),CONCATENATE(P22," denominated bill | ",$R$6," - ",ROUND(R22,2),", ",ROUND(R22/J22*100,0)," lots; ",$S$6," - ",ROUND(S22,2),", ",ROUND(S22/J22*100,0)," lots; ",$T$6," - ",ROUND(T22,2),", ",ROUND(T22/J22*100,0)," lots; ",$U$6," - ",ROUND(U22,2),", ",100-ROUND(R22/J22*100,0)-ROUND(S22/J22*100,0)-ROUND(T22/J22*100,0)," lots"))</f>
        <v>#REF!</v>
      </c>
      <c r="BA22" s="758"/>
      <c r="BB22" s="371"/>
    </row>
    <row r="23" spans="1:55" ht="14" x14ac:dyDescent="0.15">
      <c r="A23" s="405"/>
      <c r="B23" s="407"/>
      <c r="C23" s="389"/>
      <c r="D23" s="390"/>
      <c r="E23" s="1017">
        <v>2001779</v>
      </c>
      <c r="F23" s="390"/>
      <c r="G23" s="391"/>
      <c r="H23" s="776"/>
      <c r="I23" s="392"/>
      <c r="J23" s="393"/>
      <c r="K23" s="394"/>
      <c r="L23" s="394"/>
      <c r="M23" s="394"/>
      <c r="N23" s="394"/>
      <c r="O23" s="395"/>
      <c r="P23" s="396"/>
      <c r="Q23" s="396"/>
      <c r="R23" s="498"/>
      <c r="S23" s="774"/>
      <c r="T23" s="774"/>
      <c r="U23" s="774"/>
      <c r="V23" s="396"/>
      <c r="W23" s="396"/>
      <c r="X23" s="396"/>
      <c r="Y23" s="396"/>
      <c r="Z23" s="396"/>
      <c r="AA23" s="397"/>
      <c r="AB23" s="397"/>
      <c r="AC23" s="397"/>
      <c r="AD23" s="397"/>
      <c r="AE23" s="397"/>
      <c r="AF23" s="780"/>
      <c r="AG23" s="409"/>
      <c r="AH23" s="409"/>
      <c r="AI23" s="409"/>
      <c r="AJ23" s="778"/>
      <c r="AK23" s="779"/>
      <c r="AL23" s="411"/>
      <c r="AM23" s="412"/>
      <c r="AN23" s="413"/>
      <c r="AO23" s="414"/>
      <c r="AP23" s="414"/>
      <c r="AQ23" s="415"/>
      <c r="AR23" s="415"/>
      <c r="BA23" s="758"/>
      <c r="BB23" s="371"/>
    </row>
    <row r="24" spans="1:55" ht="14" x14ac:dyDescent="0.15">
      <c r="A24" s="405" t="str">
        <f>IF(INPUT!$D$7="Regular Hole",CHF!$D$25,CHF!D$26)</f>
        <v>CHF; 20-3/4" CHF X 18-5/8" Casing</v>
      </c>
      <c r="B24" s="407" t="e">
        <f>#REF!</f>
        <v>#REF!</v>
      </c>
      <c r="C24" s="389" t="s">
        <v>241</v>
      </c>
      <c r="D24" s="390"/>
      <c r="E24" s="1017">
        <v>2001779</v>
      </c>
      <c r="F24" s="390">
        <f>IF(INPUT!$H$15="DESCO",4400000645,4400000646)</f>
        <v>4400000646</v>
      </c>
      <c r="G24" s="952">
        <f>VLOOKUP(A24,CHF!$D$22:$F$44,IF(INPUT!$H$15="DESCO",2,3),FALSE)</f>
        <v>114090</v>
      </c>
      <c r="H24" s="776" t="e">
        <f>'Cost Details'!#REF!</f>
        <v>#REF!</v>
      </c>
      <c r="I24" s="392" t="s">
        <v>462</v>
      </c>
      <c r="J24" s="850">
        <f>IFERROR(ROUNDUP(VLOOKUP($B24,#REF!,7,FALSE),-3),0)/IF($P24="USD",FOREX,1)</f>
        <v>0</v>
      </c>
      <c r="K24" s="394"/>
      <c r="L24" s="394"/>
      <c r="M24" s="394"/>
      <c r="N24" s="394"/>
      <c r="O24" s="395"/>
      <c r="P24" s="948" t="s">
        <v>361</v>
      </c>
      <c r="Q24" s="396"/>
      <c r="R24" s="498"/>
      <c r="S24" s="774"/>
      <c r="T24" s="774"/>
      <c r="U24" s="774"/>
      <c r="V24" s="396"/>
      <c r="W24" s="396"/>
      <c r="X24" s="396"/>
      <c r="Y24" s="396"/>
      <c r="Z24" s="396"/>
      <c r="AA24" s="397"/>
      <c r="AB24" s="397"/>
      <c r="AC24" s="397"/>
      <c r="AD24" s="397"/>
      <c r="AE24" s="397"/>
      <c r="AF24" s="397"/>
      <c r="AG24" s="409"/>
      <c r="AH24" s="409"/>
      <c r="AI24" s="409"/>
      <c r="AJ24" s="778"/>
      <c r="AK24" s="779"/>
      <c r="AL24" s="411"/>
      <c r="AM24" s="412"/>
      <c r="AN24" s="413"/>
      <c r="AO24" s="414"/>
      <c r="AP24" s="414"/>
      <c r="AQ24" s="415"/>
      <c r="AR24" s="415"/>
      <c r="BA24" s="758"/>
      <c r="BB24" s="371"/>
    </row>
    <row r="25" spans="1:55" ht="14" x14ac:dyDescent="0.15">
      <c r="A25" s="405" t="str">
        <f>CONCATENATE("CHF; Mob/Demob of Equipment - ",INPUT!$H$8)</f>
        <v>CHF; Mob/Demob of Equipment - LGBU</v>
      </c>
      <c r="B25" s="407" t="e">
        <f>#REF!</f>
        <v>#REF!</v>
      </c>
      <c r="C25" s="389" t="s">
        <v>241</v>
      </c>
      <c r="D25" s="390"/>
      <c r="E25" s="1017">
        <v>2001779</v>
      </c>
      <c r="F25" s="390">
        <f>IF(INPUT!$H$15="DESCO",4400000645,4400000646)</f>
        <v>4400000646</v>
      </c>
      <c r="G25" s="952">
        <f>VLOOKUP(A25,CHF!$D$22:$F$44,IF(INPUT!$H$15="DESCO",2,3),FALSE)</f>
        <v>114094</v>
      </c>
      <c r="H25" s="776" t="e">
        <f>'Cost Details'!#REF!</f>
        <v>#REF!</v>
      </c>
      <c r="I25" s="392" t="s">
        <v>462</v>
      </c>
      <c r="J25" s="850">
        <f>IFERROR(ROUNDUP(VLOOKUP($B25,#REF!,7,FALSE),-3),0)/IF($P25="USD",FOREX,1)</f>
        <v>0</v>
      </c>
      <c r="K25" s="394"/>
      <c r="L25" s="394"/>
      <c r="M25" s="394"/>
      <c r="N25" s="394"/>
      <c r="O25" s="395"/>
      <c r="P25" s="948" t="s">
        <v>361</v>
      </c>
      <c r="Q25" s="396"/>
      <c r="R25" s="498"/>
      <c r="S25" s="774"/>
      <c r="T25" s="774"/>
      <c r="U25" s="774"/>
      <c r="V25" s="396"/>
      <c r="W25" s="396"/>
      <c r="X25" s="396"/>
      <c r="Y25" s="396"/>
      <c r="Z25" s="396"/>
      <c r="AA25" s="397"/>
      <c r="AB25" s="397"/>
      <c r="AC25" s="397"/>
      <c r="AD25" s="397"/>
      <c r="AE25" s="397"/>
      <c r="AF25" s="780"/>
      <c r="AG25" s="409"/>
      <c r="AH25" s="409"/>
      <c r="AI25" s="409"/>
      <c r="AJ25" s="778"/>
      <c r="AK25" s="779"/>
      <c r="AL25" s="411"/>
      <c r="AM25" s="412"/>
      <c r="AN25" s="413"/>
      <c r="AO25" s="414"/>
      <c r="AP25" s="414"/>
      <c r="AQ25" s="415"/>
      <c r="AR25" s="415"/>
      <c r="BA25" s="758"/>
      <c r="BB25" s="371"/>
    </row>
    <row r="26" spans="1:55" ht="14" x14ac:dyDescent="0.15">
      <c r="A26" s="405" t="str">
        <f>CONCATENATE("CHF; Mob/Demob of Personnel - ",INPUT!$H$8)</f>
        <v>CHF; Mob/Demob of Personnel - LGBU</v>
      </c>
      <c r="B26" s="407" t="e">
        <f>#REF!</f>
        <v>#REF!</v>
      </c>
      <c r="C26" s="389" t="s">
        <v>241</v>
      </c>
      <c r="D26" s="390"/>
      <c r="E26" s="1017">
        <v>2001779</v>
      </c>
      <c r="F26" s="390">
        <f>IF(INPUT!$H$15="DESCO",4400000645,4400000646)</f>
        <v>4400000646</v>
      </c>
      <c r="G26" s="952">
        <f>VLOOKUP(A26,CHF!$D$22:$F$44,IF(INPUT!$H$15="DESCO",2,3),FALSE)</f>
        <v>114098</v>
      </c>
      <c r="H26" s="776" t="e">
        <f>'Cost Details'!#REF!</f>
        <v>#REF!</v>
      </c>
      <c r="I26" s="392" t="s">
        <v>462</v>
      </c>
      <c r="J26" s="850">
        <f>IFERROR(ROUNDUP(VLOOKUP($B26,#REF!,7,FALSE),-3),0)/IF($P26="USD",FOREX,1)</f>
        <v>0</v>
      </c>
      <c r="K26" s="394"/>
      <c r="L26" s="394"/>
      <c r="M26" s="394"/>
      <c r="N26" s="394"/>
      <c r="O26" s="395"/>
      <c r="P26" s="948" t="s">
        <v>361</v>
      </c>
      <c r="Q26" s="396"/>
      <c r="R26" s="498"/>
      <c r="S26" s="774"/>
      <c r="T26" s="774"/>
      <c r="U26" s="774"/>
      <c r="V26" s="396"/>
      <c r="W26" s="396"/>
      <c r="X26" s="396"/>
      <c r="Y26" s="396"/>
      <c r="Z26" s="396"/>
      <c r="AA26" s="397"/>
      <c r="AB26" s="397"/>
      <c r="AC26" s="397"/>
      <c r="AD26" s="397"/>
      <c r="AE26" s="397"/>
      <c r="AF26" s="780"/>
      <c r="AG26" s="409"/>
      <c r="AH26" s="409"/>
      <c r="AI26" s="409"/>
      <c r="AJ26" s="778"/>
      <c r="AK26" s="779"/>
      <c r="AL26" s="411"/>
      <c r="AM26" s="412"/>
      <c r="AN26" s="413"/>
      <c r="AO26" s="414"/>
      <c r="AP26" s="414"/>
      <c r="AQ26" s="415"/>
      <c r="AR26" s="415"/>
    </row>
    <row r="27" spans="1:55" ht="14" x14ac:dyDescent="0.15">
      <c r="A27" s="405" t="str">
        <f>CONCATENATE("CHF; Service Vehicle; Daily - ",INPUT!$H$8)</f>
        <v>CHF; Service Vehicle; Daily - LGBU</v>
      </c>
      <c r="B27" s="407" t="e">
        <f>#REF!</f>
        <v>#REF!</v>
      </c>
      <c r="C27" s="389" t="s">
        <v>241</v>
      </c>
      <c r="D27" s="390"/>
      <c r="E27" s="1017">
        <v>2001779</v>
      </c>
      <c r="F27" s="390">
        <f>IF(INPUT!$H$15="DESCO",4400000645,4400000646)</f>
        <v>4400000646</v>
      </c>
      <c r="G27" s="952">
        <f>VLOOKUP(A27,CHF!$D$22:$F$44,IF(INPUT!$H$15="DESCO",2,3),FALSE)</f>
        <v>114102</v>
      </c>
      <c r="H27" s="776" t="e">
        <f>'Cost Details'!#REF!</f>
        <v>#REF!</v>
      </c>
      <c r="I27" s="392" t="s">
        <v>462</v>
      </c>
      <c r="J27" s="850">
        <f>IFERROR(ROUNDUP(VLOOKUP($B27,#REF!,7,FALSE),-3),0)/IF($P27="USD",FOREX,1)</f>
        <v>0</v>
      </c>
      <c r="K27" s="394"/>
      <c r="L27" s="394"/>
      <c r="M27" s="394"/>
      <c r="N27" s="394"/>
      <c r="O27" s="395"/>
      <c r="P27" s="948" t="s">
        <v>361</v>
      </c>
      <c r="Q27" s="396"/>
      <c r="R27" s="498"/>
      <c r="S27" s="774"/>
      <c r="T27" s="774"/>
      <c r="U27" s="774"/>
      <c r="V27" s="396"/>
      <c r="W27" s="396"/>
      <c r="X27" s="396"/>
      <c r="Y27" s="396"/>
      <c r="Z27" s="396"/>
      <c r="AA27" s="397"/>
      <c r="AB27" s="397"/>
      <c r="AC27" s="397"/>
      <c r="AD27" s="397"/>
      <c r="AE27" s="397"/>
      <c r="AF27" s="780"/>
      <c r="AG27" s="409"/>
      <c r="AH27" s="409"/>
      <c r="AI27" s="409"/>
      <c r="AJ27" s="778"/>
      <c r="AK27" s="779"/>
      <c r="AL27" s="411"/>
      <c r="AM27" s="412"/>
      <c r="AN27" s="413"/>
      <c r="AO27" s="414"/>
      <c r="AP27" s="414"/>
      <c r="AQ27" s="415"/>
      <c r="AR27" s="415"/>
    </row>
    <row r="28" spans="1:55" ht="14" x14ac:dyDescent="0.15">
      <c r="A28" s="405" t="s">
        <v>872</v>
      </c>
      <c r="B28" s="407" t="e">
        <f>#REF!</f>
        <v>#REF!</v>
      </c>
      <c r="C28" s="389" t="s">
        <v>241</v>
      </c>
      <c r="D28" s="390"/>
      <c r="E28" s="1017">
        <v>2001779</v>
      </c>
      <c r="F28" s="390">
        <f>IF(INPUT!$H$15="DESCO",4400000645,4400000646)</f>
        <v>4400000646</v>
      </c>
      <c r="G28" s="952">
        <f>VLOOKUP(A28,CHF!$D$22:$F$44,IF(INPUT!$H$15="DESCO",2,3),FALSE)</f>
        <v>114416</v>
      </c>
      <c r="H28" s="776" t="e">
        <f>'Cost Details'!#REF!</f>
        <v>#REF!</v>
      </c>
      <c r="I28" s="392" t="s">
        <v>462</v>
      </c>
      <c r="J28" s="850">
        <f>IFERROR(ROUNDUP(VLOOKUP($B28,#REF!,6,FALSE),-3),0)/IF($P28="USD",FOREX,1)</f>
        <v>0</v>
      </c>
      <c r="K28" s="394"/>
      <c r="L28" s="394"/>
      <c r="M28" s="394"/>
      <c r="N28" s="394"/>
      <c r="O28" s="395"/>
      <c r="P28" s="948" t="s">
        <v>361</v>
      </c>
      <c r="Q28" s="396"/>
      <c r="R28" s="498"/>
      <c r="S28" s="774"/>
      <c r="T28" s="774"/>
      <c r="U28" s="774"/>
      <c r="V28" s="396"/>
      <c r="W28" s="396"/>
      <c r="X28" s="396"/>
      <c r="Y28" s="396"/>
      <c r="Z28" s="396"/>
      <c r="AA28" s="397"/>
      <c r="AB28" s="397"/>
      <c r="AC28" s="397"/>
      <c r="AD28" s="397"/>
      <c r="AE28" s="397"/>
      <c r="AF28" s="397"/>
      <c r="AG28" s="409"/>
      <c r="AH28" s="409"/>
      <c r="AI28" s="409"/>
      <c r="AJ28" s="778"/>
      <c r="AK28" s="779"/>
      <c r="AL28" s="411"/>
      <c r="AM28" s="412"/>
      <c r="AN28" s="413"/>
      <c r="AO28" s="414"/>
      <c r="AP28" s="414"/>
      <c r="AQ28" s="415"/>
      <c r="AR28" s="415"/>
    </row>
    <row r="29" spans="1:55" ht="14" x14ac:dyDescent="0.15">
      <c r="A29" s="405" t="s">
        <v>873</v>
      </c>
      <c r="B29" s="407" t="e">
        <f>#REF!</f>
        <v>#REF!</v>
      </c>
      <c r="C29" s="389" t="s">
        <v>241</v>
      </c>
      <c r="D29" s="390"/>
      <c r="E29" s="1017">
        <v>2001779</v>
      </c>
      <c r="F29" s="390">
        <f>IF(INPUT!$H$15="DESCO",4400000645,4400000646)</f>
        <v>4400000646</v>
      </c>
      <c r="G29" s="952">
        <f>VLOOKUP(A29,CHF!$D$22:$F$44,IF(INPUT!$H$15="DESCO",2,3),FALSE)</f>
        <v>114415</v>
      </c>
      <c r="H29" s="776" t="e">
        <f>'Cost Details'!#REF!</f>
        <v>#REF!</v>
      </c>
      <c r="I29" s="392" t="s">
        <v>462</v>
      </c>
      <c r="J29" s="850">
        <f>IFERROR(ROUNDUP(VLOOKUP($B29,#REF!,6,FALSE),-3),0)/IF($P29="USD",FOREX,1)</f>
        <v>0</v>
      </c>
      <c r="K29" s="394"/>
      <c r="L29" s="394"/>
      <c r="M29" s="394"/>
      <c r="N29" s="394"/>
      <c r="O29" s="395"/>
      <c r="P29" s="948" t="s">
        <v>361</v>
      </c>
      <c r="Q29" s="396"/>
      <c r="R29" s="498"/>
      <c r="S29" s="774"/>
      <c r="T29" s="774"/>
      <c r="U29" s="774"/>
      <c r="V29" s="396"/>
      <c r="W29" s="396"/>
      <c r="X29" s="396"/>
      <c r="Y29" s="396"/>
      <c r="Z29" s="396"/>
      <c r="AA29" s="397"/>
      <c r="AB29" s="397"/>
      <c r="AC29" s="397"/>
      <c r="AD29" s="397"/>
      <c r="AE29" s="397"/>
      <c r="AF29" s="780"/>
      <c r="AG29" s="409"/>
      <c r="AH29" s="409"/>
      <c r="AI29" s="409"/>
      <c r="AJ29" s="778"/>
      <c r="AK29" s="779"/>
      <c r="AL29" s="411"/>
      <c r="AM29" s="412"/>
      <c r="AN29" s="413"/>
      <c r="AO29" s="414"/>
      <c r="AP29" s="414"/>
      <c r="AQ29" s="415"/>
      <c r="AR29" s="415"/>
    </row>
    <row r="30" spans="1:55" ht="14" x14ac:dyDescent="0.15">
      <c r="A30" s="405" t="s">
        <v>874</v>
      </c>
      <c r="B30" s="407" t="e">
        <f>#REF!</f>
        <v>#REF!</v>
      </c>
      <c r="C30" s="389" t="s">
        <v>241</v>
      </c>
      <c r="D30" s="390"/>
      <c r="E30" s="1017">
        <v>2001779</v>
      </c>
      <c r="F30" s="390">
        <f>IF(INPUT!$H$15="DESCO",4400000645,4400000646)</f>
        <v>4400000646</v>
      </c>
      <c r="G30" s="952">
        <f>VLOOKUP(A30,CHF!$D$22:$F$44,IF(INPUT!$H$15="DESCO",2,3),FALSE)</f>
        <v>114105</v>
      </c>
      <c r="H30" s="776" t="e">
        <f>'Cost Details'!#REF!</f>
        <v>#REF!</v>
      </c>
      <c r="I30" s="392" t="s">
        <v>462</v>
      </c>
      <c r="J30" s="850">
        <f>IFERROR(ROUNDUP(VLOOKUP($B30,#REF!,6,FALSE),-3),0)/IF($P30="USD",FOREX,1)</f>
        <v>0</v>
      </c>
      <c r="K30" s="394"/>
      <c r="L30" s="394"/>
      <c r="M30" s="394"/>
      <c r="N30" s="394"/>
      <c r="O30" s="395"/>
      <c r="P30" s="948" t="s">
        <v>361</v>
      </c>
      <c r="Q30" s="396"/>
      <c r="R30" s="498"/>
      <c r="S30" s="774"/>
      <c r="T30" s="774"/>
      <c r="U30" s="774"/>
      <c r="V30" s="396"/>
      <c r="W30" s="396"/>
      <c r="X30" s="396"/>
      <c r="Y30" s="396"/>
      <c r="Z30" s="396"/>
      <c r="AA30" s="397"/>
      <c r="AB30" s="397"/>
      <c r="AC30" s="397"/>
      <c r="AD30" s="397"/>
      <c r="AE30" s="397"/>
      <c r="AF30" s="780"/>
      <c r="AG30" s="409"/>
      <c r="AH30" s="409"/>
      <c r="AI30" s="409"/>
      <c r="AJ30" s="778"/>
      <c r="AK30" s="779"/>
      <c r="AL30" s="411"/>
      <c r="AM30" s="412"/>
      <c r="AN30" s="413"/>
      <c r="AO30" s="414"/>
      <c r="AP30" s="414"/>
      <c r="AQ30" s="415"/>
      <c r="AR30" s="415"/>
    </row>
    <row r="31" spans="1:55" ht="14" x14ac:dyDescent="0.15">
      <c r="A31" s="405" t="s">
        <v>850</v>
      </c>
      <c r="B31" s="407" t="e">
        <f>#REF!</f>
        <v>#REF!</v>
      </c>
      <c r="C31" s="389" t="s">
        <v>241</v>
      </c>
      <c r="D31" s="390"/>
      <c r="E31" s="1017">
        <v>2001779</v>
      </c>
      <c r="F31" s="390">
        <f>IF(INPUT!$H$15="DESCO",4400000645,4400000646)</f>
        <v>4400000646</v>
      </c>
      <c r="G31" s="952">
        <f>VLOOKUP(A31,CHF!$D$22:$F$44,IF(INPUT!$H$15="DESCO",2,3),FALSE)</f>
        <v>0</v>
      </c>
      <c r="H31" s="776" t="e">
        <f>'Cost Details'!#REF!</f>
        <v>#REF!</v>
      </c>
      <c r="I31" s="392" t="s">
        <v>462</v>
      </c>
      <c r="J31" s="850">
        <f>IFERROR(ROUNDUP(VLOOKUP($B31,#REF!,6,FALSE),-3),0)/IF($P31="USD",FOREX,1)</f>
        <v>0</v>
      </c>
      <c r="K31" s="394"/>
      <c r="L31" s="394"/>
      <c r="M31" s="394"/>
      <c r="N31" s="394"/>
      <c r="O31" s="395"/>
      <c r="P31" s="948" t="s">
        <v>361</v>
      </c>
      <c r="Q31" s="396"/>
      <c r="R31" s="498"/>
      <c r="S31" s="774"/>
      <c r="T31" s="774"/>
      <c r="U31" s="774"/>
      <c r="V31" s="396"/>
      <c r="W31" s="396"/>
      <c r="X31" s="396"/>
      <c r="Y31" s="396"/>
      <c r="Z31" s="396"/>
      <c r="AA31" s="397"/>
      <c r="AB31" s="397"/>
      <c r="AC31" s="397"/>
      <c r="AD31" s="397"/>
      <c r="AE31" s="397"/>
      <c r="AF31" s="780"/>
      <c r="AG31" s="409"/>
      <c r="AH31" s="409"/>
      <c r="AI31" s="409"/>
      <c r="AJ31" s="778"/>
      <c r="AK31" s="779"/>
      <c r="AL31" s="411"/>
      <c r="AM31" s="412"/>
      <c r="AN31" s="413"/>
      <c r="AO31" s="414"/>
      <c r="AP31" s="414"/>
      <c r="AQ31" s="415"/>
      <c r="AR31" s="415"/>
    </row>
    <row r="32" spans="1:55" ht="14" x14ac:dyDescent="0.15">
      <c r="A32" s="405" t="s">
        <v>892</v>
      </c>
      <c r="B32" s="407" t="e">
        <f>#REF!</f>
        <v>#REF!</v>
      </c>
      <c r="C32" s="389" t="s">
        <v>241</v>
      </c>
      <c r="D32" s="390"/>
      <c r="E32" s="1017">
        <v>2001779</v>
      </c>
      <c r="F32" s="390"/>
      <c r="G32" s="952">
        <v>87021</v>
      </c>
      <c r="H32" s="776">
        <v>1</v>
      </c>
      <c r="I32" s="392" t="s">
        <v>462</v>
      </c>
      <c r="J32" s="850">
        <f>IFERROR(ROUNDUP(VLOOKUP($B32,#REF!,7,FALSE),-3),0)/IF($P32="USD",FOREX,1)</f>
        <v>0</v>
      </c>
      <c r="K32" s="394"/>
      <c r="L32" s="394"/>
      <c r="M32" s="394"/>
      <c r="N32" s="394"/>
      <c r="O32" s="395"/>
      <c r="P32" s="948" t="s">
        <v>361</v>
      </c>
      <c r="Q32" s="396"/>
      <c r="R32" s="498"/>
      <c r="S32" s="774"/>
      <c r="T32" s="774"/>
      <c r="U32" s="774"/>
      <c r="V32" s="396"/>
      <c r="W32" s="396"/>
      <c r="X32" s="396"/>
      <c r="Y32" s="396"/>
      <c r="Z32" s="396"/>
      <c r="AA32" s="397"/>
      <c r="AB32" s="397"/>
      <c r="AC32" s="397"/>
      <c r="AD32" s="397"/>
      <c r="AE32" s="397"/>
      <c r="AF32" s="397"/>
      <c r="AG32" s="409"/>
      <c r="AH32" s="409"/>
      <c r="AI32" s="409"/>
      <c r="AJ32" s="778"/>
      <c r="AK32" s="779"/>
      <c r="AL32" s="411"/>
      <c r="AM32" s="412"/>
      <c r="AN32" s="413"/>
      <c r="AO32" s="414"/>
      <c r="AP32" s="414"/>
      <c r="AQ32" s="415"/>
      <c r="AR32" s="415"/>
    </row>
    <row r="33" spans="1:44" ht="14" x14ac:dyDescent="0.15">
      <c r="A33" s="405" t="s">
        <v>204</v>
      </c>
      <c r="B33" s="407" t="s">
        <v>204</v>
      </c>
      <c r="C33" s="389" t="s">
        <v>241</v>
      </c>
      <c r="D33" s="390"/>
      <c r="E33" s="390"/>
      <c r="F33" s="390">
        <f>IF(INPUT!$H$15="TESCO",4400000707,4400000706)</f>
        <v>4400000707</v>
      </c>
      <c r="G33" s="391" t="s">
        <v>1055</v>
      </c>
      <c r="H33" s="776">
        <v>100</v>
      </c>
      <c r="I33" s="392" t="s">
        <v>462</v>
      </c>
      <c r="J33" s="850"/>
      <c r="K33" s="394"/>
      <c r="L33" s="394"/>
      <c r="M33" s="394"/>
      <c r="N33" s="394"/>
      <c r="O33" s="395"/>
      <c r="P33" s="948" t="s">
        <v>361</v>
      </c>
      <c r="Q33" s="396"/>
      <c r="R33" s="498"/>
      <c r="S33" s="774"/>
      <c r="T33" s="774"/>
      <c r="U33" s="774"/>
      <c r="V33" s="396"/>
      <c r="W33" s="396"/>
      <c r="X33" s="396"/>
      <c r="Y33" s="396"/>
      <c r="Z33" s="396"/>
      <c r="AA33" s="397"/>
      <c r="AB33" s="397"/>
      <c r="AC33" s="397"/>
      <c r="AD33" s="397"/>
      <c r="AE33" s="397"/>
      <c r="AF33" s="780"/>
      <c r="AG33" s="409"/>
      <c r="AH33" s="409"/>
      <c r="AI33" s="409"/>
      <c r="AJ33" s="778"/>
      <c r="AK33" s="779"/>
      <c r="AL33" s="411"/>
      <c r="AM33" s="412"/>
      <c r="AN33" s="413"/>
      <c r="AO33" s="414"/>
      <c r="AP33" s="414"/>
      <c r="AQ33" s="415"/>
      <c r="AR33" s="415"/>
    </row>
    <row r="34" spans="1:44" ht="14" x14ac:dyDescent="0.15">
      <c r="A34" s="405"/>
      <c r="B34" s="407"/>
      <c r="C34" s="389"/>
      <c r="D34" s="390"/>
      <c r="E34" s="390"/>
      <c r="F34" s="390"/>
      <c r="G34" s="391"/>
      <c r="H34" s="776"/>
      <c r="I34" s="392"/>
      <c r="J34" s="393"/>
      <c r="K34" s="394"/>
      <c r="L34" s="394"/>
      <c r="M34" s="394"/>
      <c r="N34" s="394"/>
      <c r="O34" s="395"/>
      <c r="P34" s="396"/>
      <c r="Q34" s="396"/>
      <c r="R34" s="498"/>
      <c r="S34" s="774"/>
      <c r="T34" s="774"/>
      <c r="U34" s="774"/>
      <c r="V34" s="396"/>
      <c r="W34" s="396"/>
      <c r="X34" s="396"/>
      <c r="Y34" s="396"/>
      <c r="Z34" s="396"/>
      <c r="AA34" s="397"/>
      <c r="AB34" s="397"/>
      <c r="AC34" s="397"/>
      <c r="AD34" s="397"/>
      <c r="AE34" s="397"/>
      <c r="AF34" s="780"/>
      <c r="AG34" s="409"/>
      <c r="AH34" s="409"/>
      <c r="AI34" s="409"/>
      <c r="AJ34" s="778"/>
      <c r="AK34" s="779"/>
      <c r="AL34" s="411"/>
      <c r="AM34" s="412"/>
      <c r="AN34" s="413"/>
      <c r="AO34" s="414"/>
      <c r="AP34" s="414"/>
      <c r="AQ34" s="415"/>
      <c r="AR34" s="415"/>
    </row>
    <row r="35" spans="1:44" ht="14" x14ac:dyDescent="0.15">
      <c r="A35" s="405"/>
      <c r="B35" s="407"/>
      <c r="C35" s="389"/>
      <c r="D35" s="390"/>
      <c r="E35" s="390"/>
      <c r="F35" s="390"/>
      <c r="G35" s="391"/>
      <c r="H35" s="776"/>
      <c r="I35" s="392"/>
      <c r="J35" s="393"/>
      <c r="K35" s="394"/>
      <c r="L35" s="394"/>
      <c r="M35" s="394"/>
      <c r="N35" s="394"/>
      <c r="O35" s="395"/>
      <c r="P35" s="396"/>
      <c r="Q35" s="396"/>
      <c r="R35" s="498"/>
      <c r="S35" s="774"/>
      <c r="T35" s="774"/>
      <c r="U35" s="774"/>
      <c r="V35" s="396"/>
      <c r="W35" s="396"/>
      <c r="X35" s="396"/>
      <c r="Y35" s="396"/>
      <c r="Z35" s="396"/>
      <c r="AA35" s="397"/>
      <c r="AB35" s="397"/>
      <c r="AC35" s="397"/>
      <c r="AD35" s="397"/>
      <c r="AE35" s="397"/>
      <c r="AF35" s="780"/>
      <c r="AG35" s="409"/>
      <c r="AH35" s="409"/>
      <c r="AI35" s="409"/>
      <c r="AJ35" s="778"/>
      <c r="AK35" s="779"/>
      <c r="AL35" s="411"/>
      <c r="AM35" s="412"/>
      <c r="AN35" s="413"/>
      <c r="AO35" s="414"/>
      <c r="AP35" s="414"/>
      <c r="AQ35" s="415"/>
      <c r="AR35" s="415"/>
    </row>
    <row r="36" spans="1:44" ht="14" x14ac:dyDescent="0.15">
      <c r="A36" s="405"/>
      <c r="B36" s="407"/>
      <c r="C36" s="389"/>
      <c r="D36" s="390"/>
      <c r="E36" s="390"/>
      <c r="F36" s="390"/>
      <c r="G36" s="391"/>
      <c r="H36" s="776"/>
      <c r="I36" s="392"/>
      <c r="J36" s="393"/>
      <c r="K36" s="394"/>
      <c r="L36" s="394"/>
      <c r="M36" s="394"/>
      <c r="N36" s="394"/>
      <c r="O36" s="395"/>
      <c r="P36" s="396"/>
      <c r="Q36" s="396"/>
      <c r="R36" s="498"/>
      <c r="S36" s="774"/>
      <c r="T36" s="774"/>
      <c r="U36" s="774"/>
      <c r="V36" s="396"/>
      <c r="W36" s="396"/>
      <c r="X36" s="396"/>
      <c r="Y36" s="396"/>
      <c r="Z36" s="396"/>
      <c r="AA36" s="397"/>
      <c r="AB36" s="397"/>
      <c r="AC36" s="397"/>
      <c r="AD36" s="397"/>
      <c r="AE36" s="397"/>
      <c r="AF36" s="780"/>
      <c r="AG36" s="409"/>
      <c r="AH36" s="409"/>
      <c r="AI36" s="409"/>
      <c r="AJ36" s="778"/>
      <c r="AK36" s="779"/>
      <c r="AL36" s="411"/>
      <c r="AM36" s="412"/>
      <c r="AN36" s="413"/>
      <c r="AO36" s="414"/>
      <c r="AP36" s="414"/>
      <c r="AQ36" s="415"/>
      <c r="AR36" s="415"/>
    </row>
    <row r="37" spans="1:44" ht="14" x14ac:dyDescent="0.15">
      <c r="A37" s="405"/>
      <c r="B37" s="407"/>
      <c r="C37" s="389"/>
      <c r="D37" s="390"/>
      <c r="E37" s="390"/>
      <c r="F37" s="390"/>
      <c r="G37" s="391"/>
      <c r="H37" s="776"/>
      <c r="I37" s="392"/>
      <c r="J37" s="393"/>
      <c r="K37" s="394"/>
      <c r="L37" s="394"/>
      <c r="M37" s="394"/>
      <c r="N37" s="394"/>
      <c r="O37" s="395"/>
      <c r="P37" s="396"/>
      <c r="Q37" s="396"/>
      <c r="R37" s="498"/>
      <c r="S37" s="774"/>
      <c r="T37" s="774"/>
      <c r="U37" s="774"/>
      <c r="V37" s="396"/>
      <c r="W37" s="396"/>
      <c r="X37" s="396"/>
      <c r="Y37" s="396"/>
      <c r="Z37" s="396"/>
      <c r="AA37" s="397"/>
      <c r="AB37" s="397"/>
      <c r="AC37" s="397"/>
      <c r="AD37" s="397"/>
      <c r="AE37" s="397"/>
      <c r="AF37" s="780"/>
      <c r="AG37" s="409"/>
      <c r="AH37" s="409"/>
      <c r="AI37" s="409"/>
      <c r="AJ37" s="778"/>
      <c r="AK37" s="779"/>
      <c r="AL37" s="411"/>
      <c r="AM37" s="412"/>
      <c r="AN37" s="413"/>
      <c r="AO37" s="414"/>
      <c r="AP37" s="414"/>
      <c r="AQ37" s="415"/>
      <c r="AR37" s="415"/>
    </row>
    <row r="38" spans="1:44" ht="14" x14ac:dyDescent="0.15">
      <c r="A38" s="405"/>
      <c r="B38" s="407"/>
      <c r="C38" s="389"/>
      <c r="D38" s="390"/>
      <c r="E38" s="390"/>
      <c r="F38" s="390"/>
      <c r="G38" s="391"/>
      <c r="H38" s="776"/>
      <c r="I38" s="392"/>
      <c r="J38" s="393"/>
      <c r="K38" s="394"/>
      <c r="L38" s="394"/>
      <c r="M38" s="394"/>
      <c r="N38" s="394"/>
      <c r="O38" s="395"/>
      <c r="P38" s="396"/>
      <c r="Q38" s="396"/>
      <c r="R38" s="498"/>
      <c r="S38" s="774"/>
      <c r="T38" s="774"/>
      <c r="U38" s="774"/>
      <c r="V38" s="396"/>
      <c r="W38" s="396"/>
      <c r="X38" s="396"/>
      <c r="Y38" s="396"/>
      <c r="Z38" s="396"/>
      <c r="AA38" s="397"/>
      <c r="AB38" s="397"/>
      <c r="AC38" s="397"/>
      <c r="AD38" s="397"/>
      <c r="AE38" s="766"/>
      <c r="AF38" s="780"/>
      <c r="AG38" s="409"/>
      <c r="AH38" s="409"/>
      <c r="AI38" s="409"/>
      <c r="AJ38" s="778"/>
      <c r="AK38" s="779"/>
      <c r="AL38" s="411"/>
      <c r="AM38" s="412"/>
      <c r="AN38" s="413"/>
      <c r="AO38" s="414"/>
      <c r="AP38" s="414"/>
      <c r="AQ38" s="415"/>
      <c r="AR38" s="415"/>
    </row>
    <row r="39" spans="1:44" ht="14" x14ac:dyDescent="0.15">
      <c r="A39" s="405"/>
      <c r="B39" s="407"/>
      <c r="C39" s="389"/>
      <c r="D39" s="390"/>
      <c r="E39" s="390"/>
      <c r="F39" s="390"/>
      <c r="G39" s="391"/>
      <c r="H39" s="776"/>
      <c r="I39" s="392"/>
      <c r="J39" s="393"/>
      <c r="K39" s="394"/>
      <c r="L39" s="394"/>
      <c r="M39" s="394"/>
      <c r="N39" s="394"/>
      <c r="O39" s="395"/>
      <c r="P39" s="396"/>
      <c r="Q39" s="396"/>
      <c r="R39" s="498"/>
      <c r="S39" s="774"/>
      <c r="T39" s="774"/>
      <c r="U39" s="774"/>
      <c r="V39" s="396"/>
      <c r="W39" s="396"/>
      <c r="X39" s="396"/>
      <c r="Y39" s="396"/>
      <c r="Z39" s="396"/>
      <c r="AA39" s="397"/>
      <c r="AB39" s="781"/>
      <c r="AC39" s="397"/>
      <c r="AD39" s="397"/>
      <c r="AE39" s="766"/>
      <c r="AF39" s="780"/>
      <c r="AG39" s="409"/>
      <c r="AH39" s="409"/>
      <c r="AI39" s="409"/>
      <c r="AJ39" s="778"/>
      <c r="AK39" s="779"/>
      <c r="AL39" s="411"/>
      <c r="AM39" s="412"/>
      <c r="AN39" s="413"/>
      <c r="AO39" s="414"/>
      <c r="AP39" s="414"/>
      <c r="AQ39" s="415"/>
      <c r="AR39" s="415"/>
    </row>
    <row r="40" spans="1:44" ht="14" x14ac:dyDescent="0.15">
      <c r="A40" s="405"/>
      <c r="B40" s="407"/>
      <c r="C40" s="389"/>
      <c r="D40" s="390"/>
      <c r="E40" s="390"/>
      <c r="F40" s="390"/>
      <c r="G40" s="391"/>
      <c r="H40" s="776"/>
      <c r="I40" s="392"/>
      <c r="J40" s="393"/>
      <c r="K40" s="394"/>
      <c r="L40" s="394"/>
      <c r="M40" s="394"/>
      <c r="N40" s="394"/>
      <c r="O40" s="395"/>
      <c r="P40" s="396"/>
      <c r="Q40" s="396"/>
      <c r="R40" s="498"/>
      <c r="S40" s="774"/>
      <c r="T40" s="774"/>
      <c r="U40" s="774"/>
      <c r="V40" s="396"/>
      <c r="W40" s="396"/>
      <c r="X40" s="396"/>
      <c r="Y40" s="396"/>
      <c r="Z40" s="396"/>
      <c r="AA40" s="397"/>
      <c r="AB40" s="781"/>
      <c r="AC40" s="397"/>
      <c r="AD40" s="397"/>
      <c r="AE40" s="766"/>
      <c r="AF40" s="780"/>
      <c r="AG40" s="409"/>
      <c r="AH40" s="409"/>
      <c r="AI40" s="409"/>
      <c r="AJ40" s="778"/>
      <c r="AK40" s="779"/>
      <c r="AL40" s="411"/>
      <c r="AM40" s="412"/>
      <c r="AN40" s="413"/>
      <c r="AO40" s="414"/>
      <c r="AP40" s="414"/>
      <c r="AQ40" s="415"/>
      <c r="AR40" s="415"/>
    </row>
    <row r="41" spans="1:44" ht="14" x14ac:dyDescent="0.15">
      <c r="A41" s="405"/>
      <c r="B41" s="407"/>
      <c r="C41" s="389"/>
      <c r="D41" s="390"/>
      <c r="E41" s="390"/>
      <c r="F41" s="390"/>
      <c r="G41" s="391"/>
      <c r="H41" s="776"/>
      <c r="I41" s="392"/>
      <c r="J41" s="393"/>
      <c r="K41" s="394"/>
      <c r="L41" s="394"/>
      <c r="M41" s="394"/>
      <c r="N41" s="394"/>
      <c r="O41" s="395"/>
      <c r="P41" s="396"/>
      <c r="Q41" s="396"/>
      <c r="R41" s="498"/>
      <c r="S41" s="774"/>
      <c r="T41" s="774"/>
      <c r="U41" s="774"/>
      <c r="V41" s="396"/>
      <c r="W41" s="396"/>
      <c r="X41" s="396"/>
      <c r="Y41" s="396"/>
      <c r="Z41" s="396"/>
      <c r="AA41" s="397"/>
      <c r="AB41" s="397"/>
      <c r="AC41" s="397"/>
      <c r="AD41" s="397"/>
      <c r="AE41" s="766"/>
      <c r="AF41" s="780"/>
      <c r="AG41" s="409"/>
      <c r="AH41" s="409"/>
      <c r="AI41" s="409"/>
      <c r="AJ41" s="778"/>
      <c r="AK41" s="779"/>
      <c r="AL41" s="411"/>
      <c r="AM41" s="412"/>
      <c r="AN41" s="413"/>
      <c r="AO41" s="414"/>
      <c r="AP41" s="414"/>
      <c r="AQ41" s="415"/>
      <c r="AR41" s="415"/>
    </row>
    <row r="42" spans="1:44" ht="14" x14ac:dyDescent="0.15">
      <c r="A42" s="405"/>
      <c r="B42" s="407"/>
      <c r="C42" s="389"/>
      <c r="D42" s="390"/>
      <c r="E42" s="390"/>
      <c r="F42" s="390"/>
      <c r="G42" s="391"/>
      <c r="H42" s="776"/>
      <c r="I42" s="392"/>
      <c r="J42" s="393"/>
      <c r="K42" s="394"/>
      <c r="L42" s="394"/>
      <c r="M42" s="394"/>
      <c r="N42" s="394"/>
      <c r="O42" s="395"/>
      <c r="P42" s="396"/>
      <c r="Q42" s="396"/>
      <c r="R42" s="498"/>
      <c r="S42" s="774"/>
      <c r="T42" s="774"/>
      <c r="U42" s="774"/>
      <c r="V42" s="396"/>
      <c r="W42" s="396"/>
      <c r="X42" s="396"/>
      <c r="Y42" s="396"/>
      <c r="Z42" s="396"/>
      <c r="AA42" s="397"/>
      <c r="AB42" s="397"/>
      <c r="AC42" s="397"/>
      <c r="AD42" s="397"/>
      <c r="AE42" s="766"/>
      <c r="AF42" s="780"/>
      <c r="AG42" s="409"/>
      <c r="AH42" s="409"/>
      <c r="AI42" s="409"/>
      <c r="AJ42" s="778"/>
      <c r="AK42" s="779"/>
      <c r="AL42" s="411"/>
      <c r="AM42" s="412"/>
      <c r="AN42" s="413"/>
      <c r="AO42" s="414"/>
      <c r="AP42" s="414"/>
      <c r="AQ42" s="415"/>
      <c r="AR42" s="415"/>
    </row>
    <row r="43" spans="1:44" ht="14" x14ac:dyDescent="0.15">
      <c r="A43" s="405"/>
      <c r="B43" s="407"/>
      <c r="C43" s="389"/>
      <c r="D43" s="390"/>
      <c r="E43" s="390"/>
      <c r="F43" s="390"/>
      <c r="G43" s="391"/>
      <c r="H43" s="776"/>
      <c r="I43" s="392"/>
      <c r="J43" s="393"/>
      <c r="K43" s="394"/>
      <c r="L43" s="394"/>
      <c r="M43" s="394"/>
      <c r="N43" s="394"/>
      <c r="O43" s="395"/>
      <c r="P43" s="396"/>
      <c r="Q43" s="396"/>
      <c r="R43" s="498"/>
      <c r="S43" s="774"/>
      <c r="T43" s="774"/>
      <c r="U43" s="774"/>
      <c r="V43" s="396"/>
      <c r="W43" s="396"/>
      <c r="X43" s="396"/>
      <c r="Y43" s="396"/>
      <c r="Z43" s="396"/>
      <c r="AA43" s="397"/>
      <c r="AB43" s="397"/>
      <c r="AC43" s="397"/>
      <c r="AD43" s="397"/>
      <c r="AE43" s="766"/>
      <c r="AF43" s="782"/>
      <c r="AG43" s="409"/>
      <c r="AH43" s="409"/>
      <c r="AI43" s="409"/>
      <c r="AJ43" s="778"/>
      <c r="AK43" s="779"/>
      <c r="AL43" s="411"/>
      <c r="AM43" s="412"/>
      <c r="AN43" s="413"/>
      <c r="AO43" s="414"/>
      <c r="AP43" s="414"/>
      <c r="AQ43" s="415"/>
      <c r="AR43" s="415"/>
    </row>
    <row r="44" spans="1:44" ht="14" x14ac:dyDescent="0.15">
      <c r="A44" s="405"/>
      <c r="B44" s="407"/>
      <c r="C44" s="389"/>
      <c r="D44" s="390"/>
      <c r="E44" s="390"/>
      <c r="F44" s="390"/>
      <c r="G44" s="391"/>
      <c r="H44" s="776"/>
      <c r="I44" s="392"/>
      <c r="J44" s="393"/>
      <c r="K44" s="394"/>
      <c r="L44" s="394"/>
      <c r="M44" s="394"/>
      <c r="N44" s="394"/>
      <c r="O44" s="395"/>
      <c r="P44" s="396"/>
      <c r="Q44" s="396"/>
      <c r="R44" s="498"/>
      <c r="S44" s="774"/>
      <c r="T44" s="774"/>
      <c r="U44" s="774"/>
      <c r="V44" s="396"/>
      <c r="W44" s="396"/>
      <c r="X44" s="396"/>
      <c r="Y44" s="396"/>
      <c r="Z44" s="396"/>
      <c r="AA44" s="397"/>
      <c r="AB44" s="397"/>
      <c r="AC44" s="397"/>
      <c r="AD44" s="397"/>
      <c r="AE44" s="766"/>
      <c r="AF44" s="780"/>
      <c r="AG44" s="409"/>
      <c r="AH44" s="409"/>
      <c r="AI44" s="409"/>
      <c r="AJ44" s="778"/>
      <c r="AK44" s="779"/>
      <c r="AL44" s="411"/>
      <c r="AM44" s="412"/>
      <c r="AN44" s="413"/>
      <c r="AO44" s="414"/>
      <c r="AP44" s="414"/>
      <c r="AQ44" s="415"/>
      <c r="AR44" s="415"/>
    </row>
    <row r="45" spans="1:44" ht="14" x14ac:dyDescent="0.15">
      <c r="A45" s="405"/>
      <c r="B45" s="407"/>
      <c r="C45" s="389"/>
      <c r="D45" s="390"/>
      <c r="E45" s="390"/>
      <c r="F45" s="390"/>
      <c r="G45" s="391"/>
      <c r="H45" s="776"/>
      <c r="I45" s="392"/>
      <c r="J45" s="393"/>
      <c r="K45" s="394"/>
      <c r="L45" s="394"/>
      <c r="M45" s="394"/>
      <c r="N45" s="394"/>
      <c r="O45" s="395"/>
      <c r="P45" s="396"/>
      <c r="Q45" s="396"/>
      <c r="R45" s="498"/>
      <c r="S45" s="774"/>
      <c r="T45" s="774"/>
      <c r="U45" s="774"/>
      <c r="V45" s="396"/>
      <c r="W45" s="396"/>
      <c r="X45" s="396"/>
      <c r="Y45" s="396"/>
      <c r="Z45" s="396"/>
      <c r="AA45" s="397"/>
      <c r="AB45" s="397"/>
      <c r="AC45" s="397"/>
      <c r="AD45" s="397"/>
      <c r="AE45" s="766"/>
      <c r="AF45" s="780"/>
      <c r="AG45" s="409"/>
      <c r="AH45" s="409"/>
      <c r="AI45" s="409"/>
      <c r="AJ45" s="778"/>
      <c r="AK45" s="779"/>
      <c r="AL45" s="411"/>
      <c r="AM45" s="412"/>
      <c r="AN45" s="413"/>
      <c r="AO45" s="414"/>
      <c r="AP45" s="414"/>
      <c r="AQ45" s="415"/>
      <c r="AR45" s="415"/>
    </row>
    <row r="46" spans="1:44" ht="14" x14ac:dyDescent="0.15">
      <c r="A46" s="405"/>
      <c r="B46" s="407"/>
      <c r="C46" s="389"/>
      <c r="D46" s="390"/>
      <c r="E46" s="390"/>
      <c r="F46" s="390"/>
      <c r="G46" s="391"/>
      <c r="H46" s="776"/>
      <c r="I46" s="392"/>
      <c r="J46" s="393"/>
      <c r="K46" s="394"/>
      <c r="L46" s="394"/>
      <c r="M46" s="394"/>
      <c r="N46" s="394"/>
      <c r="O46" s="783"/>
      <c r="P46" s="409"/>
      <c r="Q46" s="784"/>
      <c r="R46" s="498"/>
      <c r="S46" s="774"/>
      <c r="T46" s="774"/>
      <c r="U46" s="774"/>
      <c r="V46" s="409"/>
      <c r="W46" s="409"/>
      <c r="X46" s="409"/>
      <c r="Y46" s="409"/>
      <c r="Z46" s="409"/>
      <c r="AA46" s="780"/>
      <c r="AB46" s="397"/>
      <c r="AC46" s="397"/>
      <c r="AD46" s="397"/>
      <c r="AE46" s="766"/>
      <c r="AF46" s="782"/>
      <c r="AG46" s="409"/>
      <c r="AH46" s="409"/>
      <c r="AI46" s="409"/>
      <c r="AJ46" s="778"/>
      <c r="AK46" s="779"/>
      <c r="AL46" s="411"/>
      <c r="AM46" s="412"/>
      <c r="AN46" s="413"/>
      <c r="AO46" s="414"/>
      <c r="AP46" s="414"/>
      <c r="AQ46" s="415"/>
      <c r="AR46" s="415"/>
    </row>
    <row r="47" spans="1:44" ht="14" x14ac:dyDescent="0.15">
      <c r="A47" s="405"/>
      <c r="B47" s="407"/>
      <c r="C47" s="389"/>
      <c r="D47" s="390"/>
      <c r="E47" s="390"/>
      <c r="F47" s="390"/>
      <c r="G47" s="391"/>
      <c r="H47" s="776"/>
      <c r="I47" s="392"/>
      <c r="J47" s="393"/>
      <c r="K47" s="394"/>
      <c r="L47" s="394"/>
      <c r="M47" s="394"/>
      <c r="N47" s="394"/>
      <c r="O47" s="783"/>
      <c r="P47" s="409"/>
      <c r="Q47" s="784"/>
      <c r="R47" s="498"/>
      <c r="S47" s="774"/>
      <c r="T47" s="774"/>
      <c r="U47" s="774"/>
      <c r="V47" s="409"/>
      <c r="W47" s="409"/>
      <c r="X47" s="409"/>
      <c r="Y47" s="409"/>
      <c r="Z47" s="409"/>
      <c r="AA47" s="780"/>
      <c r="AB47" s="397"/>
      <c r="AC47" s="397"/>
      <c r="AD47" s="397"/>
      <c r="AE47" s="397"/>
      <c r="AF47" s="780"/>
      <c r="AG47" s="409"/>
      <c r="AH47" s="409"/>
      <c r="AI47" s="409"/>
      <c r="AJ47" s="778"/>
      <c r="AK47" s="779"/>
      <c r="AL47" s="411"/>
      <c r="AM47" s="412"/>
      <c r="AN47" s="413"/>
      <c r="AO47" s="414"/>
      <c r="AP47" s="414"/>
      <c r="AQ47" s="415"/>
      <c r="AR47" s="415"/>
    </row>
    <row r="48" spans="1:44" ht="14" x14ac:dyDescent="0.15">
      <c r="A48" s="405"/>
      <c r="B48" s="407"/>
      <c r="C48" s="389"/>
      <c r="D48" s="390"/>
      <c r="E48" s="390"/>
      <c r="F48" s="390"/>
      <c r="G48" s="391"/>
      <c r="H48" s="776"/>
      <c r="I48" s="392"/>
      <c r="J48" s="393"/>
      <c r="K48" s="394"/>
      <c r="L48" s="394"/>
      <c r="M48" s="394"/>
      <c r="N48" s="394"/>
      <c r="O48" s="395"/>
      <c r="P48" s="396"/>
      <c r="Q48" s="396"/>
      <c r="R48" s="498"/>
      <c r="S48" s="774"/>
      <c r="T48" s="774"/>
      <c r="U48" s="774"/>
      <c r="V48" s="409"/>
      <c r="W48" s="409"/>
      <c r="X48" s="409"/>
      <c r="Y48" s="409"/>
      <c r="Z48" s="409"/>
      <c r="AA48" s="780"/>
      <c r="AB48" s="397"/>
      <c r="AC48" s="397"/>
      <c r="AD48" s="397"/>
      <c r="AE48" s="766"/>
      <c r="AF48" s="777"/>
      <c r="AG48" s="409"/>
      <c r="AH48" s="409"/>
      <c r="AI48" s="409"/>
      <c r="AJ48" s="778"/>
      <c r="AK48" s="779"/>
      <c r="AL48" s="411"/>
      <c r="AM48" s="412"/>
      <c r="AN48" s="413"/>
      <c r="AO48" s="414"/>
      <c r="AP48" s="414"/>
      <c r="AQ48" s="415"/>
      <c r="AR48" s="415"/>
    </row>
    <row r="49" spans="1:44" ht="14" x14ac:dyDescent="0.15">
      <c r="A49" s="405"/>
      <c r="B49" s="407"/>
      <c r="C49" s="389"/>
      <c r="D49" s="390"/>
      <c r="E49" s="390"/>
      <c r="F49" s="390"/>
      <c r="G49" s="391"/>
      <c r="H49" s="776"/>
      <c r="I49" s="392"/>
      <c r="J49" s="393"/>
      <c r="K49" s="394"/>
      <c r="L49" s="394"/>
      <c r="M49" s="394"/>
      <c r="N49" s="394"/>
      <c r="O49" s="395"/>
      <c r="P49" s="396"/>
      <c r="Q49" s="396"/>
      <c r="R49" s="498"/>
      <c r="S49" s="774"/>
      <c r="T49" s="774"/>
      <c r="U49" s="774"/>
      <c r="V49" s="409"/>
      <c r="W49" s="409"/>
      <c r="X49" s="409"/>
      <c r="Y49" s="409"/>
      <c r="Z49" s="409"/>
      <c r="AA49" s="780"/>
      <c r="AB49" s="397"/>
      <c r="AC49" s="397"/>
      <c r="AD49" s="397"/>
      <c r="AE49" s="766"/>
      <c r="AF49" s="397"/>
      <c r="AG49" s="409"/>
      <c r="AH49" s="409"/>
      <c r="AI49" s="409"/>
      <c r="AJ49" s="778"/>
      <c r="AK49" s="779"/>
      <c r="AL49" s="411"/>
      <c r="AM49" s="412"/>
      <c r="AN49" s="413"/>
      <c r="AO49" s="414"/>
      <c r="AP49" s="414"/>
      <c r="AQ49" s="415"/>
      <c r="AR49" s="415"/>
    </row>
    <row r="50" spans="1:44" ht="14" x14ac:dyDescent="0.15">
      <c r="A50" s="405"/>
      <c r="B50" s="407"/>
      <c r="C50" s="389"/>
      <c r="D50" s="390"/>
      <c r="E50" s="390"/>
      <c r="F50" s="390"/>
      <c r="G50" s="391"/>
      <c r="H50" s="391"/>
      <c r="I50" s="392"/>
      <c r="J50" s="393"/>
      <c r="K50" s="394"/>
      <c r="L50" s="394"/>
      <c r="M50" s="394"/>
      <c r="N50" s="394"/>
      <c r="O50" s="408"/>
      <c r="P50" s="409"/>
      <c r="Q50" s="409"/>
      <c r="R50" s="498"/>
      <c r="S50" s="774"/>
      <c r="T50" s="774"/>
      <c r="U50" s="774"/>
      <c r="V50" s="409"/>
      <c r="W50" s="409"/>
      <c r="X50" s="409"/>
      <c r="Y50" s="409"/>
      <c r="Z50" s="409"/>
      <c r="AA50" s="410"/>
      <c r="AB50" s="410"/>
      <c r="AC50" s="410"/>
      <c r="AD50" s="410"/>
      <c r="AE50" s="410"/>
      <c r="AF50" s="410"/>
      <c r="AG50" s="409"/>
      <c r="AH50" s="409"/>
      <c r="AI50" s="409"/>
      <c r="AJ50" s="778"/>
      <c r="AK50" s="779"/>
      <c r="AL50" s="411"/>
      <c r="AM50" s="412"/>
      <c r="AN50" s="413"/>
      <c r="AO50" s="414"/>
      <c r="AP50" s="414"/>
      <c r="AQ50" s="415"/>
      <c r="AR50" s="415"/>
    </row>
    <row r="51" spans="1:44" ht="14" x14ac:dyDescent="0.15">
      <c r="A51" s="405"/>
      <c r="B51" s="407"/>
      <c r="C51" s="389"/>
      <c r="D51" s="390"/>
      <c r="E51" s="390"/>
      <c r="F51" s="390"/>
      <c r="G51" s="391"/>
      <c r="H51" s="391"/>
      <c r="I51" s="392"/>
      <c r="J51" s="393"/>
      <c r="K51" s="394"/>
      <c r="L51" s="394"/>
      <c r="M51" s="394"/>
      <c r="N51" s="394"/>
      <c r="O51" s="408"/>
      <c r="P51" s="409"/>
      <c r="Q51" s="409"/>
      <c r="R51" s="498"/>
      <c r="S51" s="774"/>
      <c r="T51" s="774"/>
      <c r="U51" s="774"/>
      <c r="V51" s="409"/>
      <c r="W51" s="409"/>
      <c r="X51" s="409"/>
      <c r="Y51" s="409"/>
      <c r="Z51" s="409"/>
      <c r="AA51" s="410"/>
      <c r="AB51" s="410"/>
      <c r="AC51" s="410"/>
      <c r="AD51" s="410"/>
      <c r="AE51" s="410"/>
      <c r="AF51" s="410"/>
      <c r="AG51" s="409"/>
      <c r="AH51" s="409"/>
      <c r="AI51" s="409"/>
      <c r="AJ51" s="778"/>
      <c r="AK51" s="779"/>
      <c r="AL51" s="411"/>
      <c r="AM51" s="412"/>
      <c r="AN51" s="413"/>
      <c r="AO51" s="414"/>
      <c r="AP51" s="414"/>
      <c r="AQ51" s="415"/>
      <c r="AR51" s="415"/>
    </row>
    <row r="52" spans="1:44" ht="12.75" customHeight="1" x14ac:dyDescent="0.15">
      <c r="J52" s="416"/>
      <c r="R52" s="785"/>
      <c r="S52" s="499"/>
      <c r="T52" s="499"/>
      <c r="U52" s="500"/>
    </row>
    <row r="53" spans="1:44" s="372" customFormat="1" ht="18" customHeight="1" x14ac:dyDescent="0.2">
      <c r="E53" s="367"/>
      <c r="F53" s="367"/>
      <c r="G53" s="367"/>
      <c r="H53" s="367"/>
      <c r="I53" s="367"/>
      <c r="J53" s="367"/>
      <c r="K53" s="367"/>
      <c r="L53" s="367"/>
      <c r="M53" s="367"/>
      <c r="Q53" s="417" t="s">
        <v>468</v>
      </c>
      <c r="R53" s="418"/>
    </row>
    <row r="54" spans="1:44" s="372" customFormat="1" ht="18" customHeight="1" x14ac:dyDescent="0.2">
      <c r="A54" s="419"/>
      <c r="C54" s="420"/>
      <c r="E54" s="367"/>
      <c r="F54" s="367"/>
      <c r="G54" s="367"/>
      <c r="H54" s="367"/>
      <c r="I54" s="367"/>
      <c r="J54" s="421"/>
      <c r="K54" s="422"/>
      <c r="L54" s="421"/>
      <c r="M54" s="423"/>
      <c r="N54" s="423"/>
      <c r="O54" s="423"/>
      <c r="Q54" s="424"/>
      <c r="R54" s="425"/>
      <c r="S54" s="424"/>
      <c r="T54" s="426" t="s">
        <v>471</v>
      </c>
      <c r="U54" s="427" t="s">
        <v>473</v>
      </c>
      <c r="V54" s="424"/>
      <c r="W54" s="424"/>
      <c r="X54" s="424"/>
    </row>
    <row r="55" spans="1:44" s="372" customFormat="1" ht="18" customHeight="1" x14ac:dyDescent="0.2">
      <c r="B55" s="428"/>
      <c r="D55" s="429" t="s">
        <v>465</v>
      </c>
      <c r="E55" s="429" t="s">
        <v>466</v>
      </c>
      <c r="F55" s="430"/>
      <c r="J55" s="431"/>
      <c r="K55" s="432"/>
      <c r="L55" s="433"/>
      <c r="M55" s="434"/>
      <c r="N55" s="434"/>
      <c r="O55" s="434"/>
      <c r="Q55" s="417" t="s">
        <v>407</v>
      </c>
      <c r="R55" s="435"/>
      <c r="T55" s="436" t="s">
        <v>469</v>
      </c>
      <c r="U55" s="436" t="s">
        <v>477</v>
      </c>
    </row>
    <row r="56" spans="1:44" s="372" customFormat="1" ht="18" customHeight="1" x14ac:dyDescent="0.2">
      <c r="B56" s="428"/>
      <c r="C56" s="428"/>
      <c r="D56" s="437" t="s">
        <v>327</v>
      </c>
      <c r="E56" s="437">
        <v>1002</v>
      </c>
      <c r="F56" s="438"/>
      <c r="J56" s="439"/>
      <c r="K56" s="440"/>
      <c r="L56" s="441"/>
      <c r="M56" s="442"/>
      <c r="N56" s="442"/>
      <c r="O56" s="442"/>
      <c r="P56" s="443"/>
      <c r="Q56" s="417" t="s">
        <v>413</v>
      </c>
      <c r="R56" s="444"/>
      <c r="T56" s="436" t="s">
        <v>470</v>
      </c>
      <c r="U56" s="436" t="s">
        <v>474</v>
      </c>
    </row>
    <row r="57" spans="1:44" s="372" customFormat="1" ht="18" customHeight="1" x14ac:dyDescent="0.2">
      <c r="B57" s="428"/>
      <c r="C57" s="428"/>
      <c r="D57" s="437" t="s">
        <v>52</v>
      </c>
      <c r="E57" s="437">
        <v>1003</v>
      </c>
      <c r="F57" s="438"/>
      <c r="J57" s="445"/>
      <c r="K57" s="446"/>
      <c r="L57" s="447"/>
      <c r="M57" s="448"/>
      <c r="N57" s="448"/>
      <c r="O57" s="448"/>
      <c r="Q57" s="417" t="s">
        <v>405</v>
      </c>
      <c r="R57" s="444"/>
      <c r="T57" s="436" t="s">
        <v>470</v>
      </c>
      <c r="U57" s="436" t="s">
        <v>477</v>
      </c>
    </row>
    <row r="58" spans="1:44" s="372" customFormat="1" ht="18" customHeight="1" x14ac:dyDescent="0.2">
      <c r="B58" s="428"/>
      <c r="C58" s="428"/>
      <c r="D58" s="449" t="s">
        <v>378</v>
      </c>
      <c r="E58" s="449">
        <v>1006</v>
      </c>
      <c r="F58" s="450"/>
      <c r="J58" s="431"/>
      <c r="K58" s="432"/>
      <c r="L58" s="451"/>
      <c r="M58" s="434"/>
      <c r="N58" s="452"/>
      <c r="O58" s="434"/>
      <c r="Q58" s="417" t="s">
        <v>406</v>
      </c>
      <c r="R58" s="444"/>
      <c r="T58" s="436" t="s">
        <v>470</v>
      </c>
      <c r="U58" s="436" t="s">
        <v>477</v>
      </c>
    </row>
    <row r="59" spans="1:44" ht="18" customHeight="1" x14ac:dyDescent="0.2">
      <c r="A59" s="372"/>
      <c r="B59" s="428"/>
      <c r="C59" s="428"/>
      <c r="D59" s="437" t="s">
        <v>379</v>
      </c>
      <c r="E59" s="437">
        <v>1004</v>
      </c>
      <c r="F59" s="438"/>
      <c r="J59" s="453"/>
      <c r="K59" s="440"/>
      <c r="L59" s="454"/>
      <c r="M59" s="442"/>
      <c r="N59" s="455"/>
      <c r="O59" s="442"/>
      <c r="Q59" s="417" t="s">
        <v>408</v>
      </c>
      <c r="T59" s="436" t="s">
        <v>470</v>
      </c>
      <c r="U59" s="436" t="s">
        <v>476</v>
      </c>
    </row>
    <row r="60" spans="1:44" ht="18" customHeight="1" x14ac:dyDescent="0.2">
      <c r="A60" s="372"/>
      <c r="B60" s="428"/>
      <c r="C60" s="428"/>
      <c r="J60" s="456"/>
      <c r="K60" s="446"/>
      <c r="L60" s="445"/>
      <c r="M60" s="457"/>
      <c r="N60" s="458"/>
      <c r="O60" s="459"/>
      <c r="P60" s="460"/>
      <c r="Q60" s="417" t="s">
        <v>404</v>
      </c>
      <c r="T60" s="436" t="s">
        <v>470</v>
      </c>
      <c r="U60" s="436" t="s">
        <v>476</v>
      </c>
    </row>
    <row r="61" spans="1:44" ht="18" customHeight="1" x14ac:dyDescent="0.2">
      <c r="A61" s="372"/>
      <c r="B61" s="428"/>
      <c r="C61" s="428"/>
      <c r="D61" s="461"/>
      <c r="E61" s="462"/>
      <c r="F61" s="462"/>
      <c r="J61" s="463"/>
      <c r="K61" s="464"/>
      <c r="L61" s="465"/>
      <c r="M61" s="442"/>
      <c r="N61" s="442"/>
      <c r="O61" s="442"/>
    </row>
    <row r="62" spans="1:44" ht="18" customHeight="1" x14ac:dyDescent="0.2">
      <c r="A62" s="372"/>
      <c r="B62" s="428"/>
      <c r="C62" s="428"/>
      <c r="J62" s="466"/>
      <c r="K62" s="464"/>
      <c r="L62" s="467"/>
      <c r="M62" s="468"/>
      <c r="N62" s="468"/>
      <c r="O62" s="468"/>
    </row>
    <row r="63" spans="1:44" ht="18" customHeight="1" x14ac:dyDescent="0.2">
      <c r="A63" s="372"/>
      <c r="B63" s="428"/>
      <c r="C63" s="428"/>
      <c r="Q63" s="469" t="s">
        <v>472</v>
      </c>
    </row>
    <row r="64" spans="1:44" ht="18" customHeight="1" x14ac:dyDescent="0.2">
      <c r="A64" s="372"/>
      <c r="B64" s="428"/>
      <c r="C64" s="428"/>
      <c r="J64" s="367"/>
      <c r="K64" s="367"/>
      <c r="L64" s="372"/>
      <c r="Q64" s="470" t="s">
        <v>475</v>
      </c>
    </row>
    <row r="65" spans="1:17" ht="18" customHeight="1" x14ac:dyDescent="0.2">
      <c r="A65" s="471"/>
      <c r="B65" s="428"/>
      <c r="C65" s="428"/>
      <c r="J65" s="372"/>
      <c r="K65" s="372"/>
      <c r="L65" s="372"/>
      <c r="M65" s="372"/>
      <c r="Q65" s="470" t="s">
        <v>478</v>
      </c>
    </row>
    <row r="66" spans="1:17" ht="18" customHeight="1" x14ac:dyDescent="0.2">
      <c r="A66" s="471"/>
      <c r="B66" s="428"/>
      <c r="C66" s="428"/>
      <c r="E66" s="472"/>
      <c r="F66" s="472"/>
      <c r="J66" s="443"/>
      <c r="K66" s="473"/>
      <c r="L66" s="443"/>
      <c r="M66" s="372"/>
    </row>
    <row r="67" spans="1:17" s="372" customFormat="1" ht="18" customHeight="1" x14ac:dyDescent="0.2">
      <c r="A67" s="471"/>
      <c r="B67" s="428"/>
      <c r="C67" s="428"/>
      <c r="K67" s="443"/>
      <c r="L67" s="443"/>
      <c r="M67" s="443"/>
    </row>
    <row r="68" spans="1:17" s="372" customFormat="1" ht="18" customHeight="1" x14ac:dyDescent="0.2">
      <c r="A68" s="471"/>
      <c r="B68" s="428"/>
      <c r="C68" s="428"/>
    </row>
    <row r="69" spans="1:17" ht="18" customHeight="1" x14ac:dyDescent="0.2">
      <c r="A69" s="471"/>
      <c r="B69" s="428"/>
      <c r="C69" s="428"/>
    </row>
    <row r="70" spans="1:17" ht="18" x14ac:dyDescent="0.2">
      <c r="A70" s="372"/>
      <c r="B70" s="428"/>
      <c r="C70" s="428"/>
      <c r="J70" s="387"/>
    </row>
    <row r="71" spans="1:17" ht="18" x14ac:dyDescent="0.2">
      <c r="A71" s="372"/>
      <c r="B71" s="428"/>
      <c r="C71" s="428"/>
      <c r="J71" s="387"/>
    </row>
    <row r="72" spans="1:17" s="372" customFormat="1" ht="18" x14ac:dyDescent="0.2">
      <c r="A72" s="471"/>
      <c r="B72" s="428"/>
      <c r="C72" s="428"/>
      <c r="J72" s="387"/>
      <c r="K72" s="355"/>
      <c r="L72" s="355"/>
      <c r="M72" s="355"/>
    </row>
    <row r="73" spans="1:17" s="372" customFormat="1" ht="18" x14ac:dyDescent="0.2">
      <c r="B73" s="428"/>
      <c r="C73" s="428"/>
      <c r="J73" s="387"/>
      <c r="K73" s="355"/>
      <c r="L73" s="355"/>
      <c r="M73" s="355"/>
    </row>
    <row r="74" spans="1:17" ht="18" x14ac:dyDescent="0.2">
      <c r="A74" s="372"/>
      <c r="B74" s="428"/>
      <c r="C74" s="428"/>
      <c r="J74" s="387"/>
    </row>
    <row r="75" spans="1:17" ht="18" x14ac:dyDescent="0.2">
      <c r="A75" s="372"/>
      <c r="B75" s="428"/>
      <c r="C75" s="428"/>
      <c r="J75" s="405"/>
    </row>
    <row r="76" spans="1:17" ht="18" x14ac:dyDescent="0.2">
      <c r="A76" s="372"/>
      <c r="B76" s="428"/>
      <c r="C76" s="428"/>
      <c r="J76" s="387"/>
    </row>
    <row r="77" spans="1:17" ht="18" x14ac:dyDescent="0.2">
      <c r="A77" s="372"/>
      <c r="B77" s="428"/>
      <c r="C77" s="428"/>
      <c r="J77" s="387"/>
    </row>
    <row r="78" spans="1:17" s="474" customFormat="1" ht="18" x14ac:dyDescent="0.2">
      <c r="A78" s="372"/>
      <c r="B78" s="428"/>
      <c r="C78" s="428"/>
      <c r="G78" s="355"/>
      <c r="H78" s="355"/>
      <c r="J78" s="387"/>
      <c r="K78" s="355"/>
      <c r="L78" s="355"/>
      <c r="M78" s="355"/>
    </row>
    <row r="79" spans="1:17" ht="18" x14ac:dyDescent="0.2">
      <c r="A79" s="372"/>
      <c r="B79" s="428"/>
      <c r="C79" s="428"/>
      <c r="J79" s="405"/>
    </row>
    <row r="80" spans="1:17" ht="18" x14ac:dyDescent="0.2">
      <c r="A80" s="372"/>
      <c r="B80" s="428"/>
      <c r="C80" s="428"/>
    </row>
    <row r="81" spans="1:3" ht="18" x14ac:dyDescent="0.2">
      <c r="A81" s="372"/>
      <c r="B81" s="428"/>
      <c r="C81" s="428"/>
    </row>
    <row r="82" spans="1:3" ht="18" x14ac:dyDescent="0.2">
      <c r="A82" s="372"/>
      <c r="B82" s="428"/>
      <c r="C82" s="428"/>
    </row>
    <row r="83" spans="1:3" ht="33" customHeight="1" x14ac:dyDescent="0.2">
      <c r="A83" s="461"/>
      <c r="B83" s="371"/>
      <c r="C83" s="428"/>
    </row>
    <row r="84" spans="1:3" ht="12.75" customHeight="1" x14ac:dyDescent="0.2">
      <c r="A84" s="372"/>
    </row>
    <row r="85" spans="1:3" ht="12.75" customHeight="1" x14ac:dyDescent="0.2">
      <c r="A85" s="372"/>
    </row>
    <row r="86" spans="1:3" ht="12.75" customHeight="1" x14ac:dyDescent="0.2">
      <c r="A86" s="372"/>
    </row>
    <row r="87" spans="1:3" ht="12.75" customHeight="1" x14ac:dyDescent="0.2">
      <c r="A87" s="372"/>
    </row>
    <row r="88" spans="1:3" ht="18" x14ac:dyDescent="0.2">
      <c r="A88" s="372"/>
      <c r="B88" s="372"/>
      <c r="C88" s="372"/>
    </row>
    <row r="89" spans="1:3" ht="18" x14ac:dyDescent="0.2">
      <c r="A89" s="372"/>
      <c r="B89" s="372"/>
      <c r="C89" s="372"/>
    </row>
    <row r="90" spans="1:3" ht="18" x14ac:dyDescent="0.2">
      <c r="A90" s="372"/>
      <c r="B90" s="372"/>
      <c r="C90" s="372"/>
    </row>
    <row r="91" spans="1:3" ht="18" x14ac:dyDescent="0.2">
      <c r="A91" s="372"/>
      <c r="B91" s="372"/>
      <c r="C91" s="372"/>
    </row>
    <row r="92" spans="1:3" ht="12.75" customHeight="1" x14ac:dyDescent="0.2">
      <c r="A92" s="372"/>
    </row>
    <row r="93" spans="1:3" ht="12.75" customHeight="1" x14ac:dyDescent="0.2">
      <c r="A93" s="372"/>
    </row>
    <row r="94" spans="1:3" ht="12.75" customHeight="1" x14ac:dyDescent="0.2">
      <c r="A94" s="372"/>
    </row>
    <row r="95" spans="1:3" ht="12.75" customHeight="1" x14ac:dyDescent="0.2">
      <c r="A95" s="372"/>
    </row>
    <row r="96" spans="1:3" ht="12.75" customHeight="1" x14ac:dyDescent="0.2">
      <c r="A96" s="372"/>
    </row>
    <row r="97" spans="1:29" ht="12.75" customHeight="1" x14ac:dyDescent="0.2">
      <c r="A97" s="372"/>
    </row>
    <row r="98" spans="1:29" ht="12.75" customHeight="1" x14ac:dyDescent="0.2">
      <c r="A98" s="372"/>
    </row>
    <row r="99" spans="1:29" ht="12.75" customHeight="1" x14ac:dyDescent="0.2">
      <c r="A99" s="372"/>
    </row>
    <row r="100" spans="1:29" ht="12.75" customHeight="1" x14ac:dyDescent="0.2">
      <c r="A100" s="372"/>
    </row>
    <row r="101" spans="1:29" ht="12.75" customHeight="1" x14ac:dyDescent="0.2">
      <c r="A101" s="372"/>
    </row>
    <row r="102" spans="1:29" ht="12.75" customHeight="1" x14ac:dyDescent="0.2">
      <c r="A102" s="372"/>
    </row>
    <row r="103" spans="1:29" ht="12.75" customHeight="1" x14ac:dyDescent="0.2">
      <c r="A103" s="372"/>
    </row>
    <row r="104" spans="1:29" ht="12.75" customHeight="1" x14ac:dyDescent="0.2">
      <c r="A104" s="372"/>
    </row>
    <row r="105" spans="1:29" ht="12.75" customHeight="1" x14ac:dyDescent="0.2">
      <c r="A105" s="372"/>
    </row>
    <row r="106" spans="1:29" ht="12.75" customHeight="1" x14ac:dyDescent="0.2">
      <c r="A106" s="372"/>
    </row>
    <row r="108" spans="1:29" ht="12.75" customHeight="1" x14ac:dyDescent="0.15">
      <c r="AC108" s="371"/>
    </row>
    <row r="109" spans="1:29" ht="12.75" customHeight="1" x14ac:dyDescent="0.15">
      <c r="AC109" s="371"/>
    </row>
    <row r="110" spans="1:29" ht="12.75" customHeight="1" x14ac:dyDescent="0.15">
      <c r="AC110" s="758"/>
    </row>
    <row r="113" spans="27:30" ht="12.75" customHeight="1" x14ac:dyDescent="0.15">
      <c r="AA113" s="786" t="s">
        <v>798</v>
      </c>
      <c r="AD113" s="787" t="s">
        <v>799</v>
      </c>
    </row>
    <row r="114" spans="27:30" ht="12.75" customHeight="1" x14ac:dyDescent="0.15">
      <c r="AA114" s="470" t="s">
        <v>800</v>
      </c>
      <c r="AD114" s="788" t="s">
        <v>801</v>
      </c>
    </row>
    <row r="115" spans="27:30" ht="12.75" customHeight="1" x14ac:dyDescent="0.15">
      <c r="AA115" s="470" t="s">
        <v>802</v>
      </c>
      <c r="AD115" s="789"/>
    </row>
    <row r="116" spans="27:30" ht="12.75" customHeight="1" x14ac:dyDescent="0.15">
      <c r="AA116" s="470" t="s">
        <v>803</v>
      </c>
      <c r="AD116" s="788" t="s">
        <v>804</v>
      </c>
    </row>
    <row r="117" spans="27:30" ht="12.75" customHeight="1" x14ac:dyDescent="0.15">
      <c r="AA117" s="470" t="s">
        <v>805</v>
      </c>
      <c r="AD117" s="788" t="s">
        <v>806</v>
      </c>
    </row>
    <row r="118" spans="27:30" ht="12.75" customHeight="1" x14ac:dyDescent="0.15">
      <c r="AA118" s="355" t="s">
        <v>807</v>
      </c>
    </row>
  </sheetData>
  <mergeCells count="7">
    <mergeCell ref="AJ6:AK6"/>
    <mergeCell ref="K5:N5"/>
    <mergeCell ref="R5:U5"/>
    <mergeCell ref="X5:Y5"/>
    <mergeCell ref="X6:Y6"/>
    <mergeCell ref="AB6:AE6"/>
    <mergeCell ref="AG6:AI6"/>
  </mergeCells>
  <phoneticPr fontId="398" type="noConversion"/>
  <dataValidations count="1">
    <dataValidation type="list" allowBlank="1" showInputMessage="1" showErrorMessage="1" sqref="P9 P11:P19 P21:P22 P24:P32">
      <formula1>$AX$6:$AX$7</formula1>
    </dataValidation>
  </dataValidations>
  <pageMargins left="0.7" right="0.7" top="0.75" bottom="0.75" header="0.3" footer="0.3"/>
  <pageSetup paperSize="9" scale="27" fitToHeight="2" orientation="landscape" horizontalDpi="1200" verticalDpi="12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pageSetUpPr fitToPage="1"/>
  </sheetPr>
  <dimension ref="A1:G96"/>
  <sheetViews>
    <sheetView showGridLines="0" zoomScale="80" zoomScaleNormal="80" workbookViewId="0">
      <selection activeCell="E1" sqref="E1"/>
    </sheetView>
  </sheetViews>
  <sheetFormatPr baseColWidth="10" defaultColWidth="9.1640625" defaultRowHeight="13" x14ac:dyDescent="0.15"/>
  <cols>
    <col min="1" max="1" width="15.1640625" style="352" customWidth="1"/>
    <col min="2" max="2" width="38.83203125" style="352" hidden="1" customWidth="1"/>
    <col min="3" max="3" width="32" style="352" hidden="1" customWidth="1"/>
    <col min="4" max="4" width="66.83203125" style="352" customWidth="1"/>
    <col min="5" max="5" width="19.1640625" style="352" customWidth="1"/>
    <col min="6" max="6" width="50.33203125" style="352" customWidth="1"/>
    <col min="7" max="7" width="18.33203125" style="352" hidden="1" customWidth="1"/>
    <col min="8" max="16384" width="9.1640625" style="352"/>
  </cols>
  <sheetData>
    <row r="1" spans="1:7" ht="16" x14ac:dyDescent="0.2">
      <c r="A1" s="507" t="s">
        <v>631</v>
      </c>
    </row>
    <row r="4" spans="1:7" x14ac:dyDescent="0.15">
      <c r="A4" s="487" t="s">
        <v>571</v>
      </c>
      <c r="B4" s="488"/>
      <c r="C4" s="487" t="s">
        <v>524</v>
      </c>
      <c r="D4" s="487" t="s">
        <v>584</v>
      </c>
      <c r="E4" s="487" t="s">
        <v>618</v>
      </c>
      <c r="F4" s="487" t="s">
        <v>585</v>
      </c>
      <c r="G4" s="496" t="s">
        <v>620</v>
      </c>
    </row>
    <row r="5" spans="1:7" x14ac:dyDescent="0.15">
      <c r="A5" s="353" t="s">
        <v>572</v>
      </c>
      <c r="B5" s="353" t="s">
        <v>528</v>
      </c>
      <c r="C5" s="150" t="s">
        <v>511</v>
      </c>
      <c r="D5" s="150" t="s">
        <v>587</v>
      </c>
      <c r="E5" s="150"/>
      <c r="F5" s="150" t="s">
        <v>410</v>
      </c>
    </row>
    <row r="6" spans="1:7" x14ac:dyDescent="0.15">
      <c r="A6" s="353"/>
      <c r="C6" s="150" t="s">
        <v>523</v>
      </c>
      <c r="D6" s="480" t="s">
        <v>589</v>
      </c>
      <c r="E6" s="489" t="s">
        <v>590</v>
      </c>
    </row>
    <row r="7" spans="1:7" x14ac:dyDescent="0.15">
      <c r="A7" s="353"/>
      <c r="C7" s="150" t="s">
        <v>522</v>
      </c>
      <c r="D7" s="480" t="s">
        <v>591</v>
      </c>
      <c r="E7" s="489" t="s">
        <v>592</v>
      </c>
    </row>
    <row r="8" spans="1:7" x14ac:dyDescent="0.15">
      <c r="C8" s="150" t="s">
        <v>521</v>
      </c>
      <c r="D8" s="480" t="s">
        <v>624</v>
      </c>
      <c r="E8" s="489" t="s">
        <v>590</v>
      </c>
      <c r="F8" s="150" t="s">
        <v>625</v>
      </c>
    </row>
    <row r="9" spans="1:7" x14ac:dyDescent="0.15">
      <c r="C9" s="150" t="s">
        <v>520</v>
      </c>
      <c r="D9" s="480" t="s">
        <v>594</v>
      </c>
      <c r="E9" s="489" t="s">
        <v>590</v>
      </c>
    </row>
    <row r="10" spans="1:7" x14ac:dyDescent="0.15">
      <c r="C10" s="150" t="s">
        <v>519</v>
      </c>
      <c r="E10" s="490"/>
    </row>
    <row r="11" spans="1:7" x14ac:dyDescent="0.15">
      <c r="C11" s="150" t="s">
        <v>125</v>
      </c>
      <c r="D11" s="150" t="s">
        <v>588</v>
      </c>
      <c r="E11" s="489" t="s">
        <v>590</v>
      </c>
      <c r="F11" s="150" t="s">
        <v>595</v>
      </c>
    </row>
    <row r="12" spans="1:7" x14ac:dyDescent="0.15">
      <c r="C12" s="150" t="s">
        <v>517</v>
      </c>
      <c r="D12" s="150" t="s">
        <v>626</v>
      </c>
      <c r="E12" s="490"/>
    </row>
    <row r="13" spans="1:7" x14ac:dyDescent="0.15">
      <c r="C13" s="349" t="s">
        <v>516</v>
      </c>
      <c r="E13" s="490"/>
    </row>
    <row r="14" spans="1:7" hidden="1" x14ac:dyDescent="0.15">
      <c r="C14" s="150" t="s">
        <v>518</v>
      </c>
      <c r="E14" s="490"/>
    </row>
    <row r="15" spans="1:7" hidden="1" x14ac:dyDescent="0.15">
      <c r="C15" s="150" t="s">
        <v>515</v>
      </c>
      <c r="E15" s="490"/>
    </row>
    <row r="16" spans="1:7" hidden="1" x14ac:dyDescent="0.15">
      <c r="C16" s="150" t="s">
        <v>514</v>
      </c>
      <c r="E16" s="490"/>
    </row>
    <row r="17" spans="1:7" hidden="1" x14ac:dyDescent="0.15">
      <c r="C17" s="150" t="s">
        <v>129</v>
      </c>
      <c r="E17" s="490"/>
    </row>
    <row r="18" spans="1:7" hidden="1" x14ac:dyDescent="0.15">
      <c r="C18" s="150" t="s">
        <v>513</v>
      </c>
      <c r="E18" s="490"/>
    </row>
    <row r="19" spans="1:7" hidden="1" x14ac:dyDescent="0.15">
      <c r="C19" s="150" t="s">
        <v>512</v>
      </c>
      <c r="E19" s="490"/>
    </row>
    <row r="20" spans="1:7" hidden="1" x14ac:dyDescent="0.15">
      <c r="E20" s="490"/>
    </row>
    <row r="21" spans="1:7" x14ac:dyDescent="0.15">
      <c r="B21" s="353" t="s">
        <v>548</v>
      </c>
      <c r="C21" s="354" t="s">
        <v>525</v>
      </c>
      <c r="D21" s="150" t="s">
        <v>550</v>
      </c>
      <c r="E21" s="489" t="s">
        <v>593</v>
      </c>
      <c r="F21" s="150" t="s">
        <v>579</v>
      </c>
    </row>
    <row r="22" spans="1:7" x14ac:dyDescent="0.15">
      <c r="C22" s="354" t="s">
        <v>526</v>
      </c>
      <c r="E22" s="490"/>
      <c r="F22" s="150" t="s">
        <v>596</v>
      </c>
    </row>
    <row r="23" spans="1:7" x14ac:dyDescent="0.15">
      <c r="C23" s="354" t="s">
        <v>527</v>
      </c>
      <c r="E23" s="490"/>
      <c r="F23" s="150" t="s">
        <v>597</v>
      </c>
    </row>
    <row r="24" spans="1:7" x14ac:dyDescent="0.15">
      <c r="C24" s="354"/>
      <c r="E24" s="490"/>
    </row>
    <row r="25" spans="1:7" hidden="1" x14ac:dyDescent="0.15">
      <c r="C25" s="354"/>
      <c r="E25" s="490"/>
    </row>
    <row r="26" spans="1:7" hidden="1" x14ac:dyDescent="0.15">
      <c r="C26" s="354"/>
      <c r="E26" s="490"/>
    </row>
    <row r="27" spans="1:7" hidden="1" x14ac:dyDescent="0.15">
      <c r="C27" s="354"/>
      <c r="E27" s="490"/>
    </row>
    <row r="28" spans="1:7" hidden="1" x14ac:dyDescent="0.15">
      <c r="E28" s="490"/>
    </row>
    <row r="29" spans="1:7" x14ac:dyDescent="0.15">
      <c r="A29" s="481" t="s">
        <v>573</v>
      </c>
      <c r="B29" s="481" t="s">
        <v>529</v>
      </c>
      <c r="C29" s="482" t="s">
        <v>533</v>
      </c>
      <c r="D29" s="483"/>
      <c r="E29" s="491"/>
      <c r="F29" s="484"/>
    </row>
    <row r="30" spans="1:7" x14ac:dyDescent="0.15">
      <c r="A30" s="353"/>
      <c r="C30" s="150" t="s">
        <v>530</v>
      </c>
      <c r="D30" s="150" t="s">
        <v>627</v>
      </c>
      <c r="E30" s="489" t="s">
        <v>600</v>
      </c>
    </row>
    <row r="31" spans="1:7" x14ac:dyDescent="0.15">
      <c r="A31" s="353"/>
      <c r="C31" s="150" t="s">
        <v>467</v>
      </c>
      <c r="D31" s="480" t="s">
        <v>598</v>
      </c>
      <c r="E31" s="489"/>
      <c r="F31" s="150" t="s">
        <v>575</v>
      </c>
    </row>
    <row r="32" spans="1:7" x14ac:dyDescent="0.15">
      <c r="A32" s="353"/>
      <c r="C32" s="150" t="s">
        <v>531</v>
      </c>
      <c r="D32" s="480" t="s">
        <v>619</v>
      </c>
      <c r="E32" s="489"/>
      <c r="F32" s="150"/>
      <c r="G32" s="497" t="s">
        <v>621</v>
      </c>
    </row>
    <row r="33" spans="3:7" ht="13.5" customHeight="1" x14ac:dyDescent="0.15">
      <c r="C33" s="150" t="s">
        <v>532</v>
      </c>
      <c r="D33" s="478" t="s">
        <v>599</v>
      </c>
      <c r="E33" s="492"/>
      <c r="F33" s="150" t="s">
        <v>577</v>
      </c>
      <c r="G33" s="497" t="s">
        <v>622</v>
      </c>
    </row>
    <row r="34" spans="3:7" ht="26" x14ac:dyDescent="0.15">
      <c r="E34" s="490"/>
      <c r="F34" s="132" t="s">
        <v>586</v>
      </c>
    </row>
    <row r="35" spans="3:7" ht="26" x14ac:dyDescent="0.15">
      <c r="D35" s="132" t="s">
        <v>628</v>
      </c>
      <c r="E35" s="489" t="s">
        <v>600</v>
      </c>
      <c r="F35" s="132" t="s">
        <v>578</v>
      </c>
    </row>
    <row r="36" spans="3:7" x14ac:dyDescent="0.15">
      <c r="C36" s="150"/>
      <c r="D36" s="150"/>
      <c r="E36" s="489"/>
    </row>
    <row r="37" spans="3:7" x14ac:dyDescent="0.15">
      <c r="E37" s="490"/>
    </row>
    <row r="38" spans="3:7" x14ac:dyDescent="0.15">
      <c r="D38" s="479" t="s">
        <v>551</v>
      </c>
      <c r="E38" s="490"/>
    </row>
    <row r="39" spans="3:7" x14ac:dyDescent="0.15">
      <c r="D39" s="478" t="s">
        <v>552</v>
      </c>
      <c r="E39" s="490"/>
    </row>
    <row r="40" spans="3:7" ht="26" x14ac:dyDescent="0.15">
      <c r="D40" s="478" t="s">
        <v>553</v>
      </c>
      <c r="E40" s="493"/>
    </row>
    <row r="41" spans="3:7" ht="26" x14ac:dyDescent="0.15">
      <c r="D41" s="478" t="s">
        <v>554</v>
      </c>
      <c r="E41" s="492"/>
    </row>
    <row r="42" spans="3:7" x14ac:dyDescent="0.15">
      <c r="D42" s="150" t="s">
        <v>629</v>
      </c>
      <c r="E42" s="492"/>
    </row>
    <row r="43" spans="3:7" x14ac:dyDescent="0.15">
      <c r="D43" s="150"/>
      <c r="E43" s="492"/>
    </row>
    <row r="44" spans="3:7" x14ac:dyDescent="0.15">
      <c r="E44" s="489"/>
    </row>
    <row r="45" spans="3:7" hidden="1" x14ac:dyDescent="0.15">
      <c r="E45" s="489"/>
    </row>
    <row r="46" spans="3:7" hidden="1" x14ac:dyDescent="0.15">
      <c r="E46" s="490"/>
    </row>
    <row r="47" spans="3:7" hidden="1" x14ac:dyDescent="0.15">
      <c r="E47" s="490"/>
    </row>
    <row r="48" spans="3:7" hidden="1" x14ac:dyDescent="0.15">
      <c r="E48" s="490"/>
    </row>
    <row r="49" spans="1:6" x14ac:dyDescent="0.15">
      <c r="D49" s="150"/>
      <c r="E49" s="489"/>
    </row>
    <row r="50" spans="1:6" x14ac:dyDescent="0.15">
      <c r="A50" s="481" t="s">
        <v>574</v>
      </c>
      <c r="B50" s="481" t="s">
        <v>549</v>
      </c>
      <c r="C50" s="483"/>
      <c r="D50" s="484" t="s">
        <v>580</v>
      </c>
      <c r="E50" s="494" t="s">
        <v>602</v>
      </c>
      <c r="F50" s="483"/>
    </row>
    <row r="51" spans="1:6" x14ac:dyDescent="0.15">
      <c r="A51" s="150"/>
      <c r="B51" s="353"/>
      <c r="D51" s="479" t="s">
        <v>601</v>
      </c>
      <c r="E51" s="493"/>
      <c r="F51" s="479" t="s">
        <v>576</v>
      </c>
    </row>
    <row r="52" spans="1:6" x14ac:dyDescent="0.15">
      <c r="D52" s="150" t="s">
        <v>555</v>
      </c>
      <c r="E52" s="489"/>
      <c r="F52" s="150" t="s">
        <v>582</v>
      </c>
    </row>
    <row r="53" spans="1:6" x14ac:dyDescent="0.15">
      <c r="D53" s="150" t="s">
        <v>557</v>
      </c>
      <c r="E53" s="489"/>
      <c r="F53" s="150" t="s">
        <v>580</v>
      </c>
    </row>
    <row r="54" spans="1:6" x14ac:dyDescent="0.15">
      <c r="D54" s="150" t="s">
        <v>556</v>
      </c>
      <c r="E54" s="489"/>
      <c r="F54" s="150" t="s">
        <v>581</v>
      </c>
    </row>
    <row r="55" spans="1:6" x14ac:dyDescent="0.15">
      <c r="D55" s="479" t="s">
        <v>568</v>
      </c>
      <c r="E55" s="489"/>
      <c r="F55" s="150" t="s">
        <v>583</v>
      </c>
    </row>
    <row r="56" spans="1:6" x14ac:dyDescent="0.15">
      <c r="D56" s="150" t="s">
        <v>569</v>
      </c>
      <c r="E56" s="489"/>
    </row>
    <row r="57" spans="1:6" x14ac:dyDescent="0.15">
      <c r="D57" s="150" t="s">
        <v>535</v>
      </c>
      <c r="E57" s="489"/>
    </row>
    <row r="58" spans="1:6" x14ac:dyDescent="0.15">
      <c r="D58" s="150" t="s">
        <v>570</v>
      </c>
      <c r="E58" s="489"/>
    </row>
    <row r="59" spans="1:6" x14ac:dyDescent="0.15">
      <c r="E59" s="489"/>
    </row>
    <row r="60" spans="1:6" x14ac:dyDescent="0.15">
      <c r="E60" s="490"/>
    </row>
    <row r="61" spans="1:6" x14ac:dyDescent="0.15">
      <c r="D61" s="479" t="s">
        <v>607</v>
      </c>
      <c r="E61" s="490"/>
    </row>
    <row r="62" spans="1:6" x14ac:dyDescent="0.15">
      <c r="D62" s="354" t="s">
        <v>603</v>
      </c>
      <c r="E62" s="489"/>
    </row>
    <row r="63" spans="1:6" x14ac:dyDescent="0.15">
      <c r="D63" s="354" t="s">
        <v>604</v>
      </c>
      <c r="E63" s="489"/>
    </row>
    <row r="64" spans="1:6" x14ac:dyDescent="0.15">
      <c r="E64" s="489"/>
    </row>
    <row r="65" spans="4:7" x14ac:dyDescent="0.15">
      <c r="D65" s="479" t="s">
        <v>630</v>
      </c>
      <c r="E65" s="489"/>
      <c r="G65" s="150" t="s">
        <v>623</v>
      </c>
    </row>
    <row r="66" spans="4:7" x14ac:dyDescent="0.15">
      <c r="D66" s="354"/>
      <c r="E66" s="489"/>
    </row>
    <row r="67" spans="4:7" x14ac:dyDescent="0.15">
      <c r="D67" s="354"/>
      <c r="E67" s="489"/>
    </row>
    <row r="68" spans="4:7" x14ac:dyDescent="0.15">
      <c r="E68" s="495"/>
    </row>
    <row r="69" spans="4:7" x14ac:dyDescent="0.15">
      <c r="D69" s="479" t="s">
        <v>606</v>
      </c>
      <c r="E69" s="495"/>
      <c r="G69" s="150" t="s">
        <v>623</v>
      </c>
    </row>
    <row r="70" spans="4:7" x14ac:dyDescent="0.15">
      <c r="D70" s="486" t="s">
        <v>608</v>
      </c>
      <c r="E70" s="489"/>
    </row>
    <row r="71" spans="4:7" x14ac:dyDescent="0.15">
      <c r="D71" s="354" t="s">
        <v>605</v>
      </c>
      <c r="E71" s="493"/>
    </row>
    <row r="72" spans="4:7" x14ac:dyDescent="0.15">
      <c r="D72" s="354"/>
      <c r="E72" s="493"/>
    </row>
    <row r="73" spans="4:7" x14ac:dyDescent="0.15">
      <c r="D73" s="354" t="s">
        <v>610</v>
      </c>
      <c r="E73" s="493"/>
    </row>
    <row r="74" spans="4:7" x14ac:dyDescent="0.15">
      <c r="D74" s="354"/>
      <c r="E74" s="493"/>
    </row>
    <row r="75" spans="4:7" x14ac:dyDescent="0.15">
      <c r="D75" s="354" t="s">
        <v>609</v>
      </c>
      <c r="E75" s="493"/>
    </row>
    <row r="76" spans="4:7" x14ac:dyDescent="0.15">
      <c r="D76" s="150" t="s">
        <v>611</v>
      </c>
      <c r="E76" s="493"/>
    </row>
    <row r="77" spans="4:7" x14ac:dyDescent="0.15">
      <c r="D77" s="354"/>
      <c r="E77" s="493"/>
    </row>
    <row r="78" spans="4:7" x14ac:dyDescent="0.15">
      <c r="D78" s="150" t="s">
        <v>615</v>
      </c>
      <c r="E78" s="493"/>
    </row>
    <row r="79" spans="4:7" x14ac:dyDescent="0.15">
      <c r="D79" s="354" t="s">
        <v>612</v>
      </c>
      <c r="E79" s="493"/>
    </row>
    <row r="80" spans="4:7" x14ac:dyDescent="0.15">
      <c r="D80" s="480" t="s">
        <v>616</v>
      </c>
      <c r="E80" s="493"/>
    </row>
    <row r="81" spans="4:5" x14ac:dyDescent="0.15">
      <c r="D81" s="480" t="s">
        <v>613</v>
      </c>
      <c r="E81" s="493"/>
    </row>
    <row r="82" spans="4:5" x14ac:dyDescent="0.15">
      <c r="D82" s="485" t="s">
        <v>614</v>
      </c>
      <c r="E82" s="493"/>
    </row>
    <row r="83" spans="4:5" x14ac:dyDescent="0.15">
      <c r="D83" s="485" t="s">
        <v>617</v>
      </c>
      <c r="E83" s="493"/>
    </row>
    <row r="84" spans="4:5" x14ac:dyDescent="0.15">
      <c r="D84" s="485"/>
      <c r="E84" s="493"/>
    </row>
    <row r="85" spans="4:5" x14ac:dyDescent="0.15">
      <c r="E85" s="495"/>
    </row>
    <row r="86" spans="4:5" x14ac:dyDescent="0.15">
      <c r="D86" s="150" t="s">
        <v>558</v>
      </c>
      <c r="E86" s="495"/>
    </row>
    <row r="87" spans="4:5" x14ac:dyDescent="0.15">
      <c r="D87" s="150" t="s">
        <v>559</v>
      </c>
      <c r="E87" s="495"/>
    </row>
    <row r="88" spans="4:5" x14ac:dyDescent="0.15">
      <c r="D88" s="150" t="s">
        <v>560</v>
      </c>
    </row>
    <row r="89" spans="4:5" x14ac:dyDescent="0.15">
      <c r="D89" s="479" t="s">
        <v>564</v>
      </c>
    </row>
    <row r="90" spans="4:5" x14ac:dyDescent="0.15">
      <c r="D90" s="480" t="s">
        <v>563</v>
      </c>
    </row>
    <row r="91" spans="4:5" x14ac:dyDescent="0.15">
      <c r="D91" s="480" t="s">
        <v>567</v>
      </c>
    </row>
    <row r="92" spans="4:5" x14ac:dyDescent="0.15">
      <c r="D92" s="480" t="s">
        <v>566</v>
      </c>
    </row>
    <row r="93" spans="4:5" x14ac:dyDescent="0.15">
      <c r="D93" s="479" t="s">
        <v>565</v>
      </c>
    </row>
    <row r="94" spans="4:5" x14ac:dyDescent="0.15">
      <c r="D94" s="480" t="s">
        <v>561</v>
      </c>
    </row>
    <row r="95" spans="4:5" x14ac:dyDescent="0.15">
      <c r="D95" s="480" t="s">
        <v>562</v>
      </c>
    </row>
    <row r="96" spans="4:5" x14ac:dyDescent="0.15">
      <c r="D96" s="480"/>
    </row>
  </sheetData>
  <pageMargins left="0.7" right="0.7" top="0.75" bottom="0.75" header="0.3" footer="0.3"/>
  <pageSetup paperSize="9" scale="86" fitToHeight="2" orientation="landscape"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enableFormatConditionsCalculation="0"/>
  <dimension ref="A1:U43"/>
  <sheetViews>
    <sheetView zoomScale="85" zoomScaleNormal="85" workbookViewId="0">
      <selection activeCell="L27" sqref="L27"/>
    </sheetView>
  </sheetViews>
  <sheetFormatPr baseColWidth="10" defaultColWidth="8.83203125" defaultRowHeight="15" customHeight="1" x14ac:dyDescent="0.15"/>
  <cols>
    <col min="1" max="1" width="9.1640625" customWidth="1"/>
    <col min="2" max="2" width="35" customWidth="1"/>
    <col min="3" max="5" width="11.33203125" bestFit="1" customWidth="1"/>
    <col min="7" max="8" width="10.33203125" bestFit="1" customWidth="1"/>
    <col min="11" max="12" width="11.5" bestFit="1" customWidth="1"/>
    <col min="21" max="21" width="41.33203125" bestFit="1" customWidth="1"/>
  </cols>
  <sheetData>
    <row r="1" spans="1:12" ht="15" customHeight="1" x14ac:dyDescent="0.2">
      <c r="A1" s="105"/>
      <c r="B1" s="105"/>
      <c r="C1" s="589" t="s">
        <v>779</v>
      </c>
      <c r="D1" s="105"/>
      <c r="E1" s="105"/>
      <c r="F1" s="105"/>
    </row>
    <row r="2" spans="1:12" ht="15" customHeight="1" x14ac:dyDescent="0.2">
      <c r="A2" s="105"/>
      <c r="B2" s="752" t="s">
        <v>513</v>
      </c>
      <c r="C2" s="345" t="s">
        <v>327</v>
      </c>
      <c r="D2" s="345" t="s">
        <v>52</v>
      </c>
      <c r="E2" s="345" t="s">
        <v>379</v>
      </c>
      <c r="F2" s="345" t="s">
        <v>378</v>
      </c>
      <c r="G2" s="150" t="s">
        <v>780</v>
      </c>
      <c r="K2" s="1015">
        <f>1800/11</f>
        <v>163.63636363636363</v>
      </c>
      <c r="L2" s="1015">
        <f>K2*11</f>
        <v>1800</v>
      </c>
    </row>
    <row r="3" spans="1:12" ht="15" customHeight="1" x14ac:dyDescent="0.2">
      <c r="A3" s="51"/>
      <c r="B3" s="67" t="s">
        <v>329</v>
      </c>
      <c r="C3" s="55">
        <v>1775</v>
      </c>
      <c r="D3" s="105">
        <v>2030</v>
      </c>
      <c r="E3" s="105">
        <v>2200</v>
      </c>
      <c r="F3" s="105">
        <v>2370</v>
      </c>
      <c r="G3">
        <v>11</v>
      </c>
      <c r="K3" s="1015">
        <f>365-K2</f>
        <v>201.36363636363637</v>
      </c>
      <c r="L3" s="1015">
        <f>K3*4</f>
        <v>805.4545454545455</v>
      </c>
    </row>
    <row r="4" spans="1:12" ht="15" customHeight="1" x14ac:dyDescent="0.2">
      <c r="A4" s="51"/>
      <c r="B4" s="67" t="s">
        <v>224</v>
      </c>
      <c r="C4" s="55">
        <v>4155</v>
      </c>
      <c r="D4" s="105">
        <v>4155</v>
      </c>
      <c r="E4" s="105">
        <v>4155</v>
      </c>
      <c r="F4" s="105">
        <v>4580</v>
      </c>
      <c r="G4">
        <v>11</v>
      </c>
      <c r="K4" s="1015"/>
      <c r="L4" s="1015">
        <f>SUM(L2:L3)</f>
        <v>2605.4545454545455</v>
      </c>
    </row>
    <row r="5" spans="1:12" s="315" customFormat="1" ht="15" customHeight="1" x14ac:dyDescent="0.2">
      <c r="A5" s="750"/>
      <c r="B5" s="751" t="s">
        <v>778</v>
      </c>
      <c r="C5" s="325">
        <v>13500</v>
      </c>
      <c r="D5" s="105">
        <v>14500</v>
      </c>
      <c r="E5" s="105">
        <v>15000</v>
      </c>
      <c r="F5" s="105">
        <v>15800</v>
      </c>
      <c r="G5" s="315">
        <v>11</v>
      </c>
      <c r="K5" s="1015"/>
      <c r="L5" s="1015">
        <f>L4/365</f>
        <v>7.1382316313823164</v>
      </c>
    </row>
    <row r="6" spans="1:12" ht="15" customHeight="1" x14ac:dyDescent="0.2">
      <c r="A6" s="51"/>
      <c r="B6" s="67" t="s">
        <v>225</v>
      </c>
      <c r="C6" s="55"/>
      <c r="D6" s="105"/>
      <c r="E6" s="105"/>
      <c r="F6" s="105"/>
      <c r="K6" s="1015"/>
      <c r="L6" s="1015">
        <f>L5*365</f>
        <v>2605.4545454545455</v>
      </c>
    </row>
    <row r="7" spans="1:12" ht="15" customHeight="1" x14ac:dyDescent="0.2">
      <c r="A7" s="51"/>
      <c r="B7" s="67" t="s">
        <v>219</v>
      </c>
      <c r="C7" s="55">
        <v>2021</v>
      </c>
      <c r="D7" s="309">
        <v>2021</v>
      </c>
      <c r="E7" s="309">
        <v>2021</v>
      </c>
      <c r="F7" s="309">
        <v>2021</v>
      </c>
      <c r="G7">
        <v>24</v>
      </c>
    </row>
    <row r="8" spans="1:12" ht="15" customHeight="1" x14ac:dyDescent="0.2">
      <c r="A8" s="51"/>
      <c r="B8" s="67" t="s">
        <v>226</v>
      </c>
      <c r="C8" s="55"/>
      <c r="D8" s="105"/>
      <c r="E8" s="105"/>
      <c r="F8" s="105"/>
    </row>
    <row r="9" spans="1:12" ht="15" customHeight="1" x14ac:dyDescent="0.2">
      <c r="A9" s="51"/>
      <c r="B9" s="67" t="s">
        <v>227</v>
      </c>
      <c r="C9" s="55"/>
      <c r="D9" s="105"/>
      <c r="E9" s="105"/>
      <c r="F9" s="105"/>
    </row>
    <row r="10" spans="1:12" ht="15" customHeight="1" x14ac:dyDescent="0.2">
      <c r="A10" s="51"/>
      <c r="B10" s="67" t="s">
        <v>228</v>
      </c>
      <c r="C10" s="55"/>
      <c r="D10" s="105"/>
      <c r="E10" s="105"/>
      <c r="F10" s="105"/>
    </row>
    <row r="11" spans="1:12" ht="15" customHeight="1" x14ac:dyDescent="0.2">
      <c r="A11" s="51"/>
      <c r="B11" s="67" t="s">
        <v>229</v>
      </c>
      <c r="C11" s="55"/>
      <c r="D11" s="105"/>
      <c r="E11" s="105"/>
      <c r="F11" s="105"/>
    </row>
    <row r="12" spans="1:12" ht="15" customHeight="1" x14ac:dyDescent="0.2">
      <c r="A12" s="51"/>
      <c r="B12" s="67" t="s">
        <v>230</v>
      </c>
      <c r="C12" s="55"/>
      <c r="D12" s="105"/>
      <c r="E12" s="105"/>
      <c r="F12" s="105"/>
    </row>
    <row r="13" spans="1:12" ht="15" customHeight="1" x14ac:dyDescent="0.2">
      <c r="A13" s="51"/>
      <c r="B13" s="67" t="s">
        <v>231</v>
      </c>
      <c r="C13" s="55"/>
      <c r="D13" s="105"/>
      <c r="E13" s="105"/>
      <c r="F13" s="105"/>
    </row>
    <row r="14" spans="1:12" ht="15" customHeight="1" x14ac:dyDescent="0.2">
      <c r="A14" s="51"/>
      <c r="B14" s="67" t="s">
        <v>232</v>
      </c>
      <c r="C14" s="55"/>
      <c r="D14" s="105"/>
      <c r="E14" s="105"/>
      <c r="F14" s="105"/>
    </row>
    <row r="15" spans="1:12" ht="15" customHeight="1" x14ac:dyDescent="0.2">
      <c r="A15" s="51"/>
      <c r="B15" s="67" t="s">
        <v>233</v>
      </c>
      <c r="C15" s="55"/>
      <c r="D15" s="105"/>
      <c r="E15" s="105"/>
      <c r="F15" s="105"/>
    </row>
    <row r="16" spans="1:12" ht="15" customHeight="1" x14ac:dyDescent="0.2">
      <c r="A16" s="51"/>
      <c r="B16" s="67" t="s">
        <v>234</v>
      </c>
      <c r="C16" s="55"/>
      <c r="D16" s="105"/>
      <c r="E16" s="105"/>
      <c r="F16" s="105"/>
    </row>
    <row r="17" spans="1:21" ht="15" customHeight="1" x14ac:dyDescent="0.2">
      <c r="A17" s="51"/>
      <c r="B17" s="67" t="s">
        <v>330</v>
      </c>
      <c r="C17" s="55"/>
      <c r="D17" s="105"/>
      <c r="E17" s="105"/>
      <c r="F17" s="105"/>
    </row>
    <row r="18" spans="1:21" ht="15" customHeight="1" x14ac:dyDescent="0.2">
      <c r="A18" s="51"/>
      <c r="B18" s="67" t="s">
        <v>235</v>
      </c>
      <c r="C18" s="55"/>
      <c r="D18" s="105"/>
      <c r="E18" s="105"/>
      <c r="F18" s="105"/>
    </row>
    <row r="19" spans="1:21" ht="15" customHeight="1" x14ac:dyDescent="0.2">
      <c r="A19" s="105"/>
      <c r="B19" s="86"/>
      <c r="C19" s="105"/>
      <c r="D19" s="105"/>
      <c r="E19" s="105"/>
      <c r="F19" s="105"/>
    </row>
    <row r="20" spans="1:21" s="315" customFormat="1" ht="15" customHeight="1" x14ac:dyDescent="0.2">
      <c r="A20" s="105"/>
      <c r="B20" s="1034"/>
      <c r="C20" s="105"/>
      <c r="D20" s="105"/>
      <c r="E20" s="105"/>
      <c r="F20" s="105"/>
    </row>
    <row r="21" spans="1:21" s="315" customFormat="1" ht="15" customHeight="1" x14ac:dyDescent="0.2">
      <c r="A21" s="105"/>
      <c r="B21" s="1034"/>
      <c r="C21" s="105"/>
      <c r="D21" s="105"/>
      <c r="E21" s="105"/>
      <c r="F21" s="105"/>
    </row>
    <row r="22" spans="1:21" s="315" customFormat="1" ht="15" customHeight="1" x14ac:dyDescent="0.2">
      <c r="A22" s="105"/>
      <c r="B22" s="1184"/>
    </row>
    <row r="23" spans="1:21" s="315" customFormat="1" ht="15" customHeight="1" thickBot="1" x14ac:dyDescent="0.25">
      <c r="A23" s="105"/>
      <c r="B23" s="1185"/>
      <c r="C23" s="2301" t="s">
        <v>945</v>
      </c>
      <c r="D23" s="2302"/>
      <c r="E23" s="2302"/>
      <c r="F23" s="2302"/>
      <c r="G23" s="2302"/>
      <c r="H23" s="2303"/>
      <c r="I23" s="2303"/>
      <c r="J23" s="2303"/>
      <c r="K23" s="2303"/>
      <c r="L23" s="2303"/>
      <c r="M23" s="2303"/>
      <c r="N23" s="2303"/>
      <c r="O23" s="2304"/>
    </row>
    <row r="24" spans="1:21" s="315" customFormat="1" ht="15" customHeight="1" x14ac:dyDescent="0.2">
      <c r="A24" s="105"/>
      <c r="B24" s="1186"/>
      <c r="C24" s="1247"/>
      <c r="D24" s="2292" t="s">
        <v>954</v>
      </c>
      <c r="E24" s="2293"/>
      <c r="F24" s="2293"/>
      <c r="G24" s="2294"/>
      <c r="H24" s="2295" t="s">
        <v>946</v>
      </c>
      <c r="I24" s="2296"/>
      <c r="J24" s="2296"/>
      <c r="K24" s="2297"/>
      <c r="L24" s="2305" t="s">
        <v>953</v>
      </c>
      <c r="M24" s="2306"/>
      <c r="N24" s="2306"/>
      <c r="O24" s="2307"/>
      <c r="P24" s="2298" t="s">
        <v>947</v>
      </c>
      <c r="Q24" s="2299"/>
      <c r="R24" s="2299"/>
      <c r="S24" s="2300"/>
    </row>
    <row r="25" spans="1:21" s="315" customFormat="1" ht="15" customHeight="1" thickBot="1" x14ac:dyDescent="0.25">
      <c r="A25" s="105"/>
      <c r="B25" s="1203" t="s">
        <v>131</v>
      </c>
      <c r="C25" s="1248" t="s">
        <v>948</v>
      </c>
      <c r="D25" s="1253" t="s">
        <v>327</v>
      </c>
      <c r="E25" s="1254" t="s">
        <v>52</v>
      </c>
      <c r="F25" s="1254" t="s">
        <v>379</v>
      </c>
      <c r="G25" s="1255" t="s">
        <v>378</v>
      </c>
      <c r="H25" s="1201" t="s">
        <v>327</v>
      </c>
      <c r="I25" s="1192" t="s">
        <v>52</v>
      </c>
      <c r="J25" s="1192" t="s">
        <v>379</v>
      </c>
      <c r="K25" s="1233" t="s">
        <v>378</v>
      </c>
      <c r="L25" s="1253" t="s">
        <v>327</v>
      </c>
      <c r="M25" s="1254" t="s">
        <v>52</v>
      </c>
      <c r="N25" s="1254" t="s">
        <v>379</v>
      </c>
      <c r="O25" s="1255" t="s">
        <v>378</v>
      </c>
      <c r="P25" s="1194" t="s">
        <v>327</v>
      </c>
      <c r="Q25" s="1187" t="s">
        <v>52</v>
      </c>
      <c r="R25" s="1187" t="s">
        <v>379</v>
      </c>
      <c r="S25" s="1200" t="s">
        <v>378</v>
      </c>
      <c r="U25" s="132" t="s">
        <v>1020</v>
      </c>
    </row>
    <row r="26" spans="1:21" s="315" customFormat="1" ht="15" customHeight="1" thickTop="1" x14ac:dyDescent="0.2">
      <c r="A26" s="105"/>
      <c r="B26" s="1232" t="s">
        <v>223</v>
      </c>
      <c r="C26" s="1249">
        <v>3328</v>
      </c>
      <c r="D26" s="1256">
        <v>0</v>
      </c>
      <c r="E26" s="1257">
        <v>1</v>
      </c>
      <c r="F26" s="1257">
        <v>1</v>
      </c>
      <c r="G26" s="1258">
        <v>1</v>
      </c>
      <c r="H26" s="1190">
        <v>0</v>
      </c>
      <c r="I26" s="1195">
        <v>11</v>
      </c>
      <c r="J26" s="1195">
        <v>11</v>
      </c>
      <c r="K26" s="1234">
        <v>11</v>
      </c>
      <c r="L26" s="1256">
        <v>0</v>
      </c>
      <c r="M26" s="1257">
        <v>1</v>
      </c>
      <c r="N26" s="1257">
        <v>1</v>
      </c>
      <c r="O26" s="1258">
        <v>1</v>
      </c>
      <c r="P26" s="1189">
        <v>0</v>
      </c>
      <c r="Q26" s="1193">
        <v>11</v>
      </c>
      <c r="R26" s="1193">
        <v>11</v>
      </c>
      <c r="S26" s="1199">
        <v>11</v>
      </c>
      <c r="U26" s="132" t="s">
        <v>1021</v>
      </c>
    </row>
    <row r="27" spans="1:21" ht="15" customHeight="1" x14ac:dyDescent="0.2">
      <c r="A27" s="105"/>
      <c r="B27" s="1232" t="s">
        <v>224</v>
      </c>
      <c r="C27" s="1250">
        <v>7738</v>
      </c>
      <c r="D27" s="1259">
        <v>0</v>
      </c>
      <c r="E27" s="1260">
        <v>1</v>
      </c>
      <c r="F27" s="1260">
        <v>1</v>
      </c>
      <c r="G27" s="1261">
        <v>1</v>
      </c>
      <c r="H27" s="1196">
        <v>0</v>
      </c>
      <c r="I27" s="1198">
        <v>4</v>
      </c>
      <c r="J27" s="1198">
        <v>4</v>
      </c>
      <c r="K27" s="1235">
        <v>4</v>
      </c>
      <c r="L27" s="1259">
        <v>3</v>
      </c>
      <c r="M27" s="1260">
        <v>1</v>
      </c>
      <c r="N27" s="1260">
        <v>1</v>
      </c>
      <c r="O27" s="1261">
        <v>1</v>
      </c>
      <c r="P27" s="1191">
        <v>11</v>
      </c>
      <c r="Q27" s="1197">
        <v>11</v>
      </c>
      <c r="R27" s="1197">
        <v>11</v>
      </c>
      <c r="S27" s="1188">
        <v>11</v>
      </c>
    </row>
    <row r="28" spans="1:21" ht="15" customHeight="1" x14ac:dyDescent="0.2">
      <c r="A28" s="105"/>
      <c r="B28" s="1243" t="s">
        <v>778</v>
      </c>
      <c r="C28" s="1251">
        <v>15800</v>
      </c>
      <c r="D28" s="1262">
        <v>0</v>
      </c>
      <c r="E28" s="1263">
        <v>0</v>
      </c>
      <c r="F28" s="1260">
        <v>0</v>
      </c>
      <c r="G28" s="1261">
        <v>0</v>
      </c>
      <c r="H28" s="1196">
        <v>0</v>
      </c>
      <c r="I28" s="1198">
        <v>0</v>
      </c>
      <c r="J28" s="1198">
        <v>0</v>
      </c>
      <c r="K28" s="1235">
        <v>0</v>
      </c>
      <c r="L28" s="1259">
        <v>0</v>
      </c>
      <c r="M28" s="1260">
        <v>0</v>
      </c>
      <c r="N28" s="1260">
        <v>0</v>
      </c>
      <c r="O28" s="1261">
        <v>0</v>
      </c>
      <c r="P28" s="1191">
        <v>0</v>
      </c>
      <c r="Q28" s="1197">
        <v>0</v>
      </c>
      <c r="R28" s="1197">
        <v>0</v>
      </c>
      <c r="S28" s="1188">
        <v>0</v>
      </c>
    </row>
    <row r="29" spans="1:21" ht="15" customHeight="1" x14ac:dyDescent="0.2">
      <c r="B29" s="1243" t="s">
        <v>750</v>
      </c>
      <c r="C29" s="1401"/>
      <c r="D29" s="1402"/>
      <c r="E29" s="1403"/>
      <c r="F29" s="1403"/>
      <c r="G29" s="1404"/>
      <c r="H29" s="1405"/>
      <c r="I29" s="1406"/>
      <c r="J29" s="1406"/>
      <c r="K29" s="1407"/>
      <c r="L29" s="1402"/>
      <c r="M29" s="1403"/>
      <c r="N29" s="1403"/>
      <c r="O29" s="1404"/>
      <c r="P29" s="1408"/>
      <c r="Q29" s="1409"/>
      <c r="R29" s="1409"/>
      <c r="S29" s="1410"/>
    </row>
    <row r="30" spans="1:21" ht="15" customHeight="1" x14ac:dyDescent="0.2">
      <c r="B30" s="1243" t="s">
        <v>225</v>
      </c>
      <c r="C30" s="1401">
        <v>1800</v>
      </c>
      <c r="D30" s="1411">
        <v>0</v>
      </c>
      <c r="E30" s="1412">
        <v>2</v>
      </c>
      <c r="F30" s="1412">
        <v>2</v>
      </c>
      <c r="G30" s="1413">
        <v>2</v>
      </c>
      <c r="H30" s="1414">
        <v>0</v>
      </c>
      <c r="I30" s="1415">
        <v>8</v>
      </c>
      <c r="J30" s="1415">
        <v>8</v>
      </c>
      <c r="K30" s="1416">
        <v>8</v>
      </c>
      <c r="L30" s="1411">
        <v>0</v>
      </c>
      <c r="M30" s="1412">
        <v>2</v>
      </c>
      <c r="N30" s="1412">
        <v>2</v>
      </c>
      <c r="O30" s="1413">
        <v>2</v>
      </c>
      <c r="P30" s="1417">
        <v>0</v>
      </c>
      <c r="Q30" s="1418">
        <v>11</v>
      </c>
      <c r="R30" s="1418">
        <v>11</v>
      </c>
      <c r="S30" s="1419">
        <v>11</v>
      </c>
    </row>
    <row r="31" spans="1:21" ht="15" customHeight="1" x14ac:dyDescent="0.2">
      <c r="B31" s="1243" t="s">
        <v>219</v>
      </c>
      <c r="C31" s="1401">
        <v>1800</v>
      </c>
      <c r="D31" s="1402">
        <v>1</v>
      </c>
      <c r="E31" s="1403">
        <v>2</v>
      </c>
      <c r="F31" s="1403">
        <v>2</v>
      </c>
      <c r="G31" s="1404">
        <v>2</v>
      </c>
      <c r="H31" s="1405">
        <v>24</v>
      </c>
      <c r="I31" s="1406">
        <v>8</v>
      </c>
      <c r="J31" s="1406">
        <v>8</v>
      </c>
      <c r="K31" s="1407">
        <v>8</v>
      </c>
      <c r="L31" s="1402">
        <v>0</v>
      </c>
      <c r="M31" s="1403">
        <v>2</v>
      </c>
      <c r="N31" s="1403">
        <v>2</v>
      </c>
      <c r="O31" s="1404">
        <v>2</v>
      </c>
      <c r="P31" s="1408">
        <v>0</v>
      </c>
      <c r="Q31" s="1409">
        <v>11</v>
      </c>
      <c r="R31" s="1409">
        <v>11</v>
      </c>
      <c r="S31" s="1410">
        <v>11</v>
      </c>
    </row>
    <row r="32" spans="1:21" ht="15" customHeight="1" thickBot="1" x14ac:dyDescent="0.25">
      <c r="B32" s="1236" t="s">
        <v>221</v>
      </c>
      <c r="C32" s="1252">
        <v>780</v>
      </c>
      <c r="D32" s="1264">
        <v>1</v>
      </c>
      <c r="E32" s="1265">
        <v>1</v>
      </c>
      <c r="F32" s="1265">
        <v>1</v>
      </c>
      <c r="G32" s="1266">
        <v>1</v>
      </c>
      <c r="H32" s="1237">
        <v>11</v>
      </c>
      <c r="I32" s="1238">
        <v>11</v>
      </c>
      <c r="J32" s="1238">
        <v>11</v>
      </c>
      <c r="K32" s="1239">
        <v>11</v>
      </c>
      <c r="L32" s="1264">
        <v>1</v>
      </c>
      <c r="M32" s="1265">
        <v>1</v>
      </c>
      <c r="N32" s="1265">
        <v>1</v>
      </c>
      <c r="O32" s="1266">
        <v>1</v>
      </c>
      <c r="P32" s="1240">
        <v>11</v>
      </c>
      <c r="Q32" s="1241">
        <v>11</v>
      </c>
      <c r="R32" s="1241">
        <v>11</v>
      </c>
      <c r="S32" s="1242">
        <v>11</v>
      </c>
    </row>
    <row r="35" spans="2:8" ht="15" customHeight="1" x14ac:dyDescent="0.15">
      <c r="B35" s="569" t="s">
        <v>774</v>
      </c>
    </row>
    <row r="36" spans="2:8" ht="32.25" customHeight="1" x14ac:dyDescent="0.15">
      <c r="C36" s="569" t="s">
        <v>771</v>
      </c>
      <c r="D36" s="569" t="s">
        <v>731</v>
      </c>
      <c r="E36" s="569" t="s">
        <v>536</v>
      </c>
      <c r="G36" s="569" t="s">
        <v>773</v>
      </c>
      <c r="H36" s="569" t="s">
        <v>772</v>
      </c>
    </row>
    <row r="37" spans="2:8" ht="15" customHeight="1" x14ac:dyDescent="0.15">
      <c r="B37" s="132" t="s">
        <v>327</v>
      </c>
      <c r="C37" s="670">
        <v>80000</v>
      </c>
      <c r="D37" s="670">
        <v>80000</v>
      </c>
      <c r="E37" s="692">
        <f>AVERAGE(C37:D37)</f>
        <v>80000</v>
      </c>
      <c r="G37" s="692">
        <f>AVERAGE('Rig Move'!B26:D26)</f>
        <v>16820</v>
      </c>
      <c r="H37" s="692">
        <f>AVERAGE('Rig Move'!B27:D27)</f>
        <v>23500</v>
      </c>
    </row>
    <row r="38" spans="2:8" ht="15" customHeight="1" x14ac:dyDescent="0.15">
      <c r="B38" s="132" t="s">
        <v>52</v>
      </c>
      <c r="C38" s="670">
        <v>160000</v>
      </c>
      <c r="D38" s="670">
        <v>190000</v>
      </c>
      <c r="E38" s="670">
        <v>150000</v>
      </c>
      <c r="G38" s="692">
        <v>16650</v>
      </c>
      <c r="H38" s="692">
        <f>AVERAGE('Rig Move'!E27:G27)</f>
        <v>18000</v>
      </c>
    </row>
    <row r="39" spans="2:8" ht="15" customHeight="1" x14ac:dyDescent="0.15">
      <c r="B39" s="132" t="s">
        <v>379</v>
      </c>
      <c r="C39" s="670">
        <v>220000</v>
      </c>
      <c r="D39" s="670">
        <v>260000</v>
      </c>
      <c r="E39" s="670">
        <f>AVERAGE(C39:D39)</f>
        <v>240000</v>
      </c>
      <c r="G39" s="692">
        <v>5714.2857142857138</v>
      </c>
      <c r="H39" s="692">
        <v>8872.7678571428569</v>
      </c>
    </row>
    <row r="40" spans="2:8" ht="15" customHeight="1" x14ac:dyDescent="0.15">
      <c r="B40" s="132" t="s">
        <v>378</v>
      </c>
      <c r="C40" s="670">
        <v>300000</v>
      </c>
      <c r="D40" s="670">
        <v>300000</v>
      </c>
      <c r="E40" s="670">
        <f>AVERAGE(C40:D40)</f>
        <v>300000</v>
      </c>
      <c r="G40" s="693">
        <f>'Rig Move'!H26</f>
        <v>20000</v>
      </c>
      <c r="H40" s="693">
        <f>'Rig Move'!H27</f>
        <v>25000</v>
      </c>
    </row>
    <row r="43" spans="2:8" ht="15" customHeight="1" x14ac:dyDescent="0.15">
      <c r="C43" s="692"/>
    </row>
  </sheetData>
  <mergeCells count="5">
    <mergeCell ref="D24:G24"/>
    <mergeCell ref="H24:K24"/>
    <mergeCell ref="P24:S24"/>
    <mergeCell ref="C23:O23"/>
    <mergeCell ref="L24:O2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dimension ref="A1:S65"/>
  <sheetViews>
    <sheetView showGridLines="0" topLeftCell="A16" zoomScale="90" zoomScaleNormal="90" workbookViewId="0">
      <selection activeCell="A31" sqref="A31:E35"/>
    </sheetView>
  </sheetViews>
  <sheetFormatPr baseColWidth="10" defaultColWidth="9.1640625" defaultRowHeight="13" x14ac:dyDescent="0.15"/>
  <cols>
    <col min="1" max="1" width="9.1640625" style="926" customWidth="1"/>
    <col min="2" max="2" width="25.1640625" style="646" customWidth="1"/>
    <col min="3" max="3" width="17" style="657" customWidth="1"/>
    <col min="4" max="4" width="31.1640625" style="658" customWidth="1"/>
    <col min="5" max="5" width="18.5" style="646" customWidth="1"/>
    <col min="6" max="6" width="19.83203125" style="646" customWidth="1"/>
    <col min="7" max="7" width="17.1640625" style="646" bestFit="1" customWidth="1"/>
    <col min="8" max="8" width="30.1640625" style="646" customWidth="1"/>
    <col min="9" max="9" width="9.1640625" style="646" customWidth="1"/>
    <col min="10" max="11" width="9.1640625" style="646"/>
    <col min="12" max="12" width="27.33203125" style="646" customWidth="1"/>
    <col min="13" max="15" width="22.33203125" style="646" customWidth="1"/>
    <col min="16" max="16" width="25.6640625" style="646" customWidth="1"/>
    <col min="17" max="17" width="15.5" style="646" customWidth="1"/>
    <col min="18" max="18" width="17.33203125" style="646" customWidth="1"/>
    <col min="19" max="19" width="15" style="646" customWidth="1"/>
    <col min="20" max="16384" width="9.1640625" style="646"/>
  </cols>
  <sheetData>
    <row r="1" spans="1:16" x14ac:dyDescent="0.15">
      <c r="N1" s="646" t="s">
        <v>968</v>
      </c>
    </row>
    <row r="2" spans="1:16" ht="14" thickBot="1" x14ac:dyDescent="0.2"/>
    <row r="3" spans="1:16" x14ac:dyDescent="0.15">
      <c r="A3" s="927"/>
      <c r="B3" s="928" t="s">
        <v>682</v>
      </c>
      <c r="C3" s="928" t="s">
        <v>433</v>
      </c>
      <c r="D3" s="929" t="s">
        <v>683</v>
      </c>
      <c r="E3" s="928" t="s">
        <v>684</v>
      </c>
      <c r="F3" s="928" t="s">
        <v>147</v>
      </c>
      <c r="G3" s="928" t="s">
        <v>685</v>
      </c>
      <c r="H3" s="930" t="s">
        <v>686</v>
      </c>
      <c r="L3" s="1267" t="s">
        <v>957</v>
      </c>
      <c r="M3" s="645"/>
      <c r="N3" s="645" t="s">
        <v>965</v>
      </c>
      <c r="O3" s="645" t="s">
        <v>966</v>
      </c>
      <c r="P3" s="645" t="s">
        <v>961</v>
      </c>
    </row>
    <row r="4" spans="1:16" ht="39" x14ac:dyDescent="0.15">
      <c r="A4" s="931">
        <v>1</v>
      </c>
      <c r="B4" s="647" t="s">
        <v>687</v>
      </c>
      <c r="C4" s="648" t="s">
        <v>688</v>
      </c>
      <c r="D4" s="647" t="s">
        <v>689</v>
      </c>
      <c r="E4" s="648">
        <v>45</v>
      </c>
      <c r="F4" s="649"/>
      <c r="G4" s="649"/>
      <c r="H4" s="932" t="s">
        <v>690</v>
      </c>
      <c r="L4" s="1268" t="s">
        <v>738</v>
      </c>
      <c r="M4" s="1268" t="s">
        <v>960</v>
      </c>
      <c r="N4" s="1268"/>
      <c r="O4" s="1268" t="s">
        <v>967</v>
      </c>
      <c r="P4" s="645"/>
    </row>
    <row r="5" spans="1:16" ht="57.75" customHeight="1" x14ac:dyDescent="0.15">
      <c r="A5" s="931">
        <v>2</v>
      </c>
      <c r="B5" s="647" t="s">
        <v>691</v>
      </c>
      <c r="C5" s="650" t="s">
        <v>409</v>
      </c>
      <c r="D5" s="651" t="s">
        <v>692</v>
      </c>
      <c r="E5" s="649"/>
      <c r="F5" s="652">
        <v>1596000</v>
      </c>
      <c r="G5" s="649" t="s">
        <v>693</v>
      </c>
      <c r="H5" s="932" t="s">
        <v>694</v>
      </c>
      <c r="L5" s="1268" t="s">
        <v>958</v>
      </c>
      <c r="M5" s="1268" t="s">
        <v>979</v>
      </c>
      <c r="N5" s="1268" t="s">
        <v>967</v>
      </c>
      <c r="O5" s="1268"/>
      <c r="P5" s="1268" t="s">
        <v>962</v>
      </c>
    </row>
    <row r="6" spans="1:16" ht="111.75" customHeight="1" x14ac:dyDescent="0.15">
      <c r="A6" s="931">
        <v>3</v>
      </c>
      <c r="B6" s="647" t="s">
        <v>208</v>
      </c>
      <c r="C6" s="653" t="s">
        <v>409</v>
      </c>
      <c r="D6" s="654" t="s">
        <v>695</v>
      </c>
      <c r="E6" s="649"/>
      <c r="F6" s="652">
        <v>1449000</v>
      </c>
      <c r="G6" s="645"/>
      <c r="H6" s="932" t="s">
        <v>696</v>
      </c>
      <c r="L6" s="1268" t="s">
        <v>972</v>
      </c>
      <c r="M6" s="1268" t="s">
        <v>980</v>
      </c>
      <c r="N6" s="1268" t="s">
        <v>967</v>
      </c>
      <c r="O6" s="1268"/>
      <c r="P6" s="1268" t="s">
        <v>971</v>
      </c>
    </row>
    <row r="7" spans="1:16" ht="39" x14ac:dyDescent="0.15">
      <c r="A7" s="931">
        <v>4</v>
      </c>
      <c r="B7" s="647" t="s">
        <v>697</v>
      </c>
      <c r="C7" s="653" t="s">
        <v>698</v>
      </c>
      <c r="D7" s="647" t="s">
        <v>699</v>
      </c>
      <c r="E7" s="649" t="str">
        <f>INPUT!H8</f>
        <v>LGBU</v>
      </c>
      <c r="F7" s="652">
        <f>VLOOKUP(E7,B20:C23,2,FALSE)</f>
        <v>16721000</v>
      </c>
      <c r="G7" s="645"/>
      <c r="H7" s="932" t="s">
        <v>700</v>
      </c>
      <c r="L7" s="1268" t="s">
        <v>972</v>
      </c>
      <c r="M7" s="1268" t="s">
        <v>959</v>
      </c>
      <c r="N7" s="1268" t="s">
        <v>967</v>
      </c>
      <c r="O7" s="1268"/>
      <c r="P7" s="1268" t="s">
        <v>971</v>
      </c>
    </row>
    <row r="8" spans="1:16" ht="39" x14ac:dyDescent="0.15">
      <c r="A8" s="931">
        <v>5</v>
      </c>
      <c r="B8" s="647" t="s">
        <v>701</v>
      </c>
      <c r="C8" s="653" t="s">
        <v>409</v>
      </c>
      <c r="D8" s="647" t="s">
        <v>702</v>
      </c>
      <c r="E8" s="649"/>
      <c r="F8" s="652">
        <f>F5*13</f>
        <v>20748000</v>
      </c>
      <c r="G8" s="645"/>
      <c r="H8" s="932" t="s">
        <v>819</v>
      </c>
      <c r="L8" s="1268" t="s">
        <v>963</v>
      </c>
      <c r="M8" s="645" t="s">
        <v>978</v>
      </c>
      <c r="N8" s="645"/>
      <c r="O8" s="1268" t="s">
        <v>967</v>
      </c>
      <c r="P8" s="1268" t="s">
        <v>969</v>
      </c>
    </row>
    <row r="9" spans="1:16" ht="39" x14ac:dyDescent="0.15">
      <c r="A9" s="931">
        <v>6</v>
      </c>
      <c r="B9" s="647" t="s">
        <v>703</v>
      </c>
      <c r="C9" s="653" t="s">
        <v>704</v>
      </c>
      <c r="D9" s="647" t="s">
        <v>705</v>
      </c>
      <c r="E9" s="647" t="s">
        <v>706</v>
      </c>
      <c r="F9" s="652">
        <f>1342157.14*12</f>
        <v>16105885.68</v>
      </c>
      <c r="G9" s="649" t="s">
        <v>707</v>
      </c>
      <c r="H9" s="932" t="s">
        <v>820</v>
      </c>
      <c r="L9" s="1268" t="s">
        <v>964</v>
      </c>
      <c r="M9" s="1268" t="s">
        <v>959</v>
      </c>
      <c r="N9" s="1268" t="s">
        <v>967</v>
      </c>
      <c r="O9" s="1268"/>
      <c r="P9" s="1268" t="s">
        <v>970</v>
      </c>
    </row>
    <row r="10" spans="1:16" x14ac:dyDescent="0.15">
      <c r="A10" s="931">
        <v>7</v>
      </c>
      <c r="B10" s="647" t="s">
        <v>708</v>
      </c>
      <c r="C10" s="648" t="s">
        <v>709</v>
      </c>
      <c r="D10" s="647" t="s">
        <v>710</v>
      </c>
      <c r="E10" s="647"/>
      <c r="F10" s="652"/>
      <c r="G10" s="649"/>
      <c r="H10" s="932" t="s">
        <v>711</v>
      </c>
      <c r="L10" s="1268" t="s">
        <v>973</v>
      </c>
      <c r="M10" s="645" t="s">
        <v>986</v>
      </c>
      <c r="N10" s="1268"/>
      <c r="O10" s="1268" t="s">
        <v>967</v>
      </c>
      <c r="P10" s="1268" t="s">
        <v>985</v>
      </c>
    </row>
    <row r="11" spans="1:16" ht="26" x14ac:dyDescent="0.15">
      <c r="A11" s="931">
        <v>8</v>
      </c>
      <c r="B11" s="647" t="s">
        <v>712</v>
      </c>
      <c r="C11" s="648" t="s">
        <v>709</v>
      </c>
      <c r="D11" s="647" t="s">
        <v>713</v>
      </c>
      <c r="E11" s="649"/>
      <c r="F11" s="655">
        <v>2000000</v>
      </c>
      <c r="G11" s="645"/>
      <c r="H11" s="932" t="s">
        <v>714</v>
      </c>
      <c r="L11" s="1268"/>
      <c r="M11" s="1268"/>
      <c r="N11" s="645"/>
      <c r="O11" s="1268"/>
      <c r="P11" s="1268"/>
    </row>
    <row r="12" spans="1:16" ht="27" thickBot="1" x14ac:dyDescent="0.2">
      <c r="A12" s="933">
        <v>9</v>
      </c>
      <c r="B12" s="934" t="s">
        <v>715</v>
      </c>
      <c r="C12" s="935" t="s">
        <v>709</v>
      </c>
      <c r="D12" s="934" t="s">
        <v>716</v>
      </c>
      <c r="E12" s="936"/>
      <c r="F12" s="937" t="s">
        <v>717</v>
      </c>
      <c r="G12" s="938"/>
      <c r="H12" s="939" t="s">
        <v>711</v>
      </c>
    </row>
    <row r="13" spans="1:16" x14ac:dyDescent="0.15">
      <c r="B13" s="656"/>
      <c r="F13" s="659"/>
      <c r="G13" s="659"/>
    </row>
    <row r="14" spans="1:16" x14ac:dyDescent="0.15">
      <c r="F14" s="659"/>
    </row>
    <row r="15" spans="1:16" ht="26" x14ac:dyDescent="0.15">
      <c r="B15" s="660" t="s">
        <v>718</v>
      </c>
      <c r="F15" s="659"/>
    </row>
    <row r="17" spans="1:19" ht="16" x14ac:dyDescent="0.2">
      <c r="L17" s="2309" t="s">
        <v>943</v>
      </c>
      <c r="M17" s="2309"/>
      <c r="N17" s="2309"/>
      <c r="O17" s="2309"/>
      <c r="P17" s="2309"/>
      <c r="Q17" s="2309"/>
      <c r="R17" s="2309"/>
      <c r="S17" s="2309"/>
    </row>
    <row r="18" spans="1:19" ht="14" x14ac:dyDescent="0.15">
      <c r="B18" s="661"/>
      <c r="C18" s="1026"/>
      <c r="D18" s="656"/>
      <c r="L18" s="1181"/>
      <c r="M18" s="2308" t="s">
        <v>942</v>
      </c>
      <c r="N18" s="2308"/>
      <c r="O18" s="2308"/>
      <c r="P18" s="2308"/>
      <c r="Q18" s="2308"/>
      <c r="R18" s="2308" t="s">
        <v>942</v>
      </c>
      <c r="S18" s="2308"/>
    </row>
    <row r="19" spans="1:19" ht="14" x14ac:dyDescent="0.15">
      <c r="B19" s="2310" t="s">
        <v>974</v>
      </c>
      <c r="C19" s="2311"/>
      <c r="D19" s="656"/>
      <c r="L19" s="1181" t="s">
        <v>941</v>
      </c>
      <c r="M19" s="1181" t="s">
        <v>938</v>
      </c>
      <c r="N19" s="1181"/>
      <c r="O19" s="1181"/>
      <c r="P19" s="1181" t="s">
        <v>939</v>
      </c>
      <c r="Q19" s="1181" t="s">
        <v>940</v>
      </c>
      <c r="R19" s="1181" t="s">
        <v>938</v>
      </c>
      <c r="S19" s="1181" t="s">
        <v>939</v>
      </c>
    </row>
    <row r="20" spans="1:19" ht="14" thickBot="1" x14ac:dyDescent="0.2">
      <c r="B20" s="645" t="s">
        <v>327</v>
      </c>
      <c r="C20" s="1269">
        <v>17176627</v>
      </c>
      <c r="L20" s="645">
        <v>30</v>
      </c>
      <c r="M20" s="1177">
        <v>1558200</v>
      </c>
      <c r="N20" s="1177"/>
      <c r="O20" s="1177"/>
      <c r="P20" s="1177">
        <v>1558200</v>
      </c>
      <c r="Q20" s="1177">
        <v>1558200</v>
      </c>
      <c r="R20" s="1177">
        <v>1558200</v>
      </c>
      <c r="S20" s="1177">
        <v>1558200</v>
      </c>
    </row>
    <row r="21" spans="1:19" x14ac:dyDescent="0.15">
      <c r="B21" s="645" t="s">
        <v>52</v>
      </c>
      <c r="C21" s="1269">
        <v>16721000</v>
      </c>
      <c r="E21" s="918" t="s">
        <v>775</v>
      </c>
      <c r="F21" s="919"/>
      <c r="L21" s="645">
        <v>31</v>
      </c>
      <c r="M21" s="1177">
        <v>1560720</v>
      </c>
      <c r="N21" s="1177"/>
      <c r="O21" s="1177"/>
      <c r="P21" s="1177">
        <v>1560720</v>
      </c>
      <c r="Q21" s="1177">
        <v>1560720</v>
      </c>
      <c r="R21" s="1177">
        <v>1560720</v>
      </c>
      <c r="S21" s="1177">
        <v>1560720</v>
      </c>
    </row>
    <row r="22" spans="1:19" x14ac:dyDescent="0.15">
      <c r="B22" s="645" t="s">
        <v>379</v>
      </c>
      <c r="C22" s="1269">
        <v>20359919</v>
      </c>
      <c r="E22" s="916" t="s">
        <v>719</v>
      </c>
      <c r="F22" s="917">
        <f>F6</f>
        <v>1449000</v>
      </c>
      <c r="L22" s="645">
        <v>32</v>
      </c>
      <c r="M22" s="1177">
        <v>1563240</v>
      </c>
      <c r="N22" s="1177"/>
      <c r="O22" s="1177"/>
      <c r="P22" s="1177">
        <v>1563240</v>
      </c>
      <c r="Q22" s="1177">
        <v>1563240</v>
      </c>
      <c r="R22" s="1177">
        <v>1563240</v>
      </c>
      <c r="S22" s="1177">
        <v>1563240</v>
      </c>
    </row>
    <row r="23" spans="1:19" x14ac:dyDescent="0.15">
      <c r="B23" s="645" t="s">
        <v>378</v>
      </c>
      <c r="C23" s="1269">
        <v>28436142</v>
      </c>
      <c r="E23" s="916" t="s">
        <v>720</v>
      </c>
      <c r="F23" s="917">
        <f>F5</f>
        <v>1596000</v>
      </c>
      <c r="L23" s="645">
        <v>33</v>
      </c>
      <c r="M23" s="1177">
        <v>1565760</v>
      </c>
      <c r="N23" s="1177"/>
      <c r="O23" s="1177"/>
      <c r="P23" s="1177">
        <v>1565760</v>
      </c>
      <c r="Q23" s="1177">
        <v>1565760</v>
      </c>
      <c r="R23" s="1177">
        <v>1565760</v>
      </c>
      <c r="S23" s="1177">
        <v>1565760</v>
      </c>
    </row>
    <row r="24" spans="1:19" x14ac:dyDescent="0.15">
      <c r="C24" s="1026"/>
      <c r="E24" s="916" t="s">
        <v>721</v>
      </c>
      <c r="F24" s="917">
        <f>F9/365</f>
        <v>44125.714191780819</v>
      </c>
      <c r="L24" s="645">
        <v>34</v>
      </c>
      <c r="M24" s="1177">
        <v>1568280</v>
      </c>
      <c r="N24" s="1177"/>
      <c r="O24" s="1177"/>
      <c r="P24" s="1177">
        <v>1568280</v>
      </c>
      <c r="Q24" s="1177">
        <v>1568280</v>
      </c>
      <c r="R24" s="1177">
        <v>1568280</v>
      </c>
      <c r="S24" s="1177">
        <v>1568280</v>
      </c>
    </row>
    <row r="25" spans="1:19" x14ac:dyDescent="0.15">
      <c r="E25" s="920" t="s">
        <v>403</v>
      </c>
      <c r="F25" s="921"/>
      <c r="L25" s="645">
        <v>35</v>
      </c>
      <c r="M25" s="1177">
        <v>1570800</v>
      </c>
      <c r="N25" s="1177"/>
      <c r="O25" s="1177"/>
      <c r="P25" s="1177">
        <v>1570800</v>
      </c>
      <c r="Q25" s="1177">
        <v>1570800</v>
      </c>
      <c r="R25" s="1177">
        <v>1570800</v>
      </c>
      <c r="S25" s="1177">
        <v>1570800</v>
      </c>
    </row>
    <row r="26" spans="1:19" x14ac:dyDescent="0.15">
      <c r="E26" s="922" t="s">
        <v>720</v>
      </c>
      <c r="F26" s="923">
        <f>SUM(F23:F24)</f>
        <v>1640125.7141917809</v>
      </c>
      <c r="L26" s="645">
        <v>36</v>
      </c>
      <c r="M26" s="1177">
        <v>1573320</v>
      </c>
      <c r="N26" s="1177"/>
      <c r="O26" s="1177"/>
      <c r="P26" s="1177">
        <v>1573320</v>
      </c>
      <c r="Q26" s="1177">
        <v>1573320</v>
      </c>
      <c r="R26" s="1177">
        <v>1573320</v>
      </c>
      <c r="S26" s="1177">
        <v>1573320</v>
      </c>
    </row>
    <row r="27" spans="1:19" ht="14" thickBot="1" x14ac:dyDescent="0.2">
      <c r="E27" s="924" t="s">
        <v>719</v>
      </c>
      <c r="F27" s="925">
        <f>F22+F24</f>
        <v>1493125.7141917809</v>
      </c>
      <c r="L27" s="645">
        <v>37</v>
      </c>
      <c r="M27" s="1177">
        <v>1575840</v>
      </c>
      <c r="N27" s="1177"/>
      <c r="O27" s="1177"/>
      <c r="P27" s="1177">
        <v>1575840</v>
      </c>
      <c r="Q27" s="1177">
        <v>1575840</v>
      </c>
      <c r="R27" s="1177">
        <v>1575840</v>
      </c>
      <c r="S27" s="1177">
        <v>1575840</v>
      </c>
    </row>
    <row r="28" spans="1:19" x14ac:dyDescent="0.15">
      <c r="L28" s="645">
        <v>38</v>
      </c>
      <c r="M28" s="1177">
        <v>1578360</v>
      </c>
      <c r="N28" s="1177"/>
      <c r="O28" s="1177"/>
      <c r="P28" s="1177">
        <v>1578360</v>
      </c>
      <c r="Q28" s="1177">
        <v>1578360</v>
      </c>
      <c r="R28" s="1177">
        <v>1578360</v>
      </c>
      <c r="S28" s="1177">
        <v>1578360</v>
      </c>
    </row>
    <row r="29" spans="1:19" x14ac:dyDescent="0.15">
      <c r="L29" s="645">
        <v>39</v>
      </c>
      <c r="M29" s="1177">
        <v>1580880</v>
      </c>
      <c r="N29" s="1177"/>
      <c r="O29" s="1177"/>
      <c r="P29" s="1177">
        <v>1580880</v>
      </c>
      <c r="Q29" s="1177">
        <v>1580880</v>
      </c>
      <c r="R29" s="1177">
        <v>1580880</v>
      </c>
      <c r="S29" s="1177">
        <v>1580880</v>
      </c>
    </row>
    <row r="30" spans="1:19" x14ac:dyDescent="0.15">
      <c r="L30" s="645">
        <v>40</v>
      </c>
      <c r="M30" s="1177">
        <v>1583400</v>
      </c>
      <c r="N30" s="1177"/>
      <c r="O30" s="1177"/>
      <c r="P30" s="1177">
        <v>1583400</v>
      </c>
      <c r="Q30" s="1177">
        <v>1583400</v>
      </c>
      <c r="R30" s="1177">
        <v>1583400</v>
      </c>
      <c r="S30" s="1177">
        <v>1583400</v>
      </c>
    </row>
    <row r="31" spans="1:19" x14ac:dyDescent="0.15">
      <c r="A31" s="2174" t="s">
        <v>142</v>
      </c>
      <c r="B31" s="2174" t="s">
        <v>327</v>
      </c>
      <c r="C31" s="2174" t="s">
        <v>52</v>
      </c>
      <c r="D31" s="2174" t="s">
        <v>379</v>
      </c>
      <c r="E31" s="2174" t="s">
        <v>378</v>
      </c>
      <c r="L31" s="645">
        <v>41</v>
      </c>
      <c r="M31" s="1177">
        <v>1585920</v>
      </c>
      <c r="N31" s="1177"/>
      <c r="O31" s="1177"/>
      <c r="P31" s="1177">
        <v>1585920</v>
      </c>
      <c r="Q31" s="1177">
        <v>1585920</v>
      </c>
      <c r="R31" s="1177">
        <v>1585920</v>
      </c>
      <c r="S31" s="1177">
        <v>1585920</v>
      </c>
    </row>
    <row r="32" spans="1:19" x14ac:dyDescent="0.15">
      <c r="A32" s="1269" t="s">
        <v>904</v>
      </c>
      <c r="B32" s="1269">
        <v>17176627</v>
      </c>
      <c r="C32" s="1269">
        <v>16721000</v>
      </c>
      <c r="D32" s="1269">
        <v>20359919</v>
      </c>
      <c r="E32" s="1269">
        <v>28436142</v>
      </c>
      <c r="L32" s="645">
        <v>42</v>
      </c>
      <c r="M32" s="1177">
        <v>1588440</v>
      </c>
      <c r="N32" s="1177"/>
      <c r="O32" s="1177"/>
      <c r="P32" s="1177">
        <v>1588440</v>
      </c>
      <c r="Q32" s="1177">
        <v>1588440</v>
      </c>
      <c r="R32" s="1177">
        <v>1588440</v>
      </c>
      <c r="S32" s="1177">
        <v>1588440</v>
      </c>
    </row>
    <row r="33" spans="1:19" x14ac:dyDescent="0.15">
      <c r="A33" s="1269" t="s">
        <v>905</v>
      </c>
      <c r="B33" s="1269">
        <v>17176627</v>
      </c>
      <c r="C33" s="1269">
        <v>16721000</v>
      </c>
      <c r="D33" s="1269">
        <v>20359919</v>
      </c>
      <c r="E33" s="1269">
        <v>28436142</v>
      </c>
      <c r="L33" s="645">
        <v>43</v>
      </c>
      <c r="M33" s="1177">
        <v>1590960</v>
      </c>
      <c r="N33" s="1177"/>
      <c r="O33" s="1177"/>
      <c r="P33" s="1177">
        <v>1590960</v>
      </c>
      <c r="Q33" s="1177">
        <v>1590960</v>
      </c>
      <c r="R33" s="1177">
        <v>1590960</v>
      </c>
      <c r="S33" s="1177">
        <v>1590960</v>
      </c>
    </row>
    <row r="34" spans="1:19" x14ac:dyDescent="0.15">
      <c r="A34" s="1269" t="s">
        <v>822</v>
      </c>
      <c r="B34" s="1269">
        <v>0</v>
      </c>
      <c r="C34" s="1269">
        <v>0</v>
      </c>
      <c r="D34" s="1269">
        <v>0</v>
      </c>
      <c r="E34" s="1269">
        <v>0</v>
      </c>
      <c r="L34" s="645">
        <v>44</v>
      </c>
      <c r="M34" s="1177">
        <v>1593480</v>
      </c>
      <c r="N34" s="1177"/>
      <c r="O34" s="1177"/>
      <c r="P34" s="1177">
        <v>1593480</v>
      </c>
      <c r="Q34" s="1177">
        <v>1593480</v>
      </c>
      <c r="R34" s="1177">
        <v>1593480</v>
      </c>
      <c r="S34" s="1177">
        <v>1593480</v>
      </c>
    </row>
    <row r="35" spans="1:19" x14ac:dyDescent="0.15">
      <c r="A35" s="1269" t="s">
        <v>657</v>
      </c>
      <c r="B35" s="1269">
        <v>0</v>
      </c>
      <c r="C35" s="1269">
        <v>0</v>
      </c>
      <c r="D35" s="1269">
        <v>0</v>
      </c>
      <c r="E35" s="1269">
        <v>0</v>
      </c>
      <c r="F35" s="1292"/>
      <c r="G35" s="1291"/>
      <c r="L35" s="1178">
        <v>45</v>
      </c>
      <c r="M35" s="1179">
        <v>1596000</v>
      </c>
      <c r="N35" s="1179"/>
      <c r="O35" s="1179"/>
      <c r="P35" s="1179">
        <v>1596000</v>
      </c>
      <c r="Q35" s="1179">
        <v>1596000</v>
      </c>
      <c r="R35" s="1179">
        <v>1596000</v>
      </c>
      <c r="S35" s="1179">
        <v>1596000</v>
      </c>
    </row>
    <row r="36" spans="1:19" x14ac:dyDescent="0.15">
      <c r="L36" s="1180">
        <v>46</v>
      </c>
      <c r="M36" s="1177">
        <v>1603644</v>
      </c>
      <c r="N36" s="1177"/>
      <c r="O36" s="1177"/>
      <c r="P36" s="1177">
        <v>1599822</v>
      </c>
      <c r="Q36" s="1177">
        <v>1596000</v>
      </c>
      <c r="R36" s="1177">
        <v>1603644</v>
      </c>
      <c r="S36" s="1177">
        <v>1596000</v>
      </c>
    </row>
    <row r="37" spans="1:19" x14ac:dyDescent="0.15">
      <c r="L37" s="1180">
        <v>47</v>
      </c>
      <c r="M37" s="1177">
        <v>1611288</v>
      </c>
      <c r="N37" s="1177"/>
      <c r="O37" s="1177"/>
      <c r="P37" s="1177">
        <v>1603644</v>
      </c>
      <c r="Q37" s="1177">
        <v>1596000</v>
      </c>
      <c r="R37" s="1177">
        <v>1611288</v>
      </c>
      <c r="S37" s="1177">
        <v>1596000</v>
      </c>
    </row>
    <row r="38" spans="1:19" x14ac:dyDescent="0.15">
      <c r="L38" s="1180">
        <v>48</v>
      </c>
      <c r="M38" s="1177">
        <v>1618932</v>
      </c>
      <c r="N38" s="1177"/>
      <c r="O38" s="1177"/>
      <c r="P38" s="1177">
        <v>1607466</v>
      </c>
      <c r="Q38" s="1177">
        <v>1596000</v>
      </c>
      <c r="R38" s="1177">
        <v>1618932</v>
      </c>
      <c r="S38" s="1177">
        <v>1596000</v>
      </c>
    </row>
    <row r="39" spans="1:19" x14ac:dyDescent="0.15">
      <c r="L39" s="1180">
        <v>49</v>
      </c>
      <c r="M39" s="1177">
        <v>1626576</v>
      </c>
      <c r="N39" s="1177"/>
      <c r="O39" s="1177"/>
      <c r="P39" s="1177">
        <v>1611288</v>
      </c>
      <c r="Q39" s="1177">
        <v>1596000</v>
      </c>
      <c r="R39" s="1177">
        <v>1626576</v>
      </c>
      <c r="S39" s="1177">
        <v>1596000</v>
      </c>
    </row>
    <row r="40" spans="1:19" x14ac:dyDescent="0.15">
      <c r="L40" s="1180">
        <v>50</v>
      </c>
      <c r="M40" s="1177">
        <v>1634220</v>
      </c>
      <c r="N40" s="1177"/>
      <c r="O40" s="1177"/>
      <c r="P40" s="1177">
        <v>1615110</v>
      </c>
      <c r="Q40" s="1177">
        <v>1596000</v>
      </c>
      <c r="R40" s="1177">
        <v>1634220</v>
      </c>
      <c r="S40" s="1177">
        <v>1596000</v>
      </c>
    </row>
    <row r="41" spans="1:19" x14ac:dyDescent="0.15">
      <c r="L41" s="1180">
        <v>51</v>
      </c>
      <c r="M41" s="1177">
        <v>1641864</v>
      </c>
      <c r="N41" s="1177"/>
      <c r="O41" s="1177"/>
      <c r="P41" s="1177">
        <v>1618932</v>
      </c>
      <c r="Q41" s="1177">
        <v>1596000</v>
      </c>
      <c r="R41" s="1177">
        <v>1641864</v>
      </c>
      <c r="S41" s="1177">
        <v>1596000</v>
      </c>
    </row>
    <row r="42" spans="1:19" x14ac:dyDescent="0.15">
      <c r="L42" s="1180">
        <v>52</v>
      </c>
      <c r="M42" s="1177">
        <v>1649508</v>
      </c>
      <c r="N42" s="1177"/>
      <c r="O42" s="1177"/>
      <c r="P42" s="1177">
        <v>1622754</v>
      </c>
      <c r="Q42" s="1177">
        <v>1596000</v>
      </c>
      <c r="R42" s="1177">
        <v>1649508</v>
      </c>
      <c r="S42" s="1177">
        <v>1596000</v>
      </c>
    </row>
    <row r="43" spans="1:19" x14ac:dyDescent="0.15">
      <c r="L43" s="1180">
        <v>53</v>
      </c>
      <c r="M43" s="1177">
        <v>1657152</v>
      </c>
      <c r="N43" s="1177"/>
      <c r="O43" s="1177"/>
      <c r="P43" s="1177">
        <v>1626576</v>
      </c>
      <c r="Q43" s="1177">
        <v>1596000</v>
      </c>
      <c r="R43" s="1177">
        <v>1657152</v>
      </c>
      <c r="S43" s="1177">
        <v>1596000</v>
      </c>
    </row>
    <row r="44" spans="1:19" x14ac:dyDescent="0.15">
      <c r="L44" s="1180">
        <v>54</v>
      </c>
      <c r="M44" s="1177">
        <v>1664796</v>
      </c>
      <c r="N44" s="1177"/>
      <c r="O44" s="1177"/>
      <c r="P44" s="1177">
        <v>1630398</v>
      </c>
      <c r="Q44" s="1177">
        <v>1596000</v>
      </c>
      <c r="R44" s="1177">
        <v>1664796</v>
      </c>
      <c r="S44" s="1177">
        <v>1596000</v>
      </c>
    </row>
    <row r="45" spans="1:19" x14ac:dyDescent="0.15">
      <c r="L45" s="1180">
        <v>55</v>
      </c>
      <c r="M45" s="1177">
        <v>1672440</v>
      </c>
      <c r="N45" s="1177"/>
      <c r="O45" s="1177"/>
      <c r="P45" s="1177">
        <v>1634220</v>
      </c>
      <c r="Q45" s="1177">
        <v>1596000</v>
      </c>
      <c r="R45" s="1177">
        <v>1672440</v>
      </c>
      <c r="S45" s="1177">
        <v>1596000</v>
      </c>
    </row>
    <row r="46" spans="1:19" x14ac:dyDescent="0.15">
      <c r="L46" s="1180">
        <v>56</v>
      </c>
      <c r="M46" s="1177">
        <v>1680084</v>
      </c>
      <c r="N46" s="1177"/>
      <c r="O46" s="1177"/>
      <c r="P46" s="1177">
        <v>1638042</v>
      </c>
      <c r="Q46" s="1177">
        <v>1596000</v>
      </c>
      <c r="R46" s="1177">
        <v>1680084</v>
      </c>
      <c r="S46" s="1177">
        <v>1596000</v>
      </c>
    </row>
    <row r="47" spans="1:19" x14ac:dyDescent="0.15">
      <c r="L47" s="1180">
        <v>57</v>
      </c>
      <c r="M47" s="1177">
        <v>1687728</v>
      </c>
      <c r="N47" s="1177"/>
      <c r="O47" s="1177"/>
      <c r="P47" s="1177">
        <v>1641864</v>
      </c>
      <c r="Q47" s="1177">
        <v>1596000</v>
      </c>
      <c r="R47" s="1177">
        <v>1687728</v>
      </c>
      <c r="S47" s="1177">
        <v>1596000</v>
      </c>
    </row>
    <row r="48" spans="1:19" x14ac:dyDescent="0.15">
      <c r="L48" s="1180">
        <v>58</v>
      </c>
      <c r="M48" s="1177">
        <v>1695372</v>
      </c>
      <c r="N48" s="1177"/>
      <c r="O48" s="1177"/>
      <c r="P48" s="1177">
        <v>1645686</v>
      </c>
      <c r="Q48" s="1177">
        <v>1596000</v>
      </c>
      <c r="R48" s="1177">
        <v>1695372</v>
      </c>
      <c r="S48" s="1177">
        <v>1596000</v>
      </c>
    </row>
    <row r="49" spans="12:19" x14ac:dyDescent="0.15">
      <c r="L49" s="1180">
        <v>59</v>
      </c>
      <c r="M49" s="1177">
        <v>1703016</v>
      </c>
      <c r="N49" s="1177"/>
      <c r="O49" s="1177"/>
      <c r="P49" s="1177">
        <v>1649508</v>
      </c>
      <c r="Q49" s="1177">
        <v>1596000</v>
      </c>
      <c r="R49" s="1177">
        <v>1703016</v>
      </c>
      <c r="S49" s="1177">
        <v>1596000</v>
      </c>
    </row>
    <row r="50" spans="12:19" x14ac:dyDescent="0.15">
      <c r="L50" s="1178">
        <v>60</v>
      </c>
      <c r="M50" s="1179">
        <v>1710660</v>
      </c>
      <c r="N50" s="1179"/>
      <c r="O50" s="1179"/>
      <c r="P50" s="1179">
        <v>1653330</v>
      </c>
      <c r="Q50" s="1179">
        <v>1596000</v>
      </c>
      <c r="R50" s="1179">
        <v>1710660</v>
      </c>
      <c r="S50" s="1179">
        <v>1596000</v>
      </c>
    </row>
    <row r="51" spans="12:19" x14ac:dyDescent="0.15">
      <c r="L51" s="1180">
        <v>61</v>
      </c>
      <c r="M51" s="1177">
        <v>1729350</v>
      </c>
      <c r="N51" s="1177"/>
      <c r="O51" s="1177"/>
      <c r="P51" s="1177">
        <v>1662675</v>
      </c>
      <c r="Q51" s="1177">
        <v>1596000</v>
      </c>
      <c r="R51" s="1177">
        <v>1729350</v>
      </c>
      <c r="S51" s="1177">
        <v>1596000</v>
      </c>
    </row>
    <row r="52" spans="12:19" x14ac:dyDescent="0.15">
      <c r="L52" s="1180">
        <v>62</v>
      </c>
      <c r="M52" s="1177">
        <v>1748040</v>
      </c>
      <c r="N52" s="1177"/>
      <c r="O52" s="1177"/>
      <c r="P52" s="1177">
        <v>1672020</v>
      </c>
      <c r="Q52" s="1177">
        <v>1596000</v>
      </c>
      <c r="R52" s="1177">
        <v>1748040</v>
      </c>
      <c r="S52" s="1177">
        <v>1596000</v>
      </c>
    </row>
    <row r="53" spans="12:19" x14ac:dyDescent="0.15">
      <c r="L53" s="1180">
        <v>63</v>
      </c>
      <c r="M53" s="1177">
        <v>1766730</v>
      </c>
      <c r="N53" s="1177"/>
      <c r="O53" s="1177"/>
      <c r="P53" s="1177">
        <v>1681365</v>
      </c>
      <c r="Q53" s="1177">
        <v>1596000</v>
      </c>
      <c r="R53" s="1177">
        <v>1766730</v>
      </c>
      <c r="S53" s="1177">
        <v>1596000</v>
      </c>
    </row>
    <row r="54" spans="12:19" x14ac:dyDescent="0.15">
      <c r="L54" s="1180">
        <v>64</v>
      </c>
      <c r="M54" s="1177">
        <v>1785420</v>
      </c>
      <c r="N54" s="1177"/>
      <c r="O54" s="1177"/>
      <c r="P54" s="1177">
        <v>1690710</v>
      </c>
      <c r="Q54" s="1177">
        <v>1596000</v>
      </c>
      <c r="R54" s="1177">
        <v>1785420</v>
      </c>
      <c r="S54" s="1177">
        <v>1596000</v>
      </c>
    </row>
    <row r="55" spans="12:19" x14ac:dyDescent="0.15">
      <c r="L55" s="1180">
        <v>65</v>
      </c>
      <c r="M55" s="1177">
        <v>1804110</v>
      </c>
      <c r="N55" s="1177"/>
      <c r="O55" s="1177"/>
      <c r="P55" s="1177">
        <v>1700055</v>
      </c>
      <c r="Q55" s="1177">
        <v>1596000</v>
      </c>
      <c r="R55" s="1177">
        <v>1804110</v>
      </c>
      <c r="S55" s="1177">
        <v>1596000</v>
      </c>
    </row>
    <row r="56" spans="12:19" x14ac:dyDescent="0.15">
      <c r="L56" s="1180">
        <v>66</v>
      </c>
      <c r="M56" s="1177">
        <v>1822800</v>
      </c>
      <c r="N56" s="1177"/>
      <c r="O56" s="1177"/>
      <c r="P56" s="1177">
        <v>1709400</v>
      </c>
      <c r="Q56" s="1177">
        <v>1596000</v>
      </c>
      <c r="R56" s="1177">
        <v>1822800</v>
      </c>
      <c r="S56" s="1177">
        <v>1596000</v>
      </c>
    </row>
    <row r="57" spans="12:19" x14ac:dyDescent="0.15">
      <c r="L57" s="1180">
        <v>67</v>
      </c>
      <c r="M57" s="1177">
        <v>1841490</v>
      </c>
      <c r="N57" s="1177"/>
      <c r="O57" s="1177"/>
      <c r="P57" s="1177">
        <v>1718745</v>
      </c>
      <c r="Q57" s="1177">
        <v>1596000</v>
      </c>
      <c r="R57" s="1177">
        <v>1841490</v>
      </c>
      <c r="S57" s="1177">
        <v>1596000</v>
      </c>
    </row>
    <row r="58" spans="12:19" x14ac:dyDescent="0.15">
      <c r="L58" s="1180">
        <v>68</v>
      </c>
      <c r="M58" s="1177">
        <v>1860180</v>
      </c>
      <c r="N58" s="1177"/>
      <c r="O58" s="1177"/>
      <c r="P58" s="1177">
        <v>1728090</v>
      </c>
      <c r="Q58" s="1177">
        <v>1596000</v>
      </c>
      <c r="R58" s="1177">
        <v>1860180</v>
      </c>
      <c r="S58" s="1177">
        <v>1596000</v>
      </c>
    </row>
    <row r="59" spans="12:19" x14ac:dyDescent="0.15">
      <c r="L59" s="1180">
        <v>69</v>
      </c>
      <c r="M59" s="1177">
        <v>1878870</v>
      </c>
      <c r="N59" s="1177"/>
      <c r="O59" s="1177"/>
      <c r="P59" s="1177">
        <v>1737435</v>
      </c>
      <c r="Q59" s="1177">
        <v>1596000</v>
      </c>
      <c r="R59" s="1177">
        <v>1878870</v>
      </c>
      <c r="S59" s="1177">
        <v>1596000</v>
      </c>
    </row>
    <row r="60" spans="12:19" x14ac:dyDescent="0.15">
      <c r="L60" s="1180">
        <v>70</v>
      </c>
      <c r="M60" s="1177">
        <v>1897560</v>
      </c>
      <c r="N60" s="1177"/>
      <c r="O60" s="1177"/>
      <c r="P60" s="1177">
        <v>1746780</v>
      </c>
      <c r="Q60" s="1177">
        <v>1596000</v>
      </c>
      <c r="R60" s="1177">
        <v>1897560</v>
      </c>
      <c r="S60" s="1177">
        <v>1596000</v>
      </c>
    </row>
    <row r="61" spans="12:19" x14ac:dyDescent="0.15">
      <c r="L61" s="1180">
        <v>71</v>
      </c>
      <c r="M61" s="1177">
        <v>1916250</v>
      </c>
      <c r="N61" s="1177"/>
      <c r="O61" s="1177"/>
      <c r="P61" s="1177">
        <v>1756125</v>
      </c>
      <c r="Q61" s="1177">
        <v>1596000</v>
      </c>
      <c r="R61" s="1177">
        <v>1916250</v>
      </c>
      <c r="S61" s="1177">
        <v>1596000</v>
      </c>
    </row>
    <row r="62" spans="12:19" x14ac:dyDescent="0.15">
      <c r="L62" s="1180">
        <v>72</v>
      </c>
      <c r="M62" s="1177">
        <v>1934940</v>
      </c>
      <c r="N62" s="1177"/>
      <c r="O62" s="1177"/>
      <c r="P62" s="1177">
        <v>1765470</v>
      </c>
      <c r="Q62" s="1177">
        <v>1596000</v>
      </c>
      <c r="R62" s="1177">
        <v>1934940</v>
      </c>
      <c r="S62" s="1177">
        <v>1596000</v>
      </c>
    </row>
    <row r="63" spans="12:19" x14ac:dyDescent="0.15">
      <c r="L63" s="1180">
        <v>73</v>
      </c>
      <c r="M63" s="1177">
        <v>1953630</v>
      </c>
      <c r="N63" s="1177"/>
      <c r="O63" s="1177"/>
      <c r="P63" s="1177">
        <v>1774815</v>
      </c>
      <c r="Q63" s="1177">
        <v>1596000</v>
      </c>
      <c r="R63" s="1177">
        <v>1953630</v>
      </c>
      <c r="S63" s="1177">
        <v>1596000</v>
      </c>
    </row>
    <row r="64" spans="12:19" x14ac:dyDescent="0.15">
      <c r="L64" s="1180">
        <v>74</v>
      </c>
      <c r="M64" s="1177">
        <v>1972320</v>
      </c>
      <c r="N64" s="1177"/>
      <c r="O64" s="1177"/>
      <c r="P64" s="1177">
        <v>1784160</v>
      </c>
      <c r="Q64" s="1177">
        <v>1596000</v>
      </c>
      <c r="R64" s="1177">
        <v>1972320</v>
      </c>
      <c r="S64" s="1177">
        <v>1596000</v>
      </c>
    </row>
    <row r="65" spans="12:19" x14ac:dyDescent="0.15">
      <c r="L65" s="1180">
        <v>75</v>
      </c>
      <c r="M65" s="1177">
        <v>1991010</v>
      </c>
      <c r="N65" s="1177"/>
      <c r="O65" s="1177"/>
      <c r="P65" s="1177">
        <v>1793505</v>
      </c>
      <c r="Q65" s="1177">
        <v>1596000</v>
      </c>
      <c r="R65" s="1177">
        <v>1991010</v>
      </c>
      <c r="S65" s="1177">
        <v>1596000</v>
      </c>
    </row>
  </sheetData>
  <mergeCells count="4">
    <mergeCell ref="M18:Q18"/>
    <mergeCell ref="R18:S18"/>
    <mergeCell ref="L17:S17"/>
    <mergeCell ref="B19:C1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J50"/>
  <sheetViews>
    <sheetView topLeftCell="A7" workbookViewId="0">
      <selection activeCell="F19" sqref="F19"/>
    </sheetView>
  </sheetViews>
  <sheetFormatPr baseColWidth="10" defaultColWidth="8.83203125" defaultRowHeight="13" x14ac:dyDescent="0.15"/>
  <cols>
    <col min="1" max="1" width="31" customWidth="1"/>
    <col min="2" max="2" width="17.5" customWidth="1"/>
    <col min="3" max="3" width="14" bestFit="1" customWidth="1"/>
    <col min="4" max="4" width="17.5" bestFit="1" customWidth="1"/>
    <col min="5" max="5" width="18" customWidth="1"/>
    <col min="6" max="6" width="81.33203125" customWidth="1"/>
    <col min="8" max="8" width="12.83203125" bestFit="1" customWidth="1"/>
    <col min="9" max="9" width="9.6640625" bestFit="1" customWidth="1"/>
  </cols>
  <sheetData>
    <row r="1" spans="1:10" s="315" customFormat="1" ht="14" thickBot="1" x14ac:dyDescent="0.2">
      <c r="C1" s="132" t="s">
        <v>379</v>
      </c>
      <c r="D1" s="315" t="s">
        <v>52</v>
      </c>
      <c r="E1" s="132" t="s">
        <v>327</v>
      </c>
      <c r="F1" s="132" t="s">
        <v>2664</v>
      </c>
    </row>
    <row r="2" spans="1:10" ht="15" x14ac:dyDescent="0.15">
      <c r="A2" s="1330" t="s">
        <v>1071</v>
      </c>
      <c r="B2" s="1331" t="s">
        <v>2661</v>
      </c>
      <c r="C2" s="2172">
        <v>808</v>
      </c>
      <c r="D2" s="2172">
        <v>808</v>
      </c>
      <c r="E2" s="2172">
        <v>808</v>
      </c>
      <c r="F2" s="2172">
        <v>808</v>
      </c>
    </row>
    <row r="3" spans="1:10" ht="16" thickBot="1" x14ac:dyDescent="0.2">
      <c r="A3" s="1332"/>
      <c r="B3" s="1333" t="s">
        <v>2662</v>
      </c>
      <c r="C3" s="2173">
        <f>1106/2+450</f>
        <v>1003</v>
      </c>
      <c r="D3" s="2173">
        <v>723</v>
      </c>
      <c r="E3" s="2173">
        <v>723</v>
      </c>
      <c r="F3" s="2173">
        <v>723</v>
      </c>
    </row>
    <row r="4" spans="1:10" ht="15" x14ac:dyDescent="0.15">
      <c r="A4" s="1350" t="s">
        <v>1072</v>
      </c>
      <c r="B4" s="1351" t="s">
        <v>1073</v>
      </c>
      <c r="C4" s="1351" t="s">
        <v>1074</v>
      </c>
      <c r="D4" s="1351" t="s">
        <v>1075</v>
      </c>
      <c r="E4" s="2320" t="s">
        <v>1076</v>
      </c>
      <c r="F4" s="2321"/>
      <c r="H4" s="1334">
        <v>2170</v>
      </c>
      <c r="I4" s="1537">
        <v>42507</v>
      </c>
      <c r="J4" s="150" t="s">
        <v>1115</v>
      </c>
    </row>
    <row r="5" spans="1:10" ht="15" x14ac:dyDescent="0.15">
      <c r="A5" s="1335" t="s">
        <v>335</v>
      </c>
      <c r="B5" s="1327">
        <v>10</v>
      </c>
      <c r="C5" s="1327">
        <v>10</v>
      </c>
      <c r="D5" s="1327">
        <v>10</v>
      </c>
      <c r="E5" s="2314" t="s">
        <v>1058</v>
      </c>
      <c r="F5" s="2315"/>
    </row>
    <row r="6" spans="1:10" ht="15" x14ac:dyDescent="0.15">
      <c r="A6" s="1335" t="s">
        <v>1077</v>
      </c>
      <c r="B6" s="1327">
        <v>4</v>
      </c>
      <c r="C6" s="1327">
        <v>4</v>
      </c>
      <c r="D6" s="1327">
        <v>4</v>
      </c>
      <c r="E6" s="2314" t="s">
        <v>1058</v>
      </c>
      <c r="F6" s="2315"/>
    </row>
    <row r="7" spans="1:10" ht="15" x14ac:dyDescent="0.15">
      <c r="A7" s="1335" t="s">
        <v>1057</v>
      </c>
      <c r="B7" s="1327">
        <v>2</v>
      </c>
      <c r="C7" s="1327">
        <v>2</v>
      </c>
      <c r="D7" s="1327">
        <v>2</v>
      </c>
      <c r="E7" s="2314" t="s">
        <v>1058</v>
      </c>
      <c r="F7" s="2315"/>
    </row>
    <row r="8" spans="1:10" ht="15" x14ac:dyDescent="0.15">
      <c r="A8" s="1335" t="s">
        <v>813</v>
      </c>
      <c r="B8" s="1327">
        <v>3</v>
      </c>
      <c r="C8" s="1327">
        <v>3</v>
      </c>
      <c r="D8" s="1327">
        <v>3</v>
      </c>
      <c r="E8" s="2314" t="s">
        <v>1058</v>
      </c>
      <c r="F8" s="2315"/>
    </row>
    <row r="9" spans="1:10" ht="15" x14ac:dyDescent="0.15">
      <c r="A9" s="1335" t="s">
        <v>1059</v>
      </c>
      <c r="B9" s="1327">
        <v>4</v>
      </c>
      <c r="C9" s="1327">
        <v>4</v>
      </c>
      <c r="D9" s="1327">
        <v>4</v>
      </c>
      <c r="E9" s="2314" t="s">
        <v>1058</v>
      </c>
      <c r="F9" s="2315"/>
    </row>
    <row r="10" spans="1:10" ht="15" x14ac:dyDescent="0.15">
      <c r="A10" s="1335" t="s">
        <v>1060</v>
      </c>
      <c r="B10" s="1327">
        <v>2</v>
      </c>
      <c r="C10" s="1327">
        <v>2</v>
      </c>
      <c r="D10" s="1327">
        <v>2</v>
      </c>
      <c r="E10" s="2314" t="s">
        <v>1058</v>
      </c>
      <c r="F10" s="2315"/>
    </row>
    <row r="11" spans="1:10" ht="15" x14ac:dyDescent="0.15">
      <c r="A11" s="1335" t="s">
        <v>204</v>
      </c>
      <c r="B11" s="1327">
        <v>10</v>
      </c>
      <c r="C11" s="1327">
        <v>10</v>
      </c>
      <c r="D11" s="1327">
        <v>10</v>
      </c>
      <c r="E11" s="2314" t="s">
        <v>1061</v>
      </c>
      <c r="F11" s="2315"/>
    </row>
    <row r="12" spans="1:10" ht="15" x14ac:dyDescent="0.15">
      <c r="A12" s="1335" t="s">
        <v>1062</v>
      </c>
      <c r="B12" s="1327">
        <v>2</v>
      </c>
      <c r="C12" s="1327">
        <v>2</v>
      </c>
      <c r="D12" s="1327">
        <v>10</v>
      </c>
      <c r="E12" s="2314" t="s">
        <v>1061</v>
      </c>
      <c r="F12" s="2315"/>
    </row>
    <row r="13" spans="1:10" ht="15" x14ac:dyDescent="0.15">
      <c r="A13" s="1336" t="s">
        <v>1016</v>
      </c>
      <c r="B13" s="1328">
        <v>10</v>
      </c>
      <c r="C13" s="1328">
        <v>10</v>
      </c>
      <c r="D13" s="1328">
        <v>0</v>
      </c>
      <c r="E13" s="2316" t="s">
        <v>1063</v>
      </c>
      <c r="F13" s="2317"/>
    </row>
    <row r="14" spans="1:10" ht="15" x14ac:dyDescent="0.15">
      <c r="A14" s="1336" t="s">
        <v>130</v>
      </c>
      <c r="B14" s="1328">
        <v>2</v>
      </c>
      <c r="C14" s="1328">
        <v>2</v>
      </c>
      <c r="D14" s="1328">
        <v>0</v>
      </c>
      <c r="E14" s="2316" t="s">
        <v>1064</v>
      </c>
      <c r="F14" s="2317"/>
    </row>
    <row r="15" spans="1:10" ht="16" thickBot="1" x14ac:dyDescent="0.2">
      <c r="A15" s="1352" t="s">
        <v>1065</v>
      </c>
      <c r="B15" s="1353">
        <v>4</v>
      </c>
      <c r="C15" s="1353">
        <v>4</v>
      </c>
      <c r="D15" s="1353">
        <v>0</v>
      </c>
      <c r="E15" s="2318" t="s">
        <v>1064</v>
      </c>
      <c r="F15" s="2319"/>
    </row>
    <row r="16" spans="1:10" x14ac:dyDescent="0.15">
      <c r="A16" s="1332"/>
      <c r="B16" s="629"/>
      <c r="C16" s="629"/>
      <c r="D16" s="629"/>
      <c r="E16" s="1333"/>
      <c r="F16" s="1345"/>
    </row>
    <row r="17" spans="1:6" x14ac:dyDescent="0.15">
      <c r="A17" s="1348" t="s">
        <v>1082</v>
      </c>
      <c r="B17" s="1349" t="s">
        <v>1081</v>
      </c>
      <c r="C17" s="1349" t="s">
        <v>1078</v>
      </c>
      <c r="D17" s="1349" t="s">
        <v>1079</v>
      </c>
      <c r="E17" s="1348" t="s">
        <v>1080</v>
      </c>
      <c r="F17" s="1345"/>
    </row>
    <row r="18" spans="1:6" s="315" customFormat="1" x14ac:dyDescent="0.15">
      <c r="A18" s="1329" t="s">
        <v>1066</v>
      </c>
      <c r="B18" s="1354">
        <f>INPUT!$H$5</f>
        <v>61</v>
      </c>
      <c r="C18" s="1329">
        <f>SUM(C5:C10)</f>
        <v>25</v>
      </c>
      <c r="D18" s="1329">
        <f>SUM(D5:D10)</f>
        <v>25</v>
      </c>
      <c r="E18" s="1355">
        <f>((C18*$C$24)+(D18*$D$24))*B18</f>
        <v>2334775</v>
      </c>
      <c r="F18" s="1345"/>
    </row>
    <row r="19" spans="1:6" s="315" customFormat="1" x14ac:dyDescent="0.15">
      <c r="A19" s="1329" t="s">
        <v>769</v>
      </c>
      <c r="B19" s="1354">
        <v>10</v>
      </c>
      <c r="C19" s="1329">
        <f>SUM(C11:C12)</f>
        <v>12</v>
      </c>
      <c r="D19" s="1329">
        <f>SUM(D11:D12)</f>
        <v>20</v>
      </c>
      <c r="E19" s="1355">
        <f>((C19*$C$24)+(D19*$D$24))*B19</f>
        <v>241560</v>
      </c>
      <c r="F19" s="1345"/>
    </row>
    <row r="20" spans="1:6" s="315" customFormat="1" x14ac:dyDescent="0.15">
      <c r="A20" s="1356" t="s">
        <v>1016</v>
      </c>
      <c r="B20" s="1357">
        <f>IF(INPUT!$D$8="YES",5,4)*4</f>
        <v>20</v>
      </c>
      <c r="C20" s="1356">
        <f>C13</f>
        <v>10</v>
      </c>
      <c r="D20" s="1356">
        <f>D13</f>
        <v>0</v>
      </c>
      <c r="E20" s="1355">
        <f t="shared" ref="E20:E21" si="0">((C20*$C$24)+(D20*$D$24))*B20</f>
        <v>161600</v>
      </c>
      <c r="F20" s="1345"/>
    </row>
    <row r="21" spans="1:6" s="315" customFormat="1" x14ac:dyDescent="0.15">
      <c r="A21" s="1356" t="s">
        <v>1084</v>
      </c>
      <c r="B21" s="1357">
        <f>INPUT!$H$5</f>
        <v>61</v>
      </c>
      <c r="C21" s="1356">
        <f>SUM(C15:C16)</f>
        <v>4</v>
      </c>
      <c r="D21" s="1356">
        <f>SUM(D15:D16)</f>
        <v>0</v>
      </c>
      <c r="E21" s="1355">
        <f t="shared" si="0"/>
        <v>197152</v>
      </c>
      <c r="F21" s="1345"/>
    </row>
    <row r="22" spans="1:6" s="315" customFormat="1" x14ac:dyDescent="0.15">
      <c r="A22" s="1333"/>
      <c r="B22" s="1346" t="s">
        <v>101</v>
      </c>
      <c r="C22" s="1347">
        <f>SUMPRODUCT($B$18:$B$21,C18:C21)*C24</f>
        <v>1687912</v>
      </c>
      <c r="D22" s="1347">
        <f>SUMPRODUCT($B$18:$B$21,D18:D21)*D24</f>
        <v>1247175</v>
      </c>
      <c r="E22" s="1342">
        <f>SUM(C22:D22)</f>
        <v>2935087</v>
      </c>
      <c r="F22" s="1345"/>
    </row>
    <row r="23" spans="1:6" s="315" customFormat="1" x14ac:dyDescent="0.15">
      <c r="A23" s="1332"/>
      <c r="B23" s="1333"/>
      <c r="C23" s="1337"/>
      <c r="D23" s="1343" t="s">
        <v>1083</v>
      </c>
      <c r="E23" s="1344">
        <f>E22/INPUT!H5</f>
        <v>48116.180327868853</v>
      </c>
      <c r="F23" s="1345"/>
    </row>
    <row r="24" spans="1:6" s="315" customFormat="1" ht="15" x14ac:dyDescent="0.2">
      <c r="A24" s="1332"/>
      <c r="B24" s="1333"/>
      <c r="C24" s="1757">
        <f>INDEX($C$2:$F$3,MATCH("Meals",Rig1Peripherals!$B$2:$B$3,0),MATCH(INPUT!$H$8,Rig1Peripherals!$C$1:$F$1,0))</f>
        <v>808</v>
      </c>
      <c r="D24" s="1757">
        <f>INDEX($C$2:$F$3,MATCH("Accommodation",Rig1Peripherals!$B$2:$B$3,0),MATCH(INPUT!$H$8,Rig1Peripherals!$C$1:$F$1,0))</f>
        <v>723</v>
      </c>
      <c r="E24" s="1344"/>
      <c r="F24" s="1345"/>
    </row>
    <row r="25" spans="1:6" x14ac:dyDescent="0.15">
      <c r="A25" s="1332"/>
      <c r="B25" s="1333"/>
      <c r="C25" s="1337"/>
      <c r="D25" s="1337"/>
      <c r="E25" s="1333"/>
      <c r="F25" s="1345"/>
    </row>
    <row r="26" spans="1:6" x14ac:dyDescent="0.15">
      <c r="A26" s="1332"/>
      <c r="B26" s="1333"/>
      <c r="C26" s="1333"/>
      <c r="D26" s="1333"/>
      <c r="E26" s="1333"/>
      <c r="F26" s="1345"/>
    </row>
    <row r="27" spans="1:6" ht="15" x14ac:dyDescent="0.15">
      <c r="A27" s="1338" t="s">
        <v>1067</v>
      </c>
      <c r="B27" s="1333"/>
      <c r="C27" s="1333"/>
      <c r="D27" s="1333"/>
      <c r="E27" s="1333"/>
      <c r="F27" s="1345"/>
    </row>
    <row r="28" spans="1:6" ht="15" x14ac:dyDescent="0.15">
      <c r="A28" s="1338" t="s">
        <v>1114</v>
      </c>
      <c r="B28" s="1333"/>
      <c r="C28" s="1333"/>
      <c r="D28" s="1333"/>
      <c r="E28" s="1333"/>
      <c r="F28" s="1345"/>
    </row>
    <row r="29" spans="1:6" x14ac:dyDescent="0.15">
      <c r="A29" s="1332"/>
      <c r="B29" s="1333"/>
      <c r="C29" s="1333"/>
      <c r="D29" s="1333"/>
      <c r="E29" s="1333"/>
      <c r="F29" s="1345"/>
    </row>
    <row r="30" spans="1:6" ht="15" x14ac:dyDescent="0.15">
      <c r="A30" s="1338" t="s">
        <v>1068</v>
      </c>
      <c r="B30" s="1333"/>
      <c r="C30" s="1333"/>
      <c r="D30" s="1333"/>
      <c r="E30" s="1333"/>
      <c r="F30" s="1345"/>
    </row>
    <row r="31" spans="1:6" x14ac:dyDescent="0.15">
      <c r="A31" s="1332" t="s">
        <v>1069</v>
      </c>
      <c r="B31" s="1333"/>
      <c r="C31" s="1333"/>
      <c r="D31" s="1333"/>
      <c r="E31" s="1333"/>
      <c r="F31" s="1345"/>
    </row>
    <row r="32" spans="1:6" x14ac:dyDescent="0.15">
      <c r="A32" s="1332" t="s">
        <v>1070</v>
      </c>
      <c r="B32" s="1333"/>
      <c r="C32" s="1333"/>
      <c r="D32" s="1333"/>
      <c r="E32" s="1333"/>
      <c r="F32" s="1345"/>
    </row>
    <row r="33" spans="1:6" ht="14" thickBot="1" x14ac:dyDescent="0.2">
      <c r="A33" s="1339"/>
      <c r="B33" s="1340"/>
      <c r="C33" s="1340"/>
      <c r="D33" s="1340"/>
      <c r="E33" s="1340"/>
      <c r="F33" s="1341"/>
    </row>
    <row r="34" spans="1:6" x14ac:dyDescent="0.15">
      <c r="A34" s="569" t="s">
        <v>1085</v>
      </c>
    </row>
    <row r="37" spans="1:6" x14ac:dyDescent="0.15">
      <c r="B37" s="132"/>
    </row>
    <row r="41" spans="1:6" x14ac:dyDescent="0.15">
      <c r="A41" s="2312" t="s">
        <v>977</v>
      </c>
      <c r="B41" s="2313"/>
      <c r="C41" s="2313"/>
      <c r="D41" s="646"/>
    </row>
    <row r="42" spans="1:6" x14ac:dyDescent="0.15">
      <c r="A42" s="1271" t="s">
        <v>911</v>
      </c>
      <c r="B42" s="1272" t="s">
        <v>209</v>
      </c>
      <c r="C42" s="1270" t="s">
        <v>433</v>
      </c>
      <c r="D42" s="646"/>
    </row>
    <row r="43" spans="1:6" ht="26" customHeight="1" x14ac:dyDescent="0.15">
      <c r="A43" s="1273" t="s">
        <v>989</v>
      </c>
      <c r="B43" s="1274">
        <v>3403000</v>
      </c>
      <c r="C43" s="1273" t="s">
        <v>981</v>
      </c>
      <c r="D43" s="646" t="s">
        <v>2663</v>
      </c>
    </row>
    <row r="44" spans="1:6" x14ac:dyDescent="0.15">
      <c r="A44" s="569" t="s">
        <v>1085</v>
      </c>
    </row>
    <row r="46" spans="1:6" x14ac:dyDescent="0.15">
      <c r="A46" s="315"/>
      <c r="B46" s="315"/>
      <c r="C46" s="315"/>
      <c r="D46" s="315"/>
      <c r="E46" s="315"/>
    </row>
    <row r="47" spans="1:6" x14ac:dyDescent="0.15">
      <c r="A47" s="315"/>
      <c r="B47" s="315"/>
      <c r="C47" s="315"/>
      <c r="D47" s="315"/>
      <c r="E47" s="315"/>
    </row>
    <row r="48" spans="1:6" x14ac:dyDescent="0.15">
      <c r="A48" s="315"/>
      <c r="B48" s="315"/>
      <c r="C48" s="315"/>
      <c r="D48" s="315"/>
      <c r="E48" s="315"/>
    </row>
    <row r="49" spans="1:5" x14ac:dyDescent="0.15">
      <c r="A49" s="315"/>
      <c r="B49" s="315"/>
      <c r="C49" s="315"/>
      <c r="D49" s="315"/>
      <c r="E49" s="315"/>
    </row>
    <row r="50" spans="1:5" x14ac:dyDescent="0.15">
      <c r="A50" s="315"/>
      <c r="B50" s="315"/>
      <c r="C50" s="315"/>
      <c r="D50" s="315"/>
      <c r="E50" s="315"/>
    </row>
  </sheetData>
  <mergeCells count="13">
    <mergeCell ref="E9:F9"/>
    <mergeCell ref="E4:F4"/>
    <mergeCell ref="E5:F5"/>
    <mergeCell ref="E6:F6"/>
    <mergeCell ref="E7:F7"/>
    <mergeCell ref="E8:F8"/>
    <mergeCell ref="A41:C41"/>
    <mergeCell ref="E10:F10"/>
    <mergeCell ref="E11:F11"/>
    <mergeCell ref="E12:F12"/>
    <mergeCell ref="E13:F13"/>
    <mergeCell ref="E14:F14"/>
    <mergeCell ref="E15:F15"/>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enableFormatConditionsCalculation="0"/>
  <dimension ref="A1:S33"/>
  <sheetViews>
    <sheetView showGridLines="0" workbookViewId="0">
      <pane xSplit="4" ySplit="3" topLeftCell="I4" activePane="bottomRight" state="frozen"/>
      <selection activeCell="H13" sqref="H13:I13"/>
      <selection pane="topRight" activeCell="H13" sqref="H13:I13"/>
      <selection pane="bottomLeft" activeCell="H13" sqref="H13:I13"/>
      <selection pane="bottomRight" activeCell="P4" sqref="P4"/>
    </sheetView>
  </sheetViews>
  <sheetFormatPr baseColWidth="10" defaultColWidth="0" defaultRowHeight="13" x14ac:dyDescent="0.15"/>
  <cols>
    <col min="1" max="1" width="17.33203125" style="150" customWidth="1"/>
    <col min="2" max="2" width="19.1640625" style="352" bestFit="1" customWidth="1"/>
    <col min="3" max="3" width="25" style="352" bestFit="1" customWidth="1"/>
    <col min="4" max="4" width="12.6640625" style="352" bestFit="1" customWidth="1"/>
    <col min="5" max="5" width="11.5" style="352" bestFit="1" customWidth="1"/>
    <col min="6" max="6" width="12.1640625" style="352" bestFit="1" customWidth="1"/>
    <col min="7" max="7" width="12" style="352" bestFit="1" customWidth="1"/>
    <col min="8" max="8" width="13" style="352" customWidth="1"/>
    <col min="9" max="9" width="17" style="352" bestFit="1" customWidth="1"/>
    <col min="10" max="10" width="15.83203125" style="352" bestFit="1" customWidth="1"/>
    <col min="11" max="11" width="15.6640625" style="352" bestFit="1" customWidth="1"/>
    <col min="12" max="12" width="10.5" style="352" bestFit="1" customWidth="1"/>
    <col min="13" max="13" width="9.6640625" style="352" bestFit="1" customWidth="1"/>
    <col min="14" max="14" width="10.5" style="352" bestFit="1" customWidth="1"/>
    <col min="15" max="15" width="9.6640625" style="352" bestFit="1" customWidth="1"/>
    <col min="16" max="16" width="9.6640625" style="352" customWidth="1"/>
    <col min="17" max="18" width="9.1640625" style="352" customWidth="1"/>
    <col min="19" max="19" width="0" style="352" hidden="1" customWidth="1"/>
    <col min="20" max="16384" width="9.1640625" style="352" hidden="1"/>
  </cols>
  <sheetData>
    <row r="1" spans="1:19" x14ac:dyDescent="0.15">
      <c r="A1" s="353" t="s">
        <v>356</v>
      </c>
    </row>
    <row r="2" spans="1:19" ht="14" thickBot="1" x14ac:dyDescent="0.2">
      <c r="E2" s="352" t="s">
        <v>2154</v>
      </c>
    </row>
    <row r="3" spans="1:19" s="852" customFormat="1" x14ac:dyDescent="0.15">
      <c r="A3" s="858" t="s">
        <v>138</v>
      </c>
      <c r="B3" s="859" t="s">
        <v>513</v>
      </c>
      <c r="C3" s="859" t="s">
        <v>815</v>
      </c>
      <c r="D3" s="859" t="s">
        <v>814</v>
      </c>
      <c r="E3" s="860" t="s">
        <v>43</v>
      </c>
      <c r="F3" s="860" t="s">
        <v>393</v>
      </c>
      <c r="G3" s="860" t="s">
        <v>394</v>
      </c>
      <c r="H3" s="860" t="s">
        <v>395</v>
      </c>
      <c r="I3" s="860" t="s">
        <v>396</v>
      </c>
      <c r="J3" s="860" t="s">
        <v>397</v>
      </c>
      <c r="K3" s="860" t="s">
        <v>398</v>
      </c>
      <c r="L3" s="860" t="s">
        <v>399</v>
      </c>
      <c r="M3" s="860" t="s">
        <v>400</v>
      </c>
      <c r="N3" s="860" t="s">
        <v>401</v>
      </c>
      <c r="O3" s="861" t="s">
        <v>402</v>
      </c>
      <c r="P3" s="860" t="s">
        <v>1247</v>
      </c>
      <c r="Q3" s="861" t="s">
        <v>1248</v>
      </c>
      <c r="R3" s="861" t="s">
        <v>1252</v>
      </c>
      <c r="S3" s="853"/>
    </row>
    <row r="4" spans="1:19" x14ac:dyDescent="0.15">
      <c r="A4" s="862">
        <v>1</v>
      </c>
      <c r="B4" s="856" t="s">
        <v>142</v>
      </c>
      <c r="C4" s="856" t="s">
        <v>655</v>
      </c>
      <c r="D4" s="854"/>
      <c r="E4" s="1845">
        <v>1000</v>
      </c>
      <c r="F4" s="1845">
        <v>6500</v>
      </c>
      <c r="G4" s="1845">
        <v>5500</v>
      </c>
      <c r="H4" s="1845">
        <v>6600</v>
      </c>
      <c r="I4" s="1845">
        <v>5500</v>
      </c>
      <c r="J4" s="1845">
        <v>6600</v>
      </c>
      <c r="K4" s="1845">
        <v>5500</v>
      </c>
      <c r="L4" s="1845">
        <v>6600</v>
      </c>
      <c r="M4" s="1845">
        <v>5500</v>
      </c>
      <c r="N4" s="1845">
        <v>6600</v>
      </c>
      <c r="O4" s="1845">
        <v>5500</v>
      </c>
      <c r="P4" s="1845">
        <v>6600</v>
      </c>
      <c r="Q4" s="1845">
        <v>5500</v>
      </c>
      <c r="R4" s="1845">
        <v>5500</v>
      </c>
    </row>
    <row r="5" spans="1:19" x14ac:dyDescent="0.15">
      <c r="A5" s="862">
        <v>1</v>
      </c>
      <c r="B5" s="855" t="s">
        <v>146</v>
      </c>
      <c r="C5" s="856" t="s">
        <v>2152</v>
      </c>
      <c r="D5" s="854"/>
      <c r="E5" s="1845">
        <v>0</v>
      </c>
      <c r="F5" s="1845">
        <v>0</v>
      </c>
      <c r="G5" s="1845"/>
      <c r="H5" s="1845">
        <v>5800</v>
      </c>
      <c r="I5" s="1845"/>
      <c r="J5" s="1845">
        <v>5800</v>
      </c>
      <c r="K5" s="1845">
        <v>0</v>
      </c>
      <c r="L5" s="1845">
        <v>5800</v>
      </c>
      <c r="M5" s="1845">
        <v>0</v>
      </c>
      <c r="N5" s="1845">
        <v>5800</v>
      </c>
      <c r="O5" s="1845">
        <v>0</v>
      </c>
      <c r="P5" s="1845">
        <v>5800</v>
      </c>
      <c r="Q5" s="1845">
        <v>0</v>
      </c>
      <c r="R5" s="1845">
        <v>0</v>
      </c>
    </row>
    <row r="6" spans="1:19" x14ac:dyDescent="0.15">
      <c r="A6" s="862">
        <v>1</v>
      </c>
      <c r="B6" s="856" t="s">
        <v>143</v>
      </c>
      <c r="C6" s="856" t="s">
        <v>655</v>
      </c>
      <c r="D6" s="854"/>
      <c r="E6" s="1845">
        <v>200</v>
      </c>
      <c r="F6" s="1845">
        <v>200</v>
      </c>
      <c r="G6" s="1845">
        <v>200</v>
      </c>
      <c r="H6" s="1845">
        <v>200</v>
      </c>
      <c r="I6" s="1845">
        <v>200</v>
      </c>
      <c r="J6" s="1845">
        <v>200</v>
      </c>
      <c r="K6" s="1845">
        <v>200</v>
      </c>
      <c r="L6" s="1845">
        <v>200</v>
      </c>
      <c r="M6" s="1845">
        <v>200</v>
      </c>
      <c r="N6" s="1845">
        <v>200</v>
      </c>
      <c r="O6" s="1845">
        <v>200</v>
      </c>
      <c r="P6" s="1845">
        <v>200</v>
      </c>
      <c r="Q6" s="1845">
        <v>200</v>
      </c>
      <c r="R6" s="1845">
        <v>200</v>
      </c>
    </row>
    <row r="7" spans="1:19" x14ac:dyDescent="0.15">
      <c r="A7" s="862">
        <v>1</v>
      </c>
      <c r="B7" s="856" t="s">
        <v>144</v>
      </c>
      <c r="C7" s="856" t="s">
        <v>655</v>
      </c>
      <c r="D7" s="854"/>
      <c r="E7" s="1845">
        <v>100</v>
      </c>
      <c r="F7" s="1845"/>
      <c r="G7" s="1845">
        <v>200</v>
      </c>
      <c r="H7" s="1845"/>
      <c r="I7" s="1845">
        <v>200</v>
      </c>
      <c r="J7" s="1845"/>
      <c r="K7" s="1845">
        <v>200</v>
      </c>
      <c r="L7" s="1845"/>
      <c r="M7" s="1845">
        <v>0</v>
      </c>
      <c r="N7" s="1845">
        <v>0</v>
      </c>
      <c r="O7" s="1845">
        <v>200</v>
      </c>
      <c r="P7" s="1845">
        <v>0</v>
      </c>
      <c r="Q7" s="1845">
        <v>200</v>
      </c>
      <c r="R7" s="1845">
        <v>200</v>
      </c>
    </row>
    <row r="8" spans="1:19" x14ac:dyDescent="0.15">
      <c r="A8" s="862">
        <v>1</v>
      </c>
      <c r="B8" s="856" t="s">
        <v>2150</v>
      </c>
      <c r="C8" s="856" t="s">
        <v>655</v>
      </c>
      <c r="D8" s="854"/>
      <c r="E8" s="1845"/>
      <c r="F8" s="1845">
        <v>300</v>
      </c>
      <c r="G8" s="1845">
        <v>300</v>
      </c>
      <c r="H8" s="1845">
        <v>300</v>
      </c>
      <c r="I8" s="1845">
        <v>300</v>
      </c>
      <c r="J8" s="1845">
        <v>300</v>
      </c>
      <c r="K8" s="1845">
        <v>300</v>
      </c>
      <c r="L8" s="1845">
        <v>300</v>
      </c>
      <c r="M8" s="1845">
        <v>300</v>
      </c>
      <c r="N8" s="1845">
        <v>300</v>
      </c>
      <c r="O8" s="1845">
        <v>300</v>
      </c>
      <c r="P8" s="1845">
        <v>300</v>
      </c>
      <c r="Q8" s="1845">
        <v>300</v>
      </c>
      <c r="R8" s="1845">
        <v>300</v>
      </c>
    </row>
    <row r="9" spans="1:19" x14ac:dyDescent="0.15">
      <c r="A9" s="862">
        <v>1</v>
      </c>
      <c r="B9" s="856" t="s">
        <v>2151</v>
      </c>
      <c r="C9" s="856" t="s">
        <v>655</v>
      </c>
      <c r="D9" s="857"/>
      <c r="E9" s="1845">
        <v>300</v>
      </c>
      <c r="F9" s="1845">
        <v>300</v>
      </c>
      <c r="G9" s="1845">
        <v>300</v>
      </c>
      <c r="H9" s="1845">
        <v>300</v>
      </c>
      <c r="I9" s="1845">
        <v>300</v>
      </c>
      <c r="J9" s="1845">
        <v>300</v>
      </c>
      <c r="K9" s="1845">
        <v>300</v>
      </c>
      <c r="L9" s="1845">
        <v>300</v>
      </c>
      <c r="M9" s="1845">
        <v>300</v>
      </c>
      <c r="N9" s="1845">
        <v>300</v>
      </c>
      <c r="O9" s="1845">
        <v>300</v>
      </c>
      <c r="P9" s="1845">
        <v>300</v>
      </c>
      <c r="Q9" s="1845">
        <v>300</v>
      </c>
      <c r="R9" s="1845">
        <v>300</v>
      </c>
    </row>
    <row r="10" spans="1:19" x14ac:dyDescent="0.15">
      <c r="A10" s="862">
        <v>1</v>
      </c>
      <c r="B10" s="856" t="s">
        <v>2153</v>
      </c>
      <c r="C10" s="856" t="s">
        <v>655</v>
      </c>
      <c r="D10" s="857"/>
      <c r="E10" s="1845">
        <v>300</v>
      </c>
      <c r="F10" s="1845">
        <v>200</v>
      </c>
      <c r="G10" s="1845">
        <v>200</v>
      </c>
      <c r="H10" s="1845">
        <v>200</v>
      </c>
      <c r="I10" s="1845">
        <v>200</v>
      </c>
      <c r="J10" s="1845">
        <v>200</v>
      </c>
      <c r="K10" s="1845">
        <v>200</v>
      </c>
      <c r="L10" s="1845">
        <v>200</v>
      </c>
      <c r="M10" s="1845">
        <v>200</v>
      </c>
      <c r="N10" s="1845">
        <v>200</v>
      </c>
      <c r="O10" s="1845">
        <v>200</v>
      </c>
      <c r="P10" s="1845">
        <v>200</v>
      </c>
      <c r="Q10" s="1845">
        <v>200</v>
      </c>
      <c r="R10" s="1845">
        <v>200</v>
      </c>
    </row>
    <row r="11" spans="1:19" x14ac:dyDescent="0.15">
      <c r="A11" s="862">
        <v>1</v>
      </c>
      <c r="B11" s="855"/>
      <c r="C11" s="856" t="s">
        <v>655</v>
      </c>
      <c r="D11" s="857"/>
      <c r="E11" s="1845"/>
      <c r="F11" s="1845"/>
      <c r="G11" s="1845"/>
      <c r="H11" s="1845"/>
      <c r="I11" s="1845"/>
      <c r="J11" s="1845"/>
      <c r="K11" s="1845"/>
      <c r="L11" s="1845"/>
      <c r="M11" s="1845"/>
      <c r="N11" s="1845"/>
      <c r="O11" s="1845"/>
      <c r="P11" s="1845"/>
      <c r="Q11" s="1845"/>
      <c r="R11" s="1845"/>
    </row>
    <row r="12" spans="1:19" ht="14" thickBot="1" x14ac:dyDescent="0.2">
      <c r="A12" s="863">
        <v>1</v>
      </c>
      <c r="B12" s="864"/>
      <c r="C12" s="865" t="s">
        <v>655</v>
      </c>
      <c r="D12" s="866"/>
      <c r="E12" s="864"/>
      <c r="F12" s="864"/>
      <c r="G12" s="864"/>
      <c r="H12" s="864"/>
      <c r="I12" s="864"/>
      <c r="J12" s="864"/>
      <c r="K12" s="864"/>
      <c r="L12" s="864"/>
      <c r="M12" s="864"/>
      <c r="N12" s="864"/>
      <c r="O12" s="867"/>
      <c r="P12" s="864"/>
      <c r="Q12" s="867"/>
      <c r="R12" s="867"/>
    </row>
    <row r="13" spans="1:19" x14ac:dyDescent="0.15">
      <c r="E13" s="671">
        <f>SUM(E4:E12)</f>
        <v>1900</v>
      </c>
      <c r="F13" s="671">
        <f>SUM(F4:F12)</f>
        <v>7500</v>
      </c>
      <c r="G13" s="671">
        <f t="shared" ref="G13:P13" si="0">SUM(G4:G12)</f>
        <v>6700</v>
      </c>
      <c r="H13" s="671">
        <f t="shared" si="0"/>
        <v>13400</v>
      </c>
      <c r="I13" s="671">
        <f t="shared" si="0"/>
        <v>6700</v>
      </c>
      <c r="J13" s="671">
        <f t="shared" si="0"/>
        <v>13400</v>
      </c>
      <c r="K13" s="671">
        <f t="shared" si="0"/>
        <v>6700</v>
      </c>
      <c r="L13" s="671">
        <f t="shared" si="0"/>
        <v>13400</v>
      </c>
      <c r="M13" s="671">
        <f t="shared" si="0"/>
        <v>6500</v>
      </c>
      <c r="N13" s="671">
        <f t="shared" si="0"/>
        <v>13400</v>
      </c>
      <c r="O13" s="671">
        <f t="shared" si="0"/>
        <v>6700</v>
      </c>
      <c r="P13" s="671">
        <f t="shared" si="0"/>
        <v>13400</v>
      </c>
    </row>
    <row r="15" spans="1:19" x14ac:dyDescent="0.15">
      <c r="E15" s="1923"/>
    </row>
    <row r="17" spans="1:9" ht="15" x14ac:dyDescent="0.2">
      <c r="A17" s="2322" t="s">
        <v>937</v>
      </c>
      <c r="B17" s="2322"/>
      <c r="C17" s="2322"/>
      <c r="D17" s="2322"/>
      <c r="E17" s="2322"/>
    </row>
    <row r="18" spans="1:9" ht="15" x14ac:dyDescent="0.2">
      <c r="A18" s="1164"/>
      <c r="B18" s="2322" t="s">
        <v>930</v>
      </c>
      <c r="C18" s="2322"/>
      <c r="D18" s="2322" t="s">
        <v>242</v>
      </c>
      <c r="E18" s="2322"/>
    </row>
    <row r="19" spans="1:9" ht="15" x14ac:dyDescent="0.2">
      <c r="A19" s="1165" t="s">
        <v>931</v>
      </c>
      <c r="B19" s="1166" t="s">
        <v>85</v>
      </c>
      <c r="C19" s="1166" t="s">
        <v>932</v>
      </c>
      <c r="D19" s="1166" t="s">
        <v>85</v>
      </c>
      <c r="E19" s="1166" t="s">
        <v>932</v>
      </c>
    </row>
    <row r="20" spans="1:9" x14ac:dyDescent="0.15">
      <c r="A20" s="1167" t="s">
        <v>43</v>
      </c>
      <c r="B20" s="1168" t="s">
        <v>933</v>
      </c>
      <c r="C20" s="1169">
        <v>400</v>
      </c>
      <c r="D20" s="1170" t="s">
        <v>43</v>
      </c>
      <c r="E20" s="1171">
        <v>400</v>
      </c>
      <c r="H20" s="150" t="s">
        <v>904</v>
      </c>
      <c r="I20" s="352">
        <v>6000</v>
      </c>
    </row>
    <row r="21" spans="1:9" x14ac:dyDescent="0.15">
      <c r="A21" s="1172" t="s">
        <v>393</v>
      </c>
      <c r="B21" s="1173" t="s">
        <v>360</v>
      </c>
      <c r="C21" s="1174">
        <v>7200</v>
      </c>
      <c r="D21" s="1175" t="s">
        <v>645</v>
      </c>
      <c r="E21" s="1176">
        <v>4600</v>
      </c>
      <c r="H21" s="150" t="s">
        <v>905</v>
      </c>
      <c r="I21" s="352">
        <v>6000</v>
      </c>
    </row>
    <row r="22" spans="1:9" x14ac:dyDescent="0.15">
      <c r="A22" s="1172" t="s">
        <v>394</v>
      </c>
      <c r="B22" s="1173" t="s">
        <v>360</v>
      </c>
      <c r="C22" s="1174">
        <v>2700</v>
      </c>
      <c r="D22" s="1175" t="s">
        <v>645</v>
      </c>
      <c r="E22" s="1176">
        <v>3400</v>
      </c>
    </row>
    <row r="23" spans="1:9" x14ac:dyDescent="0.15">
      <c r="A23" s="1172" t="s">
        <v>395</v>
      </c>
      <c r="B23" s="1173" t="s">
        <v>646</v>
      </c>
      <c r="C23" s="1174">
        <v>5800</v>
      </c>
      <c r="D23" s="1175" t="s">
        <v>647</v>
      </c>
      <c r="E23" s="1176">
        <v>5800</v>
      </c>
      <c r="H23" s="150" t="s">
        <v>335</v>
      </c>
      <c r="I23" s="352">
        <v>5000</v>
      </c>
    </row>
    <row r="24" spans="1:9" x14ac:dyDescent="0.15">
      <c r="A24" s="1172" t="s">
        <v>396</v>
      </c>
      <c r="B24" s="1173" t="s">
        <v>646</v>
      </c>
      <c r="C24" s="1174">
        <v>3200</v>
      </c>
      <c r="D24" s="1175" t="s">
        <v>647</v>
      </c>
      <c r="E24" s="1176">
        <v>2700</v>
      </c>
    </row>
    <row r="25" spans="1:9" x14ac:dyDescent="0.15">
      <c r="A25" s="1172" t="s">
        <v>397</v>
      </c>
      <c r="B25" s="1173" t="s">
        <v>647</v>
      </c>
      <c r="C25" s="1174">
        <v>7500</v>
      </c>
      <c r="D25" s="1175" t="s">
        <v>934</v>
      </c>
      <c r="E25" s="1176">
        <v>5900</v>
      </c>
      <c r="H25" s="1507" t="s">
        <v>1109</v>
      </c>
    </row>
    <row r="26" spans="1:9" x14ac:dyDescent="0.15">
      <c r="A26" s="1172" t="s">
        <v>398</v>
      </c>
      <c r="B26" s="1173" t="s">
        <v>647</v>
      </c>
      <c r="C26" s="1174">
        <v>4200</v>
      </c>
      <c r="D26" s="1175" t="s">
        <v>934</v>
      </c>
      <c r="E26" s="1176">
        <v>3700</v>
      </c>
    </row>
    <row r="27" spans="1:9" x14ac:dyDescent="0.15">
      <c r="A27" s="1172" t="s">
        <v>399</v>
      </c>
      <c r="B27" s="1173" t="s">
        <v>934</v>
      </c>
      <c r="C27" s="1174">
        <v>6700</v>
      </c>
      <c r="D27" s="1175" t="s">
        <v>935</v>
      </c>
      <c r="E27" s="1176">
        <v>5100</v>
      </c>
    </row>
    <row r="28" spans="1:9" x14ac:dyDescent="0.15">
      <c r="A28" s="1172" t="s">
        <v>400</v>
      </c>
      <c r="B28" s="1173" t="s">
        <v>934</v>
      </c>
      <c r="C28" s="1174">
        <v>4500</v>
      </c>
      <c r="D28" s="1175" t="s">
        <v>935</v>
      </c>
      <c r="E28" s="1176">
        <v>3200</v>
      </c>
    </row>
    <row r="29" spans="1:9" x14ac:dyDescent="0.15">
      <c r="A29" s="1172" t="s">
        <v>401</v>
      </c>
      <c r="B29" s="1173" t="s">
        <v>936</v>
      </c>
      <c r="C29" s="1174">
        <v>5400</v>
      </c>
      <c r="D29" s="1175"/>
      <c r="E29" s="1176"/>
    </row>
    <row r="30" spans="1:9" x14ac:dyDescent="0.15">
      <c r="A30" s="1172" t="s">
        <v>402</v>
      </c>
      <c r="B30" s="1173" t="s">
        <v>936</v>
      </c>
      <c r="C30" s="1174">
        <v>3400</v>
      </c>
      <c r="D30" s="1175"/>
      <c r="E30" s="1176"/>
    </row>
    <row r="31" spans="1:9" x14ac:dyDescent="0.15">
      <c r="A31" s="1172" t="s">
        <v>1247</v>
      </c>
      <c r="B31" s="1704" t="s">
        <v>1250</v>
      </c>
      <c r="C31" s="1174">
        <v>5400</v>
      </c>
      <c r="D31" s="1175"/>
      <c r="E31" s="1176"/>
    </row>
    <row r="32" spans="1:9" x14ac:dyDescent="0.15">
      <c r="A32" s="1172" t="s">
        <v>1248</v>
      </c>
      <c r="B32" s="1704" t="s">
        <v>1251</v>
      </c>
      <c r="C32" s="1174">
        <v>3400</v>
      </c>
      <c r="D32" s="1175"/>
      <c r="E32" s="1176"/>
    </row>
    <row r="33" spans="1:4" x14ac:dyDescent="0.15">
      <c r="A33" s="1172" t="s">
        <v>1252</v>
      </c>
      <c r="B33" s="1704"/>
      <c r="C33" s="1174">
        <v>3400</v>
      </c>
      <c r="D33" s="1175"/>
    </row>
  </sheetData>
  <mergeCells count="3">
    <mergeCell ref="A17:E17"/>
    <mergeCell ref="B18:C18"/>
    <mergeCell ref="D18:E18"/>
  </mergeCell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3:N44"/>
  <sheetViews>
    <sheetView showGridLines="0" topLeftCell="A12" workbookViewId="0">
      <selection activeCell="D45" sqref="D45"/>
    </sheetView>
  </sheetViews>
  <sheetFormatPr baseColWidth="10" defaultColWidth="0" defaultRowHeight="13" x14ac:dyDescent="0.15"/>
  <cols>
    <col min="1" max="1" width="5.1640625" customWidth="1"/>
    <col min="2" max="2" width="11.33203125" customWidth="1"/>
    <col min="3" max="3" width="33.5" customWidth="1"/>
    <col min="4" max="4" width="36.6640625" bestFit="1" customWidth="1"/>
    <col min="5" max="5" width="7.33203125" bestFit="1" customWidth="1"/>
    <col min="6" max="13" width="11.33203125" bestFit="1" customWidth="1"/>
    <col min="14" max="14" width="9.1640625" customWidth="1"/>
    <col min="15" max="16384" width="9.1640625" hidden="1"/>
  </cols>
  <sheetData>
    <row r="3" spans="2:13" ht="29.25" customHeight="1" x14ac:dyDescent="0.15">
      <c r="C3" s="2324" t="s">
        <v>755</v>
      </c>
      <c r="D3" s="2323" t="s">
        <v>754</v>
      </c>
      <c r="E3" s="2323"/>
      <c r="F3" s="902" t="s">
        <v>327</v>
      </c>
      <c r="G3" s="902" t="s">
        <v>327</v>
      </c>
      <c r="H3" s="902" t="s">
        <v>52</v>
      </c>
      <c r="I3" s="902" t="s">
        <v>52</v>
      </c>
      <c r="J3" s="902" t="s">
        <v>378</v>
      </c>
      <c r="K3" s="902" t="s">
        <v>378</v>
      </c>
      <c r="L3" s="902" t="s">
        <v>379</v>
      </c>
      <c r="M3" s="902" t="s">
        <v>379</v>
      </c>
    </row>
    <row r="4" spans="2:13" ht="20.25" customHeight="1" x14ac:dyDescent="0.15">
      <c r="C4" s="2324"/>
      <c r="D4" s="902" t="s">
        <v>756</v>
      </c>
      <c r="E4" s="902" t="s">
        <v>757</v>
      </c>
      <c r="F4" s="902" t="s">
        <v>756</v>
      </c>
      <c r="G4" s="902" t="s">
        <v>757</v>
      </c>
      <c r="H4" s="902" t="s">
        <v>756</v>
      </c>
      <c r="I4" s="902" t="s">
        <v>757</v>
      </c>
      <c r="J4" s="902" t="s">
        <v>756</v>
      </c>
      <c r="K4" s="902" t="s">
        <v>757</v>
      </c>
      <c r="L4" s="902" t="s">
        <v>756</v>
      </c>
      <c r="M4" s="902" t="s">
        <v>757</v>
      </c>
    </row>
    <row r="5" spans="2:13" x14ac:dyDescent="0.15">
      <c r="C5" s="901" t="s">
        <v>758</v>
      </c>
      <c r="D5" s="901">
        <v>4</v>
      </c>
      <c r="E5" s="901">
        <v>2</v>
      </c>
      <c r="F5" s="903">
        <v>407858</v>
      </c>
      <c r="G5" s="903">
        <v>319197</v>
      </c>
      <c r="H5" s="903">
        <v>407858</v>
      </c>
      <c r="I5" s="903">
        <v>319197</v>
      </c>
      <c r="J5" s="903">
        <v>407858</v>
      </c>
      <c r="K5" s="903">
        <v>319197</v>
      </c>
      <c r="L5" s="903">
        <v>407858</v>
      </c>
      <c r="M5" s="903">
        <v>319197</v>
      </c>
    </row>
    <row r="6" spans="2:13" x14ac:dyDescent="0.15">
      <c r="C6" s="901" t="s">
        <v>759</v>
      </c>
      <c r="D6" s="901">
        <v>4</v>
      </c>
      <c r="E6" s="901">
        <v>2</v>
      </c>
      <c r="F6" s="903">
        <v>407858</v>
      </c>
      <c r="G6" s="903">
        <v>319197</v>
      </c>
      <c r="H6" s="903">
        <v>407858</v>
      </c>
      <c r="I6" s="903">
        <v>319197</v>
      </c>
      <c r="J6" s="903">
        <v>407858</v>
      </c>
      <c r="K6" s="903">
        <v>319197</v>
      </c>
      <c r="L6" s="903">
        <v>407858</v>
      </c>
      <c r="M6" s="903">
        <v>319197</v>
      </c>
    </row>
    <row r="7" spans="2:13" ht="14" thickBot="1" x14ac:dyDescent="0.2">
      <c r="C7" s="905" t="s">
        <v>760</v>
      </c>
      <c r="D7" s="905">
        <v>4</v>
      </c>
      <c r="E7" s="905">
        <v>2</v>
      </c>
      <c r="F7" s="906">
        <v>407858</v>
      </c>
      <c r="G7" s="906">
        <v>342522</v>
      </c>
      <c r="H7" s="906">
        <v>407858</v>
      </c>
      <c r="I7" s="906">
        <v>342522</v>
      </c>
      <c r="J7" s="906">
        <v>407858</v>
      </c>
      <c r="K7" s="906">
        <v>342522</v>
      </c>
      <c r="L7" s="906">
        <v>407858</v>
      </c>
      <c r="M7" s="906">
        <v>342522</v>
      </c>
    </row>
    <row r="8" spans="2:13" x14ac:dyDescent="0.15">
      <c r="B8" s="909" t="s">
        <v>54</v>
      </c>
      <c r="C8" s="910" t="s">
        <v>761</v>
      </c>
      <c r="D8" s="910">
        <v>3</v>
      </c>
      <c r="E8" s="910">
        <v>3</v>
      </c>
      <c r="F8" s="911">
        <v>452500</v>
      </c>
      <c r="G8" s="911">
        <v>391630</v>
      </c>
      <c r="H8" s="911">
        <v>452500</v>
      </c>
      <c r="I8" s="911">
        <v>391630</v>
      </c>
      <c r="J8" s="911">
        <v>452500</v>
      </c>
      <c r="K8" s="911">
        <v>391630</v>
      </c>
      <c r="L8" s="911">
        <v>452500</v>
      </c>
      <c r="M8" s="912">
        <v>391630</v>
      </c>
    </row>
    <row r="9" spans="2:13" ht="14" thickBot="1" x14ac:dyDescent="0.2">
      <c r="B9" s="863" t="s">
        <v>59</v>
      </c>
      <c r="C9" s="913" t="s">
        <v>762</v>
      </c>
      <c r="D9" s="913">
        <v>3</v>
      </c>
      <c r="E9" s="913">
        <v>3</v>
      </c>
      <c r="F9" s="914">
        <v>592679</v>
      </c>
      <c r="G9" s="914">
        <v>441946</v>
      </c>
      <c r="H9" s="914">
        <v>592679</v>
      </c>
      <c r="I9" s="914">
        <v>441946</v>
      </c>
      <c r="J9" s="914">
        <v>592679</v>
      </c>
      <c r="K9" s="914">
        <v>441946</v>
      </c>
      <c r="L9" s="914">
        <v>592679</v>
      </c>
      <c r="M9" s="915">
        <v>441946</v>
      </c>
    </row>
    <row r="10" spans="2:13" x14ac:dyDescent="0.15">
      <c r="C10" s="907" t="s">
        <v>763</v>
      </c>
      <c r="D10" s="907">
        <v>5</v>
      </c>
      <c r="E10" s="907">
        <v>2</v>
      </c>
      <c r="F10" s="908">
        <v>592679</v>
      </c>
      <c r="G10" s="908">
        <v>441946</v>
      </c>
      <c r="H10" s="908">
        <v>592679</v>
      </c>
      <c r="I10" s="908">
        <v>441946</v>
      </c>
      <c r="J10" s="908">
        <v>592679</v>
      </c>
      <c r="K10" s="908">
        <v>441946</v>
      </c>
      <c r="L10" s="908">
        <v>592679</v>
      </c>
      <c r="M10" s="908">
        <v>441946</v>
      </c>
    </row>
    <row r="11" spans="2:13" x14ac:dyDescent="0.15">
      <c r="C11" s="901" t="s">
        <v>764</v>
      </c>
      <c r="D11" s="901">
        <v>5</v>
      </c>
      <c r="E11" s="901">
        <v>2</v>
      </c>
      <c r="F11" s="903">
        <v>592679</v>
      </c>
      <c r="G11" s="903">
        <v>441946</v>
      </c>
      <c r="H11" s="903">
        <v>592679</v>
      </c>
      <c r="I11" s="903">
        <v>441946</v>
      </c>
      <c r="J11" s="903">
        <v>592679</v>
      </c>
      <c r="K11" s="903">
        <v>441946</v>
      </c>
      <c r="L11" s="903">
        <v>592679</v>
      </c>
      <c r="M11" s="903">
        <v>441946</v>
      </c>
    </row>
    <row r="12" spans="2:13" x14ac:dyDescent="0.15">
      <c r="C12" s="901" t="s">
        <v>765</v>
      </c>
      <c r="D12" s="901"/>
      <c r="E12" s="901"/>
      <c r="F12" s="903">
        <v>141178</v>
      </c>
      <c r="G12" s="903">
        <v>224000</v>
      </c>
      <c r="H12" s="903">
        <v>188236</v>
      </c>
      <c r="I12" s="903">
        <v>330500</v>
      </c>
      <c r="J12" s="903">
        <v>705884</v>
      </c>
      <c r="K12" s="903">
        <v>535800</v>
      </c>
      <c r="L12" s="903">
        <v>282354</v>
      </c>
      <c r="M12" s="903">
        <v>442400</v>
      </c>
    </row>
    <row r="13" spans="2:13" x14ac:dyDescent="0.15">
      <c r="C13" s="901" t="s">
        <v>766</v>
      </c>
      <c r="D13" s="901"/>
      <c r="E13" s="901"/>
      <c r="F13" s="903">
        <v>89365</v>
      </c>
      <c r="G13" s="903">
        <v>71430</v>
      </c>
      <c r="H13" s="903">
        <v>117600</v>
      </c>
      <c r="I13" s="903">
        <v>80357</v>
      </c>
      <c r="J13" s="903">
        <v>159012</v>
      </c>
      <c r="K13" s="903">
        <v>98214</v>
      </c>
      <c r="L13" s="903">
        <v>108189</v>
      </c>
      <c r="M13" s="903">
        <v>80357</v>
      </c>
    </row>
    <row r="14" spans="2:13" x14ac:dyDescent="0.15">
      <c r="C14" s="901" t="s">
        <v>767</v>
      </c>
      <c r="D14" s="901"/>
      <c r="E14" s="901"/>
      <c r="F14" s="903">
        <v>3500</v>
      </c>
      <c r="G14" s="903">
        <v>5130</v>
      </c>
      <c r="H14" s="903">
        <v>3500</v>
      </c>
      <c r="I14" s="903">
        <v>5130</v>
      </c>
      <c r="J14" s="903">
        <v>6000</v>
      </c>
      <c r="K14" s="903">
        <v>5400</v>
      </c>
      <c r="L14" s="903">
        <v>3500</v>
      </c>
      <c r="M14" s="903">
        <v>3500</v>
      </c>
    </row>
    <row r="15" spans="2:13" x14ac:dyDescent="0.15">
      <c r="C15" s="904" t="s">
        <v>810</v>
      </c>
      <c r="D15" s="856" t="s">
        <v>811</v>
      </c>
      <c r="E15" s="901"/>
      <c r="F15" s="903">
        <v>80000</v>
      </c>
      <c r="G15" s="903"/>
      <c r="H15" s="903">
        <v>80000</v>
      </c>
      <c r="I15" s="903"/>
      <c r="J15" s="903">
        <v>80000</v>
      </c>
      <c r="K15" s="903"/>
      <c r="L15" s="903">
        <v>80000</v>
      </c>
      <c r="M15" s="903"/>
    </row>
    <row r="16" spans="2:13" x14ac:dyDescent="0.15">
      <c r="C16" s="904" t="s">
        <v>877</v>
      </c>
      <c r="D16" s="901"/>
      <c r="E16" s="901"/>
      <c r="F16" s="901"/>
      <c r="G16" s="903">
        <v>31250</v>
      </c>
      <c r="H16" s="901"/>
      <c r="I16" s="903">
        <v>31250</v>
      </c>
      <c r="J16" s="901"/>
      <c r="K16" s="903">
        <v>31250</v>
      </c>
      <c r="L16" s="901"/>
      <c r="M16" s="903">
        <v>31250</v>
      </c>
    </row>
    <row r="17" spans="3:13" x14ac:dyDescent="0.15">
      <c r="C17" s="904" t="s">
        <v>878</v>
      </c>
      <c r="D17" s="901"/>
      <c r="E17" s="901"/>
      <c r="F17" s="901"/>
      <c r="G17" s="903">
        <v>31250</v>
      </c>
      <c r="H17" s="901"/>
      <c r="I17" s="903">
        <v>31250</v>
      </c>
      <c r="J17" s="901"/>
      <c r="K17" s="903">
        <v>31250</v>
      </c>
      <c r="L17" s="901"/>
      <c r="M17" s="903">
        <v>31250</v>
      </c>
    </row>
    <row r="18" spans="3:13" x14ac:dyDescent="0.15">
      <c r="C18" s="856" t="s">
        <v>879</v>
      </c>
      <c r="D18" s="901"/>
      <c r="E18" s="901"/>
      <c r="F18" s="901"/>
      <c r="G18" s="903">
        <v>10000</v>
      </c>
      <c r="H18" s="901"/>
      <c r="I18" s="903">
        <v>10000</v>
      </c>
      <c r="J18" s="901"/>
      <c r="K18" s="903">
        <v>10000</v>
      </c>
      <c r="L18" s="901"/>
      <c r="M18" s="903">
        <v>10000</v>
      </c>
    </row>
    <row r="21" spans="3:13" x14ac:dyDescent="0.15">
      <c r="E21" s="132" t="s">
        <v>756</v>
      </c>
      <c r="F21" s="132" t="s">
        <v>757</v>
      </c>
    </row>
    <row r="22" spans="3:13" x14ac:dyDescent="0.15">
      <c r="C22" s="352" t="s">
        <v>831</v>
      </c>
      <c r="D22" s="352" t="s">
        <v>831</v>
      </c>
      <c r="E22">
        <v>114083</v>
      </c>
      <c r="F22">
        <v>114083</v>
      </c>
    </row>
    <row r="23" spans="3:13" x14ac:dyDescent="0.15">
      <c r="C23" s="352" t="s">
        <v>832</v>
      </c>
      <c r="D23" s="352" t="s">
        <v>832</v>
      </c>
      <c r="E23">
        <v>114087</v>
      </c>
      <c r="F23">
        <v>114087</v>
      </c>
    </row>
    <row r="24" spans="3:13" x14ac:dyDescent="0.15">
      <c r="C24" s="352" t="s">
        <v>833</v>
      </c>
      <c r="D24" s="352" t="s">
        <v>833</v>
      </c>
      <c r="E24">
        <v>114088</v>
      </c>
      <c r="F24">
        <v>114088</v>
      </c>
    </row>
    <row r="25" spans="3:13" x14ac:dyDescent="0.15">
      <c r="C25" s="352" t="s">
        <v>834</v>
      </c>
      <c r="D25" s="352" t="s">
        <v>834</v>
      </c>
      <c r="E25">
        <v>114089</v>
      </c>
      <c r="F25">
        <v>114089</v>
      </c>
    </row>
    <row r="26" spans="3:13" x14ac:dyDescent="0.15">
      <c r="C26" s="352" t="s">
        <v>835</v>
      </c>
      <c r="D26" s="352" t="s">
        <v>835</v>
      </c>
      <c r="E26">
        <v>114090</v>
      </c>
      <c r="F26">
        <v>114090</v>
      </c>
    </row>
    <row r="27" spans="3:13" x14ac:dyDescent="0.15">
      <c r="C27" s="352" t="s">
        <v>836</v>
      </c>
      <c r="D27" s="352" t="s">
        <v>836</v>
      </c>
      <c r="E27">
        <v>114091</v>
      </c>
      <c r="F27">
        <v>114091</v>
      </c>
    </row>
    <row r="28" spans="3:13" x14ac:dyDescent="0.15">
      <c r="C28" s="352" t="s">
        <v>837</v>
      </c>
      <c r="D28" s="352" t="s">
        <v>837</v>
      </c>
      <c r="E28">
        <v>114092</v>
      </c>
      <c r="F28">
        <v>114092</v>
      </c>
    </row>
    <row r="29" spans="3:13" x14ac:dyDescent="0.15">
      <c r="C29" s="150" t="s">
        <v>838</v>
      </c>
      <c r="D29" s="150" t="s">
        <v>851</v>
      </c>
      <c r="E29">
        <v>114093</v>
      </c>
      <c r="F29">
        <v>114093</v>
      </c>
    </row>
    <row r="30" spans="3:13" x14ac:dyDescent="0.15">
      <c r="C30" s="352" t="s">
        <v>839</v>
      </c>
      <c r="D30" s="150" t="s">
        <v>852</v>
      </c>
      <c r="E30">
        <v>114094</v>
      </c>
      <c r="F30">
        <v>114094</v>
      </c>
    </row>
    <row r="31" spans="3:13" x14ac:dyDescent="0.15">
      <c r="C31" s="352" t="s">
        <v>840</v>
      </c>
      <c r="D31" s="150" t="s">
        <v>857</v>
      </c>
      <c r="E31">
        <v>114095</v>
      </c>
      <c r="F31">
        <v>114095</v>
      </c>
    </row>
    <row r="32" spans="3:13" x14ac:dyDescent="0.15">
      <c r="C32" s="352" t="s">
        <v>841</v>
      </c>
      <c r="D32" s="150" t="s">
        <v>853</v>
      </c>
      <c r="E32">
        <v>114096</v>
      </c>
      <c r="F32">
        <v>114096</v>
      </c>
    </row>
    <row r="33" spans="3:6" x14ac:dyDescent="0.15">
      <c r="C33" s="352" t="s">
        <v>842</v>
      </c>
      <c r="D33" s="150" t="s">
        <v>854</v>
      </c>
      <c r="E33">
        <v>114097</v>
      </c>
      <c r="F33">
        <v>114097</v>
      </c>
    </row>
    <row r="34" spans="3:6" x14ac:dyDescent="0.15">
      <c r="C34" s="352" t="s">
        <v>843</v>
      </c>
      <c r="D34" s="150" t="s">
        <v>855</v>
      </c>
      <c r="E34">
        <v>114098</v>
      </c>
      <c r="F34">
        <v>114098</v>
      </c>
    </row>
    <row r="35" spans="3:6" x14ac:dyDescent="0.15">
      <c r="C35" s="352" t="s">
        <v>844</v>
      </c>
      <c r="D35" s="150" t="s">
        <v>856</v>
      </c>
      <c r="E35">
        <v>114099</v>
      </c>
      <c r="F35">
        <v>114099</v>
      </c>
    </row>
    <row r="36" spans="3:6" x14ac:dyDescent="0.15">
      <c r="C36" s="352" t="s">
        <v>845</v>
      </c>
      <c r="D36" s="150" t="s">
        <v>858</v>
      </c>
      <c r="E36">
        <v>114100</v>
      </c>
      <c r="F36">
        <v>114100</v>
      </c>
    </row>
    <row r="37" spans="3:6" x14ac:dyDescent="0.15">
      <c r="C37" s="352" t="s">
        <v>846</v>
      </c>
      <c r="D37" s="150" t="s">
        <v>859</v>
      </c>
      <c r="E37">
        <v>114101</v>
      </c>
      <c r="F37">
        <v>114101</v>
      </c>
    </row>
    <row r="38" spans="3:6" x14ac:dyDescent="0.15">
      <c r="C38" s="352" t="s">
        <v>847</v>
      </c>
      <c r="D38" s="150" t="s">
        <v>860</v>
      </c>
      <c r="E38">
        <v>114102</v>
      </c>
      <c r="F38">
        <v>114102</v>
      </c>
    </row>
    <row r="39" spans="3:6" x14ac:dyDescent="0.15">
      <c r="C39" s="352" t="s">
        <v>848</v>
      </c>
      <c r="D39" s="150" t="s">
        <v>861</v>
      </c>
      <c r="E39">
        <v>114103</v>
      </c>
      <c r="F39">
        <v>114103</v>
      </c>
    </row>
    <row r="40" spans="3:6" x14ac:dyDescent="0.15">
      <c r="C40" s="352" t="s">
        <v>849</v>
      </c>
      <c r="D40" s="150" t="s">
        <v>862</v>
      </c>
      <c r="E40">
        <v>114104</v>
      </c>
      <c r="F40">
        <v>114104</v>
      </c>
    </row>
    <row r="41" spans="3:6" x14ac:dyDescent="0.15">
      <c r="C41" s="352" t="s">
        <v>850</v>
      </c>
      <c r="D41" s="352" t="s">
        <v>850</v>
      </c>
      <c r="E41">
        <v>114105</v>
      </c>
    </row>
    <row r="42" spans="3:6" x14ac:dyDescent="0.15">
      <c r="D42" t="s">
        <v>872</v>
      </c>
      <c r="F42">
        <v>114416</v>
      </c>
    </row>
    <row r="43" spans="3:6" x14ac:dyDescent="0.15">
      <c r="D43" t="s">
        <v>873</v>
      </c>
      <c r="F43">
        <v>114415</v>
      </c>
    </row>
    <row r="44" spans="3:6" x14ac:dyDescent="0.15">
      <c r="D44" t="s">
        <v>874</v>
      </c>
      <c r="F44">
        <v>114105</v>
      </c>
    </row>
  </sheetData>
  <mergeCells count="2">
    <mergeCell ref="D3:E3"/>
    <mergeCell ref="C3:C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W58"/>
  <sheetViews>
    <sheetView showGridLines="0" workbookViewId="0">
      <selection activeCell="F4" sqref="F4"/>
    </sheetView>
  </sheetViews>
  <sheetFormatPr baseColWidth="10" defaultColWidth="9.1640625" defaultRowHeight="13" zeroHeight="1" x14ac:dyDescent="0.15"/>
  <cols>
    <col min="1" max="1" width="14.5" style="352" bestFit="1" customWidth="1"/>
    <col min="2" max="2" width="15.5" style="352" customWidth="1"/>
    <col min="3" max="3" width="16.5" style="352" bestFit="1" customWidth="1"/>
    <col min="4" max="4" width="16.5" style="352" customWidth="1"/>
    <col min="5" max="5" width="13.33203125" style="666" bestFit="1" customWidth="1"/>
    <col min="6" max="9" width="13.33203125" style="2100" customWidth="1"/>
    <col min="10" max="10" width="15.5" style="352" bestFit="1" customWidth="1"/>
    <col min="11" max="11" width="7.6640625" style="352" bestFit="1" customWidth="1"/>
    <col min="12" max="12" width="12.83203125" style="352" bestFit="1" customWidth="1"/>
    <col min="13" max="17" width="13.33203125" style="352" bestFit="1" customWidth="1"/>
    <col min="18" max="18" width="12.83203125" style="352" bestFit="1" customWidth="1"/>
    <col min="19" max="23" width="13.33203125" style="352" bestFit="1" customWidth="1"/>
    <col min="24" max="16384" width="9.1640625" style="352"/>
  </cols>
  <sheetData>
    <row r="1" spans="1:23" ht="14" thickBot="1" x14ac:dyDescent="0.2">
      <c r="A1" s="353" t="s">
        <v>126</v>
      </c>
    </row>
    <row r="2" spans="1:23" ht="15" customHeight="1" x14ac:dyDescent="0.15">
      <c r="A2" s="871"/>
      <c r="B2" s="872"/>
      <c r="C2" s="872"/>
      <c r="D2" s="2127"/>
      <c r="E2" s="2325" t="s">
        <v>653</v>
      </c>
      <c r="F2" s="2326"/>
      <c r="G2" s="2327"/>
      <c r="H2" s="2328" t="s">
        <v>654</v>
      </c>
      <c r="I2" s="2326"/>
      <c r="J2" s="2329"/>
      <c r="L2" s="869" t="s">
        <v>653</v>
      </c>
      <c r="M2" s="869"/>
      <c r="N2" s="869"/>
      <c r="O2" s="869"/>
      <c r="P2" s="869"/>
      <c r="Q2" s="869"/>
      <c r="R2" s="874" t="s">
        <v>654</v>
      </c>
      <c r="S2" s="869"/>
      <c r="T2" s="869"/>
      <c r="U2" s="869"/>
      <c r="V2" s="869"/>
      <c r="W2" s="869"/>
    </row>
    <row r="3" spans="1:23" ht="15" x14ac:dyDescent="0.2">
      <c r="A3" s="873" t="s">
        <v>648</v>
      </c>
      <c r="B3" s="868" t="s">
        <v>59</v>
      </c>
      <c r="C3" s="868" t="s">
        <v>649</v>
      </c>
      <c r="D3" s="2128" t="s">
        <v>418</v>
      </c>
      <c r="E3" s="2129" t="s">
        <v>2651</v>
      </c>
      <c r="F3" s="2130" t="s">
        <v>2652</v>
      </c>
      <c r="G3" s="2131" t="s">
        <v>653</v>
      </c>
      <c r="H3" s="2132" t="s">
        <v>2651</v>
      </c>
      <c r="I3" s="2130" t="s">
        <v>2652</v>
      </c>
      <c r="J3" s="2126" t="s">
        <v>654</v>
      </c>
      <c r="L3" s="2062" t="s">
        <v>536</v>
      </c>
      <c r="M3" s="315" t="s">
        <v>2100</v>
      </c>
      <c r="N3" s="315" t="s">
        <v>327</v>
      </c>
      <c r="O3" s="315" t="s">
        <v>52</v>
      </c>
      <c r="P3" s="315" t="s">
        <v>379</v>
      </c>
      <c r="Q3" s="315" t="s">
        <v>378</v>
      </c>
      <c r="R3" s="2062" t="s">
        <v>536</v>
      </c>
      <c r="S3" s="315" t="s">
        <v>2100</v>
      </c>
      <c r="T3" s="315" t="s">
        <v>327</v>
      </c>
      <c r="U3" s="315" t="s">
        <v>52</v>
      </c>
      <c r="V3" s="315" t="s">
        <v>379</v>
      </c>
      <c r="W3" s="315" t="s">
        <v>378</v>
      </c>
    </row>
    <row r="4" spans="1:23" ht="15" x14ac:dyDescent="0.2">
      <c r="A4" s="875"/>
      <c r="B4" s="870" t="s">
        <v>76</v>
      </c>
      <c r="C4" s="855" t="s">
        <v>2637</v>
      </c>
      <c r="D4" s="855" t="s">
        <v>2613</v>
      </c>
      <c r="E4" s="2134">
        <v>10723</v>
      </c>
      <c r="F4" s="2135">
        <f>INDEX('Inventory Report_5.4.2017'!$H$5:$W$603,MATCH($E4,'Inventory Report_5.4.2017'!$B$5:$B$603,0),MATCH($F$3,'Inventory Report_5.4.2017'!$H$2:$W$2,0))</f>
        <v>2</v>
      </c>
      <c r="G4" s="2136">
        <f>IF(INDEX('Inventory Report_5.4.2017'!$H$5:$V$603,MATCH($E4,'Inventory Report_5.4.2017'!$B$5:$B$603,0),MATCH(INPUT!$H$8,'Inventory Report_5.4.2017'!$H$2:$V$2,0))=0,L4,INDEX('Inventory Report_5.4.2017'!$H$5:$V$603,MATCH($E4,'Inventory Report_5.4.2017'!$B$5:$B$603,0),MATCH(INPUT!$H$8,'Inventory Report_5.4.2017'!$H$2:$V$2,0)))</f>
        <v>1120775.2050000001</v>
      </c>
      <c r="H4" s="2138">
        <v>10723</v>
      </c>
      <c r="I4" s="2139">
        <f>INDEX('Inventory Report_5.4.2017'!$H$5:$W$603,MATCH($H4,'Inventory Report_5.4.2017'!$B$5:$B$603,0),MATCH($F$3,'Inventory Report_5.4.2017'!$H$2:$W$2,0))</f>
        <v>2</v>
      </c>
      <c r="J4" s="2145">
        <f>IF(INDEX('Inventory Report_5.4.2017'!$H$5:$V$603,MATCH($H4,'Inventory Report_5.4.2017'!$B$5:$B$603,0),MATCH(INPUT!$H$8,'Inventory Report_5.4.2017'!$H$2:$V$2,0))=0,R4,INDEX('Inventory Report_5.4.2017'!$H$5:$V$603,MATCH($H4,'Inventory Report_5.4.2017'!$B$5:$B$603,0),MATCH(INPUT!$H$8,'Inventory Report_5.4.2017'!$H$2:$V$2,0)))</f>
        <v>1120775.2050000001</v>
      </c>
      <c r="L4" s="2077">
        <f t="shared" ref="L4:L9" si="0">IFERROR(AVERAGEIF(M4:Q4,"&lt;&gt;0"),0)</f>
        <v>1120775.2050000001</v>
      </c>
      <c r="M4" s="2059">
        <f>INDEX('Inventory Report_5.4.2017'!$H$5:$V$603,MATCH($E4,'Inventory Report_5.4.2017'!$B$5:$B$603,0),MATCH($M$3,'Inventory Report_5.4.2017'!$H$2:$V$2,0))</f>
        <v>1120775.2050000001</v>
      </c>
      <c r="N4" s="2059">
        <f>INDEX('Inventory Report_5.4.2017'!$H$5:$V$603,MATCH($E4,'Inventory Report_5.4.2017'!$B$5:$B$603,0),MATCH($N$3,'Inventory Report_5.4.2017'!$H$2:$V$2,0))</f>
        <v>0</v>
      </c>
      <c r="O4" s="2059">
        <f>INDEX('Inventory Report_5.4.2017'!$H$5:$V$603,MATCH($E4,'Inventory Report_5.4.2017'!$B$5:$B$603,0),MATCH($O$3,'Inventory Report_5.4.2017'!$H$2:$V$2,0))</f>
        <v>0</v>
      </c>
      <c r="P4" s="2059">
        <f>INDEX('Inventory Report_5.4.2017'!$H$5:$V$603,MATCH($E4,'Inventory Report_5.4.2017'!$B$5:$B$603,0),MATCH($P$3,'Inventory Report_5.4.2017'!$H$2:$V$2,0))</f>
        <v>0</v>
      </c>
      <c r="Q4" s="2059">
        <f>INDEX('Inventory Report_5.4.2017'!$H$5:$V$603,MATCH($E4,'Inventory Report_5.4.2017'!$B$5:$B$603,0),MATCH($Q$3,'Inventory Report_5.4.2017'!$H$2:$V$2,0))</f>
        <v>0</v>
      </c>
      <c r="R4" s="2077">
        <f>IFERROR(AVERAGEIF(S4:W4,"&lt;&gt;0"),0)</f>
        <v>1120775.2050000001</v>
      </c>
      <c r="S4" s="2059">
        <f>INDEX('Inventory Report_5.4.2017'!$H$5:$V$603,MATCH($H4,'Inventory Report_5.4.2017'!$B$5:$B$603,0),MATCH($S$3,'Inventory Report_5.4.2017'!$H$2:$V$2,0))</f>
        <v>1120775.2050000001</v>
      </c>
      <c r="T4" s="2059">
        <f>INDEX('Inventory Report_5.4.2017'!$H$5:$V$603,MATCH($H4,'Inventory Report_5.4.2017'!$B$5:$B$603,0),MATCH($T$3,'Inventory Report_5.4.2017'!$H$2:$V$2,0))</f>
        <v>0</v>
      </c>
      <c r="U4" s="2059">
        <f>INDEX('Inventory Report_5.4.2017'!$H$5:$V$603,MATCH($H4,'Inventory Report_5.4.2017'!$B$5:$B$603,0),MATCH($U$3,'Inventory Report_5.4.2017'!$H$2:$V$2,0))</f>
        <v>0</v>
      </c>
      <c r="V4" s="2059">
        <f>INDEX('Inventory Report_5.4.2017'!$H$5:$V$603,MATCH($H4,'Inventory Report_5.4.2017'!$B$5:$B$603,0),MATCH($V$3,'Inventory Report_5.4.2017'!$H$2:$V$2,0))</f>
        <v>0</v>
      </c>
      <c r="W4" s="2059">
        <f>INDEX('Inventory Report_5.4.2017'!$H$5:$V$603,MATCH($H4,'Inventory Report_5.4.2017'!$B$5:$B$603,0),MATCH($W$3,'Inventory Report_5.4.2017'!$H$2:$V$2,0))</f>
        <v>0</v>
      </c>
    </row>
    <row r="5" spans="1:23" ht="15" x14ac:dyDescent="0.2">
      <c r="A5" s="870" t="s">
        <v>76</v>
      </c>
      <c r="B5" s="870" t="s">
        <v>76</v>
      </c>
      <c r="C5" s="855" t="s">
        <v>2638</v>
      </c>
      <c r="D5" s="855" t="s">
        <v>2615</v>
      </c>
      <c r="E5" s="2134">
        <v>40327</v>
      </c>
      <c r="F5" s="2135">
        <f>INDEX('Inventory Report_5.4.2017'!$H$5:$W$603,MATCH($E5,'Inventory Report_5.4.2017'!$B$5:$B$603,0),MATCH($F$3,'Inventory Report_5.4.2017'!$H$2:$W$2,0))</f>
        <v>9</v>
      </c>
      <c r="G5" s="2136">
        <f>IF(INDEX('Inventory Report_5.4.2017'!$H$5:$V$603,MATCH($E5,'Inventory Report_5.4.2017'!$B$5:$B$603,0),MATCH(INPUT!$H$8,'Inventory Report_5.4.2017'!$H$2:$V$2,0))=0,L5,INDEX('Inventory Report_5.4.2017'!$H$5:$V$603,MATCH($E5,'Inventory Report_5.4.2017'!$B$5:$B$603,0),MATCH(INPUT!$H$8,'Inventory Report_5.4.2017'!$H$2:$V$2,0)))</f>
        <v>1906077.68</v>
      </c>
      <c r="H5" s="2138">
        <v>115060</v>
      </c>
      <c r="I5" s="2139">
        <f>INDEX('Inventory Report_5.4.2017'!$H$5:$W$603,MATCH($H5,'Inventory Report_5.4.2017'!$B$5:$B$603,0),MATCH($F$3,'Inventory Report_5.4.2017'!$H$2:$W$2,0))</f>
        <v>6</v>
      </c>
      <c r="J5" s="2145">
        <f>IF(INDEX('Inventory Report_5.4.2017'!$H$5:$V$603,MATCH($H5,'Inventory Report_5.4.2017'!$B$5:$B$603,0),MATCH(INPUT!$H$8,'Inventory Report_5.4.2017'!$H$2:$V$2,0))=0,R5,INDEX('Inventory Report_5.4.2017'!$H$5:$V$603,MATCH($H5,'Inventory Report_5.4.2017'!$B$5:$B$603,0),MATCH(INPUT!$H$8,'Inventory Report_5.4.2017'!$H$2:$V$2,0)))</f>
        <v>1927533.62</v>
      </c>
      <c r="L5" s="2077">
        <f t="shared" si="0"/>
        <v>1875294.219166667</v>
      </c>
      <c r="M5" s="2059">
        <f>INDEX('Inventory Report_5.4.2017'!$H$5:$V$603,MATCH($E5,'Inventory Report_5.4.2017'!$B$5:$B$603,0),MATCH($M$3,'Inventory Report_5.4.2017'!$H$2:$V$2,0))</f>
        <v>0</v>
      </c>
      <c r="N5" s="2059">
        <f>INDEX('Inventory Report_5.4.2017'!$H$5:$V$603,MATCH($E5,'Inventory Report_5.4.2017'!$B$5:$B$603,0),MATCH($N$3,'Inventory Report_5.4.2017'!$H$2:$V$2,0))</f>
        <v>0</v>
      </c>
      <c r="O5" s="2059">
        <f>INDEX('Inventory Report_5.4.2017'!$H$5:$V$603,MATCH($E5,'Inventory Report_5.4.2017'!$B$5:$B$603,0),MATCH($O$3,'Inventory Report_5.4.2017'!$H$2:$V$2,0))</f>
        <v>1906077.68</v>
      </c>
      <c r="P5" s="2059">
        <f>INDEX('Inventory Report_5.4.2017'!$H$5:$V$603,MATCH($E5,'Inventory Report_5.4.2017'!$B$5:$B$603,0),MATCH($P$3,'Inventory Report_5.4.2017'!$H$2:$V$2,0))</f>
        <v>1892317.8774999999</v>
      </c>
      <c r="Q5" s="2059">
        <f>INDEX('Inventory Report_5.4.2017'!$H$5:$V$603,MATCH($E5,'Inventory Report_5.4.2017'!$B$5:$B$603,0),MATCH($Q$3,'Inventory Report_5.4.2017'!$H$2:$V$2,0))</f>
        <v>1827487.1</v>
      </c>
      <c r="R5" s="2077">
        <f>IFERROR(AVERAGEIF(S5:W5,"&lt;&gt;0"),0)</f>
        <v>1916182.3233333335</v>
      </c>
      <c r="S5" s="2059">
        <f>INDEX('Inventory Report_5.4.2017'!$H$5:$V$603,MATCH($H5,'Inventory Report_5.4.2017'!$B$5:$B$603,0),MATCH($S$3,'Inventory Report_5.4.2017'!$H$2:$V$2,0))</f>
        <v>0</v>
      </c>
      <c r="T5" s="2059">
        <f>INDEX('Inventory Report_5.4.2017'!$H$5:$V$603,MATCH($H5,'Inventory Report_5.4.2017'!$B$5:$B$603,0),MATCH($T$3,'Inventory Report_5.4.2017'!$H$2:$V$2,0))</f>
        <v>1911879.73</v>
      </c>
      <c r="U5" s="2059">
        <f>INDEX('Inventory Report_5.4.2017'!$H$5:$V$603,MATCH($H5,'Inventory Report_5.4.2017'!$B$5:$B$603,0),MATCH($U$3,'Inventory Report_5.4.2017'!$H$2:$V$2,0))</f>
        <v>1927533.62</v>
      </c>
      <c r="V5" s="2059">
        <f>INDEX('Inventory Report_5.4.2017'!$H$5:$V$603,MATCH($H5,'Inventory Report_5.4.2017'!$B$5:$B$603,0),MATCH($V$3,'Inventory Report_5.4.2017'!$H$2:$V$2,0))</f>
        <v>1909133.62</v>
      </c>
      <c r="W5" s="2059">
        <f>INDEX('Inventory Report_5.4.2017'!$H$5:$V$603,MATCH($H5,'Inventory Report_5.4.2017'!$B$5:$B$603,0),MATCH($W$3,'Inventory Report_5.4.2017'!$H$2:$V$2,0))</f>
        <v>0</v>
      </c>
    </row>
    <row r="6" spans="1:23" ht="15" x14ac:dyDescent="0.2">
      <c r="A6" s="875"/>
      <c r="B6" s="870" t="s">
        <v>78</v>
      </c>
      <c r="C6" s="855" t="s">
        <v>2639</v>
      </c>
      <c r="D6" s="855" t="s">
        <v>2615</v>
      </c>
      <c r="E6" s="2134">
        <v>13945</v>
      </c>
      <c r="F6" s="2135">
        <f>INDEX('Inventory Report_5.4.2017'!$H$5:$W$603,MATCH($E6,'Inventory Report_5.4.2017'!$B$5:$B$603,0),MATCH($F$3,'Inventory Report_5.4.2017'!$H$2:$W$2,0))</f>
        <v>4</v>
      </c>
      <c r="G6" s="2136">
        <f>IF(INDEX('Inventory Report_5.4.2017'!$H$5:$V$603,MATCH($E6,'Inventory Report_5.4.2017'!$B$5:$B$603,0),MATCH(INPUT!$H$8,'Inventory Report_5.4.2017'!$H$2:$V$2,0))=0,L6,INDEX('Inventory Report_5.4.2017'!$H$5:$V$603,MATCH($E6,'Inventory Report_5.4.2017'!$B$5:$B$603,0),MATCH(INPUT!$H$8,'Inventory Report_5.4.2017'!$H$2:$V$2,0)))</f>
        <v>1038148.07</v>
      </c>
      <c r="H6" s="2138">
        <v>14049</v>
      </c>
      <c r="I6" s="2139">
        <f>INDEX('Inventory Report_5.4.2017'!$H$5:$W$603,MATCH($H6,'Inventory Report_5.4.2017'!$B$5:$B$603,0),MATCH($F$3,'Inventory Report_5.4.2017'!$H$2:$W$2,0))</f>
        <v>7</v>
      </c>
      <c r="J6" s="2145">
        <f>IF(INDEX('Inventory Report_5.4.2017'!$H$5:$V$603,MATCH($H6,'Inventory Report_5.4.2017'!$B$5:$B$603,0),MATCH(INPUT!$H$8,'Inventory Report_5.4.2017'!$H$2:$V$2,0))=0,R6,INDEX('Inventory Report_5.4.2017'!$H$5:$V$603,MATCH($H6,'Inventory Report_5.4.2017'!$B$5:$B$603,0),MATCH(INPUT!$H$8,'Inventory Report_5.4.2017'!$H$2:$V$2,0)))</f>
        <v>2112234.9133333336</v>
      </c>
      <c r="L6" s="2077">
        <f t="shared" si="0"/>
        <v>1058281.2649999999</v>
      </c>
      <c r="M6" s="2059">
        <f>INDEX('Inventory Report_5.4.2017'!$H$5:$V$603,MATCH($E6,'Inventory Report_5.4.2017'!$B$5:$B$603,0),MATCH($M$3,'Inventory Report_5.4.2017'!$H$2:$V$2,0))</f>
        <v>0</v>
      </c>
      <c r="N6" s="2059">
        <f>INDEX('Inventory Report_5.4.2017'!$H$5:$V$603,MATCH($E6,'Inventory Report_5.4.2017'!$B$5:$B$603,0),MATCH($N$3,'Inventory Report_5.4.2017'!$H$2:$V$2,0))</f>
        <v>0</v>
      </c>
      <c r="O6" s="2059">
        <f>INDEX('Inventory Report_5.4.2017'!$H$5:$V$603,MATCH($E6,'Inventory Report_5.4.2017'!$B$5:$B$603,0),MATCH($O$3,'Inventory Report_5.4.2017'!$H$2:$V$2,0))</f>
        <v>1038148.07</v>
      </c>
      <c r="P6" s="2059">
        <f>INDEX('Inventory Report_5.4.2017'!$H$5:$V$603,MATCH($E6,'Inventory Report_5.4.2017'!$B$5:$B$603,0),MATCH($P$3,'Inventory Report_5.4.2017'!$H$2:$V$2,0))</f>
        <v>1078414.46</v>
      </c>
      <c r="Q6" s="2059">
        <f>INDEX('Inventory Report_5.4.2017'!$H$5:$V$603,MATCH($E6,'Inventory Report_5.4.2017'!$B$5:$B$603,0),MATCH($Q$3,'Inventory Report_5.4.2017'!$H$2:$V$2,0))</f>
        <v>0</v>
      </c>
      <c r="R6" s="2077">
        <f>IFERROR(AVERAGEIF(S6:W6,"&lt;&gt;0"),0)</f>
        <v>2112234.9129166668</v>
      </c>
      <c r="S6" s="2059">
        <f>INDEX('Inventory Report_5.4.2017'!$H$5:$V$603,MATCH($H6,'Inventory Report_5.4.2017'!$B$5:$B$603,0),MATCH($S$3,'Inventory Report_5.4.2017'!$H$2:$V$2,0))</f>
        <v>0</v>
      </c>
      <c r="T6" s="2059">
        <f>INDEX('Inventory Report_5.4.2017'!$H$5:$V$603,MATCH($H6,'Inventory Report_5.4.2017'!$B$5:$B$603,0),MATCH($T$3,'Inventory Report_5.4.2017'!$H$2:$V$2,0))</f>
        <v>0</v>
      </c>
      <c r="U6" s="2059">
        <f>INDEX('Inventory Report_5.4.2017'!$H$5:$V$603,MATCH($H6,'Inventory Report_5.4.2017'!$B$5:$B$603,0),MATCH($U$3,'Inventory Report_5.4.2017'!$H$2:$V$2,0))</f>
        <v>2112234.9133333336</v>
      </c>
      <c r="V6" s="2059">
        <f>INDEX('Inventory Report_5.4.2017'!$H$5:$V$603,MATCH($H6,'Inventory Report_5.4.2017'!$B$5:$B$603,0),MATCH($V$3,'Inventory Report_5.4.2017'!$H$2:$V$2,0))</f>
        <v>2112234.9125000001</v>
      </c>
      <c r="W6" s="2059">
        <f>INDEX('Inventory Report_5.4.2017'!$H$5:$V$603,MATCH($H6,'Inventory Report_5.4.2017'!$B$5:$B$603,0),MATCH($W$3,'Inventory Report_5.4.2017'!$H$2:$V$2,0))</f>
        <v>0</v>
      </c>
    </row>
    <row r="7" spans="1:23" ht="15" x14ac:dyDescent="0.2">
      <c r="A7" s="875" t="s">
        <v>78</v>
      </c>
      <c r="B7" s="870" t="s">
        <v>115</v>
      </c>
      <c r="C7" s="855" t="s">
        <v>2640</v>
      </c>
      <c r="D7" s="855" t="s">
        <v>2617</v>
      </c>
      <c r="E7" s="2134">
        <v>13945</v>
      </c>
      <c r="F7" s="2135">
        <f>INDEX('Inventory Report_5.4.2017'!$H$5:$W$603,MATCH($E7,'Inventory Report_5.4.2017'!$B$5:$B$603,0),MATCH($F$3,'Inventory Report_5.4.2017'!$H$2:$W$2,0))</f>
        <v>4</v>
      </c>
      <c r="G7" s="2136">
        <f>IF(INDEX('Inventory Report_5.4.2017'!$H$5:$V$603,MATCH($E7,'Inventory Report_5.4.2017'!$B$5:$B$603,0),MATCH(INPUT!$H$8,'Inventory Report_5.4.2017'!$H$2:$V$2,0))=0,L7,INDEX('Inventory Report_5.4.2017'!$H$5:$V$603,MATCH($E7,'Inventory Report_5.4.2017'!$B$5:$B$603,0),MATCH(INPUT!$H$8,'Inventory Report_5.4.2017'!$H$2:$V$2,0)))</f>
        <v>1038148.07</v>
      </c>
      <c r="H7" s="2138">
        <v>8889</v>
      </c>
      <c r="I7" s="2139">
        <f>INDEX('Inventory Report_5.4.2017'!$H$5:$W$603,MATCH($H7,'Inventory Report_5.4.2017'!$B$5:$B$603,0),MATCH($F$3,'Inventory Report_5.4.2017'!$H$2:$W$2,0))</f>
        <v>19</v>
      </c>
      <c r="J7" s="2145">
        <f>IF(INDEX('Inventory Report_5.4.2017'!$H$5:$V$603,MATCH($H7,'Inventory Report_5.4.2017'!$B$5:$B$603,0),MATCH(INPUT!$H$8,'Inventory Report_5.4.2017'!$H$2:$V$2,0))=0,R7,INDEX('Inventory Report_5.4.2017'!$H$5:$V$603,MATCH($H7,'Inventory Report_5.4.2017'!$B$5:$B$603,0),MATCH(INPUT!$H$8,'Inventory Report_5.4.2017'!$H$2:$V$2,0)))</f>
        <v>1444849.2092307692</v>
      </c>
      <c r="K7" s="671"/>
      <c r="L7" s="2077">
        <f t="shared" si="0"/>
        <v>1058281.2649999999</v>
      </c>
      <c r="M7" s="2059">
        <f>INDEX('Inventory Report_5.4.2017'!$H$5:$V$603,MATCH($E7,'Inventory Report_5.4.2017'!$B$5:$B$603,0),MATCH($M$3,'Inventory Report_5.4.2017'!$H$2:$V$2,0))</f>
        <v>0</v>
      </c>
      <c r="N7" s="2059">
        <f>INDEX('Inventory Report_5.4.2017'!$H$5:$V$603,MATCH($E7,'Inventory Report_5.4.2017'!$B$5:$B$603,0),MATCH($N$3,'Inventory Report_5.4.2017'!$H$2:$V$2,0))</f>
        <v>0</v>
      </c>
      <c r="O7" s="2059">
        <f>INDEX('Inventory Report_5.4.2017'!$H$5:$V$603,MATCH($E7,'Inventory Report_5.4.2017'!$B$5:$B$603,0),MATCH($O$3,'Inventory Report_5.4.2017'!$H$2:$V$2,0))</f>
        <v>1038148.07</v>
      </c>
      <c r="P7" s="2059">
        <f>INDEX('Inventory Report_5.4.2017'!$H$5:$V$603,MATCH($E7,'Inventory Report_5.4.2017'!$B$5:$B$603,0),MATCH($P$3,'Inventory Report_5.4.2017'!$H$2:$V$2,0))</f>
        <v>1078414.46</v>
      </c>
      <c r="Q7" s="2059">
        <f>INDEX('Inventory Report_5.4.2017'!$H$5:$V$603,MATCH($E7,'Inventory Report_5.4.2017'!$B$5:$B$603,0),MATCH($Q$3,'Inventory Report_5.4.2017'!$H$2:$V$2,0))</f>
        <v>0</v>
      </c>
      <c r="R7" s="2077">
        <f t="shared" ref="R7:R31" si="1">IFERROR(AVERAGEIF(S7:W7,"&lt;&gt;0"),0)</f>
        <v>1334750.8096153846</v>
      </c>
      <c r="S7" s="2059">
        <f>INDEX('Inventory Report_5.4.2017'!$H$5:$V$603,MATCH($H7,'Inventory Report_5.4.2017'!$B$5:$B$603,0),MATCH($S$3,'Inventory Report_5.4.2017'!$H$2:$V$2,0))</f>
        <v>0</v>
      </c>
      <c r="T7" s="2059">
        <f>INDEX('Inventory Report_5.4.2017'!$H$5:$V$603,MATCH($H7,'Inventory Report_5.4.2017'!$B$5:$B$603,0),MATCH($T$3,'Inventory Report_5.4.2017'!$H$2:$V$2,0))</f>
        <v>0</v>
      </c>
      <c r="U7" s="2059">
        <f>INDEX('Inventory Report_5.4.2017'!$H$5:$V$603,MATCH($H7,'Inventory Report_5.4.2017'!$B$5:$B$603,0),MATCH($U$3,'Inventory Report_5.4.2017'!$H$2:$V$2,0))</f>
        <v>1444849.2092307692</v>
      </c>
      <c r="V7" s="2059">
        <f>INDEX('Inventory Report_5.4.2017'!$H$5:$V$603,MATCH($H7,'Inventory Report_5.4.2017'!$B$5:$B$603,0),MATCH($V$3,'Inventory Report_5.4.2017'!$H$2:$V$2,0))</f>
        <v>1224652.4099999999</v>
      </c>
      <c r="W7" s="2059">
        <f>INDEX('Inventory Report_5.4.2017'!$H$5:$V$603,MATCH($H7,'Inventory Report_5.4.2017'!$B$5:$B$603,0),MATCH($W$3,'Inventory Report_5.4.2017'!$H$2:$V$2,0))</f>
        <v>0</v>
      </c>
    </row>
    <row r="8" spans="1:23" ht="15" x14ac:dyDescent="0.2">
      <c r="A8" s="875" t="s">
        <v>78</v>
      </c>
      <c r="B8" s="870" t="s">
        <v>115</v>
      </c>
      <c r="C8" s="855" t="s">
        <v>2640</v>
      </c>
      <c r="D8" s="855" t="s">
        <v>2618</v>
      </c>
      <c r="E8" s="2134">
        <v>115424</v>
      </c>
      <c r="F8" s="2135">
        <f>INDEX('Inventory Report_5.4.2017'!$H$5:$W$603,MATCH($E8,'Inventory Report_5.4.2017'!$B$5:$B$603,0),MATCH($F$3,'Inventory Report_5.4.2017'!$H$2:$W$2,0))</f>
        <v>0</v>
      </c>
      <c r="G8" s="2136">
        <f>IF(INDEX('Inventory Report_5.4.2017'!$H$5:$V$603,MATCH($E8,'Inventory Report_5.4.2017'!$B$5:$B$603,0),MATCH(INPUT!$H$8,'Inventory Report_5.4.2017'!$H$2:$V$2,0))=0,L8,INDEX('Inventory Report_5.4.2017'!$H$5:$V$603,MATCH($E8,'Inventory Report_5.4.2017'!$B$5:$B$603,0),MATCH(INPUT!$H$8,'Inventory Report_5.4.2017'!$H$2:$V$2,0)))</f>
        <v>0</v>
      </c>
      <c r="H8" s="2138">
        <v>85216</v>
      </c>
      <c r="I8" s="2139">
        <f>INDEX('Inventory Report_5.4.2017'!$H$5:$W$603,MATCH($H8,'Inventory Report_5.4.2017'!$B$5:$B$603,0),MATCH($F$3,'Inventory Report_5.4.2017'!$H$2:$W$2,0))</f>
        <v>5</v>
      </c>
      <c r="J8" s="2145">
        <f>IF(INDEX('Inventory Report_5.4.2017'!$H$5:$V$603,MATCH($H8,'Inventory Report_5.4.2017'!$B$5:$B$603,0),MATCH(INPUT!$H$8,'Inventory Report_5.4.2017'!$H$2:$V$2,0))=0,R8,INDEX('Inventory Report_5.4.2017'!$H$5:$V$603,MATCH($H8,'Inventory Report_5.4.2017'!$B$5:$B$603,0),MATCH(INPUT!$H$8,'Inventory Report_5.4.2017'!$H$2:$V$2,0)))</f>
        <v>1040181.5225</v>
      </c>
      <c r="K8" s="671"/>
      <c r="L8" s="2077">
        <f t="shared" si="0"/>
        <v>0</v>
      </c>
      <c r="M8" s="2059">
        <f>INDEX('Inventory Report_5.4.2017'!$H$5:$V$603,MATCH($E8,'Inventory Report_5.4.2017'!$B$5:$B$603,0),MATCH($M$3,'Inventory Report_5.4.2017'!$H$2:$V$2,0))</f>
        <v>0</v>
      </c>
      <c r="N8" s="2059">
        <f>INDEX('Inventory Report_5.4.2017'!$H$5:$V$603,MATCH($E8,'Inventory Report_5.4.2017'!$B$5:$B$603,0),MATCH($N$3,'Inventory Report_5.4.2017'!$H$2:$V$2,0))</f>
        <v>0</v>
      </c>
      <c r="O8" s="2059">
        <f>INDEX('Inventory Report_5.4.2017'!$H$5:$V$603,MATCH($E8,'Inventory Report_5.4.2017'!$B$5:$B$603,0),MATCH($O$3,'Inventory Report_5.4.2017'!$H$2:$V$2,0))</f>
        <v>0</v>
      </c>
      <c r="P8" s="2059">
        <f>INDEX('Inventory Report_5.4.2017'!$H$5:$V$603,MATCH($E8,'Inventory Report_5.4.2017'!$B$5:$B$603,0),MATCH($P$3,'Inventory Report_5.4.2017'!$H$2:$V$2,0))</f>
        <v>0</v>
      </c>
      <c r="Q8" s="2059">
        <f>INDEX('Inventory Report_5.4.2017'!$H$5:$V$603,MATCH($E8,'Inventory Report_5.4.2017'!$B$5:$B$603,0),MATCH($Q$3,'Inventory Report_5.4.2017'!$H$2:$V$2,0))</f>
        <v>0</v>
      </c>
      <c r="R8" s="2077">
        <f t="shared" si="1"/>
        <v>1034690.91625</v>
      </c>
      <c r="S8" s="2059">
        <f>INDEX('Inventory Report_5.4.2017'!$H$5:$V$603,MATCH($H8,'Inventory Report_5.4.2017'!$B$5:$B$603,0),MATCH($S$3,'Inventory Report_5.4.2017'!$H$2:$V$2,0))</f>
        <v>0</v>
      </c>
      <c r="T8" s="2059">
        <f>INDEX('Inventory Report_5.4.2017'!$H$5:$V$603,MATCH($H8,'Inventory Report_5.4.2017'!$B$5:$B$603,0),MATCH($T$3,'Inventory Report_5.4.2017'!$H$2:$V$2,0))</f>
        <v>0</v>
      </c>
      <c r="U8" s="2059">
        <f>INDEX('Inventory Report_5.4.2017'!$H$5:$V$603,MATCH($H8,'Inventory Report_5.4.2017'!$B$5:$B$603,0),MATCH($U$3,'Inventory Report_5.4.2017'!$H$2:$V$2,0))</f>
        <v>1040181.5225</v>
      </c>
      <c r="V8" s="2059">
        <f>INDEX('Inventory Report_5.4.2017'!$H$5:$V$603,MATCH($H8,'Inventory Report_5.4.2017'!$B$5:$B$603,0),MATCH($V$3,'Inventory Report_5.4.2017'!$H$2:$V$2,0))</f>
        <v>1029200.31</v>
      </c>
      <c r="W8" s="2059">
        <f>INDEX('Inventory Report_5.4.2017'!$H$5:$V$603,MATCH($H8,'Inventory Report_5.4.2017'!$B$5:$B$603,0),MATCH($W$3,'Inventory Report_5.4.2017'!$H$2:$V$2,0))</f>
        <v>0</v>
      </c>
    </row>
    <row r="9" spans="1:23" ht="15" x14ac:dyDescent="0.2">
      <c r="A9" s="875" t="s">
        <v>115</v>
      </c>
      <c r="B9" s="870" t="s">
        <v>650</v>
      </c>
      <c r="C9" s="855" t="s">
        <v>2641</v>
      </c>
      <c r="D9" s="855" t="s">
        <v>2620</v>
      </c>
      <c r="E9" s="2134">
        <v>13944</v>
      </c>
      <c r="F9" s="2135">
        <f>INDEX('Inventory Report_5.4.2017'!$H$5:$W$603,MATCH($E9,'Inventory Report_5.4.2017'!$B$5:$B$603,0),MATCH($F$3,'Inventory Report_5.4.2017'!$H$2:$W$2,0))</f>
        <v>16</v>
      </c>
      <c r="G9" s="2136">
        <f>IF(INDEX('Inventory Report_5.4.2017'!$H$5:$V$603,MATCH($E9,'Inventory Report_5.4.2017'!$B$5:$B$603,0),MATCH(INPUT!$H$8,'Inventory Report_5.4.2017'!$H$2:$V$2,0))=0,L9,INDEX('Inventory Report_5.4.2017'!$H$5:$V$603,MATCH($E9,'Inventory Report_5.4.2017'!$B$5:$B$603,0),MATCH(INPUT!$H$8,'Inventory Report_5.4.2017'!$H$2:$V$2,0)))</f>
        <v>2160056.4499999997</v>
      </c>
      <c r="H9" s="2138">
        <v>13944</v>
      </c>
      <c r="I9" s="2139">
        <f>INDEX('Inventory Report_5.4.2017'!$H$5:$W$603,MATCH($H9,'Inventory Report_5.4.2017'!$B$5:$B$603,0),MATCH($F$3,'Inventory Report_5.4.2017'!$H$2:$W$2,0))</f>
        <v>16</v>
      </c>
      <c r="J9" s="2145">
        <f>IF(INDEX('Inventory Report_5.4.2017'!$H$5:$V$603,MATCH($H9,'Inventory Report_5.4.2017'!$B$5:$B$603,0),MATCH(INPUT!$H$8,'Inventory Report_5.4.2017'!$H$2:$V$2,0))=0,R9,INDEX('Inventory Report_5.4.2017'!$H$5:$V$603,MATCH($H9,'Inventory Report_5.4.2017'!$B$5:$B$603,0),MATCH(INPUT!$H$8,'Inventory Report_5.4.2017'!$H$2:$V$2,0)))</f>
        <v>2160056.4499999997</v>
      </c>
      <c r="K9" s="671"/>
      <c r="L9" s="2077">
        <f t="shared" si="0"/>
        <v>1788231.3031250001</v>
      </c>
      <c r="M9" s="2059">
        <f>INDEX('Inventory Report_5.4.2017'!$H$5:$V$603,MATCH($E9,'Inventory Report_5.4.2017'!$B$5:$B$603,0),MATCH($M$3,'Inventory Report_5.4.2017'!$H$2:$V$2,0))</f>
        <v>0</v>
      </c>
      <c r="N9" s="2059">
        <f>INDEX('Inventory Report_5.4.2017'!$H$5:$V$603,MATCH($E9,'Inventory Report_5.4.2017'!$B$5:$B$603,0),MATCH($N$3,'Inventory Report_5.4.2017'!$H$2:$V$2,0))</f>
        <v>1987152.2725</v>
      </c>
      <c r="O9" s="2059">
        <f>INDEX('Inventory Report_5.4.2017'!$H$5:$V$603,MATCH($E9,'Inventory Report_5.4.2017'!$B$5:$B$603,0),MATCH($O$3,'Inventory Report_5.4.2017'!$H$2:$V$2,0))</f>
        <v>2160056.4499999997</v>
      </c>
      <c r="P9" s="2059">
        <f>INDEX('Inventory Report_5.4.2017'!$H$5:$V$603,MATCH($E9,'Inventory Report_5.4.2017'!$B$5:$B$603,0),MATCH($P$3,'Inventory Report_5.4.2017'!$H$2:$V$2,0))</f>
        <v>1984033.5899999999</v>
      </c>
      <c r="Q9" s="2059">
        <f>INDEX('Inventory Report_5.4.2017'!$H$5:$V$603,MATCH($E9,'Inventory Report_5.4.2017'!$B$5:$B$603,0),MATCH($Q$3,'Inventory Report_5.4.2017'!$H$2:$V$2,0))</f>
        <v>1021682.9</v>
      </c>
      <c r="R9" s="2077">
        <f t="shared" si="1"/>
        <v>1788231.3031250001</v>
      </c>
      <c r="S9" s="2059">
        <f>INDEX('Inventory Report_5.4.2017'!$H$5:$V$603,MATCH($H9,'Inventory Report_5.4.2017'!$B$5:$B$603,0),MATCH($S$3,'Inventory Report_5.4.2017'!$H$2:$V$2,0))</f>
        <v>0</v>
      </c>
      <c r="T9" s="2059">
        <f>INDEX('Inventory Report_5.4.2017'!$H$5:$V$603,MATCH($H9,'Inventory Report_5.4.2017'!$B$5:$B$603,0),MATCH($T$3,'Inventory Report_5.4.2017'!$H$2:$V$2,0))</f>
        <v>1987152.2725</v>
      </c>
      <c r="U9" s="2059">
        <f>INDEX('Inventory Report_5.4.2017'!$H$5:$V$603,MATCH($H9,'Inventory Report_5.4.2017'!$B$5:$B$603,0),MATCH($U$3,'Inventory Report_5.4.2017'!$H$2:$V$2,0))</f>
        <v>2160056.4499999997</v>
      </c>
      <c r="V9" s="2059">
        <f>INDEX('Inventory Report_5.4.2017'!$H$5:$V$603,MATCH($H9,'Inventory Report_5.4.2017'!$B$5:$B$603,0),MATCH($V$3,'Inventory Report_5.4.2017'!$H$2:$V$2,0))</f>
        <v>1984033.5899999999</v>
      </c>
      <c r="W9" s="2059">
        <f>INDEX('Inventory Report_5.4.2017'!$H$5:$V$603,MATCH($H9,'Inventory Report_5.4.2017'!$B$5:$B$603,0),MATCH($W$3,'Inventory Report_5.4.2017'!$H$2:$V$2,0))</f>
        <v>1021682.9</v>
      </c>
    </row>
    <row r="10" spans="1:23" ht="15" x14ac:dyDescent="0.2">
      <c r="A10" s="875" t="s">
        <v>115</v>
      </c>
      <c r="B10" s="870" t="s">
        <v>650</v>
      </c>
      <c r="C10" s="855" t="s">
        <v>2642</v>
      </c>
      <c r="D10" s="855" t="s">
        <v>2621</v>
      </c>
      <c r="E10" s="2134">
        <v>8887</v>
      </c>
      <c r="F10" s="2135">
        <f>INDEX('Inventory Report_5.4.2017'!$H$5:$W$603,MATCH($E10,'Inventory Report_5.4.2017'!$B$5:$B$603,0),MATCH($F$3,'Inventory Report_5.4.2017'!$H$2:$W$2,0))</f>
        <v>2</v>
      </c>
      <c r="G10" s="2136">
        <f>IF(INDEX('Inventory Report_5.4.2017'!$H$5:$V$603,MATCH($E10,'Inventory Report_5.4.2017'!$B$5:$B$603,0),MATCH(INPUT!$H$8,'Inventory Report_5.4.2017'!$H$2:$V$2,0))=0,L10,INDEX('Inventory Report_5.4.2017'!$H$5:$V$603,MATCH($E10,'Inventory Report_5.4.2017'!$B$5:$B$603,0),MATCH(INPUT!$H$8,'Inventory Report_5.4.2017'!$H$2:$V$2,0)))</f>
        <v>532151.31000000006</v>
      </c>
      <c r="H10" s="2138">
        <v>108568</v>
      </c>
      <c r="I10" s="2139">
        <f>INDEX('Inventory Report_5.4.2017'!$H$5:$W$603,MATCH($H10,'Inventory Report_5.4.2017'!$B$5:$B$603,0),MATCH($F$3,'Inventory Report_5.4.2017'!$H$2:$W$2,0))</f>
        <v>3</v>
      </c>
      <c r="J10" s="2145">
        <f>IF(INDEX('Inventory Report_5.4.2017'!$H$5:$V$603,MATCH($H10,'Inventory Report_5.4.2017'!$B$5:$B$603,0),MATCH(INPUT!$H$8,'Inventory Report_5.4.2017'!$H$2:$V$2,0))=0,R10,INDEX('Inventory Report_5.4.2017'!$H$5:$V$603,MATCH($H10,'Inventory Report_5.4.2017'!$B$5:$B$603,0),MATCH(INPUT!$H$8,'Inventory Report_5.4.2017'!$H$2:$V$2,0)))</f>
        <v>414438.20666666672</v>
      </c>
      <c r="K10" s="671"/>
      <c r="L10" s="2077">
        <f t="shared" ref="L10:L31" si="2">IFERROR(AVERAGEIF(M10:Q10,"&lt;&gt;0"),0)</f>
        <v>532151.31000000006</v>
      </c>
      <c r="M10" s="2059">
        <f>INDEX('Inventory Report_5.4.2017'!$H$5:$V$603,MATCH($E10,'Inventory Report_5.4.2017'!$B$5:$B$603,0),MATCH($M$3,'Inventory Report_5.4.2017'!$H$2:$V$2,0))</f>
        <v>535618.67000000004</v>
      </c>
      <c r="N10" s="2059">
        <f>INDEX('Inventory Report_5.4.2017'!$H$5:$V$603,MATCH($E10,'Inventory Report_5.4.2017'!$B$5:$B$603,0),MATCH($N$3,'Inventory Report_5.4.2017'!$H$2:$V$2,0))</f>
        <v>528683.94999999995</v>
      </c>
      <c r="O10" s="2059">
        <f>INDEX('Inventory Report_5.4.2017'!$H$5:$V$603,MATCH($E10,'Inventory Report_5.4.2017'!$B$5:$B$603,0),MATCH($O$3,'Inventory Report_5.4.2017'!$H$2:$V$2,0))</f>
        <v>0</v>
      </c>
      <c r="P10" s="2059">
        <f>INDEX('Inventory Report_5.4.2017'!$H$5:$V$603,MATCH($E10,'Inventory Report_5.4.2017'!$B$5:$B$603,0),MATCH($P$3,'Inventory Report_5.4.2017'!$H$2:$V$2,0))</f>
        <v>0</v>
      </c>
      <c r="Q10" s="2059">
        <f>INDEX('Inventory Report_5.4.2017'!$H$5:$V$603,MATCH($E10,'Inventory Report_5.4.2017'!$B$5:$B$603,0),MATCH($Q$3,'Inventory Report_5.4.2017'!$H$2:$V$2,0))</f>
        <v>0</v>
      </c>
      <c r="R10" s="2077">
        <f t="shared" si="1"/>
        <v>414438.20666666672</v>
      </c>
      <c r="S10" s="2059">
        <f>INDEX('Inventory Report_5.4.2017'!$H$5:$V$603,MATCH($H10,'Inventory Report_5.4.2017'!$B$5:$B$603,0),MATCH($S$3,'Inventory Report_5.4.2017'!$H$2:$V$2,0))</f>
        <v>414438.20666666672</v>
      </c>
      <c r="T10" s="2059">
        <f>INDEX('Inventory Report_5.4.2017'!$H$5:$V$603,MATCH($H10,'Inventory Report_5.4.2017'!$B$5:$B$603,0),MATCH($T$3,'Inventory Report_5.4.2017'!$H$2:$V$2,0))</f>
        <v>0</v>
      </c>
      <c r="U10" s="2059">
        <f>INDEX('Inventory Report_5.4.2017'!$H$5:$V$603,MATCH($H10,'Inventory Report_5.4.2017'!$B$5:$B$603,0),MATCH($U$3,'Inventory Report_5.4.2017'!$H$2:$V$2,0))</f>
        <v>0</v>
      </c>
      <c r="V10" s="2059">
        <f>INDEX('Inventory Report_5.4.2017'!$H$5:$V$603,MATCH($H10,'Inventory Report_5.4.2017'!$B$5:$B$603,0),MATCH($V$3,'Inventory Report_5.4.2017'!$H$2:$V$2,0))</f>
        <v>0</v>
      </c>
      <c r="W10" s="2059">
        <f>INDEX('Inventory Report_5.4.2017'!$H$5:$V$603,MATCH($H10,'Inventory Report_5.4.2017'!$B$5:$B$603,0),MATCH($W$3,'Inventory Report_5.4.2017'!$H$2:$V$2,0))</f>
        <v>0</v>
      </c>
    </row>
    <row r="11" spans="1:23" ht="15" x14ac:dyDescent="0.2">
      <c r="A11" s="875" t="s">
        <v>115</v>
      </c>
      <c r="B11" s="870" t="s">
        <v>650</v>
      </c>
      <c r="C11" s="855" t="s">
        <v>2642</v>
      </c>
      <c r="D11" s="855" t="s">
        <v>2622</v>
      </c>
      <c r="E11" s="2134">
        <v>13950</v>
      </c>
      <c r="F11" s="2135">
        <f>INDEX('Inventory Report_5.4.2017'!$H$5:$W$603,MATCH($E11,'Inventory Report_5.4.2017'!$B$5:$B$603,0),MATCH($F$3,'Inventory Report_5.4.2017'!$H$2:$W$2,0))</f>
        <v>0</v>
      </c>
      <c r="G11" s="2136">
        <f>IF(INDEX('Inventory Report_5.4.2017'!$H$5:$V$603,MATCH($E11,'Inventory Report_5.4.2017'!$B$5:$B$603,0),MATCH(INPUT!$H$8,'Inventory Report_5.4.2017'!$H$2:$V$2,0))=0,L11,INDEX('Inventory Report_5.4.2017'!$H$5:$V$603,MATCH($E11,'Inventory Report_5.4.2017'!$B$5:$B$603,0),MATCH(INPUT!$H$8,'Inventory Report_5.4.2017'!$H$2:$V$2,0)))</f>
        <v>0</v>
      </c>
      <c r="H11" s="2138">
        <v>13970</v>
      </c>
      <c r="I11" s="2139">
        <f>INDEX('Inventory Report_5.4.2017'!$H$5:$W$603,MATCH($H11,'Inventory Report_5.4.2017'!$B$5:$B$603,0),MATCH($F$3,'Inventory Report_5.4.2017'!$H$2:$W$2,0))</f>
        <v>0</v>
      </c>
      <c r="J11" s="2145">
        <f>IF(INDEX('Inventory Report_5.4.2017'!$H$5:$V$603,MATCH($H11,'Inventory Report_5.4.2017'!$B$5:$B$603,0),MATCH(INPUT!$H$8,'Inventory Report_5.4.2017'!$H$2:$V$2,0))=0,R11,INDEX('Inventory Report_5.4.2017'!$H$5:$V$603,MATCH($H11,'Inventory Report_5.4.2017'!$B$5:$B$603,0),MATCH(INPUT!$H$8,'Inventory Report_5.4.2017'!$H$2:$V$2,0)))</f>
        <v>0</v>
      </c>
      <c r="K11" s="671"/>
      <c r="L11" s="2077">
        <f t="shared" si="2"/>
        <v>0</v>
      </c>
      <c r="M11" s="2059">
        <f>INDEX('Inventory Report_5.4.2017'!$H$5:$V$603,MATCH($E11,'Inventory Report_5.4.2017'!$B$5:$B$603,0),MATCH($M$3,'Inventory Report_5.4.2017'!$H$2:$V$2,0))</f>
        <v>0</v>
      </c>
      <c r="N11" s="2059">
        <f>INDEX('Inventory Report_5.4.2017'!$H$5:$V$603,MATCH($E11,'Inventory Report_5.4.2017'!$B$5:$B$603,0),MATCH($N$3,'Inventory Report_5.4.2017'!$H$2:$V$2,0))</f>
        <v>0</v>
      </c>
      <c r="O11" s="2059">
        <f>INDEX('Inventory Report_5.4.2017'!$H$5:$V$603,MATCH($E11,'Inventory Report_5.4.2017'!$B$5:$B$603,0),MATCH($O$3,'Inventory Report_5.4.2017'!$H$2:$V$2,0))</f>
        <v>0</v>
      </c>
      <c r="P11" s="2059">
        <f>INDEX('Inventory Report_5.4.2017'!$H$5:$V$603,MATCH($E11,'Inventory Report_5.4.2017'!$B$5:$B$603,0),MATCH($P$3,'Inventory Report_5.4.2017'!$H$2:$V$2,0))</f>
        <v>0</v>
      </c>
      <c r="Q11" s="2059">
        <f>INDEX('Inventory Report_5.4.2017'!$H$5:$V$603,MATCH($E11,'Inventory Report_5.4.2017'!$B$5:$B$603,0),MATCH($Q$3,'Inventory Report_5.4.2017'!$H$2:$V$2,0))</f>
        <v>0</v>
      </c>
      <c r="R11" s="2077">
        <f t="shared" si="1"/>
        <v>0</v>
      </c>
      <c r="S11" s="2059">
        <f>INDEX('Inventory Report_5.4.2017'!$H$5:$V$603,MATCH($H11,'Inventory Report_5.4.2017'!$B$5:$B$603,0),MATCH($S$3,'Inventory Report_5.4.2017'!$H$2:$V$2,0))</f>
        <v>0</v>
      </c>
      <c r="T11" s="2059">
        <f>INDEX('Inventory Report_5.4.2017'!$H$5:$V$603,MATCH($H11,'Inventory Report_5.4.2017'!$B$5:$B$603,0),MATCH($T$3,'Inventory Report_5.4.2017'!$H$2:$V$2,0))</f>
        <v>0</v>
      </c>
      <c r="U11" s="2059">
        <f>INDEX('Inventory Report_5.4.2017'!$H$5:$V$603,MATCH($H11,'Inventory Report_5.4.2017'!$B$5:$B$603,0),MATCH($U$3,'Inventory Report_5.4.2017'!$H$2:$V$2,0))</f>
        <v>0</v>
      </c>
      <c r="V11" s="2059">
        <f>INDEX('Inventory Report_5.4.2017'!$H$5:$V$603,MATCH($H11,'Inventory Report_5.4.2017'!$B$5:$B$603,0),MATCH($V$3,'Inventory Report_5.4.2017'!$H$2:$V$2,0))</f>
        <v>0</v>
      </c>
      <c r="W11" s="2059">
        <f>INDEX('Inventory Report_5.4.2017'!$H$5:$V$603,MATCH($H11,'Inventory Report_5.4.2017'!$B$5:$B$603,0),MATCH($W$3,'Inventory Report_5.4.2017'!$H$2:$V$2,0))</f>
        <v>0</v>
      </c>
    </row>
    <row r="12" spans="1:23" ht="15" x14ac:dyDescent="0.2">
      <c r="A12" s="875" t="s">
        <v>115</v>
      </c>
      <c r="B12" s="870" t="s">
        <v>650</v>
      </c>
      <c r="C12" s="855" t="s">
        <v>2642</v>
      </c>
      <c r="D12" s="855" t="s">
        <v>2623</v>
      </c>
      <c r="E12" s="2134">
        <v>13951</v>
      </c>
      <c r="F12" s="2135">
        <f>INDEX('Inventory Report_5.4.2017'!$H$5:$W$603,MATCH($E12,'Inventory Report_5.4.2017'!$B$5:$B$603,0),MATCH($F$3,'Inventory Report_5.4.2017'!$H$2:$W$2,0))</f>
        <v>22</v>
      </c>
      <c r="G12" s="2136">
        <f>IF(INDEX('Inventory Report_5.4.2017'!$H$5:$V$603,MATCH($E12,'Inventory Report_5.4.2017'!$B$5:$B$603,0),MATCH(INPUT!$H$8,'Inventory Report_5.4.2017'!$H$2:$V$2,0))=0,L12,INDEX('Inventory Report_5.4.2017'!$H$5:$V$603,MATCH($E12,'Inventory Report_5.4.2017'!$B$5:$B$603,0),MATCH(INPUT!$H$8,'Inventory Report_5.4.2017'!$H$2:$V$2,0)))</f>
        <v>660526.93888888892</v>
      </c>
      <c r="H12" s="2138">
        <v>13940</v>
      </c>
      <c r="I12" s="2139">
        <f>INDEX('Inventory Report_5.4.2017'!$H$5:$W$603,MATCH($H12,'Inventory Report_5.4.2017'!$B$5:$B$603,0),MATCH($F$3,'Inventory Report_5.4.2017'!$H$2:$W$2,0))</f>
        <v>1</v>
      </c>
      <c r="J12" s="2145">
        <f>IF(INDEX('Inventory Report_5.4.2017'!$H$5:$V$603,MATCH($H12,'Inventory Report_5.4.2017'!$B$5:$B$603,0),MATCH(INPUT!$H$8,'Inventory Report_5.4.2017'!$H$2:$V$2,0))=0,R12,INDEX('Inventory Report_5.4.2017'!$H$5:$V$603,MATCH($H12,'Inventory Report_5.4.2017'!$B$5:$B$603,0),MATCH(INPUT!$H$8,'Inventory Report_5.4.2017'!$H$2:$V$2,0)))</f>
        <v>764997.09</v>
      </c>
      <c r="K12" s="671"/>
      <c r="L12" s="2077">
        <f t="shared" si="2"/>
        <v>660856.15487962961</v>
      </c>
      <c r="M12" s="2059">
        <f>INDEX('Inventory Report_5.4.2017'!$H$5:$V$603,MATCH($E12,'Inventory Report_5.4.2017'!$B$5:$B$603,0),MATCH($M$3,'Inventory Report_5.4.2017'!$H$2:$V$2,0))</f>
        <v>661020.76375000004</v>
      </c>
      <c r="N12" s="2059">
        <f>INDEX('Inventory Report_5.4.2017'!$H$5:$V$603,MATCH($E12,'Inventory Report_5.4.2017'!$B$5:$B$603,0),MATCH($N$3,'Inventory Report_5.4.2017'!$H$2:$V$2,0))</f>
        <v>661020.76199999999</v>
      </c>
      <c r="O12" s="2059">
        <f>INDEX('Inventory Report_5.4.2017'!$H$5:$V$603,MATCH($E12,'Inventory Report_5.4.2017'!$B$5:$B$603,0),MATCH($O$3,'Inventory Report_5.4.2017'!$H$2:$V$2,0))</f>
        <v>660526.93888888892</v>
      </c>
      <c r="P12" s="2059">
        <f>INDEX('Inventory Report_5.4.2017'!$H$5:$V$603,MATCH($E12,'Inventory Report_5.4.2017'!$B$5:$B$603,0),MATCH($P$3,'Inventory Report_5.4.2017'!$H$2:$V$2,0))</f>
        <v>0</v>
      </c>
      <c r="Q12" s="2059">
        <f>INDEX('Inventory Report_5.4.2017'!$H$5:$V$603,MATCH($E12,'Inventory Report_5.4.2017'!$B$5:$B$603,0),MATCH($Q$3,'Inventory Report_5.4.2017'!$H$2:$V$2,0))</f>
        <v>0</v>
      </c>
      <c r="R12" s="2077">
        <f t="shared" si="1"/>
        <v>764997.09</v>
      </c>
      <c r="S12" s="2059">
        <f>INDEX('Inventory Report_5.4.2017'!$H$5:$V$603,MATCH($H12,'Inventory Report_5.4.2017'!$B$5:$B$603,0),MATCH($S$3,'Inventory Report_5.4.2017'!$H$2:$V$2,0))</f>
        <v>0</v>
      </c>
      <c r="T12" s="2059">
        <f>INDEX('Inventory Report_5.4.2017'!$H$5:$V$603,MATCH($H12,'Inventory Report_5.4.2017'!$B$5:$B$603,0),MATCH($T$3,'Inventory Report_5.4.2017'!$H$2:$V$2,0))</f>
        <v>0</v>
      </c>
      <c r="U12" s="2059">
        <f>INDEX('Inventory Report_5.4.2017'!$H$5:$V$603,MATCH($H12,'Inventory Report_5.4.2017'!$B$5:$B$603,0),MATCH($U$3,'Inventory Report_5.4.2017'!$H$2:$V$2,0))</f>
        <v>764997.09</v>
      </c>
      <c r="V12" s="2059">
        <f>INDEX('Inventory Report_5.4.2017'!$H$5:$V$603,MATCH($H12,'Inventory Report_5.4.2017'!$B$5:$B$603,0),MATCH($V$3,'Inventory Report_5.4.2017'!$H$2:$V$2,0))</f>
        <v>0</v>
      </c>
      <c r="W12" s="2059">
        <f>INDEX('Inventory Report_5.4.2017'!$H$5:$V$603,MATCH($H12,'Inventory Report_5.4.2017'!$B$5:$B$603,0),MATCH($W$3,'Inventory Report_5.4.2017'!$H$2:$V$2,0))</f>
        <v>0</v>
      </c>
    </row>
    <row r="13" spans="1:23" ht="15" x14ac:dyDescent="0.2">
      <c r="A13" s="875" t="s">
        <v>115</v>
      </c>
      <c r="B13" s="870" t="s">
        <v>650</v>
      </c>
      <c r="C13" s="855" t="s">
        <v>2642</v>
      </c>
      <c r="D13" s="855" t="s">
        <v>2624</v>
      </c>
      <c r="E13" s="2140"/>
      <c r="F13" s="2141"/>
      <c r="G13" s="2141"/>
      <c r="H13" s="2138">
        <v>115423</v>
      </c>
      <c r="I13" s="2139">
        <f>INDEX('Inventory Report_5.4.2017'!$H$5:$W$603,MATCH($H13,'Inventory Report_5.4.2017'!$B$5:$B$603,0),MATCH($F$3,'Inventory Report_5.4.2017'!$H$2:$W$2,0))</f>
        <v>2</v>
      </c>
      <c r="J13" s="2145">
        <f>IF(INDEX('Inventory Report_5.4.2017'!$H$5:$V$603,MATCH($H13,'Inventory Report_5.4.2017'!$B$5:$B$603,0),MATCH(INPUT!$H$8,'Inventory Report_5.4.2017'!$H$2:$V$2,0))=0,R13,INDEX('Inventory Report_5.4.2017'!$H$5:$V$603,MATCH($H13,'Inventory Report_5.4.2017'!$B$5:$B$603,0),MATCH(INPUT!$H$8,'Inventory Report_5.4.2017'!$H$2:$V$2,0)))</f>
        <v>1433412.29</v>
      </c>
      <c r="K13" s="671"/>
      <c r="L13" s="2146">
        <f t="shared" ref="L13" si="3">IFERROR(AVERAGEIF(M13:Q13,"&lt;&gt;0"),0)</f>
        <v>0</v>
      </c>
      <c r="M13" s="2147"/>
      <c r="N13" s="2147"/>
      <c r="O13" s="2147"/>
      <c r="P13" s="2147"/>
      <c r="Q13" s="2147"/>
      <c r="R13" s="2077">
        <f t="shared" si="1"/>
        <v>1433412.29</v>
      </c>
      <c r="S13" s="2059">
        <f>INDEX('Inventory Report_5.4.2017'!$H$5:$V$603,MATCH($H13,'Inventory Report_5.4.2017'!$B$5:$B$603,0),MATCH($S$3,'Inventory Report_5.4.2017'!$H$2:$V$2,0))</f>
        <v>1433412.29</v>
      </c>
      <c r="T13" s="2059">
        <f>INDEX('Inventory Report_5.4.2017'!$H$5:$V$603,MATCH($H13,'Inventory Report_5.4.2017'!$B$5:$B$603,0),MATCH($T$3,'Inventory Report_5.4.2017'!$H$2:$V$2,0))</f>
        <v>0</v>
      </c>
      <c r="U13" s="2059">
        <f>INDEX('Inventory Report_5.4.2017'!$H$5:$V$603,MATCH($H13,'Inventory Report_5.4.2017'!$B$5:$B$603,0),MATCH($U$3,'Inventory Report_5.4.2017'!$H$2:$V$2,0))</f>
        <v>0</v>
      </c>
      <c r="V13" s="2059">
        <f>INDEX('Inventory Report_5.4.2017'!$H$5:$V$603,MATCH($H13,'Inventory Report_5.4.2017'!$B$5:$B$603,0),MATCH($V$3,'Inventory Report_5.4.2017'!$H$2:$V$2,0))</f>
        <v>0</v>
      </c>
      <c r="W13" s="2059">
        <f>INDEX('Inventory Report_5.4.2017'!$H$5:$V$603,MATCH($H13,'Inventory Report_5.4.2017'!$B$5:$B$603,0),MATCH($W$3,'Inventory Report_5.4.2017'!$H$2:$V$2,0))</f>
        <v>0</v>
      </c>
    </row>
    <row r="14" spans="1:23" ht="15" x14ac:dyDescent="0.2">
      <c r="A14" s="875" t="s">
        <v>115</v>
      </c>
      <c r="B14" s="870" t="s">
        <v>650</v>
      </c>
      <c r="C14" s="855" t="s">
        <v>2642</v>
      </c>
      <c r="D14" s="855" t="s">
        <v>2625</v>
      </c>
      <c r="E14" s="2134">
        <v>13952</v>
      </c>
      <c r="F14" s="2135">
        <f>INDEX('Inventory Report_5.4.2017'!$H$5:$W$603,MATCH($E14,'Inventory Report_5.4.2017'!$B$5:$B$603,0),MATCH($F$3,'Inventory Report_5.4.2017'!$H$2:$W$2,0))</f>
        <v>12</v>
      </c>
      <c r="G14" s="2136">
        <f>IF(INDEX('Inventory Report_5.4.2017'!$H$5:$V$603,MATCH($E14,'Inventory Report_5.4.2017'!$B$5:$B$603,0),MATCH(INPUT!$H$8,'Inventory Report_5.4.2017'!$H$2:$V$2,0))=0,L14,INDEX('Inventory Report_5.4.2017'!$H$5:$V$603,MATCH($E14,'Inventory Report_5.4.2017'!$B$5:$B$603,0),MATCH(INPUT!$H$8,'Inventory Report_5.4.2017'!$H$2:$V$2,0)))</f>
        <v>668322.69666666666</v>
      </c>
      <c r="H14" s="2138">
        <v>13949</v>
      </c>
      <c r="I14" s="2139">
        <f>INDEX('Inventory Report_5.4.2017'!$H$5:$W$603,MATCH($H14,'Inventory Report_5.4.2017'!$B$5:$B$603,0),MATCH($F$3,'Inventory Report_5.4.2017'!$H$2:$W$2,0))</f>
        <v>6</v>
      </c>
      <c r="J14" s="2145">
        <f>IF(INDEX('Inventory Report_5.4.2017'!$H$5:$V$603,MATCH($H14,'Inventory Report_5.4.2017'!$B$5:$B$603,0),MATCH(INPUT!$H$8,'Inventory Report_5.4.2017'!$H$2:$V$2,0))=0,R14,INDEX('Inventory Report_5.4.2017'!$H$5:$V$603,MATCH($H14,'Inventory Report_5.4.2017'!$B$5:$B$603,0),MATCH(INPUT!$H$8,'Inventory Report_5.4.2017'!$H$2:$V$2,0)))</f>
        <v>1901141.67</v>
      </c>
      <c r="K14" s="671"/>
      <c r="L14" s="2077">
        <f t="shared" si="2"/>
        <v>668996.60125000007</v>
      </c>
      <c r="M14" s="2059">
        <f>INDEX('Inventory Report_5.4.2017'!$H$5:$V$603,MATCH($E14,'Inventory Report_5.4.2017'!$B$5:$B$603,0),MATCH($M$3,'Inventory Report_5.4.2017'!$H$2:$V$2,0))</f>
        <v>671510.72499999998</v>
      </c>
      <c r="N14" s="2059">
        <f>INDEX('Inventory Report_5.4.2017'!$H$5:$V$603,MATCH($E14,'Inventory Report_5.4.2017'!$B$5:$B$603,0),MATCH($N$3,'Inventory Report_5.4.2017'!$H$2:$V$2,0))</f>
        <v>671510.73</v>
      </c>
      <c r="O14" s="2059">
        <f>INDEX('Inventory Report_5.4.2017'!$H$5:$V$603,MATCH($E14,'Inventory Report_5.4.2017'!$B$5:$B$603,0),MATCH($O$3,'Inventory Report_5.4.2017'!$H$2:$V$2,0))</f>
        <v>668322.69666666666</v>
      </c>
      <c r="P14" s="2059">
        <f>INDEX('Inventory Report_5.4.2017'!$H$5:$V$603,MATCH($E14,'Inventory Report_5.4.2017'!$B$5:$B$603,0),MATCH($P$3,'Inventory Report_5.4.2017'!$H$2:$V$2,0))</f>
        <v>664642.2533333333</v>
      </c>
      <c r="Q14" s="2059">
        <f>INDEX('Inventory Report_5.4.2017'!$H$5:$V$603,MATCH($E14,'Inventory Report_5.4.2017'!$B$5:$B$603,0),MATCH($Q$3,'Inventory Report_5.4.2017'!$H$2:$V$2,0))</f>
        <v>0</v>
      </c>
      <c r="R14" s="2077">
        <f t="shared" si="1"/>
        <v>1905984.2250000001</v>
      </c>
      <c r="S14" s="2059">
        <f>INDEX('Inventory Report_5.4.2017'!$H$5:$V$603,MATCH($H14,'Inventory Report_5.4.2017'!$B$5:$B$603,0),MATCH($S$3,'Inventory Report_5.4.2017'!$H$2:$V$2,0))</f>
        <v>0</v>
      </c>
      <c r="T14" s="2059">
        <f>INDEX('Inventory Report_5.4.2017'!$H$5:$V$603,MATCH($H14,'Inventory Report_5.4.2017'!$B$5:$B$603,0),MATCH($T$3,'Inventory Report_5.4.2017'!$H$2:$V$2,0))</f>
        <v>1901141.665</v>
      </c>
      <c r="U14" s="2059">
        <f>INDEX('Inventory Report_5.4.2017'!$H$5:$V$603,MATCH($H14,'Inventory Report_5.4.2017'!$B$5:$B$603,0),MATCH($U$3,'Inventory Report_5.4.2017'!$H$2:$V$2,0))</f>
        <v>1901141.67</v>
      </c>
      <c r="V14" s="2059">
        <f>INDEX('Inventory Report_5.4.2017'!$H$5:$V$603,MATCH($H14,'Inventory Report_5.4.2017'!$B$5:$B$603,0),MATCH($V$3,'Inventory Report_5.4.2017'!$H$2:$V$2,0))</f>
        <v>1901141.665</v>
      </c>
      <c r="W14" s="2059">
        <f>INDEX('Inventory Report_5.4.2017'!$H$5:$V$603,MATCH($H14,'Inventory Report_5.4.2017'!$B$5:$B$603,0),MATCH($W$3,'Inventory Report_5.4.2017'!$H$2:$V$2,0))</f>
        <v>1920511.9</v>
      </c>
    </row>
    <row r="15" spans="1:23" ht="15" x14ac:dyDescent="0.2">
      <c r="A15" s="875"/>
      <c r="B15" s="870" t="s">
        <v>651</v>
      </c>
      <c r="C15" s="855" t="s">
        <v>2643</v>
      </c>
      <c r="D15" s="855" t="s">
        <v>2627</v>
      </c>
      <c r="E15" s="2134">
        <v>52582</v>
      </c>
      <c r="F15" s="2135">
        <f>INDEX('Inventory Report_5.4.2017'!$H$5:$W$603,MATCH($E15,'Inventory Report_5.4.2017'!$B$5:$B$603,0),MATCH($F$3,'Inventory Report_5.4.2017'!$H$2:$W$2,0))</f>
        <v>18</v>
      </c>
      <c r="G15" s="2136">
        <f>IF(INDEX('Inventory Report_5.4.2017'!$H$5:$V$603,MATCH($E15,'Inventory Report_5.4.2017'!$B$5:$B$603,0),MATCH(INPUT!$H$8,'Inventory Report_5.4.2017'!$H$2:$V$2,0))=0,L15,INDEX('Inventory Report_5.4.2017'!$H$5:$V$603,MATCH($E15,'Inventory Report_5.4.2017'!$B$5:$B$603,0),MATCH(INPUT!$H$8,'Inventory Report_5.4.2017'!$H$2:$V$2,0)))</f>
        <v>1960263.7427272729</v>
      </c>
      <c r="H15" s="2138">
        <v>52543</v>
      </c>
      <c r="I15" s="2139">
        <f>INDEX('Inventory Report_5.4.2017'!$H$5:$W$603,MATCH($H15,'Inventory Report_5.4.2017'!$B$5:$B$603,0),MATCH($F$3,'Inventory Report_5.4.2017'!$H$2:$W$2,0))</f>
        <v>2</v>
      </c>
      <c r="J15" s="2145">
        <f>IF(INDEX('Inventory Report_5.4.2017'!$H$5:$V$603,MATCH($H15,'Inventory Report_5.4.2017'!$B$5:$B$603,0),MATCH(INPUT!$H$8,'Inventory Report_5.4.2017'!$H$2:$V$2,0))=0,R15,INDEX('Inventory Report_5.4.2017'!$H$5:$V$603,MATCH($H15,'Inventory Report_5.4.2017'!$B$5:$B$603,0),MATCH(INPUT!$H$8,'Inventory Report_5.4.2017'!$H$2:$V$2,0)))</f>
        <v>1863890.11</v>
      </c>
      <c r="K15" s="671"/>
      <c r="L15" s="2077">
        <f t="shared" si="2"/>
        <v>1973405.926931818</v>
      </c>
      <c r="M15" s="2059">
        <f>INDEX('Inventory Report_5.4.2017'!$H$5:$V$603,MATCH($E15,'Inventory Report_5.4.2017'!$B$5:$B$603,0),MATCH($M$3,'Inventory Report_5.4.2017'!$H$2:$V$2,0))</f>
        <v>1948915.5149999999</v>
      </c>
      <c r="N15" s="2059">
        <f>INDEX('Inventory Report_5.4.2017'!$H$5:$V$603,MATCH($E15,'Inventory Report_5.4.2017'!$B$5:$B$603,0),MATCH($N$3,'Inventory Report_5.4.2017'!$H$2:$V$2,0))</f>
        <v>2029318.3499999999</v>
      </c>
      <c r="O15" s="2059">
        <f>INDEX('Inventory Report_5.4.2017'!$H$5:$V$603,MATCH($E15,'Inventory Report_5.4.2017'!$B$5:$B$603,0),MATCH($O$3,'Inventory Report_5.4.2017'!$H$2:$V$2,0))</f>
        <v>1960263.7427272729</v>
      </c>
      <c r="P15" s="2059">
        <f>INDEX('Inventory Report_5.4.2017'!$H$5:$V$603,MATCH($E15,'Inventory Report_5.4.2017'!$B$5:$B$603,0),MATCH($P$3,'Inventory Report_5.4.2017'!$H$2:$V$2,0))</f>
        <v>1955126.1</v>
      </c>
      <c r="Q15" s="2059">
        <f>INDEX('Inventory Report_5.4.2017'!$H$5:$V$603,MATCH($E15,'Inventory Report_5.4.2017'!$B$5:$B$603,0),MATCH($Q$3,'Inventory Report_5.4.2017'!$H$2:$V$2,0))</f>
        <v>0</v>
      </c>
      <c r="R15" s="2077">
        <f t="shared" si="1"/>
        <v>1863890.11</v>
      </c>
      <c r="S15" s="2059">
        <f>INDEX('Inventory Report_5.4.2017'!$H$5:$V$603,MATCH($H15,'Inventory Report_5.4.2017'!$B$5:$B$603,0),MATCH($S$3,'Inventory Report_5.4.2017'!$H$2:$V$2,0))</f>
        <v>0</v>
      </c>
      <c r="T15" s="2059">
        <f>INDEX('Inventory Report_5.4.2017'!$H$5:$V$603,MATCH($H15,'Inventory Report_5.4.2017'!$B$5:$B$603,0),MATCH($T$3,'Inventory Report_5.4.2017'!$H$2:$V$2,0))</f>
        <v>0</v>
      </c>
      <c r="U15" s="2059">
        <f>INDEX('Inventory Report_5.4.2017'!$H$5:$V$603,MATCH($H15,'Inventory Report_5.4.2017'!$B$5:$B$603,0),MATCH($U$3,'Inventory Report_5.4.2017'!$H$2:$V$2,0))</f>
        <v>0</v>
      </c>
      <c r="V15" s="2059">
        <f>INDEX('Inventory Report_5.4.2017'!$H$5:$V$603,MATCH($H15,'Inventory Report_5.4.2017'!$B$5:$B$603,0),MATCH($V$3,'Inventory Report_5.4.2017'!$H$2:$V$2,0))</f>
        <v>1863890.11</v>
      </c>
      <c r="W15" s="2059">
        <f>INDEX('Inventory Report_5.4.2017'!$H$5:$V$603,MATCH($H15,'Inventory Report_5.4.2017'!$B$5:$B$603,0),MATCH($W$3,'Inventory Report_5.4.2017'!$H$2:$V$2,0))</f>
        <v>0</v>
      </c>
    </row>
    <row r="16" spans="1:23" ht="15" x14ac:dyDescent="0.2">
      <c r="A16" s="875"/>
      <c r="B16" s="870" t="s">
        <v>651</v>
      </c>
      <c r="C16" s="855" t="s">
        <v>2644</v>
      </c>
      <c r="D16" s="855" t="s">
        <v>2628</v>
      </c>
      <c r="E16" s="2134">
        <v>108569</v>
      </c>
      <c r="F16" s="2135">
        <f>INDEX('Inventory Report_5.4.2017'!$H$5:$W$603,MATCH($E16,'Inventory Report_5.4.2017'!$B$5:$B$603,0),MATCH($F$3,'Inventory Report_5.4.2017'!$H$2:$W$2,0))</f>
        <v>4</v>
      </c>
      <c r="G16" s="2136">
        <f>IF(INDEX('Inventory Report_5.4.2017'!$H$5:$V$603,MATCH($E16,'Inventory Report_5.4.2017'!$B$5:$B$603,0),MATCH(INPUT!$H$8,'Inventory Report_5.4.2017'!$H$2:$V$2,0))=0,L16,INDEX('Inventory Report_5.4.2017'!$H$5:$V$603,MATCH($E16,'Inventory Report_5.4.2017'!$B$5:$B$603,0),MATCH(INPUT!$H$8,'Inventory Report_5.4.2017'!$H$2:$V$2,0)))</f>
        <v>423365.88</v>
      </c>
      <c r="H16" s="2138">
        <v>115429</v>
      </c>
      <c r="I16" s="2139">
        <f>INDEX('Inventory Report_5.4.2017'!$H$5:$W$603,MATCH($H16,'Inventory Report_5.4.2017'!$B$5:$B$603,0),MATCH($F$3,'Inventory Report_5.4.2017'!$H$2:$W$2,0))</f>
        <v>0</v>
      </c>
      <c r="J16" s="2145">
        <f>IF(INDEX('Inventory Report_5.4.2017'!$H$5:$V$603,MATCH($H16,'Inventory Report_5.4.2017'!$B$5:$B$603,0),MATCH(INPUT!$H$8,'Inventory Report_5.4.2017'!$H$2:$V$2,0))=0,R16,INDEX('Inventory Report_5.4.2017'!$H$5:$V$603,MATCH($H16,'Inventory Report_5.4.2017'!$B$5:$B$603,0),MATCH(INPUT!$H$8,'Inventory Report_5.4.2017'!$H$2:$V$2,0)))</f>
        <v>0</v>
      </c>
      <c r="K16" s="671"/>
      <c r="L16" s="2077">
        <f t="shared" si="2"/>
        <v>423365.88</v>
      </c>
      <c r="M16" s="2059">
        <f>INDEX('Inventory Report_5.4.2017'!$H$5:$V$603,MATCH($E16,'Inventory Report_5.4.2017'!$B$5:$B$603,0),MATCH($M$3,'Inventory Report_5.4.2017'!$H$2:$V$2,0))</f>
        <v>423365.88</v>
      </c>
      <c r="N16" s="2059">
        <f>INDEX('Inventory Report_5.4.2017'!$H$5:$V$603,MATCH($E16,'Inventory Report_5.4.2017'!$B$5:$B$603,0),MATCH($N$3,'Inventory Report_5.4.2017'!$H$2:$V$2,0))</f>
        <v>0</v>
      </c>
      <c r="O16" s="2059">
        <f>INDEX('Inventory Report_5.4.2017'!$H$5:$V$603,MATCH($E16,'Inventory Report_5.4.2017'!$B$5:$B$603,0),MATCH($O$3,'Inventory Report_5.4.2017'!$H$2:$V$2,0))</f>
        <v>0</v>
      </c>
      <c r="P16" s="2059">
        <f>INDEX('Inventory Report_5.4.2017'!$H$5:$V$603,MATCH($E16,'Inventory Report_5.4.2017'!$B$5:$B$603,0),MATCH($P$3,'Inventory Report_5.4.2017'!$H$2:$V$2,0))</f>
        <v>0</v>
      </c>
      <c r="Q16" s="2059">
        <f>INDEX('Inventory Report_5.4.2017'!$H$5:$V$603,MATCH($E16,'Inventory Report_5.4.2017'!$B$5:$B$603,0),MATCH($Q$3,'Inventory Report_5.4.2017'!$H$2:$V$2,0))</f>
        <v>0</v>
      </c>
      <c r="R16" s="2077">
        <f t="shared" si="1"/>
        <v>0</v>
      </c>
      <c r="S16" s="2059">
        <f>INDEX('Inventory Report_5.4.2017'!$H$5:$V$603,MATCH($H16,'Inventory Report_5.4.2017'!$B$5:$B$603,0),MATCH($S$3,'Inventory Report_5.4.2017'!$H$2:$V$2,0))</f>
        <v>0</v>
      </c>
      <c r="T16" s="2059">
        <f>INDEX('Inventory Report_5.4.2017'!$H$5:$V$603,MATCH($H16,'Inventory Report_5.4.2017'!$B$5:$B$603,0),MATCH($T$3,'Inventory Report_5.4.2017'!$H$2:$V$2,0))</f>
        <v>0</v>
      </c>
      <c r="U16" s="2059">
        <f>INDEX('Inventory Report_5.4.2017'!$H$5:$V$603,MATCH($H16,'Inventory Report_5.4.2017'!$B$5:$B$603,0),MATCH($U$3,'Inventory Report_5.4.2017'!$H$2:$V$2,0))</f>
        <v>0</v>
      </c>
      <c r="V16" s="2059">
        <f>INDEX('Inventory Report_5.4.2017'!$H$5:$V$603,MATCH($H16,'Inventory Report_5.4.2017'!$B$5:$B$603,0),MATCH($V$3,'Inventory Report_5.4.2017'!$H$2:$V$2,0))</f>
        <v>0</v>
      </c>
      <c r="W16" s="2059">
        <f>INDEX('Inventory Report_5.4.2017'!$H$5:$V$603,MATCH($H16,'Inventory Report_5.4.2017'!$B$5:$B$603,0),MATCH($W$3,'Inventory Report_5.4.2017'!$H$2:$V$2,0))</f>
        <v>0</v>
      </c>
    </row>
    <row r="17" spans="1:23" ht="15" x14ac:dyDescent="0.2">
      <c r="A17" s="875"/>
      <c r="B17" s="870" t="s">
        <v>651</v>
      </c>
      <c r="C17" s="855" t="s">
        <v>2644</v>
      </c>
      <c r="D17" s="855" t="s">
        <v>2622</v>
      </c>
      <c r="E17" s="2140"/>
      <c r="F17" s="2141"/>
      <c r="G17" s="2141"/>
      <c r="H17" s="2138">
        <v>109768</v>
      </c>
      <c r="I17" s="2139">
        <f>INDEX('Inventory Report_5.4.2017'!$H$5:$W$603,MATCH($H17,'Inventory Report_5.4.2017'!$B$5:$B$603,0),MATCH($F$3,'Inventory Report_5.4.2017'!$H$2:$W$2,0))</f>
        <v>3</v>
      </c>
      <c r="J17" s="2145">
        <f>IF(INDEX('Inventory Report_5.4.2017'!$H$5:$V$603,MATCH($H17,'Inventory Report_5.4.2017'!$B$5:$B$603,0),MATCH(INPUT!$H$8,'Inventory Report_5.4.2017'!$H$2:$V$2,0))=0,R17,INDEX('Inventory Report_5.4.2017'!$H$5:$V$603,MATCH($H17,'Inventory Report_5.4.2017'!$B$5:$B$603,0),MATCH(INPUT!$H$8,'Inventory Report_5.4.2017'!$H$2:$V$2,0)))</f>
        <v>1424401.99</v>
      </c>
      <c r="K17" s="671"/>
      <c r="L17" s="2146">
        <f t="shared" si="2"/>
        <v>0</v>
      </c>
      <c r="M17" s="2147"/>
      <c r="N17" s="2147"/>
      <c r="O17" s="2147"/>
      <c r="P17" s="2147"/>
      <c r="Q17" s="2147"/>
      <c r="R17" s="2077">
        <f t="shared" si="1"/>
        <v>1424401.99</v>
      </c>
      <c r="S17" s="2059">
        <f>INDEX('Inventory Report_5.4.2017'!$H$5:$V$603,MATCH($H17,'Inventory Report_5.4.2017'!$B$5:$B$603,0),MATCH($S$3,'Inventory Report_5.4.2017'!$H$2:$V$2,0))</f>
        <v>0</v>
      </c>
      <c r="T17" s="2059">
        <f>INDEX('Inventory Report_5.4.2017'!$H$5:$V$603,MATCH($H17,'Inventory Report_5.4.2017'!$B$5:$B$603,0),MATCH($T$3,'Inventory Report_5.4.2017'!$H$2:$V$2,0))</f>
        <v>0</v>
      </c>
      <c r="U17" s="2059">
        <f>INDEX('Inventory Report_5.4.2017'!$H$5:$V$603,MATCH($H17,'Inventory Report_5.4.2017'!$B$5:$B$603,0),MATCH($U$3,'Inventory Report_5.4.2017'!$H$2:$V$2,0))</f>
        <v>0</v>
      </c>
      <c r="V17" s="2059">
        <f>INDEX('Inventory Report_5.4.2017'!$H$5:$V$603,MATCH($H17,'Inventory Report_5.4.2017'!$B$5:$B$603,0),MATCH($V$3,'Inventory Report_5.4.2017'!$H$2:$V$2,0))</f>
        <v>1424401.99</v>
      </c>
      <c r="W17" s="2059">
        <f>INDEX('Inventory Report_5.4.2017'!$H$5:$V$603,MATCH($H17,'Inventory Report_5.4.2017'!$B$5:$B$603,0),MATCH($W$3,'Inventory Report_5.4.2017'!$H$2:$V$2,0))</f>
        <v>0</v>
      </c>
    </row>
    <row r="18" spans="1:23" ht="15" x14ac:dyDescent="0.2">
      <c r="A18" s="875"/>
      <c r="B18" s="870" t="s">
        <v>651</v>
      </c>
      <c r="C18" s="855" t="s">
        <v>2644</v>
      </c>
      <c r="D18" s="855" t="s">
        <v>2623</v>
      </c>
      <c r="E18" s="2134">
        <v>40328</v>
      </c>
      <c r="F18" s="2135">
        <f>INDEX('Inventory Report_5.4.2017'!$H$5:$W$603,MATCH($E18,'Inventory Report_5.4.2017'!$B$5:$B$603,0),MATCH($F$3,'Inventory Report_5.4.2017'!$H$2:$W$2,0))</f>
        <v>2</v>
      </c>
      <c r="G18" s="2136">
        <f>IF(INDEX('Inventory Report_5.4.2017'!$H$5:$V$603,MATCH($E18,'Inventory Report_5.4.2017'!$B$5:$B$603,0),MATCH(INPUT!$H$8,'Inventory Report_5.4.2017'!$H$2:$V$2,0))=0,L18,INDEX('Inventory Report_5.4.2017'!$H$5:$V$603,MATCH($E18,'Inventory Report_5.4.2017'!$B$5:$B$603,0),MATCH(INPUT!$H$8,'Inventory Report_5.4.2017'!$H$2:$V$2,0)))</f>
        <v>509119.24</v>
      </c>
      <c r="H18" s="2138">
        <v>52542</v>
      </c>
      <c r="I18" s="2139">
        <f>INDEX('Inventory Report_5.4.2017'!$H$5:$W$603,MATCH($H18,'Inventory Report_5.4.2017'!$B$5:$B$603,0),MATCH($F$3,'Inventory Report_5.4.2017'!$H$2:$W$2,0))</f>
        <v>10</v>
      </c>
      <c r="J18" s="2145">
        <f>IF(INDEX('Inventory Report_5.4.2017'!$H$5:$V$603,MATCH($H18,'Inventory Report_5.4.2017'!$B$5:$B$603,0),MATCH(INPUT!$H$8,'Inventory Report_5.4.2017'!$H$2:$V$2,0))=0,R18,INDEX('Inventory Report_5.4.2017'!$H$5:$V$603,MATCH($H18,'Inventory Report_5.4.2017'!$B$5:$B$603,0),MATCH(INPUT!$H$8,'Inventory Report_5.4.2017'!$H$2:$V$2,0)))</f>
        <v>1413994.5859999999</v>
      </c>
      <c r="K18" s="671"/>
      <c r="L18" s="2077">
        <f t="shared" si="2"/>
        <v>505816.78</v>
      </c>
      <c r="M18" s="2059">
        <f>INDEX('Inventory Report_5.4.2017'!$H$5:$V$603,MATCH($E18,'Inventory Report_5.4.2017'!$B$5:$B$603,0),MATCH($M$3,'Inventory Report_5.4.2017'!$H$2:$V$2,0))</f>
        <v>0</v>
      </c>
      <c r="N18" s="2059">
        <f>INDEX('Inventory Report_5.4.2017'!$H$5:$V$603,MATCH($E18,'Inventory Report_5.4.2017'!$B$5:$B$603,0),MATCH($N$3,'Inventory Report_5.4.2017'!$H$2:$V$2,0))</f>
        <v>502514.32</v>
      </c>
      <c r="O18" s="2059">
        <f>INDEX('Inventory Report_5.4.2017'!$H$5:$V$603,MATCH($E18,'Inventory Report_5.4.2017'!$B$5:$B$603,0),MATCH($O$3,'Inventory Report_5.4.2017'!$H$2:$V$2,0))</f>
        <v>509119.24</v>
      </c>
      <c r="P18" s="2059">
        <f>INDEX('Inventory Report_5.4.2017'!$H$5:$V$603,MATCH($E18,'Inventory Report_5.4.2017'!$B$5:$B$603,0),MATCH($P$3,'Inventory Report_5.4.2017'!$H$2:$V$2,0))</f>
        <v>0</v>
      </c>
      <c r="Q18" s="2059">
        <f>INDEX('Inventory Report_5.4.2017'!$H$5:$V$603,MATCH($E18,'Inventory Report_5.4.2017'!$B$5:$B$603,0),MATCH($Q$3,'Inventory Report_5.4.2017'!$H$2:$V$2,0))</f>
        <v>0</v>
      </c>
      <c r="R18" s="2077">
        <f t="shared" si="1"/>
        <v>1413994.5859999999</v>
      </c>
      <c r="S18" s="2059">
        <f>INDEX('Inventory Report_5.4.2017'!$H$5:$V$603,MATCH($H18,'Inventory Report_5.4.2017'!$B$5:$B$603,0),MATCH($S$3,'Inventory Report_5.4.2017'!$H$2:$V$2,0))</f>
        <v>0</v>
      </c>
      <c r="T18" s="2059">
        <f>INDEX('Inventory Report_5.4.2017'!$H$5:$V$603,MATCH($H18,'Inventory Report_5.4.2017'!$B$5:$B$603,0),MATCH($T$3,'Inventory Report_5.4.2017'!$H$2:$V$2,0))</f>
        <v>0</v>
      </c>
      <c r="U18" s="2059">
        <f>INDEX('Inventory Report_5.4.2017'!$H$5:$V$603,MATCH($H18,'Inventory Report_5.4.2017'!$B$5:$B$603,0),MATCH($U$3,'Inventory Report_5.4.2017'!$H$2:$V$2,0))</f>
        <v>1413994.5859999999</v>
      </c>
      <c r="V18" s="2059">
        <f>INDEX('Inventory Report_5.4.2017'!$H$5:$V$603,MATCH($H18,'Inventory Report_5.4.2017'!$B$5:$B$603,0),MATCH($V$3,'Inventory Report_5.4.2017'!$H$2:$V$2,0))</f>
        <v>0</v>
      </c>
      <c r="W18" s="2059">
        <f>INDEX('Inventory Report_5.4.2017'!$H$5:$V$603,MATCH($H18,'Inventory Report_5.4.2017'!$B$5:$B$603,0),MATCH($W$3,'Inventory Report_5.4.2017'!$H$2:$V$2,0))</f>
        <v>0</v>
      </c>
    </row>
    <row r="19" spans="1:23" ht="15" x14ac:dyDescent="0.2">
      <c r="A19" s="875"/>
      <c r="B19" s="870" t="s">
        <v>651</v>
      </c>
      <c r="C19" s="855" t="s">
        <v>2644</v>
      </c>
      <c r="D19" s="855" t="s">
        <v>2625</v>
      </c>
      <c r="E19" s="2134">
        <v>8909</v>
      </c>
      <c r="F19" s="2135">
        <f>INDEX('Inventory Report_5.4.2017'!$H$5:$W$603,MATCH($E19,'Inventory Report_5.4.2017'!$B$5:$B$603,0),MATCH($F$3,'Inventory Report_5.4.2017'!$H$2:$W$2,0))</f>
        <v>1</v>
      </c>
      <c r="G19" s="2136">
        <f>IF(INDEX('Inventory Report_5.4.2017'!$H$5:$V$603,MATCH($E19,'Inventory Report_5.4.2017'!$B$5:$B$603,0),MATCH(INPUT!$H$8,'Inventory Report_5.4.2017'!$H$2:$V$2,0))=0,L19,INDEX('Inventory Report_5.4.2017'!$H$5:$V$603,MATCH($E19,'Inventory Report_5.4.2017'!$B$5:$B$603,0),MATCH(INPUT!$H$8,'Inventory Report_5.4.2017'!$H$2:$V$2,0)))</f>
        <v>567685.23</v>
      </c>
      <c r="H19" s="2138">
        <v>13967</v>
      </c>
      <c r="I19" s="2139">
        <f>INDEX('Inventory Report_5.4.2017'!$H$5:$W$603,MATCH($H19,'Inventory Report_5.4.2017'!$B$5:$B$603,0),MATCH($F$3,'Inventory Report_5.4.2017'!$H$2:$W$2,0))</f>
        <v>3</v>
      </c>
      <c r="J19" s="2145">
        <f>IF(INDEX('Inventory Report_5.4.2017'!$H$5:$V$603,MATCH($H19,'Inventory Report_5.4.2017'!$B$5:$B$603,0),MATCH(INPUT!$H$8,'Inventory Report_5.4.2017'!$H$2:$V$2,0))=0,R19,INDEX('Inventory Report_5.4.2017'!$H$5:$V$603,MATCH($H19,'Inventory Report_5.4.2017'!$B$5:$B$603,0),MATCH(INPUT!$H$8,'Inventory Report_5.4.2017'!$H$2:$V$2,0)))</f>
        <v>1301189.1866666668</v>
      </c>
      <c r="K19" s="671"/>
      <c r="L19" s="2077">
        <f t="shared" si="2"/>
        <v>567685.23</v>
      </c>
      <c r="M19" s="2059">
        <f>INDEX('Inventory Report_5.4.2017'!$H$5:$V$603,MATCH($E19,'Inventory Report_5.4.2017'!$B$5:$B$603,0),MATCH($M$3,'Inventory Report_5.4.2017'!$H$2:$V$2,0))</f>
        <v>0</v>
      </c>
      <c r="N19" s="2059">
        <f>INDEX('Inventory Report_5.4.2017'!$H$5:$V$603,MATCH($E19,'Inventory Report_5.4.2017'!$B$5:$B$603,0),MATCH($N$3,'Inventory Report_5.4.2017'!$H$2:$V$2,0))</f>
        <v>567685.23</v>
      </c>
      <c r="O19" s="2059">
        <f>INDEX('Inventory Report_5.4.2017'!$H$5:$V$603,MATCH($E19,'Inventory Report_5.4.2017'!$B$5:$B$603,0),MATCH($O$3,'Inventory Report_5.4.2017'!$H$2:$V$2,0))</f>
        <v>0</v>
      </c>
      <c r="P19" s="2059">
        <f>INDEX('Inventory Report_5.4.2017'!$H$5:$V$603,MATCH($E19,'Inventory Report_5.4.2017'!$B$5:$B$603,0),MATCH($P$3,'Inventory Report_5.4.2017'!$H$2:$V$2,0))</f>
        <v>0</v>
      </c>
      <c r="Q19" s="2059">
        <f>INDEX('Inventory Report_5.4.2017'!$H$5:$V$603,MATCH($E19,'Inventory Report_5.4.2017'!$B$5:$B$603,0),MATCH($Q$3,'Inventory Report_5.4.2017'!$H$2:$V$2,0))</f>
        <v>0</v>
      </c>
      <c r="R19" s="2077">
        <f t="shared" si="1"/>
        <v>1301189.1866666668</v>
      </c>
      <c r="S19" s="2059">
        <f>INDEX('Inventory Report_5.4.2017'!$H$5:$V$603,MATCH($H19,'Inventory Report_5.4.2017'!$B$5:$B$603,0),MATCH($S$3,'Inventory Report_5.4.2017'!$H$2:$V$2,0))</f>
        <v>0</v>
      </c>
      <c r="T19" s="2059">
        <f>INDEX('Inventory Report_5.4.2017'!$H$5:$V$603,MATCH($H19,'Inventory Report_5.4.2017'!$B$5:$B$603,0),MATCH($T$3,'Inventory Report_5.4.2017'!$H$2:$V$2,0))</f>
        <v>0</v>
      </c>
      <c r="U19" s="2059">
        <f>INDEX('Inventory Report_5.4.2017'!$H$5:$V$603,MATCH($H19,'Inventory Report_5.4.2017'!$B$5:$B$603,0),MATCH($U$3,'Inventory Report_5.4.2017'!$H$2:$V$2,0))</f>
        <v>1301189.1866666668</v>
      </c>
      <c r="V19" s="2059">
        <f>INDEX('Inventory Report_5.4.2017'!$H$5:$V$603,MATCH($H19,'Inventory Report_5.4.2017'!$B$5:$B$603,0),MATCH($V$3,'Inventory Report_5.4.2017'!$H$2:$V$2,0))</f>
        <v>0</v>
      </c>
      <c r="W19" s="2059">
        <f>INDEX('Inventory Report_5.4.2017'!$H$5:$V$603,MATCH($H19,'Inventory Report_5.4.2017'!$B$5:$B$603,0),MATCH($W$3,'Inventory Report_5.4.2017'!$H$2:$V$2,0))</f>
        <v>0</v>
      </c>
    </row>
    <row r="20" spans="1:23" ht="15" x14ac:dyDescent="0.2">
      <c r="A20" s="870" t="s">
        <v>650</v>
      </c>
      <c r="B20" s="870"/>
      <c r="C20" s="855" t="s">
        <v>2645</v>
      </c>
      <c r="D20" s="855" t="s">
        <v>2630</v>
      </c>
      <c r="E20" s="2134">
        <v>13957</v>
      </c>
      <c r="F20" s="2135">
        <f>INDEX('Inventory Report_5.4.2017'!$H$5:$W$603,MATCH($E20,'Inventory Report_5.4.2017'!$B$5:$B$603,0),MATCH($F$3,'Inventory Report_5.4.2017'!$H$2:$W$2,0))</f>
        <v>14</v>
      </c>
      <c r="G20" s="2136">
        <f>IF(INDEX('Inventory Report_5.4.2017'!$H$5:$V$603,MATCH($E20,'Inventory Report_5.4.2017'!$B$5:$B$603,0),MATCH(INPUT!$H$8,'Inventory Report_5.4.2017'!$H$2:$V$2,0))=0,L20,INDEX('Inventory Report_5.4.2017'!$H$5:$V$603,MATCH($E20,'Inventory Report_5.4.2017'!$B$5:$B$603,0),MATCH(INPUT!$H$8,'Inventory Report_5.4.2017'!$H$2:$V$2,0)))</f>
        <v>1371474.0666666667</v>
      </c>
      <c r="H20" s="2138">
        <v>13973</v>
      </c>
      <c r="I20" s="2139">
        <f>INDEX('Inventory Report_5.4.2017'!$H$5:$W$603,MATCH($H20,'Inventory Report_5.4.2017'!$B$5:$B$603,0),MATCH($F$3,'Inventory Report_5.4.2017'!$H$2:$W$2,0))</f>
        <v>3</v>
      </c>
      <c r="J20" s="2145">
        <f>IF(INDEX('Inventory Report_5.4.2017'!$H$5:$V$603,MATCH($H20,'Inventory Report_5.4.2017'!$B$5:$B$603,0),MATCH(INPUT!$H$8,'Inventory Report_5.4.2017'!$H$2:$V$2,0))=0,R20,INDEX('Inventory Report_5.4.2017'!$H$5:$V$603,MATCH($H20,'Inventory Report_5.4.2017'!$B$5:$B$603,0),MATCH(INPUT!$H$8,'Inventory Report_5.4.2017'!$H$2:$V$2,0)))</f>
        <v>1834568.3049999999</v>
      </c>
      <c r="K20" s="671"/>
      <c r="L20" s="2077">
        <f t="shared" si="2"/>
        <v>1472588.6398333332</v>
      </c>
      <c r="M20" s="2059">
        <f>INDEX('Inventory Report_5.4.2017'!$H$5:$V$603,MATCH($E20,'Inventory Report_5.4.2017'!$B$5:$B$603,0),MATCH($M$3,'Inventory Report_5.4.2017'!$H$2:$V$2,0))</f>
        <v>1615537.2949999999</v>
      </c>
      <c r="N20" s="2059">
        <f>INDEX('Inventory Report_5.4.2017'!$H$5:$V$603,MATCH($E20,'Inventory Report_5.4.2017'!$B$5:$B$603,0),MATCH($N$3,'Inventory Report_5.4.2017'!$H$2:$V$2,0))</f>
        <v>1372382.1425000001</v>
      </c>
      <c r="O20" s="2059">
        <f>INDEX('Inventory Report_5.4.2017'!$H$5:$V$603,MATCH($E20,'Inventory Report_5.4.2017'!$B$5:$B$603,0),MATCH($O$3,'Inventory Report_5.4.2017'!$H$2:$V$2,0))</f>
        <v>1371474.0666666667</v>
      </c>
      <c r="P20" s="2059">
        <f>INDEX('Inventory Report_5.4.2017'!$H$5:$V$603,MATCH($E20,'Inventory Report_5.4.2017'!$B$5:$B$603,0),MATCH($P$3,'Inventory Report_5.4.2017'!$H$2:$V$2,0))</f>
        <v>1592178.0549999999</v>
      </c>
      <c r="Q20" s="2059">
        <f>INDEX('Inventory Report_5.4.2017'!$H$5:$V$603,MATCH($E20,'Inventory Report_5.4.2017'!$B$5:$B$603,0),MATCH($Q$3,'Inventory Report_5.4.2017'!$H$2:$V$2,0))</f>
        <v>1411371.64</v>
      </c>
      <c r="R20" s="2077">
        <f t="shared" si="1"/>
        <v>1834568.3049999999</v>
      </c>
      <c r="S20" s="2059">
        <f>INDEX('Inventory Report_5.4.2017'!$H$5:$V$603,MATCH($H20,'Inventory Report_5.4.2017'!$B$5:$B$603,0),MATCH($S$3,'Inventory Report_5.4.2017'!$H$2:$V$2,0))</f>
        <v>2079026.91</v>
      </c>
      <c r="T20" s="2059">
        <f>INDEX('Inventory Report_5.4.2017'!$H$5:$V$603,MATCH($H20,'Inventory Report_5.4.2017'!$B$5:$B$603,0),MATCH($T$3,'Inventory Report_5.4.2017'!$H$2:$V$2,0))</f>
        <v>0</v>
      </c>
      <c r="U20" s="2059">
        <f>INDEX('Inventory Report_5.4.2017'!$H$5:$V$603,MATCH($H20,'Inventory Report_5.4.2017'!$B$5:$B$603,0),MATCH($U$3,'Inventory Report_5.4.2017'!$H$2:$V$2,0))</f>
        <v>0</v>
      </c>
      <c r="V20" s="2059">
        <f>INDEX('Inventory Report_5.4.2017'!$H$5:$V$603,MATCH($H20,'Inventory Report_5.4.2017'!$B$5:$B$603,0),MATCH($V$3,'Inventory Report_5.4.2017'!$H$2:$V$2,0))</f>
        <v>0</v>
      </c>
      <c r="W20" s="2059">
        <f>INDEX('Inventory Report_5.4.2017'!$H$5:$V$603,MATCH($H20,'Inventory Report_5.4.2017'!$B$5:$B$603,0),MATCH($W$3,'Inventory Report_5.4.2017'!$H$2:$V$2,0))</f>
        <v>1590109.7</v>
      </c>
    </row>
    <row r="21" spans="1:23" ht="15" x14ac:dyDescent="0.2">
      <c r="A21" s="870" t="s">
        <v>650</v>
      </c>
      <c r="B21" s="870"/>
      <c r="C21" s="855" t="s">
        <v>2646</v>
      </c>
      <c r="D21" s="855" t="s">
        <v>2631</v>
      </c>
      <c r="E21" s="2134">
        <v>8913</v>
      </c>
      <c r="F21" s="2135">
        <f>INDEX('Inventory Report_5.4.2017'!$H$5:$W$603,MATCH($E21,'Inventory Report_5.4.2017'!$B$5:$B$603,0),MATCH($F$3,'Inventory Report_5.4.2017'!$H$2:$W$2,0))</f>
        <v>1</v>
      </c>
      <c r="G21" s="2136">
        <f>IF(INDEX('Inventory Report_5.4.2017'!$H$5:$V$603,MATCH($E21,'Inventory Report_5.4.2017'!$B$5:$B$603,0),MATCH(INPUT!$H$8,'Inventory Report_5.4.2017'!$H$2:$V$2,0))=0,L21,INDEX('Inventory Report_5.4.2017'!$H$5:$V$603,MATCH($E21,'Inventory Report_5.4.2017'!$B$5:$B$603,0),MATCH(INPUT!$H$8,'Inventory Report_5.4.2017'!$H$2:$V$2,0)))</f>
        <v>318297.98</v>
      </c>
      <c r="H21" s="2138">
        <v>8912</v>
      </c>
      <c r="I21" s="2139">
        <f>INDEX('Inventory Report_5.4.2017'!$H$5:$W$603,MATCH($H21,'Inventory Report_5.4.2017'!$B$5:$B$603,0),MATCH($F$3,'Inventory Report_5.4.2017'!$H$2:$W$2,0))</f>
        <v>0</v>
      </c>
      <c r="J21" s="2145">
        <f>IF(INDEX('Inventory Report_5.4.2017'!$H$5:$V$603,MATCH($H21,'Inventory Report_5.4.2017'!$B$5:$B$603,0),MATCH(INPUT!$H$8,'Inventory Report_5.4.2017'!$H$2:$V$2,0))=0,R21,INDEX('Inventory Report_5.4.2017'!$H$5:$V$603,MATCH($H21,'Inventory Report_5.4.2017'!$B$5:$B$603,0),MATCH(INPUT!$H$8,'Inventory Report_5.4.2017'!$H$2:$V$2,0)))</f>
        <v>0</v>
      </c>
      <c r="K21" s="671"/>
      <c r="L21" s="2077">
        <f t="shared" si="2"/>
        <v>318297.98</v>
      </c>
      <c r="M21" s="2059">
        <f>INDEX('Inventory Report_5.4.2017'!$H$5:$V$603,MATCH($E21,'Inventory Report_5.4.2017'!$B$5:$B$603,0),MATCH($M$3,'Inventory Report_5.4.2017'!$H$2:$V$2,0))</f>
        <v>318297.98</v>
      </c>
      <c r="N21" s="2059">
        <f>INDEX('Inventory Report_5.4.2017'!$H$5:$V$603,MATCH($E21,'Inventory Report_5.4.2017'!$B$5:$B$603,0),MATCH($N$3,'Inventory Report_5.4.2017'!$H$2:$V$2,0))</f>
        <v>0</v>
      </c>
      <c r="O21" s="2059">
        <f>INDEX('Inventory Report_5.4.2017'!$H$5:$V$603,MATCH($E21,'Inventory Report_5.4.2017'!$B$5:$B$603,0),MATCH($O$3,'Inventory Report_5.4.2017'!$H$2:$V$2,0))</f>
        <v>0</v>
      </c>
      <c r="P21" s="2059">
        <f>INDEX('Inventory Report_5.4.2017'!$H$5:$V$603,MATCH($E21,'Inventory Report_5.4.2017'!$B$5:$B$603,0),MATCH($P$3,'Inventory Report_5.4.2017'!$H$2:$V$2,0))</f>
        <v>0</v>
      </c>
      <c r="Q21" s="2059">
        <f>INDEX('Inventory Report_5.4.2017'!$H$5:$V$603,MATCH($E21,'Inventory Report_5.4.2017'!$B$5:$B$603,0),MATCH($Q$3,'Inventory Report_5.4.2017'!$H$2:$V$2,0))</f>
        <v>0</v>
      </c>
      <c r="R21" s="2077">
        <f t="shared" si="1"/>
        <v>0</v>
      </c>
      <c r="S21" s="2059">
        <f>INDEX('Inventory Report_5.4.2017'!$H$5:$V$603,MATCH($H21,'Inventory Report_5.4.2017'!$B$5:$B$603,0),MATCH($S$3,'Inventory Report_5.4.2017'!$H$2:$V$2,0))</f>
        <v>0</v>
      </c>
      <c r="T21" s="2059">
        <f>INDEX('Inventory Report_5.4.2017'!$H$5:$V$603,MATCH($H21,'Inventory Report_5.4.2017'!$B$5:$B$603,0),MATCH($T$3,'Inventory Report_5.4.2017'!$H$2:$V$2,0))</f>
        <v>0</v>
      </c>
      <c r="U21" s="2059">
        <f>INDEX('Inventory Report_5.4.2017'!$H$5:$V$603,MATCH($H21,'Inventory Report_5.4.2017'!$B$5:$B$603,0),MATCH($U$3,'Inventory Report_5.4.2017'!$H$2:$V$2,0))</f>
        <v>0</v>
      </c>
      <c r="V21" s="2059">
        <f>INDEX('Inventory Report_5.4.2017'!$H$5:$V$603,MATCH($H21,'Inventory Report_5.4.2017'!$B$5:$B$603,0),MATCH($V$3,'Inventory Report_5.4.2017'!$H$2:$V$2,0))</f>
        <v>0</v>
      </c>
      <c r="W21" s="2059">
        <f>INDEX('Inventory Report_5.4.2017'!$H$5:$V$603,MATCH($H21,'Inventory Report_5.4.2017'!$B$5:$B$603,0),MATCH($W$3,'Inventory Report_5.4.2017'!$H$2:$V$2,0))</f>
        <v>0</v>
      </c>
    </row>
    <row r="22" spans="1:23" ht="15" x14ac:dyDescent="0.2">
      <c r="A22" s="870" t="s">
        <v>650</v>
      </c>
      <c r="B22" s="870"/>
      <c r="C22" s="855" t="s">
        <v>2646</v>
      </c>
      <c r="D22" s="855" t="s">
        <v>2625</v>
      </c>
      <c r="E22" s="2134">
        <v>13960</v>
      </c>
      <c r="F22" s="2135">
        <f>INDEX('Inventory Report_5.4.2017'!$H$5:$W$603,MATCH($E22,'Inventory Report_5.4.2017'!$B$5:$B$603,0),MATCH($F$3,'Inventory Report_5.4.2017'!$H$2:$W$2,0))</f>
        <v>0</v>
      </c>
      <c r="G22" s="2136">
        <f>IF(INDEX('Inventory Report_5.4.2017'!$H$5:$V$603,MATCH($E22,'Inventory Report_5.4.2017'!$B$5:$B$603,0),MATCH(INPUT!$H$8,'Inventory Report_5.4.2017'!$H$2:$V$2,0))=0,L22,INDEX('Inventory Report_5.4.2017'!$H$5:$V$603,MATCH($E22,'Inventory Report_5.4.2017'!$B$5:$B$603,0),MATCH(INPUT!$H$8,'Inventory Report_5.4.2017'!$H$2:$V$2,0)))</f>
        <v>0</v>
      </c>
      <c r="H22" s="2138">
        <v>13956</v>
      </c>
      <c r="I22" s="2139">
        <f>INDEX('Inventory Report_5.4.2017'!$H$5:$W$603,MATCH($H22,'Inventory Report_5.4.2017'!$B$5:$B$603,0),MATCH($F$3,'Inventory Report_5.4.2017'!$H$2:$W$2,0))</f>
        <v>9</v>
      </c>
      <c r="J22" s="2145">
        <f>IF(INDEX('Inventory Report_5.4.2017'!$H$5:$V$603,MATCH($H22,'Inventory Report_5.4.2017'!$B$5:$B$603,0),MATCH(INPUT!$H$8,'Inventory Report_5.4.2017'!$H$2:$V$2,0))=0,R22,INDEX('Inventory Report_5.4.2017'!$H$5:$V$603,MATCH($H22,'Inventory Report_5.4.2017'!$B$5:$B$603,0),MATCH(INPUT!$H$8,'Inventory Report_5.4.2017'!$H$2:$V$2,0)))</f>
        <v>763760.05888888892</v>
      </c>
      <c r="K22" s="671"/>
      <c r="L22" s="2077">
        <f t="shared" si="2"/>
        <v>0</v>
      </c>
      <c r="M22" s="2059">
        <f>INDEX('Inventory Report_5.4.2017'!$H$5:$V$603,MATCH($E22,'Inventory Report_5.4.2017'!$B$5:$B$603,0),MATCH($M$3,'Inventory Report_5.4.2017'!$H$2:$V$2,0))</f>
        <v>0</v>
      </c>
      <c r="N22" s="2059">
        <f>INDEX('Inventory Report_5.4.2017'!$H$5:$V$603,MATCH($E22,'Inventory Report_5.4.2017'!$B$5:$B$603,0),MATCH($N$3,'Inventory Report_5.4.2017'!$H$2:$V$2,0))</f>
        <v>0</v>
      </c>
      <c r="O22" s="2059">
        <f>INDEX('Inventory Report_5.4.2017'!$H$5:$V$603,MATCH($E22,'Inventory Report_5.4.2017'!$B$5:$B$603,0),MATCH($O$3,'Inventory Report_5.4.2017'!$H$2:$V$2,0))</f>
        <v>0</v>
      </c>
      <c r="P22" s="2059">
        <f>INDEX('Inventory Report_5.4.2017'!$H$5:$V$603,MATCH($E22,'Inventory Report_5.4.2017'!$B$5:$B$603,0),MATCH($P$3,'Inventory Report_5.4.2017'!$H$2:$V$2,0))</f>
        <v>0</v>
      </c>
      <c r="Q22" s="2059">
        <f>INDEX('Inventory Report_5.4.2017'!$H$5:$V$603,MATCH($E22,'Inventory Report_5.4.2017'!$B$5:$B$603,0),MATCH($Q$3,'Inventory Report_5.4.2017'!$H$2:$V$2,0))</f>
        <v>0</v>
      </c>
      <c r="R22" s="2077">
        <f t="shared" si="1"/>
        <v>763760.05888888892</v>
      </c>
      <c r="S22" s="2059">
        <f>INDEX('Inventory Report_5.4.2017'!$H$5:$V$603,MATCH($H22,'Inventory Report_5.4.2017'!$B$5:$B$603,0),MATCH($S$3,'Inventory Report_5.4.2017'!$H$2:$V$2,0))</f>
        <v>0</v>
      </c>
      <c r="T22" s="2059">
        <f>INDEX('Inventory Report_5.4.2017'!$H$5:$V$603,MATCH($H22,'Inventory Report_5.4.2017'!$B$5:$B$603,0),MATCH($T$3,'Inventory Report_5.4.2017'!$H$2:$V$2,0))</f>
        <v>0</v>
      </c>
      <c r="U22" s="2059">
        <f>INDEX('Inventory Report_5.4.2017'!$H$5:$V$603,MATCH($H22,'Inventory Report_5.4.2017'!$B$5:$B$603,0),MATCH($U$3,'Inventory Report_5.4.2017'!$H$2:$V$2,0))</f>
        <v>763760.05888888892</v>
      </c>
      <c r="V22" s="2059">
        <f>INDEX('Inventory Report_5.4.2017'!$H$5:$V$603,MATCH($H22,'Inventory Report_5.4.2017'!$B$5:$B$603,0),MATCH($V$3,'Inventory Report_5.4.2017'!$H$2:$V$2,0))</f>
        <v>0</v>
      </c>
      <c r="W22" s="2059">
        <f>INDEX('Inventory Report_5.4.2017'!$H$5:$V$603,MATCH($H22,'Inventory Report_5.4.2017'!$B$5:$B$603,0),MATCH($W$3,'Inventory Report_5.4.2017'!$H$2:$V$2,0))</f>
        <v>0</v>
      </c>
    </row>
    <row r="23" spans="1:23" ht="15" x14ac:dyDescent="0.2">
      <c r="A23" s="875"/>
      <c r="B23" s="2151" t="s">
        <v>652</v>
      </c>
      <c r="C23" s="855" t="s">
        <v>2647</v>
      </c>
      <c r="D23" s="855" t="s">
        <v>2627</v>
      </c>
      <c r="E23" s="2134">
        <v>52541</v>
      </c>
      <c r="F23" s="2135">
        <f>INDEX('Inventory Report_5.4.2017'!$H$5:$W$603,MATCH($E23,'Inventory Report_5.4.2017'!$B$5:$B$603,0),MATCH($F$3,'Inventory Report_5.4.2017'!$H$2:$W$2,0))</f>
        <v>4</v>
      </c>
      <c r="G23" s="2136">
        <f>IF(INDEX('Inventory Report_5.4.2017'!$H$5:$V$603,MATCH($E23,'Inventory Report_5.4.2017'!$B$5:$B$603,0),MATCH(INPUT!$H$8,'Inventory Report_5.4.2017'!$H$2:$V$2,0))=0,L23,INDEX('Inventory Report_5.4.2017'!$H$5:$V$603,MATCH($E23,'Inventory Report_5.4.2017'!$B$5:$B$603,0),MATCH(INPUT!$H$8,'Inventory Report_5.4.2017'!$H$2:$V$2,0)))</f>
        <v>1123603.3799999999</v>
      </c>
      <c r="H23" s="2138">
        <v>115427</v>
      </c>
      <c r="I23" s="2139">
        <f>INDEX('Inventory Report_5.4.2017'!$H$5:$W$603,MATCH($H23,'Inventory Report_5.4.2017'!$B$5:$B$603,0),MATCH($F$3,'Inventory Report_5.4.2017'!$H$2:$W$2,0))</f>
        <v>0</v>
      </c>
      <c r="J23" s="2145">
        <f>IF(INDEX('Inventory Report_5.4.2017'!$H$5:$V$603,MATCH($H23,'Inventory Report_5.4.2017'!$B$5:$B$603,0),MATCH(INPUT!$H$8,'Inventory Report_5.4.2017'!$H$2:$V$2,0))=0,R23,INDEX('Inventory Report_5.4.2017'!$H$5:$V$603,MATCH($H23,'Inventory Report_5.4.2017'!$B$5:$B$603,0),MATCH(INPUT!$H$8,'Inventory Report_5.4.2017'!$H$2:$V$2,0)))</f>
        <v>0</v>
      </c>
      <c r="K23" s="671"/>
      <c r="L23" s="2077">
        <f t="shared" si="2"/>
        <v>1137462.3600000001</v>
      </c>
      <c r="M23" s="2059">
        <f>INDEX('Inventory Report_5.4.2017'!$H$5:$V$603,MATCH($E23,'Inventory Report_5.4.2017'!$B$5:$B$603,0),MATCH($M$3,'Inventory Report_5.4.2017'!$H$2:$V$2,0))</f>
        <v>1220149.98</v>
      </c>
      <c r="N23" s="2059">
        <f>INDEX('Inventory Report_5.4.2017'!$H$5:$V$603,MATCH($E23,'Inventory Report_5.4.2017'!$B$5:$B$603,0),MATCH($N$3,'Inventory Report_5.4.2017'!$H$2:$V$2,0))</f>
        <v>1068633.72</v>
      </c>
      <c r="O23" s="2059">
        <f>INDEX('Inventory Report_5.4.2017'!$H$5:$V$603,MATCH($E23,'Inventory Report_5.4.2017'!$B$5:$B$603,0),MATCH($O$3,'Inventory Report_5.4.2017'!$H$2:$V$2,0))</f>
        <v>1123603.3799999999</v>
      </c>
      <c r="P23" s="2059">
        <f>INDEX('Inventory Report_5.4.2017'!$H$5:$V$603,MATCH($E23,'Inventory Report_5.4.2017'!$B$5:$B$603,0),MATCH($P$3,'Inventory Report_5.4.2017'!$H$2:$V$2,0))</f>
        <v>0</v>
      </c>
      <c r="Q23" s="2059">
        <f>INDEX('Inventory Report_5.4.2017'!$H$5:$V$603,MATCH($E23,'Inventory Report_5.4.2017'!$B$5:$B$603,0),MATCH($Q$3,'Inventory Report_5.4.2017'!$H$2:$V$2,0))</f>
        <v>0</v>
      </c>
      <c r="R23" s="2077">
        <f t="shared" si="1"/>
        <v>0</v>
      </c>
      <c r="S23" s="2059">
        <f>INDEX('Inventory Report_5.4.2017'!$H$5:$V$603,MATCH($H23,'Inventory Report_5.4.2017'!$B$5:$B$603,0),MATCH($S$3,'Inventory Report_5.4.2017'!$H$2:$V$2,0))</f>
        <v>0</v>
      </c>
      <c r="T23" s="2059">
        <f>INDEX('Inventory Report_5.4.2017'!$H$5:$V$603,MATCH($H23,'Inventory Report_5.4.2017'!$B$5:$B$603,0),MATCH($T$3,'Inventory Report_5.4.2017'!$H$2:$V$2,0))</f>
        <v>0</v>
      </c>
      <c r="U23" s="2059">
        <f>INDEX('Inventory Report_5.4.2017'!$H$5:$V$603,MATCH($H23,'Inventory Report_5.4.2017'!$B$5:$B$603,0),MATCH($U$3,'Inventory Report_5.4.2017'!$H$2:$V$2,0))</f>
        <v>0</v>
      </c>
      <c r="V23" s="2059">
        <f>INDEX('Inventory Report_5.4.2017'!$H$5:$V$603,MATCH($H23,'Inventory Report_5.4.2017'!$B$5:$B$603,0),MATCH($V$3,'Inventory Report_5.4.2017'!$H$2:$V$2,0))</f>
        <v>0</v>
      </c>
      <c r="W23" s="2059">
        <f>INDEX('Inventory Report_5.4.2017'!$H$5:$V$603,MATCH($H23,'Inventory Report_5.4.2017'!$B$5:$B$603,0),MATCH($W$3,'Inventory Report_5.4.2017'!$H$2:$V$2,0))</f>
        <v>0</v>
      </c>
    </row>
    <row r="24" spans="1:23" ht="15" x14ac:dyDescent="0.2">
      <c r="A24" s="875"/>
      <c r="B24" s="2151" t="s">
        <v>652</v>
      </c>
      <c r="C24" s="855" t="s">
        <v>2648</v>
      </c>
      <c r="D24" s="855" t="s">
        <v>2621</v>
      </c>
      <c r="E24" s="2134">
        <v>85217</v>
      </c>
      <c r="F24" s="2135">
        <f>INDEX('Inventory Report_5.4.2017'!$H$5:$W$603,MATCH($E24,'Inventory Report_5.4.2017'!$B$5:$B$603,0),MATCH($F$3,'Inventory Report_5.4.2017'!$H$2:$W$2,0))</f>
        <v>3</v>
      </c>
      <c r="G24" s="2136">
        <f>IF(INDEX('Inventory Report_5.4.2017'!$H$5:$V$603,MATCH($E24,'Inventory Report_5.4.2017'!$B$5:$B$603,0),MATCH(INPUT!$H$8,'Inventory Report_5.4.2017'!$H$2:$V$2,0))=0,L24,INDEX('Inventory Report_5.4.2017'!$H$5:$V$603,MATCH($E24,'Inventory Report_5.4.2017'!$B$5:$B$603,0),MATCH(INPUT!$H$8,'Inventory Report_5.4.2017'!$H$2:$V$2,0)))</f>
        <v>267211.71999999997</v>
      </c>
      <c r="H24" s="2138">
        <v>115426</v>
      </c>
      <c r="I24" s="2139">
        <f>INDEX('Inventory Report_5.4.2017'!$H$5:$W$603,MATCH($H24,'Inventory Report_5.4.2017'!$B$5:$B$603,0),MATCH($F$3,'Inventory Report_5.4.2017'!$H$2:$W$2,0))</f>
        <v>2</v>
      </c>
      <c r="J24" s="2145">
        <f>IF(INDEX('Inventory Report_5.4.2017'!$H$5:$V$603,MATCH($H24,'Inventory Report_5.4.2017'!$B$5:$B$603,0),MATCH(INPUT!$H$8,'Inventory Report_5.4.2017'!$H$2:$V$2,0))=0,R24,INDEX('Inventory Report_5.4.2017'!$H$5:$V$603,MATCH($H24,'Inventory Report_5.4.2017'!$B$5:$B$603,0),MATCH(INPUT!$H$8,'Inventory Report_5.4.2017'!$H$2:$V$2,0)))</f>
        <v>252716.79999999999</v>
      </c>
      <c r="K24" s="671"/>
      <c r="L24" s="2077">
        <f t="shared" si="2"/>
        <v>278670.70999999996</v>
      </c>
      <c r="M24" s="2059">
        <f>INDEX('Inventory Report_5.4.2017'!$H$5:$V$603,MATCH($E24,'Inventory Report_5.4.2017'!$B$5:$B$603,0),MATCH($M$3,'Inventory Report_5.4.2017'!$H$2:$V$2,0))</f>
        <v>290129.7</v>
      </c>
      <c r="N24" s="2059">
        <f>INDEX('Inventory Report_5.4.2017'!$H$5:$V$603,MATCH($E24,'Inventory Report_5.4.2017'!$B$5:$B$603,0),MATCH($N$3,'Inventory Report_5.4.2017'!$H$2:$V$2,0))</f>
        <v>0</v>
      </c>
      <c r="O24" s="2059">
        <f>INDEX('Inventory Report_5.4.2017'!$H$5:$V$603,MATCH($E24,'Inventory Report_5.4.2017'!$B$5:$B$603,0),MATCH($O$3,'Inventory Report_5.4.2017'!$H$2:$V$2,0))</f>
        <v>267211.71999999997</v>
      </c>
      <c r="P24" s="2059">
        <f>INDEX('Inventory Report_5.4.2017'!$H$5:$V$603,MATCH($E24,'Inventory Report_5.4.2017'!$B$5:$B$603,0),MATCH($P$3,'Inventory Report_5.4.2017'!$H$2:$V$2,0))</f>
        <v>0</v>
      </c>
      <c r="Q24" s="2059">
        <f>INDEX('Inventory Report_5.4.2017'!$H$5:$V$603,MATCH($E24,'Inventory Report_5.4.2017'!$B$5:$B$603,0),MATCH($Q$3,'Inventory Report_5.4.2017'!$H$2:$V$2,0))</f>
        <v>0</v>
      </c>
      <c r="R24" s="2077">
        <f t="shared" si="1"/>
        <v>252716.79999999999</v>
      </c>
      <c r="S24" s="2059">
        <f>INDEX('Inventory Report_5.4.2017'!$H$5:$V$603,MATCH($H24,'Inventory Report_5.4.2017'!$B$5:$B$603,0),MATCH($S$3,'Inventory Report_5.4.2017'!$H$2:$V$2,0))</f>
        <v>0</v>
      </c>
      <c r="T24" s="2059">
        <f>INDEX('Inventory Report_5.4.2017'!$H$5:$V$603,MATCH($H24,'Inventory Report_5.4.2017'!$B$5:$B$603,0),MATCH($T$3,'Inventory Report_5.4.2017'!$H$2:$V$2,0))</f>
        <v>0</v>
      </c>
      <c r="U24" s="2059">
        <f>INDEX('Inventory Report_5.4.2017'!$H$5:$V$603,MATCH($H24,'Inventory Report_5.4.2017'!$B$5:$B$603,0),MATCH($U$3,'Inventory Report_5.4.2017'!$H$2:$V$2,0))</f>
        <v>252716.79999999999</v>
      </c>
      <c r="V24" s="2059">
        <f>INDEX('Inventory Report_5.4.2017'!$H$5:$V$603,MATCH($H24,'Inventory Report_5.4.2017'!$B$5:$B$603,0),MATCH($V$3,'Inventory Report_5.4.2017'!$H$2:$V$2,0))</f>
        <v>0</v>
      </c>
      <c r="W24" s="2059">
        <f>INDEX('Inventory Report_5.4.2017'!$H$5:$V$603,MATCH($H24,'Inventory Report_5.4.2017'!$B$5:$B$603,0),MATCH($W$3,'Inventory Report_5.4.2017'!$H$2:$V$2,0))</f>
        <v>0</v>
      </c>
    </row>
    <row r="25" spans="1:23" ht="15" x14ac:dyDescent="0.2">
      <c r="A25" s="875"/>
      <c r="B25" s="2151" t="s">
        <v>652</v>
      </c>
      <c r="C25" s="855" t="s">
        <v>2648</v>
      </c>
      <c r="D25" s="855" t="s">
        <v>2622</v>
      </c>
      <c r="E25" s="2134">
        <v>8915</v>
      </c>
      <c r="F25" s="2135">
        <f>INDEX('Inventory Report_5.4.2017'!$H$5:$W$603,MATCH($E25,'Inventory Report_5.4.2017'!$B$5:$B$603,0),MATCH($F$3,'Inventory Report_5.4.2017'!$H$2:$W$2,0))</f>
        <v>3</v>
      </c>
      <c r="G25" s="2136">
        <f>IF(INDEX('Inventory Report_5.4.2017'!$H$5:$V$603,MATCH($E25,'Inventory Report_5.4.2017'!$B$5:$B$603,0),MATCH(INPUT!$H$8,'Inventory Report_5.4.2017'!$H$2:$V$2,0))=0,L25,INDEX('Inventory Report_5.4.2017'!$H$5:$V$603,MATCH($E25,'Inventory Report_5.4.2017'!$B$5:$B$603,0),MATCH(INPUT!$H$8,'Inventory Report_5.4.2017'!$H$2:$V$2,0)))</f>
        <v>288234.05</v>
      </c>
      <c r="H25" s="2138">
        <v>109257</v>
      </c>
      <c r="I25" s="2139">
        <f>INDEX('Inventory Report_5.4.2017'!$H$5:$W$603,MATCH($H25,'Inventory Report_5.4.2017'!$B$5:$B$603,0),MATCH($F$3,'Inventory Report_5.4.2017'!$H$2:$W$2,0))</f>
        <v>0</v>
      </c>
      <c r="J25" s="2145">
        <f>IF(INDEX('Inventory Report_5.4.2017'!$H$5:$V$603,MATCH($H25,'Inventory Report_5.4.2017'!$B$5:$B$603,0),MATCH(INPUT!$H$8,'Inventory Report_5.4.2017'!$H$2:$V$2,0))=0,R25,INDEX('Inventory Report_5.4.2017'!$H$5:$V$603,MATCH($H25,'Inventory Report_5.4.2017'!$B$5:$B$603,0),MATCH(INPUT!$H$8,'Inventory Report_5.4.2017'!$H$2:$V$2,0)))</f>
        <v>0</v>
      </c>
      <c r="K25" s="671"/>
      <c r="L25" s="2077">
        <f t="shared" si="2"/>
        <v>288234.05</v>
      </c>
      <c r="M25" s="2059">
        <f>INDEX('Inventory Report_5.4.2017'!$H$5:$V$603,MATCH($E25,'Inventory Report_5.4.2017'!$B$5:$B$603,0),MATCH($M$3,'Inventory Report_5.4.2017'!$H$2:$V$2,0))</f>
        <v>0</v>
      </c>
      <c r="N25" s="2059">
        <f>INDEX('Inventory Report_5.4.2017'!$H$5:$V$603,MATCH($E25,'Inventory Report_5.4.2017'!$B$5:$B$603,0),MATCH($N$3,'Inventory Report_5.4.2017'!$H$2:$V$2,0))</f>
        <v>288234.05</v>
      </c>
      <c r="O25" s="2059">
        <f>INDEX('Inventory Report_5.4.2017'!$H$5:$V$603,MATCH($E25,'Inventory Report_5.4.2017'!$B$5:$B$603,0),MATCH($O$3,'Inventory Report_5.4.2017'!$H$2:$V$2,0))</f>
        <v>0</v>
      </c>
      <c r="P25" s="2059">
        <f>INDEX('Inventory Report_5.4.2017'!$H$5:$V$603,MATCH($E25,'Inventory Report_5.4.2017'!$B$5:$B$603,0),MATCH($P$3,'Inventory Report_5.4.2017'!$H$2:$V$2,0))</f>
        <v>0</v>
      </c>
      <c r="Q25" s="2059">
        <f>INDEX('Inventory Report_5.4.2017'!$H$5:$V$603,MATCH($E25,'Inventory Report_5.4.2017'!$B$5:$B$603,0),MATCH($Q$3,'Inventory Report_5.4.2017'!$H$2:$V$2,0))</f>
        <v>288234.05</v>
      </c>
      <c r="R25" s="2077">
        <f t="shared" si="1"/>
        <v>0</v>
      </c>
      <c r="S25" s="2059">
        <f>INDEX('Inventory Report_5.4.2017'!$H$5:$V$603,MATCH($H25,'Inventory Report_5.4.2017'!$B$5:$B$603,0),MATCH($S$3,'Inventory Report_5.4.2017'!$H$2:$V$2,0))</f>
        <v>0</v>
      </c>
      <c r="T25" s="2059">
        <f>INDEX('Inventory Report_5.4.2017'!$H$5:$V$603,MATCH($H25,'Inventory Report_5.4.2017'!$B$5:$B$603,0),MATCH($T$3,'Inventory Report_5.4.2017'!$H$2:$V$2,0))</f>
        <v>0</v>
      </c>
      <c r="U25" s="2059">
        <f>INDEX('Inventory Report_5.4.2017'!$H$5:$V$603,MATCH($H25,'Inventory Report_5.4.2017'!$B$5:$B$603,0),MATCH($U$3,'Inventory Report_5.4.2017'!$H$2:$V$2,0))</f>
        <v>0</v>
      </c>
      <c r="V25" s="2059">
        <f>INDEX('Inventory Report_5.4.2017'!$H$5:$V$603,MATCH($H25,'Inventory Report_5.4.2017'!$B$5:$B$603,0),MATCH($V$3,'Inventory Report_5.4.2017'!$H$2:$V$2,0))</f>
        <v>0</v>
      </c>
      <c r="W25" s="2059">
        <f>INDEX('Inventory Report_5.4.2017'!$H$5:$V$603,MATCH($H25,'Inventory Report_5.4.2017'!$B$5:$B$603,0),MATCH($W$3,'Inventory Report_5.4.2017'!$H$2:$V$2,0))</f>
        <v>0</v>
      </c>
    </row>
    <row r="26" spans="1:23" ht="15" x14ac:dyDescent="0.2">
      <c r="A26" s="875"/>
      <c r="B26" s="2151" t="s">
        <v>652</v>
      </c>
      <c r="C26" s="855" t="s">
        <v>2648</v>
      </c>
      <c r="D26" s="855" t="s">
        <v>2623</v>
      </c>
      <c r="E26" s="2134">
        <v>109766</v>
      </c>
      <c r="F26" s="2135">
        <f>INDEX('Inventory Report_5.4.2017'!$H$5:$W$603,MATCH($E26,'Inventory Report_5.4.2017'!$B$5:$B$603,0),MATCH($F$3,'Inventory Report_5.4.2017'!$H$2:$W$2,0))</f>
        <v>1</v>
      </c>
      <c r="G26" s="2136">
        <f>IF(INDEX('Inventory Report_5.4.2017'!$H$5:$V$603,MATCH($E26,'Inventory Report_5.4.2017'!$B$5:$B$603,0),MATCH(INPUT!$H$8,'Inventory Report_5.4.2017'!$H$2:$V$2,0))=0,L26,INDEX('Inventory Report_5.4.2017'!$H$5:$V$603,MATCH($E26,'Inventory Report_5.4.2017'!$B$5:$B$603,0),MATCH(INPUT!$H$8,'Inventory Report_5.4.2017'!$H$2:$V$2,0)))</f>
        <v>330605.94</v>
      </c>
      <c r="H26" s="2138">
        <v>13968</v>
      </c>
      <c r="I26" s="2139">
        <f>INDEX('Inventory Report_5.4.2017'!$H$5:$W$603,MATCH($H26,'Inventory Report_5.4.2017'!$B$5:$B$603,0),MATCH($F$3,'Inventory Report_5.4.2017'!$H$2:$W$2,0))</f>
        <v>0</v>
      </c>
      <c r="J26" s="2145">
        <f>IF(INDEX('Inventory Report_5.4.2017'!$H$5:$V$603,MATCH($H26,'Inventory Report_5.4.2017'!$B$5:$B$603,0),MATCH(INPUT!$H$8,'Inventory Report_5.4.2017'!$H$2:$V$2,0))=0,R26,INDEX('Inventory Report_5.4.2017'!$H$5:$V$603,MATCH($H26,'Inventory Report_5.4.2017'!$B$5:$B$603,0),MATCH(INPUT!$H$8,'Inventory Report_5.4.2017'!$H$2:$V$2,0)))</f>
        <v>0</v>
      </c>
      <c r="K26" s="671"/>
      <c r="L26" s="2077">
        <f t="shared" si="2"/>
        <v>330605.94</v>
      </c>
      <c r="M26" s="2059">
        <f>INDEX('Inventory Report_5.4.2017'!$H$5:$V$603,MATCH($E26,'Inventory Report_5.4.2017'!$B$5:$B$603,0),MATCH($M$3,'Inventory Report_5.4.2017'!$H$2:$V$2,0))</f>
        <v>330605.94</v>
      </c>
      <c r="N26" s="2059">
        <f>INDEX('Inventory Report_5.4.2017'!$H$5:$V$603,MATCH($E26,'Inventory Report_5.4.2017'!$B$5:$B$603,0),MATCH($N$3,'Inventory Report_5.4.2017'!$H$2:$V$2,0))</f>
        <v>0</v>
      </c>
      <c r="O26" s="2059">
        <f>INDEX('Inventory Report_5.4.2017'!$H$5:$V$603,MATCH($E26,'Inventory Report_5.4.2017'!$B$5:$B$603,0),MATCH($O$3,'Inventory Report_5.4.2017'!$H$2:$V$2,0))</f>
        <v>0</v>
      </c>
      <c r="P26" s="2059">
        <f>INDEX('Inventory Report_5.4.2017'!$H$5:$V$603,MATCH($E26,'Inventory Report_5.4.2017'!$B$5:$B$603,0),MATCH($P$3,'Inventory Report_5.4.2017'!$H$2:$V$2,0))</f>
        <v>0</v>
      </c>
      <c r="Q26" s="2059">
        <f>INDEX('Inventory Report_5.4.2017'!$H$5:$V$603,MATCH($E26,'Inventory Report_5.4.2017'!$B$5:$B$603,0),MATCH($Q$3,'Inventory Report_5.4.2017'!$H$2:$V$2,0))</f>
        <v>0</v>
      </c>
      <c r="R26" s="2077">
        <f t="shared" si="1"/>
        <v>0</v>
      </c>
      <c r="S26" s="2059">
        <f>INDEX('Inventory Report_5.4.2017'!$H$5:$V$603,MATCH($H26,'Inventory Report_5.4.2017'!$B$5:$B$603,0),MATCH($S$3,'Inventory Report_5.4.2017'!$H$2:$V$2,0))</f>
        <v>0</v>
      </c>
      <c r="T26" s="2059">
        <f>INDEX('Inventory Report_5.4.2017'!$H$5:$V$603,MATCH($H26,'Inventory Report_5.4.2017'!$B$5:$B$603,0),MATCH($T$3,'Inventory Report_5.4.2017'!$H$2:$V$2,0))</f>
        <v>0</v>
      </c>
      <c r="U26" s="2059">
        <f>INDEX('Inventory Report_5.4.2017'!$H$5:$V$603,MATCH($H26,'Inventory Report_5.4.2017'!$B$5:$B$603,0),MATCH($U$3,'Inventory Report_5.4.2017'!$H$2:$V$2,0))</f>
        <v>0</v>
      </c>
      <c r="V26" s="2059">
        <f>INDEX('Inventory Report_5.4.2017'!$H$5:$V$603,MATCH($H26,'Inventory Report_5.4.2017'!$B$5:$B$603,0),MATCH($V$3,'Inventory Report_5.4.2017'!$H$2:$V$2,0))</f>
        <v>0</v>
      </c>
      <c r="W26" s="2059">
        <f>INDEX('Inventory Report_5.4.2017'!$H$5:$V$603,MATCH($H26,'Inventory Report_5.4.2017'!$B$5:$B$603,0),MATCH($W$3,'Inventory Report_5.4.2017'!$H$2:$V$2,0))</f>
        <v>0</v>
      </c>
    </row>
    <row r="27" spans="1:23" ht="15" x14ac:dyDescent="0.2">
      <c r="A27" s="875"/>
      <c r="B27" s="2151" t="s">
        <v>652</v>
      </c>
      <c r="C27" s="855" t="s">
        <v>2648</v>
      </c>
      <c r="D27" s="855" t="s">
        <v>2625</v>
      </c>
      <c r="E27" s="2134">
        <v>8910</v>
      </c>
      <c r="F27" s="2135">
        <f>INDEX('Inventory Report_5.4.2017'!$H$5:$W$603,MATCH($E27,'Inventory Report_5.4.2017'!$B$5:$B$603,0),MATCH($F$3,'Inventory Report_5.4.2017'!$H$2:$W$2,0))</f>
        <v>0</v>
      </c>
      <c r="G27" s="2136">
        <f>IF(INDEX('Inventory Report_5.4.2017'!$H$5:$V$603,MATCH($E27,'Inventory Report_5.4.2017'!$B$5:$B$603,0),MATCH(INPUT!$H$8,'Inventory Report_5.4.2017'!$H$2:$V$2,0))=0,L27,INDEX('Inventory Report_5.4.2017'!$H$5:$V$603,MATCH($E27,'Inventory Report_5.4.2017'!$B$5:$B$603,0),MATCH(INPUT!$H$8,'Inventory Report_5.4.2017'!$H$2:$V$2,0)))</f>
        <v>0</v>
      </c>
      <c r="H27" s="2138">
        <v>13969</v>
      </c>
      <c r="I27" s="2139">
        <f>INDEX('Inventory Report_5.4.2017'!$H$5:$W$603,MATCH($H27,'Inventory Report_5.4.2017'!$B$5:$B$603,0),MATCH($F$3,'Inventory Report_5.4.2017'!$H$2:$W$2,0))</f>
        <v>0</v>
      </c>
      <c r="J27" s="2145">
        <f>IF(INDEX('Inventory Report_5.4.2017'!$H$5:$V$603,MATCH($H27,'Inventory Report_5.4.2017'!$B$5:$B$603,0),MATCH(INPUT!$H$8,'Inventory Report_5.4.2017'!$H$2:$V$2,0))=0,R27,INDEX('Inventory Report_5.4.2017'!$H$5:$V$603,MATCH($H27,'Inventory Report_5.4.2017'!$B$5:$B$603,0),MATCH(INPUT!$H$8,'Inventory Report_5.4.2017'!$H$2:$V$2,0)))</f>
        <v>0</v>
      </c>
      <c r="K27" s="671"/>
      <c r="L27" s="2077">
        <f t="shared" si="2"/>
        <v>0</v>
      </c>
      <c r="M27" s="2059">
        <f>INDEX('Inventory Report_5.4.2017'!$H$5:$V$603,MATCH($E27,'Inventory Report_5.4.2017'!$B$5:$B$603,0),MATCH($M$3,'Inventory Report_5.4.2017'!$H$2:$V$2,0))</f>
        <v>0</v>
      </c>
      <c r="N27" s="2059">
        <f>INDEX('Inventory Report_5.4.2017'!$H$5:$V$603,MATCH($E27,'Inventory Report_5.4.2017'!$B$5:$B$603,0),MATCH($N$3,'Inventory Report_5.4.2017'!$H$2:$V$2,0))</f>
        <v>0</v>
      </c>
      <c r="O27" s="2059">
        <f>INDEX('Inventory Report_5.4.2017'!$H$5:$V$603,MATCH($E27,'Inventory Report_5.4.2017'!$B$5:$B$603,0),MATCH($O$3,'Inventory Report_5.4.2017'!$H$2:$V$2,0))</f>
        <v>0</v>
      </c>
      <c r="P27" s="2059">
        <f>INDEX('Inventory Report_5.4.2017'!$H$5:$V$603,MATCH($E27,'Inventory Report_5.4.2017'!$B$5:$B$603,0),MATCH($P$3,'Inventory Report_5.4.2017'!$H$2:$V$2,0))</f>
        <v>0</v>
      </c>
      <c r="Q27" s="2059">
        <f>INDEX('Inventory Report_5.4.2017'!$H$5:$V$603,MATCH($E27,'Inventory Report_5.4.2017'!$B$5:$B$603,0),MATCH($Q$3,'Inventory Report_5.4.2017'!$H$2:$V$2,0))</f>
        <v>0</v>
      </c>
      <c r="R27" s="2077">
        <f t="shared" si="1"/>
        <v>0</v>
      </c>
      <c r="S27" s="2059">
        <f>INDEX('Inventory Report_5.4.2017'!$H$5:$V$603,MATCH($H27,'Inventory Report_5.4.2017'!$B$5:$B$603,0),MATCH($S$3,'Inventory Report_5.4.2017'!$H$2:$V$2,0))</f>
        <v>0</v>
      </c>
      <c r="T27" s="2059">
        <f>INDEX('Inventory Report_5.4.2017'!$H$5:$V$603,MATCH($H27,'Inventory Report_5.4.2017'!$B$5:$B$603,0),MATCH($T$3,'Inventory Report_5.4.2017'!$H$2:$V$2,0))</f>
        <v>0</v>
      </c>
      <c r="U27" s="2059">
        <f>INDEX('Inventory Report_5.4.2017'!$H$5:$V$603,MATCH($H27,'Inventory Report_5.4.2017'!$B$5:$B$603,0),MATCH($U$3,'Inventory Report_5.4.2017'!$H$2:$V$2,0))</f>
        <v>0</v>
      </c>
      <c r="V27" s="2059">
        <f>INDEX('Inventory Report_5.4.2017'!$H$5:$V$603,MATCH($H27,'Inventory Report_5.4.2017'!$B$5:$B$603,0),MATCH($V$3,'Inventory Report_5.4.2017'!$H$2:$V$2,0))</f>
        <v>0</v>
      </c>
      <c r="W27" s="2059">
        <f>INDEX('Inventory Report_5.4.2017'!$H$5:$V$603,MATCH($H27,'Inventory Report_5.4.2017'!$B$5:$B$603,0),MATCH($W$3,'Inventory Report_5.4.2017'!$H$2:$V$2,0))</f>
        <v>0</v>
      </c>
    </row>
    <row r="28" spans="1:23" ht="15" x14ac:dyDescent="0.2">
      <c r="A28" s="875"/>
      <c r="B28" s="870"/>
      <c r="C28" s="855" t="s">
        <v>2649</v>
      </c>
      <c r="D28" s="855" t="s">
        <v>2634</v>
      </c>
      <c r="E28" s="2134">
        <v>8911</v>
      </c>
      <c r="F28" s="2135">
        <f>INDEX('Inventory Report_5.4.2017'!$H$5:$W$603,MATCH($E28,'Inventory Report_5.4.2017'!$B$5:$B$603,0),MATCH($F$3,'Inventory Report_5.4.2017'!$H$2:$W$2,0))</f>
        <v>8</v>
      </c>
      <c r="G28" s="2136">
        <f>IF(INDEX('Inventory Report_5.4.2017'!$H$5:$V$603,MATCH($E28,'Inventory Report_5.4.2017'!$B$5:$B$603,0),MATCH(INPUT!$H$8,'Inventory Report_5.4.2017'!$H$2:$V$2,0))=0,L28,INDEX('Inventory Report_5.4.2017'!$H$5:$V$603,MATCH($E28,'Inventory Report_5.4.2017'!$B$5:$B$603,0),MATCH(INPUT!$H$8,'Inventory Report_5.4.2017'!$H$2:$V$2,0)))</f>
        <v>214046.60250000001</v>
      </c>
      <c r="H28" s="2140"/>
      <c r="I28" s="2141"/>
      <c r="J28" s="2142"/>
      <c r="K28" s="671"/>
      <c r="L28" s="2077">
        <f t="shared" si="2"/>
        <v>216414.14083333334</v>
      </c>
      <c r="M28" s="2059">
        <f>INDEX('Inventory Report_5.4.2017'!$H$5:$V$603,MATCH($E28,'Inventory Report_5.4.2017'!$B$5:$B$603,0),MATCH($M$3,'Inventory Report_5.4.2017'!$H$2:$V$2,0))</f>
        <v>214046.6</v>
      </c>
      <c r="N28" s="2059">
        <f>INDEX('Inventory Report_5.4.2017'!$H$5:$V$603,MATCH($E28,'Inventory Report_5.4.2017'!$B$5:$B$603,0),MATCH($N$3,'Inventory Report_5.4.2017'!$H$2:$V$2,0))</f>
        <v>0</v>
      </c>
      <c r="O28" s="2059">
        <f>INDEX('Inventory Report_5.4.2017'!$H$5:$V$603,MATCH($E28,'Inventory Report_5.4.2017'!$B$5:$B$603,0),MATCH($O$3,'Inventory Report_5.4.2017'!$H$2:$V$2,0))</f>
        <v>214046.60250000001</v>
      </c>
      <c r="P28" s="2059">
        <f>INDEX('Inventory Report_5.4.2017'!$H$5:$V$603,MATCH($E28,'Inventory Report_5.4.2017'!$B$5:$B$603,0),MATCH($P$3,'Inventory Report_5.4.2017'!$H$2:$V$2,0))</f>
        <v>221149.22</v>
      </c>
      <c r="Q28" s="2059">
        <f>INDEX('Inventory Report_5.4.2017'!$H$5:$V$603,MATCH($E28,'Inventory Report_5.4.2017'!$B$5:$B$603,0),MATCH($Q$3,'Inventory Report_5.4.2017'!$H$2:$V$2,0))</f>
        <v>0</v>
      </c>
      <c r="R28" s="2077">
        <f t="shared" si="1"/>
        <v>0</v>
      </c>
      <c r="S28" s="2147"/>
      <c r="T28" s="2147"/>
      <c r="U28" s="2147"/>
      <c r="V28" s="2147"/>
      <c r="W28" s="2147"/>
    </row>
    <row r="29" spans="1:23" ht="15" x14ac:dyDescent="0.2">
      <c r="A29" s="875"/>
      <c r="B29" s="870"/>
      <c r="C29" s="855" t="s">
        <v>2649</v>
      </c>
      <c r="D29" s="855" t="s">
        <v>2635</v>
      </c>
      <c r="E29" s="2134">
        <v>112532</v>
      </c>
      <c r="F29" s="2135">
        <f>INDEX('Inventory Report_5.4.2017'!$H$5:$W$603,MATCH($E29,'Inventory Report_5.4.2017'!$B$5:$B$603,0),MATCH($F$3,'Inventory Report_5.4.2017'!$H$2:$W$2,0))</f>
        <v>0</v>
      </c>
      <c r="G29" s="2136">
        <f>IF(INDEX('Inventory Report_5.4.2017'!$H$5:$V$603,MATCH($E29,'Inventory Report_5.4.2017'!$B$5:$B$603,0),MATCH(INPUT!$H$8,'Inventory Report_5.4.2017'!$H$2:$V$2,0))=0,L29,INDEX('Inventory Report_5.4.2017'!$H$5:$V$603,MATCH($E29,'Inventory Report_5.4.2017'!$B$5:$B$603,0),MATCH(INPUT!$H$8,'Inventory Report_5.4.2017'!$H$2:$V$2,0)))</f>
        <v>0</v>
      </c>
      <c r="H29" s="2140"/>
      <c r="I29" s="2141"/>
      <c r="J29" s="2142"/>
      <c r="K29" s="671"/>
      <c r="L29" s="2077">
        <f t="shared" si="2"/>
        <v>0</v>
      </c>
      <c r="M29" s="2059">
        <f>INDEX('Inventory Report_5.4.2017'!$H$5:$V$603,MATCH($E29,'Inventory Report_5.4.2017'!$B$5:$B$603,0),MATCH($M$3,'Inventory Report_5.4.2017'!$H$2:$V$2,0))</f>
        <v>0</v>
      </c>
      <c r="N29" s="2059">
        <f>INDEX('Inventory Report_5.4.2017'!$H$5:$V$603,MATCH($E29,'Inventory Report_5.4.2017'!$B$5:$B$603,0),MATCH($N$3,'Inventory Report_5.4.2017'!$H$2:$V$2,0))</f>
        <v>0</v>
      </c>
      <c r="O29" s="2059">
        <f>INDEX('Inventory Report_5.4.2017'!$H$5:$V$603,MATCH($E29,'Inventory Report_5.4.2017'!$B$5:$B$603,0),MATCH($O$3,'Inventory Report_5.4.2017'!$H$2:$V$2,0))</f>
        <v>0</v>
      </c>
      <c r="P29" s="2059">
        <f>INDEX('Inventory Report_5.4.2017'!$H$5:$V$603,MATCH($E29,'Inventory Report_5.4.2017'!$B$5:$B$603,0),MATCH($P$3,'Inventory Report_5.4.2017'!$H$2:$V$2,0))</f>
        <v>0</v>
      </c>
      <c r="Q29" s="2059">
        <f>INDEX('Inventory Report_5.4.2017'!$H$5:$V$603,MATCH($E29,'Inventory Report_5.4.2017'!$B$5:$B$603,0),MATCH($Q$3,'Inventory Report_5.4.2017'!$H$2:$V$2,0))</f>
        <v>0</v>
      </c>
      <c r="R29" s="2077">
        <f t="shared" si="1"/>
        <v>0</v>
      </c>
      <c r="S29" s="2147"/>
      <c r="T29" s="2147"/>
      <c r="U29" s="2147"/>
      <c r="V29" s="2147"/>
      <c r="W29" s="2147"/>
    </row>
    <row r="30" spans="1:23" ht="15" x14ac:dyDescent="0.2">
      <c r="A30" s="875"/>
      <c r="B30" s="870"/>
      <c r="C30" s="855" t="s">
        <v>2650</v>
      </c>
      <c r="D30" s="855" t="s">
        <v>2634</v>
      </c>
      <c r="E30" s="2134">
        <v>14052</v>
      </c>
      <c r="F30" s="2135">
        <f>INDEX('Inventory Report_5.4.2017'!$H$5:$W$603,MATCH($E30,'Inventory Report_5.4.2017'!$B$5:$B$603,0),MATCH($F$3,'Inventory Report_5.4.2017'!$H$2:$W$2,0))</f>
        <v>3</v>
      </c>
      <c r="G30" s="2136">
        <f>IF(INDEX('Inventory Report_5.4.2017'!$H$5:$V$603,MATCH($E30,'Inventory Report_5.4.2017'!$B$5:$B$603,0),MATCH(INPUT!$H$8,'Inventory Report_5.4.2017'!$H$2:$V$2,0))=0,L30,INDEX('Inventory Report_5.4.2017'!$H$5:$V$603,MATCH($E30,'Inventory Report_5.4.2017'!$B$5:$B$603,0),MATCH(INPUT!$H$8,'Inventory Report_5.4.2017'!$H$2:$V$2,0)))</f>
        <v>211888.74</v>
      </c>
      <c r="H30" s="2140"/>
      <c r="I30" s="2141"/>
      <c r="J30" s="2142"/>
      <c r="K30" s="671"/>
      <c r="L30" s="2077">
        <f t="shared" si="2"/>
        <v>211888.74</v>
      </c>
      <c r="M30" s="2059">
        <f>INDEX('Inventory Report_5.4.2017'!$H$5:$V$603,MATCH($E30,'Inventory Report_5.4.2017'!$B$5:$B$603,0),MATCH($M$3,'Inventory Report_5.4.2017'!$H$2:$V$2,0))</f>
        <v>211888.74</v>
      </c>
      <c r="N30" s="2059">
        <f>INDEX('Inventory Report_5.4.2017'!$H$5:$V$603,MATCH($E30,'Inventory Report_5.4.2017'!$B$5:$B$603,0),MATCH($N$3,'Inventory Report_5.4.2017'!$H$2:$V$2,0))</f>
        <v>0</v>
      </c>
      <c r="O30" s="2059">
        <f>INDEX('Inventory Report_5.4.2017'!$H$5:$V$603,MATCH($E30,'Inventory Report_5.4.2017'!$B$5:$B$603,0),MATCH($O$3,'Inventory Report_5.4.2017'!$H$2:$V$2,0))</f>
        <v>211888.74</v>
      </c>
      <c r="P30" s="2059">
        <f>INDEX('Inventory Report_5.4.2017'!$H$5:$V$603,MATCH($E30,'Inventory Report_5.4.2017'!$B$5:$B$603,0),MATCH($P$3,'Inventory Report_5.4.2017'!$H$2:$V$2,0))</f>
        <v>211888.74</v>
      </c>
      <c r="Q30" s="2059">
        <f>INDEX('Inventory Report_5.4.2017'!$H$5:$V$603,MATCH($E30,'Inventory Report_5.4.2017'!$B$5:$B$603,0),MATCH($Q$3,'Inventory Report_5.4.2017'!$H$2:$V$2,0))</f>
        <v>0</v>
      </c>
      <c r="R30" s="2077">
        <f t="shared" si="1"/>
        <v>0</v>
      </c>
      <c r="S30" s="2147"/>
      <c r="T30" s="2147"/>
      <c r="U30" s="2147"/>
      <c r="V30" s="2147"/>
      <c r="W30" s="2147"/>
    </row>
    <row r="31" spans="1:23" ht="16" thickBot="1" x14ac:dyDescent="0.25">
      <c r="A31" s="876"/>
      <c r="B31" s="877"/>
      <c r="C31" s="2124" t="s">
        <v>2650</v>
      </c>
      <c r="D31" s="2125" t="s">
        <v>2635</v>
      </c>
      <c r="E31" s="2137">
        <v>13942</v>
      </c>
      <c r="F31" s="2135">
        <f>INDEX('Inventory Report_5.4.2017'!$H$5:$W$603,MATCH($E31,'Inventory Report_5.4.2017'!$B$5:$B$603,0),MATCH($F$3,'Inventory Report_5.4.2017'!$H$2:$W$2,0))</f>
        <v>2</v>
      </c>
      <c r="G31" s="2136">
        <f>IF(INDEX('Inventory Report_5.4.2017'!$H$5:$V$603,MATCH($E31,'Inventory Report_5.4.2017'!$B$5:$B$603,0),MATCH(INPUT!$H$8,'Inventory Report_5.4.2017'!$H$2:$V$2,0))=0,L31,INDEX('Inventory Report_5.4.2017'!$H$5:$V$603,MATCH($E31,'Inventory Report_5.4.2017'!$B$5:$B$603,0),MATCH(INPUT!$H$8,'Inventory Report_5.4.2017'!$H$2:$V$2,0)))</f>
        <v>246265.65</v>
      </c>
      <c r="H31" s="2143"/>
      <c r="I31" s="2141"/>
      <c r="J31" s="2144"/>
      <c r="K31" s="671"/>
      <c r="L31" s="2077">
        <f t="shared" si="2"/>
        <v>246265.65</v>
      </c>
      <c r="M31" s="2059">
        <f>INDEX('Inventory Report_5.4.2017'!$H$5:$V$603,MATCH($E31,'Inventory Report_5.4.2017'!$B$5:$B$603,0),MATCH($M$3,'Inventory Report_5.4.2017'!$H$2:$V$2,0))</f>
        <v>246265.65</v>
      </c>
      <c r="N31" s="2059">
        <f>INDEX('Inventory Report_5.4.2017'!$H$5:$V$603,MATCH($E31,'Inventory Report_5.4.2017'!$B$5:$B$603,0),MATCH($N$3,'Inventory Report_5.4.2017'!$H$2:$V$2,0))</f>
        <v>0</v>
      </c>
      <c r="O31" s="2059">
        <f>INDEX('Inventory Report_5.4.2017'!$H$5:$V$603,MATCH($E31,'Inventory Report_5.4.2017'!$B$5:$B$603,0),MATCH($O$3,'Inventory Report_5.4.2017'!$H$2:$V$2,0))</f>
        <v>0</v>
      </c>
      <c r="P31" s="2059">
        <f>INDEX('Inventory Report_5.4.2017'!$H$5:$V$603,MATCH($E31,'Inventory Report_5.4.2017'!$B$5:$B$603,0),MATCH($P$3,'Inventory Report_5.4.2017'!$H$2:$V$2,0))</f>
        <v>246265.65</v>
      </c>
      <c r="Q31" s="2059">
        <f>INDEX('Inventory Report_5.4.2017'!$H$5:$V$603,MATCH($E31,'Inventory Report_5.4.2017'!$B$5:$B$603,0),MATCH($Q$3,'Inventory Report_5.4.2017'!$H$2:$V$2,0))</f>
        <v>0</v>
      </c>
      <c r="R31" s="2077">
        <f t="shared" si="1"/>
        <v>0</v>
      </c>
      <c r="S31" s="2147"/>
      <c r="T31" s="2147"/>
      <c r="U31" s="2147"/>
      <c r="V31" s="2147"/>
      <c r="W31" s="2147"/>
    </row>
    <row r="32" spans="1:23" x14ac:dyDescent="0.15"/>
    <row r="33" spans="14:14" x14ac:dyDescent="0.15"/>
    <row r="34" spans="14:14" x14ac:dyDescent="0.15"/>
    <row r="35" spans="14:14" x14ac:dyDescent="0.15"/>
    <row r="36" spans="14:14" x14ac:dyDescent="0.15"/>
    <row r="37" spans="14:14" x14ac:dyDescent="0.15">
      <c r="N37" s="671">
        <f>AVERAGE(M4:Q4)</f>
        <v>224155.04100000003</v>
      </c>
    </row>
    <row r="38" spans="14:14" x14ac:dyDescent="0.15"/>
    <row r="39" spans="14:14" x14ac:dyDescent="0.15"/>
    <row r="40" spans="14:14" x14ac:dyDescent="0.15"/>
    <row r="41" spans="14:14" x14ac:dyDescent="0.15"/>
    <row r="42" spans="14:14" x14ac:dyDescent="0.15"/>
    <row r="43" spans="14:14" x14ac:dyDescent="0.15"/>
    <row r="44" spans="14:14" x14ac:dyDescent="0.15"/>
    <row r="45" spans="14:14" x14ac:dyDescent="0.15"/>
    <row r="46" spans="14:14" x14ac:dyDescent="0.15"/>
    <row r="47" spans="14:14" x14ac:dyDescent="0.15"/>
    <row r="48" spans="14:14" x14ac:dyDescent="0.15"/>
    <row r="49" x14ac:dyDescent="0.15"/>
    <row r="50" x14ac:dyDescent="0.15"/>
    <row r="51" x14ac:dyDescent="0.15"/>
    <row r="52" x14ac:dyDescent="0.15"/>
    <row r="53" x14ac:dyDescent="0.15"/>
    <row r="54" x14ac:dyDescent="0.15"/>
    <row r="55" x14ac:dyDescent="0.15"/>
    <row r="56" x14ac:dyDescent="0.15"/>
    <row r="57" x14ac:dyDescent="0.15"/>
    <row r="58" x14ac:dyDescent="0.15"/>
  </sheetData>
  <mergeCells count="2">
    <mergeCell ref="E2:G2"/>
    <mergeCell ref="H2:J2"/>
  </mergeCells>
  <dataValidations disablePrompts="1" count="1">
    <dataValidation type="list" allowBlank="1" showInputMessage="1" showErrorMessage="1" sqref="M3 S3">
      <formula1>#REF!</formula1>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63"/>
  <sheetViews>
    <sheetView workbookViewId="0">
      <selection activeCell="F19" sqref="F19"/>
    </sheetView>
  </sheetViews>
  <sheetFormatPr baseColWidth="10" defaultColWidth="8.83203125" defaultRowHeight="13" x14ac:dyDescent="0.15"/>
  <cols>
    <col min="3" max="3" width="41" customWidth="1"/>
    <col min="4" max="4" width="12.5" customWidth="1"/>
    <col min="9" max="9" width="15.83203125" style="1760" customWidth="1"/>
    <col min="10" max="13" width="11.6640625" bestFit="1" customWidth="1"/>
  </cols>
  <sheetData>
    <row r="1" spans="1:17" ht="15" x14ac:dyDescent="0.2">
      <c r="A1" s="1745" t="s">
        <v>1283</v>
      </c>
      <c r="B1" s="1730"/>
      <c r="C1" s="1746">
        <v>42759.398011342593</v>
      </c>
      <c r="D1" s="1745"/>
      <c r="E1" s="1750" t="s">
        <v>1284</v>
      </c>
      <c r="F1" s="2330" t="s">
        <v>1285</v>
      </c>
      <c r="G1" s="2330"/>
      <c r="H1" s="2330"/>
      <c r="I1" s="1759"/>
      <c r="J1" s="1747"/>
      <c r="K1" s="1747"/>
      <c r="L1" s="1747"/>
      <c r="M1" s="1747"/>
      <c r="O1" s="2331" t="s">
        <v>2101</v>
      </c>
      <c r="P1" s="2331"/>
      <c r="Q1" s="2331"/>
    </row>
    <row r="2" spans="1:17" ht="15" x14ac:dyDescent="0.2">
      <c r="A2" s="1745" t="s">
        <v>1286</v>
      </c>
      <c r="B2" s="1730"/>
      <c r="C2" s="1731" t="s">
        <v>1287</v>
      </c>
      <c r="D2" s="1745"/>
      <c r="E2" s="1750"/>
      <c r="F2" s="1730"/>
      <c r="G2" s="1730"/>
      <c r="H2" s="1730"/>
      <c r="I2" s="1759"/>
      <c r="J2" s="1747"/>
      <c r="K2" s="1747"/>
      <c r="L2" s="1747"/>
      <c r="M2" s="1747"/>
      <c r="O2" s="1649"/>
    </row>
    <row r="3" spans="1:17" ht="15" customHeight="1" x14ac:dyDescent="0.2">
      <c r="A3" s="1729"/>
      <c r="B3" s="1735"/>
      <c r="C3" s="1735"/>
      <c r="D3" s="1735"/>
      <c r="E3" s="1741"/>
      <c r="F3" s="1735"/>
      <c r="G3" s="1735"/>
      <c r="H3" s="1735"/>
      <c r="I3" s="1761" t="s">
        <v>2100</v>
      </c>
      <c r="J3" s="1756" t="s">
        <v>327</v>
      </c>
      <c r="K3" s="1756" t="s">
        <v>52</v>
      </c>
      <c r="L3" s="1756" t="s">
        <v>379</v>
      </c>
      <c r="M3" s="1756" t="s">
        <v>378</v>
      </c>
    </row>
    <row r="4" spans="1:17" ht="39" x14ac:dyDescent="0.2">
      <c r="A4" s="1729"/>
      <c r="B4" s="1737" t="s">
        <v>432</v>
      </c>
      <c r="C4" s="1740" t="s">
        <v>1288</v>
      </c>
      <c r="D4" s="1738" t="s">
        <v>1289</v>
      </c>
      <c r="E4" s="1738" t="s">
        <v>1290</v>
      </c>
      <c r="F4" s="1738" t="s">
        <v>1291</v>
      </c>
      <c r="G4" s="1739" t="s">
        <v>452</v>
      </c>
      <c r="H4" s="1740" t="s">
        <v>1292</v>
      </c>
      <c r="I4" s="1762" t="s">
        <v>928</v>
      </c>
      <c r="J4" s="1748" t="s">
        <v>928</v>
      </c>
      <c r="K4" s="1748" t="s">
        <v>928</v>
      </c>
      <c r="L4" s="1748" t="s">
        <v>928</v>
      </c>
      <c r="M4" s="1748" t="s">
        <v>928</v>
      </c>
    </row>
    <row r="5" spans="1:17" ht="15" x14ac:dyDescent="0.2">
      <c r="A5" s="1729"/>
      <c r="B5" s="1732">
        <v>710</v>
      </c>
      <c r="C5" s="1732" t="s">
        <v>1293</v>
      </c>
      <c r="D5" s="1758" t="s">
        <v>2102</v>
      </c>
      <c r="E5" s="1732" t="s">
        <v>1294</v>
      </c>
      <c r="F5" s="1732" t="s">
        <v>94</v>
      </c>
      <c r="G5" s="1735" t="s">
        <v>1295</v>
      </c>
      <c r="H5" s="1735" t="s">
        <v>1296</v>
      </c>
      <c r="I5" s="1763">
        <v>0</v>
      </c>
      <c r="J5" s="1749">
        <v>326005.61</v>
      </c>
      <c r="K5" s="1749">
        <v>0</v>
      </c>
      <c r="L5" s="1749">
        <v>0</v>
      </c>
      <c r="M5" s="1749">
        <v>0</v>
      </c>
    </row>
    <row r="6" spans="1:17" ht="15" x14ac:dyDescent="0.2">
      <c r="A6" s="1729"/>
      <c r="B6" s="1732">
        <v>3078</v>
      </c>
      <c r="C6" s="1732" t="s">
        <v>1297</v>
      </c>
      <c r="D6" s="1733" t="s">
        <v>1298</v>
      </c>
      <c r="E6" s="1751" t="s">
        <v>1299</v>
      </c>
      <c r="F6" s="1732" t="s">
        <v>94</v>
      </c>
      <c r="G6" s="1735" t="s">
        <v>1300</v>
      </c>
      <c r="H6" s="1758" t="e">
        <f>INDEX('Inventory Consu'!$J$5:$M$463,MATCH(#REF!,'Inventory Consu'!$B$5:$B$463,0),MATCH(INPUT!$H$8,'Inventory Consu'!$J$3:$M$3,0))</f>
        <v>#REF!</v>
      </c>
      <c r="I6" s="1763">
        <v>0</v>
      </c>
      <c r="J6" s="1749">
        <v>0</v>
      </c>
      <c r="K6" s="1749">
        <v>0</v>
      </c>
      <c r="L6" s="1749">
        <v>0</v>
      </c>
      <c r="M6" s="1749">
        <v>594996.93999999994</v>
      </c>
    </row>
    <row r="7" spans="1:17" ht="15" x14ac:dyDescent="0.2">
      <c r="A7" s="1729"/>
      <c r="B7" s="1752">
        <v>3086</v>
      </c>
      <c r="C7" s="1752" t="s">
        <v>1301</v>
      </c>
      <c r="D7" s="1753" t="s">
        <v>1302</v>
      </c>
      <c r="E7" s="1751" t="s">
        <v>1299</v>
      </c>
      <c r="F7" s="1732" t="s">
        <v>94</v>
      </c>
      <c r="G7" s="1735" t="s">
        <v>1300</v>
      </c>
      <c r="H7" s="1735" t="s">
        <v>1303</v>
      </c>
      <c r="I7" s="1763">
        <v>0</v>
      </c>
      <c r="J7" s="1749">
        <v>35350.169705882356</v>
      </c>
      <c r="K7" s="1749">
        <v>33625.125351562499</v>
      </c>
      <c r="L7" s="1749">
        <v>32002.38935483871</v>
      </c>
      <c r="M7" s="1764">
        <f>L7</f>
        <v>32002.38935483871</v>
      </c>
    </row>
    <row r="8" spans="1:17" ht="15" x14ac:dyDescent="0.2">
      <c r="A8" s="1729"/>
      <c r="B8" s="1752">
        <v>3087</v>
      </c>
      <c r="C8" s="1752" t="s">
        <v>1304</v>
      </c>
      <c r="D8" s="1758" t="s">
        <v>2103</v>
      </c>
      <c r="E8" s="1751" t="s">
        <v>1299</v>
      </c>
      <c r="F8" s="1732" t="s">
        <v>94</v>
      </c>
      <c r="G8" s="1735" t="s">
        <v>1305</v>
      </c>
      <c r="H8" s="1735" t="s">
        <v>1303</v>
      </c>
      <c r="I8" s="1763">
        <v>44929.823750000003</v>
      </c>
      <c r="J8" s="1749">
        <v>9343.7670588235305</v>
      </c>
      <c r="K8" s="1749">
        <v>44468.519074074073</v>
      </c>
      <c r="L8" s="1749">
        <v>48271.850040983605</v>
      </c>
      <c r="M8" s="1749">
        <v>40803.49</v>
      </c>
    </row>
    <row r="9" spans="1:17" ht="15" x14ac:dyDescent="0.2">
      <c r="A9" s="1729"/>
      <c r="B9" s="1752">
        <v>3091</v>
      </c>
      <c r="C9" s="1752" t="str">
        <f>D9</f>
        <v>CASING; 18-5/8", 114 PPF, K55, BTC</v>
      </c>
      <c r="D9" s="1758" t="s">
        <v>2104</v>
      </c>
      <c r="E9" s="1751" t="s">
        <v>1299</v>
      </c>
      <c r="F9" s="1732" t="s">
        <v>94</v>
      </c>
      <c r="G9" s="1735" t="s">
        <v>1305</v>
      </c>
      <c r="H9" s="1735" t="s">
        <v>1303</v>
      </c>
      <c r="I9" s="1763">
        <v>0</v>
      </c>
      <c r="J9" s="1749">
        <v>132827.54958333334</v>
      </c>
      <c r="K9" s="1749">
        <v>44468.519074074073</v>
      </c>
      <c r="L9" s="1749">
        <v>147745.0434920635</v>
      </c>
      <c r="M9" s="1749">
        <v>134848.15</v>
      </c>
    </row>
    <row r="10" spans="1:17" ht="15" x14ac:dyDescent="0.2">
      <c r="A10" s="1729"/>
      <c r="B10" s="1752">
        <v>3109</v>
      </c>
      <c r="C10" s="1752" t="s">
        <v>1306</v>
      </c>
      <c r="D10" s="1758" t="s">
        <v>1307</v>
      </c>
      <c r="E10" s="1732" t="s">
        <v>1308</v>
      </c>
      <c r="F10" s="1732" t="s">
        <v>94</v>
      </c>
      <c r="G10" s="1741" t="s">
        <v>1300</v>
      </c>
      <c r="H10" s="1735" t="s">
        <v>1303</v>
      </c>
      <c r="I10" s="1763">
        <v>0</v>
      </c>
      <c r="J10" s="1764">
        <f>K10</f>
        <v>7990.5599999999995</v>
      </c>
      <c r="K10" s="1749">
        <v>7990.5599999999995</v>
      </c>
      <c r="L10" s="1749">
        <v>7990.56</v>
      </c>
      <c r="M10" s="1749">
        <v>7990.56</v>
      </c>
    </row>
    <row r="11" spans="1:17" ht="15" x14ac:dyDescent="0.2">
      <c r="A11" s="1729" t="s">
        <v>2099</v>
      </c>
      <c r="B11" s="1732">
        <v>3276</v>
      </c>
      <c r="C11" s="1732" t="s">
        <v>1309</v>
      </c>
      <c r="D11" s="1758" t="s">
        <v>1310</v>
      </c>
      <c r="E11" s="1732" t="s">
        <v>1311</v>
      </c>
      <c r="F11" s="1732" t="s">
        <v>94</v>
      </c>
      <c r="G11" s="1735" t="s">
        <v>1300</v>
      </c>
      <c r="H11" s="1735" t="s">
        <v>1296</v>
      </c>
      <c r="I11" s="1763">
        <v>33984.18</v>
      </c>
      <c r="J11" s="1749">
        <v>0</v>
      </c>
      <c r="K11" s="1749">
        <v>0</v>
      </c>
      <c r="L11" s="1749">
        <v>0</v>
      </c>
      <c r="M11" s="1749">
        <v>0</v>
      </c>
    </row>
    <row r="12" spans="1:17" ht="15" x14ac:dyDescent="0.2">
      <c r="A12" s="1729"/>
      <c r="B12" s="1732">
        <v>3277</v>
      </c>
      <c r="C12" s="1732" t="s">
        <v>1312</v>
      </c>
      <c r="D12" s="1733" t="s">
        <v>1313</v>
      </c>
      <c r="E12" s="1732" t="s">
        <v>1311</v>
      </c>
      <c r="F12" s="1732" t="s">
        <v>94</v>
      </c>
      <c r="G12" s="1735" t="s">
        <v>1300</v>
      </c>
      <c r="H12" s="1735" t="s">
        <v>1303</v>
      </c>
      <c r="I12" s="1763">
        <v>69715.070000000007</v>
      </c>
      <c r="J12" s="1749">
        <v>69715.08</v>
      </c>
      <c r="K12" s="1749">
        <v>0</v>
      </c>
      <c r="L12" s="1749">
        <v>0</v>
      </c>
      <c r="M12" s="1749">
        <v>0</v>
      </c>
    </row>
    <row r="13" spans="1:17" ht="15" x14ac:dyDescent="0.2">
      <c r="A13" s="1729"/>
      <c r="B13" s="1732">
        <v>3278</v>
      </c>
      <c r="C13" s="1732" t="s">
        <v>1314</v>
      </c>
      <c r="D13" s="1733" t="s">
        <v>1310</v>
      </c>
      <c r="E13" s="1732" t="s">
        <v>1311</v>
      </c>
      <c r="F13" s="1732" t="s">
        <v>94</v>
      </c>
      <c r="G13" s="1735" t="s">
        <v>1300</v>
      </c>
      <c r="H13" s="1735" t="s">
        <v>1303</v>
      </c>
      <c r="I13" s="1763">
        <v>0</v>
      </c>
      <c r="J13" s="1749">
        <v>0</v>
      </c>
      <c r="K13" s="1749">
        <v>58910.52</v>
      </c>
      <c r="L13" s="1749">
        <v>0</v>
      </c>
      <c r="M13" s="1749">
        <v>0</v>
      </c>
    </row>
    <row r="14" spans="1:17" ht="15" x14ac:dyDescent="0.2">
      <c r="A14" s="1729"/>
      <c r="B14" s="1732">
        <v>6108</v>
      </c>
      <c r="C14" s="1732" t="s">
        <v>1315</v>
      </c>
      <c r="D14" s="1758" t="s">
        <v>2105</v>
      </c>
      <c r="E14" s="1732" t="s">
        <v>1316</v>
      </c>
      <c r="F14" s="1732" t="s">
        <v>94</v>
      </c>
      <c r="G14" s="1735" t="s">
        <v>1300</v>
      </c>
      <c r="H14" s="1735" t="s">
        <v>1303</v>
      </c>
      <c r="I14" s="1763">
        <v>0</v>
      </c>
      <c r="J14" s="1749">
        <v>0</v>
      </c>
      <c r="K14" s="1749">
        <v>0</v>
      </c>
      <c r="L14" s="1749">
        <v>0</v>
      </c>
      <c r="M14" s="1749">
        <v>0</v>
      </c>
    </row>
    <row r="15" spans="1:17" ht="15" x14ac:dyDescent="0.2">
      <c r="A15" s="1729"/>
      <c r="B15" s="1732">
        <v>6109</v>
      </c>
      <c r="C15" s="1732" t="s">
        <v>1317</v>
      </c>
      <c r="D15" s="1732" t="s">
        <v>1318</v>
      </c>
      <c r="E15" s="1732" t="s">
        <v>1316</v>
      </c>
      <c r="F15" s="1732" t="s">
        <v>94</v>
      </c>
      <c r="G15" s="1735" t="s">
        <v>1300</v>
      </c>
      <c r="H15" s="1735" t="s">
        <v>1303</v>
      </c>
      <c r="I15" s="1763">
        <v>0</v>
      </c>
      <c r="J15" s="1749">
        <v>0</v>
      </c>
      <c r="K15" s="1749">
        <v>17493.080000000002</v>
      </c>
      <c r="L15" s="1749">
        <v>0</v>
      </c>
      <c r="M15" s="1749">
        <v>0</v>
      </c>
    </row>
    <row r="16" spans="1:17" ht="15" x14ac:dyDescent="0.2">
      <c r="A16" s="1729"/>
      <c r="B16" s="1732">
        <v>6110</v>
      </c>
      <c r="C16" s="1732" t="s">
        <v>1319</v>
      </c>
      <c r="D16" s="1732" t="s">
        <v>1320</v>
      </c>
      <c r="E16" s="1732" t="s">
        <v>1316</v>
      </c>
      <c r="F16" s="1732" t="s">
        <v>94</v>
      </c>
      <c r="G16" s="1735" t="s">
        <v>1300</v>
      </c>
      <c r="H16" s="1735" t="s">
        <v>1303</v>
      </c>
      <c r="I16" s="1763">
        <v>0</v>
      </c>
      <c r="J16" s="1749">
        <v>0</v>
      </c>
      <c r="K16" s="1749">
        <v>0</v>
      </c>
      <c r="L16" s="1749">
        <v>0</v>
      </c>
      <c r="M16" s="1749">
        <v>0</v>
      </c>
    </row>
    <row r="17" spans="2:13" ht="15" x14ac:dyDescent="0.2">
      <c r="B17" s="1732">
        <v>6111</v>
      </c>
      <c r="C17" s="1732" t="s">
        <v>1321</v>
      </c>
      <c r="D17" s="1732" t="s">
        <v>1322</v>
      </c>
      <c r="E17" s="1732" t="s">
        <v>1316</v>
      </c>
      <c r="F17" s="1732" t="s">
        <v>94</v>
      </c>
      <c r="G17" s="1735" t="s">
        <v>1300</v>
      </c>
      <c r="H17" s="1758" t="e">
        <f>INDEX('Inventory Consu'!$J$5:$M$463,MATCH(#REF!,'Inventory Consu'!$B$5:$B$463,0),MATCH(INPUT!$H$8,'Inventory Consu'!$J$3:$M$3,0))</f>
        <v>#REF!</v>
      </c>
      <c r="I17" s="1763">
        <v>0</v>
      </c>
      <c r="J17" s="1749">
        <v>0</v>
      </c>
      <c r="K17" s="1749">
        <v>12862.56</v>
      </c>
      <c r="L17" s="1749">
        <v>0</v>
      </c>
      <c r="M17" s="1749">
        <v>0</v>
      </c>
    </row>
    <row r="18" spans="2:13" ht="15" x14ac:dyDescent="0.2">
      <c r="B18" s="1732">
        <v>7279</v>
      </c>
      <c r="C18" s="1732" t="s">
        <v>1323</v>
      </c>
      <c r="D18" s="1733" t="s">
        <v>1324</v>
      </c>
      <c r="E18" s="1732" t="s">
        <v>1311</v>
      </c>
      <c r="F18" s="1732" t="s">
        <v>94</v>
      </c>
      <c r="G18" s="1735" t="s">
        <v>1325</v>
      </c>
      <c r="H18" s="1758" t="e">
        <f>INDEX('Inventory Consu'!$J$5:$M$463,MATCH(#REF!,'Inventory Consu'!$B$5:$B$463,0),MATCH(INPUT!$H$8,'Inventory Consu'!$J$3:$M$3,0))</f>
        <v>#REF!</v>
      </c>
      <c r="I18" s="1763">
        <v>65599.054999999993</v>
      </c>
      <c r="J18" s="1749">
        <v>0</v>
      </c>
      <c r="K18" s="1749">
        <v>0</v>
      </c>
      <c r="L18" s="1749">
        <v>0</v>
      </c>
      <c r="M18" s="1749">
        <v>0</v>
      </c>
    </row>
    <row r="19" spans="2:13" ht="15" x14ac:dyDescent="0.2">
      <c r="B19" s="1732">
        <v>7280</v>
      </c>
      <c r="C19" s="1732" t="s">
        <v>1326</v>
      </c>
      <c r="D19" s="1733" t="s">
        <v>1327</v>
      </c>
      <c r="E19" s="1732" t="s">
        <v>1311</v>
      </c>
      <c r="F19" s="1732" t="s">
        <v>94</v>
      </c>
      <c r="G19" s="1735" t="s">
        <v>1300</v>
      </c>
      <c r="H19" s="1735" t="s">
        <v>1303</v>
      </c>
      <c r="I19" s="1763">
        <v>0</v>
      </c>
      <c r="J19" s="1749">
        <v>58396.02</v>
      </c>
      <c r="K19" s="1749">
        <v>0</v>
      </c>
      <c r="L19" s="1749">
        <v>58396.02</v>
      </c>
      <c r="M19" s="1749">
        <v>0</v>
      </c>
    </row>
    <row r="20" spans="2:13" ht="15" x14ac:dyDescent="0.2">
      <c r="B20" s="1732">
        <v>7343</v>
      </c>
      <c r="C20" s="1732" t="s">
        <v>1328</v>
      </c>
      <c r="D20" s="1732" t="s">
        <v>1329</v>
      </c>
      <c r="E20" s="1732" t="s">
        <v>1330</v>
      </c>
      <c r="F20" s="1732" t="s">
        <v>94</v>
      </c>
      <c r="G20" s="1735" t="s">
        <v>1300</v>
      </c>
      <c r="H20" s="1735" t="s">
        <v>1296</v>
      </c>
      <c r="I20" s="1763">
        <v>0</v>
      </c>
      <c r="J20" s="1749">
        <v>0</v>
      </c>
      <c r="K20" s="1749">
        <v>0</v>
      </c>
      <c r="L20" s="1749">
        <v>0</v>
      </c>
      <c r="M20" s="1749">
        <v>0</v>
      </c>
    </row>
    <row r="21" spans="2:13" ht="15" x14ac:dyDescent="0.2">
      <c r="B21" s="1732">
        <v>7345</v>
      </c>
      <c r="C21" s="1732" t="s">
        <v>1331</v>
      </c>
      <c r="D21" s="1758" t="s">
        <v>2106</v>
      </c>
      <c r="E21" s="1732" t="s">
        <v>1330</v>
      </c>
      <c r="F21" s="1732" t="s">
        <v>94</v>
      </c>
      <c r="G21" s="1735" t="s">
        <v>1300</v>
      </c>
      <c r="H21" s="1735" t="s">
        <v>1303</v>
      </c>
      <c r="I21" s="1763">
        <v>0</v>
      </c>
      <c r="J21" s="1749">
        <v>0</v>
      </c>
      <c r="K21" s="1749">
        <v>0</v>
      </c>
      <c r="L21" s="1749">
        <v>0</v>
      </c>
      <c r="M21" s="1749">
        <v>0</v>
      </c>
    </row>
    <row r="22" spans="2:13" ht="15" x14ac:dyDescent="0.2">
      <c r="B22" s="1732">
        <v>7348</v>
      </c>
      <c r="C22" s="1732" t="s">
        <v>1332</v>
      </c>
      <c r="D22" s="1758" t="s">
        <v>2107</v>
      </c>
      <c r="E22" s="1732" t="s">
        <v>1330</v>
      </c>
      <c r="F22" s="1732" t="s">
        <v>94</v>
      </c>
      <c r="G22" s="1735" t="s">
        <v>1295</v>
      </c>
      <c r="H22" s="1735" t="s">
        <v>1303</v>
      </c>
      <c r="I22" s="1763">
        <v>0</v>
      </c>
      <c r="J22" s="1749">
        <v>0</v>
      </c>
      <c r="K22" s="1749">
        <v>0</v>
      </c>
      <c r="L22" s="1749">
        <v>0</v>
      </c>
      <c r="M22" s="1749">
        <v>0</v>
      </c>
    </row>
    <row r="23" spans="2:13" ht="15" x14ac:dyDescent="0.2">
      <c r="B23" s="1732">
        <v>8549</v>
      </c>
      <c r="C23" s="1732" t="s">
        <v>1333</v>
      </c>
      <c r="D23" s="1735" t="s">
        <v>1334</v>
      </c>
      <c r="E23" s="1732" t="s">
        <v>1335</v>
      </c>
      <c r="F23" s="1732" t="s">
        <v>94</v>
      </c>
      <c r="G23" s="1742" t="s">
        <v>1300</v>
      </c>
      <c r="H23" s="1735" t="s">
        <v>1296</v>
      </c>
      <c r="I23" s="1763">
        <v>0</v>
      </c>
      <c r="J23" s="1749">
        <v>1744.51</v>
      </c>
      <c r="K23" s="1749">
        <v>0</v>
      </c>
      <c r="L23" s="1749">
        <v>1744.51</v>
      </c>
      <c r="M23" s="1749">
        <v>0</v>
      </c>
    </row>
    <row r="24" spans="2:13" ht="15" x14ac:dyDescent="0.2">
      <c r="B24" s="1732">
        <v>41281</v>
      </c>
      <c r="C24" s="1732" t="s">
        <v>1336</v>
      </c>
      <c r="D24" s="1732" t="s">
        <v>1336</v>
      </c>
      <c r="E24" s="1732" t="s">
        <v>1335</v>
      </c>
      <c r="F24" s="1732" t="s">
        <v>94</v>
      </c>
      <c r="G24" s="1741" t="s">
        <v>1337</v>
      </c>
      <c r="H24" s="1741" t="s">
        <v>1303</v>
      </c>
      <c r="I24" s="1763">
        <v>0</v>
      </c>
      <c r="J24" s="1749">
        <v>0</v>
      </c>
      <c r="K24" s="1749">
        <v>0</v>
      </c>
      <c r="L24" s="1749">
        <v>0</v>
      </c>
      <c r="M24" s="1749">
        <v>0</v>
      </c>
    </row>
    <row r="25" spans="2:13" ht="15" x14ac:dyDescent="0.2">
      <c r="B25" s="1735">
        <v>8713</v>
      </c>
      <c r="C25" s="1735" t="s">
        <v>1338</v>
      </c>
      <c r="D25" s="1735"/>
      <c r="E25" s="1732" t="s">
        <v>1308</v>
      </c>
      <c r="F25" s="1735" t="s">
        <v>94</v>
      </c>
      <c r="G25" s="1735" t="s">
        <v>1300</v>
      </c>
      <c r="H25" s="1758" t="e">
        <f>INDEX('Inventory Consu'!$J$5:$M$463,MATCH(#REF!,'Inventory Consu'!$B$5:$B$463,0),MATCH(INPUT!$H$8,'Inventory Consu'!$J$3:$M$3,0))</f>
        <v>#REF!</v>
      </c>
      <c r="I25" s="1763">
        <v>0</v>
      </c>
      <c r="J25" s="1749">
        <v>0</v>
      </c>
      <c r="K25" s="1749">
        <v>0</v>
      </c>
      <c r="L25" s="1749">
        <v>0</v>
      </c>
      <c r="M25" s="1749">
        <v>0</v>
      </c>
    </row>
    <row r="26" spans="2:13" ht="15" x14ac:dyDescent="0.2">
      <c r="B26" s="1752">
        <v>8714</v>
      </c>
      <c r="C26" s="1752" t="s">
        <v>1339</v>
      </c>
      <c r="D26" s="1752" t="s">
        <v>1340</v>
      </c>
      <c r="E26" s="1732" t="s">
        <v>1308</v>
      </c>
      <c r="F26" s="1732" t="s">
        <v>94</v>
      </c>
      <c r="G26" s="1741" t="s">
        <v>1300</v>
      </c>
      <c r="H26" s="1735" t="s">
        <v>1303</v>
      </c>
      <c r="I26" s="1763">
        <v>13403.732</v>
      </c>
      <c r="J26" s="1749">
        <v>8203.8118181818172</v>
      </c>
      <c r="K26" s="1749">
        <v>11716.632000000001</v>
      </c>
      <c r="L26" s="1749">
        <v>8203.8116666666665</v>
      </c>
      <c r="M26" s="1749">
        <v>8203.81</v>
      </c>
    </row>
    <row r="27" spans="2:13" ht="15" x14ac:dyDescent="0.2">
      <c r="B27" s="1752">
        <v>8715</v>
      </c>
      <c r="C27" s="1752" t="s">
        <v>1341</v>
      </c>
      <c r="D27" s="1752" t="s">
        <v>1342</v>
      </c>
      <c r="E27" s="1732" t="s">
        <v>1308</v>
      </c>
      <c r="F27" s="1732" t="s">
        <v>94</v>
      </c>
      <c r="G27" s="1741" t="s">
        <v>1300</v>
      </c>
      <c r="H27" s="1735" t="s">
        <v>1303</v>
      </c>
      <c r="I27" s="1763">
        <v>0</v>
      </c>
      <c r="J27" s="1764">
        <f>K27</f>
        <v>11634.46</v>
      </c>
      <c r="K27" s="1749">
        <v>11634.46</v>
      </c>
      <c r="L27" s="1749">
        <v>12580.308888888889</v>
      </c>
      <c r="M27" s="1749">
        <v>11898.833076923076</v>
      </c>
    </row>
    <row r="28" spans="2:13" ht="15" x14ac:dyDescent="0.2">
      <c r="B28" s="1752">
        <v>8719</v>
      </c>
      <c r="C28" s="1752" t="s">
        <v>1343</v>
      </c>
      <c r="D28" s="1752" t="s">
        <v>1344</v>
      </c>
      <c r="E28" s="1732" t="s">
        <v>1308</v>
      </c>
      <c r="F28" s="1732" t="s">
        <v>94</v>
      </c>
      <c r="G28" s="1741" t="s">
        <v>1300</v>
      </c>
      <c r="H28" s="1735" t="s">
        <v>1303</v>
      </c>
      <c r="I28" s="1763">
        <v>20579.435999999998</v>
      </c>
      <c r="J28" s="1764">
        <f>K28</f>
        <v>20579.436428571429</v>
      </c>
      <c r="K28" s="1749">
        <v>20579.436428571429</v>
      </c>
      <c r="L28" s="1764">
        <f>K28</f>
        <v>20579.436428571429</v>
      </c>
      <c r="M28" s="1764">
        <f>L28</f>
        <v>20579.436428571429</v>
      </c>
    </row>
    <row r="29" spans="2:13" ht="15" x14ac:dyDescent="0.2">
      <c r="B29" s="1732">
        <v>65404</v>
      </c>
      <c r="C29" s="1732" t="s">
        <v>1345</v>
      </c>
      <c r="D29" s="1758" t="s">
        <v>2108</v>
      </c>
      <c r="E29" s="1732" t="s">
        <v>1335</v>
      </c>
      <c r="F29" s="1732" t="s">
        <v>94</v>
      </c>
      <c r="G29" s="1742" t="s">
        <v>1346</v>
      </c>
      <c r="H29" s="1735" t="s">
        <v>1303</v>
      </c>
      <c r="I29" s="1763">
        <v>0</v>
      </c>
      <c r="J29" s="1749">
        <v>0</v>
      </c>
      <c r="K29" s="1749">
        <v>0</v>
      </c>
      <c r="L29" s="1749">
        <v>0</v>
      </c>
      <c r="M29" s="1749">
        <v>0</v>
      </c>
    </row>
    <row r="30" spans="2:13" ht="15" x14ac:dyDescent="0.2">
      <c r="B30" s="1752">
        <v>8887</v>
      </c>
      <c r="C30" s="1752" t="s">
        <v>1347</v>
      </c>
      <c r="D30" s="1758" t="s">
        <v>2109</v>
      </c>
      <c r="E30" s="1732" t="s">
        <v>162</v>
      </c>
      <c r="F30" s="1732" t="s">
        <v>94</v>
      </c>
      <c r="G30" s="1735" t="s">
        <v>1300</v>
      </c>
      <c r="H30" s="1735" t="s">
        <v>1303</v>
      </c>
      <c r="I30" s="1763">
        <v>535618.67000000004</v>
      </c>
      <c r="J30" s="1749">
        <v>528683.94999999995</v>
      </c>
      <c r="K30" s="1764">
        <f>J30</f>
        <v>528683.94999999995</v>
      </c>
      <c r="L30" s="1764">
        <f>K30</f>
        <v>528683.94999999995</v>
      </c>
      <c r="M30" s="1764">
        <f>L30</f>
        <v>528683.94999999995</v>
      </c>
    </row>
    <row r="31" spans="2:13" ht="15" x14ac:dyDescent="0.2">
      <c r="B31" s="1752">
        <v>8889</v>
      </c>
      <c r="C31" s="1752" t="s">
        <v>1348</v>
      </c>
      <c r="D31" s="1753" t="s">
        <v>1349</v>
      </c>
      <c r="E31" s="1732" t="s">
        <v>162</v>
      </c>
      <c r="F31" s="1732" t="s">
        <v>94</v>
      </c>
      <c r="G31" s="1735" t="s">
        <v>1300</v>
      </c>
      <c r="H31" s="1735" t="s">
        <v>1303</v>
      </c>
      <c r="I31" s="1763">
        <v>0</v>
      </c>
      <c r="J31" s="1764">
        <f>K31</f>
        <v>1444849.2092857142</v>
      </c>
      <c r="K31" s="1749">
        <v>1444849.2092857142</v>
      </c>
      <c r="L31" s="1749">
        <v>1224652.4099999999</v>
      </c>
      <c r="M31" s="1749">
        <f>L31</f>
        <v>1224652.4099999999</v>
      </c>
    </row>
    <row r="32" spans="2:13" ht="15" x14ac:dyDescent="0.2">
      <c r="B32" s="1752">
        <v>8905</v>
      </c>
      <c r="C32" s="1752" t="s">
        <v>1350</v>
      </c>
      <c r="D32" s="1753" t="s">
        <v>1351</v>
      </c>
      <c r="E32" s="1732" t="s">
        <v>162</v>
      </c>
      <c r="F32" s="1732" t="s">
        <v>94</v>
      </c>
      <c r="G32" s="1735" t="s">
        <v>1300</v>
      </c>
      <c r="H32" s="1735" t="s">
        <v>1303</v>
      </c>
      <c r="I32" s="1763">
        <v>0</v>
      </c>
      <c r="J32" s="1764">
        <f>K32</f>
        <v>2620202.2000000002</v>
      </c>
      <c r="K32" s="1749">
        <v>2620202.2000000002</v>
      </c>
      <c r="L32" s="1764">
        <f>K32</f>
        <v>2620202.2000000002</v>
      </c>
      <c r="M32" s="1764">
        <f>L32</f>
        <v>2620202.2000000002</v>
      </c>
    </row>
    <row r="33" spans="2:13" ht="15" x14ac:dyDescent="0.2">
      <c r="B33" s="1732">
        <v>8906</v>
      </c>
      <c r="C33" s="1732" t="s">
        <v>1352</v>
      </c>
      <c r="D33" s="1733" t="s">
        <v>1353</v>
      </c>
      <c r="E33" s="1732" t="s">
        <v>162</v>
      </c>
      <c r="F33" s="1732" t="s">
        <v>94</v>
      </c>
      <c r="G33" s="1735" t="s">
        <v>1300</v>
      </c>
      <c r="H33" s="1735" t="s">
        <v>1303</v>
      </c>
      <c r="I33" s="1763">
        <v>0</v>
      </c>
      <c r="J33" s="1749">
        <v>0</v>
      </c>
      <c r="K33" s="1749">
        <v>0</v>
      </c>
      <c r="L33" s="1749">
        <v>0</v>
      </c>
      <c r="M33" s="1749">
        <v>0</v>
      </c>
    </row>
    <row r="34" spans="2:13" ht="15" x14ac:dyDescent="0.2">
      <c r="B34" s="1732">
        <v>8907</v>
      </c>
      <c r="C34" s="1732" t="s">
        <v>1354</v>
      </c>
      <c r="D34" s="1758" t="s">
        <v>2110</v>
      </c>
      <c r="E34" s="1732" t="s">
        <v>1355</v>
      </c>
      <c r="F34" s="1732" t="s">
        <v>94</v>
      </c>
      <c r="G34" s="1735" t="s">
        <v>1300</v>
      </c>
      <c r="H34" s="1735" t="s">
        <v>1303</v>
      </c>
      <c r="I34" s="1763">
        <v>184342.83249999999</v>
      </c>
      <c r="J34" s="1749">
        <v>0</v>
      </c>
      <c r="K34" s="1749">
        <v>0</v>
      </c>
      <c r="L34" s="1749">
        <v>0</v>
      </c>
      <c r="M34" s="1749">
        <v>0</v>
      </c>
    </row>
    <row r="35" spans="2:13" ht="15" x14ac:dyDescent="0.2">
      <c r="B35" s="1752">
        <v>8908</v>
      </c>
      <c r="C35" s="1732" t="s">
        <v>1356</v>
      </c>
      <c r="D35" s="1733" t="s">
        <v>1357</v>
      </c>
      <c r="E35" s="1732" t="s">
        <v>162</v>
      </c>
      <c r="F35" s="1732" t="s">
        <v>94</v>
      </c>
      <c r="G35" s="1735" t="s">
        <v>1300</v>
      </c>
      <c r="H35" s="1735" t="s">
        <v>1303</v>
      </c>
      <c r="I35" s="1763">
        <v>0</v>
      </c>
      <c r="J35" s="1764">
        <f>J189</f>
        <v>2112234.9125000001</v>
      </c>
      <c r="K35" s="1764">
        <f>K189</f>
        <v>2112234.9125000001</v>
      </c>
      <c r="L35" s="1764">
        <f>L189</f>
        <v>2112234.9125000001</v>
      </c>
      <c r="M35" s="1764">
        <f>M189</f>
        <v>2112234.9125000001</v>
      </c>
    </row>
    <row r="36" spans="2:13" ht="15" x14ac:dyDescent="0.2">
      <c r="B36" s="1752">
        <v>8909</v>
      </c>
      <c r="C36" s="1752" t="s">
        <v>1358</v>
      </c>
      <c r="D36" s="1753" t="s">
        <v>1359</v>
      </c>
      <c r="E36" s="1732" t="s">
        <v>162</v>
      </c>
      <c r="F36" s="1732" t="s">
        <v>94</v>
      </c>
      <c r="G36" s="1735" t="s">
        <v>1300</v>
      </c>
      <c r="H36" s="1735" t="s">
        <v>1303</v>
      </c>
      <c r="I36" s="1763">
        <v>0</v>
      </c>
      <c r="J36" s="1749">
        <v>567685.23</v>
      </c>
      <c r="K36" s="1764">
        <f>J36</f>
        <v>567685.23</v>
      </c>
      <c r="L36" s="1764">
        <f>K36</f>
        <v>567685.23</v>
      </c>
      <c r="M36" s="1764">
        <f>L36</f>
        <v>567685.23</v>
      </c>
    </row>
    <row r="37" spans="2:13" ht="15" x14ac:dyDescent="0.2">
      <c r="B37" s="1732">
        <v>8910</v>
      </c>
      <c r="C37" s="1732" t="s">
        <v>1360</v>
      </c>
      <c r="D37" s="1733" t="s">
        <v>1361</v>
      </c>
      <c r="E37" s="1732" t="s">
        <v>162</v>
      </c>
      <c r="F37" s="1732" t="s">
        <v>94</v>
      </c>
      <c r="G37" s="1735" t="s">
        <v>1300</v>
      </c>
      <c r="H37" s="1735" t="s">
        <v>1303</v>
      </c>
      <c r="I37" s="1763">
        <v>0</v>
      </c>
      <c r="J37" s="1749">
        <v>0</v>
      </c>
      <c r="K37" s="1749">
        <v>0</v>
      </c>
      <c r="L37" s="1749">
        <v>0</v>
      </c>
      <c r="M37" s="1749">
        <v>0</v>
      </c>
    </row>
    <row r="38" spans="2:13" ht="15" x14ac:dyDescent="0.2">
      <c r="B38" s="1752">
        <v>8911</v>
      </c>
      <c r="C38" s="1752" t="s">
        <v>1362</v>
      </c>
      <c r="D38" s="1753" t="s">
        <v>1363</v>
      </c>
      <c r="E38" s="1732" t="s">
        <v>162</v>
      </c>
      <c r="F38" s="1732" t="s">
        <v>94</v>
      </c>
      <c r="G38" s="1735" t="s">
        <v>1300</v>
      </c>
      <c r="H38" s="1735" t="s">
        <v>1303</v>
      </c>
      <c r="I38" s="1763">
        <v>214046.6</v>
      </c>
      <c r="J38" s="1764">
        <f>K38</f>
        <v>214046.60250000001</v>
      </c>
      <c r="K38" s="1749">
        <v>214046.60250000001</v>
      </c>
      <c r="L38" s="1749">
        <v>221149.22</v>
      </c>
      <c r="M38" s="1764">
        <f>L38</f>
        <v>221149.22</v>
      </c>
    </row>
    <row r="39" spans="2:13" ht="15" x14ac:dyDescent="0.2">
      <c r="B39" s="1732">
        <v>8912</v>
      </c>
      <c r="C39" s="1732" t="s">
        <v>1364</v>
      </c>
      <c r="D39" s="1733" t="s">
        <v>1365</v>
      </c>
      <c r="E39" s="1732" t="s">
        <v>162</v>
      </c>
      <c r="F39" s="1732" t="s">
        <v>94</v>
      </c>
      <c r="G39" s="1735" t="s">
        <v>1300</v>
      </c>
      <c r="H39" s="1735" t="s">
        <v>1303</v>
      </c>
      <c r="I39" s="1763">
        <v>0</v>
      </c>
      <c r="J39" s="1749">
        <v>0</v>
      </c>
      <c r="K39" s="1749">
        <v>0</v>
      </c>
      <c r="L39" s="1749">
        <v>0</v>
      </c>
      <c r="M39" s="1749">
        <v>0</v>
      </c>
    </row>
    <row r="40" spans="2:13" ht="15" x14ac:dyDescent="0.2">
      <c r="B40" s="1752">
        <v>8913</v>
      </c>
      <c r="C40" s="1752" t="s">
        <v>1366</v>
      </c>
      <c r="D40" s="1753" t="s">
        <v>1367</v>
      </c>
      <c r="E40" s="1732" t="s">
        <v>162</v>
      </c>
      <c r="F40" s="1732" t="s">
        <v>94</v>
      </c>
      <c r="G40" s="1735" t="s">
        <v>1300</v>
      </c>
      <c r="H40" s="1735" t="s">
        <v>1303</v>
      </c>
      <c r="I40" s="1763">
        <v>318297.98</v>
      </c>
      <c r="J40" s="1764">
        <f>I40</f>
        <v>318297.98</v>
      </c>
      <c r="K40" s="1764">
        <f>J40</f>
        <v>318297.98</v>
      </c>
      <c r="L40" s="1764">
        <f>K40</f>
        <v>318297.98</v>
      </c>
      <c r="M40" s="1764">
        <f>L40</f>
        <v>318297.98</v>
      </c>
    </row>
    <row r="41" spans="2:13" ht="15" x14ac:dyDescent="0.2">
      <c r="B41" s="1752">
        <v>8914</v>
      </c>
      <c r="C41" s="1752" t="s">
        <v>1368</v>
      </c>
      <c r="D41" s="1753" t="s">
        <v>1369</v>
      </c>
      <c r="E41" s="1732" t="s">
        <v>162</v>
      </c>
      <c r="F41" s="1732" t="s">
        <v>94</v>
      </c>
      <c r="G41" s="1735" t="s">
        <v>1300</v>
      </c>
      <c r="H41" s="1735" t="s">
        <v>1303</v>
      </c>
      <c r="I41" s="1763">
        <v>240959.55000000002</v>
      </c>
      <c r="J41" s="1764">
        <f>K41</f>
        <v>252756</v>
      </c>
      <c r="K41" s="1764">
        <f>L41</f>
        <v>252756</v>
      </c>
      <c r="L41" s="1749">
        <v>252756</v>
      </c>
      <c r="M41" s="1764">
        <f>L41</f>
        <v>252756</v>
      </c>
    </row>
    <row r="42" spans="2:13" ht="15" x14ac:dyDescent="0.2">
      <c r="B42" s="1752">
        <v>8915</v>
      </c>
      <c r="C42" s="1752" t="s">
        <v>1360</v>
      </c>
      <c r="D42" s="1753" t="s">
        <v>1370</v>
      </c>
      <c r="E42" s="1732" t="s">
        <v>162</v>
      </c>
      <c r="F42" s="1732" t="s">
        <v>94</v>
      </c>
      <c r="G42" s="1735" t="s">
        <v>1300</v>
      </c>
      <c r="H42" s="1735" t="s">
        <v>1303</v>
      </c>
      <c r="I42" s="1763">
        <v>0</v>
      </c>
      <c r="J42" s="1749">
        <v>288234.05</v>
      </c>
      <c r="K42" s="1764">
        <f>L42</f>
        <v>288234.05</v>
      </c>
      <c r="L42" s="1764">
        <f>M42</f>
        <v>288234.05</v>
      </c>
      <c r="M42" s="1749">
        <v>288234.05</v>
      </c>
    </row>
    <row r="43" spans="2:13" ht="15" x14ac:dyDescent="0.2">
      <c r="B43" s="1752">
        <v>9147</v>
      </c>
      <c r="C43" s="1752" t="s">
        <v>1371</v>
      </c>
      <c r="D43" s="1752" t="s">
        <v>1372</v>
      </c>
      <c r="E43" s="1732" t="s">
        <v>1373</v>
      </c>
      <c r="F43" s="1732" t="s">
        <v>94</v>
      </c>
      <c r="G43" s="1735" t="s">
        <v>1325</v>
      </c>
      <c r="H43" s="1735" t="s">
        <v>1296</v>
      </c>
      <c r="I43" s="1763">
        <v>117.94859375</v>
      </c>
      <c r="J43" s="1764">
        <f>K43</f>
        <v>79.516874999999999</v>
      </c>
      <c r="K43" s="1749">
        <v>79.516874999999999</v>
      </c>
      <c r="L43" s="1764">
        <f>J43</f>
        <v>79.516874999999999</v>
      </c>
      <c r="M43" s="1764">
        <f>K43</f>
        <v>79.516874999999999</v>
      </c>
    </row>
    <row r="44" spans="2:13" ht="15" x14ac:dyDescent="0.2">
      <c r="B44" s="1752">
        <v>9148</v>
      </c>
      <c r="C44" s="1752" t="s">
        <v>1374</v>
      </c>
      <c r="D44" s="1752" t="s">
        <v>1375</v>
      </c>
      <c r="E44" s="1732" t="s">
        <v>1373</v>
      </c>
      <c r="F44" s="1732" t="s">
        <v>94</v>
      </c>
      <c r="G44" s="1735" t="s">
        <v>1325</v>
      </c>
      <c r="H44" s="1735" t="s">
        <v>1296</v>
      </c>
      <c r="I44" s="1763">
        <v>410.72218750000002</v>
      </c>
      <c r="J44" s="1749">
        <v>423.73531250000002</v>
      </c>
      <c r="K44" s="1749">
        <v>423.74</v>
      </c>
      <c r="L44" s="1764">
        <f>K44</f>
        <v>423.74</v>
      </c>
      <c r="M44" s="1764">
        <f>L44</f>
        <v>423.74</v>
      </c>
    </row>
    <row r="45" spans="2:13" ht="15" x14ac:dyDescent="0.2">
      <c r="B45" s="1752">
        <v>9151</v>
      </c>
      <c r="C45" s="1752" t="s">
        <v>1376</v>
      </c>
      <c r="D45" s="1752" t="s">
        <v>1377</v>
      </c>
      <c r="E45" s="1732" t="s">
        <v>1373</v>
      </c>
      <c r="F45" s="1732" t="s">
        <v>94</v>
      </c>
      <c r="G45" s="1735" t="s">
        <v>1300</v>
      </c>
      <c r="H45" s="1735" t="s">
        <v>1296</v>
      </c>
      <c r="I45" s="1763">
        <v>443.8224166666667</v>
      </c>
      <c r="J45" s="1764">
        <f>K45</f>
        <v>445.1</v>
      </c>
      <c r="K45" s="1749">
        <v>445.1</v>
      </c>
      <c r="L45" s="1764">
        <f>K45</f>
        <v>445.1</v>
      </c>
      <c r="M45" s="1764">
        <f>L45</f>
        <v>445.1</v>
      </c>
    </row>
    <row r="46" spans="2:13" ht="15" x14ac:dyDescent="0.2">
      <c r="B46" s="1732">
        <v>9634</v>
      </c>
      <c r="C46" s="1732" t="s">
        <v>1378</v>
      </c>
      <c r="D46" s="1732" t="s">
        <v>1379</v>
      </c>
      <c r="E46" s="1732" t="s">
        <v>1311</v>
      </c>
      <c r="F46" s="1732" t="s">
        <v>94</v>
      </c>
      <c r="G46" s="1735" t="s">
        <v>1300</v>
      </c>
      <c r="H46" s="1735" t="s">
        <v>1303</v>
      </c>
      <c r="I46" s="1763">
        <v>191363.76</v>
      </c>
      <c r="J46" s="1749">
        <v>0</v>
      </c>
      <c r="K46" s="1749">
        <v>186347.78600000002</v>
      </c>
      <c r="L46" s="1749">
        <v>175980.89</v>
      </c>
      <c r="M46" s="1749">
        <v>0</v>
      </c>
    </row>
    <row r="47" spans="2:13" ht="15" x14ac:dyDescent="0.2">
      <c r="B47" s="1732">
        <v>65402</v>
      </c>
      <c r="C47" s="1732" t="s">
        <v>1380</v>
      </c>
      <c r="D47" s="1732" t="s">
        <v>1381</v>
      </c>
      <c r="E47" s="1732" t="s">
        <v>1335</v>
      </c>
      <c r="F47" s="1732" t="s">
        <v>94</v>
      </c>
      <c r="G47" s="1741" t="s">
        <v>1337</v>
      </c>
      <c r="H47" s="1741" t="s">
        <v>1303</v>
      </c>
      <c r="I47" s="1763">
        <v>0</v>
      </c>
      <c r="J47" s="1749">
        <v>0</v>
      </c>
      <c r="K47" s="1749">
        <v>0</v>
      </c>
      <c r="L47" s="1749">
        <v>0</v>
      </c>
      <c r="M47" s="1749">
        <v>0</v>
      </c>
    </row>
    <row r="48" spans="2:13" ht="15" x14ac:dyDescent="0.2">
      <c r="B48" s="1732">
        <v>65403</v>
      </c>
      <c r="C48" s="1732" t="s">
        <v>1382</v>
      </c>
      <c r="D48" s="1732" t="s">
        <v>1383</v>
      </c>
      <c r="E48" s="1732" t="s">
        <v>1335</v>
      </c>
      <c r="F48" s="1732" t="s">
        <v>94</v>
      </c>
      <c r="G48" s="1741" t="s">
        <v>1337</v>
      </c>
      <c r="H48" s="1741" t="s">
        <v>1303</v>
      </c>
      <c r="I48" s="1763">
        <v>0</v>
      </c>
      <c r="J48" s="1749">
        <v>0</v>
      </c>
      <c r="K48" s="1749">
        <v>0</v>
      </c>
      <c r="L48" s="1749">
        <v>0</v>
      </c>
      <c r="M48" s="1749">
        <v>0</v>
      </c>
    </row>
    <row r="49" spans="2:13" ht="15" x14ac:dyDescent="0.2">
      <c r="B49" s="1752">
        <v>10138</v>
      </c>
      <c r="C49" s="1732" t="s">
        <v>1384</v>
      </c>
      <c r="D49" s="1733" t="s">
        <v>1385</v>
      </c>
      <c r="E49" s="1751" t="s">
        <v>1299</v>
      </c>
      <c r="F49" s="1732" t="s">
        <v>94</v>
      </c>
      <c r="G49" s="1735" t="s">
        <v>1300</v>
      </c>
      <c r="H49" s="1735" t="s">
        <v>1296</v>
      </c>
      <c r="I49" s="1763">
        <v>0</v>
      </c>
      <c r="J49" s="1749">
        <v>19210.373143507975</v>
      </c>
      <c r="K49" s="1749">
        <v>18741.312857142857</v>
      </c>
      <c r="L49" s="1749">
        <v>19119.317373737373</v>
      </c>
      <c r="M49" s="1749">
        <v>18741.312826086956</v>
      </c>
    </row>
    <row r="50" spans="2:13" ht="15" x14ac:dyDescent="0.2">
      <c r="B50" s="1732">
        <v>10140</v>
      </c>
      <c r="C50" s="1732" t="s">
        <v>1386</v>
      </c>
      <c r="D50" s="1733" t="s">
        <v>1387</v>
      </c>
      <c r="E50" s="1751" t="s">
        <v>1299</v>
      </c>
      <c r="F50" s="1732" t="s">
        <v>94</v>
      </c>
      <c r="G50" s="1735" t="s">
        <v>1305</v>
      </c>
      <c r="H50" s="1735" t="s">
        <v>1303</v>
      </c>
      <c r="I50" s="1763">
        <v>0</v>
      </c>
      <c r="J50" s="1749">
        <v>274026.64061728393</v>
      </c>
      <c r="K50" s="1749">
        <v>296000.33999999997</v>
      </c>
      <c r="L50" s="1749">
        <v>296000.34000000003</v>
      </c>
      <c r="M50" s="1749">
        <v>0</v>
      </c>
    </row>
    <row r="51" spans="2:13" ht="15" x14ac:dyDescent="0.2">
      <c r="B51" s="1732">
        <v>10141</v>
      </c>
      <c r="C51" s="1732" t="s">
        <v>1388</v>
      </c>
      <c r="D51" s="1733" t="s">
        <v>1389</v>
      </c>
      <c r="E51" s="1751" t="s">
        <v>1299</v>
      </c>
      <c r="F51" s="1732" t="s">
        <v>94</v>
      </c>
      <c r="G51" s="1735" t="s">
        <v>1305</v>
      </c>
      <c r="H51" s="1735" t="s">
        <v>1303</v>
      </c>
      <c r="I51" s="1763">
        <v>0</v>
      </c>
      <c r="J51" s="1749">
        <v>0</v>
      </c>
      <c r="K51" s="1749">
        <v>0</v>
      </c>
      <c r="L51" s="1749">
        <v>0</v>
      </c>
      <c r="M51" s="1749">
        <v>0</v>
      </c>
    </row>
    <row r="52" spans="2:13" ht="15" x14ac:dyDescent="0.2">
      <c r="B52" s="1732">
        <v>10142</v>
      </c>
      <c r="C52" s="1732" t="s">
        <v>1390</v>
      </c>
      <c r="D52" s="1733" t="s">
        <v>1390</v>
      </c>
      <c r="E52" s="1751" t="s">
        <v>1299</v>
      </c>
      <c r="F52" s="1732" t="s">
        <v>94</v>
      </c>
      <c r="G52" s="1735" t="s">
        <v>1305</v>
      </c>
      <c r="H52" s="1735" t="s">
        <v>1303</v>
      </c>
      <c r="I52" s="1763">
        <v>0</v>
      </c>
      <c r="J52" s="1749">
        <v>0</v>
      </c>
      <c r="K52" s="1749">
        <v>0</v>
      </c>
      <c r="L52" s="1749">
        <v>22749.392352941177</v>
      </c>
      <c r="M52" s="1749">
        <v>0</v>
      </c>
    </row>
    <row r="53" spans="2:13" ht="15" x14ac:dyDescent="0.2">
      <c r="B53" s="1752">
        <v>10145</v>
      </c>
      <c r="C53" s="1732" t="s">
        <v>1391</v>
      </c>
      <c r="D53" s="1733" t="s">
        <v>1392</v>
      </c>
      <c r="E53" s="1751" t="s">
        <v>1299</v>
      </c>
      <c r="F53" s="1732" t="s">
        <v>94</v>
      </c>
      <c r="G53" s="1735" t="s">
        <v>1305</v>
      </c>
      <c r="H53" s="1735" t="s">
        <v>1303</v>
      </c>
      <c r="I53" s="1763">
        <v>0</v>
      </c>
      <c r="J53" s="1749">
        <v>148511.80000000002</v>
      </c>
      <c r="K53" s="1749">
        <v>150977.29072033899</v>
      </c>
      <c r="L53" s="1749">
        <v>150977.29</v>
      </c>
      <c r="M53" s="1749">
        <v>150549.72702702702</v>
      </c>
    </row>
    <row r="54" spans="2:13" ht="15" x14ac:dyDescent="0.2">
      <c r="B54" s="1752">
        <v>10147</v>
      </c>
      <c r="C54" s="1752" t="s">
        <v>1393</v>
      </c>
      <c r="D54" s="1753" t="s">
        <v>1394</v>
      </c>
      <c r="E54" s="1751" t="s">
        <v>1299</v>
      </c>
      <c r="F54" s="1732" t="s">
        <v>94</v>
      </c>
      <c r="G54" s="1735" t="s">
        <v>1305</v>
      </c>
      <c r="H54" s="1735" t="s">
        <v>1303</v>
      </c>
      <c r="I54" s="1763">
        <v>0</v>
      </c>
      <c r="J54" s="1749">
        <v>66516.78487870621</v>
      </c>
      <c r="K54" s="1749">
        <v>67736.828345864662</v>
      </c>
      <c r="L54" s="1749">
        <v>76237.535913043481</v>
      </c>
      <c r="M54" s="1749">
        <v>84247.547999999995</v>
      </c>
    </row>
    <row r="55" spans="2:13" ht="15" x14ac:dyDescent="0.2">
      <c r="B55" s="1732">
        <v>10148</v>
      </c>
      <c r="C55" s="1732" t="s">
        <v>1395</v>
      </c>
      <c r="D55" s="1733" t="s">
        <v>1396</v>
      </c>
      <c r="E55" s="1751" t="s">
        <v>1299</v>
      </c>
      <c r="F55" s="1732" t="s">
        <v>94</v>
      </c>
      <c r="G55" s="1735" t="s">
        <v>1305</v>
      </c>
      <c r="H55" s="1735" t="s">
        <v>1303</v>
      </c>
      <c r="I55" s="1763">
        <v>0</v>
      </c>
      <c r="J55" s="1749">
        <v>77193.082765957442</v>
      </c>
      <c r="K55" s="1749">
        <v>0</v>
      </c>
      <c r="L55" s="1749">
        <v>0</v>
      </c>
      <c r="M55" s="1749">
        <v>76890.03</v>
      </c>
    </row>
    <row r="56" spans="2:13" ht="15" x14ac:dyDescent="0.2">
      <c r="B56" s="1752">
        <v>10149</v>
      </c>
      <c r="C56" s="1752" t="s">
        <v>1397</v>
      </c>
      <c r="D56" s="1753" t="s">
        <v>1398</v>
      </c>
      <c r="E56" s="1751" t="s">
        <v>1299</v>
      </c>
      <c r="F56" s="1732" t="s">
        <v>94</v>
      </c>
      <c r="G56" s="1735" t="s">
        <v>1300</v>
      </c>
      <c r="H56" s="1735" t="s">
        <v>1303</v>
      </c>
      <c r="I56" s="1763">
        <v>0</v>
      </c>
      <c r="J56" s="1749">
        <v>54405.163594266814</v>
      </c>
      <c r="K56" s="1749">
        <v>56537.527316176471</v>
      </c>
      <c r="L56" s="1749">
        <v>56479.634615384617</v>
      </c>
      <c r="M56" s="1749">
        <v>56613.334740259743</v>
      </c>
    </row>
    <row r="57" spans="2:13" ht="15" x14ac:dyDescent="0.2">
      <c r="B57" s="1732">
        <v>10150</v>
      </c>
      <c r="C57" s="1732" t="s">
        <v>1399</v>
      </c>
      <c r="D57" s="1733" t="s">
        <v>1400</v>
      </c>
      <c r="E57" s="1751" t="s">
        <v>1299</v>
      </c>
      <c r="F57" s="1732" t="s">
        <v>94</v>
      </c>
      <c r="G57" s="1735" t="s">
        <v>1300</v>
      </c>
      <c r="H57" s="1735" t="s">
        <v>1303</v>
      </c>
      <c r="I57" s="1763">
        <v>0</v>
      </c>
      <c r="J57" s="1749">
        <v>190439.98</v>
      </c>
      <c r="K57" s="1749">
        <v>0</v>
      </c>
      <c r="L57" s="1749">
        <v>0</v>
      </c>
      <c r="M57" s="1749">
        <v>0</v>
      </c>
    </row>
    <row r="58" spans="2:13" ht="15" x14ac:dyDescent="0.2">
      <c r="B58" s="1732">
        <v>10151</v>
      </c>
      <c r="C58" s="1732" t="s">
        <v>1401</v>
      </c>
      <c r="D58" s="1733" t="s">
        <v>1402</v>
      </c>
      <c r="E58" s="1751" t="s">
        <v>1299</v>
      </c>
      <c r="F58" s="1732" t="s">
        <v>94</v>
      </c>
      <c r="G58" s="1735" t="s">
        <v>1305</v>
      </c>
      <c r="H58" s="1735" t="s">
        <v>1303</v>
      </c>
      <c r="I58" s="1763">
        <v>0</v>
      </c>
      <c r="J58" s="1749">
        <v>76494.289999999994</v>
      </c>
      <c r="K58" s="1749">
        <v>79400.700526315792</v>
      </c>
      <c r="L58" s="1749">
        <v>0</v>
      </c>
      <c r="M58" s="1749">
        <v>79400.700506329114</v>
      </c>
    </row>
    <row r="59" spans="2:13" ht="15" x14ac:dyDescent="0.2">
      <c r="B59" s="1954">
        <v>10154</v>
      </c>
      <c r="C59" s="1954" t="s">
        <v>1403</v>
      </c>
      <c r="D59" s="1955" t="s">
        <v>1404</v>
      </c>
      <c r="E59" s="1751" t="s">
        <v>1299</v>
      </c>
      <c r="F59" s="1732" t="s">
        <v>94</v>
      </c>
      <c r="G59" s="1735" t="s">
        <v>1305</v>
      </c>
      <c r="H59" s="1735" t="s">
        <v>1303</v>
      </c>
      <c r="I59" s="1763">
        <v>0</v>
      </c>
      <c r="J59" s="1749">
        <v>20046.5</v>
      </c>
      <c r="K59" s="1749">
        <v>20046.5</v>
      </c>
      <c r="L59" s="1749">
        <v>31456.747872340424</v>
      </c>
      <c r="M59" s="1764">
        <f>L59</f>
        <v>31456.747872340424</v>
      </c>
    </row>
    <row r="60" spans="2:13" ht="15" x14ac:dyDescent="0.2">
      <c r="B60" s="1732">
        <v>10158</v>
      </c>
      <c r="C60" s="1732" t="s">
        <v>1405</v>
      </c>
      <c r="D60" s="1733" t="s">
        <v>1406</v>
      </c>
      <c r="E60" s="1751" t="s">
        <v>1299</v>
      </c>
      <c r="F60" s="1732" t="s">
        <v>94</v>
      </c>
      <c r="G60" s="1735" t="s">
        <v>1305</v>
      </c>
      <c r="H60" s="1735" t="s">
        <v>1303</v>
      </c>
      <c r="I60" s="1763">
        <v>0</v>
      </c>
      <c r="J60" s="1749">
        <v>74549.024270833339</v>
      </c>
      <c r="K60" s="1749">
        <v>0</v>
      </c>
      <c r="L60" s="1749">
        <v>0</v>
      </c>
      <c r="M60" s="1749">
        <v>0</v>
      </c>
    </row>
    <row r="61" spans="2:13" ht="15" x14ac:dyDescent="0.2">
      <c r="B61" s="1732">
        <v>65408</v>
      </c>
      <c r="C61" s="1732" t="s">
        <v>1407</v>
      </c>
      <c r="D61" s="1732" t="s">
        <v>1408</v>
      </c>
      <c r="E61" s="1732" t="s">
        <v>1335</v>
      </c>
      <c r="F61" s="1732" t="s">
        <v>94</v>
      </c>
      <c r="G61" s="1741" t="s">
        <v>1337</v>
      </c>
      <c r="H61" s="1741" t="s">
        <v>1303</v>
      </c>
      <c r="I61" s="1763">
        <v>0</v>
      </c>
      <c r="J61" s="1749">
        <v>0</v>
      </c>
      <c r="K61" s="1749">
        <v>0</v>
      </c>
      <c r="L61" s="1749">
        <v>0</v>
      </c>
      <c r="M61" s="1749">
        <v>0</v>
      </c>
    </row>
    <row r="62" spans="2:13" ht="15" x14ac:dyDescent="0.2">
      <c r="B62" s="1752">
        <v>10172</v>
      </c>
      <c r="C62" s="1752" t="s">
        <v>1409</v>
      </c>
      <c r="D62" s="1752" t="s">
        <v>1410</v>
      </c>
      <c r="E62" s="1732" t="s">
        <v>1308</v>
      </c>
      <c r="F62" s="1732" t="s">
        <v>94</v>
      </c>
      <c r="G62" s="1741" t="s">
        <v>1411</v>
      </c>
      <c r="H62" s="1735" t="s">
        <v>1303</v>
      </c>
      <c r="I62" s="1763">
        <v>3053.2022222222222</v>
      </c>
      <c r="J62" s="1749">
        <v>3105.1151666666669</v>
      </c>
      <c r="K62" s="1749">
        <v>3053.2024000000001</v>
      </c>
      <c r="L62" s="1764">
        <f>M62</f>
        <v>3019.9</v>
      </c>
      <c r="M62" s="1749">
        <v>3019.9</v>
      </c>
    </row>
    <row r="63" spans="2:13" ht="15" x14ac:dyDescent="0.2">
      <c r="B63" s="1752">
        <v>10173</v>
      </c>
      <c r="C63" s="1752" t="s">
        <v>1412</v>
      </c>
      <c r="D63" s="1752" t="s">
        <v>1413</v>
      </c>
      <c r="E63" s="1732" t="s">
        <v>1308</v>
      </c>
      <c r="F63" s="1732" t="s">
        <v>94</v>
      </c>
      <c r="G63" s="1741" t="s">
        <v>1300</v>
      </c>
      <c r="H63" s="1735" t="s">
        <v>1303</v>
      </c>
      <c r="I63" s="1763">
        <v>4299.3852500000003</v>
      </c>
      <c r="J63" s="1749">
        <v>6764.9902564102567</v>
      </c>
      <c r="K63" s="1749">
        <v>4016.5308333333337</v>
      </c>
      <c r="L63" s="1764">
        <f>K63</f>
        <v>4016.5308333333337</v>
      </c>
      <c r="M63" s="1749">
        <v>12876.5</v>
      </c>
    </row>
    <row r="64" spans="2:13" ht="15" x14ac:dyDescent="0.2">
      <c r="B64" s="1752">
        <v>10174</v>
      </c>
      <c r="C64" s="1752" t="s">
        <v>1414</v>
      </c>
      <c r="D64" s="1752" t="s">
        <v>1307</v>
      </c>
      <c r="E64" s="1732" t="s">
        <v>1308</v>
      </c>
      <c r="F64" s="1732" t="s">
        <v>94</v>
      </c>
      <c r="G64" s="1741" t="s">
        <v>1300</v>
      </c>
      <c r="H64" s="1735" t="s">
        <v>1303</v>
      </c>
      <c r="I64" s="1763">
        <v>4051.57</v>
      </c>
      <c r="J64" s="1764">
        <f>I64</f>
        <v>4051.57</v>
      </c>
      <c r="K64" s="1764">
        <f>J64</f>
        <v>4051.57</v>
      </c>
      <c r="L64" s="1764">
        <f>K64</f>
        <v>4051.57</v>
      </c>
      <c r="M64" s="1764">
        <f>L64</f>
        <v>4051.57</v>
      </c>
    </row>
    <row r="65" spans="2:13" ht="15" x14ac:dyDescent="0.2">
      <c r="B65" s="1752">
        <v>10175</v>
      </c>
      <c r="C65" s="1752" t="s">
        <v>1415</v>
      </c>
      <c r="D65" s="1752" t="s">
        <v>1416</v>
      </c>
      <c r="E65" s="1732" t="s">
        <v>1308</v>
      </c>
      <c r="F65" s="1732" t="s">
        <v>94</v>
      </c>
      <c r="G65" s="1741" t="s">
        <v>1300</v>
      </c>
      <c r="H65" s="1735" t="s">
        <v>1303</v>
      </c>
      <c r="I65" s="1763">
        <v>0</v>
      </c>
      <c r="J65" s="1764">
        <f>K65</f>
        <v>11244.863506493506</v>
      </c>
      <c r="K65" s="1749">
        <v>11244.863506493506</v>
      </c>
      <c r="L65" s="1749">
        <v>10968.06671641791</v>
      </c>
      <c r="M65" s="1749">
        <v>10968.066774193549</v>
      </c>
    </row>
    <row r="66" spans="2:13" ht="15" x14ac:dyDescent="0.2">
      <c r="B66" s="1752">
        <v>10176</v>
      </c>
      <c r="C66" s="1752" t="s">
        <v>1417</v>
      </c>
      <c r="D66" s="1752" t="s">
        <v>1418</v>
      </c>
      <c r="E66" s="1732" t="s">
        <v>1308</v>
      </c>
      <c r="F66" s="1732" t="s">
        <v>94</v>
      </c>
      <c r="G66" s="1741" t="s">
        <v>1300</v>
      </c>
      <c r="H66" s="1735" t="s">
        <v>1303</v>
      </c>
      <c r="I66" s="1763">
        <v>0</v>
      </c>
      <c r="J66" s="1749">
        <v>1356.4824603174604</v>
      </c>
      <c r="K66" s="1749">
        <v>1364.7312817412335</v>
      </c>
      <c r="L66" s="1749">
        <v>1340.83</v>
      </c>
      <c r="M66" s="1764">
        <f>L66</f>
        <v>1340.83</v>
      </c>
    </row>
    <row r="67" spans="2:13" ht="15" x14ac:dyDescent="0.2">
      <c r="B67" s="1752">
        <v>10177</v>
      </c>
      <c r="C67" s="1752" t="s">
        <v>1419</v>
      </c>
      <c r="D67" s="1754" t="s">
        <v>1410</v>
      </c>
      <c r="E67" s="1732" t="s">
        <v>1308</v>
      </c>
      <c r="F67" s="1732" t="s">
        <v>94</v>
      </c>
      <c r="G67" s="1741" t="s">
        <v>1325</v>
      </c>
      <c r="H67" s="1735" t="s">
        <v>1303</v>
      </c>
      <c r="I67" s="1763">
        <v>0</v>
      </c>
      <c r="J67" s="1749">
        <v>2422.21</v>
      </c>
      <c r="K67" s="1749">
        <v>2422.21</v>
      </c>
      <c r="L67" s="1764">
        <f>K67</f>
        <v>2422.21</v>
      </c>
      <c r="M67" s="1749">
        <v>2422.21</v>
      </c>
    </row>
    <row r="68" spans="2:13" ht="15" x14ac:dyDescent="0.2">
      <c r="B68" s="1752">
        <v>10178</v>
      </c>
      <c r="C68" s="1752" t="s">
        <v>1420</v>
      </c>
      <c r="D68" s="1754" t="s">
        <v>1421</v>
      </c>
      <c r="E68" s="1732" t="s">
        <v>1308</v>
      </c>
      <c r="F68" s="1732" t="s">
        <v>94</v>
      </c>
      <c r="G68" s="1741" t="s">
        <v>1325</v>
      </c>
      <c r="H68" s="1735" t="s">
        <v>1303</v>
      </c>
      <c r="I68" s="1763">
        <v>9175.74</v>
      </c>
      <c r="J68" s="1764">
        <f>I68</f>
        <v>9175.74</v>
      </c>
      <c r="K68" s="1764">
        <f>J68</f>
        <v>9175.74</v>
      </c>
      <c r="L68" s="1764">
        <f>K68</f>
        <v>9175.74</v>
      </c>
      <c r="M68" s="1764">
        <f>L68</f>
        <v>9175.74</v>
      </c>
    </row>
    <row r="69" spans="2:13" ht="15" x14ac:dyDescent="0.2">
      <c r="B69" s="1752">
        <v>10179</v>
      </c>
      <c r="C69" s="1752" t="s">
        <v>1422</v>
      </c>
      <c r="D69" s="1752" t="s">
        <v>1423</v>
      </c>
      <c r="E69" s="1732" t="s">
        <v>1308</v>
      </c>
      <c r="F69" s="1732" t="s">
        <v>94</v>
      </c>
      <c r="G69" s="1741" t="s">
        <v>1300</v>
      </c>
      <c r="H69" s="1735" t="s">
        <v>1303</v>
      </c>
      <c r="I69" s="1763">
        <v>0</v>
      </c>
      <c r="J69" s="1749">
        <v>3878.9199999999996</v>
      </c>
      <c r="K69" s="1764">
        <f>J69</f>
        <v>3878.9199999999996</v>
      </c>
      <c r="L69" s="1749">
        <v>3559.95</v>
      </c>
      <c r="M69" s="1749">
        <v>3559.95</v>
      </c>
    </row>
    <row r="70" spans="2:13" ht="15" x14ac:dyDescent="0.2">
      <c r="B70" s="1752">
        <v>10180</v>
      </c>
      <c r="C70" s="1752" t="s">
        <v>1424</v>
      </c>
      <c r="D70" s="1752" t="s">
        <v>1425</v>
      </c>
      <c r="E70" s="1732" t="s">
        <v>1308</v>
      </c>
      <c r="F70" s="1732" t="s">
        <v>94</v>
      </c>
      <c r="G70" s="1741" t="s">
        <v>1300</v>
      </c>
      <c r="H70" s="1735" t="s">
        <v>1303</v>
      </c>
      <c r="I70" s="1763">
        <v>0</v>
      </c>
      <c r="J70" s="1764">
        <f>K70</f>
        <v>6036.8602702702701</v>
      </c>
      <c r="K70" s="1749">
        <v>6036.8602702702701</v>
      </c>
      <c r="L70" s="1749">
        <v>7392.0242857142857</v>
      </c>
      <c r="M70" s="1764">
        <f>L70</f>
        <v>7392.0242857142857</v>
      </c>
    </row>
    <row r="71" spans="2:13" ht="15" x14ac:dyDescent="0.2">
      <c r="B71" s="1752">
        <v>10181</v>
      </c>
      <c r="C71" s="1752" t="s">
        <v>1426</v>
      </c>
      <c r="D71" s="1752" t="s">
        <v>1427</v>
      </c>
      <c r="E71" s="1732" t="s">
        <v>1308</v>
      </c>
      <c r="F71" s="1732" t="s">
        <v>94</v>
      </c>
      <c r="G71" s="1741" t="s">
        <v>1300</v>
      </c>
      <c r="H71" s="1735" t="s">
        <v>1303</v>
      </c>
      <c r="I71" s="1763">
        <v>0</v>
      </c>
      <c r="J71" s="1749">
        <v>9515.9264999999996</v>
      </c>
      <c r="K71" s="1764">
        <f>L71</f>
        <v>8788.5511111111118</v>
      </c>
      <c r="L71" s="1749">
        <v>8788.5511111111118</v>
      </c>
      <c r="M71" s="1749">
        <v>9254.5400000000009</v>
      </c>
    </row>
    <row r="72" spans="2:13" ht="15" x14ac:dyDescent="0.2">
      <c r="B72" s="1732">
        <v>10360</v>
      </c>
      <c r="C72" s="1732" t="s">
        <v>1428</v>
      </c>
      <c r="D72" s="1734" t="s">
        <v>1429</v>
      </c>
      <c r="E72" s="1732" t="s">
        <v>1311</v>
      </c>
      <c r="F72" s="1732" t="s">
        <v>94</v>
      </c>
      <c r="G72" s="1735" t="s">
        <v>1300</v>
      </c>
      <c r="H72" s="1735" t="s">
        <v>1303</v>
      </c>
      <c r="I72" s="1763">
        <v>0</v>
      </c>
      <c r="J72" s="1749">
        <v>187253.17</v>
      </c>
      <c r="K72" s="1764">
        <f>J72</f>
        <v>187253.17</v>
      </c>
      <c r="L72" s="1764">
        <f>M72</f>
        <v>173275.12</v>
      </c>
      <c r="M72" s="1749">
        <v>173275.12</v>
      </c>
    </row>
    <row r="73" spans="2:13" ht="15" x14ac:dyDescent="0.2">
      <c r="B73" s="1732">
        <v>10361</v>
      </c>
      <c r="C73" s="1732" t="s">
        <v>1430</v>
      </c>
      <c r="D73" s="1732" t="s">
        <v>1431</v>
      </c>
      <c r="E73" s="1732" t="s">
        <v>1330</v>
      </c>
      <c r="F73" s="1732" t="s">
        <v>94</v>
      </c>
      <c r="G73" s="1735" t="s">
        <v>1300</v>
      </c>
      <c r="H73" s="1735" t="s">
        <v>1303</v>
      </c>
      <c r="I73" s="1763">
        <v>0</v>
      </c>
      <c r="J73" s="1749">
        <v>0</v>
      </c>
      <c r="K73" s="1749">
        <v>0</v>
      </c>
      <c r="L73" s="1749">
        <v>0</v>
      </c>
      <c r="M73" s="1749">
        <v>0</v>
      </c>
    </row>
    <row r="74" spans="2:13" ht="15" x14ac:dyDescent="0.2">
      <c r="B74" s="1732">
        <v>10362</v>
      </c>
      <c r="C74" s="1732" t="s">
        <v>1432</v>
      </c>
      <c r="D74" s="1733" t="s">
        <v>1433</v>
      </c>
      <c r="E74" s="1732" t="s">
        <v>1311</v>
      </c>
      <c r="F74" s="1732" t="s">
        <v>94</v>
      </c>
      <c r="G74" s="1735" t="s">
        <v>1300</v>
      </c>
      <c r="H74" s="1735" t="s">
        <v>1303</v>
      </c>
      <c r="I74" s="1763">
        <v>1161056.6242857142</v>
      </c>
      <c r="J74" s="1749">
        <v>0</v>
      </c>
      <c r="K74" s="1749">
        <v>0</v>
      </c>
      <c r="L74" s="1749">
        <v>0</v>
      </c>
      <c r="M74" s="1749">
        <v>0</v>
      </c>
    </row>
    <row r="75" spans="2:13" ht="15" x14ac:dyDescent="0.2">
      <c r="B75" s="1732">
        <v>10363</v>
      </c>
      <c r="C75" s="1732" t="s">
        <v>1434</v>
      </c>
      <c r="D75" s="1732" t="s">
        <v>1435</v>
      </c>
      <c r="E75" s="1732" t="s">
        <v>1330</v>
      </c>
      <c r="F75" s="1732" t="s">
        <v>94</v>
      </c>
      <c r="G75" s="1735" t="s">
        <v>1300</v>
      </c>
      <c r="H75" s="1735" t="s">
        <v>1303</v>
      </c>
      <c r="I75" s="1763">
        <v>0</v>
      </c>
      <c r="J75" s="1749">
        <v>0</v>
      </c>
      <c r="K75" s="1749">
        <v>0</v>
      </c>
      <c r="L75" s="1749">
        <v>0</v>
      </c>
      <c r="M75" s="1749">
        <v>0</v>
      </c>
    </row>
    <row r="76" spans="2:13" ht="15" x14ac:dyDescent="0.2">
      <c r="B76" s="1732">
        <v>10364</v>
      </c>
      <c r="C76" s="1732" t="s">
        <v>1436</v>
      </c>
      <c r="D76" s="1732" t="s">
        <v>1437</v>
      </c>
      <c r="E76" s="1732" t="s">
        <v>1330</v>
      </c>
      <c r="F76" s="1732" t="s">
        <v>94</v>
      </c>
      <c r="G76" s="1735" t="s">
        <v>1300</v>
      </c>
      <c r="H76" s="1735" t="s">
        <v>1303</v>
      </c>
      <c r="I76" s="1763">
        <v>0</v>
      </c>
      <c r="J76" s="1749">
        <v>0</v>
      </c>
      <c r="K76" s="1749">
        <v>0</v>
      </c>
      <c r="L76" s="1749">
        <v>0</v>
      </c>
      <c r="M76" s="1749">
        <v>0</v>
      </c>
    </row>
    <row r="77" spans="2:13" ht="15" x14ac:dyDescent="0.2">
      <c r="B77" s="1732">
        <v>10365</v>
      </c>
      <c r="C77" s="1732" t="s">
        <v>1438</v>
      </c>
      <c r="D77" s="1732" t="s">
        <v>1439</v>
      </c>
      <c r="E77" s="1732" t="s">
        <v>1330</v>
      </c>
      <c r="F77" s="1732" t="s">
        <v>94</v>
      </c>
      <c r="G77" s="1735" t="s">
        <v>1300</v>
      </c>
      <c r="H77" s="1735" t="s">
        <v>1303</v>
      </c>
      <c r="I77" s="1763">
        <v>0</v>
      </c>
      <c r="J77" s="1749">
        <v>0</v>
      </c>
      <c r="K77" s="1749">
        <v>0</v>
      </c>
      <c r="L77" s="1749">
        <v>0</v>
      </c>
      <c r="M77" s="1749">
        <v>0</v>
      </c>
    </row>
    <row r="78" spans="2:13" ht="15" x14ac:dyDescent="0.2">
      <c r="B78" s="1732">
        <v>10369</v>
      </c>
      <c r="C78" s="1732" t="s">
        <v>1440</v>
      </c>
      <c r="D78" s="1732" t="s">
        <v>1441</v>
      </c>
      <c r="E78" s="1732" t="s">
        <v>1330</v>
      </c>
      <c r="F78" s="1732" t="s">
        <v>94</v>
      </c>
      <c r="G78" s="1735" t="s">
        <v>1325</v>
      </c>
      <c r="H78" s="1735" t="s">
        <v>1303</v>
      </c>
      <c r="I78" s="1763">
        <v>0</v>
      </c>
      <c r="J78" s="1749">
        <v>0</v>
      </c>
      <c r="K78" s="1749">
        <v>0</v>
      </c>
      <c r="L78" s="1749">
        <v>0</v>
      </c>
      <c r="M78" s="1749">
        <v>0</v>
      </c>
    </row>
    <row r="79" spans="2:13" ht="15" x14ac:dyDescent="0.2">
      <c r="B79" s="1732">
        <v>10370</v>
      </c>
      <c r="C79" s="1732" t="s">
        <v>1442</v>
      </c>
      <c r="D79" s="1733" t="s">
        <v>1443</v>
      </c>
      <c r="E79" s="1732" t="s">
        <v>1311</v>
      </c>
      <c r="F79" s="1732" t="s">
        <v>94</v>
      </c>
      <c r="G79" s="1735" t="s">
        <v>1305</v>
      </c>
      <c r="H79" s="1735" t="s">
        <v>1303</v>
      </c>
      <c r="I79" s="1763">
        <v>0</v>
      </c>
      <c r="J79" s="1749">
        <v>0</v>
      </c>
      <c r="K79" s="1749">
        <v>221738.82</v>
      </c>
      <c r="L79" s="1749">
        <v>0</v>
      </c>
      <c r="M79" s="1749">
        <v>0</v>
      </c>
    </row>
    <row r="80" spans="2:13" ht="15" x14ac:dyDescent="0.2">
      <c r="B80" s="1732">
        <v>10371</v>
      </c>
      <c r="C80" s="1732" t="s">
        <v>1444</v>
      </c>
      <c r="D80" s="1761" t="s">
        <v>1113</v>
      </c>
      <c r="E80" s="1732" t="s">
        <v>1311</v>
      </c>
      <c r="F80" s="1732" t="s">
        <v>94</v>
      </c>
      <c r="G80" s="1735" t="s">
        <v>1300</v>
      </c>
      <c r="H80" s="1735" t="s">
        <v>1303</v>
      </c>
      <c r="I80" s="1763">
        <v>0</v>
      </c>
      <c r="J80" s="1749">
        <v>101881.05</v>
      </c>
      <c r="K80" s="1749">
        <v>0</v>
      </c>
      <c r="L80" s="1749">
        <v>0</v>
      </c>
      <c r="M80" s="1749">
        <v>0</v>
      </c>
    </row>
    <row r="81" spans="2:13" ht="15" x14ac:dyDescent="0.2">
      <c r="B81" s="1732">
        <v>10374</v>
      </c>
      <c r="C81" s="1732" t="s">
        <v>1445</v>
      </c>
      <c r="D81" s="1732" t="s">
        <v>1446</v>
      </c>
      <c r="E81" s="1732" t="s">
        <v>1330</v>
      </c>
      <c r="F81" s="1732" t="s">
        <v>94</v>
      </c>
      <c r="G81" s="1735" t="s">
        <v>1300</v>
      </c>
      <c r="H81" s="1735" t="s">
        <v>1303</v>
      </c>
      <c r="I81" s="1763">
        <v>0</v>
      </c>
      <c r="J81" s="1749">
        <v>0</v>
      </c>
      <c r="K81" s="1749">
        <v>0</v>
      </c>
      <c r="L81" s="1749">
        <v>0</v>
      </c>
      <c r="M81" s="1749">
        <v>0</v>
      </c>
    </row>
    <row r="82" spans="2:13" ht="15" x14ac:dyDescent="0.2">
      <c r="B82" s="1732">
        <v>10376</v>
      </c>
      <c r="C82" s="1732" t="s">
        <v>1447</v>
      </c>
      <c r="D82" s="1732" t="s">
        <v>1448</v>
      </c>
      <c r="E82" s="1732" t="s">
        <v>1330</v>
      </c>
      <c r="F82" s="1732" t="s">
        <v>94</v>
      </c>
      <c r="G82" s="1735" t="s">
        <v>1300</v>
      </c>
      <c r="H82" s="1735" t="s">
        <v>1303</v>
      </c>
      <c r="I82" s="1763">
        <v>0</v>
      </c>
      <c r="J82" s="1749">
        <v>0</v>
      </c>
      <c r="K82" s="1749">
        <v>0</v>
      </c>
      <c r="L82" s="1749">
        <v>0</v>
      </c>
      <c r="M82" s="1749">
        <v>0</v>
      </c>
    </row>
    <row r="83" spans="2:13" ht="15" x14ac:dyDescent="0.2">
      <c r="B83" s="1752">
        <v>10378</v>
      </c>
      <c r="C83" s="1752" t="s">
        <v>1449</v>
      </c>
      <c r="D83" s="1753" t="s">
        <v>1450</v>
      </c>
      <c r="E83" s="1732" t="s">
        <v>1311</v>
      </c>
      <c r="F83" s="1732" t="s">
        <v>94</v>
      </c>
      <c r="G83" s="1735" t="s">
        <v>1300</v>
      </c>
      <c r="H83" s="1735" t="s">
        <v>1303</v>
      </c>
      <c r="I83" s="1763">
        <v>0</v>
      </c>
      <c r="J83" s="1749">
        <v>49620.502500000002</v>
      </c>
      <c r="K83" s="1749">
        <v>67119.934999999998</v>
      </c>
      <c r="L83" s="1764">
        <f>K83</f>
        <v>67119.934999999998</v>
      </c>
      <c r="M83" s="1764">
        <f>J83</f>
        <v>49620.502500000002</v>
      </c>
    </row>
    <row r="84" spans="2:13" ht="15" x14ac:dyDescent="0.2">
      <c r="B84" s="1752">
        <v>10379</v>
      </c>
      <c r="C84" s="1752" t="s">
        <v>1451</v>
      </c>
      <c r="D84" s="1753" t="s">
        <v>1452</v>
      </c>
      <c r="E84" s="1732" t="s">
        <v>1311</v>
      </c>
      <c r="F84" s="1732" t="s">
        <v>94</v>
      </c>
      <c r="G84" s="1735" t="s">
        <v>1300</v>
      </c>
      <c r="H84" s="1735" t="s">
        <v>1303</v>
      </c>
      <c r="I84" s="1763">
        <v>0</v>
      </c>
      <c r="J84" s="1749">
        <v>199080.63</v>
      </c>
      <c r="K84" s="1764">
        <f>J84</f>
        <v>199080.63</v>
      </c>
      <c r="L84" s="1764">
        <f>K84</f>
        <v>199080.63</v>
      </c>
      <c r="M84" s="1764">
        <f>L84</f>
        <v>199080.63</v>
      </c>
    </row>
    <row r="85" spans="2:13" ht="15" x14ac:dyDescent="0.2">
      <c r="B85" s="1732">
        <v>65409</v>
      </c>
      <c r="C85" s="1732" t="s">
        <v>1453</v>
      </c>
      <c r="D85" s="1732" t="s">
        <v>1454</v>
      </c>
      <c r="E85" s="1732" t="s">
        <v>1335</v>
      </c>
      <c r="F85" s="1732" t="s">
        <v>94</v>
      </c>
      <c r="G85" s="1742" t="s">
        <v>1346</v>
      </c>
      <c r="H85" s="1735" t="s">
        <v>1303</v>
      </c>
      <c r="I85" s="1763">
        <v>0</v>
      </c>
      <c r="J85" s="1749">
        <v>0</v>
      </c>
      <c r="K85" s="1749">
        <v>0</v>
      </c>
      <c r="L85" s="1749">
        <v>0</v>
      </c>
      <c r="M85" s="1749">
        <v>0</v>
      </c>
    </row>
    <row r="86" spans="2:13" ht="15" x14ac:dyDescent="0.2">
      <c r="B86" s="1732">
        <v>62825</v>
      </c>
      <c r="C86" s="1732" t="s">
        <v>1455</v>
      </c>
      <c r="D86" s="1732" t="s">
        <v>1455</v>
      </c>
      <c r="E86" s="1732" t="s">
        <v>1335</v>
      </c>
      <c r="F86" s="1732" t="s">
        <v>94</v>
      </c>
      <c r="G86" s="1741" t="s">
        <v>1337</v>
      </c>
      <c r="H86" s="1741" t="s">
        <v>1303</v>
      </c>
      <c r="I86" s="1763">
        <v>0</v>
      </c>
      <c r="J86" s="1749">
        <v>0</v>
      </c>
      <c r="K86" s="1749">
        <v>0</v>
      </c>
      <c r="L86" s="1749">
        <v>0</v>
      </c>
      <c r="M86" s="1749">
        <v>0</v>
      </c>
    </row>
    <row r="87" spans="2:13" ht="15" x14ac:dyDescent="0.2">
      <c r="B87" s="1732">
        <v>62802</v>
      </c>
      <c r="C87" s="1732" t="s">
        <v>1456</v>
      </c>
      <c r="D87" s="1732" t="s">
        <v>1457</v>
      </c>
      <c r="E87" s="1732" t="s">
        <v>1335</v>
      </c>
      <c r="F87" s="1732" t="s">
        <v>94</v>
      </c>
      <c r="G87" s="1741" t="s">
        <v>1337</v>
      </c>
      <c r="H87" s="1741" t="s">
        <v>1303</v>
      </c>
      <c r="I87" s="1763">
        <v>0</v>
      </c>
      <c r="J87" s="1749">
        <v>0</v>
      </c>
      <c r="K87" s="1749">
        <v>0</v>
      </c>
      <c r="L87" s="1749">
        <v>0</v>
      </c>
      <c r="M87" s="1749">
        <v>0</v>
      </c>
    </row>
    <row r="88" spans="2:13" ht="15" x14ac:dyDescent="0.2">
      <c r="B88" s="1732">
        <v>62803</v>
      </c>
      <c r="C88" s="1732" t="s">
        <v>1458</v>
      </c>
      <c r="D88" s="1732" t="s">
        <v>1459</v>
      </c>
      <c r="E88" s="1732" t="s">
        <v>1335</v>
      </c>
      <c r="F88" s="1732" t="s">
        <v>94</v>
      </c>
      <c r="G88" s="1741" t="s">
        <v>1337</v>
      </c>
      <c r="H88" s="1741" t="s">
        <v>1303</v>
      </c>
      <c r="I88" s="1763">
        <v>0</v>
      </c>
      <c r="J88" s="1749">
        <v>0</v>
      </c>
      <c r="K88" s="1749">
        <v>0</v>
      </c>
      <c r="L88" s="1749">
        <v>0</v>
      </c>
      <c r="M88" s="1749">
        <v>0</v>
      </c>
    </row>
    <row r="89" spans="2:13" ht="15" x14ac:dyDescent="0.2">
      <c r="B89" s="1732">
        <v>41304</v>
      </c>
      <c r="C89" s="1732" t="s">
        <v>1460</v>
      </c>
      <c r="D89" s="1732" t="s">
        <v>1460</v>
      </c>
      <c r="E89" s="1732" t="s">
        <v>1335</v>
      </c>
      <c r="F89" s="1732" t="s">
        <v>94</v>
      </c>
      <c r="G89" s="1742" t="s">
        <v>1461</v>
      </c>
      <c r="H89" s="1735" t="s">
        <v>1303</v>
      </c>
      <c r="I89" s="1763">
        <v>0</v>
      </c>
      <c r="J89" s="1749">
        <v>0</v>
      </c>
      <c r="K89" s="1749">
        <v>0</v>
      </c>
      <c r="L89" s="1749">
        <v>0</v>
      </c>
      <c r="M89" s="1749">
        <v>194.9</v>
      </c>
    </row>
    <row r="90" spans="2:13" ht="15" x14ac:dyDescent="0.2">
      <c r="B90" s="1732">
        <v>10723</v>
      </c>
      <c r="C90" s="1732" t="s">
        <v>1462</v>
      </c>
      <c r="D90" s="1732" t="s">
        <v>1463</v>
      </c>
      <c r="E90" s="1732" t="s">
        <v>1464</v>
      </c>
      <c r="F90" s="1732" t="s">
        <v>94</v>
      </c>
      <c r="G90" s="1735" t="s">
        <v>1300</v>
      </c>
      <c r="H90" s="1735" t="s">
        <v>1296</v>
      </c>
      <c r="I90" s="1763">
        <v>1120775.2050000001</v>
      </c>
      <c r="J90" s="1749">
        <v>0</v>
      </c>
      <c r="K90" s="1749">
        <v>0</v>
      </c>
      <c r="L90" s="1749">
        <v>0</v>
      </c>
      <c r="M90" s="1749">
        <v>0</v>
      </c>
    </row>
    <row r="91" spans="2:13" ht="15" x14ac:dyDescent="0.2">
      <c r="B91" s="1735">
        <v>8866</v>
      </c>
      <c r="C91" s="1736" t="s">
        <v>1465</v>
      </c>
      <c r="D91" s="1735"/>
      <c r="E91" s="1732" t="s">
        <v>1335</v>
      </c>
      <c r="F91" s="1735" t="s">
        <v>94</v>
      </c>
      <c r="G91" s="1735" t="s">
        <v>1300</v>
      </c>
      <c r="H91" s="1735" t="s">
        <v>1296</v>
      </c>
      <c r="I91" s="1763">
        <v>0</v>
      </c>
      <c r="J91" s="1749">
        <v>0</v>
      </c>
      <c r="K91" s="1749">
        <v>0</v>
      </c>
      <c r="L91" s="1749">
        <v>0</v>
      </c>
      <c r="M91" s="1749">
        <v>0</v>
      </c>
    </row>
    <row r="92" spans="2:13" ht="15" x14ac:dyDescent="0.2">
      <c r="B92" s="1752">
        <v>11482</v>
      </c>
      <c r="C92" s="1752" t="s">
        <v>1466</v>
      </c>
      <c r="D92" s="1752" t="s">
        <v>1466</v>
      </c>
      <c r="E92" s="1732" t="s">
        <v>1373</v>
      </c>
      <c r="F92" s="1732" t="s">
        <v>94</v>
      </c>
      <c r="G92" s="1735" t="s">
        <v>1300</v>
      </c>
      <c r="H92" s="1735" t="s">
        <v>1296</v>
      </c>
      <c r="I92" s="1763">
        <v>490690.9</v>
      </c>
      <c r="J92" s="1764">
        <f>K92</f>
        <v>490690.9</v>
      </c>
      <c r="K92" s="1749">
        <v>490690.9</v>
      </c>
      <c r="L92" s="1764">
        <f>K92</f>
        <v>490690.9</v>
      </c>
      <c r="M92" s="1764">
        <f>L92</f>
        <v>490690.9</v>
      </c>
    </row>
    <row r="93" spans="2:13" ht="15" x14ac:dyDescent="0.2">
      <c r="B93" s="1752">
        <v>11644</v>
      </c>
      <c r="C93" s="1752" t="s">
        <v>1467</v>
      </c>
      <c r="D93" s="1752" t="s">
        <v>1467</v>
      </c>
      <c r="E93" s="1732" t="s">
        <v>1373</v>
      </c>
      <c r="F93" s="1732" t="s">
        <v>94</v>
      </c>
      <c r="G93" s="1735" t="s">
        <v>1300</v>
      </c>
      <c r="H93" s="1735" t="s">
        <v>1296</v>
      </c>
      <c r="I93" s="1763">
        <v>353079.46</v>
      </c>
      <c r="J93" s="1764">
        <f>I93</f>
        <v>353079.46</v>
      </c>
      <c r="K93" s="1764">
        <f t="shared" ref="K93:M93" si="0">J93</f>
        <v>353079.46</v>
      </c>
      <c r="L93" s="1764">
        <f t="shared" si="0"/>
        <v>353079.46</v>
      </c>
      <c r="M93" s="1764">
        <f t="shared" si="0"/>
        <v>353079.46</v>
      </c>
    </row>
    <row r="94" spans="2:13" ht="15" x14ac:dyDescent="0.2">
      <c r="B94" s="1752">
        <v>11681</v>
      </c>
      <c r="C94" s="1752" t="s">
        <v>1468</v>
      </c>
      <c r="D94" s="1753" t="s">
        <v>1469</v>
      </c>
      <c r="E94" s="1732" t="s">
        <v>1311</v>
      </c>
      <c r="F94" s="1732" t="s">
        <v>94</v>
      </c>
      <c r="G94" s="1735" t="s">
        <v>1300</v>
      </c>
      <c r="H94" s="1735" t="s">
        <v>1303</v>
      </c>
      <c r="I94" s="1763">
        <v>0</v>
      </c>
      <c r="J94" s="1749">
        <v>31574.320000000003</v>
      </c>
      <c r="K94" s="1764">
        <f>J94</f>
        <v>31574.320000000003</v>
      </c>
      <c r="L94" s="1764">
        <f>K94</f>
        <v>31574.320000000003</v>
      </c>
      <c r="M94" s="1749">
        <v>31574.32</v>
      </c>
    </row>
    <row r="95" spans="2:13" ht="15" x14ac:dyDescent="0.2">
      <c r="B95" s="1752">
        <v>11849</v>
      </c>
      <c r="C95" s="1752" t="s">
        <v>1470</v>
      </c>
      <c r="D95" s="1753" t="s">
        <v>1471</v>
      </c>
      <c r="E95" s="1732" t="s">
        <v>1311</v>
      </c>
      <c r="F95" s="1732" t="s">
        <v>94</v>
      </c>
      <c r="G95" s="1735" t="s">
        <v>1300</v>
      </c>
      <c r="H95" s="1735" t="s">
        <v>1303</v>
      </c>
      <c r="I95" s="1763">
        <v>0</v>
      </c>
      <c r="J95" s="1749">
        <v>0</v>
      </c>
      <c r="K95" s="1749">
        <v>0</v>
      </c>
      <c r="L95" s="1749">
        <v>0</v>
      </c>
      <c r="M95" s="1749">
        <v>0</v>
      </c>
    </row>
    <row r="96" spans="2:13" ht="15" x14ac:dyDescent="0.2">
      <c r="B96" s="1732">
        <v>11873</v>
      </c>
      <c r="C96" s="1732" t="s">
        <v>1472</v>
      </c>
      <c r="D96" s="1734" t="s">
        <v>1473</v>
      </c>
      <c r="E96" s="1732" t="s">
        <v>1474</v>
      </c>
      <c r="F96" s="1732" t="s">
        <v>94</v>
      </c>
      <c r="G96" s="1735" t="s">
        <v>1300</v>
      </c>
      <c r="H96" s="1735" t="s">
        <v>1303</v>
      </c>
      <c r="I96" s="1763">
        <v>0</v>
      </c>
      <c r="J96" s="1764">
        <f>K96</f>
        <v>219514.86</v>
      </c>
      <c r="K96" s="1764">
        <f>L96</f>
        <v>219514.86</v>
      </c>
      <c r="L96" s="1764">
        <f>M96</f>
        <v>219514.86</v>
      </c>
      <c r="M96" s="1749">
        <v>219514.86</v>
      </c>
    </row>
    <row r="97" spans="2:13" ht="15" x14ac:dyDescent="0.2">
      <c r="B97" s="1752">
        <v>11934</v>
      </c>
      <c r="C97" s="1752" t="s">
        <v>1475</v>
      </c>
      <c r="D97" s="1753" t="s">
        <v>1476</v>
      </c>
      <c r="E97" s="1732" t="s">
        <v>1474</v>
      </c>
      <c r="F97" s="1732" t="s">
        <v>94</v>
      </c>
      <c r="G97" s="1735" t="s">
        <v>1325</v>
      </c>
      <c r="H97" s="1735" t="s">
        <v>1303</v>
      </c>
      <c r="I97" s="1763">
        <v>0</v>
      </c>
      <c r="J97" s="1749">
        <v>397670.09</v>
      </c>
      <c r="K97" s="1749">
        <v>418819.2</v>
      </c>
      <c r="L97" s="1749">
        <v>407255.82</v>
      </c>
      <c r="M97" s="1764">
        <f>L97</f>
        <v>407255.82</v>
      </c>
    </row>
    <row r="98" spans="2:13" ht="15" x14ac:dyDescent="0.2">
      <c r="B98" s="1735">
        <v>29865</v>
      </c>
      <c r="C98" s="1735" t="s">
        <v>1477</v>
      </c>
      <c r="D98" s="1735"/>
      <c r="E98" s="1732" t="s">
        <v>1335</v>
      </c>
      <c r="F98" s="1735" t="s">
        <v>94</v>
      </c>
      <c r="G98" s="1735" t="s">
        <v>1325</v>
      </c>
      <c r="H98" s="1735" t="s">
        <v>1303</v>
      </c>
      <c r="I98" s="1763">
        <v>0</v>
      </c>
      <c r="J98" s="1749">
        <v>0</v>
      </c>
      <c r="K98" s="1749">
        <v>0</v>
      </c>
      <c r="L98" s="1749">
        <v>0</v>
      </c>
      <c r="M98" s="1749">
        <v>0</v>
      </c>
    </row>
    <row r="99" spans="2:13" ht="15" x14ac:dyDescent="0.2">
      <c r="B99" s="1732">
        <v>12634</v>
      </c>
      <c r="C99" s="1732" t="s">
        <v>1478</v>
      </c>
      <c r="D99" s="1732" t="s">
        <v>1479</v>
      </c>
      <c r="E99" s="1732" t="s">
        <v>1294</v>
      </c>
      <c r="F99" s="1732" t="s">
        <v>94</v>
      </c>
      <c r="G99" s="1735" t="s">
        <v>1325</v>
      </c>
      <c r="H99" s="1735" t="s">
        <v>1303</v>
      </c>
      <c r="I99" s="1763">
        <v>112571.1</v>
      </c>
      <c r="J99" s="1749">
        <v>0</v>
      </c>
      <c r="K99" s="1749">
        <v>0</v>
      </c>
      <c r="L99" s="1749">
        <v>0</v>
      </c>
      <c r="M99" s="1749">
        <v>0</v>
      </c>
    </row>
    <row r="100" spans="2:13" ht="15" x14ac:dyDescent="0.2">
      <c r="B100" s="1732">
        <v>12635</v>
      </c>
      <c r="C100" s="1732" t="s">
        <v>1480</v>
      </c>
      <c r="D100" s="1732" t="s">
        <v>1481</v>
      </c>
      <c r="E100" s="1732" t="s">
        <v>1294</v>
      </c>
      <c r="F100" s="1732" t="s">
        <v>94</v>
      </c>
      <c r="G100" s="1735" t="s">
        <v>1300</v>
      </c>
      <c r="H100" s="1735" t="s">
        <v>1303</v>
      </c>
      <c r="I100" s="1763">
        <v>0</v>
      </c>
      <c r="J100" s="1749">
        <v>237070.17</v>
      </c>
      <c r="K100" s="1749">
        <v>0</v>
      </c>
      <c r="L100" s="1749">
        <v>0</v>
      </c>
      <c r="M100" s="1749">
        <v>0</v>
      </c>
    </row>
    <row r="101" spans="2:13" ht="15" x14ac:dyDescent="0.2">
      <c r="B101" s="1732">
        <v>12636</v>
      </c>
      <c r="C101" s="1732" t="s">
        <v>1482</v>
      </c>
      <c r="D101" s="1732" t="s">
        <v>1483</v>
      </c>
      <c r="E101" s="1732" t="s">
        <v>1294</v>
      </c>
      <c r="F101" s="1732" t="s">
        <v>94</v>
      </c>
      <c r="G101" s="1735" t="s">
        <v>1300</v>
      </c>
      <c r="H101" s="1735" t="s">
        <v>1303</v>
      </c>
      <c r="I101" s="1763">
        <v>0</v>
      </c>
      <c r="J101" s="1749">
        <v>0</v>
      </c>
      <c r="K101" s="1749">
        <v>0</v>
      </c>
      <c r="L101" s="1749">
        <v>0</v>
      </c>
      <c r="M101" s="1749">
        <v>0</v>
      </c>
    </row>
    <row r="102" spans="2:13" ht="15" x14ac:dyDescent="0.2">
      <c r="B102" s="1732">
        <v>12638</v>
      </c>
      <c r="C102" s="1732" t="s">
        <v>1484</v>
      </c>
      <c r="D102" s="1732" t="s">
        <v>1485</v>
      </c>
      <c r="E102" s="1732" t="s">
        <v>1294</v>
      </c>
      <c r="F102" s="1732" t="s">
        <v>94</v>
      </c>
      <c r="G102" s="1735" t="s">
        <v>1300</v>
      </c>
      <c r="H102" s="1735" t="s">
        <v>1296</v>
      </c>
      <c r="I102" s="1763">
        <v>0</v>
      </c>
      <c r="J102" s="1749">
        <v>0</v>
      </c>
      <c r="K102" s="1749">
        <v>0</v>
      </c>
      <c r="L102" s="1749">
        <v>0</v>
      </c>
      <c r="M102" s="1749">
        <v>0</v>
      </c>
    </row>
    <row r="103" spans="2:13" ht="15" x14ac:dyDescent="0.2">
      <c r="B103" s="1732">
        <v>12639</v>
      </c>
      <c r="C103" s="1732" t="s">
        <v>1486</v>
      </c>
      <c r="D103" s="1732" t="s">
        <v>1487</v>
      </c>
      <c r="E103" s="1732" t="s">
        <v>1294</v>
      </c>
      <c r="F103" s="1732" t="s">
        <v>94</v>
      </c>
      <c r="G103" s="1735" t="s">
        <v>1300</v>
      </c>
      <c r="H103" s="1735" t="s">
        <v>1303</v>
      </c>
      <c r="I103" s="1763">
        <v>0</v>
      </c>
      <c r="J103" s="1749">
        <v>370223.8</v>
      </c>
      <c r="K103" s="1749">
        <v>0</v>
      </c>
      <c r="L103" s="1749">
        <v>0</v>
      </c>
      <c r="M103" s="1749">
        <v>0</v>
      </c>
    </row>
    <row r="104" spans="2:13" ht="15" x14ac:dyDescent="0.2">
      <c r="B104" s="1732">
        <v>12640</v>
      </c>
      <c r="C104" s="1732" t="s">
        <v>1488</v>
      </c>
      <c r="D104" s="1732" t="s">
        <v>1489</v>
      </c>
      <c r="E104" s="1732" t="s">
        <v>1294</v>
      </c>
      <c r="F104" s="1732" t="s">
        <v>94</v>
      </c>
      <c r="G104" s="1735" t="s">
        <v>1300</v>
      </c>
      <c r="H104" s="1735" t="s">
        <v>1303</v>
      </c>
      <c r="I104" s="1763">
        <v>0</v>
      </c>
      <c r="J104" s="1749">
        <v>0</v>
      </c>
      <c r="K104" s="1749">
        <v>0</v>
      </c>
      <c r="L104" s="1749">
        <v>0</v>
      </c>
      <c r="M104" s="1749">
        <v>0</v>
      </c>
    </row>
    <row r="105" spans="2:13" ht="15" x14ac:dyDescent="0.2">
      <c r="B105" s="1732">
        <v>12806</v>
      </c>
      <c r="C105" s="1732" t="s">
        <v>1490</v>
      </c>
      <c r="D105" s="1732" t="s">
        <v>1491</v>
      </c>
      <c r="E105" s="1732" t="s">
        <v>1311</v>
      </c>
      <c r="F105" s="1732" t="s">
        <v>94</v>
      </c>
      <c r="G105" s="1735" t="s">
        <v>1300</v>
      </c>
      <c r="H105" s="1735" t="s">
        <v>1303</v>
      </c>
      <c r="I105" s="1763">
        <v>0</v>
      </c>
      <c r="J105" s="1749">
        <v>0</v>
      </c>
      <c r="K105" s="1749">
        <v>35718.514285714286</v>
      </c>
      <c r="L105" s="1749">
        <v>0</v>
      </c>
      <c r="M105" s="1749">
        <v>0</v>
      </c>
    </row>
    <row r="106" spans="2:13" ht="15" x14ac:dyDescent="0.2">
      <c r="B106" s="1732">
        <v>12820</v>
      </c>
      <c r="C106" s="1732" t="s">
        <v>1492</v>
      </c>
      <c r="D106" s="1733" t="s">
        <v>1492</v>
      </c>
      <c r="E106" s="1732" t="s">
        <v>1493</v>
      </c>
      <c r="F106" s="1732" t="s">
        <v>94</v>
      </c>
      <c r="G106" s="1735" t="s">
        <v>1300</v>
      </c>
      <c r="H106" s="1735" t="s">
        <v>1296</v>
      </c>
      <c r="I106" s="1763">
        <v>0</v>
      </c>
      <c r="J106" s="1749">
        <v>0</v>
      </c>
      <c r="K106" s="1749">
        <v>0</v>
      </c>
      <c r="L106" s="1749">
        <v>0</v>
      </c>
      <c r="M106" s="1749">
        <v>0</v>
      </c>
    </row>
    <row r="107" spans="2:13" ht="15" x14ac:dyDescent="0.2">
      <c r="B107" s="1732">
        <v>12821</v>
      </c>
      <c r="C107" s="1732" t="s">
        <v>1494</v>
      </c>
      <c r="D107" s="1733" t="s">
        <v>1494</v>
      </c>
      <c r="E107" s="1732" t="s">
        <v>1493</v>
      </c>
      <c r="F107" s="1732" t="s">
        <v>94</v>
      </c>
      <c r="G107" s="1735" t="s">
        <v>1300</v>
      </c>
      <c r="H107" s="1735" t="s">
        <v>1303</v>
      </c>
      <c r="I107" s="1763">
        <v>0</v>
      </c>
      <c r="J107" s="1749">
        <v>0</v>
      </c>
      <c r="K107" s="1749">
        <v>0</v>
      </c>
      <c r="L107" s="1749">
        <v>0</v>
      </c>
      <c r="M107" s="1749">
        <v>0</v>
      </c>
    </row>
    <row r="108" spans="2:13" ht="15" x14ac:dyDescent="0.2">
      <c r="B108" s="1732">
        <v>12822</v>
      </c>
      <c r="C108" s="1732" t="s">
        <v>1495</v>
      </c>
      <c r="D108" s="1733" t="s">
        <v>1495</v>
      </c>
      <c r="E108" s="1732" t="s">
        <v>1493</v>
      </c>
      <c r="F108" s="1732" t="s">
        <v>94</v>
      </c>
      <c r="G108" s="1735" t="s">
        <v>1300</v>
      </c>
      <c r="H108" s="1735" t="s">
        <v>1303</v>
      </c>
      <c r="I108" s="1763">
        <v>0</v>
      </c>
      <c r="J108" s="1749">
        <v>0</v>
      </c>
      <c r="K108" s="1749">
        <v>0</v>
      </c>
      <c r="L108" s="1749">
        <v>0</v>
      </c>
      <c r="M108" s="1749">
        <v>0</v>
      </c>
    </row>
    <row r="109" spans="2:13" ht="15" x14ac:dyDescent="0.2">
      <c r="B109" s="1732">
        <v>12823</v>
      </c>
      <c r="C109" s="1732" t="s">
        <v>1496</v>
      </c>
      <c r="D109" s="1733" t="s">
        <v>1496</v>
      </c>
      <c r="E109" s="1732" t="s">
        <v>1493</v>
      </c>
      <c r="F109" s="1732" t="s">
        <v>94</v>
      </c>
      <c r="G109" s="1735" t="s">
        <v>1300</v>
      </c>
      <c r="H109" s="1735" t="s">
        <v>1303</v>
      </c>
      <c r="I109" s="1763">
        <v>8470.7999999999993</v>
      </c>
      <c r="J109" s="1749">
        <v>0</v>
      </c>
      <c r="K109" s="1749">
        <v>0</v>
      </c>
      <c r="L109" s="1749">
        <v>0</v>
      </c>
      <c r="M109" s="1749">
        <v>0</v>
      </c>
    </row>
    <row r="110" spans="2:13" ht="15" x14ac:dyDescent="0.2">
      <c r="B110" s="1732">
        <v>12824</v>
      </c>
      <c r="C110" s="1732" t="s">
        <v>1497</v>
      </c>
      <c r="D110" s="1733" t="s">
        <v>1497</v>
      </c>
      <c r="E110" s="1732" t="s">
        <v>1493</v>
      </c>
      <c r="F110" s="1732" t="s">
        <v>94</v>
      </c>
      <c r="G110" s="1735" t="s">
        <v>1300</v>
      </c>
      <c r="H110" s="1735" t="s">
        <v>1303</v>
      </c>
      <c r="I110" s="1763">
        <v>8470.7999999999993</v>
      </c>
      <c r="J110" s="1749">
        <v>0</v>
      </c>
      <c r="K110" s="1749">
        <v>0</v>
      </c>
      <c r="L110" s="1749">
        <v>0</v>
      </c>
      <c r="M110" s="1749">
        <v>0</v>
      </c>
    </row>
    <row r="111" spans="2:13" ht="15" x14ac:dyDescent="0.2">
      <c r="B111" s="1732">
        <v>12825</v>
      </c>
      <c r="C111" s="1732" t="s">
        <v>1498</v>
      </c>
      <c r="D111" s="1733" t="s">
        <v>1498</v>
      </c>
      <c r="E111" s="1732" t="s">
        <v>1493</v>
      </c>
      <c r="F111" s="1732" t="s">
        <v>94</v>
      </c>
      <c r="G111" s="1735" t="s">
        <v>1300</v>
      </c>
      <c r="H111" s="1735" t="s">
        <v>1303</v>
      </c>
      <c r="I111" s="1763">
        <v>8470.7999999999993</v>
      </c>
      <c r="J111" s="1749">
        <v>0</v>
      </c>
      <c r="K111" s="1749">
        <v>0</v>
      </c>
      <c r="L111" s="1749">
        <v>0</v>
      </c>
      <c r="M111" s="1749">
        <v>0</v>
      </c>
    </row>
    <row r="112" spans="2:13" ht="15" x14ac:dyDescent="0.2">
      <c r="B112" s="1732">
        <v>12826</v>
      </c>
      <c r="C112" s="1732" t="s">
        <v>1499</v>
      </c>
      <c r="D112" s="1733" t="s">
        <v>1499</v>
      </c>
      <c r="E112" s="1732" t="s">
        <v>1493</v>
      </c>
      <c r="F112" s="1732" t="s">
        <v>94</v>
      </c>
      <c r="G112" s="1735" t="s">
        <v>1300</v>
      </c>
      <c r="H112" s="1735" t="s">
        <v>1303</v>
      </c>
      <c r="I112" s="1763">
        <v>0</v>
      </c>
      <c r="J112" s="1749">
        <v>0</v>
      </c>
      <c r="K112" s="1749">
        <v>0</v>
      </c>
      <c r="L112" s="1749">
        <v>0</v>
      </c>
      <c r="M112" s="1749">
        <v>0</v>
      </c>
    </row>
    <row r="113" spans="2:13" ht="15" x14ac:dyDescent="0.2">
      <c r="B113" s="1732">
        <v>12827</v>
      </c>
      <c r="C113" s="1732" t="s">
        <v>1500</v>
      </c>
      <c r="D113" s="1733" t="s">
        <v>1500</v>
      </c>
      <c r="E113" s="1732" t="s">
        <v>1493</v>
      </c>
      <c r="F113" s="1732" t="s">
        <v>94</v>
      </c>
      <c r="G113" s="1735" t="s">
        <v>1300</v>
      </c>
      <c r="H113" s="1735" t="s">
        <v>1303</v>
      </c>
      <c r="I113" s="1763">
        <v>0</v>
      </c>
      <c r="J113" s="1749">
        <v>0</v>
      </c>
      <c r="K113" s="1749">
        <v>0</v>
      </c>
      <c r="L113" s="1749">
        <v>0</v>
      </c>
      <c r="M113" s="1749">
        <v>0</v>
      </c>
    </row>
    <row r="114" spans="2:13" ht="15" x14ac:dyDescent="0.2">
      <c r="B114" s="1732">
        <v>12828</v>
      </c>
      <c r="C114" s="1732" t="s">
        <v>1492</v>
      </c>
      <c r="D114" s="1733" t="s">
        <v>1492</v>
      </c>
      <c r="E114" s="1732" t="s">
        <v>1493</v>
      </c>
      <c r="F114" s="1732" t="s">
        <v>94</v>
      </c>
      <c r="G114" s="1735" t="s">
        <v>1325</v>
      </c>
      <c r="H114" s="1735" t="s">
        <v>1303</v>
      </c>
      <c r="I114" s="1763">
        <v>0</v>
      </c>
      <c r="J114" s="1749">
        <v>0</v>
      </c>
      <c r="K114" s="1749">
        <v>0</v>
      </c>
      <c r="L114" s="1749">
        <v>0</v>
      </c>
      <c r="M114" s="1749">
        <v>0</v>
      </c>
    </row>
    <row r="115" spans="2:13" ht="15" x14ac:dyDescent="0.2">
      <c r="B115" s="1732">
        <v>12829</v>
      </c>
      <c r="C115" s="1732" t="s">
        <v>1501</v>
      </c>
      <c r="D115" s="1733" t="s">
        <v>1501</v>
      </c>
      <c r="E115" s="1732" t="s">
        <v>1493</v>
      </c>
      <c r="F115" s="1732" t="s">
        <v>94</v>
      </c>
      <c r="G115" s="1735" t="s">
        <v>1300</v>
      </c>
      <c r="H115" s="1735" t="s">
        <v>1303</v>
      </c>
      <c r="I115" s="1763">
        <v>0</v>
      </c>
      <c r="J115" s="1749">
        <v>0</v>
      </c>
      <c r="K115" s="1749">
        <v>0</v>
      </c>
      <c r="L115" s="1749">
        <v>0</v>
      </c>
      <c r="M115" s="1749">
        <v>0</v>
      </c>
    </row>
    <row r="116" spans="2:13" ht="15" x14ac:dyDescent="0.2">
      <c r="B116" s="1732">
        <v>12830</v>
      </c>
      <c r="C116" s="1732" t="s">
        <v>1502</v>
      </c>
      <c r="D116" s="1733" t="s">
        <v>1502</v>
      </c>
      <c r="E116" s="1732" t="s">
        <v>1493</v>
      </c>
      <c r="F116" s="1732" t="s">
        <v>94</v>
      </c>
      <c r="G116" s="1735" t="s">
        <v>1300</v>
      </c>
      <c r="H116" s="1735" t="s">
        <v>1303</v>
      </c>
      <c r="I116" s="1763">
        <v>0</v>
      </c>
      <c r="J116" s="1749">
        <v>0</v>
      </c>
      <c r="K116" s="1749">
        <v>0</v>
      </c>
      <c r="L116" s="1749">
        <v>0</v>
      </c>
      <c r="M116" s="1749">
        <v>0</v>
      </c>
    </row>
    <row r="117" spans="2:13" ht="15" x14ac:dyDescent="0.2">
      <c r="B117" s="1732">
        <v>12831</v>
      </c>
      <c r="C117" s="1732" t="s">
        <v>1503</v>
      </c>
      <c r="D117" s="1733" t="s">
        <v>1503</v>
      </c>
      <c r="E117" s="1732" t="s">
        <v>1493</v>
      </c>
      <c r="F117" s="1732" t="s">
        <v>94</v>
      </c>
      <c r="G117" s="1735" t="s">
        <v>1300</v>
      </c>
      <c r="H117" s="1735" t="s">
        <v>1303</v>
      </c>
      <c r="I117" s="1763">
        <v>0</v>
      </c>
      <c r="J117" s="1749">
        <v>0</v>
      </c>
      <c r="K117" s="1749">
        <v>0</v>
      </c>
      <c r="L117" s="1749">
        <v>6750.4</v>
      </c>
      <c r="M117" s="1749">
        <v>0</v>
      </c>
    </row>
    <row r="118" spans="2:13" ht="15" x14ac:dyDescent="0.2">
      <c r="B118" s="1732">
        <v>12832</v>
      </c>
      <c r="C118" s="1732" t="s">
        <v>1496</v>
      </c>
      <c r="D118" s="1733" t="s">
        <v>1496</v>
      </c>
      <c r="E118" s="1732" t="s">
        <v>1493</v>
      </c>
      <c r="F118" s="1732" t="s">
        <v>94</v>
      </c>
      <c r="G118" s="1735" t="s">
        <v>1300</v>
      </c>
      <c r="H118" s="1735" t="s">
        <v>1303</v>
      </c>
      <c r="I118" s="1763">
        <v>0</v>
      </c>
      <c r="J118" s="1749">
        <v>0</v>
      </c>
      <c r="K118" s="1749">
        <v>0</v>
      </c>
      <c r="L118" s="1749">
        <v>0</v>
      </c>
      <c r="M118" s="1749">
        <v>0</v>
      </c>
    </row>
    <row r="119" spans="2:13" ht="15" x14ac:dyDescent="0.2">
      <c r="B119" s="1732">
        <v>12833</v>
      </c>
      <c r="C119" s="1732" t="s">
        <v>1504</v>
      </c>
      <c r="D119" s="1733" t="s">
        <v>1504</v>
      </c>
      <c r="E119" s="1732" t="s">
        <v>1493</v>
      </c>
      <c r="F119" s="1732" t="s">
        <v>94</v>
      </c>
      <c r="G119" s="1735" t="s">
        <v>1300</v>
      </c>
      <c r="H119" s="1735" t="s">
        <v>1303</v>
      </c>
      <c r="I119" s="1763">
        <v>0</v>
      </c>
      <c r="J119" s="1749">
        <v>0</v>
      </c>
      <c r="K119" s="1749">
        <v>0</v>
      </c>
      <c r="L119" s="1749">
        <v>0</v>
      </c>
      <c r="M119" s="1749">
        <v>0</v>
      </c>
    </row>
    <row r="120" spans="2:13" ht="15" x14ac:dyDescent="0.2">
      <c r="B120" s="1732">
        <v>12834</v>
      </c>
      <c r="C120" s="1732" t="s">
        <v>1505</v>
      </c>
      <c r="D120" s="1733" t="s">
        <v>1505</v>
      </c>
      <c r="E120" s="1732" t="s">
        <v>1493</v>
      </c>
      <c r="F120" s="1732" t="s">
        <v>94</v>
      </c>
      <c r="G120" s="1735" t="s">
        <v>1300</v>
      </c>
      <c r="H120" s="1735" t="s">
        <v>1303</v>
      </c>
      <c r="I120" s="1763">
        <v>10452.6</v>
      </c>
      <c r="J120" s="1749">
        <v>0</v>
      </c>
      <c r="K120" s="1749">
        <v>0</v>
      </c>
      <c r="L120" s="1749">
        <v>0</v>
      </c>
      <c r="M120" s="1749">
        <v>0</v>
      </c>
    </row>
    <row r="121" spans="2:13" ht="15" x14ac:dyDescent="0.2">
      <c r="B121" s="1732">
        <v>12835</v>
      </c>
      <c r="C121" s="1732" t="s">
        <v>1497</v>
      </c>
      <c r="D121" s="1733" t="s">
        <v>1497</v>
      </c>
      <c r="E121" s="1732" t="s">
        <v>1493</v>
      </c>
      <c r="F121" s="1732" t="s">
        <v>94</v>
      </c>
      <c r="G121" s="1735" t="s">
        <v>1300</v>
      </c>
      <c r="H121" s="1735" t="s">
        <v>1303</v>
      </c>
      <c r="I121" s="1763">
        <v>10425.6</v>
      </c>
      <c r="J121" s="1749">
        <v>0</v>
      </c>
      <c r="K121" s="1749">
        <v>0</v>
      </c>
      <c r="L121" s="1749">
        <v>0</v>
      </c>
      <c r="M121" s="1749">
        <v>0</v>
      </c>
    </row>
    <row r="122" spans="2:13" ht="15" x14ac:dyDescent="0.2">
      <c r="B122" s="1735">
        <v>12836</v>
      </c>
      <c r="C122" s="1735" t="s">
        <v>1506</v>
      </c>
      <c r="D122" s="1736"/>
      <c r="E122" s="1732" t="s">
        <v>1493</v>
      </c>
      <c r="F122" s="1735" t="s">
        <v>94</v>
      </c>
      <c r="G122" s="1735" t="s">
        <v>1300</v>
      </c>
      <c r="H122" s="1735" t="s">
        <v>1303</v>
      </c>
      <c r="I122" s="1763">
        <v>0</v>
      </c>
      <c r="J122" s="1749">
        <v>0</v>
      </c>
      <c r="K122" s="1749">
        <v>0</v>
      </c>
      <c r="L122" s="1749">
        <v>0</v>
      </c>
      <c r="M122" s="1749">
        <v>0</v>
      </c>
    </row>
    <row r="123" spans="2:13" ht="15" x14ac:dyDescent="0.2">
      <c r="B123" s="1735">
        <v>12837</v>
      </c>
      <c r="C123" s="1735" t="s">
        <v>1507</v>
      </c>
      <c r="D123" s="1736"/>
      <c r="E123" s="1732" t="s">
        <v>1493</v>
      </c>
      <c r="F123" s="1735" t="s">
        <v>94</v>
      </c>
      <c r="G123" s="1735" t="s">
        <v>1325</v>
      </c>
      <c r="H123" s="1735" t="s">
        <v>1303</v>
      </c>
      <c r="I123" s="1763">
        <v>0</v>
      </c>
      <c r="J123" s="1749">
        <v>0</v>
      </c>
      <c r="K123" s="1749">
        <v>0</v>
      </c>
      <c r="L123" s="1749">
        <v>0</v>
      </c>
      <c r="M123" s="1749">
        <v>0</v>
      </c>
    </row>
    <row r="124" spans="2:13" ht="15" x14ac:dyDescent="0.2">
      <c r="B124" s="1735">
        <v>12838</v>
      </c>
      <c r="C124" s="1735" t="s">
        <v>1508</v>
      </c>
      <c r="D124" s="1736"/>
      <c r="E124" s="1732" t="s">
        <v>1493</v>
      </c>
      <c r="F124" s="1735" t="s">
        <v>94</v>
      </c>
      <c r="G124" s="1735" t="s">
        <v>1300</v>
      </c>
      <c r="H124" s="1735" t="s">
        <v>1303</v>
      </c>
      <c r="I124" s="1763">
        <v>0</v>
      </c>
      <c r="J124" s="1749">
        <v>0</v>
      </c>
      <c r="K124" s="1749">
        <v>0</v>
      </c>
      <c r="L124" s="1749">
        <v>0</v>
      </c>
      <c r="M124" s="1749">
        <v>0</v>
      </c>
    </row>
    <row r="125" spans="2:13" ht="15" x14ac:dyDescent="0.2">
      <c r="B125" s="1732">
        <v>12839</v>
      </c>
      <c r="C125" s="1732" t="s">
        <v>1509</v>
      </c>
      <c r="D125" s="1733" t="s">
        <v>1509</v>
      </c>
      <c r="E125" s="1732" t="s">
        <v>1493</v>
      </c>
      <c r="F125" s="1732" t="s">
        <v>94</v>
      </c>
      <c r="G125" s="1735" t="s">
        <v>1300</v>
      </c>
      <c r="H125" s="1735" t="s">
        <v>1303</v>
      </c>
      <c r="I125" s="1763">
        <v>0</v>
      </c>
      <c r="J125" s="1749">
        <v>0</v>
      </c>
      <c r="K125" s="1749">
        <v>0</v>
      </c>
      <c r="L125" s="1749">
        <v>0</v>
      </c>
      <c r="M125" s="1749">
        <v>0</v>
      </c>
    </row>
    <row r="126" spans="2:13" ht="15" x14ac:dyDescent="0.2">
      <c r="B126" s="1732">
        <v>12840</v>
      </c>
      <c r="C126" s="1732" t="s">
        <v>1510</v>
      </c>
      <c r="D126" s="1733" t="s">
        <v>1510</v>
      </c>
      <c r="E126" s="1732" t="s">
        <v>1493</v>
      </c>
      <c r="F126" s="1732" t="s">
        <v>94</v>
      </c>
      <c r="G126" s="1735" t="s">
        <v>1325</v>
      </c>
      <c r="H126" s="1735" t="s">
        <v>1303</v>
      </c>
      <c r="I126" s="1763">
        <v>8470.7999999999993</v>
      </c>
      <c r="J126" s="1749">
        <v>0</v>
      </c>
      <c r="K126" s="1749">
        <v>0</v>
      </c>
      <c r="L126" s="1749">
        <v>0</v>
      </c>
      <c r="M126" s="1749">
        <v>8470.7999999999993</v>
      </c>
    </row>
    <row r="127" spans="2:13" ht="15" x14ac:dyDescent="0.2">
      <c r="B127" s="1735">
        <v>12850</v>
      </c>
      <c r="C127" s="1735" t="s">
        <v>1511</v>
      </c>
      <c r="D127" s="1736"/>
      <c r="E127" s="1732" t="s">
        <v>1493</v>
      </c>
      <c r="F127" s="1735" t="s">
        <v>94</v>
      </c>
      <c r="G127" s="1735" t="s">
        <v>1512</v>
      </c>
      <c r="H127" s="1735" t="s">
        <v>1296</v>
      </c>
      <c r="I127" s="1763">
        <v>0</v>
      </c>
      <c r="J127" s="1749">
        <v>0</v>
      </c>
      <c r="K127" s="1749">
        <v>0</v>
      </c>
      <c r="L127" s="1749">
        <v>0</v>
      </c>
      <c r="M127" s="1749">
        <v>0</v>
      </c>
    </row>
    <row r="128" spans="2:13" ht="15" x14ac:dyDescent="0.2">
      <c r="B128" s="1735">
        <v>12853</v>
      </c>
      <c r="C128" s="1735" t="s">
        <v>1513</v>
      </c>
      <c r="D128" s="1736"/>
      <c r="E128" s="1732" t="s">
        <v>1493</v>
      </c>
      <c r="F128" s="1735" t="s">
        <v>94</v>
      </c>
      <c r="G128" s="1735" t="s">
        <v>1300</v>
      </c>
      <c r="H128" s="1735" t="s">
        <v>1303</v>
      </c>
      <c r="I128" s="1763">
        <v>0</v>
      </c>
      <c r="J128" s="1749">
        <v>0</v>
      </c>
      <c r="K128" s="1749">
        <v>0</v>
      </c>
      <c r="L128" s="1749">
        <v>0</v>
      </c>
      <c r="M128" s="1749">
        <v>0</v>
      </c>
    </row>
    <row r="129" spans="2:13" ht="15" x14ac:dyDescent="0.2">
      <c r="B129" s="1735">
        <v>12854</v>
      </c>
      <c r="C129" s="1735" t="s">
        <v>1514</v>
      </c>
      <c r="D129" s="1736"/>
      <c r="E129" s="1732" t="s">
        <v>1493</v>
      </c>
      <c r="F129" s="1735" t="s">
        <v>94</v>
      </c>
      <c r="G129" s="1735" t="s">
        <v>1300</v>
      </c>
      <c r="H129" s="1735" t="s">
        <v>1303</v>
      </c>
      <c r="I129" s="1763">
        <v>0</v>
      </c>
      <c r="J129" s="1749">
        <v>0</v>
      </c>
      <c r="K129" s="1749">
        <v>0</v>
      </c>
      <c r="L129" s="1749">
        <v>0</v>
      </c>
      <c r="M129" s="1749">
        <v>0</v>
      </c>
    </row>
    <row r="130" spans="2:13" ht="15" x14ac:dyDescent="0.2">
      <c r="B130" s="1732">
        <v>12855</v>
      </c>
      <c r="C130" s="1732" t="s">
        <v>1515</v>
      </c>
      <c r="D130" s="1733" t="s">
        <v>1515</v>
      </c>
      <c r="E130" s="1732" t="s">
        <v>1493</v>
      </c>
      <c r="F130" s="1732" t="s">
        <v>94</v>
      </c>
      <c r="G130" s="1735" t="s">
        <v>1300</v>
      </c>
      <c r="H130" s="1735" t="s">
        <v>1303</v>
      </c>
      <c r="I130" s="1763">
        <v>0</v>
      </c>
      <c r="J130" s="1749">
        <v>0</v>
      </c>
      <c r="K130" s="1749">
        <v>0</v>
      </c>
      <c r="L130" s="1749">
        <v>0</v>
      </c>
      <c r="M130" s="1749">
        <v>0</v>
      </c>
    </row>
    <row r="131" spans="2:13" ht="15" x14ac:dyDescent="0.2">
      <c r="B131" s="1735">
        <v>12856</v>
      </c>
      <c r="C131" s="1735" t="s">
        <v>1516</v>
      </c>
      <c r="D131" s="1736"/>
      <c r="E131" s="1732" t="s">
        <v>1493</v>
      </c>
      <c r="F131" s="1735" t="s">
        <v>94</v>
      </c>
      <c r="G131" s="1735" t="s">
        <v>1517</v>
      </c>
      <c r="H131" s="1735" t="s">
        <v>1303</v>
      </c>
      <c r="I131" s="1763">
        <v>0</v>
      </c>
      <c r="J131" s="1749">
        <v>0</v>
      </c>
      <c r="K131" s="1749">
        <v>0</v>
      </c>
      <c r="L131" s="1749">
        <v>0</v>
      </c>
      <c r="M131" s="1749">
        <v>0</v>
      </c>
    </row>
    <row r="132" spans="2:13" ht="15" x14ac:dyDescent="0.2">
      <c r="B132" s="1732">
        <v>12927</v>
      </c>
      <c r="C132" s="1732" t="s">
        <v>1518</v>
      </c>
      <c r="D132" s="1732" t="s">
        <v>1519</v>
      </c>
      <c r="E132" s="1732" t="s">
        <v>1464</v>
      </c>
      <c r="F132" s="1732" t="s">
        <v>94</v>
      </c>
      <c r="G132" s="1735" t="s">
        <v>1300</v>
      </c>
      <c r="H132" s="1735" t="s">
        <v>1296</v>
      </c>
      <c r="I132" s="1763">
        <v>0</v>
      </c>
      <c r="J132" s="1749">
        <v>0</v>
      </c>
      <c r="K132" s="1749">
        <v>0</v>
      </c>
      <c r="L132" s="1749">
        <v>0</v>
      </c>
      <c r="M132" s="1749">
        <v>0</v>
      </c>
    </row>
    <row r="133" spans="2:13" ht="15" x14ac:dyDescent="0.2">
      <c r="B133" s="1732">
        <v>13177</v>
      </c>
      <c r="C133" s="1732" t="s">
        <v>1520</v>
      </c>
      <c r="D133" s="1732" t="s">
        <v>1521</v>
      </c>
      <c r="E133" s="1732" t="s">
        <v>825</v>
      </c>
      <c r="F133" s="1732" t="s">
        <v>94</v>
      </c>
      <c r="G133" s="1735" t="s">
        <v>1300</v>
      </c>
      <c r="H133" s="1735" t="s">
        <v>1303</v>
      </c>
      <c r="I133" s="1763">
        <v>0</v>
      </c>
      <c r="J133" s="1749">
        <v>0</v>
      </c>
      <c r="K133" s="1749">
        <v>0</v>
      </c>
      <c r="L133" s="1749">
        <v>0</v>
      </c>
      <c r="M133" s="1749">
        <v>0</v>
      </c>
    </row>
    <row r="134" spans="2:13" ht="15" x14ac:dyDescent="0.2">
      <c r="B134" s="1732">
        <v>13340</v>
      </c>
      <c r="C134" s="1732" t="s">
        <v>1522</v>
      </c>
      <c r="D134" s="1732" t="s">
        <v>1523</v>
      </c>
      <c r="E134" s="1732" t="s">
        <v>825</v>
      </c>
      <c r="F134" s="1732" t="s">
        <v>94</v>
      </c>
      <c r="G134" s="1735" t="s">
        <v>1300</v>
      </c>
      <c r="H134" s="1735" t="s">
        <v>1303</v>
      </c>
      <c r="I134" s="1763">
        <v>0</v>
      </c>
      <c r="J134" s="1749">
        <v>0</v>
      </c>
      <c r="K134" s="1749">
        <v>0</v>
      </c>
      <c r="L134" s="1749">
        <v>0</v>
      </c>
      <c r="M134" s="1749">
        <v>0</v>
      </c>
    </row>
    <row r="135" spans="2:13" ht="15" x14ac:dyDescent="0.2">
      <c r="B135" s="1732">
        <v>13341</v>
      </c>
      <c r="C135" s="1732" t="s">
        <v>1524</v>
      </c>
      <c r="D135" s="1732" t="s">
        <v>1525</v>
      </c>
      <c r="E135" s="1732" t="s">
        <v>825</v>
      </c>
      <c r="F135" s="1732" t="s">
        <v>94</v>
      </c>
      <c r="G135" s="1735" t="s">
        <v>1305</v>
      </c>
      <c r="H135" s="1735" t="s">
        <v>1303</v>
      </c>
      <c r="I135" s="1763">
        <v>0</v>
      </c>
      <c r="J135" s="1749">
        <v>0</v>
      </c>
      <c r="K135" s="1749">
        <v>0</v>
      </c>
      <c r="L135" s="1749">
        <v>0</v>
      </c>
      <c r="M135" s="1749">
        <v>0</v>
      </c>
    </row>
    <row r="136" spans="2:13" ht="15" x14ac:dyDescent="0.2">
      <c r="B136" s="1732">
        <v>13465</v>
      </c>
      <c r="C136" s="1732" t="s">
        <v>1526</v>
      </c>
      <c r="D136" s="1732" t="s">
        <v>1527</v>
      </c>
      <c r="E136" s="1732" t="s">
        <v>1316</v>
      </c>
      <c r="F136" s="1732" t="s">
        <v>94</v>
      </c>
      <c r="G136" s="1735" t="s">
        <v>1300</v>
      </c>
      <c r="H136" s="1735" t="s">
        <v>1303</v>
      </c>
      <c r="I136" s="1763">
        <v>35823.036</v>
      </c>
      <c r="J136" s="1749">
        <v>52742.915000000001</v>
      </c>
      <c r="K136" s="1749">
        <v>35794.89</v>
      </c>
      <c r="L136" s="1749">
        <v>0</v>
      </c>
      <c r="M136" s="1749">
        <v>0</v>
      </c>
    </row>
    <row r="137" spans="2:13" ht="15" x14ac:dyDescent="0.2">
      <c r="B137" s="1752">
        <v>13466</v>
      </c>
      <c r="C137" s="1752" t="s">
        <v>1528</v>
      </c>
      <c r="D137" s="1752" t="s">
        <v>1529</v>
      </c>
      <c r="E137" s="1732" t="s">
        <v>1316</v>
      </c>
      <c r="F137" s="1732" t="s">
        <v>94</v>
      </c>
      <c r="G137" s="1735" t="s">
        <v>1300</v>
      </c>
      <c r="H137" s="1735" t="s">
        <v>1303</v>
      </c>
      <c r="I137" s="1763">
        <v>67216.656666666662</v>
      </c>
      <c r="J137" s="1764">
        <f>K137</f>
        <v>62350.256666666661</v>
      </c>
      <c r="K137" s="1749">
        <v>62350.256666666661</v>
      </c>
      <c r="L137" s="1764">
        <f>K137</f>
        <v>62350.256666666661</v>
      </c>
      <c r="M137" s="1764">
        <f>L137</f>
        <v>62350.256666666661</v>
      </c>
    </row>
    <row r="138" spans="2:13" ht="15" x14ac:dyDescent="0.2">
      <c r="B138" s="1752">
        <v>13467</v>
      </c>
      <c r="C138" s="1752" t="s">
        <v>1530</v>
      </c>
      <c r="D138" s="1752" t="s">
        <v>1531</v>
      </c>
      <c r="E138" s="1732" t="s">
        <v>1316</v>
      </c>
      <c r="F138" s="1732" t="s">
        <v>94</v>
      </c>
      <c r="G138" s="1735" t="s">
        <v>1300</v>
      </c>
      <c r="H138" s="1735" t="s">
        <v>1303</v>
      </c>
      <c r="I138" s="1763">
        <v>0</v>
      </c>
      <c r="J138" s="1749">
        <v>20168.599999999999</v>
      </c>
      <c r="K138" s="1749">
        <v>22716.128888888888</v>
      </c>
      <c r="L138" s="1749">
        <v>22716.12833333333</v>
      </c>
      <c r="M138" s="1749">
        <v>22716.13</v>
      </c>
    </row>
    <row r="139" spans="2:13" ht="15" x14ac:dyDescent="0.2">
      <c r="B139" s="1732">
        <v>13468</v>
      </c>
      <c r="C139" s="1732" t="s">
        <v>1532</v>
      </c>
      <c r="D139" s="1732" t="s">
        <v>1533</v>
      </c>
      <c r="E139" s="1732" t="s">
        <v>1316</v>
      </c>
      <c r="F139" s="1732" t="s">
        <v>94</v>
      </c>
      <c r="G139" s="1735" t="s">
        <v>1300</v>
      </c>
      <c r="H139" s="1735" t="s">
        <v>1303</v>
      </c>
      <c r="I139" s="1763">
        <v>0</v>
      </c>
      <c r="J139" s="1749">
        <v>0</v>
      </c>
      <c r="K139" s="1749">
        <v>0</v>
      </c>
      <c r="L139" s="1749">
        <v>0</v>
      </c>
      <c r="M139" s="1749">
        <v>17452.060000000001</v>
      </c>
    </row>
    <row r="140" spans="2:13" ht="15" x14ac:dyDescent="0.2">
      <c r="B140" s="1732">
        <v>13470</v>
      </c>
      <c r="C140" s="1732" t="s">
        <v>1534</v>
      </c>
      <c r="D140" s="1732" t="s">
        <v>1535</v>
      </c>
      <c r="E140" s="1732" t="s">
        <v>1316</v>
      </c>
      <c r="F140" s="1732" t="s">
        <v>94</v>
      </c>
      <c r="G140" s="1735" t="s">
        <v>1300</v>
      </c>
      <c r="H140" s="1735" t="s">
        <v>1303</v>
      </c>
      <c r="I140" s="1763">
        <v>0</v>
      </c>
      <c r="J140" s="1749">
        <v>71081.224444444451</v>
      </c>
      <c r="K140" s="1749">
        <v>70079.55</v>
      </c>
      <c r="L140" s="1749">
        <v>0</v>
      </c>
      <c r="M140" s="1749">
        <v>0</v>
      </c>
    </row>
    <row r="141" spans="2:13" ht="15" x14ac:dyDescent="0.2">
      <c r="B141" s="1732">
        <v>13471</v>
      </c>
      <c r="C141" s="1732" t="s">
        <v>1536</v>
      </c>
      <c r="D141" s="1732" t="s">
        <v>1537</v>
      </c>
      <c r="E141" s="1732" t="s">
        <v>1316</v>
      </c>
      <c r="F141" s="1732" t="s">
        <v>94</v>
      </c>
      <c r="G141" s="1735" t="s">
        <v>1300</v>
      </c>
      <c r="H141" s="1735" t="s">
        <v>1303</v>
      </c>
      <c r="I141" s="1763">
        <v>0</v>
      </c>
      <c r="J141" s="1749">
        <v>0</v>
      </c>
      <c r="K141" s="1749">
        <v>0</v>
      </c>
      <c r="L141" s="1749">
        <v>0</v>
      </c>
      <c r="M141" s="1749">
        <v>14199.17</v>
      </c>
    </row>
    <row r="142" spans="2:13" ht="15" x14ac:dyDescent="0.2">
      <c r="B142" s="1752">
        <v>13472</v>
      </c>
      <c r="C142" s="1752" t="s">
        <v>1538</v>
      </c>
      <c r="D142" s="1752" t="s">
        <v>1539</v>
      </c>
      <c r="E142" s="1732" t="s">
        <v>1316</v>
      </c>
      <c r="F142" s="1732" t="s">
        <v>94</v>
      </c>
      <c r="G142" s="1735" t="s">
        <v>1300</v>
      </c>
      <c r="H142" s="1735" t="s">
        <v>1303</v>
      </c>
      <c r="I142" s="1763">
        <v>0</v>
      </c>
      <c r="J142" s="1749">
        <v>3071.38</v>
      </c>
      <c r="K142" s="1749">
        <v>4312.96</v>
      </c>
      <c r="L142" s="1749">
        <v>4312.96</v>
      </c>
      <c r="M142" s="1749">
        <v>4312.96</v>
      </c>
    </row>
    <row r="143" spans="2:13" ht="15" x14ac:dyDescent="0.2">
      <c r="B143" s="1732">
        <v>13491</v>
      </c>
      <c r="C143" s="1732" t="s">
        <v>1540</v>
      </c>
      <c r="D143" s="1732" t="s">
        <v>1541</v>
      </c>
      <c r="E143" s="1732" t="s">
        <v>1316</v>
      </c>
      <c r="F143" s="1732" t="s">
        <v>94</v>
      </c>
      <c r="G143" s="1735" t="s">
        <v>1300</v>
      </c>
      <c r="H143" s="1735" t="s">
        <v>1303</v>
      </c>
      <c r="I143" s="1763">
        <v>0</v>
      </c>
      <c r="J143" s="1749">
        <v>49963.63</v>
      </c>
      <c r="K143" s="1749">
        <v>0</v>
      </c>
      <c r="L143" s="1749">
        <v>0</v>
      </c>
      <c r="M143" s="1749">
        <v>0</v>
      </c>
    </row>
    <row r="144" spans="2:13" ht="15" x14ac:dyDescent="0.2">
      <c r="B144" s="1732">
        <v>13599</v>
      </c>
      <c r="C144" s="1732" t="s">
        <v>1542</v>
      </c>
      <c r="D144" s="1734" t="s">
        <v>1543</v>
      </c>
      <c r="E144" s="1732" t="s">
        <v>1544</v>
      </c>
      <c r="F144" s="1732" t="s">
        <v>94</v>
      </c>
      <c r="G144" s="1735" t="s">
        <v>1300</v>
      </c>
      <c r="H144" s="1735" t="s">
        <v>1303</v>
      </c>
      <c r="I144" s="1763">
        <v>17241.133750000001</v>
      </c>
      <c r="J144" s="1749">
        <v>0</v>
      </c>
      <c r="K144" s="1749">
        <v>0</v>
      </c>
      <c r="L144" s="1749">
        <v>0</v>
      </c>
      <c r="M144" s="1749">
        <v>0</v>
      </c>
    </row>
    <row r="145" spans="2:13" ht="15" x14ac:dyDescent="0.2">
      <c r="B145" s="1732">
        <v>13600</v>
      </c>
      <c r="C145" s="1732" t="s">
        <v>1545</v>
      </c>
      <c r="D145" s="1734" t="s">
        <v>1545</v>
      </c>
      <c r="E145" s="1732" t="s">
        <v>1544</v>
      </c>
      <c r="F145" s="1732" t="s">
        <v>94</v>
      </c>
      <c r="G145" s="1735" t="s">
        <v>1300</v>
      </c>
      <c r="H145" s="1735" t="s">
        <v>1303</v>
      </c>
      <c r="I145" s="1763">
        <v>40741.183333333334</v>
      </c>
      <c r="J145" s="1749">
        <v>0</v>
      </c>
      <c r="K145" s="1749">
        <v>0</v>
      </c>
      <c r="L145" s="1749">
        <v>0</v>
      </c>
      <c r="M145" s="1749">
        <v>0</v>
      </c>
    </row>
    <row r="146" spans="2:13" ht="15" x14ac:dyDescent="0.2">
      <c r="B146" s="1732">
        <v>13601</v>
      </c>
      <c r="C146" s="1732" t="s">
        <v>1546</v>
      </c>
      <c r="D146" s="1734" t="s">
        <v>1546</v>
      </c>
      <c r="E146" s="1732" t="s">
        <v>1544</v>
      </c>
      <c r="F146" s="1732" t="s">
        <v>94</v>
      </c>
      <c r="G146" s="1735" t="s">
        <v>1300</v>
      </c>
      <c r="H146" s="1735" t="s">
        <v>1303</v>
      </c>
      <c r="I146" s="1763">
        <v>0</v>
      </c>
      <c r="J146" s="1749">
        <v>0</v>
      </c>
      <c r="K146" s="1749">
        <v>0</v>
      </c>
      <c r="L146" s="1749">
        <v>0</v>
      </c>
      <c r="M146" s="1749">
        <v>0</v>
      </c>
    </row>
    <row r="147" spans="2:13" ht="15" x14ac:dyDescent="0.2">
      <c r="B147" s="1732">
        <v>13602</v>
      </c>
      <c r="C147" s="1732" t="s">
        <v>1547</v>
      </c>
      <c r="D147" s="1733" t="s">
        <v>1548</v>
      </c>
      <c r="E147" s="1732" t="s">
        <v>1544</v>
      </c>
      <c r="F147" s="1732" t="s">
        <v>94</v>
      </c>
      <c r="G147" s="1735" t="s">
        <v>1300</v>
      </c>
      <c r="H147" s="1735" t="s">
        <v>1303</v>
      </c>
      <c r="I147" s="1763">
        <v>9634.75</v>
      </c>
      <c r="J147" s="1749">
        <v>0</v>
      </c>
      <c r="K147" s="1749">
        <v>0</v>
      </c>
      <c r="L147" s="1749">
        <v>0</v>
      </c>
      <c r="M147" s="1749">
        <v>0</v>
      </c>
    </row>
    <row r="148" spans="2:13" ht="15" x14ac:dyDescent="0.2">
      <c r="B148" s="1732">
        <v>13603</v>
      </c>
      <c r="C148" s="1732" t="s">
        <v>1549</v>
      </c>
      <c r="D148" s="1734" t="s">
        <v>1550</v>
      </c>
      <c r="E148" s="1732" t="s">
        <v>1544</v>
      </c>
      <c r="F148" s="1732" t="s">
        <v>94</v>
      </c>
      <c r="G148" s="1735" t="s">
        <v>1300</v>
      </c>
      <c r="H148" s="1735" t="s">
        <v>1303</v>
      </c>
      <c r="I148" s="1763">
        <v>10902.480833333333</v>
      </c>
      <c r="J148" s="1749">
        <v>0</v>
      </c>
      <c r="K148" s="1749">
        <v>0</v>
      </c>
      <c r="L148" s="1749">
        <v>0</v>
      </c>
      <c r="M148" s="1749">
        <v>0</v>
      </c>
    </row>
    <row r="149" spans="2:13" ht="15" x14ac:dyDescent="0.2">
      <c r="B149" s="1732">
        <v>13604</v>
      </c>
      <c r="C149" s="1732" t="s">
        <v>1551</v>
      </c>
      <c r="D149" s="1734" t="s">
        <v>1552</v>
      </c>
      <c r="E149" s="1732" t="s">
        <v>1544</v>
      </c>
      <c r="F149" s="1732" t="s">
        <v>94</v>
      </c>
      <c r="G149" s="1735" t="s">
        <v>1300</v>
      </c>
      <c r="H149" s="1735" t="s">
        <v>1303</v>
      </c>
      <c r="I149" s="1763">
        <v>5418.77</v>
      </c>
      <c r="J149" s="1749">
        <v>0</v>
      </c>
      <c r="K149" s="1749">
        <v>0</v>
      </c>
      <c r="L149" s="1749">
        <v>0</v>
      </c>
      <c r="M149" s="1749">
        <v>0</v>
      </c>
    </row>
    <row r="150" spans="2:13" ht="15" x14ac:dyDescent="0.2">
      <c r="B150" s="1732">
        <v>13606</v>
      </c>
      <c r="C150" s="1732" t="s">
        <v>1553</v>
      </c>
      <c r="D150" s="1734" t="s">
        <v>1554</v>
      </c>
      <c r="E150" s="1732" t="s">
        <v>1544</v>
      </c>
      <c r="F150" s="1732" t="s">
        <v>94</v>
      </c>
      <c r="G150" s="1735" t="s">
        <v>1300</v>
      </c>
      <c r="H150" s="1735" t="s">
        <v>1303</v>
      </c>
      <c r="I150" s="1763">
        <v>0</v>
      </c>
      <c r="J150" s="1749">
        <v>0</v>
      </c>
      <c r="K150" s="1749">
        <v>431.79999999999995</v>
      </c>
      <c r="L150" s="1749">
        <v>0</v>
      </c>
      <c r="M150" s="1749">
        <v>0</v>
      </c>
    </row>
    <row r="151" spans="2:13" ht="15" x14ac:dyDescent="0.2">
      <c r="B151" s="1732">
        <v>13608</v>
      </c>
      <c r="C151" s="1732" t="s">
        <v>1555</v>
      </c>
      <c r="D151" s="1734" t="s">
        <v>1556</v>
      </c>
      <c r="E151" s="1732" t="s">
        <v>1544</v>
      </c>
      <c r="F151" s="1732" t="s">
        <v>94</v>
      </c>
      <c r="G151" s="1735" t="s">
        <v>1300</v>
      </c>
      <c r="H151" s="1735" t="s">
        <v>1303</v>
      </c>
      <c r="I151" s="1763">
        <v>521.41555555555556</v>
      </c>
      <c r="J151" s="1749">
        <v>0</v>
      </c>
      <c r="K151" s="1749">
        <v>0</v>
      </c>
      <c r="L151" s="1749">
        <v>0</v>
      </c>
      <c r="M151" s="1749">
        <v>0</v>
      </c>
    </row>
    <row r="152" spans="2:13" ht="15" x14ac:dyDescent="0.2">
      <c r="B152" s="1732">
        <v>13611</v>
      </c>
      <c r="C152" s="1732" t="s">
        <v>1557</v>
      </c>
      <c r="D152" s="1734" t="s">
        <v>1558</v>
      </c>
      <c r="E152" s="1732" t="s">
        <v>1544</v>
      </c>
      <c r="F152" s="1732" t="s">
        <v>94</v>
      </c>
      <c r="G152" s="1735" t="s">
        <v>1300</v>
      </c>
      <c r="H152" s="1735" t="s">
        <v>1303</v>
      </c>
      <c r="I152" s="1763">
        <v>9634.7520000000004</v>
      </c>
      <c r="J152" s="1749">
        <v>0</v>
      </c>
      <c r="K152" s="1749">
        <v>0</v>
      </c>
      <c r="L152" s="1749">
        <v>0</v>
      </c>
      <c r="M152" s="1749">
        <v>0</v>
      </c>
    </row>
    <row r="153" spans="2:13" ht="15" x14ac:dyDescent="0.2">
      <c r="B153" s="1732">
        <v>13650</v>
      </c>
      <c r="C153" s="1732" t="s">
        <v>1559</v>
      </c>
      <c r="D153" s="1732" t="s">
        <v>1560</v>
      </c>
      <c r="E153" s="1732" t="s">
        <v>825</v>
      </c>
      <c r="F153" s="1732" t="s">
        <v>94</v>
      </c>
      <c r="G153" s="1735" t="s">
        <v>1561</v>
      </c>
      <c r="H153" s="1735" t="s">
        <v>1303</v>
      </c>
      <c r="I153" s="1763">
        <v>0</v>
      </c>
      <c r="J153" s="1749">
        <v>0</v>
      </c>
      <c r="K153" s="1749">
        <v>0</v>
      </c>
      <c r="L153" s="1749">
        <v>0</v>
      </c>
      <c r="M153" s="1749">
        <v>0</v>
      </c>
    </row>
    <row r="154" spans="2:13" ht="15" x14ac:dyDescent="0.2">
      <c r="B154" s="1732">
        <v>13651</v>
      </c>
      <c r="C154" s="1732" t="s">
        <v>1562</v>
      </c>
      <c r="D154" s="1732" t="s">
        <v>1563</v>
      </c>
      <c r="E154" s="1732" t="s">
        <v>825</v>
      </c>
      <c r="F154" s="1732" t="s">
        <v>94</v>
      </c>
      <c r="G154" s="1735" t="s">
        <v>1300</v>
      </c>
      <c r="H154" s="1735" t="s">
        <v>1303</v>
      </c>
      <c r="I154" s="1763">
        <v>0</v>
      </c>
      <c r="J154" s="1749">
        <v>0</v>
      </c>
      <c r="K154" s="1749">
        <v>0</v>
      </c>
      <c r="L154" s="1749">
        <v>0</v>
      </c>
      <c r="M154" s="1749">
        <v>0</v>
      </c>
    </row>
    <row r="155" spans="2:13" ht="15" x14ac:dyDescent="0.2">
      <c r="B155" s="1732">
        <v>13652</v>
      </c>
      <c r="C155" s="1732" t="s">
        <v>1564</v>
      </c>
      <c r="D155" s="1732" t="s">
        <v>1565</v>
      </c>
      <c r="E155" s="1732" t="s">
        <v>825</v>
      </c>
      <c r="F155" s="1732" t="s">
        <v>94</v>
      </c>
      <c r="G155" s="1735" t="s">
        <v>1300</v>
      </c>
      <c r="H155" s="1735" t="s">
        <v>1303</v>
      </c>
      <c r="I155" s="1763">
        <v>0</v>
      </c>
      <c r="J155" s="1749">
        <v>0</v>
      </c>
      <c r="K155" s="1749">
        <v>0</v>
      </c>
      <c r="L155" s="1749">
        <v>0</v>
      </c>
      <c r="M155" s="1749">
        <v>0</v>
      </c>
    </row>
    <row r="156" spans="2:13" ht="15" x14ac:dyDescent="0.2">
      <c r="B156" s="1732">
        <v>13653</v>
      </c>
      <c r="C156" s="1732" t="s">
        <v>1566</v>
      </c>
      <c r="D156" s="1732" t="s">
        <v>1567</v>
      </c>
      <c r="E156" s="1732" t="s">
        <v>825</v>
      </c>
      <c r="F156" s="1732" t="s">
        <v>94</v>
      </c>
      <c r="G156" s="1735" t="s">
        <v>1300</v>
      </c>
      <c r="H156" s="1735" t="s">
        <v>1303</v>
      </c>
      <c r="I156" s="1763">
        <v>0</v>
      </c>
      <c r="J156" s="1749">
        <v>0</v>
      </c>
      <c r="K156" s="1749">
        <v>0</v>
      </c>
      <c r="L156" s="1749">
        <v>0</v>
      </c>
      <c r="M156" s="1749">
        <v>0</v>
      </c>
    </row>
    <row r="157" spans="2:13" ht="15" x14ac:dyDescent="0.2">
      <c r="B157" s="1732">
        <v>13859</v>
      </c>
      <c r="C157" s="1732" t="s">
        <v>1568</v>
      </c>
      <c r="D157" s="1732" t="s">
        <v>1569</v>
      </c>
      <c r="E157" s="1732" t="s">
        <v>1570</v>
      </c>
      <c r="F157" s="1732" t="s">
        <v>94</v>
      </c>
      <c r="G157" s="1735" t="s">
        <v>1300</v>
      </c>
      <c r="H157" s="1735" t="s">
        <v>1296</v>
      </c>
      <c r="I157" s="1763">
        <v>0</v>
      </c>
      <c r="J157" s="1749">
        <v>0</v>
      </c>
      <c r="K157" s="1749">
        <v>0</v>
      </c>
      <c r="L157" s="1749">
        <v>0</v>
      </c>
      <c r="M157" s="1749">
        <v>0</v>
      </c>
    </row>
    <row r="158" spans="2:13" ht="15" x14ac:dyDescent="0.2">
      <c r="B158" s="1732">
        <v>13860</v>
      </c>
      <c r="C158" s="1732" t="s">
        <v>1571</v>
      </c>
      <c r="D158" s="1732" t="s">
        <v>1572</v>
      </c>
      <c r="E158" s="1732" t="s">
        <v>1570</v>
      </c>
      <c r="F158" s="1732" t="s">
        <v>94</v>
      </c>
      <c r="G158" s="1735" t="s">
        <v>1295</v>
      </c>
      <c r="H158" s="1735" t="s">
        <v>1303</v>
      </c>
      <c r="I158" s="1763">
        <v>1502212.73</v>
      </c>
      <c r="J158" s="1749">
        <v>1502212.72</v>
      </c>
      <c r="K158" s="1749">
        <v>0</v>
      </c>
      <c r="L158" s="1749">
        <v>0</v>
      </c>
      <c r="M158" s="1749">
        <v>0</v>
      </c>
    </row>
    <row r="159" spans="2:13" ht="15" x14ac:dyDescent="0.2">
      <c r="B159" s="1752">
        <v>13909</v>
      </c>
      <c r="C159" s="1752" t="s">
        <v>1573</v>
      </c>
      <c r="D159" s="1752" t="s">
        <v>1574</v>
      </c>
      <c r="E159" s="1732" t="s">
        <v>1311</v>
      </c>
      <c r="F159" s="1732" t="s">
        <v>94</v>
      </c>
      <c r="G159" s="1735" t="s">
        <v>1300</v>
      </c>
      <c r="H159" s="1735" t="s">
        <v>1296</v>
      </c>
      <c r="I159" s="1763">
        <v>0</v>
      </c>
      <c r="J159" s="1749">
        <v>3396.97</v>
      </c>
      <c r="K159" s="1749">
        <v>3639.9091803278689</v>
      </c>
      <c r="L159" s="1749">
        <v>3895</v>
      </c>
      <c r="M159" s="1749">
        <v>1736.85</v>
      </c>
    </row>
    <row r="160" spans="2:13" ht="15" x14ac:dyDescent="0.2">
      <c r="B160" s="1752">
        <v>13913</v>
      </c>
      <c r="C160" s="1752" t="s">
        <v>1575</v>
      </c>
      <c r="D160" s="1753" t="s">
        <v>1576</v>
      </c>
      <c r="E160" s="1732" t="s">
        <v>1373</v>
      </c>
      <c r="F160" s="1732" t="s">
        <v>94</v>
      </c>
      <c r="G160" s="1735" t="s">
        <v>1300</v>
      </c>
      <c r="H160" s="1735" t="s">
        <v>1296</v>
      </c>
      <c r="I160" s="1763">
        <v>5838.16</v>
      </c>
      <c r="J160" s="1764">
        <f>I160</f>
        <v>5838.16</v>
      </c>
      <c r="K160" s="1764">
        <f t="shared" ref="K160:M160" si="1">J160</f>
        <v>5838.16</v>
      </c>
      <c r="L160" s="1764">
        <f t="shared" si="1"/>
        <v>5838.16</v>
      </c>
      <c r="M160" s="1764">
        <f t="shared" si="1"/>
        <v>5838.16</v>
      </c>
    </row>
    <row r="161" spans="2:13" ht="15" x14ac:dyDescent="0.2">
      <c r="B161" s="1732">
        <v>13918</v>
      </c>
      <c r="C161" s="1732" t="s">
        <v>1577</v>
      </c>
      <c r="D161" s="1732" t="s">
        <v>1577</v>
      </c>
      <c r="E161" s="1732" t="s">
        <v>825</v>
      </c>
      <c r="F161" s="1732" t="s">
        <v>94</v>
      </c>
      <c r="G161" s="1735" t="s">
        <v>1300</v>
      </c>
      <c r="H161" s="1735" t="s">
        <v>1303</v>
      </c>
      <c r="I161" s="1763">
        <v>0</v>
      </c>
      <c r="J161" s="1749">
        <v>2553.16</v>
      </c>
      <c r="K161" s="1749">
        <v>0</v>
      </c>
      <c r="L161" s="1749">
        <v>0</v>
      </c>
      <c r="M161" s="1749">
        <v>0</v>
      </c>
    </row>
    <row r="162" spans="2:13" ht="15" x14ac:dyDescent="0.2">
      <c r="B162" s="1752">
        <v>13940</v>
      </c>
      <c r="C162" s="1752" t="s">
        <v>1578</v>
      </c>
      <c r="D162" s="1753" t="s">
        <v>1579</v>
      </c>
      <c r="E162" s="1732" t="s">
        <v>162</v>
      </c>
      <c r="F162" s="1732" t="s">
        <v>94</v>
      </c>
      <c r="G162" s="1735" t="s">
        <v>1300</v>
      </c>
      <c r="H162" s="1735" t="s">
        <v>1303</v>
      </c>
      <c r="I162" s="1763">
        <v>0</v>
      </c>
      <c r="J162" s="1764">
        <f>K162</f>
        <v>764997.09</v>
      </c>
      <c r="K162" s="1749">
        <v>764997.09</v>
      </c>
      <c r="L162" s="1764">
        <f>K162</f>
        <v>764997.09</v>
      </c>
      <c r="M162" s="1764">
        <f>L162</f>
        <v>764997.09</v>
      </c>
    </row>
    <row r="163" spans="2:13" ht="15" x14ac:dyDescent="0.2">
      <c r="B163" s="1752">
        <v>13942</v>
      </c>
      <c r="C163" s="1752" t="s">
        <v>1580</v>
      </c>
      <c r="D163" s="1753" t="s">
        <v>1581</v>
      </c>
      <c r="E163" s="1732" t="s">
        <v>162</v>
      </c>
      <c r="F163" s="1732" t="s">
        <v>94</v>
      </c>
      <c r="G163" s="1735" t="s">
        <v>1300</v>
      </c>
      <c r="H163" s="1735" t="s">
        <v>1303</v>
      </c>
      <c r="I163" s="1763">
        <v>246265.65</v>
      </c>
      <c r="J163" s="1764">
        <f>I163</f>
        <v>246265.65</v>
      </c>
      <c r="K163" s="1764">
        <f>J163</f>
        <v>246265.65</v>
      </c>
      <c r="L163" s="1749">
        <v>246265.65</v>
      </c>
      <c r="M163" s="1764">
        <f>L163</f>
        <v>246265.65</v>
      </c>
    </row>
    <row r="164" spans="2:13" ht="15" x14ac:dyDescent="0.2">
      <c r="B164" s="1752">
        <v>13943</v>
      </c>
      <c r="C164" s="1752" t="s">
        <v>1582</v>
      </c>
      <c r="D164" s="1753" t="s">
        <v>1583</v>
      </c>
      <c r="E164" s="1732" t="s">
        <v>162</v>
      </c>
      <c r="F164" s="1732" t="s">
        <v>94</v>
      </c>
      <c r="G164" s="1735" t="s">
        <v>1300</v>
      </c>
      <c r="H164" s="1735" t="s">
        <v>1303</v>
      </c>
      <c r="I164" s="1763">
        <v>0</v>
      </c>
      <c r="J164" s="1764">
        <f>K164</f>
        <v>2843664.53</v>
      </c>
      <c r="K164" s="1749">
        <v>2843664.53</v>
      </c>
      <c r="L164" s="1764">
        <f>K164</f>
        <v>2843664.53</v>
      </c>
      <c r="M164" s="1764">
        <f>L164</f>
        <v>2843664.53</v>
      </c>
    </row>
    <row r="165" spans="2:13" ht="15" x14ac:dyDescent="0.2">
      <c r="B165" s="1752">
        <v>13944</v>
      </c>
      <c r="C165" s="1752" t="s">
        <v>1584</v>
      </c>
      <c r="D165" s="1753" t="s">
        <v>1585</v>
      </c>
      <c r="E165" s="1732" t="s">
        <v>162</v>
      </c>
      <c r="F165" s="1732" t="s">
        <v>94</v>
      </c>
      <c r="G165" s="1735" t="s">
        <v>1300</v>
      </c>
      <c r="H165" s="1735" t="s">
        <v>1303</v>
      </c>
      <c r="I165" s="1763">
        <v>2160056.4500000002</v>
      </c>
      <c r="J165" s="1749">
        <v>1987152.2725</v>
      </c>
      <c r="K165" s="1749">
        <v>2160056.4500000002</v>
      </c>
      <c r="L165" s="1749">
        <v>1631987.87</v>
      </c>
      <c r="M165" s="1749">
        <v>1021682.9</v>
      </c>
    </row>
    <row r="166" spans="2:13" ht="15" x14ac:dyDescent="0.2">
      <c r="B166" s="1752">
        <v>13945</v>
      </c>
      <c r="C166" s="1752" t="s">
        <v>1586</v>
      </c>
      <c r="D166" s="1753" t="s">
        <v>1587</v>
      </c>
      <c r="E166" s="1732" t="s">
        <v>162</v>
      </c>
      <c r="F166" s="1732" t="s">
        <v>94</v>
      </c>
      <c r="G166" s="1735" t="s">
        <v>1300</v>
      </c>
      <c r="H166" s="1735" t="s">
        <v>1303</v>
      </c>
      <c r="I166" s="1763">
        <v>0</v>
      </c>
      <c r="J166" s="1764">
        <f>K166</f>
        <v>1038148.07</v>
      </c>
      <c r="K166" s="1749">
        <v>1038148.07</v>
      </c>
      <c r="L166" s="1749">
        <v>1078414.46</v>
      </c>
      <c r="M166" s="1764">
        <f>L166</f>
        <v>1078414.46</v>
      </c>
    </row>
    <row r="167" spans="2:13" ht="15" x14ac:dyDescent="0.2">
      <c r="B167" s="1752">
        <v>13946</v>
      </c>
      <c r="C167" s="1752" t="s">
        <v>1588</v>
      </c>
      <c r="D167" s="1753" t="s">
        <v>1589</v>
      </c>
      <c r="E167" s="1732" t="s">
        <v>162</v>
      </c>
      <c r="F167" s="1732" t="s">
        <v>94</v>
      </c>
      <c r="G167" s="1735" t="s">
        <v>1300</v>
      </c>
      <c r="H167" s="1735" t="s">
        <v>1303</v>
      </c>
      <c r="I167" s="1763">
        <v>0</v>
      </c>
      <c r="J167" s="1749">
        <v>334857.56</v>
      </c>
      <c r="K167" s="1764">
        <f>J167</f>
        <v>334857.56</v>
      </c>
      <c r="L167" s="1764">
        <f>K167</f>
        <v>334857.56</v>
      </c>
      <c r="M167" s="1764">
        <f>L167</f>
        <v>334857.56</v>
      </c>
    </row>
    <row r="168" spans="2:13" ht="15" x14ac:dyDescent="0.2">
      <c r="B168" s="1752">
        <v>13948</v>
      </c>
      <c r="C168" s="1752" t="s">
        <v>1578</v>
      </c>
      <c r="D168" s="1753" t="s">
        <v>1590</v>
      </c>
      <c r="E168" s="1732" t="s">
        <v>162</v>
      </c>
      <c r="F168" s="1732" t="s">
        <v>94</v>
      </c>
      <c r="G168" s="1735" t="s">
        <v>1300</v>
      </c>
      <c r="H168" s="1735" t="s">
        <v>1303</v>
      </c>
      <c r="I168" s="1763">
        <v>0</v>
      </c>
      <c r="J168" s="1764">
        <f>K168</f>
        <v>455476.29</v>
      </c>
      <c r="K168" s="1764">
        <f>L168</f>
        <v>455476.29</v>
      </c>
      <c r="L168" s="1764">
        <f>M168</f>
        <v>455476.29</v>
      </c>
      <c r="M168" s="1749">
        <v>455476.29</v>
      </c>
    </row>
    <row r="169" spans="2:13" ht="15" x14ac:dyDescent="0.2">
      <c r="B169" s="1752">
        <v>13949</v>
      </c>
      <c r="C169" s="1752" t="s">
        <v>1591</v>
      </c>
      <c r="D169" s="1753" t="s">
        <v>1592</v>
      </c>
      <c r="E169" s="1732" t="s">
        <v>162</v>
      </c>
      <c r="F169" s="1732" t="s">
        <v>94</v>
      </c>
      <c r="G169" s="1735" t="s">
        <v>1300</v>
      </c>
      <c r="H169" s="1735" t="s">
        <v>1303</v>
      </c>
      <c r="I169" s="1763">
        <v>1901141.665</v>
      </c>
      <c r="J169" s="1749">
        <v>1901141.665</v>
      </c>
      <c r="K169" s="1749">
        <v>1901141.67</v>
      </c>
      <c r="L169" s="1764">
        <f>K169</f>
        <v>1901141.67</v>
      </c>
      <c r="M169" s="1749">
        <v>1920511.9</v>
      </c>
    </row>
    <row r="170" spans="2:13" ht="15" x14ac:dyDescent="0.2">
      <c r="B170" s="1732">
        <v>13950</v>
      </c>
      <c r="C170" s="1732" t="s">
        <v>1593</v>
      </c>
      <c r="D170" s="1733" t="s">
        <v>1594</v>
      </c>
      <c r="E170" s="1732" t="s">
        <v>162</v>
      </c>
      <c r="F170" s="1732" t="s">
        <v>94</v>
      </c>
      <c r="G170" s="1735" t="s">
        <v>1300</v>
      </c>
      <c r="H170" s="1735" t="s">
        <v>1303</v>
      </c>
      <c r="I170" s="1763">
        <v>0</v>
      </c>
      <c r="J170" s="1749">
        <v>0</v>
      </c>
      <c r="K170" s="1749">
        <v>0</v>
      </c>
      <c r="L170" s="1749">
        <v>0</v>
      </c>
      <c r="M170" s="1749">
        <v>0</v>
      </c>
    </row>
    <row r="171" spans="2:13" ht="15" x14ac:dyDescent="0.2">
      <c r="B171" s="1752">
        <v>13951</v>
      </c>
      <c r="C171" s="1752" t="s">
        <v>1595</v>
      </c>
      <c r="D171" s="1753" t="s">
        <v>1596</v>
      </c>
      <c r="E171" s="1732" t="s">
        <v>162</v>
      </c>
      <c r="F171" s="1732" t="s">
        <v>94</v>
      </c>
      <c r="G171" s="1735" t="s">
        <v>1300</v>
      </c>
      <c r="H171" s="1735" t="s">
        <v>1303</v>
      </c>
      <c r="I171" s="1763">
        <v>661020.76375000004</v>
      </c>
      <c r="J171" s="1749">
        <v>661020.76199999999</v>
      </c>
      <c r="K171" s="1749">
        <v>660526.93874999997</v>
      </c>
      <c r="L171" s="1764">
        <f>K171</f>
        <v>660526.93874999997</v>
      </c>
      <c r="M171" s="1764">
        <f>L171</f>
        <v>660526.93874999997</v>
      </c>
    </row>
    <row r="172" spans="2:13" ht="15" x14ac:dyDescent="0.2">
      <c r="B172" s="1752">
        <v>13952</v>
      </c>
      <c r="C172" s="1752" t="s">
        <v>1597</v>
      </c>
      <c r="D172" s="1753" t="s">
        <v>1598</v>
      </c>
      <c r="E172" s="1732" t="s">
        <v>162</v>
      </c>
      <c r="F172" s="1732" t="s">
        <v>94</v>
      </c>
      <c r="G172" s="1735" t="s">
        <v>1300</v>
      </c>
      <c r="H172" s="1735" t="s">
        <v>1303</v>
      </c>
      <c r="I172" s="1763">
        <v>671510.72499999998</v>
      </c>
      <c r="J172" s="1749">
        <v>671510.73</v>
      </c>
      <c r="K172" s="1749">
        <v>668322.69499999995</v>
      </c>
      <c r="L172" s="1749">
        <v>664642.2533333333</v>
      </c>
      <c r="M172" s="1764">
        <f>L172</f>
        <v>664642.2533333333</v>
      </c>
    </row>
    <row r="173" spans="2:13" ht="15" x14ac:dyDescent="0.2">
      <c r="B173" s="1752">
        <v>13955</v>
      </c>
      <c r="C173" s="1752" t="s">
        <v>1599</v>
      </c>
      <c r="D173" s="1753" t="s">
        <v>1600</v>
      </c>
      <c r="E173" s="1732" t="s">
        <v>162</v>
      </c>
      <c r="F173" s="1732" t="s">
        <v>94</v>
      </c>
      <c r="G173" s="1735" t="s">
        <v>1300</v>
      </c>
      <c r="H173" s="1735" t="s">
        <v>1303</v>
      </c>
      <c r="I173" s="1763">
        <v>0</v>
      </c>
      <c r="J173" s="1749">
        <v>1234428.72</v>
      </c>
      <c r="K173" s="1764">
        <v>1234428.72</v>
      </c>
      <c r="L173" s="1764">
        <v>1234428.72</v>
      </c>
      <c r="M173" s="1749">
        <v>1208478.93</v>
      </c>
    </row>
    <row r="174" spans="2:13" ht="15" x14ac:dyDescent="0.2">
      <c r="B174" s="1752">
        <v>13956</v>
      </c>
      <c r="C174" s="1752" t="s">
        <v>1601</v>
      </c>
      <c r="D174" s="1753" t="s">
        <v>1602</v>
      </c>
      <c r="E174" s="1732" t="s">
        <v>162</v>
      </c>
      <c r="F174" s="1732" t="s">
        <v>94</v>
      </c>
      <c r="G174" s="1735" t="s">
        <v>1300</v>
      </c>
      <c r="H174" s="1735" t="s">
        <v>1303</v>
      </c>
      <c r="I174" s="1763">
        <v>0</v>
      </c>
      <c r="J174" s="1764">
        <f>K174</f>
        <v>763760.05888888892</v>
      </c>
      <c r="K174" s="1749">
        <v>763760.05888888892</v>
      </c>
      <c r="L174" s="1764">
        <f>K174</f>
        <v>763760.05888888892</v>
      </c>
      <c r="M174" s="1764">
        <f>L174</f>
        <v>763760.05888888892</v>
      </c>
    </row>
    <row r="175" spans="2:13" ht="15" x14ac:dyDescent="0.2">
      <c r="B175" s="1752">
        <v>13957</v>
      </c>
      <c r="C175" s="1752" t="s">
        <v>1603</v>
      </c>
      <c r="D175" s="1753" t="s">
        <v>1604</v>
      </c>
      <c r="E175" s="1732" t="s">
        <v>162</v>
      </c>
      <c r="F175" s="1732" t="s">
        <v>94</v>
      </c>
      <c r="G175" s="1735" t="s">
        <v>1300</v>
      </c>
      <c r="H175" s="1735" t="s">
        <v>1303</v>
      </c>
      <c r="I175" s="1763">
        <v>1615537.2949999999</v>
      </c>
      <c r="J175" s="1749">
        <v>1372382.1425000001</v>
      </c>
      <c r="K175" s="1749">
        <v>1371474.0666666667</v>
      </c>
      <c r="L175" s="1749">
        <v>1592178.0549999999</v>
      </c>
      <c r="M175" s="1749">
        <v>1411371.64</v>
      </c>
    </row>
    <row r="176" spans="2:13" ht="15" x14ac:dyDescent="0.2">
      <c r="B176" s="1752">
        <v>13958</v>
      </c>
      <c r="C176" s="1752" t="s">
        <v>1605</v>
      </c>
      <c r="D176" s="1753" t="s">
        <v>1606</v>
      </c>
      <c r="E176" s="1732" t="s">
        <v>162</v>
      </c>
      <c r="F176" s="1732" t="s">
        <v>94</v>
      </c>
      <c r="G176" s="1735" t="s">
        <v>1300</v>
      </c>
      <c r="H176" s="1735" t="s">
        <v>1303</v>
      </c>
      <c r="I176" s="1763">
        <v>0</v>
      </c>
      <c r="J176" s="1749">
        <v>304061.72285714286</v>
      </c>
      <c r="K176" s="1749">
        <v>375340.995</v>
      </c>
      <c r="L176" s="1764">
        <f>K176</f>
        <v>375340.995</v>
      </c>
      <c r="M176" s="1764">
        <f>L176</f>
        <v>375340.995</v>
      </c>
    </row>
    <row r="177" spans="2:13" ht="15" x14ac:dyDescent="0.2">
      <c r="B177" s="1752">
        <v>13959</v>
      </c>
      <c r="C177" s="1752" t="s">
        <v>1607</v>
      </c>
      <c r="D177" s="1753" t="s">
        <v>1608</v>
      </c>
      <c r="E177" s="1732" t="s">
        <v>162</v>
      </c>
      <c r="F177" s="1732" t="s">
        <v>94</v>
      </c>
      <c r="G177" s="1735" t="s">
        <v>1300</v>
      </c>
      <c r="H177" s="1735" t="s">
        <v>1303</v>
      </c>
      <c r="I177" s="1763">
        <v>0</v>
      </c>
      <c r="J177" s="1749">
        <v>294550.91000000003</v>
      </c>
      <c r="K177" s="1749">
        <v>417065.45500000002</v>
      </c>
      <c r="L177" s="1764">
        <f>K177</f>
        <v>417065.45500000002</v>
      </c>
      <c r="M177" s="1764">
        <f>L177</f>
        <v>417065.45500000002</v>
      </c>
    </row>
    <row r="178" spans="2:13" ht="15" x14ac:dyDescent="0.2">
      <c r="B178" s="1732">
        <v>13960</v>
      </c>
      <c r="C178" s="1732" t="s">
        <v>1609</v>
      </c>
      <c r="D178" s="1733" t="s">
        <v>1610</v>
      </c>
      <c r="E178" s="1732" t="s">
        <v>162</v>
      </c>
      <c r="F178" s="1732" t="s">
        <v>94</v>
      </c>
      <c r="G178" s="1735" t="s">
        <v>1300</v>
      </c>
      <c r="H178" s="1735" t="s">
        <v>1303</v>
      </c>
      <c r="I178" s="1763">
        <v>0</v>
      </c>
      <c r="J178" s="1749">
        <v>0</v>
      </c>
      <c r="K178" s="1749">
        <v>0</v>
      </c>
      <c r="L178" s="1749">
        <v>0</v>
      </c>
      <c r="M178" s="1749">
        <v>0</v>
      </c>
    </row>
    <row r="179" spans="2:13" ht="15" x14ac:dyDescent="0.2">
      <c r="B179" s="1732">
        <v>13961</v>
      </c>
      <c r="C179" s="1732" t="s">
        <v>1588</v>
      </c>
      <c r="D179" s="1733" t="s">
        <v>1600</v>
      </c>
      <c r="E179" s="1732" t="s">
        <v>162</v>
      </c>
      <c r="F179" s="1732" t="s">
        <v>94</v>
      </c>
      <c r="G179" s="1735" t="s">
        <v>1300</v>
      </c>
      <c r="H179" s="1735" t="s">
        <v>1303</v>
      </c>
      <c r="I179" s="1763">
        <v>0</v>
      </c>
      <c r="J179" s="1749">
        <v>325077.03499999997</v>
      </c>
      <c r="K179" s="1749">
        <v>381444.67</v>
      </c>
      <c r="L179" s="1749">
        <v>0</v>
      </c>
      <c r="M179" s="1749">
        <v>0</v>
      </c>
    </row>
    <row r="180" spans="2:13" ht="15" x14ac:dyDescent="0.2">
      <c r="B180" s="1732">
        <v>13963</v>
      </c>
      <c r="C180" s="1732" t="s">
        <v>1611</v>
      </c>
      <c r="D180" s="1733" t="s">
        <v>1612</v>
      </c>
      <c r="E180" s="1732" t="s">
        <v>162</v>
      </c>
      <c r="F180" s="1732" t="s">
        <v>94</v>
      </c>
      <c r="G180" s="1735" t="s">
        <v>1300</v>
      </c>
      <c r="H180" s="1735" t="s">
        <v>1303</v>
      </c>
      <c r="I180" s="1763">
        <v>0</v>
      </c>
      <c r="J180" s="1749">
        <v>1427800.3399999999</v>
      </c>
      <c r="K180" s="1749">
        <v>0</v>
      </c>
      <c r="L180" s="1749">
        <v>0</v>
      </c>
      <c r="M180" s="1749">
        <v>0</v>
      </c>
    </row>
    <row r="181" spans="2:13" ht="15" x14ac:dyDescent="0.2">
      <c r="B181" s="1752">
        <v>13967</v>
      </c>
      <c r="C181" s="1752" t="s">
        <v>1613</v>
      </c>
      <c r="D181" s="1753" t="s">
        <v>1614</v>
      </c>
      <c r="E181" s="1732" t="s">
        <v>162</v>
      </c>
      <c r="F181" s="1732" t="s">
        <v>94</v>
      </c>
      <c r="G181" s="1735" t="s">
        <v>1300</v>
      </c>
      <c r="H181" s="1735" t="s">
        <v>1303</v>
      </c>
      <c r="I181" s="1763">
        <v>0</v>
      </c>
      <c r="J181" s="1764">
        <f>K181</f>
        <v>1301189.1833333333</v>
      </c>
      <c r="K181" s="1749">
        <v>1301189.1833333333</v>
      </c>
      <c r="L181" s="1764">
        <f>K181</f>
        <v>1301189.1833333333</v>
      </c>
      <c r="M181" s="1764">
        <f>L181</f>
        <v>1301189.1833333333</v>
      </c>
    </row>
    <row r="182" spans="2:13" ht="15" x14ac:dyDescent="0.2">
      <c r="B182" s="1732">
        <v>13968</v>
      </c>
      <c r="C182" s="1732" t="s">
        <v>1615</v>
      </c>
      <c r="D182" s="1733" t="s">
        <v>1616</v>
      </c>
      <c r="E182" s="1732" t="s">
        <v>162</v>
      </c>
      <c r="F182" s="1732" t="s">
        <v>94</v>
      </c>
      <c r="G182" s="1735" t="s">
        <v>1300</v>
      </c>
      <c r="H182" s="1735" t="s">
        <v>1303</v>
      </c>
      <c r="I182" s="1763">
        <v>0</v>
      </c>
      <c r="J182" s="1749">
        <v>0</v>
      </c>
      <c r="K182" s="1749">
        <v>0</v>
      </c>
      <c r="L182" s="1749">
        <v>0</v>
      </c>
      <c r="M182" s="1749">
        <v>0</v>
      </c>
    </row>
    <row r="183" spans="2:13" ht="15" x14ac:dyDescent="0.2">
      <c r="B183" s="1732">
        <v>13969</v>
      </c>
      <c r="C183" s="1732" t="s">
        <v>1617</v>
      </c>
      <c r="D183" s="1733" t="s">
        <v>1618</v>
      </c>
      <c r="E183" s="1732" t="s">
        <v>162</v>
      </c>
      <c r="F183" s="1732" t="s">
        <v>94</v>
      </c>
      <c r="G183" s="1735" t="s">
        <v>1300</v>
      </c>
      <c r="H183" s="1735" t="s">
        <v>1303</v>
      </c>
      <c r="I183" s="1763">
        <v>0</v>
      </c>
      <c r="J183" s="1749">
        <v>0</v>
      </c>
      <c r="K183" s="1749">
        <v>0</v>
      </c>
      <c r="L183" s="1749">
        <v>0</v>
      </c>
      <c r="M183" s="1749">
        <v>0</v>
      </c>
    </row>
    <row r="184" spans="2:13" ht="15" x14ac:dyDescent="0.2">
      <c r="B184" s="1732">
        <v>13970</v>
      </c>
      <c r="C184" s="1732" t="s">
        <v>1619</v>
      </c>
      <c r="D184" s="1733" t="s">
        <v>1620</v>
      </c>
      <c r="E184" s="1732" t="s">
        <v>162</v>
      </c>
      <c r="F184" s="1732" t="s">
        <v>94</v>
      </c>
      <c r="G184" s="1735" t="s">
        <v>1300</v>
      </c>
      <c r="H184" s="1735" t="s">
        <v>1303</v>
      </c>
      <c r="I184" s="1763">
        <v>0</v>
      </c>
      <c r="J184" s="1749">
        <v>0</v>
      </c>
      <c r="K184" s="1749">
        <v>0</v>
      </c>
      <c r="L184" s="1749">
        <v>0</v>
      </c>
      <c r="M184" s="1749">
        <v>0</v>
      </c>
    </row>
    <row r="185" spans="2:13" ht="15" x14ac:dyDescent="0.2">
      <c r="B185" s="1752">
        <v>13971</v>
      </c>
      <c r="C185" s="1752" t="s">
        <v>1621</v>
      </c>
      <c r="D185" s="1753" t="s">
        <v>1622</v>
      </c>
      <c r="E185" s="1732" t="s">
        <v>162</v>
      </c>
      <c r="F185" s="1732" t="s">
        <v>94</v>
      </c>
      <c r="G185" s="1735" t="s">
        <v>1300</v>
      </c>
      <c r="H185" s="1735" t="s">
        <v>1303</v>
      </c>
      <c r="I185" s="1763">
        <v>0</v>
      </c>
      <c r="J185" s="1749">
        <v>281419.01</v>
      </c>
      <c r="K185" s="1749">
        <v>268375.28999999998</v>
      </c>
      <c r="L185" s="1749">
        <v>265114.36</v>
      </c>
      <c r="M185" s="1764">
        <f>L185</f>
        <v>265114.36</v>
      </c>
    </row>
    <row r="186" spans="2:13" ht="15" x14ac:dyDescent="0.2">
      <c r="B186" s="1752">
        <v>13973</v>
      </c>
      <c r="C186" s="1752" t="s">
        <v>1623</v>
      </c>
      <c r="D186" s="1753" t="s">
        <v>1624</v>
      </c>
      <c r="E186" s="1732" t="s">
        <v>162</v>
      </c>
      <c r="F186" s="1732" t="s">
        <v>94</v>
      </c>
      <c r="G186" s="1735" t="s">
        <v>1300</v>
      </c>
      <c r="H186" s="1735" t="s">
        <v>1303</v>
      </c>
      <c r="I186" s="1763">
        <v>2079026.91</v>
      </c>
      <c r="J186" s="1764">
        <f>I186</f>
        <v>2079026.91</v>
      </c>
      <c r="K186" s="1764">
        <f>J186</f>
        <v>2079026.91</v>
      </c>
      <c r="L186" s="1764">
        <f>K186</f>
        <v>2079026.91</v>
      </c>
      <c r="M186" s="1749">
        <v>1590109.7</v>
      </c>
    </row>
    <row r="187" spans="2:13" ht="15" x14ac:dyDescent="0.2">
      <c r="B187" s="1752">
        <v>13974</v>
      </c>
      <c r="C187" s="1752" t="s">
        <v>1625</v>
      </c>
      <c r="D187" s="1753" t="s">
        <v>1626</v>
      </c>
      <c r="E187" s="1732" t="s">
        <v>162</v>
      </c>
      <c r="F187" s="1732" t="s">
        <v>94</v>
      </c>
      <c r="G187" s="1735" t="s">
        <v>1300</v>
      </c>
      <c r="H187" s="1735" t="s">
        <v>1303</v>
      </c>
      <c r="I187" s="1763">
        <v>0</v>
      </c>
      <c r="J187" s="1764">
        <f>L187</f>
        <v>128867.52</v>
      </c>
      <c r="K187" s="1764">
        <f>L187</f>
        <v>128867.52</v>
      </c>
      <c r="L187" s="1749">
        <v>128867.52</v>
      </c>
      <c r="M187" s="1764">
        <f>L187</f>
        <v>128867.52</v>
      </c>
    </row>
    <row r="188" spans="2:13" ht="15" x14ac:dyDescent="0.2">
      <c r="B188" s="1752">
        <v>13975</v>
      </c>
      <c r="C188" s="1752" t="s">
        <v>1611</v>
      </c>
      <c r="D188" s="1753" t="s">
        <v>1627</v>
      </c>
      <c r="E188" s="1732" t="s">
        <v>162</v>
      </c>
      <c r="F188" s="1732" t="s">
        <v>94</v>
      </c>
      <c r="G188" s="1735" t="s">
        <v>1300</v>
      </c>
      <c r="H188" s="1735" t="s">
        <v>1303</v>
      </c>
      <c r="I188" s="1763">
        <v>0</v>
      </c>
      <c r="J188" s="1749">
        <v>1501068.31</v>
      </c>
      <c r="K188" s="1764">
        <f>J188</f>
        <v>1501068.31</v>
      </c>
      <c r="L188" s="1764">
        <f>K188</f>
        <v>1501068.31</v>
      </c>
      <c r="M188" s="1764">
        <f>L188</f>
        <v>1501068.31</v>
      </c>
    </row>
    <row r="189" spans="2:13" ht="15" x14ac:dyDescent="0.2">
      <c r="B189" s="1752">
        <v>14049</v>
      </c>
      <c r="C189" s="1752" t="s">
        <v>1628</v>
      </c>
      <c r="D189" s="1753" t="s">
        <v>1629</v>
      </c>
      <c r="E189" s="1732" t="s">
        <v>162</v>
      </c>
      <c r="F189" s="1732" t="s">
        <v>94</v>
      </c>
      <c r="G189" s="1735" t="s">
        <v>1630</v>
      </c>
      <c r="H189" s="1735" t="s">
        <v>1303</v>
      </c>
      <c r="I189" s="1763">
        <v>2112234.9125000001</v>
      </c>
      <c r="J189" s="1764">
        <f>I189</f>
        <v>2112234.9125000001</v>
      </c>
      <c r="K189" s="1749">
        <v>2112234.9125000001</v>
      </c>
      <c r="L189" s="1764">
        <f>K189</f>
        <v>2112234.9125000001</v>
      </c>
      <c r="M189" s="1764">
        <f>L189</f>
        <v>2112234.9125000001</v>
      </c>
    </row>
    <row r="190" spans="2:13" ht="15" x14ac:dyDescent="0.2">
      <c r="B190" s="1732">
        <v>14051</v>
      </c>
      <c r="C190" s="1732" t="s">
        <v>1631</v>
      </c>
      <c r="D190" s="1733" t="s">
        <v>1632</v>
      </c>
      <c r="E190" s="1732" t="s">
        <v>162</v>
      </c>
      <c r="F190" s="1732" t="s">
        <v>94</v>
      </c>
      <c r="G190" s="1735" t="s">
        <v>1300</v>
      </c>
      <c r="H190" s="1735" t="s">
        <v>1303</v>
      </c>
      <c r="I190" s="1763">
        <v>0</v>
      </c>
      <c r="J190" s="1749">
        <v>0</v>
      </c>
      <c r="K190" s="1749">
        <v>0</v>
      </c>
      <c r="L190" s="1749">
        <v>0</v>
      </c>
      <c r="M190" s="1749">
        <v>0</v>
      </c>
    </row>
    <row r="191" spans="2:13" ht="15" x14ac:dyDescent="0.2">
      <c r="B191" s="1752">
        <v>14052</v>
      </c>
      <c r="C191" s="1752" t="s">
        <v>1633</v>
      </c>
      <c r="D191" s="1753" t="s">
        <v>1634</v>
      </c>
      <c r="E191" s="1732" t="s">
        <v>162</v>
      </c>
      <c r="F191" s="1732" t="s">
        <v>94</v>
      </c>
      <c r="G191" s="1735" t="s">
        <v>1300</v>
      </c>
      <c r="H191" s="1735" t="s">
        <v>1303</v>
      </c>
      <c r="I191" s="1763">
        <v>211888.74</v>
      </c>
      <c r="J191" s="1764">
        <f>I191</f>
        <v>211888.74</v>
      </c>
      <c r="K191" s="1749">
        <v>211888.74</v>
      </c>
      <c r="L191" s="1749">
        <v>211888.74</v>
      </c>
      <c r="M191" s="1764">
        <f>L191</f>
        <v>211888.74</v>
      </c>
    </row>
    <row r="192" spans="2:13" ht="15" x14ac:dyDescent="0.2">
      <c r="B192" s="1752">
        <v>14193</v>
      </c>
      <c r="C192" s="1752" t="s">
        <v>1635</v>
      </c>
      <c r="D192" s="1753" t="s">
        <v>1636</v>
      </c>
      <c r="E192" s="1732" t="s">
        <v>1373</v>
      </c>
      <c r="F192" s="1732" t="s">
        <v>94</v>
      </c>
      <c r="G192" s="1735" t="s">
        <v>1300</v>
      </c>
      <c r="H192" s="1735" t="s">
        <v>1296</v>
      </c>
      <c r="I192" s="1763">
        <v>0</v>
      </c>
      <c r="J192" s="1764">
        <f>K192</f>
        <v>1643.6000000000001</v>
      </c>
      <c r="K192" s="1749">
        <v>1643.6000000000001</v>
      </c>
      <c r="L192" s="1764">
        <f>K192</f>
        <v>1643.6000000000001</v>
      </c>
      <c r="M192" s="1764">
        <f>L192</f>
        <v>1643.6000000000001</v>
      </c>
    </row>
    <row r="193" spans="2:13" ht="15" x14ac:dyDescent="0.2">
      <c r="B193" s="1752">
        <v>14195</v>
      </c>
      <c r="C193" s="1752" t="s">
        <v>1637</v>
      </c>
      <c r="D193" s="1753" t="s">
        <v>1638</v>
      </c>
      <c r="E193" s="1732" t="s">
        <v>1373</v>
      </c>
      <c r="F193" s="1732" t="s">
        <v>94</v>
      </c>
      <c r="G193" s="1735" t="s">
        <v>1300</v>
      </c>
      <c r="H193" s="1735" t="s">
        <v>1296</v>
      </c>
      <c r="I193" s="1763">
        <v>0</v>
      </c>
      <c r="J193" s="1764">
        <f>K193</f>
        <v>8403.2800000000007</v>
      </c>
      <c r="K193" s="1749">
        <v>8403.2800000000007</v>
      </c>
      <c r="L193" s="1764">
        <f>K193</f>
        <v>8403.2800000000007</v>
      </c>
      <c r="M193" s="1764">
        <f>L193</f>
        <v>8403.2800000000007</v>
      </c>
    </row>
    <row r="194" spans="2:13" ht="15" x14ac:dyDescent="0.2">
      <c r="B194" s="1732">
        <v>14326</v>
      </c>
      <c r="C194" s="1732" t="s">
        <v>1639</v>
      </c>
      <c r="D194" s="1734" t="s">
        <v>1640</v>
      </c>
      <c r="E194" s="1732" t="s">
        <v>1311</v>
      </c>
      <c r="F194" s="1732" t="s">
        <v>94</v>
      </c>
      <c r="G194" s="1735" t="s">
        <v>1325</v>
      </c>
      <c r="H194" s="1735" t="s">
        <v>1296</v>
      </c>
      <c r="I194" s="1763">
        <v>0</v>
      </c>
      <c r="J194" s="1749">
        <v>123595.56</v>
      </c>
      <c r="K194" s="1749">
        <v>123595.56</v>
      </c>
      <c r="L194" s="1749">
        <v>0</v>
      </c>
      <c r="M194" s="1749">
        <v>0</v>
      </c>
    </row>
    <row r="195" spans="2:13" ht="15" x14ac:dyDescent="0.2">
      <c r="B195" s="1752">
        <v>14327</v>
      </c>
      <c r="C195" s="1752" t="s">
        <v>1641</v>
      </c>
      <c r="D195" s="1753" t="s">
        <v>1642</v>
      </c>
      <c r="E195" s="1732" t="s">
        <v>1311</v>
      </c>
      <c r="F195" s="1732" t="s">
        <v>94</v>
      </c>
      <c r="G195" s="1735" t="s">
        <v>1300</v>
      </c>
      <c r="H195" s="1735" t="s">
        <v>1303</v>
      </c>
      <c r="I195" s="1763">
        <v>0</v>
      </c>
      <c r="J195" s="1764">
        <f>K195</f>
        <v>36387.793333333335</v>
      </c>
      <c r="K195" s="1749">
        <v>36387.793333333335</v>
      </c>
      <c r="L195" s="1749">
        <v>38602.370000000003</v>
      </c>
      <c r="M195" s="1764">
        <f>L195</f>
        <v>38602.370000000003</v>
      </c>
    </row>
    <row r="196" spans="2:13" ht="15" x14ac:dyDescent="0.2">
      <c r="B196" s="1752">
        <v>14328</v>
      </c>
      <c r="C196" s="1752" t="s">
        <v>1643</v>
      </c>
      <c r="D196" s="1753" t="s">
        <v>1644</v>
      </c>
      <c r="E196" s="1732" t="s">
        <v>1311</v>
      </c>
      <c r="F196" s="1732" t="s">
        <v>94</v>
      </c>
      <c r="G196" s="1735" t="s">
        <v>1300</v>
      </c>
      <c r="H196" s="1735" t="s">
        <v>1303</v>
      </c>
      <c r="I196" s="1763">
        <v>0</v>
      </c>
      <c r="J196" s="1764">
        <f>K196</f>
        <v>23343.065714285713</v>
      </c>
      <c r="K196" s="1749">
        <v>23343.065714285713</v>
      </c>
      <c r="L196" s="1764">
        <f>K196</f>
        <v>23343.065714285713</v>
      </c>
      <c r="M196" s="1764">
        <f>L196</f>
        <v>23343.065714285713</v>
      </c>
    </row>
    <row r="197" spans="2:13" ht="15" x14ac:dyDescent="0.2">
      <c r="B197" s="1752">
        <v>14331</v>
      </c>
      <c r="C197" s="1752" t="s">
        <v>1645</v>
      </c>
      <c r="D197" s="1753" t="s">
        <v>1646</v>
      </c>
      <c r="E197" s="1732" t="s">
        <v>1311</v>
      </c>
      <c r="F197" s="1732" t="s">
        <v>94</v>
      </c>
      <c r="G197" s="1735" t="s">
        <v>1300</v>
      </c>
      <c r="H197" s="1735" t="s">
        <v>1303</v>
      </c>
      <c r="I197" s="1763">
        <v>0</v>
      </c>
      <c r="J197" s="1749">
        <v>27038.799999999999</v>
      </c>
      <c r="K197" s="1764">
        <f>J197</f>
        <v>27038.799999999999</v>
      </c>
      <c r="L197" s="1764">
        <f>M197</f>
        <v>24934.2</v>
      </c>
      <c r="M197" s="1749">
        <v>24934.2</v>
      </c>
    </row>
    <row r="198" spans="2:13" ht="15" x14ac:dyDescent="0.2">
      <c r="B198" s="1732">
        <v>14333</v>
      </c>
      <c r="C198" s="1732" t="s">
        <v>1647</v>
      </c>
      <c r="D198" s="1733" t="s">
        <v>1648</v>
      </c>
      <c r="E198" s="1732" t="s">
        <v>1311</v>
      </c>
      <c r="F198" s="1732" t="s">
        <v>94</v>
      </c>
      <c r="G198" s="1735" t="s">
        <v>1300</v>
      </c>
      <c r="H198" s="1735" t="s">
        <v>1303</v>
      </c>
      <c r="I198" s="1763">
        <v>0</v>
      </c>
      <c r="J198" s="1749">
        <v>133293.10999999999</v>
      </c>
      <c r="K198" s="1749">
        <v>0</v>
      </c>
      <c r="L198" s="1749">
        <v>0</v>
      </c>
      <c r="M198" s="1749">
        <v>133293.10999999999</v>
      </c>
    </row>
    <row r="199" spans="2:13" ht="15" x14ac:dyDescent="0.2">
      <c r="B199" s="1732">
        <v>14335</v>
      </c>
      <c r="C199" s="1732" t="s">
        <v>1649</v>
      </c>
      <c r="D199" s="1733" t="s">
        <v>1650</v>
      </c>
      <c r="E199" s="1732" t="s">
        <v>1311</v>
      </c>
      <c r="F199" s="1732" t="s">
        <v>94</v>
      </c>
      <c r="G199" s="1735" t="s">
        <v>1300</v>
      </c>
      <c r="H199" s="1735" t="s">
        <v>1303</v>
      </c>
      <c r="I199" s="1763">
        <v>0</v>
      </c>
      <c r="J199" s="1749">
        <v>45135.35</v>
      </c>
      <c r="K199" s="1749">
        <v>0</v>
      </c>
      <c r="L199" s="1749">
        <v>0</v>
      </c>
      <c r="M199" s="1749">
        <v>0</v>
      </c>
    </row>
    <row r="200" spans="2:13" ht="15" x14ac:dyDescent="0.2">
      <c r="B200" s="1752">
        <v>14377</v>
      </c>
      <c r="C200" s="1752" t="s">
        <v>1651</v>
      </c>
      <c r="D200" s="1753" t="s">
        <v>1652</v>
      </c>
      <c r="E200" s="1732" t="s">
        <v>1311</v>
      </c>
      <c r="F200" s="1732" t="s">
        <v>94</v>
      </c>
      <c r="G200" s="1735" t="s">
        <v>1630</v>
      </c>
      <c r="H200" s="1735" t="s">
        <v>1303</v>
      </c>
      <c r="I200" s="1763">
        <v>0</v>
      </c>
      <c r="J200" s="1749">
        <v>38644.86</v>
      </c>
      <c r="K200" s="1749">
        <v>59529.323333333334</v>
      </c>
      <c r="L200" s="1764">
        <f>K200</f>
        <v>59529.323333333334</v>
      </c>
      <c r="M200" s="1764">
        <f>L200</f>
        <v>59529.323333333334</v>
      </c>
    </row>
    <row r="201" spans="2:13" ht="15" x14ac:dyDescent="0.2">
      <c r="B201" s="1732">
        <v>14378</v>
      </c>
      <c r="C201" s="1732" t="s">
        <v>1653</v>
      </c>
      <c r="D201" s="1733" t="s">
        <v>1654</v>
      </c>
      <c r="E201" s="1732" t="s">
        <v>1311</v>
      </c>
      <c r="F201" s="1732" t="s">
        <v>94</v>
      </c>
      <c r="G201" s="1735" t="s">
        <v>1300</v>
      </c>
      <c r="H201" s="1735" t="s">
        <v>1303</v>
      </c>
      <c r="I201" s="1763">
        <v>0</v>
      </c>
      <c r="J201" s="1749">
        <v>0</v>
      </c>
      <c r="K201" s="1749">
        <v>28298.43</v>
      </c>
      <c r="L201" s="1749">
        <v>0</v>
      </c>
      <c r="M201" s="1749">
        <v>0</v>
      </c>
    </row>
    <row r="202" spans="2:13" ht="15" x14ac:dyDescent="0.2">
      <c r="B202" s="1732">
        <v>62805</v>
      </c>
      <c r="C202" s="1732" t="s">
        <v>1655</v>
      </c>
      <c r="D202" s="1732" t="s">
        <v>1656</v>
      </c>
      <c r="E202" s="1732" t="s">
        <v>1335</v>
      </c>
      <c r="F202" s="1732" t="s">
        <v>94</v>
      </c>
      <c r="G202" s="1742" t="s">
        <v>1346</v>
      </c>
      <c r="H202" s="1735" t="s">
        <v>1303</v>
      </c>
      <c r="I202" s="1763">
        <v>0</v>
      </c>
      <c r="J202" s="1749">
        <v>0</v>
      </c>
      <c r="K202" s="1749">
        <v>0</v>
      </c>
      <c r="L202" s="1749">
        <v>0</v>
      </c>
      <c r="M202" s="1749">
        <v>0</v>
      </c>
    </row>
    <row r="203" spans="2:13" ht="15" x14ac:dyDescent="0.2">
      <c r="B203" s="1732">
        <v>14399</v>
      </c>
      <c r="C203" s="1732" t="s">
        <v>1657</v>
      </c>
      <c r="D203" s="1732" t="s">
        <v>1658</v>
      </c>
      <c r="E203" s="1732" t="s">
        <v>1355</v>
      </c>
      <c r="F203" s="1732" t="s">
        <v>94</v>
      </c>
      <c r="G203" s="1735" t="s">
        <v>1300</v>
      </c>
      <c r="H203" s="1735" t="s">
        <v>1303</v>
      </c>
      <c r="I203" s="1763">
        <v>0</v>
      </c>
      <c r="J203" s="1749">
        <v>65227.94</v>
      </c>
      <c r="K203" s="1749">
        <v>65227.939999999995</v>
      </c>
      <c r="L203" s="1749">
        <v>0</v>
      </c>
      <c r="M203" s="1749">
        <v>0</v>
      </c>
    </row>
    <row r="204" spans="2:13" ht="15" x14ac:dyDescent="0.2">
      <c r="B204" s="1732">
        <v>14400</v>
      </c>
      <c r="C204" s="1732" t="s">
        <v>1659</v>
      </c>
      <c r="D204" s="1732" t="s">
        <v>1660</v>
      </c>
      <c r="E204" s="1732" t="s">
        <v>1355</v>
      </c>
      <c r="F204" s="1732" t="s">
        <v>94</v>
      </c>
      <c r="G204" s="1735" t="s">
        <v>1300</v>
      </c>
      <c r="H204" s="1735" t="s">
        <v>1303</v>
      </c>
      <c r="I204" s="1763">
        <v>0</v>
      </c>
      <c r="J204" s="1749">
        <v>0</v>
      </c>
      <c r="K204" s="1749">
        <v>0</v>
      </c>
      <c r="L204" s="1749">
        <v>0</v>
      </c>
      <c r="M204" s="1749">
        <v>0</v>
      </c>
    </row>
    <row r="205" spans="2:13" ht="15" x14ac:dyDescent="0.2">
      <c r="B205" s="1735">
        <v>14401</v>
      </c>
      <c r="C205" s="1735" t="s">
        <v>1661</v>
      </c>
      <c r="D205" s="1735" t="s">
        <v>1662</v>
      </c>
      <c r="E205" s="1732" t="s">
        <v>1355</v>
      </c>
      <c r="F205" s="1735" t="s">
        <v>94</v>
      </c>
      <c r="G205" s="1735" t="s">
        <v>1300</v>
      </c>
      <c r="H205" s="1735" t="s">
        <v>1303</v>
      </c>
      <c r="I205" s="1763">
        <v>0</v>
      </c>
      <c r="J205" s="1749">
        <v>46685.67</v>
      </c>
      <c r="K205" s="1749">
        <v>110188.46</v>
      </c>
      <c r="L205" s="1749">
        <v>0</v>
      </c>
      <c r="M205" s="1749">
        <v>0</v>
      </c>
    </row>
    <row r="206" spans="2:13" ht="15" x14ac:dyDescent="0.2">
      <c r="B206" s="1732">
        <v>14406</v>
      </c>
      <c r="C206" s="1732" t="s">
        <v>1663</v>
      </c>
      <c r="D206" s="1732" t="s">
        <v>1664</v>
      </c>
      <c r="E206" s="1732" t="s">
        <v>1355</v>
      </c>
      <c r="F206" s="1732" t="s">
        <v>94</v>
      </c>
      <c r="G206" s="1735" t="s">
        <v>1300</v>
      </c>
      <c r="H206" s="1735" t="s">
        <v>1296</v>
      </c>
      <c r="I206" s="1763">
        <v>130911.90000000001</v>
      </c>
      <c r="J206" s="1749">
        <v>0</v>
      </c>
      <c r="K206" s="1749">
        <v>0</v>
      </c>
      <c r="L206" s="1749">
        <v>0</v>
      </c>
      <c r="M206" s="1749">
        <v>62125.81</v>
      </c>
    </row>
    <row r="207" spans="2:13" ht="15" x14ac:dyDescent="0.2">
      <c r="B207" s="1732">
        <v>12463</v>
      </c>
      <c r="C207" s="1732" t="s">
        <v>1665</v>
      </c>
      <c r="D207" s="1732" t="s">
        <v>1666</v>
      </c>
      <c r="E207" s="1732" t="s">
        <v>1335</v>
      </c>
      <c r="F207" s="1732" t="s">
        <v>94</v>
      </c>
      <c r="G207" s="1742" t="s">
        <v>1300</v>
      </c>
      <c r="H207" s="1735" t="s">
        <v>1303</v>
      </c>
      <c r="I207" s="1763">
        <v>0</v>
      </c>
      <c r="J207" s="1749">
        <v>0</v>
      </c>
      <c r="K207" s="1749">
        <v>0</v>
      </c>
      <c r="L207" s="1749">
        <v>0</v>
      </c>
      <c r="M207" s="1749">
        <v>0</v>
      </c>
    </row>
    <row r="208" spans="2:13" ht="15" x14ac:dyDescent="0.2">
      <c r="B208" s="1752">
        <v>14639</v>
      </c>
      <c r="C208" s="1752" t="s">
        <v>1667</v>
      </c>
      <c r="D208" s="1752" t="s">
        <v>1667</v>
      </c>
      <c r="E208" s="1732" t="s">
        <v>1373</v>
      </c>
      <c r="F208" s="1732" t="s">
        <v>94</v>
      </c>
      <c r="G208" s="1735" t="s">
        <v>1300</v>
      </c>
      <c r="H208" s="1735" t="s">
        <v>1296</v>
      </c>
      <c r="I208" s="1763">
        <v>504603.57250000001</v>
      </c>
      <c r="J208" s="1764">
        <f>K208</f>
        <v>504233.92888888891</v>
      </c>
      <c r="K208" s="1749">
        <v>504233.92888888891</v>
      </c>
      <c r="L208" s="1764">
        <f>M208</f>
        <v>549838.33333333337</v>
      </c>
      <c r="M208" s="1749">
        <v>549838.33333333337</v>
      </c>
    </row>
    <row r="209" spans="2:13" ht="15" x14ac:dyDescent="0.2">
      <c r="B209" s="1752">
        <v>14640</v>
      </c>
      <c r="C209" s="1752" t="s">
        <v>1668</v>
      </c>
      <c r="D209" s="1752" t="s">
        <v>1668</v>
      </c>
      <c r="E209" s="1732" t="s">
        <v>1373</v>
      </c>
      <c r="F209" s="1732" t="s">
        <v>94</v>
      </c>
      <c r="G209" s="1735" t="s">
        <v>1300</v>
      </c>
      <c r="H209" s="1735" t="s">
        <v>1296</v>
      </c>
      <c r="I209" s="1763">
        <v>742138.85454545461</v>
      </c>
      <c r="J209" s="1764">
        <f>K209</f>
        <v>743072.92</v>
      </c>
      <c r="K209" s="1749">
        <v>743072.92</v>
      </c>
      <c r="L209" s="1764">
        <f>K209</f>
        <v>743072.92</v>
      </c>
      <c r="M209" s="1764">
        <f>L209</f>
        <v>743072.92</v>
      </c>
    </row>
    <row r="210" spans="2:13" ht="15" x14ac:dyDescent="0.2">
      <c r="B210" s="1732">
        <v>14672</v>
      </c>
      <c r="C210" s="1732" t="s">
        <v>1669</v>
      </c>
      <c r="D210" s="1732" t="s">
        <v>1670</v>
      </c>
      <c r="E210" s="1732" t="s">
        <v>1355</v>
      </c>
      <c r="F210" s="1732" t="s">
        <v>94</v>
      </c>
      <c r="G210" s="1735" t="s">
        <v>1300</v>
      </c>
      <c r="H210" s="1735" t="s">
        <v>1303</v>
      </c>
      <c r="I210" s="1763">
        <v>0</v>
      </c>
      <c r="J210" s="1749">
        <v>0</v>
      </c>
      <c r="K210" s="1749">
        <v>0</v>
      </c>
      <c r="L210" s="1749">
        <v>0</v>
      </c>
      <c r="M210" s="1749">
        <v>0</v>
      </c>
    </row>
    <row r="211" spans="2:13" ht="15" x14ac:dyDescent="0.2">
      <c r="B211" s="1732">
        <v>14673</v>
      </c>
      <c r="C211" s="1732" t="s">
        <v>1671</v>
      </c>
      <c r="D211" s="1732" t="s">
        <v>1672</v>
      </c>
      <c r="E211" s="1732" t="s">
        <v>1355</v>
      </c>
      <c r="F211" s="1732" t="s">
        <v>94</v>
      </c>
      <c r="G211" s="1735" t="s">
        <v>1295</v>
      </c>
      <c r="H211" s="1735" t="s">
        <v>1303</v>
      </c>
      <c r="I211" s="1763">
        <v>0</v>
      </c>
      <c r="J211" s="1749">
        <v>199695.75</v>
      </c>
      <c r="K211" s="1749">
        <v>0</v>
      </c>
      <c r="L211" s="1749">
        <v>0</v>
      </c>
      <c r="M211" s="1749">
        <v>0</v>
      </c>
    </row>
    <row r="212" spans="2:13" ht="15" x14ac:dyDescent="0.2">
      <c r="B212" s="1732">
        <v>14674</v>
      </c>
      <c r="C212" s="1732" t="s">
        <v>1673</v>
      </c>
      <c r="D212" s="1732" t="s">
        <v>1674</v>
      </c>
      <c r="E212" s="1732" t="s">
        <v>1355</v>
      </c>
      <c r="F212" s="1732" t="s">
        <v>94</v>
      </c>
      <c r="G212" s="1735" t="s">
        <v>1295</v>
      </c>
      <c r="H212" s="1735" t="s">
        <v>1303</v>
      </c>
      <c r="I212" s="1763">
        <v>179646.19999999998</v>
      </c>
      <c r="J212" s="1749">
        <v>0</v>
      </c>
      <c r="K212" s="1749">
        <v>0</v>
      </c>
      <c r="L212" s="1749">
        <v>0</v>
      </c>
      <c r="M212" s="1749">
        <v>0</v>
      </c>
    </row>
    <row r="213" spans="2:13" ht="15" x14ac:dyDescent="0.2">
      <c r="B213" s="1732">
        <v>14675</v>
      </c>
      <c r="C213" s="1732" t="s">
        <v>1675</v>
      </c>
      <c r="D213" s="1732" t="s">
        <v>1676</v>
      </c>
      <c r="E213" s="1732" t="s">
        <v>1355</v>
      </c>
      <c r="F213" s="1732" t="s">
        <v>94</v>
      </c>
      <c r="G213" s="1735" t="s">
        <v>1295</v>
      </c>
      <c r="H213" s="1735" t="s">
        <v>1303</v>
      </c>
      <c r="I213" s="1763">
        <v>0</v>
      </c>
      <c r="J213" s="1749">
        <v>170828.6</v>
      </c>
      <c r="K213" s="1749">
        <v>0</v>
      </c>
      <c r="L213" s="1749">
        <v>0</v>
      </c>
      <c r="M213" s="1749">
        <v>170828.6</v>
      </c>
    </row>
    <row r="214" spans="2:13" ht="15" x14ac:dyDescent="0.2">
      <c r="B214" s="1732">
        <v>14676</v>
      </c>
      <c r="C214" s="1732" t="s">
        <v>1677</v>
      </c>
      <c r="D214" s="1732" t="s">
        <v>1678</v>
      </c>
      <c r="E214" s="1732" t="s">
        <v>1355</v>
      </c>
      <c r="F214" s="1732" t="s">
        <v>94</v>
      </c>
      <c r="G214" s="1735" t="s">
        <v>1300</v>
      </c>
      <c r="H214" s="1735" t="s">
        <v>1303</v>
      </c>
      <c r="I214" s="1763">
        <v>0</v>
      </c>
      <c r="J214" s="1749">
        <v>0</v>
      </c>
      <c r="K214" s="1749">
        <v>0</v>
      </c>
      <c r="L214" s="1749">
        <v>0</v>
      </c>
      <c r="M214" s="1749">
        <v>0</v>
      </c>
    </row>
    <row r="215" spans="2:13" ht="15" x14ac:dyDescent="0.2">
      <c r="B215" s="1732">
        <v>14677</v>
      </c>
      <c r="C215" s="1732" t="s">
        <v>1679</v>
      </c>
      <c r="D215" s="1732" t="s">
        <v>1680</v>
      </c>
      <c r="E215" s="1732" t="s">
        <v>1355</v>
      </c>
      <c r="F215" s="1732" t="s">
        <v>94</v>
      </c>
      <c r="G215" s="1735" t="s">
        <v>1295</v>
      </c>
      <c r="H215" s="1735" t="s">
        <v>1303</v>
      </c>
      <c r="I215" s="1763">
        <v>0</v>
      </c>
      <c r="J215" s="1749">
        <v>0</v>
      </c>
      <c r="K215" s="1749">
        <v>0</v>
      </c>
      <c r="L215" s="1749">
        <v>0</v>
      </c>
      <c r="M215" s="1749">
        <v>0</v>
      </c>
    </row>
    <row r="216" spans="2:13" ht="15" x14ac:dyDescent="0.2">
      <c r="B216" s="1732">
        <v>14678</v>
      </c>
      <c r="C216" s="1732" t="s">
        <v>1681</v>
      </c>
      <c r="D216" s="1732" t="s">
        <v>1682</v>
      </c>
      <c r="E216" s="1732" t="s">
        <v>1355</v>
      </c>
      <c r="F216" s="1732" t="s">
        <v>94</v>
      </c>
      <c r="G216" s="1735" t="s">
        <v>1295</v>
      </c>
      <c r="H216" s="1735" t="s">
        <v>1303</v>
      </c>
      <c r="I216" s="1763">
        <v>0</v>
      </c>
      <c r="J216" s="1749">
        <v>0</v>
      </c>
      <c r="K216" s="1749">
        <v>0</v>
      </c>
      <c r="L216" s="1749">
        <v>0</v>
      </c>
      <c r="M216" s="1749">
        <v>0</v>
      </c>
    </row>
    <row r="217" spans="2:13" ht="15" x14ac:dyDescent="0.2">
      <c r="B217" s="1732">
        <v>14679</v>
      </c>
      <c r="C217" s="1732" t="s">
        <v>1683</v>
      </c>
      <c r="D217" s="1732" t="s">
        <v>1684</v>
      </c>
      <c r="E217" s="1732" t="s">
        <v>1355</v>
      </c>
      <c r="F217" s="1732" t="s">
        <v>94</v>
      </c>
      <c r="G217" s="1735" t="s">
        <v>1295</v>
      </c>
      <c r="H217" s="1735" t="s">
        <v>1303</v>
      </c>
      <c r="I217" s="1763">
        <v>0</v>
      </c>
      <c r="J217" s="1749">
        <v>0</v>
      </c>
      <c r="K217" s="1749">
        <v>0</v>
      </c>
      <c r="L217" s="1749">
        <v>0</v>
      </c>
      <c r="M217" s="1749">
        <v>0</v>
      </c>
    </row>
    <row r="218" spans="2:13" ht="15" x14ac:dyDescent="0.2">
      <c r="B218" s="1735">
        <v>14680</v>
      </c>
      <c r="C218" s="1735" t="s">
        <v>1685</v>
      </c>
      <c r="D218" s="1735"/>
      <c r="E218" s="1732" t="s">
        <v>1355</v>
      </c>
      <c r="F218" s="1735" t="s">
        <v>94</v>
      </c>
      <c r="G218" s="1735" t="s">
        <v>1295</v>
      </c>
      <c r="H218" s="1735" t="s">
        <v>1303</v>
      </c>
      <c r="I218" s="1763">
        <v>0</v>
      </c>
      <c r="J218" s="1749">
        <v>0</v>
      </c>
      <c r="K218" s="1749">
        <v>0</v>
      </c>
      <c r="L218" s="1749">
        <v>0</v>
      </c>
      <c r="M218" s="1749">
        <v>0</v>
      </c>
    </row>
    <row r="219" spans="2:13" ht="15" x14ac:dyDescent="0.2">
      <c r="B219" s="1732">
        <v>14681</v>
      </c>
      <c r="C219" s="1732" t="s">
        <v>1686</v>
      </c>
      <c r="D219" s="1732" t="s">
        <v>1687</v>
      </c>
      <c r="E219" s="1732" t="s">
        <v>1355</v>
      </c>
      <c r="F219" s="1732" t="s">
        <v>94</v>
      </c>
      <c r="G219" s="1735" t="s">
        <v>1295</v>
      </c>
      <c r="H219" s="1735" t="s">
        <v>1303</v>
      </c>
      <c r="I219" s="1763">
        <v>0</v>
      </c>
      <c r="J219" s="1749">
        <v>0</v>
      </c>
      <c r="K219" s="1749">
        <v>0</v>
      </c>
      <c r="L219" s="1749">
        <v>0</v>
      </c>
      <c r="M219" s="1749">
        <v>0</v>
      </c>
    </row>
    <row r="220" spans="2:13" ht="15" x14ac:dyDescent="0.2">
      <c r="B220" s="1732">
        <v>14682</v>
      </c>
      <c r="C220" s="1732" t="s">
        <v>1688</v>
      </c>
      <c r="D220" s="1732" t="s">
        <v>1689</v>
      </c>
      <c r="E220" s="1732" t="s">
        <v>1355</v>
      </c>
      <c r="F220" s="1732" t="s">
        <v>94</v>
      </c>
      <c r="G220" s="1735" t="s">
        <v>1300</v>
      </c>
      <c r="H220" s="1735" t="s">
        <v>1303</v>
      </c>
      <c r="I220" s="1763">
        <v>0</v>
      </c>
      <c r="J220" s="1749">
        <v>0</v>
      </c>
      <c r="K220" s="1749">
        <v>0</v>
      </c>
      <c r="L220" s="1749">
        <v>0</v>
      </c>
      <c r="M220" s="1749">
        <v>0</v>
      </c>
    </row>
    <row r="221" spans="2:13" ht="15" x14ac:dyDescent="0.2">
      <c r="B221" s="1735">
        <v>14683</v>
      </c>
      <c r="C221" s="1735" t="s">
        <v>1690</v>
      </c>
      <c r="D221" s="1735"/>
      <c r="E221" s="1732" t="s">
        <v>1355</v>
      </c>
      <c r="F221" s="1735" t="s">
        <v>94</v>
      </c>
      <c r="G221" s="1735" t="s">
        <v>1295</v>
      </c>
      <c r="H221" s="1735" t="s">
        <v>1303</v>
      </c>
      <c r="I221" s="1763">
        <v>0</v>
      </c>
      <c r="J221" s="1749">
        <v>0</v>
      </c>
      <c r="K221" s="1749">
        <v>0</v>
      </c>
      <c r="L221" s="1749">
        <v>0</v>
      </c>
      <c r="M221" s="1749">
        <v>0</v>
      </c>
    </row>
    <row r="222" spans="2:13" ht="15" x14ac:dyDescent="0.2">
      <c r="B222" s="1752">
        <v>15174</v>
      </c>
      <c r="C222" s="1752" t="s">
        <v>1691</v>
      </c>
      <c r="D222" s="1753" t="s">
        <v>1692</v>
      </c>
      <c r="E222" s="1732" t="s">
        <v>1474</v>
      </c>
      <c r="F222" s="1732" t="s">
        <v>94</v>
      </c>
      <c r="G222" s="1735" t="s">
        <v>1300</v>
      </c>
      <c r="H222" s="1735" t="s">
        <v>1296</v>
      </c>
      <c r="I222" s="1763">
        <v>966821.35</v>
      </c>
      <c r="J222" s="1764">
        <f>K222</f>
        <v>813684.59</v>
      </c>
      <c r="K222" s="1749">
        <v>813684.59</v>
      </c>
      <c r="L222" s="1764">
        <f>M222</f>
        <v>965198.48</v>
      </c>
      <c r="M222" s="1749">
        <v>965198.48</v>
      </c>
    </row>
    <row r="223" spans="2:13" ht="15" x14ac:dyDescent="0.2">
      <c r="B223" s="1752">
        <v>15176</v>
      </c>
      <c r="C223" s="1752" t="s">
        <v>1693</v>
      </c>
      <c r="D223" s="1753" t="s">
        <v>1694</v>
      </c>
      <c r="E223" s="1732" t="s">
        <v>1474</v>
      </c>
      <c r="F223" s="1732" t="s">
        <v>94</v>
      </c>
      <c r="G223" s="1735" t="s">
        <v>1325</v>
      </c>
      <c r="H223" s="1735" t="s">
        <v>1303</v>
      </c>
      <c r="I223" s="1763">
        <v>2045732.2333333334</v>
      </c>
      <c r="J223" s="1764">
        <f>K223</f>
        <v>1981112.885</v>
      </c>
      <c r="K223" s="1749">
        <v>1981112.885</v>
      </c>
      <c r="L223" s="1764">
        <f>K223</f>
        <v>1981112.885</v>
      </c>
      <c r="M223" s="1764">
        <f>L223</f>
        <v>1981112.885</v>
      </c>
    </row>
    <row r="224" spans="2:13" ht="15" x14ac:dyDescent="0.2">
      <c r="B224" s="1732">
        <v>65407</v>
      </c>
      <c r="C224" s="1732" t="s">
        <v>1695</v>
      </c>
      <c r="D224" s="1732" t="s">
        <v>1696</v>
      </c>
      <c r="E224" s="1732" t="s">
        <v>1335</v>
      </c>
      <c r="F224" s="1732" t="s">
        <v>94</v>
      </c>
      <c r="G224" s="1741" t="s">
        <v>1337</v>
      </c>
      <c r="H224" s="1741" t="s">
        <v>1303</v>
      </c>
      <c r="I224" s="1763">
        <v>0</v>
      </c>
      <c r="J224" s="1749">
        <v>0</v>
      </c>
      <c r="K224" s="1749">
        <v>0</v>
      </c>
      <c r="L224" s="1749">
        <v>0</v>
      </c>
      <c r="M224" s="1749">
        <v>0</v>
      </c>
    </row>
    <row r="225" spans="2:13" ht="15" x14ac:dyDescent="0.2">
      <c r="B225" s="1732">
        <v>15655</v>
      </c>
      <c r="C225" s="1732" t="s">
        <v>1697</v>
      </c>
      <c r="D225" s="1732" t="s">
        <v>1698</v>
      </c>
      <c r="E225" s="1732" t="s">
        <v>1373</v>
      </c>
      <c r="F225" s="1732" t="s">
        <v>94</v>
      </c>
      <c r="G225" s="1735" t="s">
        <v>1300</v>
      </c>
      <c r="H225" s="1735" t="s">
        <v>1296</v>
      </c>
      <c r="I225" s="1763">
        <v>0</v>
      </c>
      <c r="J225" s="1749">
        <v>0</v>
      </c>
      <c r="K225" s="1749">
        <v>0</v>
      </c>
      <c r="L225" s="1749">
        <v>0</v>
      </c>
      <c r="M225" s="1749">
        <v>0</v>
      </c>
    </row>
    <row r="226" spans="2:13" ht="15" x14ac:dyDescent="0.2">
      <c r="B226" s="1732">
        <v>15685</v>
      </c>
      <c r="C226" s="1732" t="s">
        <v>1699</v>
      </c>
      <c r="D226" s="1732" t="s">
        <v>1700</v>
      </c>
      <c r="E226" s="1732" t="s">
        <v>1373</v>
      </c>
      <c r="F226" s="1732" t="s">
        <v>94</v>
      </c>
      <c r="G226" s="1735" t="s">
        <v>1300</v>
      </c>
      <c r="H226" s="1735" t="s">
        <v>1296</v>
      </c>
      <c r="I226" s="1763">
        <v>0</v>
      </c>
      <c r="J226" s="1749">
        <v>0</v>
      </c>
      <c r="K226" s="1749">
        <v>0</v>
      </c>
      <c r="L226" s="1749">
        <v>0</v>
      </c>
      <c r="M226" s="1749">
        <v>0</v>
      </c>
    </row>
    <row r="227" spans="2:13" ht="15" x14ac:dyDescent="0.2">
      <c r="B227" s="1752">
        <v>15704</v>
      </c>
      <c r="C227" s="1752" t="s">
        <v>1701</v>
      </c>
      <c r="D227" s="1752" t="s">
        <v>1702</v>
      </c>
      <c r="E227" s="1732" t="s">
        <v>1373</v>
      </c>
      <c r="F227" s="1732" t="s">
        <v>94</v>
      </c>
      <c r="G227" s="1735" t="s">
        <v>1300</v>
      </c>
      <c r="H227" s="1735" t="s">
        <v>1296</v>
      </c>
      <c r="I227" s="1763">
        <v>1550116.5728571429</v>
      </c>
      <c r="J227" s="1764">
        <f>I227</f>
        <v>1550116.5728571429</v>
      </c>
      <c r="K227" s="1764">
        <f>J227</f>
        <v>1550116.5728571429</v>
      </c>
      <c r="L227" s="1764">
        <f>K227</f>
        <v>1550116.5728571429</v>
      </c>
      <c r="M227" s="1764">
        <f>L227</f>
        <v>1550116.5728571429</v>
      </c>
    </row>
    <row r="228" spans="2:13" ht="15" x14ac:dyDescent="0.2">
      <c r="B228" s="1732">
        <v>15732</v>
      </c>
      <c r="C228" s="1732" t="s">
        <v>1703</v>
      </c>
      <c r="D228" s="1732" t="s">
        <v>1704</v>
      </c>
      <c r="E228" s="1732" t="s">
        <v>1373</v>
      </c>
      <c r="F228" s="1732" t="s">
        <v>94</v>
      </c>
      <c r="G228" s="1735" t="s">
        <v>1300</v>
      </c>
      <c r="H228" s="1735" t="s">
        <v>1296</v>
      </c>
      <c r="I228" s="1763">
        <v>1110144</v>
      </c>
      <c r="J228" s="1749">
        <v>0</v>
      </c>
      <c r="K228" s="1749">
        <v>1110144</v>
      </c>
      <c r="L228" s="1749">
        <v>0</v>
      </c>
      <c r="M228" s="1749">
        <v>0</v>
      </c>
    </row>
    <row r="229" spans="2:13" ht="15" x14ac:dyDescent="0.2">
      <c r="B229" s="1752">
        <v>15733</v>
      </c>
      <c r="C229" s="1752" t="s">
        <v>1705</v>
      </c>
      <c r="D229" s="1752" t="s">
        <v>1706</v>
      </c>
      <c r="E229" s="1732" t="s">
        <v>1373</v>
      </c>
      <c r="F229" s="1732" t="s">
        <v>94</v>
      </c>
      <c r="G229" s="1735" t="s">
        <v>1300</v>
      </c>
      <c r="H229" s="1735" t="s">
        <v>1296</v>
      </c>
      <c r="I229" s="1763">
        <v>1181537</v>
      </c>
      <c r="J229" s="1764">
        <f t="shared" ref="J229:M230" si="2">I229</f>
        <v>1181537</v>
      </c>
      <c r="K229" s="1764">
        <f t="shared" si="2"/>
        <v>1181537</v>
      </c>
      <c r="L229" s="1764">
        <f t="shared" si="2"/>
        <v>1181537</v>
      </c>
      <c r="M229" s="1764">
        <f t="shared" si="2"/>
        <v>1181537</v>
      </c>
    </row>
    <row r="230" spans="2:13" ht="15" x14ac:dyDescent="0.2">
      <c r="B230" s="1732">
        <v>15734</v>
      </c>
      <c r="C230" s="1732" t="s">
        <v>1707</v>
      </c>
      <c r="D230" s="1732" t="s">
        <v>1708</v>
      </c>
      <c r="E230" s="1732" t="s">
        <v>1373</v>
      </c>
      <c r="F230" s="1732" t="s">
        <v>94</v>
      </c>
      <c r="G230" s="1735" t="s">
        <v>1300</v>
      </c>
      <c r="H230" s="1735" t="s">
        <v>1296</v>
      </c>
      <c r="I230" s="1763">
        <v>198000</v>
      </c>
      <c r="J230" s="1764">
        <f t="shared" si="2"/>
        <v>198000</v>
      </c>
      <c r="K230" s="1764">
        <f t="shared" si="2"/>
        <v>198000</v>
      </c>
      <c r="L230" s="1764">
        <f t="shared" si="2"/>
        <v>198000</v>
      </c>
      <c r="M230" s="1764">
        <f t="shared" si="2"/>
        <v>198000</v>
      </c>
    </row>
    <row r="231" spans="2:13" ht="15" x14ac:dyDescent="0.2">
      <c r="B231" s="1732">
        <v>29864</v>
      </c>
      <c r="C231" s="1732" t="s">
        <v>1709</v>
      </c>
      <c r="D231" s="1732" t="s">
        <v>1710</v>
      </c>
      <c r="E231" s="1732" t="s">
        <v>1474</v>
      </c>
      <c r="F231" s="1732" t="s">
        <v>94</v>
      </c>
      <c r="G231" s="1735" t="s">
        <v>1300</v>
      </c>
      <c r="H231" s="1735" t="s">
        <v>1296</v>
      </c>
      <c r="I231" s="1763">
        <v>0</v>
      </c>
      <c r="J231" s="1749">
        <v>0</v>
      </c>
      <c r="K231" s="1749">
        <v>1886858.04</v>
      </c>
      <c r="L231" s="1749">
        <v>0</v>
      </c>
      <c r="M231" s="1749">
        <v>0</v>
      </c>
    </row>
    <row r="232" spans="2:13" ht="15" x14ac:dyDescent="0.2">
      <c r="B232" s="1732">
        <v>9747</v>
      </c>
      <c r="C232" s="1732" t="s">
        <v>1711</v>
      </c>
      <c r="D232" s="1732" t="s">
        <v>1696</v>
      </c>
      <c r="E232" s="1732" t="s">
        <v>1335</v>
      </c>
      <c r="F232" s="1732" t="s">
        <v>94</v>
      </c>
      <c r="G232" s="1742" t="s">
        <v>1300</v>
      </c>
      <c r="H232" s="1735" t="s">
        <v>1303</v>
      </c>
      <c r="I232" s="1763">
        <v>0</v>
      </c>
      <c r="J232" s="1749">
        <v>238.81636538461541</v>
      </c>
      <c r="K232" s="1749">
        <v>0</v>
      </c>
      <c r="L232" s="1749">
        <v>0</v>
      </c>
      <c r="M232" s="1749">
        <v>238.81635937499999</v>
      </c>
    </row>
    <row r="233" spans="2:13" ht="15" x14ac:dyDescent="0.2">
      <c r="B233" s="1732">
        <v>29867</v>
      </c>
      <c r="C233" s="1732" t="s">
        <v>1712</v>
      </c>
      <c r="D233" s="1733" t="s">
        <v>1713</v>
      </c>
      <c r="E233" s="1732" t="s">
        <v>1714</v>
      </c>
      <c r="F233" s="1732" t="s">
        <v>94</v>
      </c>
      <c r="G233" s="1735" t="s">
        <v>1715</v>
      </c>
      <c r="H233" s="1735" t="s">
        <v>1303</v>
      </c>
      <c r="I233" s="1763">
        <v>0</v>
      </c>
      <c r="J233" s="1749">
        <v>147167.16</v>
      </c>
      <c r="K233" s="1749">
        <v>0</v>
      </c>
      <c r="L233" s="1749">
        <v>0</v>
      </c>
      <c r="M233" s="1749">
        <v>0</v>
      </c>
    </row>
    <row r="234" spans="2:13" ht="15" x14ac:dyDescent="0.2">
      <c r="B234" s="1735">
        <v>29871</v>
      </c>
      <c r="C234" s="1735" t="s">
        <v>1716</v>
      </c>
      <c r="D234" s="1743"/>
      <c r="E234" s="1751" t="s">
        <v>1299</v>
      </c>
      <c r="F234" s="1735" t="s">
        <v>94</v>
      </c>
      <c r="G234" s="1735" t="s">
        <v>1717</v>
      </c>
      <c r="H234" s="1735" t="s">
        <v>1303</v>
      </c>
      <c r="I234" s="1763">
        <v>0</v>
      </c>
      <c r="J234" s="1749">
        <v>0</v>
      </c>
      <c r="K234" s="1749">
        <v>0</v>
      </c>
      <c r="L234" s="1749">
        <v>0</v>
      </c>
      <c r="M234" s="1749">
        <v>0</v>
      </c>
    </row>
    <row r="235" spans="2:13" ht="15" x14ac:dyDescent="0.2">
      <c r="B235" s="1735">
        <v>29873</v>
      </c>
      <c r="C235" s="1735" t="s">
        <v>1718</v>
      </c>
      <c r="D235" s="1735"/>
      <c r="E235" s="1732" t="s">
        <v>1719</v>
      </c>
      <c r="F235" s="1735" t="s">
        <v>94</v>
      </c>
      <c r="G235" s="1735" t="s">
        <v>1346</v>
      </c>
      <c r="H235" s="1735" t="s">
        <v>1303</v>
      </c>
      <c r="I235" s="1763">
        <v>0</v>
      </c>
      <c r="J235" s="1749">
        <v>0</v>
      </c>
      <c r="K235" s="1749">
        <v>0</v>
      </c>
      <c r="L235" s="1749">
        <v>0</v>
      </c>
      <c r="M235" s="1749">
        <v>0</v>
      </c>
    </row>
    <row r="236" spans="2:13" ht="15" x14ac:dyDescent="0.2">
      <c r="B236" s="1752">
        <v>29874</v>
      </c>
      <c r="C236" s="1752" t="s">
        <v>1720</v>
      </c>
      <c r="D236" s="1754" t="s">
        <v>1721</v>
      </c>
      <c r="E236" s="1732" t="s">
        <v>1308</v>
      </c>
      <c r="F236" s="1732" t="s">
        <v>94</v>
      </c>
      <c r="G236" s="1741" t="s">
        <v>1300</v>
      </c>
      <c r="H236" s="1735" t="s">
        <v>1303</v>
      </c>
      <c r="I236" s="1763">
        <v>0</v>
      </c>
      <c r="J236" s="1749">
        <v>1450.7481818181818</v>
      </c>
      <c r="K236" s="1749">
        <v>1739.37</v>
      </c>
      <c r="L236" s="1764">
        <f>K236</f>
        <v>1739.37</v>
      </c>
      <c r="M236" s="1764">
        <f>L236</f>
        <v>1739.37</v>
      </c>
    </row>
    <row r="237" spans="2:13" ht="15" x14ac:dyDescent="0.2">
      <c r="B237" s="1732">
        <v>29875</v>
      </c>
      <c r="C237" s="1732" t="s">
        <v>1722</v>
      </c>
      <c r="D237" s="1734" t="s">
        <v>1723</v>
      </c>
      <c r="E237" s="1732" t="s">
        <v>1544</v>
      </c>
      <c r="F237" s="1732" t="s">
        <v>94</v>
      </c>
      <c r="G237" s="1735" t="s">
        <v>1325</v>
      </c>
      <c r="H237" s="1735" t="s">
        <v>1303</v>
      </c>
      <c r="I237" s="1763">
        <v>0</v>
      </c>
      <c r="J237" s="1749">
        <v>1126.68</v>
      </c>
      <c r="K237" s="1749">
        <v>0</v>
      </c>
      <c r="L237" s="1749">
        <v>0</v>
      </c>
      <c r="M237" s="1749">
        <v>0</v>
      </c>
    </row>
    <row r="238" spans="2:13" ht="15" x14ac:dyDescent="0.2">
      <c r="B238" s="1752">
        <v>29878</v>
      </c>
      <c r="C238" s="1752" t="s">
        <v>1724</v>
      </c>
      <c r="D238" s="1754" t="s">
        <v>1725</v>
      </c>
      <c r="E238" s="1732" t="s">
        <v>1308</v>
      </c>
      <c r="F238" s="1732" t="s">
        <v>94</v>
      </c>
      <c r="G238" s="1741" t="s">
        <v>1411</v>
      </c>
      <c r="H238" s="1735" t="s">
        <v>1303</v>
      </c>
      <c r="I238" s="1763">
        <v>0</v>
      </c>
      <c r="J238" s="1749">
        <v>757.80000000000007</v>
      </c>
      <c r="K238" s="1749">
        <v>760.94999999999993</v>
      </c>
      <c r="L238" s="1764">
        <f>K238</f>
        <v>760.94999999999993</v>
      </c>
      <c r="M238" s="1749">
        <v>1510.97</v>
      </c>
    </row>
    <row r="239" spans="2:13" ht="15" x14ac:dyDescent="0.2">
      <c r="B239" s="1732">
        <v>29880</v>
      </c>
      <c r="C239" s="1732" t="s">
        <v>1726</v>
      </c>
      <c r="D239" s="1733" t="s">
        <v>1727</v>
      </c>
      <c r="E239" s="1732" t="s">
        <v>162</v>
      </c>
      <c r="F239" s="1732" t="s">
        <v>94</v>
      </c>
      <c r="G239" s="1735" t="s">
        <v>1300</v>
      </c>
      <c r="H239" s="1735" t="s">
        <v>1303</v>
      </c>
      <c r="I239" s="1763">
        <v>0</v>
      </c>
      <c r="J239" s="1749">
        <v>0</v>
      </c>
      <c r="K239" s="1749">
        <v>0</v>
      </c>
      <c r="L239" s="1749">
        <v>0</v>
      </c>
      <c r="M239" s="1749">
        <v>220365.28</v>
      </c>
    </row>
    <row r="240" spans="2:13" ht="15" x14ac:dyDescent="0.2">
      <c r="B240" s="1752">
        <v>29886</v>
      </c>
      <c r="C240" s="1752" t="s">
        <v>1728</v>
      </c>
      <c r="D240" s="1752" t="s">
        <v>1729</v>
      </c>
      <c r="E240" s="1732" t="s">
        <v>1308</v>
      </c>
      <c r="F240" s="1732" t="s">
        <v>94</v>
      </c>
      <c r="G240" s="1741" t="s">
        <v>1717</v>
      </c>
      <c r="H240" s="1735" t="s">
        <v>1303</v>
      </c>
      <c r="I240" s="1763">
        <v>0</v>
      </c>
      <c r="J240" s="1749">
        <v>1572.1299999999999</v>
      </c>
      <c r="K240" s="1749">
        <v>1569.2825</v>
      </c>
      <c r="L240" s="1749">
        <v>1569.2760000000001</v>
      </c>
      <c r="M240" s="1749">
        <v>1569.2766666666666</v>
      </c>
    </row>
    <row r="241" spans="2:13" ht="15" x14ac:dyDescent="0.2">
      <c r="B241" s="1735">
        <v>29887</v>
      </c>
      <c r="C241" s="1735" t="s">
        <v>1730</v>
      </c>
      <c r="D241" s="1743"/>
      <c r="E241" s="1751" t="s">
        <v>1299</v>
      </c>
      <c r="F241" s="1735" t="s">
        <v>94</v>
      </c>
      <c r="G241" s="1735" t="s">
        <v>1325</v>
      </c>
      <c r="H241" s="1735" t="s">
        <v>1303</v>
      </c>
      <c r="I241" s="1763">
        <v>0</v>
      </c>
      <c r="J241" s="1749">
        <v>0</v>
      </c>
      <c r="K241" s="1749">
        <v>0</v>
      </c>
      <c r="L241" s="1749">
        <v>0</v>
      </c>
      <c r="M241" s="1749">
        <v>0</v>
      </c>
    </row>
    <row r="242" spans="2:13" ht="15" x14ac:dyDescent="0.2">
      <c r="B242" s="1752">
        <v>29888</v>
      </c>
      <c r="C242" s="1752" t="s">
        <v>1731</v>
      </c>
      <c r="D242" s="1752" t="s">
        <v>1732</v>
      </c>
      <c r="E242" s="1732" t="s">
        <v>1316</v>
      </c>
      <c r="F242" s="1732" t="s">
        <v>94</v>
      </c>
      <c r="G242" s="1735" t="s">
        <v>1300</v>
      </c>
      <c r="H242" s="1735" t="s">
        <v>1303</v>
      </c>
      <c r="I242" s="1763">
        <v>0</v>
      </c>
      <c r="J242" s="1749">
        <v>4560.2960000000003</v>
      </c>
      <c r="K242" s="1749">
        <v>4112.726315789474</v>
      </c>
      <c r="L242" s="1749">
        <v>4112.7250000000004</v>
      </c>
      <c r="M242" s="1749">
        <v>4747.93</v>
      </c>
    </row>
    <row r="243" spans="2:13" ht="15" x14ac:dyDescent="0.2">
      <c r="B243" s="1752">
        <v>29889</v>
      </c>
      <c r="C243" s="1752" t="s">
        <v>1733</v>
      </c>
      <c r="D243" s="1753" t="s">
        <v>1734</v>
      </c>
      <c r="E243" s="1732" t="s">
        <v>162</v>
      </c>
      <c r="F243" s="1732" t="s">
        <v>94</v>
      </c>
      <c r="G243" s="1735" t="s">
        <v>1300</v>
      </c>
      <c r="H243" s="1735" t="s">
        <v>1303</v>
      </c>
      <c r="I243" s="1763">
        <v>0</v>
      </c>
      <c r="J243" s="1764">
        <f>L243</f>
        <v>74528.259999999995</v>
      </c>
      <c r="K243" s="1764">
        <f>M243</f>
        <v>41852.9</v>
      </c>
      <c r="L243" s="1749">
        <v>74528.259999999995</v>
      </c>
      <c r="M243" s="1749">
        <v>41852.9</v>
      </c>
    </row>
    <row r="244" spans="2:13" ht="15" x14ac:dyDescent="0.2">
      <c r="B244" s="1732">
        <v>29890</v>
      </c>
      <c r="C244" s="1732" t="s">
        <v>1735</v>
      </c>
      <c r="D244" s="1733" t="s">
        <v>1736</v>
      </c>
      <c r="E244" s="1732" t="s">
        <v>1311</v>
      </c>
      <c r="F244" s="1732" t="s">
        <v>94</v>
      </c>
      <c r="G244" s="1735" t="s">
        <v>1300</v>
      </c>
      <c r="H244" s="1735" t="s">
        <v>1303</v>
      </c>
      <c r="I244" s="1763">
        <v>0</v>
      </c>
      <c r="J244" s="1749">
        <v>4360.8675000000003</v>
      </c>
      <c r="K244" s="1749">
        <v>4360.8684210526317</v>
      </c>
      <c r="L244" s="1749">
        <v>4360.8666666666668</v>
      </c>
      <c r="M244" s="1749">
        <v>0</v>
      </c>
    </row>
    <row r="245" spans="2:13" ht="15" x14ac:dyDescent="0.2">
      <c r="B245" s="1732">
        <v>29892</v>
      </c>
      <c r="C245" s="1732" t="s">
        <v>1737</v>
      </c>
      <c r="D245" s="1733" t="s">
        <v>1738</v>
      </c>
      <c r="E245" s="1732" t="s">
        <v>1474</v>
      </c>
      <c r="F245" s="1732" t="s">
        <v>94</v>
      </c>
      <c r="G245" s="1735" t="s">
        <v>1325</v>
      </c>
      <c r="H245" s="1735" t="s">
        <v>1303</v>
      </c>
      <c r="I245" s="1763">
        <v>0</v>
      </c>
      <c r="J245" s="1749">
        <v>37822.799999999996</v>
      </c>
      <c r="K245" s="1749">
        <v>0</v>
      </c>
      <c r="L245" s="1749">
        <v>0</v>
      </c>
      <c r="M245" s="1749">
        <v>0</v>
      </c>
    </row>
    <row r="246" spans="2:13" ht="15" x14ac:dyDescent="0.2">
      <c r="B246" s="1732">
        <v>29895</v>
      </c>
      <c r="C246" s="1732" t="s">
        <v>1739</v>
      </c>
      <c r="D246" s="1732" t="s">
        <v>1740</v>
      </c>
      <c r="E246" s="1732" t="s">
        <v>1311</v>
      </c>
      <c r="F246" s="1732" t="s">
        <v>94</v>
      </c>
      <c r="G246" s="1735" t="s">
        <v>1411</v>
      </c>
      <c r="H246" s="1735" t="s">
        <v>1303</v>
      </c>
      <c r="I246" s="1763">
        <v>0</v>
      </c>
      <c r="J246" s="1749">
        <v>0</v>
      </c>
      <c r="K246" s="1749">
        <v>13543.679999999998</v>
      </c>
      <c r="L246" s="1749">
        <v>0</v>
      </c>
      <c r="M246" s="1749">
        <v>0</v>
      </c>
    </row>
    <row r="247" spans="2:13" ht="15" x14ac:dyDescent="0.2">
      <c r="B247" s="1732">
        <v>29896</v>
      </c>
      <c r="C247" s="1732" t="s">
        <v>1741</v>
      </c>
      <c r="D247" s="1732" t="s">
        <v>1742</v>
      </c>
      <c r="E247" s="1732" t="s">
        <v>1743</v>
      </c>
      <c r="F247" s="1732" t="s">
        <v>94</v>
      </c>
      <c r="G247" s="1735" t="s">
        <v>1300</v>
      </c>
      <c r="H247" s="1735" t="s">
        <v>1303</v>
      </c>
      <c r="I247" s="1763">
        <v>0</v>
      </c>
      <c r="J247" s="1749">
        <v>0</v>
      </c>
      <c r="K247" s="1749">
        <v>92737.54</v>
      </c>
      <c r="L247" s="1749">
        <v>0</v>
      </c>
      <c r="M247" s="1749">
        <v>0</v>
      </c>
    </row>
    <row r="248" spans="2:13" ht="15" x14ac:dyDescent="0.2">
      <c r="B248" s="1732">
        <v>29897</v>
      </c>
      <c r="C248" s="1732" t="s">
        <v>1744</v>
      </c>
      <c r="D248" s="1733" t="s">
        <v>1745</v>
      </c>
      <c r="E248" s="1732" t="s">
        <v>1311</v>
      </c>
      <c r="F248" s="1732" t="s">
        <v>94</v>
      </c>
      <c r="G248" s="1735" t="s">
        <v>1325</v>
      </c>
      <c r="H248" s="1735" t="s">
        <v>1303</v>
      </c>
      <c r="I248" s="1763">
        <v>0</v>
      </c>
      <c r="J248" s="1749">
        <v>0</v>
      </c>
      <c r="K248" s="1749">
        <v>43069.94</v>
      </c>
      <c r="L248" s="1749">
        <v>0</v>
      </c>
      <c r="M248" s="1749">
        <v>0</v>
      </c>
    </row>
    <row r="249" spans="2:13" ht="15" x14ac:dyDescent="0.2">
      <c r="B249" s="1744">
        <v>29899</v>
      </c>
      <c r="C249" s="1735" t="s">
        <v>1746</v>
      </c>
      <c r="D249" s="1735"/>
      <c r="E249" s="1732" t="s">
        <v>1474</v>
      </c>
      <c r="F249" s="1735" t="s">
        <v>94</v>
      </c>
      <c r="G249" s="1735" t="s">
        <v>1300</v>
      </c>
      <c r="H249" s="1735" t="s">
        <v>1303</v>
      </c>
      <c r="I249" s="1763">
        <v>0</v>
      </c>
      <c r="J249" s="1749">
        <v>0</v>
      </c>
      <c r="K249" s="1749">
        <v>0</v>
      </c>
      <c r="L249" s="1749">
        <v>0</v>
      </c>
      <c r="M249" s="1749">
        <v>0</v>
      </c>
    </row>
    <row r="250" spans="2:13" ht="15" x14ac:dyDescent="0.2">
      <c r="B250" s="1752">
        <v>29900</v>
      </c>
      <c r="C250" s="1752" t="s">
        <v>1747</v>
      </c>
      <c r="D250" s="1752" t="s">
        <v>1748</v>
      </c>
      <c r="E250" s="1732" t="s">
        <v>1316</v>
      </c>
      <c r="F250" s="1732" t="s">
        <v>94</v>
      </c>
      <c r="G250" s="1735" t="s">
        <v>1300</v>
      </c>
      <c r="H250" s="1735" t="s">
        <v>1303</v>
      </c>
      <c r="I250" s="1763">
        <v>24847.252499999999</v>
      </c>
      <c r="J250" s="1749">
        <v>3914.26</v>
      </c>
      <c r="K250" s="1749">
        <v>24847.255000000001</v>
      </c>
      <c r="L250" s="1749">
        <v>3826.1566666666663</v>
      </c>
      <c r="M250" s="1749">
        <v>4627.68</v>
      </c>
    </row>
    <row r="251" spans="2:13" ht="15" x14ac:dyDescent="0.2">
      <c r="B251" s="1735">
        <v>29907</v>
      </c>
      <c r="C251" s="1735" t="s">
        <v>1749</v>
      </c>
      <c r="D251" s="1735"/>
      <c r="E251" s="1732" t="s">
        <v>162</v>
      </c>
      <c r="F251" s="1735" t="s">
        <v>94</v>
      </c>
      <c r="G251" s="1735" t="s">
        <v>1411</v>
      </c>
      <c r="H251" s="1735" t="s">
        <v>1303</v>
      </c>
      <c r="I251" s="1763">
        <v>0</v>
      </c>
      <c r="J251" s="1749">
        <v>0</v>
      </c>
      <c r="K251" s="1749">
        <v>0</v>
      </c>
      <c r="L251" s="1749">
        <v>0</v>
      </c>
      <c r="M251" s="1749">
        <v>0</v>
      </c>
    </row>
    <row r="252" spans="2:13" ht="15" x14ac:dyDescent="0.2">
      <c r="B252" s="1732">
        <v>29909</v>
      </c>
      <c r="C252" s="1732" t="s">
        <v>1750</v>
      </c>
      <c r="D252" s="1733" t="s">
        <v>1751</v>
      </c>
      <c r="E252" s="1732" t="s">
        <v>1311</v>
      </c>
      <c r="F252" s="1732" t="s">
        <v>94</v>
      </c>
      <c r="G252" s="1735" t="s">
        <v>1300</v>
      </c>
      <c r="H252" s="1735" t="s">
        <v>1303</v>
      </c>
      <c r="I252" s="1763">
        <v>0</v>
      </c>
      <c r="J252" s="1749">
        <v>0</v>
      </c>
      <c r="K252" s="1749">
        <v>8828.75</v>
      </c>
      <c r="L252" s="1749">
        <v>0</v>
      </c>
      <c r="M252" s="1749">
        <v>8828.75</v>
      </c>
    </row>
    <row r="253" spans="2:13" ht="15" x14ac:dyDescent="0.2">
      <c r="B253" s="1732">
        <v>29910</v>
      </c>
      <c r="C253" s="1732" t="s">
        <v>1752</v>
      </c>
      <c r="D253" s="1734" t="s">
        <v>1753</v>
      </c>
      <c r="E253" s="1732" t="s">
        <v>1474</v>
      </c>
      <c r="F253" s="1732" t="s">
        <v>94</v>
      </c>
      <c r="G253" s="1735" t="s">
        <v>1300</v>
      </c>
      <c r="H253" s="1735" t="s">
        <v>1303</v>
      </c>
      <c r="I253" s="1763">
        <v>0</v>
      </c>
      <c r="J253" s="1749">
        <v>0</v>
      </c>
      <c r="K253" s="1749">
        <v>34138.620000000003</v>
      </c>
      <c r="L253" s="1749">
        <v>0</v>
      </c>
      <c r="M253" s="1749">
        <v>0</v>
      </c>
    </row>
    <row r="254" spans="2:13" ht="15" x14ac:dyDescent="0.2">
      <c r="B254" s="1735">
        <v>29912</v>
      </c>
      <c r="C254" s="1735" t="s">
        <v>1754</v>
      </c>
      <c r="D254" s="1735"/>
      <c r="E254" s="1732" t="s">
        <v>1493</v>
      </c>
      <c r="F254" s="1735" t="s">
        <v>94</v>
      </c>
      <c r="G254" s="1735" t="s">
        <v>1325</v>
      </c>
      <c r="H254" s="1735" t="s">
        <v>1303</v>
      </c>
      <c r="I254" s="1763">
        <v>0</v>
      </c>
      <c r="J254" s="1749">
        <v>0</v>
      </c>
      <c r="K254" s="1749">
        <v>0</v>
      </c>
      <c r="L254" s="1749">
        <v>0</v>
      </c>
      <c r="M254" s="1749">
        <v>0</v>
      </c>
    </row>
    <row r="255" spans="2:13" ht="15" x14ac:dyDescent="0.2">
      <c r="B255" s="1732">
        <v>29915</v>
      </c>
      <c r="C255" s="1732" t="s">
        <v>1755</v>
      </c>
      <c r="D255" s="1732" t="s">
        <v>1756</v>
      </c>
      <c r="E255" s="1732" t="s">
        <v>1311</v>
      </c>
      <c r="F255" s="1732" t="s">
        <v>94</v>
      </c>
      <c r="G255" s="1735" t="s">
        <v>1300</v>
      </c>
      <c r="H255" s="1735" t="s">
        <v>1303</v>
      </c>
      <c r="I255" s="1763">
        <v>0</v>
      </c>
      <c r="J255" s="1749">
        <v>0</v>
      </c>
      <c r="K255" s="1749">
        <v>0</v>
      </c>
      <c r="L255" s="1749">
        <v>9019.7100000000009</v>
      </c>
      <c r="M255" s="1749">
        <v>0</v>
      </c>
    </row>
    <row r="256" spans="2:13" ht="15" x14ac:dyDescent="0.2">
      <c r="B256" s="1735">
        <v>29917</v>
      </c>
      <c r="C256" s="1735" t="s">
        <v>1516</v>
      </c>
      <c r="D256" s="1736" t="s">
        <v>1516</v>
      </c>
      <c r="E256" s="1732" t="s">
        <v>1493</v>
      </c>
      <c r="F256" s="1735" t="s">
        <v>94</v>
      </c>
      <c r="G256" s="1735" t="s">
        <v>1757</v>
      </c>
      <c r="H256" s="1735" t="s">
        <v>1303</v>
      </c>
      <c r="I256" s="1763">
        <v>0</v>
      </c>
      <c r="J256" s="1749">
        <v>0</v>
      </c>
      <c r="K256" s="1749">
        <v>0</v>
      </c>
      <c r="L256" s="1749">
        <v>0</v>
      </c>
      <c r="M256" s="1749">
        <v>0</v>
      </c>
    </row>
    <row r="257" spans="2:13" ht="15" x14ac:dyDescent="0.2">
      <c r="B257" s="1735">
        <v>29918</v>
      </c>
      <c r="C257" s="1735" t="s">
        <v>1758</v>
      </c>
      <c r="D257" s="1735"/>
      <c r="E257" s="1732" t="s">
        <v>1311</v>
      </c>
      <c r="F257" s="1735" t="s">
        <v>94</v>
      </c>
      <c r="G257" s="1735" t="s">
        <v>1325</v>
      </c>
      <c r="H257" s="1735" t="s">
        <v>1303</v>
      </c>
      <c r="I257" s="1763">
        <v>0</v>
      </c>
      <c r="J257" s="1749">
        <v>0</v>
      </c>
      <c r="K257" s="1749">
        <v>0</v>
      </c>
      <c r="L257" s="1749">
        <v>0</v>
      </c>
      <c r="M257" s="1749">
        <v>0</v>
      </c>
    </row>
    <row r="258" spans="2:13" ht="15" x14ac:dyDescent="0.2">
      <c r="B258" s="1732">
        <v>29923</v>
      </c>
      <c r="C258" s="1732" t="s">
        <v>1759</v>
      </c>
      <c r="D258" s="1733" t="s">
        <v>1760</v>
      </c>
      <c r="E258" s="1732" t="s">
        <v>1714</v>
      </c>
      <c r="F258" s="1732" t="s">
        <v>94</v>
      </c>
      <c r="G258" s="1735" t="s">
        <v>1300</v>
      </c>
      <c r="H258" s="1735" t="s">
        <v>1303</v>
      </c>
      <c r="I258" s="1763">
        <v>0</v>
      </c>
      <c r="J258" s="1749">
        <v>8031.31</v>
      </c>
      <c r="K258" s="1749">
        <v>0</v>
      </c>
      <c r="L258" s="1749">
        <v>0</v>
      </c>
      <c r="M258" s="1749">
        <v>8031.3072727272729</v>
      </c>
    </row>
    <row r="259" spans="2:13" ht="15" x14ac:dyDescent="0.2">
      <c r="B259" s="1735">
        <v>29926</v>
      </c>
      <c r="C259" s="1735" t="s">
        <v>1761</v>
      </c>
      <c r="D259" s="1735" t="s">
        <v>1762</v>
      </c>
      <c r="E259" s="1732" t="s">
        <v>1308</v>
      </c>
      <c r="F259" s="1735" t="s">
        <v>94</v>
      </c>
      <c r="G259" s="1741" t="s">
        <v>1717</v>
      </c>
      <c r="H259" s="1735" t="s">
        <v>1303</v>
      </c>
      <c r="I259" s="1763">
        <v>0</v>
      </c>
      <c r="J259" s="1749">
        <v>0</v>
      </c>
      <c r="K259" s="1749">
        <v>0</v>
      </c>
      <c r="L259" s="1749">
        <v>0</v>
      </c>
      <c r="M259" s="1749">
        <v>0</v>
      </c>
    </row>
    <row r="260" spans="2:13" ht="15" x14ac:dyDescent="0.2">
      <c r="B260" s="1732">
        <v>29927</v>
      </c>
      <c r="C260" s="1732" t="s">
        <v>1763</v>
      </c>
      <c r="D260" s="1733" t="s">
        <v>1764</v>
      </c>
      <c r="E260" s="1732" t="s">
        <v>1311</v>
      </c>
      <c r="F260" s="1732" t="s">
        <v>94</v>
      </c>
      <c r="G260" s="1735" t="s">
        <v>1325</v>
      </c>
      <c r="H260" s="1735" t="s">
        <v>1303</v>
      </c>
      <c r="I260" s="1763">
        <v>0</v>
      </c>
      <c r="J260" s="1749">
        <v>0</v>
      </c>
      <c r="K260" s="1749">
        <v>13760.66</v>
      </c>
      <c r="L260" s="1749">
        <v>0</v>
      </c>
      <c r="M260" s="1749">
        <v>0</v>
      </c>
    </row>
    <row r="261" spans="2:13" ht="15" x14ac:dyDescent="0.2">
      <c r="B261" s="1735">
        <v>29929</v>
      </c>
      <c r="C261" s="1735" t="s">
        <v>1765</v>
      </c>
      <c r="D261" s="1735"/>
      <c r="E261" s="1732" t="s">
        <v>1311</v>
      </c>
      <c r="F261" s="1735" t="s">
        <v>94</v>
      </c>
      <c r="G261" s="1735" t="s">
        <v>1300</v>
      </c>
      <c r="H261" s="1735" t="s">
        <v>1296</v>
      </c>
      <c r="I261" s="1763">
        <v>0</v>
      </c>
      <c r="J261" s="1749">
        <v>0</v>
      </c>
      <c r="K261" s="1749">
        <v>0</v>
      </c>
      <c r="L261" s="1749">
        <v>0</v>
      </c>
      <c r="M261" s="1749">
        <v>0</v>
      </c>
    </row>
    <row r="262" spans="2:13" ht="15" x14ac:dyDescent="0.2">
      <c r="B262" s="1732">
        <v>29933</v>
      </c>
      <c r="C262" s="1732" t="s">
        <v>1766</v>
      </c>
      <c r="D262" s="1732" t="s">
        <v>1767</v>
      </c>
      <c r="E262" s="1732" t="s">
        <v>1311</v>
      </c>
      <c r="F262" s="1732" t="s">
        <v>94</v>
      </c>
      <c r="G262" s="1735" t="s">
        <v>1300</v>
      </c>
      <c r="H262" s="1735" t="s">
        <v>1303</v>
      </c>
      <c r="I262" s="1763">
        <v>0</v>
      </c>
      <c r="J262" s="1749">
        <v>0</v>
      </c>
      <c r="K262" s="1749">
        <v>0</v>
      </c>
      <c r="L262" s="1749">
        <v>0</v>
      </c>
      <c r="M262" s="1749">
        <v>4336.53</v>
      </c>
    </row>
    <row r="263" spans="2:13" ht="15" x14ac:dyDescent="0.2">
      <c r="B263" s="1735">
        <v>29934</v>
      </c>
      <c r="C263" s="1735" t="s">
        <v>1768</v>
      </c>
      <c r="D263" s="1736" t="s">
        <v>1768</v>
      </c>
      <c r="E263" s="1732" t="s">
        <v>1493</v>
      </c>
      <c r="F263" s="1735" t="s">
        <v>94</v>
      </c>
      <c r="G263" s="1735" t="s">
        <v>1300</v>
      </c>
      <c r="H263" s="1735" t="s">
        <v>1303</v>
      </c>
      <c r="I263" s="1763">
        <v>0</v>
      </c>
      <c r="J263" s="1749">
        <v>0</v>
      </c>
      <c r="K263" s="1749">
        <v>0</v>
      </c>
      <c r="L263" s="1749">
        <v>0</v>
      </c>
      <c r="M263" s="1749">
        <v>0</v>
      </c>
    </row>
    <row r="264" spans="2:13" ht="15" x14ac:dyDescent="0.2">
      <c r="B264" s="1732">
        <v>29936</v>
      </c>
      <c r="C264" s="1732" t="s">
        <v>1769</v>
      </c>
      <c r="D264" s="1733" t="s">
        <v>1769</v>
      </c>
      <c r="E264" s="1732" t="s">
        <v>1493</v>
      </c>
      <c r="F264" s="1732" t="s">
        <v>94</v>
      </c>
      <c r="G264" s="1735" t="s">
        <v>1325</v>
      </c>
      <c r="H264" s="1735" t="s">
        <v>1303</v>
      </c>
      <c r="I264" s="1763">
        <v>0</v>
      </c>
      <c r="J264" s="1749">
        <v>0</v>
      </c>
      <c r="K264" s="1749">
        <v>0</v>
      </c>
      <c r="L264" s="1749">
        <v>955.75</v>
      </c>
      <c r="M264" s="1749">
        <v>0</v>
      </c>
    </row>
    <row r="265" spans="2:13" ht="15" x14ac:dyDescent="0.2">
      <c r="B265" s="1735">
        <v>29939</v>
      </c>
      <c r="C265" s="1735" t="s">
        <v>1770</v>
      </c>
      <c r="D265" s="1735"/>
      <c r="E265" s="1732" t="s">
        <v>162</v>
      </c>
      <c r="F265" s="1735" t="s">
        <v>94</v>
      </c>
      <c r="G265" s="1735" t="s">
        <v>1325</v>
      </c>
      <c r="H265" s="1735" t="s">
        <v>1303</v>
      </c>
      <c r="I265" s="1763">
        <v>0</v>
      </c>
      <c r="J265" s="1749">
        <v>0</v>
      </c>
      <c r="K265" s="1749">
        <v>0</v>
      </c>
      <c r="L265" s="1749">
        <v>0</v>
      </c>
      <c r="M265" s="1749">
        <v>0</v>
      </c>
    </row>
    <row r="266" spans="2:13" ht="15" x14ac:dyDescent="0.2">
      <c r="B266" s="1752">
        <v>29942</v>
      </c>
      <c r="C266" s="1752" t="s">
        <v>1771</v>
      </c>
      <c r="D266" s="1753" t="s">
        <v>1772</v>
      </c>
      <c r="E266" s="1732" t="s">
        <v>1311</v>
      </c>
      <c r="F266" s="1732" t="s">
        <v>94</v>
      </c>
      <c r="G266" s="1735" t="s">
        <v>1325</v>
      </c>
      <c r="H266" s="1735" t="s">
        <v>1303</v>
      </c>
      <c r="I266" s="1763">
        <v>0</v>
      </c>
      <c r="J266" s="1764">
        <f>K266</f>
        <v>227.18</v>
      </c>
      <c r="K266" s="1764">
        <f>L266</f>
        <v>227.18</v>
      </c>
      <c r="L266" s="1764">
        <f>M266</f>
        <v>227.18</v>
      </c>
      <c r="M266" s="1749">
        <v>227.18</v>
      </c>
    </row>
    <row r="267" spans="2:13" ht="15" x14ac:dyDescent="0.2">
      <c r="B267" s="1752">
        <v>31467</v>
      </c>
      <c r="C267" s="1752" t="s">
        <v>1773</v>
      </c>
      <c r="D267" s="1754" t="s">
        <v>1307</v>
      </c>
      <c r="E267" s="1732" t="s">
        <v>1308</v>
      </c>
      <c r="F267" s="1732" t="s">
        <v>94</v>
      </c>
      <c r="G267" s="1741" t="s">
        <v>1300</v>
      </c>
      <c r="H267" s="1735" t="s">
        <v>1303</v>
      </c>
      <c r="I267" s="1763">
        <v>0</v>
      </c>
      <c r="J267" s="1749">
        <v>6210</v>
      </c>
      <c r="K267" s="1764">
        <f>J267</f>
        <v>6210</v>
      </c>
      <c r="L267" s="1764">
        <f>K267</f>
        <v>6210</v>
      </c>
      <c r="M267" s="1764">
        <f>L267</f>
        <v>6210</v>
      </c>
    </row>
    <row r="268" spans="2:13" ht="15" x14ac:dyDescent="0.2">
      <c r="B268" s="1735">
        <v>31468</v>
      </c>
      <c r="C268" s="1735" t="s">
        <v>1774</v>
      </c>
      <c r="D268" s="1735" t="e">
        <v>#N/A</v>
      </c>
      <c r="E268" s="1732" t="s">
        <v>1311</v>
      </c>
      <c r="F268" s="1735" t="s">
        <v>94</v>
      </c>
      <c r="G268" s="1735" t="s">
        <v>1300</v>
      </c>
      <c r="H268" s="1735" t="s">
        <v>1303</v>
      </c>
      <c r="I268" s="1763">
        <v>0</v>
      </c>
      <c r="J268" s="1749">
        <v>0</v>
      </c>
      <c r="K268" s="1749">
        <v>0</v>
      </c>
      <c r="L268" s="1749">
        <v>0</v>
      </c>
      <c r="M268" s="1749">
        <v>0</v>
      </c>
    </row>
    <row r="269" spans="2:13" ht="15" x14ac:dyDescent="0.2">
      <c r="B269" s="1732">
        <v>9748</v>
      </c>
      <c r="C269" s="1732" t="s">
        <v>1775</v>
      </c>
      <c r="D269" s="1732" t="s">
        <v>1776</v>
      </c>
      <c r="E269" s="1732" t="s">
        <v>1335</v>
      </c>
      <c r="F269" s="1732" t="s">
        <v>94</v>
      </c>
      <c r="G269" s="1741" t="s">
        <v>1337</v>
      </c>
      <c r="H269" s="1741" t="s">
        <v>1303</v>
      </c>
      <c r="I269" s="1763">
        <v>0</v>
      </c>
      <c r="J269" s="1749">
        <v>0</v>
      </c>
      <c r="K269" s="1749">
        <v>0</v>
      </c>
      <c r="L269" s="1749">
        <v>0</v>
      </c>
      <c r="M269" s="1749">
        <v>0</v>
      </c>
    </row>
    <row r="270" spans="2:13" ht="15" x14ac:dyDescent="0.2">
      <c r="B270" s="1732">
        <v>40319</v>
      </c>
      <c r="C270" s="1732" t="s">
        <v>1777</v>
      </c>
      <c r="D270" s="1732" t="s">
        <v>1778</v>
      </c>
      <c r="E270" s="1732" t="s">
        <v>1308</v>
      </c>
      <c r="F270" s="1732" t="s">
        <v>94</v>
      </c>
      <c r="G270" s="1741" t="s">
        <v>1779</v>
      </c>
      <c r="H270" s="1735" t="s">
        <v>1303</v>
      </c>
      <c r="I270" s="1763">
        <v>0</v>
      </c>
      <c r="J270" s="1749">
        <v>0</v>
      </c>
      <c r="K270" s="1749">
        <v>13297.786666666667</v>
      </c>
      <c r="L270" s="1749">
        <v>0</v>
      </c>
      <c r="M270" s="1749">
        <v>0</v>
      </c>
    </row>
    <row r="271" spans="2:13" ht="15" x14ac:dyDescent="0.2">
      <c r="B271" s="1752">
        <v>40320</v>
      </c>
      <c r="C271" s="1752" t="s">
        <v>1780</v>
      </c>
      <c r="D271" s="1753" t="s">
        <v>1781</v>
      </c>
      <c r="E271" s="1751" t="s">
        <v>1299</v>
      </c>
      <c r="F271" s="1732" t="s">
        <v>94</v>
      </c>
      <c r="G271" s="1735" t="s">
        <v>1300</v>
      </c>
      <c r="H271" s="1735" t="s">
        <v>1303</v>
      </c>
      <c r="I271" s="1763">
        <v>23296.74</v>
      </c>
      <c r="J271" s="1749">
        <v>19113.12</v>
      </c>
      <c r="K271" s="1749">
        <v>24493.765684523809</v>
      </c>
      <c r="L271" s="1764">
        <f>K271</f>
        <v>24493.765684523809</v>
      </c>
      <c r="M271" s="1764">
        <f>L271</f>
        <v>24493.765684523809</v>
      </c>
    </row>
    <row r="272" spans="2:13" ht="15" x14ac:dyDescent="0.2">
      <c r="B272" s="1752">
        <v>40321</v>
      </c>
      <c r="C272" s="1752" t="s">
        <v>1782</v>
      </c>
      <c r="D272" s="1753" t="s">
        <v>1783</v>
      </c>
      <c r="E272" s="1751" t="s">
        <v>1299</v>
      </c>
      <c r="F272" s="1732" t="s">
        <v>94</v>
      </c>
      <c r="G272" s="1735" t="s">
        <v>1305</v>
      </c>
      <c r="H272" s="1735" t="s">
        <v>1303</v>
      </c>
      <c r="I272" s="1763">
        <v>33178.83</v>
      </c>
      <c r="J272" s="1749">
        <v>27593.872174999997</v>
      </c>
      <c r="K272" s="1749">
        <v>29280.575900104061</v>
      </c>
      <c r="L272" s="1749">
        <v>31045.385654205609</v>
      </c>
      <c r="M272" s="1764">
        <f>L272</f>
        <v>31045.385654205609</v>
      </c>
    </row>
    <row r="273" spans="2:13" ht="15" x14ac:dyDescent="0.2">
      <c r="B273" s="1732">
        <v>40322</v>
      </c>
      <c r="C273" s="1732" t="s">
        <v>1784</v>
      </c>
      <c r="D273" s="1733" t="s">
        <v>1785</v>
      </c>
      <c r="E273" s="1732" t="s">
        <v>1714</v>
      </c>
      <c r="F273" s="1732" t="s">
        <v>94</v>
      </c>
      <c r="G273" s="1735" t="s">
        <v>1305</v>
      </c>
      <c r="H273" s="1735" t="s">
        <v>1303</v>
      </c>
      <c r="I273" s="1763">
        <v>0</v>
      </c>
      <c r="J273" s="1749">
        <v>0</v>
      </c>
      <c r="K273" s="1749">
        <v>0</v>
      </c>
      <c r="L273" s="1749">
        <v>0</v>
      </c>
      <c r="M273" s="1749">
        <v>0</v>
      </c>
    </row>
    <row r="274" spans="2:13" ht="15" x14ac:dyDescent="0.2">
      <c r="B274" s="1732">
        <v>40323</v>
      </c>
      <c r="C274" s="1732" t="s">
        <v>1786</v>
      </c>
      <c r="D274" s="1733" t="s">
        <v>1787</v>
      </c>
      <c r="E274" s="1732" t="s">
        <v>1714</v>
      </c>
      <c r="F274" s="1732" t="s">
        <v>94</v>
      </c>
      <c r="G274" s="1735" t="s">
        <v>1300</v>
      </c>
      <c r="H274" s="1735" t="s">
        <v>1303</v>
      </c>
      <c r="I274" s="1763">
        <v>2062.02</v>
      </c>
      <c r="J274" s="1749">
        <v>0</v>
      </c>
      <c r="K274" s="1749">
        <v>0</v>
      </c>
      <c r="L274" s="1749">
        <v>0</v>
      </c>
      <c r="M274" s="1749">
        <v>0</v>
      </c>
    </row>
    <row r="275" spans="2:13" ht="15" x14ac:dyDescent="0.2">
      <c r="B275" s="1732">
        <v>40324</v>
      </c>
      <c r="C275" s="1732" t="s">
        <v>1788</v>
      </c>
      <c r="D275" s="1733" t="s">
        <v>1789</v>
      </c>
      <c r="E275" s="1732" t="s">
        <v>1714</v>
      </c>
      <c r="F275" s="1732" t="s">
        <v>94</v>
      </c>
      <c r="G275" s="1735" t="s">
        <v>1300</v>
      </c>
      <c r="H275" s="1735" t="s">
        <v>1303</v>
      </c>
      <c r="I275" s="1763">
        <v>0</v>
      </c>
      <c r="J275" s="1749">
        <v>3317.8824</v>
      </c>
      <c r="K275" s="1749">
        <v>3079.9263414634147</v>
      </c>
      <c r="L275" s="1749">
        <v>0</v>
      </c>
      <c r="M275" s="1749">
        <v>3317.8799999999997</v>
      </c>
    </row>
    <row r="276" spans="2:13" ht="15" x14ac:dyDescent="0.2">
      <c r="B276" s="1752">
        <v>40327</v>
      </c>
      <c r="C276" s="1752" t="s">
        <v>1790</v>
      </c>
      <c r="D276" s="1753" t="s">
        <v>1791</v>
      </c>
      <c r="E276" s="1732" t="s">
        <v>162</v>
      </c>
      <c r="F276" s="1732" t="s">
        <v>94</v>
      </c>
      <c r="G276" s="1735" t="s">
        <v>1300</v>
      </c>
      <c r="H276" s="1735" t="s">
        <v>1303</v>
      </c>
      <c r="I276" s="1763">
        <v>0</v>
      </c>
      <c r="J276" s="1764">
        <f>K276</f>
        <v>1906077.68</v>
      </c>
      <c r="K276" s="1749">
        <v>1906077.68</v>
      </c>
      <c r="L276" s="1749">
        <v>1892317.8774999999</v>
      </c>
      <c r="M276" s="1749">
        <v>1827487.1</v>
      </c>
    </row>
    <row r="277" spans="2:13" ht="15" x14ac:dyDescent="0.2">
      <c r="B277" s="1752">
        <v>40328</v>
      </c>
      <c r="C277" s="1752" t="s">
        <v>1792</v>
      </c>
      <c r="D277" s="1753" t="s">
        <v>1793</v>
      </c>
      <c r="E277" s="1732" t="s">
        <v>162</v>
      </c>
      <c r="F277" s="1732" t="s">
        <v>94</v>
      </c>
      <c r="G277" s="1735" t="s">
        <v>1300</v>
      </c>
      <c r="H277" s="1735" t="s">
        <v>1303</v>
      </c>
      <c r="I277" s="1763">
        <v>0</v>
      </c>
      <c r="J277" s="1749">
        <v>502514.32</v>
      </c>
      <c r="K277" s="1749">
        <v>509119.24</v>
      </c>
      <c r="L277" s="1764">
        <f>K277</f>
        <v>509119.24</v>
      </c>
      <c r="M277" s="1764">
        <f>L277</f>
        <v>509119.24</v>
      </c>
    </row>
    <row r="278" spans="2:13" ht="15" x14ac:dyDescent="0.2">
      <c r="B278" s="1732">
        <v>40330</v>
      </c>
      <c r="C278" s="1732" t="s">
        <v>1794</v>
      </c>
      <c r="D278" s="1733" t="s">
        <v>1795</v>
      </c>
      <c r="E278" s="1732" t="s">
        <v>1474</v>
      </c>
      <c r="F278" s="1732" t="s">
        <v>94</v>
      </c>
      <c r="G278" s="1735" t="s">
        <v>1300</v>
      </c>
      <c r="H278" s="1735" t="s">
        <v>1303</v>
      </c>
      <c r="I278" s="1763">
        <v>0</v>
      </c>
      <c r="J278" s="1749">
        <v>0</v>
      </c>
      <c r="K278" s="1749">
        <v>212532.71</v>
      </c>
      <c r="L278" s="1749">
        <v>0</v>
      </c>
      <c r="M278" s="1749">
        <v>0</v>
      </c>
    </row>
    <row r="279" spans="2:13" ht="15" x14ac:dyDescent="0.2">
      <c r="B279" s="1732">
        <v>40331</v>
      </c>
      <c r="C279" s="1732" t="s">
        <v>1796</v>
      </c>
      <c r="D279" s="1733" t="s">
        <v>1797</v>
      </c>
      <c r="E279" s="1732" t="s">
        <v>1311</v>
      </c>
      <c r="F279" s="1732" t="s">
        <v>94</v>
      </c>
      <c r="G279" s="1735" t="s">
        <v>1300</v>
      </c>
      <c r="H279" s="1735" t="s">
        <v>1303</v>
      </c>
      <c r="I279" s="1763">
        <v>0</v>
      </c>
      <c r="J279" s="1749">
        <v>5993.62</v>
      </c>
      <c r="K279" s="1749">
        <v>0</v>
      </c>
      <c r="L279" s="1749">
        <v>0</v>
      </c>
      <c r="M279" s="1749">
        <v>0</v>
      </c>
    </row>
    <row r="280" spans="2:13" ht="15" x14ac:dyDescent="0.2">
      <c r="B280" s="1732">
        <v>40334</v>
      </c>
      <c r="C280" s="1732" t="s">
        <v>1798</v>
      </c>
      <c r="D280" s="1733" t="s">
        <v>1799</v>
      </c>
      <c r="E280" s="1732" t="s">
        <v>1311</v>
      </c>
      <c r="F280" s="1732" t="s">
        <v>94</v>
      </c>
      <c r="G280" s="1735" t="s">
        <v>1300</v>
      </c>
      <c r="H280" s="1735" t="s">
        <v>1303</v>
      </c>
      <c r="I280" s="1763">
        <v>0</v>
      </c>
      <c r="J280" s="1749">
        <v>0</v>
      </c>
      <c r="K280" s="1749">
        <v>33984.18</v>
      </c>
      <c r="L280" s="1749">
        <v>33984.18</v>
      </c>
      <c r="M280" s="1749">
        <v>33984.18</v>
      </c>
    </row>
    <row r="281" spans="2:13" ht="15" x14ac:dyDescent="0.2">
      <c r="B281" s="1732">
        <v>40335</v>
      </c>
      <c r="C281" s="1732" t="s">
        <v>1800</v>
      </c>
      <c r="D281" s="1732" t="s">
        <v>1801</v>
      </c>
      <c r="E281" s="1732" t="s">
        <v>1316</v>
      </c>
      <c r="F281" s="1732" t="s">
        <v>94</v>
      </c>
      <c r="G281" s="1735" t="s">
        <v>1300</v>
      </c>
      <c r="H281" s="1735" t="s">
        <v>1303</v>
      </c>
      <c r="I281" s="1763">
        <v>52055.83</v>
      </c>
      <c r="J281" s="1749">
        <v>0</v>
      </c>
      <c r="K281" s="1749">
        <v>52055.839999999997</v>
      </c>
      <c r="L281" s="1749">
        <v>0</v>
      </c>
      <c r="M281" s="1749">
        <v>52055.840000000004</v>
      </c>
    </row>
    <row r="282" spans="2:13" ht="15" x14ac:dyDescent="0.2">
      <c r="B282" s="1732">
        <v>40338</v>
      </c>
      <c r="C282" s="1732" t="s">
        <v>1802</v>
      </c>
      <c r="D282" s="1732" t="s">
        <v>1803</v>
      </c>
      <c r="E282" s="1732" t="s">
        <v>1743</v>
      </c>
      <c r="F282" s="1732" t="s">
        <v>94</v>
      </c>
      <c r="G282" s="1735" t="s">
        <v>1325</v>
      </c>
      <c r="H282" s="1735" t="s">
        <v>1303</v>
      </c>
      <c r="I282" s="1763">
        <v>529990.67500000005</v>
      </c>
      <c r="J282" s="1749">
        <v>0</v>
      </c>
      <c r="K282" s="1749">
        <v>0</v>
      </c>
      <c r="L282" s="1749">
        <v>0</v>
      </c>
      <c r="M282" s="1749">
        <v>0</v>
      </c>
    </row>
    <row r="283" spans="2:13" ht="15" x14ac:dyDescent="0.2">
      <c r="B283" s="1732">
        <v>40339</v>
      </c>
      <c r="C283" s="1732" t="s">
        <v>1804</v>
      </c>
      <c r="D283" s="1733" t="s">
        <v>1805</v>
      </c>
      <c r="E283" s="1732" t="s">
        <v>1311</v>
      </c>
      <c r="F283" s="1732" t="s">
        <v>94</v>
      </c>
      <c r="G283" s="1735" t="s">
        <v>1300</v>
      </c>
      <c r="H283" s="1735" t="s">
        <v>1303</v>
      </c>
      <c r="I283" s="1763">
        <v>549666.45874999999</v>
      </c>
      <c r="J283" s="1749">
        <v>465691.77666666667</v>
      </c>
      <c r="K283" s="1749">
        <v>0</v>
      </c>
      <c r="L283" s="1749">
        <v>0</v>
      </c>
      <c r="M283" s="1749">
        <v>465691.77666666667</v>
      </c>
    </row>
    <row r="284" spans="2:13" ht="15" x14ac:dyDescent="0.2">
      <c r="B284" s="1732">
        <v>40859</v>
      </c>
      <c r="C284" s="1732" t="s">
        <v>1806</v>
      </c>
      <c r="D284" s="1732" t="s">
        <v>1806</v>
      </c>
      <c r="E284" s="1732" t="s">
        <v>825</v>
      </c>
      <c r="F284" s="1732" t="s">
        <v>94</v>
      </c>
      <c r="G284" s="1735" t="s">
        <v>1295</v>
      </c>
      <c r="H284" s="1735" t="s">
        <v>1303</v>
      </c>
      <c r="I284" s="1763">
        <v>0</v>
      </c>
      <c r="J284" s="1749">
        <v>0</v>
      </c>
      <c r="K284" s="1749">
        <v>0</v>
      </c>
      <c r="L284" s="1749">
        <v>0</v>
      </c>
      <c r="M284" s="1749">
        <v>0</v>
      </c>
    </row>
    <row r="285" spans="2:13" ht="15" x14ac:dyDescent="0.2">
      <c r="B285" s="1732">
        <v>10169</v>
      </c>
      <c r="C285" s="1732" t="s">
        <v>1807</v>
      </c>
      <c r="D285" s="1732" t="s">
        <v>1807</v>
      </c>
      <c r="E285" s="1732" t="s">
        <v>1335</v>
      </c>
      <c r="F285" s="1732" t="s">
        <v>94</v>
      </c>
      <c r="G285" s="1742" t="s">
        <v>1411</v>
      </c>
      <c r="H285" s="1735" t="s">
        <v>1303</v>
      </c>
      <c r="I285" s="1763">
        <v>0</v>
      </c>
      <c r="J285" s="1749">
        <v>0</v>
      </c>
      <c r="K285" s="1749">
        <v>0</v>
      </c>
      <c r="L285" s="1749">
        <v>0</v>
      </c>
      <c r="M285" s="1749">
        <v>0</v>
      </c>
    </row>
    <row r="286" spans="2:13" ht="15" x14ac:dyDescent="0.2">
      <c r="B286" s="1732">
        <v>59667</v>
      </c>
      <c r="C286" s="1732" t="s">
        <v>1808</v>
      </c>
      <c r="D286" s="1732" t="s">
        <v>1809</v>
      </c>
      <c r="E286" s="1732" t="s">
        <v>1335</v>
      </c>
      <c r="F286" s="1732" t="s">
        <v>94</v>
      </c>
      <c r="G286" s="1742" t="s">
        <v>1810</v>
      </c>
      <c r="H286" s="1735" t="s">
        <v>1303</v>
      </c>
      <c r="I286" s="1763">
        <v>0</v>
      </c>
      <c r="J286" s="1749">
        <v>0</v>
      </c>
      <c r="K286" s="1749">
        <v>0</v>
      </c>
      <c r="L286" s="1749">
        <v>0</v>
      </c>
      <c r="M286" s="1749">
        <v>0</v>
      </c>
    </row>
    <row r="287" spans="2:13" ht="15" x14ac:dyDescent="0.2">
      <c r="B287" s="1732">
        <v>110534</v>
      </c>
      <c r="C287" s="1732" t="s">
        <v>1811</v>
      </c>
      <c r="D287" s="1732" t="s">
        <v>1811</v>
      </c>
      <c r="E287" s="1732" t="s">
        <v>1335</v>
      </c>
      <c r="F287" s="1732" t="s">
        <v>94</v>
      </c>
      <c r="G287" s="1742" t="s">
        <v>1810</v>
      </c>
      <c r="H287" s="1735" t="s">
        <v>1303</v>
      </c>
      <c r="I287" s="1763">
        <v>0</v>
      </c>
      <c r="J287" s="1749">
        <v>679.40000000000009</v>
      </c>
      <c r="K287" s="1749">
        <v>0</v>
      </c>
      <c r="L287" s="1749">
        <v>0</v>
      </c>
      <c r="M287" s="1749">
        <v>0</v>
      </c>
    </row>
    <row r="288" spans="2:13" ht="15" x14ac:dyDescent="0.2">
      <c r="B288" s="1732">
        <v>10402</v>
      </c>
      <c r="C288" s="1732" t="s">
        <v>1812</v>
      </c>
      <c r="D288" s="1732" t="s">
        <v>1813</v>
      </c>
      <c r="E288" s="1732" t="s">
        <v>1335</v>
      </c>
      <c r="F288" s="1732" t="s">
        <v>94</v>
      </c>
      <c r="G288" s="1742" t="s">
        <v>1300</v>
      </c>
      <c r="H288" s="1735" t="s">
        <v>1303</v>
      </c>
      <c r="I288" s="1763">
        <v>0</v>
      </c>
      <c r="J288" s="1749">
        <v>24581.855742574258</v>
      </c>
      <c r="K288" s="1749">
        <v>0</v>
      </c>
      <c r="L288" s="1749">
        <v>25882.66</v>
      </c>
      <c r="M288" s="1749">
        <v>0</v>
      </c>
    </row>
    <row r="289" spans="2:13" ht="15" x14ac:dyDescent="0.2">
      <c r="B289" s="1732">
        <v>10416</v>
      </c>
      <c r="C289" s="1732" t="s">
        <v>1814</v>
      </c>
      <c r="D289" s="1732" t="s">
        <v>1815</v>
      </c>
      <c r="E289" s="1732" t="s">
        <v>1335</v>
      </c>
      <c r="F289" s="1732" t="s">
        <v>94</v>
      </c>
      <c r="G289" s="1742" t="s">
        <v>1325</v>
      </c>
      <c r="H289" s="1735" t="s">
        <v>1303</v>
      </c>
      <c r="I289" s="1763">
        <v>0</v>
      </c>
      <c r="J289" s="1749">
        <v>10015.464318181817</v>
      </c>
      <c r="K289" s="1749">
        <v>10015.318499999999</v>
      </c>
      <c r="L289" s="1749">
        <v>0</v>
      </c>
      <c r="M289" s="1749">
        <v>0</v>
      </c>
    </row>
    <row r="290" spans="2:13" ht="15" x14ac:dyDescent="0.2">
      <c r="B290" s="1732">
        <v>110533</v>
      </c>
      <c r="C290" s="1732" t="s">
        <v>1816</v>
      </c>
      <c r="D290" s="1732" t="s">
        <v>1817</v>
      </c>
      <c r="E290" s="1732" t="s">
        <v>1335</v>
      </c>
      <c r="F290" s="1732" t="s">
        <v>94</v>
      </c>
      <c r="G290" s="1742" t="s">
        <v>1810</v>
      </c>
      <c r="H290" s="1735" t="s">
        <v>1303</v>
      </c>
      <c r="I290" s="1763">
        <v>0</v>
      </c>
      <c r="J290" s="1749">
        <v>744.38</v>
      </c>
      <c r="K290" s="1749">
        <v>0</v>
      </c>
      <c r="L290" s="1749">
        <v>0</v>
      </c>
      <c r="M290" s="1749">
        <v>0</v>
      </c>
    </row>
    <row r="291" spans="2:13" ht="15" x14ac:dyDescent="0.2">
      <c r="B291" s="1752">
        <v>41472</v>
      </c>
      <c r="C291" s="1752" t="s">
        <v>1818</v>
      </c>
      <c r="D291" s="1752" t="s">
        <v>1819</v>
      </c>
      <c r="E291" s="1732" t="s">
        <v>1316</v>
      </c>
      <c r="F291" s="1732" t="s">
        <v>94</v>
      </c>
      <c r="G291" s="1735" t="s">
        <v>1300</v>
      </c>
      <c r="H291" s="1735" t="s">
        <v>1296</v>
      </c>
      <c r="I291" s="1763">
        <v>0</v>
      </c>
      <c r="J291" s="1749">
        <v>38874.92</v>
      </c>
      <c r="K291" s="1749">
        <v>39136.480000000003</v>
      </c>
      <c r="L291" s="1764">
        <f>K291</f>
        <v>39136.480000000003</v>
      </c>
      <c r="M291" s="1749">
        <v>44296.56</v>
      </c>
    </row>
    <row r="292" spans="2:13" ht="15" x14ac:dyDescent="0.2">
      <c r="B292" s="1735">
        <v>50510</v>
      </c>
      <c r="C292" s="1735" t="s">
        <v>1820</v>
      </c>
      <c r="D292" s="1735"/>
      <c r="E292" s="1732" t="s">
        <v>1294</v>
      </c>
      <c r="F292" s="1735" t="s">
        <v>94</v>
      </c>
      <c r="G292" s="1735" t="s">
        <v>1300</v>
      </c>
      <c r="H292" s="1735" t="s">
        <v>1303</v>
      </c>
      <c r="I292" s="1763">
        <v>0</v>
      </c>
      <c r="J292" s="1749">
        <v>0</v>
      </c>
      <c r="K292" s="1749">
        <v>0</v>
      </c>
      <c r="L292" s="1749">
        <v>0</v>
      </c>
      <c r="M292" s="1749">
        <v>0</v>
      </c>
    </row>
    <row r="293" spans="2:13" ht="15" x14ac:dyDescent="0.2">
      <c r="B293" s="1735">
        <v>50511</v>
      </c>
      <c r="C293" s="1735" t="s">
        <v>1821</v>
      </c>
      <c r="D293" s="1735"/>
      <c r="E293" s="1732" t="s">
        <v>1294</v>
      </c>
      <c r="F293" s="1735" t="s">
        <v>94</v>
      </c>
      <c r="G293" s="1735" t="s">
        <v>1300</v>
      </c>
      <c r="H293" s="1735" t="s">
        <v>1303</v>
      </c>
      <c r="I293" s="1763">
        <v>0</v>
      </c>
      <c r="J293" s="1749">
        <v>0</v>
      </c>
      <c r="K293" s="1749">
        <v>0</v>
      </c>
      <c r="L293" s="1749">
        <v>0</v>
      </c>
      <c r="M293" s="1749">
        <v>0</v>
      </c>
    </row>
    <row r="294" spans="2:13" ht="15" x14ac:dyDescent="0.2">
      <c r="B294" s="1735">
        <v>50512</v>
      </c>
      <c r="C294" s="1735" t="s">
        <v>1822</v>
      </c>
      <c r="D294" s="1735"/>
      <c r="E294" s="1732" t="s">
        <v>1294</v>
      </c>
      <c r="F294" s="1735" t="s">
        <v>94</v>
      </c>
      <c r="G294" s="1735" t="s">
        <v>1300</v>
      </c>
      <c r="H294" s="1735" t="s">
        <v>1303</v>
      </c>
      <c r="I294" s="1763">
        <v>0</v>
      </c>
      <c r="J294" s="1749">
        <v>0</v>
      </c>
      <c r="K294" s="1749">
        <v>0</v>
      </c>
      <c r="L294" s="1749">
        <v>0</v>
      </c>
      <c r="M294" s="1749">
        <v>0</v>
      </c>
    </row>
    <row r="295" spans="2:13" ht="15" x14ac:dyDescent="0.2">
      <c r="B295" s="1732">
        <v>50513</v>
      </c>
      <c r="C295" s="1732" t="s">
        <v>1823</v>
      </c>
      <c r="D295" s="1732" t="s">
        <v>1824</v>
      </c>
      <c r="E295" s="1732" t="s">
        <v>1294</v>
      </c>
      <c r="F295" s="1732" t="s">
        <v>94</v>
      </c>
      <c r="G295" s="1735" t="s">
        <v>1300</v>
      </c>
      <c r="H295" s="1735" t="s">
        <v>1303</v>
      </c>
      <c r="I295" s="1763">
        <v>0</v>
      </c>
      <c r="J295" s="1749">
        <v>1440739.9750000001</v>
      </c>
      <c r="K295" s="1749">
        <v>591126.5</v>
      </c>
      <c r="L295" s="1749">
        <v>0</v>
      </c>
      <c r="M295" s="1749">
        <v>0</v>
      </c>
    </row>
    <row r="296" spans="2:13" ht="15" x14ac:dyDescent="0.2">
      <c r="B296" s="1732">
        <v>50514</v>
      </c>
      <c r="C296" s="1732" t="s">
        <v>1825</v>
      </c>
      <c r="D296" s="1732" t="s">
        <v>1826</v>
      </c>
      <c r="E296" s="1732" t="s">
        <v>1294</v>
      </c>
      <c r="F296" s="1732" t="s">
        <v>94</v>
      </c>
      <c r="G296" s="1735" t="s">
        <v>1300</v>
      </c>
      <c r="H296" s="1735" t="s">
        <v>1303</v>
      </c>
      <c r="I296" s="1763">
        <v>0</v>
      </c>
      <c r="J296" s="1749">
        <v>473706.07</v>
      </c>
      <c r="K296" s="1749">
        <v>0</v>
      </c>
      <c r="L296" s="1749">
        <v>0</v>
      </c>
      <c r="M296" s="1749">
        <v>0</v>
      </c>
    </row>
    <row r="297" spans="2:13" ht="15" x14ac:dyDescent="0.2">
      <c r="B297" s="1732">
        <v>50515</v>
      </c>
      <c r="C297" s="1732" t="s">
        <v>1827</v>
      </c>
      <c r="D297" s="1732" t="s">
        <v>1828</v>
      </c>
      <c r="E297" s="1732" t="s">
        <v>1294</v>
      </c>
      <c r="F297" s="1732" t="s">
        <v>94</v>
      </c>
      <c r="G297" s="1735" t="s">
        <v>1300</v>
      </c>
      <c r="H297" s="1735" t="s">
        <v>1303</v>
      </c>
      <c r="I297" s="1763">
        <v>0</v>
      </c>
      <c r="J297" s="1749">
        <v>0</v>
      </c>
      <c r="K297" s="1749">
        <v>0</v>
      </c>
      <c r="L297" s="1749">
        <v>0</v>
      </c>
      <c r="M297" s="1749">
        <v>0</v>
      </c>
    </row>
    <row r="298" spans="2:13" ht="15" x14ac:dyDescent="0.2">
      <c r="B298" s="1732">
        <v>50516</v>
      </c>
      <c r="C298" s="1732" t="s">
        <v>1829</v>
      </c>
      <c r="D298" s="1732" t="s">
        <v>1830</v>
      </c>
      <c r="E298" s="1732" t="s">
        <v>1294</v>
      </c>
      <c r="F298" s="1732" t="s">
        <v>94</v>
      </c>
      <c r="G298" s="1735" t="s">
        <v>1300</v>
      </c>
      <c r="H298" s="1735" t="s">
        <v>1303</v>
      </c>
      <c r="I298" s="1763">
        <v>0</v>
      </c>
      <c r="J298" s="1749">
        <v>0</v>
      </c>
      <c r="K298" s="1749">
        <v>0</v>
      </c>
      <c r="L298" s="1749">
        <v>0</v>
      </c>
      <c r="M298" s="1749">
        <v>0</v>
      </c>
    </row>
    <row r="299" spans="2:13" ht="15" x14ac:dyDescent="0.2">
      <c r="B299" s="1732">
        <v>50517</v>
      </c>
      <c r="C299" s="1732" t="s">
        <v>1831</v>
      </c>
      <c r="D299" s="1732" t="s">
        <v>1832</v>
      </c>
      <c r="E299" s="1732" t="s">
        <v>1294</v>
      </c>
      <c r="F299" s="1732" t="s">
        <v>94</v>
      </c>
      <c r="G299" s="1735" t="s">
        <v>1300</v>
      </c>
      <c r="H299" s="1735" t="s">
        <v>1303</v>
      </c>
      <c r="I299" s="1763">
        <v>0</v>
      </c>
      <c r="J299" s="1749">
        <v>0</v>
      </c>
      <c r="K299" s="1749">
        <v>0</v>
      </c>
      <c r="L299" s="1749">
        <v>0</v>
      </c>
      <c r="M299" s="1749">
        <v>0</v>
      </c>
    </row>
    <row r="300" spans="2:13" ht="15" x14ac:dyDescent="0.2">
      <c r="B300" s="1732">
        <v>50518</v>
      </c>
      <c r="C300" s="1732" t="s">
        <v>1833</v>
      </c>
      <c r="D300" s="1732" t="s">
        <v>1834</v>
      </c>
      <c r="E300" s="1732" t="s">
        <v>1294</v>
      </c>
      <c r="F300" s="1732" t="s">
        <v>94</v>
      </c>
      <c r="G300" s="1735" t="s">
        <v>1300</v>
      </c>
      <c r="H300" s="1735" t="s">
        <v>1303</v>
      </c>
      <c r="I300" s="1763">
        <v>0</v>
      </c>
      <c r="J300" s="1749">
        <v>0</v>
      </c>
      <c r="K300" s="1749">
        <v>0</v>
      </c>
      <c r="L300" s="1749">
        <v>0</v>
      </c>
      <c r="M300" s="1749">
        <v>0</v>
      </c>
    </row>
    <row r="301" spans="2:13" ht="15" x14ac:dyDescent="0.2">
      <c r="B301" s="1732">
        <v>50519</v>
      </c>
      <c r="C301" s="1732" t="s">
        <v>1835</v>
      </c>
      <c r="D301" s="1732" t="s">
        <v>1836</v>
      </c>
      <c r="E301" s="1732" t="s">
        <v>1294</v>
      </c>
      <c r="F301" s="1732" t="s">
        <v>94</v>
      </c>
      <c r="G301" s="1735" t="s">
        <v>1300</v>
      </c>
      <c r="H301" s="1735" t="s">
        <v>1303</v>
      </c>
      <c r="I301" s="1763">
        <v>0</v>
      </c>
      <c r="J301" s="1749">
        <v>1512045.625</v>
      </c>
      <c r="K301" s="1749">
        <v>0</v>
      </c>
      <c r="L301" s="1749">
        <v>0</v>
      </c>
      <c r="M301" s="1749">
        <v>0</v>
      </c>
    </row>
    <row r="302" spans="2:13" ht="15" x14ac:dyDescent="0.2">
      <c r="B302" s="1732">
        <v>50520</v>
      </c>
      <c r="C302" s="1732" t="s">
        <v>1837</v>
      </c>
      <c r="D302" s="1732" t="s">
        <v>1838</v>
      </c>
      <c r="E302" s="1732" t="s">
        <v>1294</v>
      </c>
      <c r="F302" s="1732" t="s">
        <v>94</v>
      </c>
      <c r="G302" s="1735" t="s">
        <v>1300</v>
      </c>
      <c r="H302" s="1735" t="s">
        <v>1303</v>
      </c>
      <c r="I302" s="1763">
        <v>0</v>
      </c>
      <c r="J302" s="1749">
        <v>0</v>
      </c>
      <c r="K302" s="1749">
        <v>0</v>
      </c>
      <c r="L302" s="1749">
        <v>0</v>
      </c>
      <c r="M302" s="1749">
        <v>0</v>
      </c>
    </row>
    <row r="303" spans="2:13" ht="15" x14ac:dyDescent="0.2">
      <c r="B303" s="1732">
        <v>50521</v>
      </c>
      <c r="C303" s="1732" t="s">
        <v>1839</v>
      </c>
      <c r="D303" s="1732" t="s">
        <v>1840</v>
      </c>
      <c r="E303" s="1732" t="s">
        <v>1294</v>
      </c>
      <c r="F303" s="1732" t="s">
        <v>94</v>
      </c>
      <c r="G303" s="1735" t="s">
        <v>1300</v>
      </c>
      <c r="H303" s="1735" t="s">
        <v>1303</v>
      </c>
      <c r="I303" s="1763">
        <v>0</v>
      </c>
      <c r="J303" s="1749">
        <v>0</v>
      </c>
      <c r="K303" s="1749">
        <v>0</v>
      </c>
      <c r="L303" s="1749">
        <v>0</v>
      </c>
      <c r="M303" s="1749">
        <v>0</v>
      </c>
    </row>
    <row r="304" spans="2:13" ht="15" x14ac:dyDescent="0.2">
      <c r="B304" s="1752">
        <v>52541</v>
      </c>
      <c r="C304" s="1752" t="s">
        <v>1841</v>
      </c>
      <c r="D304" s="1753" t="s">
        <v>1842</v>
      </c>
      <c r="E304" s="1732" t="s">
        <v>162</v>
      </c>
      <c r="F304" s="1732" t="s">
        <v>94</v>
      </c>
      <c r="G304" s="1735" t="s">
        <v>1300</v>
      </c>
      <c r="H304" s="1735" t="s">
        <v>1303</v>
      </c>
      <c r="I304" s="1763">
        <v>1220149.98</v>
      </c>
      <c r="J304" s="1749">
        <v>1068633.72</v>
      </c>
      <c r="K304" s="1749">
        <v>1123603.3799999999</v>
      </c>
      <c r="L304" s="1764">
        <f>K304</f>
        <v>1123603.3799999999</v>
      </c>
      <c r="M304" s="1764">
        <f>L304</f>
        <v>1123603.3799999999</v>
      </c>
    </row>
    <row r="305" spans="2:13" ht="15" x14ac:dyDescent="0.2">
      <c r="B305" s="1752">
        <v>52542</v>
      </c>
      <c r="C305" s="1752" t="s">
        <v>1843</v>
      </c>
      <c r="D305" s="1753" t="s">
        <v>1844</v>
      </c>
      <c r="E305" s="1732" t="s">
        <v>162</v>
      </c>
      <c r="F305" s="1732" t="s">
        <v>94</v>
      </c>
      <c r="G305" s="1735" t="s">
        <v>1300</v>
      </c>
      <c r="H305" s="1735" t="s">
        <v>1303</v>
      </c>
      <c r="I305" s="1763">
        <v>0</v>
      </c>
      <c r="J305" s="1764">
        <f>K305</f>
        <v>1413994.5859999999</v>
      </c>
      <c r="K305" s="1749">
        <v>1413994.5859999999</v>
      </c>
      <c r="L305" s="1764">
        <f>K305</f>
        <v>1413994.5859999999</v>
      </c>
      <c r="M305" s="1764">
        <f>L305</f>
        <v>1413994.5859999999</v>
      </c>
    </row>
    <row r="306" spans="2:13" ht="15" x14ac:dyDescent="0.2">
      <c r="B306" s="1752">
        <v>52543</v>
      </c>
      <c r="C306" s="1752" t="s">
        <v>1845</v>
      </c>
      <c r="D306" s="1753" t="s">
        <v>1846</v>
      </c>
      <c r="E306" s="1732" t="s">
        <v>162</v>
      </c>
      <c r="F306" s="1732" t="s">
        <v>94</v>
      </c>
      <c r="G306" s="1735" t="s">
        <v>1300</v>
      </c>
      <c r="H306" s="1735" t="s">
        <v>1303</v>
      </c>
      <c r="I306" s="1763">
        <v>0</v>
      </c>
      <c r="J306" s="1764">
        <f>L306</f>
        <v>1863890.11</v>
      </c>
      <c r="K306" s="1764">
        <f>L306</f>
        <v>1863890.11</v>
      </c>
      <c r="L306" s="1749">
        <v>1863890.11</v>
      </c>
      <c r="M306" s="1764">
        <f>L306</f>
        <v>1863890.11</v>
      </c>
    </row>
    <row r="307" spans="2:13" ht="15" x14ac:dyDescent="0.2">
      <c r="B307" s="1752">
        <v>52582</v>
      </c>
      <c r="C307" s="1752" t="s">
        <v>1847</v>
      </c>
      <c r="D307" s="1753" t="s">
        <v>1848</v>
      </c>
      <c r="E307" s="1732" t="s">
        <v>162</v>
      </c>
      <c r="F307" s="1732" t="s">
        <v>94</v>
      </c>
      <c r="G307" s="1735" t="s">
        <v>1300</v>
      </c>
      <c r="H307" s="1735" t="s">
        <v>1303</v>
      </c>
      <c r="I307" s="1763">
        <v>1948915.5149999999</v>
      </c>
      <c r="J307" s="1749">
        <v>2029318.3499999999</v>
      </c>
      <c r="K307" s="1749">
        <v>1960263.7427272729</v>
      </c>
      <c r="L307" s="1749">
        <v>1955126.1</v>
      </c>
      <c r="M307" s="1764">
        <f>L307</f>
        <v>1955126.1</v>
      </c>
    </row>
    <row r="308" spans="2:13" ht="15" x14ac:dyDescent="0.2">
      <c r="B308" s="1732">
        <v>53303</v>
      </c>
      <c r="C308" s="1732" t="s">
        <v>1849</v>
      </c>
      <c r="D308" s="1733" t="s">
        <v>1850</v>
      </c>
      <c r="E308" s="1732" t="s">
        <v>1714</v>
      </c>
      <c r="F308" s="1732" t="s">
        <v>94</v>
      </c>
      <c r="G308" s="1735" t="s">
        <v>1300</v>
      </c>
      <c r="H308" s="1735" t="s">
        <v>1303</v>
      </c>
      <c r="I308" s="1763">
        <v>0</v>
      </c>
      <c r="J308" s="1749">
        <v>0</v>
      </c>
      <c r="K308" s="1749">
        <v>3214.5847297297296</v>
      </c>
      <c r="L308" s="1749">
        <v>0</v>
      </c>
      <c r="M308" s="1749">
        <v>3416.2999999999997</v>
      </c>
    </row>
    <row r="309" spans="2:13" ht="15" x14ac:dyDescent="0.2">
      <c r="B309" s="1732">
        <v>53304</v>
      </c>
      <c r="C309" s="1732" t="s">
        <v>1851</v>
      </c>
      <c r="D309" s="1733" t="s">
        <v>1852</v>
      </c>
      <c r="E309" s="1732" t="s">
        <v>1714</v>
      </c>
      <c r="F309" s="1732" t="s">
        <v>94</v>
      </c>
      <c r="G309" s="1735" t="s">
        <v>1300</v>
      </c>
      <c r="H309" s="1735" t="s">
        <v>1303</v>
      </c>
      <c r="I309" s="1763">
        <v>12144.0735</v>
      </c>
      <c r="J309" s="1749">
        <v>5206.5700000000006</v>
      </c>
      <c r="K309" s="1749">
        <v>9060.7385443037965</v>
      </c>
      <c r="L309" s="1749">
        <v>0</v>
      </c>
      <c r="M309" s="1749">
        <v>12144.073181818181</v>
      </c>
    </row>
    <row r="310" spans="2:13" ht="15" x14ac:dyDescent="0.2">
      <c r="B310" s="1732">
        <v>58981</v>
      </c>
      <c r="C310" s="1732" t="s">
        <v>1853</v>
      </c>
      <c r="D310" s="1733" t="s">
        <v>1854</v>
      </c>
      <c r="E310" s="1732" t="s">
        <v>1544</v>
      </c>
      <c r="F310" s="1732" t="s">
        <v>94</v>
      </c>
      <c r="G310" s="1735" t="s">
        <v>1300</v>
      </c>
      <c r="H310" s="1735" t="s">
        <v>1303</v>
      </c>
      <c r="I310" s="1763">
        <v>531.17999999999995</v>
      </c>
      <c r="J310" s="1749">
        <v>0</v>
      </c>
      <c r="K310" s="1749">
        <v>0</v>
      </c>
      <c r="L310" s="1749">
        <v>0</v>
      </c>
      <c r="M310" s="1749">
        <v>0</v>
      </c>
    </row>
    <row r="311" spans="2:13" ht="15" x14ac:dyDescent="0.2">
      <c r="B311" s="1732">
        <v>58982</v>
      </c>
      <c r="C311" s="1732" t="s">
        <v>1855</v>
      </c>
      <c r="D311" s="1733" t="s">
        <v>1856</v>
      </c>
      <c r="E311" s="1732" t="s">
        <v>1544</v>
      </c>
      <c r="F311" s="1732" t="s">
        <v>94</v>
      </c>
      <c r="G311" s="1735" t="s">
        <v>1300</v>
      </c>
      <c r="H311" s="1735" t="s">
        <v>1303</v>
      </c>
      <c r="I311" s="1763">
        <v>0</v>
      </c>
      <c r="J311" s="1749">
        <v>0</v>
      </c>
      <c r="K311" s="1749">
        <v>0</v>
      </c>
      <c r="L311" s="1749">
        <v>0</v>
      </c>
      <c r="M311" s="1749">
        <v>0</v>
      </c>
    </row>
    <row r="312" spans="2:13" ht="15" x14ac:dyDescent="0.2">
      <c r="B312" s="1732">
        <v>58984</v>
      </c>
      <c r="C312" s="1732" t="s">
        <v>1857</v>
      </c>
      <c r="D312" s="1733" t="s">
        <v>1858</v>
      </c>
      <c r="E312" s="1732" t="s">
        <v>1544</v>
      </c>
      <c r="F312" s="1732" t="s">
        <v>94</v>
      </c>
      <c r="G312" s="1735" t="s">
        <v>1300</v>
      </c>
      <c r="H312" s="1735" t="s">
        <v>1303</v>
      </c>
      <c r="I312" s="1763">
        <v>817.2</v>
      </c>
      <c r="J312" s="1749">
        <v>0</v>
      </c>
      <c r="K312" s="1749">
        <v>0</v>
      </c>
      <c r="L312" s="1749">
        <v>0</v>
      </c>
      <c r="M312" s="1749">
        <v>0</v>
      </c>
    </row>
    <row r="313" spans="2:13" ht="15" x14ac:dyDescent="0.2">
      <c r="B313" s="1732">
        <v>58985</v>
      </c>
      <c r="C313" s="1732" t="s">
        <v>1859</v>
      </c>
      <c r="D313" s="1732" t="s">
        <v>1860</v>
      </c>
      <c r="E313" s="1732" t="s">
        <v>1544</v>
      </c>
      <c r="F313" s="1732" t="s">
        <v>94</v>
      </c>
      <c r="G313" s="1735" t="s">
        <v>1300</v>
      </c>
      <c r="H313" s="1735" t="s">
        <v>1303</v>
      </c>
      <c r="I313" s="1763">
        <v>1225.8</v>
      </c>
      <c r="J313" s="1749">
        <v>0</v>
      </c>
      <c r="K313" s="1749">
        <v>0</v>
      </c>
      <c r="L313" s="1749">
        <v>0</v>
      </c>
      <c r="M313" s="1749">
        <v>0</v>
      </c>
    </row>
    <row r="314" spans="2:13" ht="15" x14ac:dyDescent="0.2">
      <c r="B314" s="1732">
        <v>58986</v>
      </c>
      <c r="C314" s="1732" t="s">
        <v>1861</v>
      </c>
      <c r="D314" s="1733" t="s">
        <v>1862</v>
      </c>
      <c r="E314" s="1732" t="s">
        <v>1544</v>
      </c>
      <c r="F314" s="1732" t="s">
        <v>94</v>
      </c>
      <c r="G314" s="1735" t="s">
        <v>1300</v>
      </c>
      <c r="H314" s="1735" t="s">
        <v>1303</v>
      </c>
      <c r="I314" s="1763">
        <v>0</v>
      </c>
      <c r="J314" s="1749">
        <v>0</v>
      </c>
      <c r="K314" s="1749">
        <v>0</v>
      </c>
      <c r="L314" s="1749">
        <v>0</v>
      </c>
      <c r="M314" s="1749">
        <v>0</v>
      </c>
    </row>
    <row r="315" spans="2:13" ht="15" x14ac:dyDescent="0.2">
      <c r="B315" s="1732">
        <v>58988</v>
      </c>
      <c r="C315" s="1732" t="s">
        <v>1863</v>
      </c>
      <c r="D315" s="1732" t="s">
        <v>1864</v>
      </c>
      <c r="E315" s="1732" t="s">
        <v>1544</v>
      </c>
      <c r="F315" s="1732" t="s">
        <v>94</v>
      </c>
      <c r="G315" s="1735" t="s">
        <v>1300</v>
      </c>
      <c r="H315" s="1735" t="s">
        <v>1303</v>
      </c>
      <c r="I315" s="1763">
        <v>809.17000000000007</v>
      </c>
      <c r="J315" s="1749">
        <v>809.17000000000007</v>
      </c>
      <c r="K315" s="1749">
        <v>0</v>
      </c>
      <c r="L315" s="1749">
        <v>0</v>
      </c>
      <c r="M315" s="1749">
        <v>0</v>
      </c>
    </row>
    <row r="316" spans="2:13" ht="15" x14ac:dyDescent="0.2">
      <c r="B316" s="1732">
        <v>58989</v>
      </c>
      <c r="C316" s="1732" t="s">
        <v>1865</v>
      </c>
      <c r="D316" s="1732" t="s">
        <v>1866</v>
      </c>
      <c r="E316" s="1732" t="s">
        <v>1544</v>
      </c>
      <c r="F316" s="1732" t="s">
        <v>94</v>
      </c>
      <c r="G316" s="1735" t="s">
        <v>1300</v>
      </c>
      <c r="H316" s="1735" t="s">
        <v>1303</v>
      </c>
      <c r="I316" s="1763">
        <v>1040.3599999999999</v>
      </c>
      <c r="J316" s="1749">
        <v>0</v>
      </c>
      <c r="K316" s="1749">
        <v>0</v>
      </c>
      <c r="L316" s="1749">
        <v>0</v>
      </c>
      <c r="M316" s="1749">
        <v>0</v>
      </c>
    </row>
    <row r="317" spans="2:13" ht="15" x14ac:dyDescent="0.2">
      <c r="B317" s="1732">
        <v>59201</v>
      </c>
      <c r="C317" s="1732" t="s">
        <v>1867</v>
      </c>
      <c r="D317" s="1733" t="s">
        <v>1868</v>
      </c>
      <c r="E317" s="1732" t="s">
        <v>1544</v>
      </c>
      <c r="F317" s="1732" t="s">
        <v>94</v>
      </c>
      <c r="G317" s="1735" t="s">
        <v>1300</v>
      </c>
      <c r="H317" s="1735" t="s">
        <v>1303</v>
      </c>
      <c r="I317" s="1763">
        <v>531.17999999999995</v>
      </c>
      <c r="J317" s="1749">
        <v>0</v>
      </c>
      <c r="K317" s="1749">
        <v>0</v>
      </c>
      <c r="L317" s="1749">
        <v>0</v>
      </c>
      <c r="M317" s="1749">
        <v>0</v>
      </c>
    </row>
    <row r="318" spans="2:13" ht="15" x14ac:dyDescent="0.2">
      <c r="B318" s="1732">
        <v>59202</v>
      </c>
      <c r="C318" s="1732" t="s">
        <v>1869</v>
      </c>
      <c r="D318" s="1733" t="s">
        <v>1870</v>
      </c>
      <c r="E318" s="1732" t="s">
        <v>1544</v>
      </c>
      <c r="F318" s="1732" t="s">
        <v>94</v>
      </c>
      <c r="G318" s="1735" t="s">
        <v>1300</v>
      </c>
      <c r="H318" s="1735" t="s">
        <v>1303</v>
      </c>
      <c r="I318" s="1763">
        <v>0</v>
      </c>
      <c r="J318" s="1749">
        <v>0</v>
      </c>
      <c r="K318" s="1749">
        <v>0</v>
      </c>
      <c r="L318" s="1749">
        <v>0</v>
      </c>
      <c r="M318" s="1749">
        <v>0</v>
      </c>
    </row>
    <row r="319" spans="2:13" ht="15" x14ac:dyDescent="0.2">
      <c r="B319" s="1732">
        <v>59203</v>
      </c>
      <c r="C319" s="1732" t="s">
        <v>1871</v>
      </c>
      <c r="D319" s="1733" t="s">
        <v>1872</v>
      </c>
      <c r="E319" s="1732" t="s">
        <v>1544</v>
      </c>
      <c r="F319" s="1732" t="s">
        <v>94</v>
      </c>
      <c r="G319" s="1735" t="s">
        <v>1300</v>
      </c>
      <c r="H319" s="1735" t="s">
        <v>1303</v>
      </c>
      <c r="I319" s="1763">
        <v>0</v>
      </c>
      <c r="J319" s="1749">
        <v>0</v>
      </c>
      <c r="K319" s="1749">
        <v>0</v>
      </c>
      <c r="L319" s="1749">
        <v>0</v>
      </c>
      <c r="M319" s="1749">
        <v>0</v>
      </c>
    </row>
    <row r="320" spans="2:13" ht="15" x14ac:dyDescent="0.2">
      <c r="B320" s="1732">
        <v>59204</v>
      </c>
      <c r="C320" s="1732" t="s">
        <v>1873</v>
      </c>
      <c r="D320" s="1733" t="s">
        <v>1874</v>
      </c>
      <c r="E320" s="1732" t="s">
        <v>1544</v>
      </c>
      <c r="F320" s="1732" t="s">
        <v>94</v>
      </c>
      <c r="G320" s="1735" t="s">
        <v>1300</v>
      </c>
      <c r="H320" s="1735" t="s">
        <v>1303</v>
      </c>
      <c r="I320" s="1763">
        <v>1225.8</v>
      </c>
      <c r="J320" s="1749">
        <v>0</v>
      </c>
      <c r="K320" s="1749">
        <v>0</v>
      </c>
      <c r="L320" s="1749">
        <v>0</v>
      </c>
      <c r="M320" s="1749">
        <v>1225.8</v>
      </c>
    </row>
    <row r="321" spans="2:13" ht="15" x14ac:dyDescent="0.2">
      <c r="B321" s="1732">
        <v>59205</v>
      </c>
      <c r="C321" s="1732" t="s">
        <v>1875</v>
      </c>
      <c r="D321" s="1733" t="s">
        <v>1876</v>
      </c>
      <c r="E321" s="1732" t="s">
        <v>1544</v>
      </c>
      <c r="F321" s="1732" t="s">
        <v>94</v>
      </c>
      <c r="G321" s="1735" t="s">
        <v>1300</v>
      </c>
      <c r="H321" s="1735" t="s">
        <v>1303</v>
      </c>
      <c r="I321" s="1763">
        <v>0</v>
      </c>
      <c r="J321" s="1749">
        <v>0</v>
      </c>
      <c r="K321" s="1749">
        <v>1552.6799999999998</v>
      </c>
      <c r="L321" s="1749">
        <v>0</v>
      </c>
      <c r="M321" s="1749">
        <v>0</v>
      </c>
    </row>
    <row r="322" spans="2:13" ht="15" x14ac:dyDescent="0.2">
      <c r="B322" s="1732">
        <v>59206</v>
      </c>
      <c r="C322" s="1732" t="s">
        <v>1877</v>
      </c>
      <c r="D322" s="1732" t="s">
        <v>1878</v>
      </c>
      <c r="E322" s="1732" t="s">
        <v>1544</v>
      </c>
      <c r="F322" s="1732" t="s">
        <v>94</v>
      </c>
      <c r="G322" s="1735" t="s">
        <v>1300</v>
      </c>
      <c r="H322" s="1735" t="s">
        <v>1303</v>
      </c>
      <c r="I322" s="1763">
        <v>809.17000000000007</v>
      </c>
      <c r="J322" s="1749">
        <v>809.17</v>
      </c>
      <c r="K322" s="1749">
        <v>0</v>
      </c>
      <c r="L322" s="1749">
        <v>0</v>
      </c>
      <c r="M322" s="1749">
        <v>0</v>
      </c>
    </row>
    <row r="323" spans="2:13" ht="15" x14ac:dyDescent="0.2">
      <c r="B323" s="1732">
        <v>59207</v>
      </c>
      <c r="C323" s="1732" t="s">
        <v>1879</v>
      </c>
      <c r="D323" s="1732" t="s">
        <v>1880</v>
      </c>
      <c r="E323" s="1732" t="s">
        <v>1544</v>
      </c>
      <c r="F323" s="1732" t="s">
        <v>94</v>
      </c>
      <c r="G323" s="1735" t="s">
        <v>1300</v>
      </c>
      <c r="H323" s="1735" t="s">
        <v>1303</v>
      </c>
      <c r="I323" s="1763">
        <v>809.17000000000007</v>
      </c>
      <c r="J323" s="1749">
        <v>0</v>
      </c>
      <c r="K323" s="1749">
        <v>0</v>
      </c>
      <c r="L323" s="1749">
        <v>0</v>
      </c>
      <c r="M323" s="1749">
        <v>0</v>
      </c>
    </row>
    <row r="324" spans="2:13" ht="15" x14ac:dyDescent="0.2">
      <c r="B324" s="1732">
        <v>10421</v>
      </c>
      <c r="C324" s="1732" t="s">
        <v>1881</v>
      </c>
      <c r="D324" s="1732" t="s">
        <v>1881</v>
      </c>
      <c r="E324" s="1732" t="s">
        <v>1335</v>
      </c>
      <c r="F324" s="1732" t="s">
        <v>94</v>
      </c>
      <c r="G324" s="1742" t="s">
        <v>1517</v>
      </c>
      <c r="H324" s="1735" t="s">
        <v>1303</v>
      </c>
      <c r="I324" s="1763">
        <v>0</v>
      </c>
      <c r="J324" s="1749">
        <v>5422.44</v>
      </c>
      <c r="K324" s="1749">
        <v>4800.6528571428571</v>
      </c>
      <c r="L324" s="1749">
        <v>4925.0111111111109</v>
      </c>
      <c r="M324" s="1749">
        <v>0</v>
      </c>
    </row>
    <row r="325" spans="2:13" ht="15" x14ac:dyDescent="0.2">
      <c r="B325" s="1732">
        <v>40216</v>
      </c>
      <c r="C325" s="1732" t="s">
        <v>1882</v>
      </c>
      <c r="D325" s="1732" t="s">
        <v>1883</v>
      </c>
      <c r="E325" s="1732" t="s">
        <v>1335</v>
      </c>
      <c r="F325" s="1732" t="s">
        <v>94</v>
      </c>
      <c r="G325" s="1742" t="s">
        <v>1884</v>
      </c>
      <c r="H325" s="1735" t="s">
        <v>1303</v>
      </c>
      <c r="I325" s="1763">
        <v>0</v>
      </c>
      <c r="J325" s="1749">
        <v>7363.1974242424249</v>
      </c>
      <c r="K325" s="1749">
        <v>5958.5</v>
      </c>
      <c r="L325" s="1749">
        <v>0</v>
      </c>
      <c r="M325" s="1749">
        <v>0</v>
      </c>
    </row>
    <row r="326" spans="2:13" ht="15" x14ac:dyDescent="0.2">
      <c r="B326" s="1732">
        <v>10776</v>
      </c>
      <c r="C326" s="1732" t="s">
        <v>1885</v>
      </c>
      <c r="D326" s="1732" t="s">
        <v>1886</v>
      </c>
      <c r="E326" s="1732" t="s">
        <v>1335</v>
      </c>
      <c r="F326" s="1732" t="s">
        <v>94</v>
      </c>
      <c r="G326" s="1742" t="s">
        <v>1300</v>
      </c>
      <c r="H326" s="1735" t="s">
        <v>1303</v>
      </c>
      <c r="I326" s="1763">
        <v>0</v>
      </c>
      <c r="J326" s="1749">
        <v>16767.13</v>
      </c>
      <c r="K326" s="1749">
        <v>0</v>
      </c>
      <c r="L326" s="1749">
        <v>0</v>
      </c>
      <c r="M326" s="1749">
        <v>0</v>
      </c>
    </row>
    <row r="327" spans="2:13" ht="15" x14ac:dyDescent="0.2">
      <c r="B327" s="1732">
        <v>59666</v>
      </c>
      <c r="C327" s="1732" t="s">
        <v>1887</v>
      </c>
      <c r="D327" s="1732" t="s">
        <v>1888</v>
      </c>
      <c r="E327" s="1732" t="s">
        <v>1335</v>
      </c>
      <c r="F327" s="1732" t="s">
        <v>94</v>
      </c>
      <c r="G327" s="1742" t="s">
        <v>1810</v>
      </c>
      <c r="H327" s="1735" t="s">
        <v>1303</v>
      </c>
      <c r="I327" s="1763">
        <v>0</v>
      </c>
      <c r="J327" s="1749">
        <v>0</v>
      </c>
      <c r="K327" s="1749">
        <v>0</v>
      </c>
      <c r="L327" s="1749">
        <v>0</v>
      </c>
      <c r="M327" s="1749">
        <v>0</v>
      </c>
    </row>
    <row r="328" spans="2:13" ht="15" x14ac:dyDescent="0.2">
      <c r="B328" s="1732">
        <v>65406</v>
      </c>
      <c r="C328" s="1732" t="s">
        <v>1889</v>
      </c>
      <c r="D328" s="1732" t="s">
        <v>1890</v>
      </c>
      <c r="E328" s="1732" t="s">
        <v>1335</v>
      </c>
      <c r="F328" s="1732" t="s">
        <v>94</v>
      </c>
      <c r="G328" s="1741" t="s">
        <v>1337</v>
      </c>
      <c r="H328" s="1741" t="s">
        <v>1303</v>
      </c>
      <c r="I328" s="1763">
        <v>0</v>
      </c>
      <c r="J328" s="1749">
        <v>0</v>
      </c>
      <c r="K328" s="1749">
        <v>0</v>
      </c>
      <c r="L328" s="1749">
        <v>0</v>
      </c>
      <c r="M328" s="1749">
        <v>0</v>
      </c>
    </row>
    <row r="329" spans="2:13" ht="15" x14ac:dyDescent="0.2">
      <c r="B329" s="1732">
        <v>110874</v>
      </c>
      <c r="C329" s="1732" t="s">
        <v>1891</v>
      </c>
      <c r="D329" s="1732" t="s">
        <v>1891</v>
      </c>
      <c r="E329" s="1732" t="s">
        <v>1335</v>
      </c>
      <c r="F329" s="1732" t="s">
        <v>94</v>
      </c>
      <c r="G329" s="1742" t="s">
        <v>1892</v>
      </c>
      <c r="H329" s="1735" t="s">
        <v>1296</v>
      </c>
      <c r="I329" s="1763">
        <v>0</v>
      </c>
      <c r="J329" s="1749">
        <v>0</v>
      </c>
      <c r="K329" s="1749">
        <v>0</v>
      </c>
      <c r="L329" s="1749">
        <v>0</v>
      </c>
      <c r="M329" s="1749">
        <v>0</v>
      </c>
    </row>
    <row r="330" spans="2:13" ht="15" x14ac:dyDescent="0.2">
      <c r="B330" s="1732">
        <v>10569</v>
      </c>
      <c r="C330" s="1732" t="s">
        <v>1893</v>
      </c>
      <c r="D330" s="1732" t="s">
        <v>1894</v>
      </c>
      <c r="E330" s="1732" t="s">
        <v>1335</v>
      </c>
      <c r="F330" s="1732" t="s">
        <v>94</v>
      </c>
      <c r="G330" s="1741" t="s">
        <v>1337</v>
      </c>
      <c r="H330" s="1741" t="s">
        <v>1303</v>
      </c>
      <c r="I330" s="1763">
        <v>0</v>
      </c>
      <c r="J330" s="1749">
        <v>0</v>
      </c>
      <c r="K330" s="1749">
        <v>0</v>
      </c>
      <c r="L330" s="1749">
        <v>0</v>
      </c>
      <c r="M330" s="1749">
        <v>0</v>
      </c>
    </row>
    <row r="331" spans="2:13" ht="15" x14ac:dyDescent="0.2">
      <c r="B331" s="1732">
        <v>10567</v>
      </c>
      <c r="C331" s="1732" t="s">
        <v>1895</v>
      </c>
      <c r="D331" s="1732" t="s">
        <v>1895</v>
      </c>
      <c r="E331" s="1732" t="s">
        <v>1335</v>
      </c>
      <c r="F331" s="1732" t="s">
        <v>94</v>
      </c>
      <c r="G331" s="1742" t="s">
        <v>1461</v>
      </c>
      <c r="H331" s="1735" t="s">
        <v>1303</v>
      </c>
      <c r="I331" s="1763">
        <v>0</v>
      </c>
      <c r="J331" s="1749">
        <v>3302.6</v>
      </c>
      <c r="K331" s="1749">
        <v>0</v>
      </c>
      <c r="L331" s="1749">
        <v>0</v>
      </c>
      <c r="M331" s="1749">
        <v>0</v>
      </c>
    </row>
    <row r="332" spans="2:13" ht="15" x14ac:dyDescent="0.2">
      <c r="B332" s="1732">
        <v>62804</v>
      </c>
      <c r="C332" s="1732" t="s">
        <v>1896</v>
      </c>
      <c r="D332" s="1732" t="s">
        <v>1897</v>
      </c>
      <c r="E332" s="1732" t="s">
        <v>1335</v>
      </c>
      <c r="F332" s="1732" t="s">
        <v>94</v>
      </c>
      <c r="G332" s="1742" t="s">
        <v>1346</v>
      </c>
      <c r="H332" s="1735" t="s">
        <v>1303</v>
      </c>
      <c r="I332" s="1763">
        <v>0</v>
      </c>
      <c r="J332" s="1749">
        <v>0</v>
      </c>
      <c r="K332" s="1749">
        <v>0</v>
      </c>
      <c r="L332" s="1749">
        <v>0</v>
      </c>
      <c r="M332" s="1749">
        <v>0</v>
      </c>
    </row>
    <row r="333" spans="2:13" ht="15" x14ac:dyDescent="0.2">
      <c r="B333" s="1732">
        <v>62827</v>
      </c>
      <c r="C333" s="1732" t="s">
        <v>1898</v>
      </c>
      <c r="D333" s="1732" t="s">
        <v>1899</v>
      </c>
      <c r="E333" s="1732" t="s">
        <v>1335</v>
      </c>
      <c r="F333" s="1732" t="s">
        <v>94</v>
      </c>
      <c r="G333" s="1741" t="s">
        <v>1337</v>
      </c>
      <c r="H333" s="1741" t="s">
        <v>1303</v>
      </c>
      <c r="I333" s="1763">
        <v>0</v>
      </c>
      <c r="J333" s="1749">
        <v>0</v>
      </c>
      <c r="K333" s="1749">
        <v>0</v>
      </c>
      <c r="L333" s="1749">
        <v>0</v>
      </c>
      <c r="M333" s="1749">
        <v>0</v>
      </c>
    </row>
    <row r="334" spans="2:13" ht="15" x14ac:dyDescent="0.2">
      <c r="B334" s="1732">
        <v>41279</v>
      </c>
      <c r="C334" s="1732" t="s">
        <v>1900</v>
      </c>
      <c r="D334" s="1732" t="s">
        <v>1901</v>
      </c>
      <c r="E334" s="1732" t="s">
        <v>1335</v>
      </c>
      <c r="F334" s="1732" t="s">
        <v>94</v>
      </c>
      <c r="G334" s="1742" t="s">
        <v>1300</v>
      </c>
      <c r="H334" s="1735" t="s">
        <v>1303</v>
      </c>
      <c r="I334" s="1763">
        <v>0</v>
      </c>
      <c r="J334" s="1749">
        <v>0</v>
      </c>
      <c r="K334" s="1749">
        <v>852.31000000000006</v>
      </c>
      <c r="L334" s="1749">
        <v>0</v>
      </c>
      <c r="M334" s="1749">
        <v>850.68999999999994</v>
      </c>
    </row>
    <row r="335" spans="2:13" ht="15" x14ac:dyDescent="0.2">
      <c r="B335" s="1732">
        <v>41280</v>
      </c>
      <c r="C335" s="1732" t="s">
        <v>1902</v>
      </c>
      <c r="D335" s="1732" t="s">
        <v>1903</v>
      </c>
      <c r="E335" s="1732" t="s">
        <v>1335</v>
      </c>
      <c r="F335" s="1732" t="s">
        <v>94</v>
      </c>
      <c r="G335" s="1741" t="s">
        <v>1337</v>
      </c>
      <c r="H335" s="1741" t="s">
        <v>1303</v>
      </c>
      <c r="I335" s="1763">
        <v>0</v>
      </c>
      <c r="J335" s="1749">
        <v>983.85</v>
      </c>
      <c r="K335" s="1749">
        <v>0</v>
      </c>
      <c r="L335" s="1749">
        <v>958.21499999999992</v>
      </c>
      <c r="M335" s="1749">
        <v>983.85</v>
      </c>
    </row>
    <row r="336" spans="2:13" ht="15" x14ac:dyDescent="0.2">
      <c r="B336" s="1735">
        <v>64683</v>
      </c>
      <c r="C336" s="1735" t="s">
        <v>1904</v>
      </c>
      <c r="D336" s="1735"/>
      <c r="E336" s="1732" t="s">
        <v>1294</v>
      </c>
      <c r="F336" s="1735" t="s">
        <v>94</v>
      </c>
      <c r="G336" s="1735" t="s">
        <v>1300</v>
      </c>
      <c r="H336" s="1735" t="s">
        <v>1303</v>
      </c>
      <c r="I336" s="1763">
        <v>0</v>
      </c>
      <c r="J336" s="1749">
        <v>0</v>
      </c>
      <c r="K336" s="1749">
        <v>0</v>
      </c>
      <c r="L336" s="1749">
        <v>0</v>
      </c>
      <c r="M336" s="1749">
        <v>0</v>
      </c>
    </row>
    <row r="337" spans="2:13" ht="15" x14ac:dyDescent="0.2">
      <c r="B337" s="1732">
        <v>110497</v>
      </c>
      <c r="C337" s="1732" t="s">
        <v>1905</v>
      </c>
      <c r="D337" s="1732" t="s">
        <v>1906</v>
      </c>
      <c r="E337" s="1732" t="s">
        <v>1335</v>
      </c>
      <c r="F337" s="1732" t="s">
        <v>94</v>
      </c>
      <c r="G337" s="1741" t="s">
        <v>1337</v>
      </c>
      <c r="H337" s="1741" t="s">
        <v>1303</v>
      </c>
      <c r="I337" s="1763">
        <v>0</v>
      </c>
      <c r="J337" s="1749">
        <v>0</v>
      </c>
      <c r="K337" s="1749">
        <v>0</v>
      </c>
      <c r="L337" s="1749">
        <v>0</v>
      </c>
      <c r="M337" s="1749">
        <v>0</v>
      </c>
    </row>
    <row r="338" spans="2:13" ht="15" x14ac:dyDescent="0.2">
      <c r="B338" s="1732">
        <v>41296</v>
      </c>
      <c r="C338" s="1732" t="s">
        <v>1907</v>
      </c>
      <c r="D338" s="1732" t="s">
        <v>1907</v>
      </c>
      <c r="E338" s="1732" t="s">
        <v>1335</v>
      </c>
      <c r="F338" s="1732" t="s">
        <v>94</v>
      </c>
      <c r="G338" s="1742" t="s">
        <v>1461</v>
      </c>
      <c r="H338" s="1735" t="s">
        <v>1303</v>
      </c>
      <c r="I338" s="1763">
        <v>0</v>
      </c>
      <c r="J338" s="1749">
        <v>370.57</v>
      </c>
      <c r="K338" s="1749">
        <v>371.76</v>
      </c>
      <c r="L338" s="1749">
        <v>371.76</v>
      </c>
      <c r="M338" s="1749">
        <v>0</v>
      </c>
    </row>
    <row r="339" spans="2:13" ht="15" x14ac:dyDescent="0.2">
      <c r="B339" s="1732">
        <v>8551</v>
      </c>
      <c r="C339" s="1732" t="s">
        <v>1908</v>
      </c>
      <c r="D339" s="1732" t="s">
        <v>1908</v>
      </c>
      <c r="E339" s="1732" t="s">
        <v>1335</v>
      </c>
      <c r="F339" s="1732" t="s">
        <v>94</v>
      </c>
      <c r="G339" s="1741" t="s">
        <v>1337</v>
      </c>
      <c r="H339" s="1741" t="s">
        <v>1303</v>
      </c>
      <c r="I339" s="1763">
        <v>0</v>
      </c>
      <c r="J339" s="1749">
        <v>20395.32</v>
      </c>
      <c r="K339" s="1749">
        <v>0</v>
      </c>
      <c r="L339" s="1749">
        <v>0</v>
      </c>
      <c r="M339" s="1749">
        <v>0</v>
      </c>
    </row>
    <row r="340" spans="2:13" ht="15" x14ac:dyDescent="0.2">
      <c r="B340" s="1732">
        <v>62822</v>
      </c>
      <c r="C340" s="1732" t="s">
        <v>1909</v>
      </c>
      <c r="D340" s="1733" t="s">
        <v>1910</v>
      </c>
      <c r="E340" s="1732" t="s">
        <v>1335</v>
      </c>
      <c r="F340" s="1732" t="s">
        <v>94</v>
      </c>
      <c r="G340" s="1742" t="s">
        <v>1346</v>
      </c>
      <c r="H340" s="1735" t="s">
        <v>1303</v>
      </c>
      <c r="I340" s="1763">
        <v>0</v>
      </c>
      <c r="J340" s="1749">
        <v>0</v>
      </c>
      <c r="K340" s="1749">
        <v>0</v>
      </c>
      <c r="L340" s="1749">
        <v>0</v>
      </c>
      <c r="M340" s="1749">
        <v>0</v>
      </c>
    </row>
    <row r="341" spans="2:13" ht="15" x14ac:dyDescent="0.2">
      <c r="B341" s="1732">
        <v>14386</v>
      </c>
      <c r="C341" s="1732" t="s">
        <v>1911</v>
      </c>
      <c r="D341" s="1732" t="s">
        <v>1911</v>
      </c>
      <c r="E341" s="1732" t="s">
        <v>1335</v>
      </c>
      <c r="F341" s="1732" t="s">
        <v>94</v>
      </c>
      <c r="G341" s="1742" t="s">
        <v>1300</v>
      </c>
      <c r="H341" s="1735" t="s">
        <v>1303</v>
      </c>
      <c r="I341" s="1763">
        <v>0</v>
      </c>
      <c r="J341" s="1749">
        <v>0</v>
      </c>
      <c r="K341" s="1749">
        <v>0</v>
      </c>
      <c r="L341" s="1749">
        <v>0</v>
      </c>
      <c r="M341" s="1749">
        <v>0</v>
      </c>
    </row>
    <row r="342" spans="2:13" ht="15" x14ac:dyDescent="0.2">
      <c r="B342" s="1732">
        <v>41298</v>
      </c>
      <c r="C342" s="1732" t="s">
        <v>1912</v>
      </c>
      <c r="D342" s="1732" t="s">
        <v>1912</v>
      </c>
      <c r="E342" s="1732" t="s">
        <v>1335</v>
      </c>
      <c r="F342" s="1732" t="s">
        <v>94</v>
      </c>
      <c r="G342" s="1742" t="s">
        <v>1884</v>
      </c>
      <c r="H342" s="1735" t="s">
        <v>1303</v>
      </c>
      <c r="I342" s="1763">
        <v>0</v>
      </c>
      <c r="J342" s="1749">
        <v>608.24228618421057</v>
      </c>
      <c r="K342" s="1749">
        <v>637.08999999999992</v>
      </c>
      <c r="L342" s="1749">
        <v>0</v>
      </c>
      <c r="M342" s="1749">
        <v>0</v>
      </c>
    </row>
    <row r="343" spans="2:13" ht="15" x14ac:dyDescent="0.2">
      <c r="B343" s="1732">
        <v>14509</v>
      </c>
      <c r="C343" s="1732" t="s">
        <v>1913</v>
      </c>
      <c r="D343" s="1732" t="s">
        <v>1913</v>
      </c>
      <c r="E343" s="1732" t="s">
        <v>1335</v>
      </c>
      <c r="F343" s="1732" t="s">
        <v>94</v>
      </c>
      <c r="G343" s="1742" t="s">
        <v>1411</v>
      </c>
      <c r="H343" s="1735" t="s">
        <v>1303</v>
      </c>
      <c r="I343" s="1763">
        <v>0</v>
      </c>
      <c r="J343" s="1749">
        <v>0</v>
      </c>
      <c r="K343" s="1749">
        <v>0</v>
      </c>
      <c r="L343" s="1749">
        <v>0</v>
      </c>
      <c r="M343" s="1749">
        <v>0</v>
      </c>
    </row>
    <row r="344" spans="2:13" ht="15" x14ac:dyDescent="0.2">
      <c r="B344" s="1732">
        <v>67981</v>
      </c>
      <c r="C344" s="1732" t="s">
        <v>1914</v>
      </c>
      <c r="D344" s="1732" t="s">
        <v>1915</v>
      </c>
      <c r="E344" s="1732" t="s">
        <v>1308</v>
      </c>
      <c r="F344" s="1732" t="s">
        <v>94</v>
      </c>
      <c r="G344" s="1741" t="s">
        <v>1300</v>
      </c>
      <c r="H344" s="1735" t="s">
        <v>1296</v>
      </c>
      <c r="I344" s="1763">
        <v>8461.57</v>
      </c>
      <c r="J344" s="1749">
        <v>0</v>
      </c>
      <c r="K344" s="1749">
        <v>0</v>
      </c>
      <c r="L344" s="1749">
        <v>0</v>
      </c>
      <c r="M344" s="1749">
        <v>0</v>
      </c>
    </row>
    <row r="345" spans="2:13" ht="15" x14ac:dyDescent="0.2">
      <c r="B345" s="1732">
        <v>67982</v>
      </c>
      <c r="C345" s="1732" t="s">
        <v>1916</v>
      </c>
      <c r="D345" s="1732" t="s">
        <v>1917</v>
      </c>
      <c r="E345" s="1732" t="s">
        <v>1308</v>
      </c>
      <c r="F345" s="1732" t="s">
        <v>94</v>
      </c>
      <c r="G345" s="1741" t="s">
        <v>1300</v>
      </c>
      <c r="H345" s="1735" t="s">
        <v>1303</v>
      </c>
      <c r="I345" s="1763">
        <v>10168.549999999999</v>
      </c>
      <c r="J345" s="1749">
        <v>0</v>
      </c>
      <c r="K345" s="1749">
        <v>0</v>
      </c>
      <c r="L345" s="1749">
        <v>0</v>
      </c>
      <c r="M345" s="1749">
        <v>0</v>
      </c>
    </row>
    <row r="346" spans="2:13" ht="15" x14ac:dyDescent="0.2">
      <c r="B346" s="1752">
        <v>67983</v>
      </c>
      <c r="C346" s="1732" t="s">
        <v>1918</v>
      </c>
      <c r="D346" s="1733" t="s">
        <v>1919</v>
      </c>
      <c r="E346" s="1732" t="s">
        <v>1311</v>
      </c>
      <c r="F346" s="1732" t="s">
        <v>94</v>
      </c>
      <c r="G346" s="1735" t="s">
        <v>1300</v>
      </c>
      <c r="H346" s="1735" t="s">
        <v>1303</v>
      </c>
      <c r="I346" s="1763">
        <v>0</v>
      </c>
      <c r="J346" s="1764">
        <f>K346</f>
        <v>41154.120000000003</v>
      </c>
      <c r="K346" s="1749">
        <v>41154.120000000003</v>
      </c>
      <c r="L346" s="1749">
        <v>43245.53</v>
      </c>
      <c r="M346" s="1749">
        <v>43245.53</v>
      </c>
    </row>
    <row r="347" spans="2:13" ht="15" x14ac:dyDescent="0.2">
      <c r="B347" s="1732">
        <v>67984</v>
      </c>
      <c r="C347" s="1732" t="s">
        <v>1920</v>
      </c>
      <c r="D347" s="1733" t="s">
        <v>1921</v>
      </c>
      <c r="E347" s="1732" t="s">
        <v>1311</v>
      </c>
      <c r="F347" s="1732" t="s">
        <v>94</v>
      </c>
      <c r="G347" s="1735" t="s">
        <v>1300</v>
      </c>
      <c r="H347" s="1735" t="s">
        <v>1303</v>
      </c>
      <c r="I347" s="1763">
        <v>0</v>
      </c>
      <c r="J347" s="1749">
        <v>0</v>
      </c>
      <c r="K347" s="1749">
        <v>0</v>
      </c>
      <c r="L347" s="1749">
        <v>53930.356666666667</v>
      </c>
      <c r="M347" s="1749">
        <v>51230.526666666665</v>
      </c>
    </row>
    <row r="348" spans="2:13" ht="15" x14ac:dyDescent="0.2">
      <c r="B348" s="1732">
        <v>67985</v>
      </c>
      <c r="C348" s="1732" t="s">
        <v>1922</v>
      </c>
      <c r="D348" s="1733" t="s">
        <v>1646</v>
      </c>
      <c r="E348" s="1732" t="s">
        <v>1311</v>
      </c>
      <c r="F348" s="1732" t="s">
        <v>94</v>
      </c>
      <c r="G348" s="1735" t="s">
        <v>1300</v>
      </c>
      <c r="H348" s="1735" t="s">
        <v>1303</v>
      </c>
      <c r="I348" s="1763">
        <v>0</v>
      </c>
      <c r="J348" s="1749">
        <v>0</v>
      </c>
      <c r="K348" s="1749">
        <v>25012.965</v>
      </c>
      <c r="L348" s="1749">
        <v>0</v>
      </c>
      <c r="M348" s="1749">
        <v>24569.559999999998</v>
      </c>
    </row>
    <row r="349" spans="2:13" ht="15" x14ac:dyDescent="0.2">
      <c r="B349" s="1752">
        <v>67986</v>
      </c>
      <c r="C349" s="1752" t="s">
        <v>1923</v>
      </c>
      <c r="D349" s="1753" t="s">
        <v>1924</v>
      </c>
      <c r="E349" s="1732" t="s">
        <v>1311</v>
      </c>
      <c r="F349" s="1732" t="s">
        <v>94</v>
      </c>
      <c r="G349" s="1735" t="s">
        <v>1300</v>
      </c>
      <c r="H349" s="1735" t="s">
        <v>1303</v>
      </c>
      <c r="I349" s="1763">
        <v>33129.878750000003</v>
      </c>
      <c r="J349" s="1764">
        <f>K349</f>
        <v>32231.13625</v>
      </c>
      <c r="K349" s="1749">
        <v>32231.13625</v>
      </c>
      <c r="L349" s="1749">
        <v>32604.932499999999</v>
      </c>
      <c r="M349" s="1749">
        <v>31857.336666666666</v>
      </c>
    </row>
    <row r="350" spans="2:13" ht="15" x14ac:dyDescent="0.2">
      <c r="B350" s="1732">
        <v>67987</v>
      </c>
      <c r="C350" s="1732" t="s">
        <v>1914</v>
      </c>
      <c r="D350" s="1732" t="s">
        <v>1925</v>
      </c>
      <c r="E350" s="1732" t="s">
        <v>1308</v>
      </c>
      <c r="F350" s="1732" t="s">
        <v>94</v>
      </c>
      <c r="G350" s="1741" t="s">
        <v>1300</v>
      </c>
      <c r="H350" s="1735" t="s">
        <v>1303</v>
      </c>
      <c r="I350" s="1763">
        <v>8461.57</v>
      </c>
      <c r="J350" s="1749">
        <v>0</v>
      </c>
      <c r="K350" s="1749">
        <v>0</v>
      </c>
      <c r="L350" s="1749">
        <v>0</v>
      </c>
      <c r="M350" s="1749">
        <v>0</v>
      </c>
    </row>
    <row r="351" spans="2:13" ht="15" x14ac:dyDescent="0.2">
      <c r="B351" s="1732">
        <v>68801</v>
      </c>
      <c r="C351" s="1732" t="s">
        <v>1926</v>
      </c>
      <c r="D351" s="1732" t="s">
        <v>1927</v>
      </c>
      <c r="E351" s="1732" t="s">
        <v>1743</v>
      </c>
      <c r="F351" s="1732" t="s">
        <v>94</v>
      </c>
      <c r="G351" s="1735" t="s">
        <v>1325</v>
      </c>
      <c r="H351" s="1735" t="s">
        <v>1296</v>
      </c>
      <c r="I351" s="1763">
        <v>458672.94</v>
      </c>
      <c r="J351" s="1749">
        <v>0</v>
      </c>
      <c r="K351" s="1749">
        <v>0</v>
      </c>
      <c r="L351" s="1749">
        <v>0</v>
      </c>
      <c r="M351" s="1749">
        <v>0</v>
      </c>
    </row>
    <row r="352" spans="2:13" ht="15" x14ac:dyDescent="0.2">
      <c r="B352" s="1732">
        <v>68802</v>
      </c>
      <c r="C352" s="1732" t="s">
        <v>1928</v>
      </c>
      <c r="D352" s="1732" t="s">
        <v>1929</v>
      </c>
      <c r="E352" s="1732" t="s">
        <v>1743</v>
      </c>
      <c r="F352" s="1732" t="s">
        <v>94</v>
      </c>
      <c r="G352" s="1735" t="s">
        <v>1300</v>
      </c>
      <c r="H352" s="1735" t="s">
        <v>1303</v>
      </c>
      <c r="I352" s="1763">
        <v>0</v>
      </c>
      <c r="J352" s="1749">
        <v>0</v>
      </c>
      <c r="K352" s="1749">
        <v>0</v>
      </c>
      <c r="L352" s="1749">
        <v>0</v>
      </c>
      <c r="M352" s="1749">
        <v>0</v>
      </c>
    </row>
    <row r="353" spans="2:13" ht="15" x14ac:dyDescent="0.2">
      <c r="B353" s="1752">
        <v>69321</v>
      </c>
      <c r="C353" s="1752" t="s">
        <v>1930</v>
      </c>
      <c r="D353" s="1753" t="s">
        <v>1931</v>
      </c>
      <c r="E353" s="1732" t="s">
        <v>1474</v>
      </c>
      <c r="F353" s="1732" t="s">
        <v>94</v>
      </c>
      <c r="G353" s="1735" t="s">
        <v>1300</v>
      </c>
      <c r="H353" s="1735" t="s">
        <v>1303</v>
      </c>
      <c r="I353" s="1763">
        <v>391157.55</v>
      </c>
      <c r="J353" s="1764">
        <f>K353</f>
        <v>227241.9</v>
      </c>
      <c r="K353" s="1749">
        <v>227241.9</v>
      </c>
      <c r="L353" s="1764">
        <f>M353</f>
        <v>227241.9</v>
      </c>
      <c r="M353" s="1749">
        <v>227241.9</v>
      </c>
    </row>
    <row r="354" spans="2:13" ht="15" x14ac:dyDescent="0.2">
      <c r="B354" s="1732">
        <v>69621</v>
      </c>
      <c r="C354" s="1732" t="s">
        <v>1932</v>
      </c>
      <c r="D354" s="1732" t="s">
        <v>1933</v>
      </c>
      <c r="E354" s="1732" t="s">
        <v>1743</v>
      </c>
      <c r="F354" s="1732" t="s">
        <v>94</v>
      </c>
      <c r="G354" s="1735" t="s">
        <v>1300</v>
      </c>
      <c r="H354" s="1735" t="s">
        <v>1303</v>
      </c>
      <c r="I354" s="1763">
        <v>0</v>
      </c>
      <c r="J354" s="1749">
        <v>0</v>
      </c>
      <c r="K354" s="1749">
        <v>0</v>
      </c>
      <c r="L354" s="1749">
        <v>0</v>
      </c>
      <c r="M354" s="1749">
        <v>0</v>
      </c>
    </row>
    <row r="355" spans="2:13" ht="15" x14ac:dyDescent="0.2">
      <c r="B355" s="1752">
        <v>75783</v>
      </c>
      <c r="C355" s="1752" t="s">
        <v>1934</v>
      </c>
      <c r="D355" s="1753" t="s">
        <v>1935</v>
      </c>
      <c r="E355" s="1732" t="s">
        <v>1311</v>
      </c>
      <c r="F355" s="1732" t="s">
        <v>94</v>
      </c>
      <c r="G355" s="1735" t="s">
        <v>1300</v>
      </c>
      <c r="H355" s="1735" t="s">
        <v>1303</v>
      </c>
      <c r="I355" s="1763">
        <v>0</v>
      </c>
      <c r="J355" s="1749">
        <v>71002.69</v>
      </c>
      <c r="K355" s="1764">
        <f>J355</f>
        <v>71002.69</v>
      </c>
      <c r="L355" s="1764">
        <f>K355</f>
        <v>71002.69</v>
      </c>
      <c r="M355" s="1764">
        <f>L355</f>
        <v>71002.69</v>
      </c>
    </row>
    <row r="356" spans="2:13" ht="15" x14ac:dyDescent="0.2">
      <c r="B356" s="1752">
        <v>75784</v>
      </c>
      <c r="C356" s="1752" t="s">
        <v>1936</v>
      </c>
      <c r="D356" s="1753" t="s">
        <v>1937</v>
      </c>
      <c r="E356" s="1732" t="s">
        <v>1311</v>
      </c>
      <c r="F356" s="1732" t="s">
        <v>94</v>
      </c>
      <c r="G356" s="1735" t="s">
        <v>1300</v>
      </c>
      <c r="H356" s="1735" t="s">
        <v>1303</v>
      </c>
      <c r="I356" s="1763">
        <v>0</v>
      </c>
      <c r="J356" s="1764">
        <f>K356</f>
        <v>66475.633333333331</v>
      </c>
      <c r="K356" s="1749">
        <v>66475.633333333331</v>
      </c>
      <c r="L356" s="1764">
        <f>K356</f>
        <v>66475.633333333331</v>
      </c>
      <c r="M356" s="1764">
        <f>L356</f>
        <v>66475.633333333331</v>
      </c>
    </row>
    <row r="357" spans="2:13" ht="15" x14ac:dyDescent="0.2">
      <c r="B357" s="1732">
        <v>75785</v>
      </c>
      <c r="C357" s="1732" t="s">
        <v>1938</v>
      </c>
      <c r="D357" s="1733" t="s">
        <v>1939</v>
      </c>
      <c r="E357" s="1732" t="s">
        <v>1311</v>
      </c>
      <c r="F357" s="1732" t="s">
        <v>94</v>
      </c>
      <c r="G357" s="1735" t="s">
        <v>1300</v>
      </c>
      <c r="H357" s="1735" t="s">
        <v>1303</v>
      </c>
      <c r="I357" s="1763">
        <v>62425.256666666661</v>
      </c>
      <c r="J357" s="1749">
        <v>0</v>
      </c>
      <c r="K357" s="1749">
        <v>0</v>
      </c>
      <c r="L357" s="1749">
        <v>0</v>
      </c>
      <c r="M357" s="1749">
        <v>0</v>
      </c>
    </row>
    <row r="358" spans="2:13" ht="15" x14ac:dyDescent="0.2">
      <c r="B358" s="1752">
        <v>75786</v>
      </c>
      <c r="C358" s="1752" t="s">
        <v>1940</v>
      </c>
      <c r="D358" s="1753" t="s">
        <v>1941</v>
      </c>
      <c r="E358" s="1732" t="s">
        <v>1311</v>
      </c>
      <c r="F358" s="1732" t="s">
        <v>94</v>
      </c>
      <c r="G358" s="1735" t="s">
        <v>1300</v>
      </c>
      <c r="H358" s="1735" t="s">
        <v>1303</v>
      </c>
      <c r="I358" s="1763">
        <v>0</v>
      </c>
      <c r="J358" s="1764">
        <f>K358</f>
        <v>109914.64199999999</v>
      </c>
      <c r="K358" s="1749">
        <v>109914.64199999999</v>
      </c>
      <c r="L358" s="1764">
        <f>K358</f>
        <v>109914.64199999999</v>
      </c>
      <c r="M358" s="1764">
        <f>L358</f>
        <v>109914.64199999999</v>
      </c>
    </row>
    <row r="359" spans="2:13" ht="15" x14ac:dyDescent="0.2">
      <c r="B359" s="1752">
        <v>77681</v>
      </c>
      <c r="C359" s="1752" t="s">
        <v>1942</v>
      </c>
      <c r="D359" s="1753" t="s">
        <v>1943</v>
      </c>
      <c r="E359" s="1732" t="s">
        <v>1311</v>
      </c>
      <c r="F359" s="1732" t="s">
        <v>94</v>
      </c>
      <c r="G359" s="1735" t="s">
        <v>1300</v>
      </c>
      <c r="H359" s="1735" t="s">
        <v>1303</v>
      </c>
      <c r="I359" s="1763">
        <v>0</v>
      </c>
      <c r="J359" s="1764">
        <f>K359</f>
        <v>88381.615000000005</v>
      </c>
      <c r="K359" s="1749">
        <v>88381.615000000005</v>
      </c>
      <c r="L359" s="1764">
        <f>K359</f>
        <v>88381.615000000005</v>
      </c>
      <c r="M359" s="1764">
        <f>L359</f>
        <v>88381.615000000005</v>
      </c>
    </row>
    <row r="360" spans="2:13" ht="15" x14ac:dyDescent="0.2">
      <c r="B360" s="1752">
        <v>77682</v>
      </c>
      <c r="C360" s="1752" t="s">
        <v>1944</v>
      </c>
      <c r="D360" s="1753" t="s">
        <v>1945</v>
      </c>
      <c r="E360" s="1732" t="s">
        <v>1311</v>
      </c>
      <c r="F360" s="1732" t="s">
        <v>94</v>
      </c>
      <c r="G360" s="1735" t="s">
        <v>1300</v>
      </c>
      <c r="H360" s="1735" t="s">
        <v>1296</v>
      </c>
      <c r="I360" s="1763">
        <v>0</v>
      </c>
      <c r="J360" s="1749">
        <v>161343.86000000002</v>
      </c>
      <c r="K360" s="1749">
        <v>162365.39333333334</v>
      </c>
      <c r="L360" s="1749">
        <v>162024.88333333333</v>
      </c>
      <c r="M360" s="1749">
        <v>162365.39499999999</v>
      </c>
    </row>
    <row r="361" spans="2:13" ht="15" x14ac:dyDescent="0.2">
      <c r="B361" s="1752">
        <v>80161</v>
      </c>
      <c r="C361" s="1752" t="s">
        <v>1946</v>
      </c>
      <c r="D361" s="1752" t="s">
        <v>1947</v>
      </c>
      <c r="E361" s="1732" t="s">
        <v>1308</v>
      </c>
      <c r="F361" s="1732" t="s">
        <v>94</v>
      </c>
      <c r="G361" s="1741" t="s">
        <v>1300</v>
      </c>
      <c r="H361" s="1735" t="s">
        <v>1303</v>
      </c>
      <c r="I361" s="1763">
        <v>0</v>
      </c>
      <c r="J361" s="1749">
        <v>6078</v>
      </c>
      <c r="K361" s="1749">
        <v>5478.83</v>
      </c>
      <c r="L361" s="1764">
        <f>K361</f>
        <v>5478.83</v>
      </c>
      <c r="M361" s="1764">
        <f>L361</f>
        <v>5478.83</v>
      </c>
    </row>
    <row r="362" spans="2:13" ht="15" x14ac:dyDescent="0.2">
      <c r="B362" s="1732">
        <v>85203</v>
      </c>
      <c r="C362" s="1732" t="s">
        <v>1948</v>
      </c>
      <c r="D362" s="1733" t="s">
        <v>1949</v>
      </c>
      <c r="E362" s="1751" t="s">
        <v>1299</v>
      </c>
      <c r="F362" s="1732" t="s">
        <v>94</v>
      </c>
      <c r="G362" s="1735" t="s">
        <v>1300</v>
      </c>
      <c r="H362" s="1735" t="s">
        <v>1296</v>
      </c>
      <c r="I362" s="1763">
        <v>0</v>
      </c>
      <c r="J362" s="1749">
        <v>8652.94</v>
      </c>
      <c r="K362" s="1749">
        <v>0</v>
      </c>
      <c r="L362" s="1749">
        <v>0</v>
      </c>
      <c r="M362" s="1749">
        <v>0</v>
      </c>
    </row>
    <row r="363" spans="2:13" ht="15" x14ac:dyDescent="0.2">
      <c r="B363" s="1732">
        <v>85204</v>
      </c>
      <c r="C363" s="1732" t="s">
        <v>1950</v>
      </c>
      <c r="D363" s="1732" t="s">
        <v>1951</v>
      </c>
      <c r="E363" s="1732" t="s">
        <v>1308</v>
      </c>
      <c r="F363" s="1732" t="s">
        <v>94</v>
      </c>
      <c r="G363" s="1741" t="s">
        <v>1305</v>
      </c>
      <c r="H363" s="1735" t="s">
        <v>1303</v>
      </c>
      <c r="I363" s="1763">
        <v>8456.27</v>
      </c>
      <c r="J363" s="1749">
        <v>0</v>
      </c>
      <c r="K363" s="1749">
        <v>0</v>
      </c>
      <c r="L363" s="1749">
        <v>0</v>
      </c>
      <c r="M363" s="1749">
        <v>0</v>
      </c>
    </row>
    <row r="364" spans="2:13" ht="15" x14ac:dyDescent="0.2">
      <c r="B364" s="1732">
        <v>85205</v>
      </c>
      <c r="C364" s="1732" t="s">
        <v>1952</v>
      </c>
      <c r="D364" s="1733" t="s">
        <v>1953</v>
      </c>
      <c r="E364" s="1751" t="s">
        <v>1299</v>
      </c>
      <c r="F364" s="1732" t="s">
        <v>94</v>
      </c>
      <c r="G364" s="1735" t="s">
        <v>1300</v>
      </c>
      <c r="H364" s="1735" t="s">
        <v>1303</v>
      </c>
      <c r="I364" s="1763">
        <v>0</v>
      </c>
      <c r="J364" s="1749">
        <v>74549.02424657534</v>
      </c>
      <c r="K364" s="1749">
        <v>0</v>
      </c>
      <c r="L364" s="1749">
        <v>0</v>
      </c>
      <c r="M364" s="1749">
        <v>0</v>
      </c>
    </row>
    <row r="365" spans="2:13" ht="15" x14ac:dyDescent="0.2">
      <c r="B365" s="1732">
        <v>85207</v>
      </c>
      <c r="C365" s="1732" t="s">
        <v>1954</v>
      </c>
      <c r="D365" s="1733" t="s">
        <v>1955</v>
      </c>
      <c r="E365" s="1751" t="s">
        <v>1299</v>
      </c>
      <c r="F365" s="1732" t="s">
        <v>94</v>
      </c>
      <c r="G365" s="1735" t="s">
        <v>1305</v>
      </c>
      <c r="H365" s="1735" t="s">
        <v>1303</v>
      </c>
      <c r="I365" s="1763">
        <v>0</v>
      </c>
      <c r="J365" s="1749">
        <v>22382.320000000003</v>
      </c>
      <c r="K365" s="1749">
        <v>0</v>
      </c>
      <c r="L365" s="1749">
        <v>0</v>
      </c>
      <c r="M365" s="1749">
        <v>0</v>
      </c>
    </row>
    <row r="366" spans="2:13" ht="15" x14ac:dyDescent="0.2">
      <c r="B366" s="1752">
        <v>85208</v>
      </c>
      <c r="C366" s="1752" t="s">
        <v>1956</v>
      </c>
      <c r="D366" s="1753" t="s">
        <v>1957</v>
      </c>
      <c r="E366" s="1751" t="s">
        <v>1299</v>
      </c>
      <c r="F366" s="1732" t="s">
        <v>94</v>
      </c>
      <c r="G366" s="1735" t="s">
        <v>1305</v>
      </c>
      <c r="H366" s="1735" t="s">
        <v>1303</v>
      </c>
      <c r="I366" s="1763">
        <v>0</v>
      </c>
      <c r="J366" s="1749">
        <v>22789.29</v>
      </c>
      <c r="K366" s="1764">
        <f>J366</f>
        <v>22789.29</v>
      </c>
      <c r="L366" s="1764">
        <f>K366</f>
        <v>22789.29</v>
      </c>
      <c r="M366" s="1764">
        <f>L366</f>
        <v>22789.29</v>
      </c>
    </row>
    <row r="367" spans="2:13" ht="15" x14ac:dyDescent="0.2">
      <c r="B367" s="1732">
        <v>85209</v>
      </c>
      <c r="C367" s="1732" t="s">
        <v>1958</v>
      </c>
      <c r="D367" s="1733" t="s">
        <v>1959</v>
      </c>
      <c r="E367" s="1751" t="s">
        <v>1299</v>
      </c>
      <c r="F367" s="1732" t="s">
        <v>94</v>
      </c>
      <c r="G367" s="1735" t="s">
        <v>1305</v>
      </c>
      <c r="H367" s="1735" t="s">
        <v>1303</v>
      </c>
      <c r="I367" s="1763">
        <v>0</v>
      </c>
      <c r="J367" s="1749">
        <v>54405.163846153846</v>
      </c>
      <c r="K367" s="1749">
        <v>0</v>
      </c>
      <c r="L367" s="1749">
        <v>0</v>
      </c>
      <c r="M367" s="1749">
        <v>0</v>
      </c>
    </row>
    <row r="368" spans="2:13" ht="15" x14ac:dyDescent="0.2">
      <c r="B368" s="1752">
        <v>85210</v>
      </c>
      <c r="C368" s="1752" t="s">
        <v>1960</v>
      </c>
      <c r="D368" s="1752" t="s">
        <v>1298</v>
      </c>
      <c r="E368" s="1751" t="s">
        <v>1299</v>
      </c>
      <c r="F368" s="1732" t="s">
        <v>94</v>
      </c>
      <c r="G368" s="1735" t="s">
        <v>1715</v>
      </c>
      <c r="H368" s="1735" t="s">
        <v>1303</v>
      </c>
      <c r="I368" s="1763">
        <v>0</v>
      </c>
      <c r="J368" s="1749">
        <v>573892.14800000004</v>
      </c>
      <c r="K368" s="1749">
        <v>634946.04999999993</v>
      </c>
      <c r="L368" s="1749">
        <v>630615.89909090917</v>
      </c>
      <c r="M368" s="1764">
        <f>L368</f>
        <v>630615.89909090917</v>
      </c>
    </row>
    <row r="369" spans="2:13" ht="15" x14ac:dyDescent="0.2">
      <c r="B369" s="1732">
        <v>85211</v>
      </c>
      <c r="C369" s="1732" t="s">
        <v>1961</v>
      </c>
      <c r="D369" s="1733" t="s">
        <v>1962</v>
      </c>
      <c r="E369" s="1751" t="s">
        <v>1299</v>
      </c>
      <c r="F369" s="1732" t="s">
        <v>94</v>
      </c>
      <c r="G369" s="1735" t="s">
        <v>1305</v>
      </c>
      <c r="H369" s="1735" t="s">
        <v>1303</v>
      </c>
      <c r="I369" s="1763">
        <v>0</v>
      </c>
      <c r="J369" s="1749">
        <v>54405.163999999997</v>
      </c>
      <c r="K369" s="1749">
        <v>0</v>
      </c>
      <c r="L369" s="1749">
        <v>0</v>
      </c>
      <c r="M369" s="1749">
        <v>0</v>
      </c>
    </row>
    <row r="370" spans="2:13" ht="15" x14ac:dyDescent="0.2">
      <c r="B370" s="1732">
        <v>85212</v>
      </c>
      <c r="C370" s="1732" t="s">
        <v>1963</v>
      </c>
      <c r="D370" s="1733" t="s">
        <v>1964</v>
      </c>
      <c r="E370" s="1751" t="s">
        <v>1299</v>
      </c>
      <c r="F370" s="1732" t="s">
        <v>94</v>
      </c>
      <c r="G370" s="1735" t="s">
        <v>1305</v>
      </c>
      <c r="H370" s="1735" t="s">
        <v>1303</v>
      </c>
      <c r="I370" s="1763">
        <v>0</v>
      </c>
      <c r="J370" s="1749">
        <v>148511.80000000002</v>
      </c>
      <c r="K370" s="1749">
        <v>0</v>
      </c>
      <c r="L370" s="1749">
        <v>0</v>
      </c>
      <c r="M370" s="1749">
        <v>0</v>
      </c>
    </row>
    <row r="371" spans="2:13" ht="15" x14ac:dyDescent="0.2">
      <c r="B371" s="1732">
        <v>85213</v>
      </c>
      <c r="C371" s="1732" t="s">
        <v>1965</v>
      </c>
      <c r="D371" s="1732" t="s">
        <v>1966</v>
      </c>
      <c r="E371" s="1732" t="s">
        <v>1743</v>
      </c>
      <c r="F371" s="1732" t="s">
        <v>94</v>
      </c>
      <c r="G371" s="1735" t="s">
        <v>1305</v>
      </c>
      <c r="H371" s="1735" t="s">
        <v>1303</v>
      </c>
      <c r="I371" s="1763">
        <v>0</v>
      </c>
      <c r="J371" s="1749">
        <v>0</v>
      </c>
      <c r="K371" s="1749">
        <v>0</v>
      </c>
      <c r="L371" s="1749">
        <v>0</v>
      </c>
      <c r="M371" s="1749">
        <v>0</v>
      </c>
    </row>
    <row r="372" spans="2:13" ht="15" x14ac:dyDescent="0.2">
      <c r="B372" s="1752">
        <v>85214</v>
      </c>
      <c r="C372" s="1752" t="s">
        <v>1967</v>
      </c>
      <c r="D372" s="1753" t="s">
        <v>1968</v>
      </c>
      <c r="E372" s="1732" t="s">
        <v>1474</v>
      </c>
      <c r="F372" s="1732" t="s">
        <v>94</v>
      </c>
      <c r="G372" s="1735" t="s">
        <v>1300</v>
      </c>
      <c r="H372" s="1735" t="s">
        <v>1303</v>
      </c>
      <c r="I372" s="1763">
        <v>288558.58</v>
      </c>
      <c r="J372" s="1749">
        <v>293891.21000000002</v>
      </c>
      <c r="K372" s="1749">
        <v>288558.59000000003</v>
      </c>
      <c r="L372" s="1764">
        <f>K372</f>
        <v>288558.59000000003</v>
      </c>
      <c r="M372" s="1764">
        <f>L372</f>
        <v>288558.59000000003</v>
      </c>
    </row>
    <row r="373" spans="2:13" ht="15" x14ac:dyDescent="0.2">
      <c r="B373" s="1744">
        <v>85215</v>
      </c>
      <c r="C373" s="1735" t="s">
        <v>1969</v>
      </c>
      <c r="D373" s="1735"/>
      <c r="E373" s="1732" t="s">
        <v>1474</v>
      </c>
      <c r="F373" s="1735" t="s">
        <v>94</v>
      </c>
      <c r="G373" s="1735" t="s">
        <v>1300</v>
      </c>
      <c r="H373" s="1735" t="s">
        <v>1303</v>
      </c>
      <c r="I373" s="1763">
        <v>0</v>
      </c>
      <c r="J373" s="1749">
        <v>0</v>
      </c>
      <c r="K373" s="1749">
        <v>0</v>
      </c>
      <c r="L373" s="1749">
        <v>0</v>
      </c>
      <c r="M373" s="1749">
        <v>0</v>
      </c>
    </row>
    <row r="374" spans="2:13" ht="15" x14ac:dyDescent="0.2">
      <c r="B374" s="1752">
        <v>85216</v>
      </c>
      <c r="C374" s="1752" t="s">
        <v>1970</v>
      </c>
      <c r="D374" s="1753" t="s">
        <v>1971</v>
      </c>
      <c r="E374" s="1732" t="s">
        <v>162</v>
      </c>
      <c r="F374" s="1732" t="s">
        <v>94</v>
      </c>
      <c r="G374" s="1735" t="s">
        <v>1325</v>
      </c>
      <c r="H374" s="1735" t="s">
        <v>1303</v>
      </c>
      <c r="I374" s="1763">
        <v>0</v>
      </c>
      <c r="J374" s="1764">
        <f>K374</f>
        <v>1040181.5225</v>
      </c>
      <c r="K374" s="1749">
        <v>1040181.5225</v>
      </c>
      <c r="L374" s="1749">
        <v>1029200.31</v>
      </c>
      <c r="M374" s="1764">
        <f>L374</f>
        <v>1029200.31</v>
      </c>
    </row>
    <row r="375" spans="2:13" ht="15" x14ac:dyDescent="0.2">
      <c r="B375" s="1752">
        <v>85217</v>
      </c>
      <c r="C375" s="1752" t="s">
        <v>1972</v>
      </c>
      <c r="D375" s="1753" t="s">
        <v>1973</v>
      </c>
      <c r="E375" s="1732" t="s">
        <v>162</v>
      </c>
      <c r="F375" s="1732" t="s">
        <v>94</v>
      </c>
      <c r="G375" s="1735" t="s">
        <v>1300</v>
      </c>
      <c r="H375" s="1735" t="s">
        <v>1303</v>
      </c>
      <c r="I375" s="1763">
        <v>290172.12</v>
      </c>
      <c r="J375" s="1764">
        <f>K375</f>
        <v>267211.71999999997</v>
      </c>
      <c r="K375" s="1749">
        <v>267211.71999999997</v>
      </c>
      <c r="L375" s="1764">
        <f>K375</f>
        <v>267211.71999999997</v>
      </c>
      <c r="M375" s="1764">
        <f>L375</f>
        <v>267211.71999999997</v>
      </c>
    </row>
    <row r="376" spans="2:13" ht="15" x14ac:dyDescent="0.2">
      <c r="B376" s="1752">
        <v>85218</v>
      </c>
      <c r="C376" s="1752" t="s">
        <v>1974</v>
      </c>
      <c r="D376" s="1753" t="s">
        <v>1975</v>
      </c>
      <c r="E376" s="1732" t="s">
        <v>162</v>
      </c>
      <c r="F376" s="1732" t="s">
        <v>94</v>
      </c>
      <c r="G376" s="1735" t="s">
        <v>1300</v>
      </c>
      <c r="H376" s="1735" t="s">
        <v>1303</v>
      </c>
      <c r="I376" s="1763">
        <v>216673.75</v>
      </c>
      <c r="J376" s="1764">
        <f>K376</f>
        <v>210240.99</v>
      </c>
      <c r="K376" s="1764">
        <f>L376</f>
        <v>210240.99</v>
      </c>
      <c r="L376" s="1764">
        <f>M376</f>
        <v>210240.99</v>
      </c>
      <c r="M376" s="1749">
        <v>210240.99</v>
      </c>
    </row>
    <row r="377" spans="2:13" ht="15" x14ac:dyDescent="0.2">
      <c r="B377" s="1752">
        <v>85219</v>
      </c>
      <c r="C377" s="1752" t="s">
        <v>1976</v>
      </c>
      <c r="D377" s="1754" t="s">
        <v>1977</v>
      </c>
      <c r="E377" s="1732" t="s">
        <v>1308</v>
      </c>
      <c r="F377" s="1732" t="s">
        <v>94</v>
      </c>
      <c r="G377" s="1741" t="s">
        <v>1300</v>
      </c>
      <c r="H377" s="1735" t="s">
        <v>1303</v>
      </c>
      <c r="I377" s="1763">
        <v>0</v>
      </c>
      <c r="J377" s="1764">
        <v>6208.4859374999996</v>
      </c>
      <c r="K377" s="1764">
        <v>6208.4859374999996</v>
      </c>
      <c r="L377" s="1764">
        <v>6208.4859374999996</v>
      </c>
      <c r="M377" s="1764">
        <v>6208.4859374999996</v>
      </c>
    </row>
    <row r="378" spans="2:13" ht="15" x14ac:dyDescent="0.2">
      <c r="B378" s="1732">
        <v>85220</v>
      </c>
      <c r="C378" s="1732" t="s">
        <v>1978</v>
      </c>
      <c r="D378" s="1734" t="s">
        <v>1795</v>
      </c>
      <c r="E378" s="1732" t="s">
        <v>1474</v>
      </c>
      <c r="F378" s="1732" t="s">
        <v>94</v>
      </c>
      <c r="G378" s="1735" t="s">
        <v>1300</v>
      </c>
      <c r="H378" s="1735" t="s">
        <v>1303</v>
      </c>
      <c r="I378" s="1763">
        <v>0</v>
      </c>
      <c r="J378" s="1749">
        <v>0</v>
      </c>
      <c r="K378" s="1749">
        <v>182371.58</v>
      </c>
      <c r="L378" s="1749">
        <v>0</v>
      </c>
      <c r="M378" s="1749">
        <v>0</v>
      </c>
    </row>
    <row r="379" spans="2:13" ht="15" x14ac:dyDescent="0.2">
      <c r="B379" s="1732">
        <v>85221</v>
      </c>
      <c r="C379" s="1732" t="s">
        <v>1979</v>
      </c>
      <c r="D379" s="1732" t="s">
        <v>1980</v>
      </c>
      <c r="E379" s="1732" t="s">
        <v>1330</v>
      </c>
      <c r="F379" s="1732" t="s">
        <v>94</v>
      </c>
      <c r="G379" s="1735" t="s">
        <v>1300</v>
      </c>
      <c r="H379" s="1735" t="s">
        <v>1303</v>
      </c>
      <c r="I379" s="1763">
        <v>0</v>
      </c>
      <c r="J379" s="1749">
        <v>0</v>
      </c>
      <c r="K379" s="1749">
        <v>0</v>
      </c>
      <c r="L379" s="1749">
        <v>0</v>
      </c>
      <c r="M379" s="1749">
        <v>0</v>
      </c>
    </row>
    <row r="380" spans="2:13" ht="15" x14ac:dyDescent="0.2">
      <c r="B380" s="1732">
        <v>85222</v>
      </c>
      <c r="C380" s="1732" t="s">
        <v>1981</v>
      </c>
      <c r="D380" s="1733" t="s">
        <v>1982</v>
      </c>
      <c r="E380" s="1732" t="s">
        <v>1474</v>
      </c>
      <c r="F380" s="1732" t="s">
        <v>94</v>
      </c>
      <c r="G380" s="1735" t="s">
        <v>1300</v>
      </c>
      <c r="H380" s="1735" t="s">
        <v>1303</v>
      </c>
      <c r="I380" s="1763">
        <v>0</v>
      </c>
      <c r="J380" s="1749">
        <v>0</v>
      </c>
      <c r="K380" s="1749">
        <v>0</v>
      </c>
      <c r="L380" s="1749">
        <v>0</v>
      </c>
      <c r="M380" s="1749">
        <v>0</v>
      </c>
    </row>
    <row r="381" spans="2:13" ht="15" x14ac:dyDescent="0.2">
      <c r="B381" s="1732">
        <v>85223</v>
      </c>
      <c r="C381" s="1732" t="s">
        <v>1983</v>
      </c>
      <c r="D381" s="1732" t="s">
        <v>1984</v>
      </c>
      <c r="E381" s="1732" t="s">
        <v>1311</v>
      </c>
      <c r="F381" s="1732" t="s">
        <v>94</v>
      </c>
      <c r="G381" s="1735" t="s">
        <v>1300</v>
      </c>
      <c r="H381" s="1735" t="s">
        <v>1303</v>
      </c>
      <c r="I381" s="1763">
        <v>133632.29999999999</v>
      </c>
      <c r="J381" s="1749">
        <v>0</v>
      </c>
      <c r="K381" s="1749">
        <v>0</v>
      </c>
      <c r="L381" s="1749">
        <v>0</v>
      </c>
      <c r="M381" s="1749">
        <v>0</v>
      </c>
    </row>
    <row r="382" spans="2:13" ht="15" x14ac:dyDescent="0.2">
      <c r="B382" s="1732">
        <v>85224</v>
      </c>
      <c r="C382" s="1732" t="s">
        <v>1985</v>
      </c>
      <c r="D382" s="1733" t="s">
        <v>1986</v>
      </c>
      <c r="E382" s="1732" t="s">
        <v>1311</v>
      </c>
      <c r="F382" s="1732" t="s">
        <v>94</v>
      </c>
      <c r="G382" s="1735" t="s">
        <v>1300</v>
      </c>
      <c r="H382" s="1735" t="s">
        <v>1303</v>
      </c>
      <c r="I382" s="1763">
        <v>33485.21</v>
      </c>
      <c r="J382" s="1749">
        <v>0</v>
      </c>
      <c r="K382" s="1749">
        <v>0</v>
      </c>
      <c r="L382" s="1749">
        <v>0</v>
      </c>
      <c r="M382" s="1749">
        <v>0</v>
      </c>
    </row>
    <row r="383" spans="2:13" ht="15" x14ac:dyDescent="0.2">
      <c r="B383" s="1732">
        <v>85225</v>
      </c>
      <c r="C383" s="1732" t="s">
        <v>1987</v>
      </c>
      <c r="D383" s="1732" t="s">
        <v>1988</v>
      </c>
      <c r="E383" s="1732" t="s">
        <v>1316</v>
      </c>
      <c r="F383" s="1732" t="s">
        <v>94</v>
      </c>
      <c r="G383" s="1735" t="s">
        <v>1325</v>
      </c>
      <c r="H383" s="1735" t="s">
        <v>1303</v>
      </c>
      <c r="I383" s="1763">
        <v>39964.800000000003</v>
      </c>
      <c r="J383" s="1749">
        <v>0</v>
      </c>
      <c r="K383" s="1749">
        <v>0</v>
      </c>
      <c r="L383" s="1749">
        <v>0</v>
      </c>
      <c r="M383" s="1749">
        <v>0</v>
      </c>
    </row>
    <row r="384" spans="2:13" ht="15" x14ac:dyDescent="0.2">
      <c r="B384" s="1732">
        <v>85226</v>
      </c>
      <c r="C384" s="1732" t="s">
        <v>1527</v>
      </c>
      <c r="D384" s="1732" t="s">
        <v>1989</v>
      </c>
      <c r="E384" s="1732" t="s">
        <v>1316</v>
      </c>
      <c r="F384" s="1732" t="s">
        <v>94</v>
      </c>
      <c r="G384" s="1735" t="s">
        <v>1300</v>
      </c>
      <c r="H384" s="1735" t="s">
        <v>1303</v>
      </c>
      <c r="I384" s="1763">
        <v>0</v>
      </c>
      <c r="J384" s="1749">
        <v>0</v>
      </c>
      <c r="K384" s="1749">
        <v>13356</v>
      </c>
      <c r="L384" s="1749">
        <v>0</v>
      </c>
      <c r="M384" s="1749">
        <v>0</v>
      </c>
    </row>
    <row r="385" spans="2:13" ht="15" x14ac:dyDescent="0.2">
      <c r="B385" s="1732">
        <v>85227</v>
      </c>
      <c r="C385" s="1732" t="s">
        <v>1990</v>
      </c>
      <c r="D385" s="1733" t="s">
        <v>1991</v>
      </c>
      <c r="E385" s="1732" t="s">
        <v>1311</v>
      </c>
      <c r="F385" s="1732" t="s">
        <v>94</v>
      </c>
      <c r="G385" s="1735" t="s">
        <v>1300</v>
      </c>
      <c r="H385" s="1735" t="s">
        <v>1303</v>
      </c>
      <c r="I385" s="1763">
        <v>0</v>
      </c>
      <c r="J385" s="1749">
        <v>0</v>
      </c>
      <c r="K385" s="1749">
        <v>29299.56</v>
      </c>
      <c r="L385" s="1749">
        <v>29299.56</v>
      </c>
      <c r="M385" s="1749">
        <v>0</v>
      </c>
    </row>
    <row r="386" spans="2:13" ht="15" x14ac:dyDescent="0.2">
      <c r="B386" s="1732">
        <v>85228</v>
      </c>
      <c r="C386" s="1732" t="s">
        <v>1992</v>
      </c>
      <c r="D386" s="1733" t="s">
        <v>1992</v>
      </c>
      <c r="E386" s="1732" t="s">
        <v>1493</v>
      </c>
      <c r="F386" s="1732" t="s">
        <v>94</v>
      </c>
      <c r="G386" s="1735" t="s">
        <v>1325</v>
      </c>
      <c r="H386" s="1735" t="s">
        <v>1303</v>
      </c>
      <c r="I386" s="1763">
        <v>10389.6</v>
      </c>
      <c r="J386" s="1749">
        <v>0</v>
      </c>
      <c r="K386" s="1749">
        <v>0</v>
      </c>
      <c r="L386" s="1749">
        <v>0</v>
      </c>
      <c r="M386" s="1749">
        <v>0</v>
      </c>
    </row>
    <row r="387" spans="2:13" ht="15" x14ac:dyDescent="0.2">
      <c r="B387" s="1732">
        <v>85229</v>
      </c>
      <c r="C387" s="1732" t="s">
        <v>1993</v>
      </c>
      <c r="D387" s="1733" t="s">
        <v>1993</v>
      </c>
      <c r="E387" s="1732" t="s">
        <v>1493</v>
      </c>
      <c r="F387" s="1732" t="s">
        <v>94</v>
      </c>
      <c r="G387" s="1735" t="s">
        <v>1325</v>
      </c>
      <c r="H387" s="1735" t="s">
        <v>1303</v>
      </c>
      <c r="I387" s="1763">
        <v>10389.6</v>
      </c>
      <c r="J387" s="1749">
        <v>10389.6</v>
      </c>
      <c r="K387" s="1749">
        <v>0</v>
      </c>
      <c r="L387" s="1749">
        <v>0</v>
      </c>
      <c r="M387" s="1749">
        <v>0</v>
      </c>
    </row>
    <row r="388" spans="2:13" ht="15" x14ac:dyDescent="0.2">
      <c r="B388" s="1732">
        <v>85230</v>
      </c>
      <c r="C388" s="1732" t="s">
        <v>1994</v>
      </c>
      <c r="D388" s="1733" t="s">
        <v>1994</v>
      </c>
      <c r="E388" s="1732" t="s">
        <v>1493</v>
      </c>
      <c r="F388" s="1732" t="s">
        <v>94</v>
      </c>
      <c r="G388" s="1735" t="s">
        <v>1325</v>
      </c>
      <c r="H388" s="1735" t="s">
        <v>1303</v>
      </c>
      <c r="I388" s="1763">
        <v>9740.25</v>
      </c>
      <c r="J388" s="1749">
        <v>0</v>
      </c>
      <c r="K388" s="1749">
        <v>0</v>
      </c>
      <c r="L388" s="1749">
        <v>0</v>
      </c>
      <c r="M388" s="1749">
        <v>0</v>
      </c>
    </row>
    <row r="389" spans="2:13" ht="15" x14ac:dyDescent="0.2">
      <c r="B389" s="1732">
        <v>85231</v>
      </c>
      <c r="C389" s="1732" t="s">
        <v>1995</v>
      </c>
      <c r="D389" s="1733" t="s">
        <v>1995</v>
      </c>
      <c r="E389" s="1732" t="s">
        <v>1493</v>
      </c>
      <c r="F389" s="1732" t="s">
        <v>94</v>
      </c>
      <c r="G389" s="1735" t="s">
        <v>1325</v>
      </c>
      <c r="H389" s="1735" t="s">
        <v>1303</v>
      </c>
      <c r="I389" s="1763">
        <v>9276.4285714285706</v>
      </c>
      <c r="J389" s="1749">
        <v>0</v>
      </c>
      <c r="K389" s="1749">
        <v>0</v>
      </c>
      <c r="L389" s="1749">
        <v>0</v>
      </c>
      <c r="M389" s="1749">
        <v>0</v>
      </c>
    </row>
    <row r="390" spans="2:13" ht="15" x14ac:dyDescent="0.2">
      <c r="B390" s="1732">
        <v>85232</v>
      </c>
      <c r="C390" s="1732" t="s">
        <v>1996</v>
      </c>
      <c r="D390" s="1733" t="s">
        <v>1996</v>
      </c>
      <c r="E390" s="1732" t="s">
        <v>1493</v>
      </c>
      <c r="F390" s="1732" t="s">
        <v>94</v>
      </c>
      <c r="G390" s="1735" t="s">
        <v>1325</v>
      </c>
      <c r="H390" s="1735" t="s">
        <v>1303</v>
      </c>
      <c r="I390" s="1763">
        <v>9415.5750000000007</v>
      </c>
      <c r="J390" s="1749">
        <v>0</v>
      </c>
      <c r="K390" s="1749">
        <v>0</v>
      </c>
      <c r="L390" s="1749">
        <v>0</v>
      </c>
      <c r="M390" s="1749">
        <v>0</v>
      </c>
    </row>
    <row r="391" spans="2:13" ht="15" x14ac:dyDescent="0.2">
      <c r="B391" s="1732">
        <v>85233</v>
      </c>
      <c r="C391" s="1732" t="s">
        <v>1997</v>
      </c>
      <c r="D391" s="1733" t="s">
        <v>1997</v>
      </c>
      <c r="E391" s="1732" t="s">
        <v>1493</v>
      </c>
      <c r="F391" s="1732" t="s">
        <v>94</v>
      </c>
      <c r="G391" s="1735" t="s">
        <v>1325</v>
      </c>
      <c r="H391" s="1735" t="s">
        <v>1303</v>
      </c>
      <c r="I391" s="1763">
        <v>10389.6</v>
      </c>
      <c r="J391" s="1749">
        <v>0</v>
      </c>
      <c r="K391" s="1749">
        <v>0</v>
      </c>
      <c r="L391" s="1749">
        <v>0</v>
      </c>
      <c r="M391" s="1749">
        <v>0</v>
      </c>
    </row>
    <row r="392" spans="2:13" ht="15" x14ac:dyDescent="0.2">
      <c r="B392" s="1732">
        <v>85234</v>
      </c>
      <c r="C392" s="1732" t="s">
        <v>1998</v>
      </c>
      <c r="D392" s="1733" t="s">
        <v>1998</v>
      </c>
      <c r="E392" s="1732" t="s">
        <v>1493</v>
      </c>
      <c r="F392" s="1732" t="s">
        <v>94</v>
      </c>
      <c r="G392" s="1735" t="s">
        <v>1325</v>
      </c>
      <c r="H392" s="1735" t="s">
        <v>1303</v>
      </c>
      <c r="I392" s="1763">
        <v>9090.9</v>
      </c>
      <c r="J392" s="1749">
        <v>0</v>
      </c>
      <c r="K392" s="1749">
        <v>0</v>
      </c>
      <c r="L392" s="1749">
        <v>0</v>
      </c>
      <c r="M392" s="1749">
        <v>0</v>
      </c>
    </row>
    <row r="393" spans="2:13" ht="15" x14ac:dyDescent="0.2">
      <c r="B393" s="1732">
        <v>85235</v>
      </c>
      <c r="C393" s="1732" t="s">
        <v>1999</v>
      </c>
      <c r="D393" s="1733" t="s">
        <v>1999</v>
      </c>
      <c r="E393" s="1732" t="s">
        <v>1493</v>
      </c>
      <c r="F393" s="1732" t="s">
        <v>94</v>
      </c>
      <c r="G393" s="1735" t="s">
        <v>1325</v>
      </c>
      <c r="H393" s="1735" t="s">
        <v>1303</v>
      </c>
      <c r="I393" s="1763">
        <v>0</v>
      </c>
      <c r="J393" s="1749">
        <v>8441.5499999999993</v>
      </c>
      <c r="K393" s="1749">
        <v>0</v>
      </c>
      <c r="L393" s="1749">
        <v>0</v>
      </c>
      <c r="M393" s="1749">
        <v>0</v>
      </c>
    </row>
    <row r="394" spans="2:13" ht="15" x14ac:dyDescent="0.2">
      <c r="B394" s="1732">
        <v>85236</v>
      </c>
      <c r="C394" s="1732" t="s">
        <v>2000</v>
      </c>
      <c r="D394" s="1733" t="s">
        <v>2000</v>
      </c>
      <c r="E394" s="1732" t="s">
        <v>1493</v>
      </c>
      <c r="F394" s="1732" t="s">
        <v>94</v>
      </c>
      <c r="G394" s="1735" t="s">
        <v>1325</v>
      </c>
      <c r="H394" s="1735" t="s">
        <v>1303</v>
      </c>
      <c r="I394" s="1763">
        <v>10389.6</v>
      </c>
      <c r="J394" s="1749">
        <v>0</v>
      </c>
      <c r="K394" s="1749">
        <v>0</v>
      </c>
      <c r="L394" s="1749">
        <v>0</v>
      </c>
      <c r="M394" s="1749">
        <v>0</v>
      </c>
    </row>
    <row r="395" spans="2:13" ht="15" x14ac:dyDescent="0.2">
      <c r="B395" s="1732">
        <v>85237</v>
      </c>
      <c r="C395" s="1732" t="s">
        <v>2001</v>
      </c>
      <c r="D395" s="1733" t="s">
        <v>2001</v>
      </c>
      <c r="E395" s="1732" t="s">
        <v>1493</v>
      </c>
      <c r="F395" s="1732" t="s">
        <v>94</v>
      </c>
      <c r="G395" s="1735" t="s">
        <v>1325</v>
      </c>
      <c r="H395" s="1735" t="s">
        <v>1303</v>
      </c>
      <c r="I395" s="1763">
        <v>8441.5499999999993</v>
      </c>
      <c r="J395" s="1749">
        <v>0</v>
      </c>
      <c r="K395" s="1749">
        <v>0</v>
      </c>
      <c r="L395" s="1749">
        <v>0</v>
      </c>
      <c r="M395" s="1749">
        <v>0</v>
      </c>
    </row>
    <row r="396" spans="2:13" ht="15" x14ac:dyDescent="0.2">
      <c r="B396" s="1732">
        <v>85238</v>
      </c>
      <c r="C396" s="1732" t="s">
        <v>2002</v>
      </c>
      <c r="D396" s="1733" t="s">
        <v>2002</v>
      </c>
      <c r="E396" s="1732" t="s">
        <v>1493</v>
      </c>
      <c r="F396" s="1732" t="s">
        <v>94</v>
      </c>
      <c r="G396" s="1735" t="s">
        <v>1325</v>
      </c>
      <c r="H396" s="1735" t="s">
        <v>1303</v>
      </c>
      <c r="I396" s="1763">
        <v>0</v>
      </c>
      <c r="J396" s="1749">
        <v>0</v>
      </c>
      <c r="K396" s="1749">
        <v>0</v>
      </c>
      <c r="L396" s="1749">
        <v>0</v>
      </c>
      <c r="M396" s="1749">
        <v>0</v>
      </c>
    </row>
    <row r="397" spans="2:13" ht="15" x14ac:dyDescent="0.2">
      <c r="B397" s="1732">
        <v>85239</v>
      </c>
      <c r="C397" s="1732" t="s">
        <v>2003</v>
      </c>
      <c r="D397" s="1733" t="s">
        <v>2003</v>
      </c>
      <c r="E397" s="1732" t="s">
        <v>1493</v>
      </c>
      <c r="F397" s="1732" t="s">
        <v>94</v>
      </c>
      <c r="G397" s="1735" t="s">
        <v>1325</v>
      </c>
      <c r="H397" s="1735" t="s">
        <v>1303</v>
      </c>
      <c r="I397" s="1763">
        <v>10389.6</v>
      </c>
      <c r="J397" s="1749">
        <v>0</v>
      </c>
      <c r="K397" s="1749">
        <v>0</v>
      </c>
      <c r="L397" s="1749">
        <v>10389.6</v>
      </c>
      <c r="M397" s="1749">
        <v>0</v>
      </c>
    </row>
    <row r="398" spans="2:13" ht="15" x14ac:dyDescent="0.2">
      <c r="B398" s="1732">
        <v>85240</v>
      </c>
      <c r="C398" s="1732" t="s">
        <v>2004</v>
      </c>
      <c r="D398" s="1733" t="s">
        <v>2004</v>
      </c>
      <c r="E398" s="1732" t="s">
        <v>1493</v>
      </c>
      <c r="F398" s="1732" t="s">
        <v>94</v>
      </c>
      <c r="G398" s="1735" t="s">
        <v>1325</v>
      </c>
      <c r="H398" s="1735" t="s">
        <v>1303</v>
      </c>
      <c r="I398" s="1763">
        <v>0</v>
      </c>
      <c r="J398" s="1749">
        <v>0</v>
      </c>
      <c r="K398" s="1749">
        <v>0</v>
      </c>
      <c r="L398" s="1749">
        <v>0</v>
      </c>
      <c r="M398" s="1749">
        <v>0</v>
      </c>
    </row>
    <row r="399" spans="2:13" ht="15" x14ac:dyDescent="0.2">
      <c r="B399" s="1732">
        <v>85241</v>
      </c>
      <c r="C399" s="1732" t="s">
        <v>2005</v>
      </c>
      <c r="D399" s="1733" t="s">
        <v>2005</v>
      </c>
      <c r="E399" s="1732" t="s">
        <v>1493</v>
      </c>
      <c r="F399" s="1732" t="s">
        <v>94</v>
      </c>
      <c r="G399" s="1735" t="s">
        <v>1325</v>
      </c>
      <c r="H399" s="1735" t="s">
        <v>1303</v>
      </c>
      <c r="I399" s="1763">
        <v>0</v>
      </c>
      <c r="J399" s="1749">
        <v>0</v>
      </c>
      <c r="K399" s="1749">
        <v>0</v>
      </c>
      <c r="L399" s="1749">
        <v>0</v>
      </c>
      <c r="M399" s="1749">
        <v>0</v>
      </c>
    </row>
    <row r="400" spans="2:13" ht="15" x14ac:dyDescent="0.2">
      <c r="B400" s="1752">
        <v>85243</v>
      </c>
      <c r="C400" s="1752" t="s">
        <v>2006</v>
      </c>
      <c r="D400" s="1752" t="s">
        <v>2007</v>
      </c>
      <c r="E400" s="1732" t="s">
        <v>1308</v>
      </c>
      <c r="F400" s="1732" t="s">
        <v>94</v>
      </c>
      <c r="G400" s="1741" t="s">
        <v>1300</v>
      </c>
      <c r="H400" s="1735" t="s">
        <v>1303</v>
      </c>
      <c r="I400" s="1763">
        <v>0</v>
      </c>
      <c r="J400" s="1749">
        <v>3546.5084999999999</v>
      </c>
      <c r="K400" s="1749">
        <v>6208.4859374999996</v>
      </c>
      <c r="L400" s="1749">
        <v>3546.5089999999996</v>
      </c>
      <c r="M400" s="1764">
        <v>6208.4859374999996</v>
      </c>
    </row>
    <row r="401" spans="2:13" ht="15" x14ac:dyDescent="0.2">
      <c r="B401" s="1735">
        <v>85245</v>
      </c>
      <c r="C401" s="1735" t="s">
        <v>2008</v>
      </c>
      <c r="D401" s="1735"/>
      <c r="E401" s="1732" t="s">
        <v>1743</v>
      </c>
      <c r="F401" s="1735" t="s">
        <v>94</v>
      </c>
      <c r="G401" s="1735" t="s">
        <v>1300</v>
      </c>
      <c r="H401" s="1735" t="s">
        <v>1303</v>
      </c>
      <c r="I401" s="1763">
        <v>0</v>
      </c>
      <c r="J401" s="1749">
        <v>0</v>
      </c>
      <c r="K401" s="1749">
        <v>0</v>
      </c>
      <c r="L401" s="1749">
        <v>0</v>
      </c>
      <c r="M401" s="1749">
        <v>0</v>
      </c>
    </row>
    <row r="402" spans="2:13" ht="15" x14ac:dyDescent="0.2">
      <c r="B402" s="1735">
        <v>87072</v>
      </c>
      <c r="C402" s="1735" t="s">
        <v>2009</v>
      </c>
      <c r="D402" s="1735"/>
      <c r="E402" s="1732" t="s">
        <v>1311</v>
      </c>
      <c r="F402" s="1735" t="s">
        <v>94</v>
      </c>
      <c r="G402" s="1735" t="s">
        <v>1300</v>
      </c>
      <c r="H402" s="1735" t="s">
        <v>1296</v>
      </c>
      <c r="I402" s="1763">
        <v>0</v>
      </c>
      <c r="J402" s="1749">
        <v>0</v>
      </c>
      <c r="K402" s="1749">
        <v>0</v>
      </c>
      <c r="L402" s="1749">
        <v>0</v>
      </c>
      <c r="M402" s="1749">
        <v>0</v>
      </c>
    </row>
    <row r="403" spans="2:13" ht="15" x14ac:dyDescent="0.2">
      <c r="B403" s="1752">
        <v>108568</v>
      </c>
      <c r="C403" s="1752" t="s">
        <v>1347</v>
      </c>
      <c r="D403" s="1753" t="s">
        <v>2010</v>
      </c>
      <c r="E403" s="1732" t="s">
        <v>162</v>
      </c>
      <c r="F403" s="1732" t="s">
        <v>94</v>
      </c>
      <c r="G403" s="1735" t="s">
        <v>1300</v>
      </c>
      <c r="H403" s="1735" t="s">
        <v>1303</v>
      </c>
      <c r="I403" s="1763">
        <v>414438.20666666672</v>
      </c>
      <c r="J403" s="1764">
        <f>I403</f>
        <v>414438.20666666672</v>
      </c>
      <c r="K403" s="1764">
        <f t="shared" ref="K403:M403" si="3">J403</f>
        <v>414438.20666666672</v>
      </c>
      <c r="L403" s="1764">
        <f t="shared" si="3"/>
        <v>414438.20666666672</v>
      </c>
      <c r="M403" s="1764">
        <f t="shared" si="3"/>
        <v>414438.20666666672</v>
      </c>
    </row>
    <row r="404" spans="2:13" ht="15" x14ac:dyDescent="0.2">
      <c r="B404" s="1752">
        <v>108569</v>
      </c>
      <c r="C404" s="1752" t="s">
        <v>2011</v>
      </c>
      <c r="D404" s="1753" t="s">
        <v>2012</v>
      </c>
      <c r="E404" s="1732" t="s">
        <v>162</v>
      </c>
      <c r="F404" s="1732" t="s">
        <v>94</v>
      </c>
      <c r="G404" s="1735" t="s">
        <v>1300</v>
      </c>
      <c r="H404" s="1735" t="s">
        <v>1303</v>
      </c>
      <c r="I404" s="1763">
        <v>423365.88</v>
      </c>
      <c r="J404" s="1764">
        <f>I404</f>
        <v>423365.88</v>
      </c>
      <c r="K404" s="1764">
        <f t="shared" ref="K404:M404" si="4">J404</f>
        <v>423365.88</v>
      </c>
      <c r="L404" s="1764">
        <f t="shared" si="4"/>
        <v>423365.88</v>
      </c>
      <c r="M404" s="1764">
        <f t="shared" si="4"/>
        <v>423365.88</v>
      </c>
    </row>
    <row r="405" spans="2:13" ht="15" x14ac:dyDescent="0.2">
      <c r="B405" s="1732">
        <v>108573</v>
      </c>
      <c r="C405" s="1732" t="s">
        <v>1506</v>
      </c>
      <c r="D405" s="1733" t="s">
        <v>1506</v>
      </c>
      <c r="E405" s="1732" t="s">
        <v>1493</v>
      </c>
      <c r="F405" s="1732" t="s">
        <v>94</v>
      </c>
      <c r="G405" s="1735" t="s">
        <v>1300</v>
      </c>
      <c r="H405" s="1735" t="s">
        <v>1296</v>
      </c>
      <c r="I405" s="1763">
        <v>0</v>
      </c>
      <c r="J405" s="1749">
        <v>0</v>
      </c>
      <c r="K405" s="1749">
        <v>0</v>
      </c>
      <c r="L405" s="1749">
        <v>0</v>
      </c>
      <c r="M405" s="1749">
        <v>0</v>
      </c>
    </row>
    <row r="406" spans="2:13" ht="15" x14ac:dyDescent="0.2">
      <c r="B406" s="1732">
        <v>108574</v>
      </c>
      <c r="C406" s="1732" t="s">
        <v>2013</v>
      </c>
      <c r="D406" s="1732" t="s">
        <v>2014</v>
      </c>
      <c r="E406" s="1732" t="s">
        <v>1355</v>
      </c>
      <c r="F406" s="1732" t="s">
        <v>94</v>
      </c>
      <c r="G406" s="1735" t="s">
        <v>1325</v>
      </c>
      <c r="H406" s="1735" t="s">
        <v>1303</v>
      </c>
      <c r="I406" s="1763">
        <v>0</v>
      </c>
      <c r="J406" s="1749">
        <v>0</v>
      </c>
      <c r="K406" s="1749">
        <v>0</v>
      </c>
      <c r="L406" s="1749">
        <v>0</v>
      </c>
      <c r="M406" s="1749">
        <v>0</v>
      </c>
    </row>
    <row r="407" spans="2:13" ht="15" x14ac:dyDescent="0.2">
      <c r="B407" s="1732">
        <v>108575</v>
      </c>
      <c r="C407" s="1732" t="s">
        <v>2015</v>
      </c>
      <c r="D407" s="1732" t="s">
        <v>2016</v>
      </c>
      <c r="E407" s="1732" t="s">
        <v>1355</v>
      </c>
      <c r="F407" s="1732" t="s">
        <v>94</v>
      </c>
      <c r="G407" s="1735" t="s">
        <v>1295</v>
      </c>
      <c r="H407" s="1735" t="s">
        <v>1303</v>
      </c>
      <c r="I407" s="1763">
        <v>0</v>
      </c>
      <c r="J407" s="1749">
        <v>0</v>
      </c>
      <c r="K407" s="1749">
        <v>0</v>
      </c>
      <c r="L407" s="1749">
        <v>0</v>
      </c>
      <c r="M407" s="1749">
        <v>0</v>
      </c>
    </row>
    <row r="408" spans="2:13" ht="15" x14ac:dyDescent="0.2">
      <c r="B408" s="1752">
        <v>108595</v>
      </c>
      <c r="C408" s="1752" t="s">
        <v>1451</v>
      </c>
      <c r="D408" s="1753" t="s">
        <v>1452</v>
      </c>
      <c r="E408" s="1732" t="s">
        <v>1311</v>
      </c>
      <c r="F408" s="1732" t="s">
        <v>94</v>
      </c>
      <c r="G408" s="1735" t="s">
        <v>1300</v>
      </c>
      <c r="H408" s="1735" t="s">
        <v>1296</v>
      </c>
      <c r="I408" s="1763">
        <v>0</v>
      </c>
      <c r="J408" s="1764">
        <f>K408</f>
        <v>197974.92</v>
      </c>
      <c r="K408" s="1749">
        <v>197974.92</v>
      </c>
      <c r="L408" s="1749">
        <v>262305.11</v>
      </c>
      <c r="M408" s="1764">
        <f>L408</f>
        <v>262305.11</v>
      </c>
    </row>
    <row r="409" spans="2:13" ht="15" x14ac:dyDescent="0.2">
      <c r="B409" s="1732">
        <v>109257</v>
      </c>
      <c r="C409" s="1732" t="s">
        <v>2017</v>
      </c>
      <c r="D409" s="1733" t="s">
        <v>2018</v>
      </c>
      <c r="E409" s="1732" t="s">
        <v>162</v>
      </c>
      <c r="F409" s="1732" t="s">
        <v>94</v>
      </c>
      <c r="G409" s="1735" t="s">
        <v>1300</v>
      </c>
      <c r="H409" s="1735" t="s">
        <v>1303</v>
      </c>
      <c r="I409" s="1763">
        <v>0</v>
      </c>
      <c r="J409" s="1764">
        <f>I409</f>
        <v>0</v>
      </c>
      <c r="K409" s="1749">
        <v>0</v>
      </c>
      <c r="L409" s="1749">
        <v>0</v>
      </c>
      <c r="M409" s="1749">
        <v>0</v>
      </c>
    </row>
    <row r="410" spans="2:13" ht="15" x14ac:dyDescent="0.2">
      <c r="B410" s="1732">
        <v>109261</v>
      </c>
      <c r="C410" s="1732" t="s">
        <v>2019</v>
      </c>
      <c r="D410" s="1732" t="s">
        <v>2020</v>
      </c>
      <c r="E410" s="1732" t="s">
        <v>1335</v>
      </c>
      <c r="F410" s="1732" t="s">
        <v>94</v>
      </c>
      <c r="G410" s="1742" t="s">
        <v>1300</v>
      </c>
      <c r="H410" s="1735" t="s">
        <v>1303</v>
      </c>
      <c r="I410" s="1763">
        <v>0</v>
      </c>
      <c r="J410" s="1749">
        <v>8684.8000000000011</v>
      </c>
      <c r="K410" s="1749">
        <v>0</v>
      </c>
      <c r="L410" s="1749">
        <v>0</v>
      </c>
      <c r="M410" s="1749">
        <v>0</v>
      </c>
    </row>
    <row r="411" spans="2:13" ht="15" x14ac:dyDescent="0.2">
      <c r="B411" s="1752">
        <v>109766</v>
      </c>
      <c r="C411" s="1752" t="s">
        <v>1360</v>
      </c>
      <c r="D411" s="1753" t="s">
        <v>2021</v>
      </c>
      <c r="E411" s="1732" t="s">
        <v>162</v>
      </c>
      <c r="F411" s="1732" t="s">
        <v>94</v>
      </c>
      <c r="G411" s="1735" t="s">
        <v>1295</v>
      </c>
      <c r="H411" s="1735" t="s">
        <v>1296</v>
      </c>
      <c r="I411" s="1763">
        <v>330605.94</v>
      </c>
      <c r="J411" s="1764">
        <f>I411</f>
        <v>330605.94</v>
      </c>
      <c r="K411" s="1764">
        <f t="shared" ref="K411:M411" si="5">J411</f>
        <v>330605.94</v>
      </c>
      <c r="L411" s="1764">
        <f t="shared" si="5"/>
        <v>330605.94</v>
      </c>
      <c r="M411" s="1764">
        <f t="shared" si="5"/>
        <v>330605.94</v>
      </c>
    </row>
    <row r="412" spans="2:13" ht="15" x14ac:dyDescent="0.2">
      <c r="B412" s="1752">
        <v>109767</v>
      </c>
      <c r="C412" s="1752" t="s">
        <v>1358</v>
      </c>
      <c r="D412" s="1753" t="s">
        <v>2022</v>
      </c>
      <c r="E412" s="1732" t="s">
        <v>162</v>
      </c>
      <c r="F412" s="1732" t="s">
        <v>94</v>
      </c>
      <c r="G412" s="1735" t="s">
        <v>1300</v>
      </c>
      <c r="H412" s="1735" t="s">
        <v>1303</v>
      </c>
      <c r="I412" s="1763">
        <v>0</v>
      </c>
      <c r="J412" s="1749">
        <v>503245.7</v>
      </c>
      <c r="K412" s="1749">
        <v>507172.64666666667</v>
      </c>
      <c r="L412" s="1764">
        <f>K412</f>
        <v>507172.64666666667</v>
      </c>
      <c r="M412" s="1764">
        <f>L412</f>
        <v>507172.64666666667</v>
      </c>
    </row>
    <row r="413" spans="2:13" ht="15" x14ac:dyDescent="0.2">
      <c r="B413" s="1752">
        <v>109768</v>
      </c>
      <c r="C413" s="1752" t="s">
        <v>1358</v>
      </c>
      <c r="D413" s="1753" t="s">
        <v>2023</v>
      </c>
      <c r="E413" s="1732" t="s">
        <v>162</v>
      </c>
      <c r="F413" s="1732" t="s">
        <v>94</v>
      </c>
      <c r="G413" s="1735" t="s">
        <v>1300</v>
      </c>
      <c r="H413" s="1735" t="s">
        <v>1303</v>
      </c>
      <c r="I413" s="1763">
        <v>0</v>
      </c>
      <c r="J413" s="1764">
        <f>K413</f>
        <v>1424401.99</v>
      </c>
      <c r="K413" s="1764">
        <f>L413</f>
        <v>1424401.99</v>
      </c>
      <c r="L413" s="1749">
        <v>1424401.99</v>
      </c>
      <c r="M413" s="1764">
        <f>L413</f>
        <v>1424401.99</v>
      </c>
    </row>
    <row r="414" spans="2:13" ht="15" x14ac:dyDescent="0.2">
      <c r="B414" s="1732">
        <v>110423</v>
      </c>
      <c r="C414" s="1732" t="s">
        <v>2024</v>
      </c>
      <c r="D414" s="1732" t="s">
        <v>2025</v>
      </c>
      <c r="E414" s="1751" t="s">
        <v>1299</v>
      </c>
      <c r="F414" s="1732" t="s">
        <v>94</v>
      </c>
      <c r="G414" s="1735" t="s">
        <v>1300</v>
      </c>
      <c r="H414" s="1735" t="s">
        <v>1296</v>
      </c>
      <c r="I414" s="1763">
        <v>0</v>
      </c>
      <c r="J414" s="1749">
        <v>0</v>
      </c>
      <c r="K414" s="1749">
        <v>0</v>
      </c>
      <c r="L414" s="1749">
        <v>0</v>
      </c>
      <c r="M414" s="1749">
        <v>0</v>
      </c>
    </row>
    <row r="415" spans="2:13" ht="15" x14ac:dyDescent="0.2">
      <c r="B415" s="1732">
        <v>110454</v>
      </c>
      <c r="C415" s="1732" t="s">
        <v>2026</v>
      </c>
      <c r="D415" s="1733" t="s">
        <v>2026</v>
      </c>
      <c r="E415" s="1751" t="s">
        <v>1299</v>
      </c>
      <c r="F415" s="1732" t="s">
        <v>94</v>
      </c>
      <c r="G415" s="1735" t="s">
        <v>1305</v>
      </c>
      <c r="H415" s="1735" t="s">
        <v>1303</v>
      </c>
      <c r="I415" s="1763">
        <v>0</v>
      </c>
      <c r="J415" s="1749">
        <v>0</v>
      </c>
      <c r="K415" s="1749">
        <v>0</v>
      </c>
      <c r="L415" s="1749">
        <v>8709.0787719298241</v>
      </c>
      <c r="M415" s="1749">
        <v>0</v>
      </c>
    </row>
    <row r="416" spans="2:13" ht="15" x14ac:dyDescent="0.2">
      <c r="B416" s="1732">
        <v>110455</v>
      </c>
      <c r="C416" s="1732" t="s">
        <v>2027</v>
      </c>
      <c r="D416" s="1733" t="s">
        <v>2028</v>
      </c>
      <c r="E416" s="1751" t="s">
        <v>1299</v>
      </c>
      <c r="F416" s="1732" t="s">
        <v>94</v>
      </c>
      <c r="G416" s="1735" t="s">
        <v>1305</v>
      </c>
      <c r="H416" s="1735" t="s">
        <v>1303</v>
      </c>
      <c r="I416" s="1763">
        <v>0</v>
      </c>
      <c r="J416" s="1749">
        <v>0</v>
      </c>
      <c r="K416" s="1749">
        <v>0</v>
      </c>
      <c r="L416" s="1749">
        <v>0</v>
      </c>
      <c r="M416" s="1749">
        <v>5058.8847619047619</v>
      </c>
    </row>
    <row r="417" spans="2:13" ht="15" x14ac:dyDescent="0.2">
      <c r="B417" s="1732">
        <v>110495</v>
      </c>
      <c r="C417" s="1732" t="s">
        <v>2029</v>
      </c>
      <c r="D417" s="1732" t="s">
        <v>2029</v>
      </c>
      <c r="E417" s="1732" t="s">
        <v>1335</v>
      </c>
      <c r="F417" s="1732" t="s">
        <v>94</v>
      </c>
      <c r="G417" s="1742" t="s">
        <v>2030</v>
      </c>
      <c r="H417" s="1735" t="s">
        <v>1303</v>
      </c>
      <c r="I417" s="1763">
        <v>0</v>
      </c>
      <c r="J417" s="1749">
        <v>1220.81</v>
      </c>
      <c r="K417" s="1749">
        <v>1220.81</v>
      </c>
      <c r="L417" s="1749">
        <v>0</v>
      </c>
      <c r="M417" s="1749">
        <v>0</v>
      </c>
    </row>
    <row r="418" spans="2:13" ht="15" x14ac:dyDescent="0.2">
      <c r="B418" s="1732">
        <v>15360</v>
      </c>
      <c r="C418" s="1732" t="s">
        <v>2031</v>
      </c>
      <c r="D418" s="1733" t="s">
        <v>2032</v>
      </c>
      <c r="E418" s="1732" t="s">
        <v>1335</v>
      </c>
      <c r="F418" s="1732" t="s">
        <v>94</v>
      </c>
      <c r="G418" s="1742" t="s">
        <v>1300</v>
      </c>
      <c r="H418" s="1735" t="s">
        <v>1303</v>
      </c>
      <c r="I418" s="1763">
        <v>2000</v>
      </c>
      <c r="J418" s="1749">
        <v>0</v>
      </c>
      <c r="K418" s="1749">
        <v>2000</v>
      </c>
      <c r="L418" s="1749">
        <v>0</v>
      </c>
      <c r="M418" s="1749">
        <v>0</v>
      </c>
    </row>
    <row r="419" spans="2:13" ht="15" x14ac:dyDescent="0.2">
      <c r="B419" s="1732">
        <v>62821</v>
      </c>
      <c r="C419" s="1735" t="s">
        <v>2033</v>
      </c>
      <c r="D419" s="1732" t="s">
        <v>2034</v>
      </c>
      <c r="E419" s="1732" t="s">
        <v>1335</v>
      </c>
      <c r="F419" s="1732" t="s">
        <v>94</v>
      </c>
      <c r="G419" s="1741" t="s">
        <v>1337</v>
      </c>
      <c r="H419" s="1741" t="s">
        <v>1303</v>
      </c>
      <c r="I419" s="1763">
        <v>0</v>
      </c>
      <c r="J419" s="1749">
        <v>0</v>
      </c>
      <c r="K419" s="1749">
        <v>0</v>
      </c>
      <c r="L419" s="1749">
        <v>0</v>
      </c>
      <c r="M419" s="1749">
        <v>0</v>
      </c>
    </row>
    <row r="420" spans="2:13" ht="15" x14ac:dyDescent="0.2">
      <c r="B420" s="1732">
        <v>62826</v>
      </c>
      <c r="C420" s="1732" t="s">
        <v>2035</v>
      </c>
      <c r="D420" s="1732" t="s">
        <v>2036</v>
      </c>
      <c r="E420" s="1732" t="s">
        <v>1335</v>
      </c>
      <c r="F420" s="1732" t="s">
        <v>94</v>
      </c>
      <c r="G420" s="1742" t="s">
        <v>1810</v>
      </c>
      <c r="H420" s="1735" t="s">
        <v>1303</v>
      </c>
      <c r="I420" s="1763">
        <v>0</v>
      </c>
      <c r="J420" s="1749">
        <v>0</v>
      </c>
      <c r="K420" s="1749">
        <v>0</v>
      </c>
      <c r="L420" s="1749">
        <v>0</v>
      </c>
      <c r="M420" s="1749">
        <v>0</v>
      </c>
    </row>
    <row r="421" spans="2:13" ht="15" x14ac:dyDescent="0.2">
      <c r="B421" s="1735">
        <v>62823</v>
      </c>
      <c r="C421" s="1735" t="s">
        <v>2035</v>
      </c>
      <c r="D421" s="1735"/>
      <c r="E421" s="1732" t="s">
        <v>1335</v>
      </c>
      <c r="F421" s="1735" t="s">
        <v>94</v>
      </c>
      <c r="G421" s="1735" t="s">
        <v>1346</v>
      </c>
      <c r="H421" s="1735" t="s">
        <v>1303</v>
      </c>
      <c r="I421" s="1763">
        <v>0</v>
      </c>
      <c r="J421" s="1749">
        <v>0</v>
      </c>
      <c r="K421" s="1749">
        <v>0</v>
      </c>
      <c r="L421" s="1749">
        <v>0</v>
      </c>
      <c r="M421" s="1749">
        <v>0</v>
      </c>
    </row>
    <row r="422" spans="2:13" ht="15" x14ac:dyDescent="0.2">
      <c r="B422" s="1732">
        <v>111372</v>
      </c>
      <c r="C422" s="1732" t="s">
        <v>2037</v>
      </c>
      <c r="D422" s="1732" t="s">
        <v>2038</v>
      </c>
      <c r="E422" s="1751" t="s">
        <v>1299</v>
      </c>
      <c r="F422" s="1732" t="s">
        <v>94</v>
      </c>
      <c r="G422" s="1735" t="s">
        <v>1300</v>
      </c>
      <c r="H422" s="1735" t="s">
        <v>1296</v>
      </c>
      <c r="I422" s="1763">
        <v>0</v>
      </c>
      <c r="J422" s="1749">
        <v>0</v>
      </c>
      <c r="K422" s="1749">
        <v>0</v>
      </c>
      <c r="L422" s="1749">
        <v>0</v>
      </c>
      <c r="M422" s="1749">
        <v>0</v>
      </c>
    </row>
    <row r="423" spans="2:13" ht="15" x14ac:dyDescent="0.2">
      <c r="B423" s="1732">
        <v>111377</v>
      </c>
      <c r="C423" s="1732" t="s">
        <v>2039</v>
      </c>
      <c r="D423" s="1732" t="s">
        <v>1824</v>
      </c>
      <c r="E423" s="1732" t="s">
        <v>1294</v>
      </c>
      <c r="F423" s="1732" t="s">
        <v>94</v>
      </c>
      <c r="G423" s="1735" t="s">
        <v>1325</v>
      </c>
      <c r="H423" s="1735" t="s">
        <v>1296</v>
      </c>
      <c r="I423" s="1763">
        <v>0</v>
      </c>
      <c r="J423" s="1749">
        <v>0</v>
      </c>
      <c r="K423" s="1749">
        <v>0</v>
      </c>
      <c r="L423" s="1749">
        <v>0</v>
      </c>
      <c r="M423" s="1749">
        <v>0</v>
      </c>
    </row>
    <row r="424" spans="2:13" ht="15" x14ac:dyDescent="0.2">
      <c r="B424" s="1752">
        <v>111514</v>
      </c>
      <c r="C424" s="1752" t="s">
        <v>2040</v>
      </c>
      <c r="D424" s="1752" t="s">
        <v>2041</v>
      </c>
      <c r="E424" s="1732" t="s">
        <v>1311</v>
      </c>
      <c r="F424" s="1732" t="s">
        <v>94</v>
      </c>
      <c r="G424" s="1735" t="s">
        <v>1325</v>
      </c>
      <c r="H424" s="1735" t="s">
        <v>1303</v>
      </c>
      <c r="I424" s="1763">
        <v>0</v>
      </c>
      <c r="J424" s="1764">
        <f>K424</f>
        <v>232578.68333333335</v>
      </c>
      <c r="K424" s="1749">
        <v>232578.68333333335</v>
      </c>
      <c r="L424" s="1764">
        <f>K424</f>
        <v>232578.68333333335</v>
      </c>
      <c r="M424" s="1764">
        <f>L424</f>
        <v>232578.68333333335</v>
      </c>
    </row>
    <row r="425" spans="2:13" ht="15" x14ac:dyDescent="0.2">
      <c r="B425" s="1732">
        <v>111519</v>
      </c>
      <c r="C425" s="1732" t="s">
        <v>2042</v>
      </c>
      <c r="D425" s="1732" t="s">
        <v>2043</v>
      </c>
      <c r="E425" s="1732" t="s">
        <v>1355</v>
      </c>
      <c r="F425" s="1732" t="s">
        <v>94</v>
      </c>
      <c r="G425" s="1735" t="s">
        <v>1300</v>
      </c>
      <c r="H425" s="1735" t="s">
        <v>1303</v>
      </c>
      <c r="I425" s="1763">
        <v>0</v>
      </c>
      <c r="J425" s="1749">
        <v>0</v>
      </c>
      <c r="K425" s="1749">
        <v>0</v>
      </c>
      <c r="L425" s="1749">
        <v>0</v>
      </c>
      <c r="M425" s="1749">
        <v>0</v>
      </c>
    </row>
    <row r="426" spans="2:13" ht="15" x14ac:dyDescent="0.2">
      <c r="B426" s="1735">
        <v>111520</v>
      </c>
      <c r="C426" s="1735" t="s">
        <v>2044</v>
      </c>
      <c r="D426" s="1735"/>
      <c r="E426" s="1732" t="s">
        <v>1330</v>
      </c>
      <c r="F426" s="1735" t="s">
        <v>94</v>
      </c>
      <c r="G426" s="1735" t="s">
        <v>1300</v>
      </c>
      <c r="H426" s="1735" t="s">
        <v>1303</v>
      </c>
      <c r="I426" s="1763">
        <v>0</v>
      </c>
      <c r="J426" s="1749">
        <v>0</v>
      </c>
      <c r="K426" s="1749">
        <v>0</v>
      </c>
      <c r="L426" s="1749">
        <v>0</v>
      </c>
      <c r="M426" s="1749">
        <v>0</v>
      </c>
    </row>
    <row r="427" spans="2:13" ht="15" x14ac:dyDescent="0.2">
      <c r="B427" s="1732">
        <v>111521</v>
      </c>
      <c r="C427" s="1732" t="s">
        <v>2045</v>
      </c>
      <c r="D427" s="1732" t="s">
        <v>2046</v>
      </c>
      <c r="E427" s="1732" t="s">
        <v>1330</v>
      </c>
      <c r="F427" s="1732" t="s">
        <v>94</v>
      </c>
      <c r="G427" s="1735" t="s">
        <v>1300</v>
      </c>
      <c r="H427" s="1735" t="s">
        <v>1303</v>
      </c>
      <c r="I427" s="1763">
        <v>0</v>
      </c>
      <c r="J427" s="1749">
        <v>0</v>
      </c>
      <c r="K427" s="1749">
        <v>0</v>
      </c>
      <c r="L427" s="1749">
        <v>0</v>
      </c>
      <c r="M427" s="1749">
        <v>0</v>
      </c>
    </row>
    <row r="428" spans="2:13" ht="15" x14ac:dyDescent="0.2">
      <c r="B428" s="1732">
        <v>111522</v>
      </c>
      <c r="C428" s="1732" t="s">
        <v>2047</v>
      </c>
      <c r="D428" s="1733" t="s">
        <v>2048</v>
      </c>
      <c r="E428" s="1732" t="s">
        <v>1464</v>
      </c>
      <c r="F428" s="1732" t="s">
        <v>94</v>
      </c>
      <c r="G428" s="1735" t="s">
        <v>1300</v>
      </c>
      <c r="H428" s="1735" t="s">
        <v>1303</v>
      </c>
      <c r="I428" s="1763">
        <v>441945.98499999999</v>
      </c>
      <c r="J428" s="1749">
        <v>0</v>
      </c>
      <c r="K428" s="1749">
        <v>0</v>
      </c>
      <c r="L428" s="1749">
        <v>0</v>
      </c>
      <c r="M428" s="1749">
        <v>0</v>
      </c>
    </row>
    <row r="429" spans="2:13" ht="15" x14ac:dyDescent="0.2">
      <c r="B429" s="1752">
        <v>111656</v>
      </c>
      <c r="C429" s="1752" t="s">
        <v>1733</v>
      </c>
      <c r="D429" s="1753" t="s">
        <v>2049</v>
      </c>
      <c r="E429" s="1732" t="s">
        <v>162</v>
      </c>
      <c r="F429" s="1732" t="s">
        <v>94</v>
      </c>
      <c r="G429" s="1735" t="s">
        <v>1892</v>
      </c>
      <c r="H429" s="1735" t="s">
        <v>1296</v>
      </c>
      <c r="I429" s="1763">
        <v>223316.25</v>
      </c>
      <c r="J429" s="1764">
        <f>I429</f>
        <v>223316.25</v>
      </c>
      <c r="K429" s="1764">
        <f>J429</f>
        <v>223316.25</v>
      </c>
      <c r="L429" s="1764">
        <f>K429</f>
        <v>223316.25</v>
      </c>
      <c r="M429" s="1764">
        <f>L429</f>
        <v>223316.25</v>
      </c>
    </row>
    <row r="430" spans="2:13" ht="15" x14ac:dyDescent="0.2">
      <c r="B430" s="1732">
        <v>112532</v>
      </c>
      <c r="C430" s="1732" t="s">
        <v>2050</v>
      </c>
      <c r="D430" s="1733" t="s">
        <v>2051</v>
      </c>
      <c r="E430" s="1732" t="s">
        <v>162</v>
      </c>
      <c r="F430" s="1732" t="s">
        <v>94</v>
      </c>
      <c r="G430" s="1735" t="s">
        <v>1300</v>
      </c>
      <c r="H430" s="1735" t="s">
        <v>1296</v>
      </c>
      <c r="I430" s="1763">
        <v>0</v>
      </c>
      <c r="J430" s="1749">
        <v>0</v>
      </c>
      <c r="K430" s="1749">
        <v>0</v>
      </c>
      <c r="L430" s="1749">
        <v>0</v>
      </c>
      <c r="M430" s="1749">
        <v>0</v>
      </c>
    </row>
    <row r="431" spans="2:13" ht="15" x14ac:dyDescent="0.2">
      <c r="B431" s="1732">
        <v>112533</v>
      </c>
      <c r="C431" s="1732" t="s">
        <v>2052</v>
      </c>
      <c r="D431" s="1733" t="s">
        <v>2052</v>
      </c>
      <c r="E431" s="1732" t="s">
        <v>1714</v>
      </c>
      <c r="F431" s="1732" t="s">
        <v>94</v>
      </c>
      <c r="G431" s="1735" t="s">
        <v>1300</v>
      </c>
      <c r="H431" s="1735" t="s">
        <v>1303</v>
      </c>
      <c r="I431" s="1763">
        <v>0</v>
      </c>
      <c r="J431" s="1749">
        <v>10846.830555555556</v>
      </c>
      <c r="K431" s="1749">
        <v>0</v>
      </c>
      <c r="L431" s="1749">
        <v>0</v>
      </c>
      <c r="M431" s="1749">
        <v>0</v>
      </c>
    </row>
    <row r="432" spans="2:13" ht="15" x14ac:dyDescent="0.2">
      <c r="B432" s="1732">
        <v>112534</v>
      </c>
      <c r="C432" s="1732" t="s">
        <v>2053</v>
      </c>
      <c r="D432" s="1733" t="s">
        <v>2053</v>
      </c>
      <c r="E432" s="1732" t="s">
        <v>1714</v>
      </c>
      <c r="F432" s="1732" t="s">
        <v>94</v>
      </c>
      <c r="G432" s="1735" t="s">
        <v>1300</v>
      </c>
      <c r="H432" s="1735" t="s">
        <v>1303</v>
      </c>
      <c r="I432" s="1763">
        <v>0</v>
      </c>
      <c r="J432" s="1749">
        <v>0</v>
      </c>
      <c r="K432" s="1749">
        <v>0</v>
      </c>
      <c r="L432" s="1749">
        <v>0</v>
      </c>
      <c r="M432" s="1749">
        <v>0</v>
      </c>
    </row>
    <row r="433" spans="2:13" ht="15" x14ac:dyDescent="0.2">
      <c r="B433" s="1732">
        <v>112535</v>
      </c>
      <c r="C433" s="1732" t="s">
        <v>2054</v>
      </c>
      <c r="D433" s="1733" t="s">
        <v>2055</v>
      </c>
      <c r="E433" s="1732" t="s">
        <v>1714</v>
      </c>
      <c r="F433" s="1732" t="s">
        <v>94</v>
      </c>
      <c r="G433" s="1735" t="s">
        <v>1300</v>
      </c>
      <c r="H433" s="1735" t="s">
        <v>1303</v>
      </c>
      <c r="I433" s="1763">
        <v>0</v>
      </c>
      <c r="J433" s="1749">
        <v>0</v>
      </c>
      <c r="K433" s="1749">
        <v>8031.2839999999997</v>
      </c>
      <c r="L433" s="1749">
        <v>0</v>
      </c>
      <c r="M433" s="1749">
        <v>0</v>
      </c>
    </row>
    <row r="434" spans="2:13" ht="15" x14ac:dyDescent="0.2">
      <c r="B434" s="1752">
        <v>114477</v>
      </c>
      <c r="C434" s="1752" t="s">
        <v>2056</v>
      </c>
      <c r="D434" s="1752" t="s">
        <v>2057</v>
      </c>
      <c r="E434" s="1732" t="s">
        <v>1373</v>
      </c>
      <c r="F434" s="1732" t="s">
        <v>94</v>
      </c>
      <c r="G434" s="1735" t="s">
        <v>1300</v>
      </c>
      <c r="H434" s="1735" t="s">
        <v>1296</v>
      </c>
      <c r="I434" s="1763">
        <v>0</v>
      </c>
      <c r="J434" s="1749">
        <v>0</v>
      </c>
      <c r="K434" s="1749">
        <v>0</v>
      </c>
      <c r="L434" s="1749">
        <v>0</v>
      </c>
      <c r="M434" s="1749">
        <v>0</v>
      </c>
    </row>
    <row r="435" spans="2:13" ht="15" x14ac:dyDescent="0.2">
      <c r="B435" s="1752">
        <v>114804</v>
      </c>
      <c r="C435" s="1752" t="s">
        <v>2058</v>
      </c>
      <c r="D435" s="1752" t="s">
        <v>2059</v>
      </c>
      <c r="E435" s="1732" t="s">
        <v>1373</v>
      </c>
      <c r="F435" s="1732" t="s">
        <v>94</v>
      </c>
      <c r="G435" s="1735" t="s">
        <v>1300</v>
      </c>
      <c r="H435" s="1735" t="s">
        <v>1296</v>
      </c>
      <c r="I435" s="1763">
        <v>0</v>
      </c>
      <c r="J435" s="1764">
        <f>K435</f>
        <v>27524</v>
      </c>
      <c r="K435" s="1749">
        <v>27524</v>
      </c>
      <c r="L435" s="1764">
        <f>K435</f>
        <v>27524</v>
      </c>
      <c r="M435" s="1764">
        <f>L435</f>
        <v>27524</v>
      </c>
    </row>
    <row r="436" spans="2:13" ht="15" x14ac:dyDescent="0.2">
      <c r="B436" s="1732">
        <v>114865</v>
      </c>
      <c r="C436" s="1732" t="s">
        <v>2060</v>
      </c>
      <c r="D436" s="1732" t="s">
        <v>2061</v>
      </c>
      <c r="E436" s="1751" t="s">
        <v>1299</v>
      </c>
      <c r="F436" s="1732" t="s">
        <v>94</v>
      </c>
      <c r="G436" s="1735" t="s">
        <v>1300</v>
      </c>
      <c r="H436" s="1735" t="s">
        <v>1296</v>
      </c>
      <c r="I436" s="1763">
        <v>0</v>
      </c>
      <c r="J436" s="1749">
        <v>0</v>
      </c>
      <c r="K436" s="1749">
        <v>120172.5119117647</v>
      </c>
      <c r="L436" s="1749">
        <v>0</v>
      </c>
      <c r="M436" s="1749">
        <v>0</v>
      </c>
    </row>
    <row r="437" spans="2:13" ht="15" x14ac:dyDescent="0.2">
      <c r="B437" s="1732">
        <v>115057</v>
      </c>
      <c r="C437" s="1732" t="s">
        <v>2062</v>
      </c>
      <c r="D437" s="1732" t="s">
        <v>2063</v>
      </c>
      <c r="E437" s="1751" t="s">
        <v>1299</v>
      </c>
      <c r="F437" s="1732" t="s">
        <v>94</v>
      </c>
      <c r="G437" s="1735" t="s">
        <v>1300</v>
      </c>
      <c r="H437" s="1735" t="s">
        <v>1303</v>
      </c>
      <c r="I437" s="1763">
        <v>0</v>
      </c>
      <c r="J437" s="1749">
        <v>0</v>
      </c>
      <c r="K437" s="1749">
        <v>157783.04518518518</v>
      </c>
      <c r="L437" s="1749">
        <v>0</v>
      </c>
      <c r="M437" s="1749">
        <v>0</v>
      </c>
    </row>
    <row r="438" spans="2:13" ht="15" x14ac:dyDescent="0.2">
      <c r="B438" s="1732">
        <v>115058</v>
      </c>
      <c r="C438" s="1732" t="s">
        <v>2064</v>
      </c>
      <c r="D438" s="1732" t="s">
        <v>2065</v>
      </c>
      <c r="E438" s="1751" t="s">
        <v>1299</v>
      </c>
      <c r="F438" s="1732" t="s">
        <v>94</v>
      </c>
      <c r="G438" s="1735" t="s">
        <v>1305</v>
      </c>
      <c r="H438" s="1735" t="s">
        <v>1303</v>
      </c>
      <c r="I438" s="1763">
        <v>0</v>
      </c>
      <c r="J438" s="1749">
        <v>0</v>
      </c>
      <c r="K438" s="1749">
        <v>59740.806756756756</v>
      </c>
      <c r="L438" s="1749">
        <v>59843.831607142856</v>
      </c>
      <c r="M438" s="1749">
        <v>0</v>
      </c>
    </row>
    <row r="439" spans="2:13" ht="15" x14ac:dyDescent="0.2">
      <c r="B439" s="1732">
        <v>115059</v>
      </c>
      <c r="C439" s="1732" t="s">
        <v>2066</v>
      </c>
      <c r="D439" s="1733" t="s">
        <v>2066</v>
      </c>
      <c r="E439" s="1732" t="s">
        <v>1714</v>
      </c>
      <c r="F439" s="1732" t="s">
        <v>94</v>
      </c>
      <c r="G439" s="1735" t="s">
        <v>1305</v>
      </c>
      <c r="H439" s="1735" t="s">
        <v>1303</v>
      </c>
      <c r="I439" s="1763">
        <v>0</v>
      </c>
      <c r="J439" s="1749">
        <v>0</v>
      </c>
      <c r="K439" s="1749">
        <v>2689.49</v>
      </c>
      <c r="L439" s="1749">
        <v>0</v>
      </c>
      <c r="M439" s="1749">
        <v>0</v>
      </c>
    </row>
    <row r="440" spans="2:13" ht="15" x14ac:dyDescent="0.2">
      <c r="B440" s="1752">
        <v>115060</v>
      </c>
      <c r="C440" s="1752" t="s">
        <v>2067</v>
      </c>
      <c r="D440" s="1753" t="s">
        <v>2068</v>
      </c>
      <c r="E440" s="1732" t="s">
        <v>162</v>
      </c>
      <c r="F440" s="1761" t="s">
        <v>94</v>
      </c>
      <c r="G440" s="1735" t="s">
        <v>1300</v>
      </c>
      <c r="H440" s="1735" t="s">
        <v>1303</v>
      </c>
      <c r="I440" s="1763">
        <v>0</v>
      </c>
      <c r="J440" s="1749">
        <v>1911879.73</v>
      </c>
      <c r="K440" s="1749">
        <v>1927533.62</v>
      </c>
      <c r="L440" s="1749">
        <v>1909133.62</v>
      </c>
      <c r="M440" s="1764">
        <f>L440</f>
        <v>1909133.62</v>
      </c>
    </row>
    <row r="441" spans="2:13" ht="15" x14ac:dyDescent="0.2">
      <c r="B441" s="1732">
        <v>115061</v>
      </c>
      <c r="C441" s="1732" t="s">
        <v>2069</v>
      </c>
      <c r="D441" s="1733" t="s">
        <v>2070</v>
      </c>
      <c r="E441" s="1732" t="s">
        <v>162</v>
      </c>
      <c r="F441" s="1732" t="s">
        <v>94</v>
      </c>
      <c r="G441" s="1735" t="s">
        <v>1300</v>
      </c>
      <c r="H441" s="1735" t="s">
        <v>1303</v>
      </c>
      <c r="I441" s="1763">
        <v>0</v>
      </c>
      <c r="J441" s="1749">
        <v>0</v>
      </c>
      <c r="K441" s="1749">
        <v>0</v>
      </c>
      <c r="L441" s="1749">
        <v>0</v>
      </c>
      <c r="M441" s="1749">
        <v>0</v>
      </c>
    </row>
    <row r="442" spans="2:13" ht="15" x14ac:dyDescent="0.2">
      <c r="B442" s="1732">
        <v>115062</v>
      </c>
      <c r="C442" s="1732" t="s">
        <v>2071</v>
      </c>
      <c r="D442" s="1733" t="s">
        <v>2072</v>
      </c>
      <c r="E442" s="1732" t="s">
        <v>162</v>
      </c>
      <c r="F442" s="1732" t="s">
        <v>94</v>
      </c>
      <c r="G442" s="1735" t="s">
        <v>1300</v>
      </c>
      <c r="H442" s="1735" t="s">
        <v>1303</v>
      </c>
      <c r="I442" s="1763">
        <v>0</v>
      </c>
      <c r="J442" s="1749">
        <v>0</v>
      </c>
      <c r="K442" s="1749">
        <v>0</v>
      </c>
      <c r="L442" s="1749">
        <v>0</v>
      </c>
      <c r="M442" s="1749">
        <v>0</v>
      </c>
    </row>
    <row r="443" spans="2:13" ht="15" x14ac:dyDescent="0.2">
      <c r="B443" s="1735">
        <v>115134</v>
      </c>
      <c r="C443" s="1735" t="s">
        <v>2062</v>
      </c>
      <c r="D443" s="1735"/>
      <c r="E443" s="1751" t="s">
        <v>1299</v>
      </c>
      <c r="F443" s="1735" t="s">
        <v>94</v>
      </c>
      <c r="G443" s="1735" t="s">
        <v>1300</v>
      </c>
      <c r="H443" s="1735" t="s">
        <v>1303</v>
      </c>
      <c r="I443" s="1763">
        <v>0</v>
      </c>
      <c r="J443" s="1749">
        <v>0</v>
      </c>
      <c r="K443" s="1749">
        <v>0</v>
      </c>
      <c r="L443" s="1749">
        <v>0</v>
      </c>
      <c r="M443" s="1749">
        <v>0</v>
      </c>
    </row>
    <row r="444" spans="2:13" ht="15" x14ac:dyDescent="0.2">
      <c r="B444" s="1735">
        <v>115135</v>
      </c>
      <c r="C444" s="1735" t="s">
        <v>2064</v>
      </c>
      <c r="D444" s="1735"/>
      <c r="E444" s="1751" t="s">
        <v>1299</v>
      </c>
      <c r="F444" s="1735" t="s">
        <v>94</v>
      </c>
      <c r="G444" s="1735" t="s">
        <v>1305</v>
      </c>
      <c r="H444" s="1735" t="s">
        <v>1303</v>
      </c>
      <c r="I444" s="1763">
        <v>0</v>
      </c>
      <c r="J444" s="1749">
        <v>0</v>
      </c>
      <c r="K444" s="1749">
        <v>0</v>
      </c>
      <c r="L444" s="1749">
        <v>0</v>
      </c>
      <c r="M444" s="1749">
        <v>0</v>
      </c>
    </row>
    <row r="445" spans="2:13" ht="15" x14ac:dyDescent="0.2">
      <c r="B445" s="1735">
        <v>115136</v>
      </c>
      <c r="C445" s="1735" t="s">
        <v>2066</v>
      </c>
      <c r="D445" s="1735"/>
      <c r="E445" s="1732" t="s">
        <v>1714</v>
      </c>
      <c r="F445" s="1735" t="s">
        <v>94</v>
      </c>
      <c r="G445" s="1735" t="s">
        <v>1305</v>
      </c>
      <c r="H445" s="1735" t="s">
        <v>1303</v>
      </c>
      <c r="I445" s="1763">
        <v>0</v>
      </c>
      <c r="J445" s="1749">
        <v>0</v>
      </c>
      <c r="K445" s="1749">
        <v>0</v>
      </c>
      <c r="L445" s="1749">
        <v>0</v>
      </c>
      <c r="M445" s="1749">
        <v>0</v>
      </c>
    </row>
    <row r="446" spans="2:13" ht="15" x14ac:dyDescent="0.2">
      <c r="B446" s="1752">
        <v>115137</v>
      </c>
      <c r="C446" s="1755" t="s">
        <v>2073</v>
      </c>
      <c r="D446" s="1753" t="s">
        <v>2068</v>
      </c>
      <c r="E446" s="1732" t="s">
        <v>162</v>
      </c>
      <c r="F446" s="1732" t="s">
        <v>94</v>
      </c>
      <c r="G446" s="1735" t="s">
        <v>1300</v>
      </c>
      <c r="H446" s="1735" t="s">
        <v>1303</v>
      </c>
      <c r="I446" s="1763">
        <v>0</v>
      </c>
      <c r="J446" s="1749">
        <v>0</v>
      </c>
      <c r="K446" s="1749">
        <v>0</v>
      </c>
      <c r="L446" s="1749">
        <v>0</v>
      </c>
      <c r="M446" s="1749">
        <v>0</v>
      </c>
    </row>
    <row r="447" spans="2:13" ht="15" x14ac:dyDescent="0.2">
      <c r="B447" s="1732">
        <v>115138</v>
      </c>
      <c r="C447" s="1732" t="s">
        <v>2069</v>
      </c>
      <c r="D447" s="1733" t="s">
        <v>2070</v>
      </c>
      <c r="E447" s="1732" t="s">
        <v>162</v>
      </c>
      <c r="F447" s="1732" t="s">
        <v>94</v>
      </c>
      <c r="G447" s="1735" t="s">
        <v>1300</v>
      </c>
      <c r="H447" s="1735" t="s">
        <v>1303</v>
      </c>
      <c r="I447" s="1763">
        <v>0</v>
      </c>
      <c r="J447" s="1749">
        <v>0</v>
      </c>
      <c r="K447" s="1749">
        <v>0</v>
      </c>
      <c r="L447" s="1749">
        <v>0</v>
      </c>
      <c r="M447" s="1749">
        <v>0</v>
      </c>
    </row>
    <row r="448" spans="2:13" ht="15" x14ac:dyDescent="0.2">
      <c r="B448" s="1732">
        <v>115139</v>
      </c>
      <c r="C448" s="1732" t="s">
        <v>2074</v>
      </c>
      <c r="D448" s="1733" t="s">
        <v>2075</v>
      </c>
      <c r="E448" s="1732" t="s">
        <v>162</v>
      </c>
      <c r="F448" s="1732" t="s">
        <v>94</v>
      </c>
      <c r="G448" s="1735" t="s">
        <v>1300</v>
      </c>
      <c r="H448" s="1735" t="s">
        <v>1303</v>
      </c>
      <c r="I448" s="1763">
        <v>0</v>
      </c>
      <c r="J448" s="1749">
        <v>0</v>
      </c>
      <c r="K448" s="1749">
        <v>0</v>
      </c>
      <c r="L448" s="1749">
        <v>0</v>
      </c>
      <c r="M448" s="1749">
        <v>0</v>
      </c>
    </row>
    <row r="449" spans="2:13" ht="15" x14ac:dyDescent="0.2">
      <c r="B449" s="1732">
        <v>115422</v>
      </c>
      <c r="C449" s="1732" t="s">
        <v>2076</v>
      </c>
      <c r="D449" s="1733" t="s">
        <v>2076</v>
      </c>
      <c r="E449" s="1732" t="s">
        <v>162</v>
      </c>
      <c r="F449" s="1732" t="s">
        <v>94</v>
      </c>
      <c r="G449" s="1735" t="s">
        <v>1884</v>
      </c>
      <c r="H449" s="1735" t="s">
        <v>1303</v>
      </c>
      <c r="I449" s="1763">
        <v>0</v>
      </c>
      <c r="J449" s="1749">
        <v>0</v>
      </c>
      <c r="K449" s="1749">
        <v>0</v>
      </c>
      <c r="L449" s="1749">
        <v>0</v>
      </c>
      <c r="M449" s="1749">
        <v>0</v>
      </c>
    </row>
    <row r="450" spans="2:13" ht="15" x14ac:dyDescent="0.2">
      <c r="B450" s="1752">
        <v>115423</v>
      </c>
      <c r="C450" s="1752" t="s">
        <v>2077</v>
      </c>
      <c r="D450" s="1753" t="s">
        <v>2078</v>
      </c>
      <c r="E450" s="1732" t="s">
        <v>162</v>
      </c>
      <c r="F450" s="1732" t="s">
        <v>94</v>
      </c>
      <c r="G450" s="1735" t="s">
        <v>1300</v>
      </c>
      <c r="H450" s="1735" t="s">
        <v>1303</v>
      </c>
      <c r="I450" s="1763">
        <v>1433412.29</v>
      </c>
      <c r="J450" s="1764">
        <f>I450</f>
        <v>1433412.29</v>
      </c>
      <c r="K450" s="1764">
        <f>J450</f>
        <v>1433412.29</v>
      </c>
      <c r="L450" s="1764">
        <f>K450</f>
        <v>1433412.29</v>
      </c>
      <c r="M450" s="1764">
        <f>L450</f>
        <v>1433412.29</v>
      </c>
    </row>
    <row r="451" spans="2:13" ht="15" x14ac:dyDescent="0.2">
      <c r="B451" s="1732">
        <v>115424</v>
      </c>
      <c r="C451" s="1732" t="s">
        <v>2079</v>
      </c>
      <c r="D451" s="1733" t="s">
        <v>1971</v>
      </c>
      <c r="E451" s="1732" t="s">
        <v>162</v>
      </c>
      <c r="F451" s="1732" t="s">
        <v>94</v>
      </c>
      <c r="G451" s="1735" t="s">
        <v>1300</v>
      </c>
      <c r="H451" s="1735" t="s">
        <v>1303</v>
      </c>
      <c r="I451" s="1763">
        <v>0</v>
      </c>
      <c r="J451" s="1749">
        <v>0</v>
      </c>
      <c r="K451" s="1749">
        <v>0</v>
      </c>
      <c r="L451" s="1749">
        <v>0</v>
      </c>
      <c r="M451" s="1749">
        <v>0</v>
      </c>
    </row>
    <row r="452" spans="2:13" ht="15" x14ac:dyDescent="0.2">
      <c r="B452" s="1732">
        <v>115425</v>
      </c>
      <c r="C452" s="1732" t="s">
        <v>2080</v>
      </c>
      <c r="D452" s="1736" t="s">
        <v>2081</v>
      </c>
      <c r="E452" s="1732" t="s">
        <v>162</v>
      </c>
      <c r="F452" s="1732" t="s">
        <v>94</v>
      </c>
      <c r="G452" s="1735" t="s">
        <v>1300</v>
      </c>
      <c r="H452" s="1735" t="s">
        <v>1303</v>
      </c>
      <c r="I452" s="1763">
        <v>0</v>
      </c>
      <c r="J452" s="1749">
        <v>0</v>
      </c>
      <c r="K452" s="1749">
        <v>0</v>
      </c>
      <c r="L452" s="1749">
        <v>0</v>
      </c>
      <c r="M452" s="1749">
        <v>0</v>
      </c>
    </row>
    <row r="453" spans="2:13" ht="15" x14ac:dyDescent="0.2">
      <c r="B453" s="1752">
        <v>115426</v>
      </c>
      <c r="C453" s="1752" t="s">
        <v>2082</v>
      </c>
      <c r="D453" s="1753" t="s">
        <v>2082</v>
      </c>
      <c r="E453" s="1732" t="s">
        <v>162</v>
      </c>
      <c r="F453" s="1732" t="s">
        <v>94</v>
      </c>
      <c r="G453" s="1735" t="s">
        <v>1300</v>
      </c>
      <c r="H453" s="1735" t="s">
        <v>1303</v>
      </c>
      <c r="I453" s="1763">
        <v>0</v>
      </c>
      <c r="J453" s="1764">
        <f>K453</f>
        <v>252716.79999999999</v>
      </c>
      <c r="K453" s="1749">
        <v>252716.79999999999</v>
      </c>
      <c r="L453" s="1764">
        <f>K453</f>
        <v>252716.79999999999</v>
      </c>
      <c r="M453" s="1764">
        <f>L453</f>
        <v>252716.79999999999</v>
      </c>
    </row>
    <row r="454" spans="2:13" ht="15" x14ac:dyDescent="0.2">
      <c r="B454" s="1732">
        <v>115427</v>
      </c>
      <c r="C454" s="1732" t="s">
        <v>2083</v>
      </c>
      <c r="D454" s="1733" t="s">
        <v>2083</v>
      </c>
      <c r="E454" s="1732" t="s">
        <v>162</v>
      </c>
      <c r="F454" s="1732" t="s">
        <v>94</v>
      </c>
      <c r="G454" s="1735" t="s">
        <v>1300</v>
      </c>
      <c r="H454" s="1735" t="s">
        <v>1303</v>
      </c>
      <c r="I454" s="1763">
        <v>0</v>
      </c>
      <c r="J454" s="1749">
        <v>0</v>
      </c>
      <c r="K454" s="1749">
        <v>0</v>
      </c>
      <c r="L454" s="1749">
        <v>0</v>
      </c>
      <c r="M454" s="1749">
        <v>0</v>
      </c>
    </row>
    <row r="455" spans="2:13" ht="15" x14ac:dyDescent="0.2">
      <c r="B455" s="1732">
        <v>115428</v>
      </c>
      <c r="C455" s="1732" t="s">
        <v>2084</v>
      </c>
      <c r="D455" s="1733" t="s">
        <v>2084</v>
      </c>
      <c r="E455" s="1732" t="s">
        <v>162</v>
      </c>
      <c r="F455" s="1732" t="s">
        <v>94</v>
      </c>
      <c r="G455" s="1735" t="s">
        <v>1300</v>
      </c>
      <c r="H455" s="1735" t="s">
        <v>1303</v>
      </c>
      <c r="I455" s="1763">
        <v>0</v>
      </c>
      <c r="J455" s="1749">
        <v>0</v>
      </c>
      <c r="K455" s="1749">
        <v>0</v>
      </c>
      <c r="L455" s="1749">
        <v>0</v>
      </c>
      <c r="M455" s="1749">
        <v>0</v>
      </c>
    </row>
    <row r="456" spans="2:13" ht="15" x14ac:dyDescent="0.2">
      <c r="B456" s="1732">
        <v>115429</v>
      </c>
      <c r="C456" s="1732" t="s">
        <v>2085</v>
      </c>
      <c r="D456" s="1733" t="s">
        <v>2085</v>
      </c>
      <c r="E456" s="1732" t="s">
        <v>162</v>
      </c>
      <c r="F456" s="1732" t="s">
        <v>94</v>
      </c>
      <c r="G456" s="1735" t="s">
        <v>1300</v>
      </c>
      <c r="H456" s="1735" t="s">
        <v>1303</v>
      </c>
      <c r="I456" s="1763">
        <v>0</v>
      </c>
      <c r="J456" s="1749">
        <v>0</v>
      </c>
      <c r="K456" s="1749">
        <v>0</v>
      </c>
      <c r="L456" s="1749">
        <v>0</v>
      </c>
      <c r="M456" s="1749">
        <v>0</v>
      </c>
    </row>
    <row r="457" spans="2:13" ht="15" x14ac:dyDescent="0.2">
      <c r="B457" s="1752">
        <v>115865</v>
      </c>
      <c r="C457" s="1752" t="s">
        <v>2086</v>
      </c>
      <c r="D457" s="1753" t="s">
        <v>2086</v>
      </c>
      <c r="E457" s="1732" t="s">
        <v>1474</v>
      </c>
      <c r="F457" s="1732" t="s">
        <v>94</v>
      </c>
      <c r="G457" s="1735" t="s">
        <v>1346</v>
      </c>
      <c r="H457" s="1735" t="s">
        <v>1303</v>
      </c>
      <c r="I457" s="1763">
        <v>157165.35999999999</v>
      </c>
      <c r="J457" s="1764">
        <f>K457</f>
        <v>158654.95800000001</v>
      </c>
      <c r="K457" s="1749">
        <v>158654.95800000001</v>
      </c>
      <c r="L457" s="1764">
        <f>K457</f>
        <v>158654.95800000001</v>
      </c>
      <c r="M457" s="1764">
        <f>L457</f>
        <v>158654.95800000001</v>
      </c>
    </row>
    <row r="458" spans="2:13" ht="15" x14ac:dyDescent="0.2">
      <c r="B458" s="1752">
        <v>115866</v>
      </c>
      <c r="C458" s="1752" t="s">
        <v>2087</v>
      </c>
      <c r="D458" s="1753" t="s">
        <v>2087</v>
      </c>
      <c r="E458" s="1732" t="s">
        <v>1474</v>
      </c>
      <c r="F458" s="1732" t="s">
        <v>94</v>
      </c>
      <c r="G458" s="1735" t="s">
        <v>1300</v>
      </c>
      <c r="H458" s="1735" t="s">
        <v>1296</v>
      </c>
      <c r="I458" s="1763">
        <v>93565.313333333339</v>
      </c>
      <c r="J458" s="1764">
        <f>I458</f>
        <v>93565.313333333339</v>
      </c>
      <c r="K458" s="1764">
        <f t="shared" ref="K458:M458" si="6">J458</f>
        <v>93565.313333333339</v>
      </c>
      <c r="L458" s="1764">
        <f t="shared" si="6"/>
        <v>93565.313333333339</v>
      </c>
      <c r="M458" s="1764">
        <f t="shared" si="6"/>
        <v>93565.313333333339</v>
      </c>
    </row>
    <row r="459" spans="2:13" ht="15" x14ac:dyDescent="0.2">
      <c r="B459" s="1752">
        <v>115867</v>
      </c>
      <c r="C459" s="1752" t="s">
        <v>2088</v>
      </c>
      <c r="D459" s="1753" t="s">
        <v>2088</v>
      </c>
      <c r="E459" s="1732" t="s">
        <v>1474</v>
      </c>
      <c r="F459" s="1732" t="s">
        <v>94</v>
      </c>
      <c r="G459" s="1735" t="s">
        <v>1300</v>
      </c>
      <c r="H459" s="1735" t="s">
        <v>1296</v>
      </c>
      <c r="I459" s="1765">
        <f>I458</f>
        <v>93565.313333333339</v>
      </c>
      <c r="J459" s="1765">
        <f t="shared" ref="J459:M459" si="7">J458</f>
        <v>93565.313333333339</v>
      </c>
      <c r="K459" s="1765">
        <f t="shared" si="7"/>
        <v>93565.313333333339</v>
      </c>
      <c r="L459" s="1765">
        <f t="shared" si="7"/>
        <v>93565.313333333339</v>
      </c>
      <c r="M459" s="1765">
        <f t="shared" si="7"/>
        <v>93565.313333333339</v>
      </c>
    </row>
    <row r="460" spans="2:13" ht="15" x14ac:dyDescent="0.2">
      <c r="B460" s="1752">
        <v>115868</v>
      </c>
      <c r="C460" s="1752" t="s">
        <v>2089</v>
      </c>
      <c r="D460" s="1753" t="s">
        <v>2089</v>
      </c>
      <c r="E460" s="1732" t="s">
        <v>1474</v>
      </c>
      <c r="F460" s="1732" t="s">
        <v>94</v>
      </c>
      <c r="G460" s="1735" t="s">
        <v>1300</v>
      </c>
      <c r="H460" s="1735" t="s">
        <v>1296</v>
      </c>
      <c r="I460" s="1763">
        <v>157165.19333333333</v>
      </c>
      <c r="J460" s="1764">
        <f>I460</f>
        <v>157165.19333333333</v>
      </c>
      <c r="K460" s="1764">
        <f>J460</f>
        <v>157165.19333333333</v>
      </c>
      <c r="L460" s="1764">
        <f>K460</f>
        <v>157165.19333333333</v>
      </c>
      <c r="M460" s="1764">
        <f>L460</f>
        <v>157165.19333333333</v>
      </c>
    </row>
    <row r="461" spans="2:13" ht="15" x14ac:dyDescent="0.2">
      <c r="B461" s="1752">
        <v>115869</v>
      </c>
      <c r="C461" s="1752" t="s">
        <v>2090</v>
      </c>
      <c r="D461" s="1753" t="s">
        <v>2090</v>
      </c>
      <c r="E461" s="1732" t="s">
        <v>1474</v>
      </c>
      <c r="F461" s="1732" t="s">
        <v>94</v>
      </c>
      <c r="G461" s="1735" t="s">
        <v>1300</v>
      </c>
      <c r="H461" s="1735" t="s">
        <v>1296</v>
      </c>
      <c r="I461" s="1763">
        <v>73486.463333333333</v>
      </c>
      <c r="J461" s="1764">
        <f>I461</f>
        <v>73486.463333333333</v>
      </c>
      <c r="K461" s="1749">
        <v>75620.13</v>
      </c>
      <c r="L461" s="1764">
        <f>K461</f>
        <v>75620.13</v>
      </c>
      <c r="M461" s="1764">
        <f>L461</f>
        <v>75620.13</v>
      </c>
    </row>
    <row r="462" spans="2:13" ht="15" x14ac:dyDescent="0.2">
      <c r="B462" s="1752">
        <v>116389</v>
      </c>
      <c r="C462" s="1752" t="s">
        <v>2091</v>
      </c>
      <c r="D462" s="1752" t="s">
        <v>2092</v>
      </c>
      <c r="E462" s="1732" t="s">
        <v>1373</v>
      </c>
      <c r="F462" s="1732" t="s">
        <v>94</v>
      </c>
      <c r="G462" s="1735" t="s">
        <v>1295</v>
      </c>
      <c r="H462" s="1735" t="s">
        <v>1296</v>
      </c>
      <c r="I462" s="1763">
        <v>308700</v>
      </c>
      <c r="J462" s="1764">
        <f>I462</f>
        <v>308700</v>
      </c>
      <c r="K462" s="1764">
        <f>J462</f>
        <v>308700</v>
      </c>
      <c r="L462" s="1764">
        <f>K462</f>
        <v>308700</v>
      </c>
      <c r="M462" s="1764">
        <f>L462</f>
        <v>308700</v>
      </c>
    </row>
    <row r="463" spans="2:13" ht="15" x14ac:dyDescent="0.2">
      <c r="B463" s="1732">
        <v>116809</v>
      </c>
      <c r="C463" s="1732" t="s">
        <v>2093</v>
      </c>
      <c r="D463" s="1733" t="s">
        <v>2093</v>
      </c>
      <c r="E463" s="1732" t="s">
        <v>162</v>
      </c>
      <c r="F463" s="1732" t="s">
        <v>94</v>
      </c>
      <c r="G463" s="1735" t="s">
        <v>1295</v>
      </c>
      <c r="H463" s="1735" t="s">
        <v>1296</v>
      </c>
      <c r="I463" s="1763">
        <v>0</v>
      </c>
      <c r="J463" s="1749">
        <v>0</v>
      </c>
      <c r="K463" s="1749">
        <v>0</v>
      </c>
      <c r="L463" s="1749">
        <v>0</v>
      </c>
      <c r="M463" s="1749">
        <v>0</v>
      </c>
    </row>
  </sheetData>
  <autoFilter ref="A1:M463">
    <filterColumn colId="5" showButton="0"/>
    <filterColumn colId="6" showButton="0"/>
  </autoFilter>
  <mergeCells count="2">
    <mergeCell ref="F1:H1"/>
    <mergeCell ref="O1:Q1"/>
  </mergeCells>
  <conditionalFormatting sqref="I3:M463">
    <cfRule type="cellIs" dxfId="24" priority="1" operator="equal">
      <formula>0</formula>
    </cfRule>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9"/>
  <sheetViews>
    <sheetView topLeftCell="I3" workbookViewId="0">
      <selection activeCell="P32" sqref="P32"/>
    </sheetView>
  </sheetViews>
  <sheetFormatPr baseColWidth="10" defaultColWidth="8.83203125" defaultRowHeight="13" x14ac:dyDescent="0.15"/>
  <cols>
    <col min="1" max="1" width="14.5" customWidth="1"/>
    <col min="2" max="2" width="16.6640625" customWidth="1"/>
    <col min="3" max="3" width="7.6640625" style="315" customWidth="1"/>
    <col min="4" max="4" width="6.33203125" style="315" customWidth="1"/>
    <col min="5" max="7" width="11.5" bestFit="1" customWidth="1"/>
    <col min="9" max="9" width="11.1640625" bestFit="1" customWidth="1"/>
    <col min="10" max="10" width="11.5" bestFit="1" customWidth="1"/>
    <col min="11" max="12" width="11.5" style="315" bestFit="1" customWidth="1"/>
    <col min="14" max="14" width="9.6640625" style="315" bestFit="1" customWidth="1"/>
    <col min="15" max="15" width="3.33203125" style="316" customWidth="1"/>
    <col min="16" max="19" width="12.33203125" bestFit="1" customWidth="1"/>
    <col min="20" max="20" width="11.33203125" bestFit="1" customWidth="1"/>
    <col min="21" max="21" width="12.83203125" customWidth="1"/>
    <col min="22" max="23" width="12.83203125" style="315" customWidth="1"/>
    <col min="24" max="24" width="11.33203125" bestFit="1" customWidth="1"/>
    <col min="27" max="27" width="24.1640625" customWidth="1"/>
  </cols>
  <sheetData>
    <row r="1" spans="1:27" s="315" customFormat="1" x14ac:dyDescent="0.15">
      <c r="E1" s="132" t="s">
        <v>2657</v>
      </c>
      <c r="O1" s="316"/>
      <c r="P1" s="2344" t="s">
        <v>2658</v>
      </c>
      <c r="Q1" s="2344"/>
    </row>
    <row r="2" spans="1:27" x14ac:dyDescent="0.15">
      <c r="B2" s="132"/>
      <c r="E2" s="2343" t="s">
        <v>411</v>
      </c>
      <c r="F2" s="2343"/>
      <c r="G2" s="2343" t="s">
        <v>1233</v>
      </c>
      <c r="H2" s="2343"/>
      <c r="I2" s="2343" t="s">
        <v>1234</v>
      </c>
      <c r="J2" s="2343"/>
      <c r="K2" s="1675" t="s">
        <v>1278</v>
      </c>
      <c r="L2" s="1675" t="s">
        <v>1281</v>
      </c>
      <c r="M2" s="1677" t="s">
        <v>1235</v>
      </c>
      <c r="N2" s="1677" t="s">
        <v>1244</v>
      </c>
      <c r="O2" s="1678"/>
      <c r="P2" s="2342" t="s">
        <v>411</v>
      </c>
      <c r="Q2" s="2342"/>
      <c r="R2" s="2342" t="s">
        <v>1233</v>
      </c>
      <c r="S2" s="2342"/>
      <c r="T2" s="2342" t="s">
        <v>1234</v>
      </c>
      <c r="U2" s="2342"/>
      <c r="V2" s="1680" t="s">
        <v>1278</v>
      </c>
      <c r="W2" s="1863" t="s">
        <v>1281</v>
      </c>
      <c r="X2" s="1681" t="s">
        <v>1235</v>
      </c>
      <c r="Y2" s="1681" t="s">
        <v>1244</v>
      </c>
    </row>
    <row r="3" spans="1:27" x14ac:dyDescent="0.15">
      <c r="D3" s="132" t="s">
        <v>1231</v>
      </c>
      <c r="E3" s="632" t="s">
        <v>1229</v>
      </c>
      <c r="F3" s="632" t="s">
        <v>1232</v>
      </c>
      <c r="G3" s="632" t="s">
        <v>1229</v>
      </c>
      <c r="H3" s="632" t="s">
        <v>1232</v>
      </c>
      <c r="I3" s="632" t="s">
        <v>1229</v>
      </c>
      <c r="J3" s="632" t="s">
        <v>1232</v>
      </c>
      <c r="K3" s="632" t="s">
        <v>1229</v>
      </c>
      <c r="L3" s="632" t="s">
        <v>1229</v>
      </c>
      <c r="M3" s="632" t="s">
        <v>1229</v>
      </c>
      <c r="N3" s="632" t="s">
        <v>1229</v>
      </c>
      <c r="O3" s="1679"/>
      <c r="P3" s="632" t="s">
        <v>1229</v>
      </c>
      <c r="Q3" s="632" t="s">
        <v>1232</v>
      </c>
      <c r="R3" s="632" t="s">
        <v>1229</v>
      </c>
      <c r="S3" s="632" t="s">
        <v>1232</v>
      </c>
      <c r="T3" s="632" t="s">
        <v>1229</v>
      </c>
      <c r="U3" s="632" t="s">
        <v>1232</v>
      </c>
      <c r="V3" s="632" t="s">
        <v>1229</v>
      </c>
      <c r="W3" s="632" t="s">
        <v>1229</v>
      </c>
      <c r="X3" s="632" t="s">
        <v>1229</v>
      </c>
      <c r="Y3" s="632" t="s">
        <v>1229</v>
      </c>
    </row>
    <row r="4" spans="1:27" s="315" customFormat="1" ht="15" x14ac:dyDescent="0.2">
      <c r="A4" s="132" t="s">
        <v>1276</v>
      </c>
      <c r="B4" s="132" t="s">
        <v>1277</v>
      </c>
      <c r="C4" s="132" t="s">
        <v>1274</v>
      </c>
      <c r="D4" s="132">
        <v>30.42</v>
      </c>
      <c r="E4" s="1668">
        <f>ROUNDUP(($E$48*5.6146)/E14,0)</f>
        <v>714</v>
      </c>
      <c r="F4" s="1668">
        <f>ROUNDUP(($E$48*5.6146)/F14,0)</f>
        <v>712</v>
      </c>
      <c r="G4" s="1668">
        <f>ROUNDUP(($F$48*5.6146)/G14,0)</f>
        <v>1969</v>
      </c>
      <c r="H4" s="1668">
        <f>ROUNDUP(($F$48*5.6146)/H14,0)</f>
        <v>1959</v>
      </c>
      <c r="I4" s="1668">
        <f>ROUNDUP(($G$48*5.6146)/I14,0)</f>
        <v>1596</v>
      </c>
      <c r="J4" s="1668">
        <f>ROUNDUP(($G$48*5.6146)/J14,0)</f>
        <v>1596</v>
      </c>
      <c r="K4" s="1668">
        <f>ROUNDUP(($J$48*5.6146)/K14,0)</f>
        <v>111</v>
      </c>
      <c r="L4" s="1668">
        <f>ROUNDUP(($K$48*5.6146)/L14,0)</f>
        <v>103</v>
      </c>
      <c r="M4" s="1668">
        <f>ROUNDUP(($H$48*5.6146)/M14,0)</f>
        <v>979</v>
      </c>
      <c r="N4" s="1668" t="e">
        <f>ROUNDUP(($I$48*5.6146)/N14,0)</f>
        <v>#VALUE!</v>
      </c>
      <c r="O4" s="1679"/>
      <c r="P4" s="1668">
        <f>E4*(94/110)</f>
        <v>610.14545454545453</v>
      </c>
      <c r="Q4" s="1668">
        <f t="shared" ref="Q4:Y4" si="0">F4*(94/110)</f>
        <v>608.43636363636358</v>
      </c>
      <c r="R4" s="1668">
        <f t="shared" si="0"/>
        <v>1682.6</v>
      </c>
      <c r="S4" s="1668">
        <f t="shared" si="0"/>
        <v>1674.0545454545454</v>
      </c>
      <c r="T4" s="1668">
        <f t="shared" si="0"/>
        <v>1363.8545454545454</v>
      </c>
      <c r="U4" s="1668">
        <f t="shared" si="0"/>
        <v>1363.8545454545454</v>
      </c>
      <c r="V4" s="1668">
        <f t="shared" si="0"/>
        <v>94.854545454545445</v>
      </c>
      <c r="W4" s="1668">
        <f t="shared" si="0"/>
        <v>88.018181818181816</v>
      </c>
      <c r="X4" s="1668">
        <f>M4*(94/110)</f>
        <v>836.59999999999991</v>
      </c>
      <c r="Y4" s="1668" t="e">
        <f t="shared" si="0"/>
        <v>#VALUE!</v>
      </c>
      <c r="AA4" s="132"/>
    </row>
    <row r="5" spans="1:27" x14ac:dyDescent="0.15">
      <c r="A5" s="132" t="s">
        <v>1194</v>
      </c>
      <c r="B5" t="s">
        <v>1219</v>
      </c>
      <c r="C5" s="132" t="s">
        <v>160</v>
      </c>
      <c r="D5" s="315">
        <v>56.77</v>
      </c>
      <c r="E5" s="629">
        <v>0.05</v>
      </c>
      <c r="F5" s="629">
        <v>0.05</v>
      </c>
      <c r="G5" s="629">
        <v>0.05</v>
      </c>
      <c r="H5" s="629">
        <v>0.05</v>
      </c>
      <c r="I5" s="629">
        <v>0.05</v>
      </c>
      <c r="J5" s="629">
        <v>0.05</v>
      </c>
      <c r="K5" s="629">
        <v>0.05</v>
      </c>
      <c r="L5" s="629">
        <v>0.05</v>
      </c>
      <c r="M5" s="629">
        <v>0.05</v>
      </c>
      <c r="N5" s="629">
        <v>0.05</v>
      </c>
      <c r="O5" s="695"/>
      <c r="P5" s="629">
        <f t="shared" ref="P5:Y5" si="1">ROUNDUP(E$4*E5,0)</f>
        <v>36</v>
      </c>
      <c r="Q5" s="629">
        <f t="shared" si="1"/>
        <v>36</v>
      </c>
      <c r="R5" s="629">
        <f t="shared" si="1"/>
        <v>99</v>
      </c>
      <c r="S5" s="629">
        <f t="shared" si="1"/>
        <v>98</v>
      </c>
      <c r="T5" s="629">
        <f t="shared" si="1"/>
        <v>80</v>
      </c>
      <c r="U5" s="629">
        <f t="shared" si="1"/>
        <v>80</v>
      </c>
      <c r="V5" s="629">
        <f t="shared" si="1"/>
        <v>6</v>
      </c>
      <c r="W5" s="629">
        <f t="shared" si="1"/>
        <v>6</v>
      </c>
      <c r="X5" s="629">
        <f>ROUNDUP(M$4*M5,0)</f>
        <v>49</v>
      </c>
      <c r="Y5" s="629" t="e">
        <f t="shared" si="1"/>
        <v>#VALUE!</v>
      </c>
      <c r="AA5" s="132"/>
    </row>
    <row r="6" spans="1:27" x14ac:dyDescent="0.15">
      <c r="A6" s="132" t="s">
        <v>1196</v>
      </c>
      <c r="B6" t="s">
        <v>1225</v>
      </c>
      <c r="C6" s="132" t="s">
        <v>1275</v>
      </c>
      <c r="D6" s="315">
        <v>0.46</v>
      </c>
      <c r="E6" s="629">
        <v>0.35</v>
      </c>
      <c r="F6" s="1676">
        <v>0</v>
      </c>
      <c r="G6" s="629">
        <v>0.25</v>
      </c>
      <c r="H6" s="1676">
        <v>0</v>
      </c>
      <c r="I6" s="1676">
        <v>0</v>
      </c>
      <c r="J6" s="629"/>
      <c r="K6" s="629"/>
      <c r="L6" s="629"/>
      <c r="M6" s="629">
        <v>0.13</v>
      </c>
      <c r="N6" s="629">
        <v>0.13</v>
      </c>
      <c r="O6" s="695"/>
      <c r="P6" s="632">
        <f>ROUNDUP(E$4*E6*0.94,0)</f>
        <v>235</v>
      </c>
      <c r="Q6" s="1676">
        <v>0</v>
      </c>
      <c r="R6" s="632">
        <f>ROUNDUP(G$4*G6*0.94,0)</f>
        <v>463</v>
      </c>
      <c r="S6" s="1676">
        <v>0</v>
      </c>
      <c r="T6" s="1676">
        <v>0</v>
      </c>
      <c r="U6" s="1676">
        <v>0</v>
      </c>
      <c r="V6" s="1676">
        <v>0</v>
      </c>
      <c r="W6" s="1676">
        <v>0</v>
      </c>
      <c r="X6" s="632">
        <f>ROUNDUP(M$4*M6*0.94,0)</f>
        <v>120</v>
      </c>
      <c r="Y6" s="632" t="e">
        <f>ROUNDUP(N$4*N6*0.94,0)</f>
        <v>#VALUE!</v>
      </c>
      <c r="AA6" s="132"/>
    </row>
    <row r="7" spans="1:27" x14ac:dyDescent="0.15">
      <c r="A7" s="132" t="s">
        <v>1193</v>
      </c>
      <c r="B7" t="s">
        <v>1221</v>
      </c>
      <c r="C7" s="132" t="s">
        <v>1275</v>
      </c>
      <c r="D7" s="315">
        <v>1.64</v>
      </c>
      <c r="E7" s="629">
        <v>0.09</v>
      </c>
      <c r="F7" s="629">
        <v>0.45</v>
      </c>
      <c r="G7" s="629">
        <v>0.2</v>
      </c>
      <c r="H7" s="629">
        <v>0.5</v>
      </c>
      <c r="I7" s="629">
        <v>0.4</v>
      </c>
      <c r="J7" s="629">
        <v>0.5</v>
      </c>
      <c r="K7" s="629">
        <v>0.5</v>
      </c>
      <c r="L7" s="629">
        <v>0.5</v>
      </c>
      <c r="M7" s="629">
        <v>0.1</v>
      </c>
      <c r="N7" s="629">
        <v>0.1</v>
      </c>
      <c r="O7" s="695"/>
      <c r="P7" s="632">
        <f>ROUNDUP(E$4*E7*0.94,0)</f>
        <v>61</v>
      </c>
      <c r="Q7" s="632">
        <f>ROUNDUP(F$4*F7*0.94,0)</f>
        <v>302</v>
      </c>
      <c r="R7" s="632">
        <f>ROUNDUP(G$4*G7*0.94,0)</f>
        <v>371</v>
      </c>
      <c r="S7" s="632">
        <f>ROUNDUP(H$4*H7*0.94,0)</f>
        <v>921</v>
      </c>
      <c r="T7" s="632">
        <f>ROUNDUP(I$4*I7*0.94,0)</f>
        <v>601</v>
      </c>
      <c r="U7" s="632">
        <f>ROUNDUP(J$4*J7*0.94,0)</f>
        <v>751</v>
      </c>
      <c r="V7" s="632">
        <f>ROUNDUP(K$4*K7*0.94,0)</f>
        <v>53</v>
      </c>
      <c r="W7" s="632">
        <f>ROUNDUP(L$4*L7*0.94,0)</f>
        <v>49</v>
      </c>
      <c r="X7" s="632">
        <f>ROUNDUP(M$4*M7*0.94,0)</f>
        <v>93</v>
      </c>
      <c r="Y7" s="632" t="e">
        <f>ROUNDUP(N$4*N7*0.94,0)</f>
        <v>#VALUE!</v>
      </c>
      <c r="AA7" s="132"/>
    </row>
    <row r="8" spans="1:27" x14ac:dyDescent="0.15">
      <c r="A8" s="132" t="s">
        <v>1195</v>
      </c>
      <c r="B8" t="s">
        <v>1222</v>
      </c>
      <c r="C8" s="132" t="s">
        <v>1275</v>
      </c>
      <c r="D8" s="315">
        <v>8.31</v>
      </c>
      <c r="E8" s="629">
        <v>0.18</v>
      </c>
      <c r="F8" s="629">
        <v>0.14000000000000001</v>
      </c>
      <c r="G8" s="629">
        <v>0.04</v>
      </c>
      <c r="H8" s="629">
        <v>8.7999999999999995E-2</v>
      </c>
      <c r="I8" s="1676">
        <v>0</v>
      </c>
      <c r="J8" s="629">
        <v>0.1</v>
      </c>
      <c r="K8" s="629">
        <v>0.1</v>
      </c>
      <c r="L8" s="629">
        <v>0.1</v>
      </c>
      <c r="M8" s="629">
        <v>0.155</v>
      </c>
      <c r="N8" s="629">
        <v>0.22</v>
      </c>
      <c r="O8" s="695"/>
      <c r="P8" s="632">
        <f>ROUNDUP(E$4*E8,0)</f>
        <v>129</v>
      </c>
      <c r="Q8" s="632">
        <f>ROUNDUP(F$4*F8*0.94,0)</f>
        <v>94</v>
      </c>
      <c r="R8" s="632">
        <f>ROUNDUP(G$4*G8,0)</f>
        <v>79</v>
      </c>
      <c r="S8" s="632">
        <f>ROUNDUP(H$4*H8*0.94,0)</f>
        <v>163</v>
      </c>
      <c r="T8" s="1676">
        <v>0</v>
      </c>
      <c r="U8" s="632">
        <f>ROUNDUP(J$4*J8*0.94,0)</f>
        <v>151</v>
      </c>
      <c r="V8" s="632">
        <f>ROUNDUP(K$4*K8*0.94,0)</f>
        <v>11</v>
      </c>
      <c r="W8" s="632">
        <f>ROUNDUP(L$4*L8*0.94,0)</f>
        <v>10</v>
      </c>
      <c r="X8" s="632">
        <f>ROUNDUP(M$4*M8,0)</f>
        <v>152</v>
      </c>
      <c r="Y8" s="632" t="e">
        <f>ROUNDUP(N$4*N8,0)</f>
        <v>#VALUE!</v>
      </c>
      <c r="AA8" s="132"/>
    </row>
    <row r="9" spans="1:27" x14ac:dyDescent="0.15">
      <c r="A9" s="132" t="s">
        <v>1191</v>
      </c>
      <c r="B9" t="s">
        <v>1223</v>
      </c>
      <c r="C9" s="132" t="s">
        <v>1275</v>
      </c>
      <c r="D9" s="315">
        <v>24.03</v>
      </c>
      <c r="E9" s="629">
        <v>40</v>
      </c>
      <c r="F9" s="629">
        <v>35</v>
      </c>
      <c r="G9" s="629">
        <v>40</v>
      </c>
      <c r="H9" s="629">
        <v>35</v>
      </c>
      <c r="I9" s="629">
        <v>40</v>
      </c>
      <c r="J9" s="629">
        <v>35</v>
      </c>
      <c r="K9" s="629">
        <v>35</v>
      </c>
      <c r="L9" s="629">
        <v>35</v>
      </c>
      <c r="M9" s="629">
        <v>40</v>
      </c>
      <c r="N9" s="629">
        <v>40</v>
      </c>
      <c r="O9" s="695"/>
      <c r="P9" s="632">
        <f t="shared" ref="P9:Y9" si="2">ROUNDUP(E$4*E9*0.94/(2.2)/50,0)</f>
        <v>245</v>
      </c>
      <c r="Q9" s="632">
        <f t="shared" si="2"/>
        <v>213</v>
      </c>
      <c r="R9" s="632">
        <f t="shared" si="2"/>
        <v>674</v>
      </c>
      <c r="S9" s="632">
        <f t="shared" si="2"/>
        <v>586</v>
      </c>
      <c r="T9" s="632">
        <f t="shared" si="2"/>
        <v>546</v>
      </c>
      <c r="U9" s="632">
        <f t="shared" si="2"/>
        <v>478</v>
      </c>
      <c r="V9" s="632">
        <f t="shared" si="2"/>
        <v>34</v>
      </c>
      <c r="W9" s="632">
        <f t="shared" si="2"/>
        <v>31</v>
      </c>
      <c r="X9" s="632">
        <f t="shared" si="2"/>
        <v>335</v>
      </c>
      <c r="Y9" s="632" t="e">
        <f t="shared" si="2"/>
        <v>#VALUE!</v>
      </c>
      <c r="AA9" s="132"/>
    </row>
    <row r="10" spans="1:27" x14ac:dyDescent="0.15">
      <c r="A10" s="132" t="s">
        <v>1230</v>
      </c>
      <c r="B10" s="132" t="s">
        <v>1220</v>
      </c>
      <c r="C10" s="132" t="s">
        <v>160</v>
      </c>
      <c r="D10" s="132">
        <v>50.45</v>
      </c>
      <c r="E10" s="1676">
        <v>0</v>
      </c>
      <c r="F10" s="629">
        <v>1</v>
      </c>
      <c r="G10" s="1676">
        <v>0</v>
      </c>
      <c r="H10" s="629">
        <v>1</v>
      </c>
      <c r="I10" s="1676">
        <v>0</v>
      </c>
      <c r="J10" s="629">
        <v>1</v>
      </c>
      <c r="K10" s="629">
        <v>1</v>
      </c>
      <c r="L10" s="629">
        <v>1</v>
      </c>
      <c r="M10" s="1676">
        <v>0</v>
      </c>
      <c r="N10" s="1676">
        <v>0</v>
      </c>
      <c r="O10" s="695"/>
      <c r="P10" s="1676">
        <v>0</v>
      </c>
      <c r="Q10" s="632">
        <f>ROUNDUP(F$4*F10,0)</f>
        <v>712</v>
      </c>
      <c r="R10" s="1676">
        <v>0</v>
      </c>
      <c r="S10" s="632">
        <f>ROUNDUP(H$4*H10,0)</f>
        <v>1959</v>
      </c>
      <c r="T10" s="1676">
        <v>0</v>
      </c>
      <c r="U10" s="632">
        <f>ROUNDUP(J$4*J10,0)</f>
        <v>1596</v>
      </c>
      <c r="V10" s="632">
        <f>ROUNDUP(K$4*K10,0)</f>
        <v>111</v>
      </c>
      <c r="W10" s="632">
        <f>ROUNDUP(L$4*L10,0)</f>
        <v>103</v>
      </c>
      <c r="X10" s="1676">
        <v>0</v>
      </c>
      <c r="Y10" s="1676">
        <v>0</v>
      </c>
      <c r="AA10" s="132"/>
    </row>
    <row r="11" spans="1:27" s="315" customFormat="1" x14ac:dyDescent="0.15">
      <c r="A11" s="132" t="s">
        <v>1192</v>
      </c>
      <c r="B11" s="132" t="s">
        <v>1224</v>
      </c>
      <c r="C11" s="132" t="s">
        <v>1275</v>
      </c>
      <c r="D11" s="132">
        <v>4.07</v>
      </c>
      <c r="E11" s="1676">
        <v>0</v>
      </c>
      <c r="F11" s="1676">
        <v>0</v>
      </c>
      <c r="G11" s="629">
        <v>0.65</v>
      </c>
      <c r="H11" s="629">
        <v>0.6</v>
      </c>
      <c r="I11" s="695">
        <v>0.85</v>
      </c>
      <c r="J11" s="629">
        <v>0.65</v>
      </c>
      <c r="K11" s="629">
        <v>0.65</v>
      </c>
      <c r="L11" s="629">
        <v>0.65</v>
      </c>
      <c r="M11" s="1676">
        <v>0</v>
      </c>
      <c r="N11" s="1676">
        <v>0</v>
      </c>
      <c r="O11" s="695"/>
      <c r="P11" s="1676">
        <v>0</v>
      </c>
      <c r="Q11" s="1676">
        <v>0</v>
      </c>
      <c r="R11" s="632">
        <f t="shared" ref="R11:W11" si="3">ROUNDUP(G$4*G11*0.94,0)</f>
        <v>1204</v>
      </c>
      <c r="S11" s="632">
        <f t="shared" si="3"/>
        <v>1105</v>
      </c>
      <c r="T11" s="632">
        <f t="shared" si="3"/>
        <v>1276</v>
      </c>
      <c r="U11" s="632">
        <f t="shared" si="3"/>
        <v>976</v>
      </c>
      <c r="V11" s="632">
        <f t="shared" si="3"/>
        <v>68</v>
      </c>
      <c r="W11" s="632">
        <f t="shared" si="3"/>
        <v>63</v>
      </c>
      <c r="X11" s="1676">
        <v>0</v>
      </c>
      <c r="Y11" s="1676">
        <v>0</v>
      </c>
      <c r="AA11" s="132"/>
    </row>
    <row r="12" spans="1:27" s="315" customFormat="1" x14ac:dyDescent="0.15">
      <c r="A12" s="132" t="s">
        <v>1238</v>
      </c>
      <c r="B12" s="132" t="s">
        <v>1237</v>
      </c>
      <c r="C12" s="132" t="s">
        <v>160</v>
      </c>
      <c r="D12" s="132">
        <v>38.380000000000003</v>
      </c>
      <c r="E12" s="1676">
        <v>0</v>
      </c>
      <c r="F12" s="1676">
        <v>0</v>
      </c>
      <c r="G12" s="1676">
        <v>0</v>
      </c>
      <c r="H12" s="1676">
        <v>0</v>
      </c>
      <c r="I12" s="629">
        <v>0.03</v>
      </c>
      <c r="J12" s="1676">
        <v>0</v>
      </c>
      <c r="K12" s="1676">
        <v>0</v>
      </c>
      <c r="L12" s="1676">
        <v>0</v>
      </c>
      <c r="M12" s="1676">
        <v>0</v>
      </c>
      <c r="N12" s="1676">
        <v>0</v>
      </c>
      <c r="O12" s="695"/>
      <c r="P12" s="1676">
        <v>0</v>
      </c>
      <c r="Q12" s="1676">
        <v>0</v>
      </c>
      <c r="R12" s="1676">
        <v>0</v>
      </c>
      <c r="S12" s="1676">
        <v>0</v>
      </c>
      <c r="T12" s="629">
        <f>ROUNDUP(I$4*I12,0)</f>
        <v>48</v>
      </c>
      <c r="U12" s="1676">
        <v>0</v>
      </c>
      <c r="V12" s="1676">
        <v>0</v>
      </c>
      <c r="W12" s="1676">
        <v>0</v>
      </c>
      <c r="X12" s="1676">
        <v>0</v>
      </c>
      <c r="Y12" s="1676">
        <v>0</v>
      </c>
      <c r="AA12" s="132"/>
    </row>
    <row r="13" spans="1:27" s="315" customFormat="1" x14ac:dyDescent="0.15">
      <c r="A13" s="132" t="s">
        <v>1192</v>
      </c>
      <c r="B13" s="132" t="s">
        <v>1226</v>
      </c>
      <c r="C13" s="132" t="s">
        <v>1275</v>
      </c>
      <c r="D13" s="132">
        <v>46.233000000000004</v>
      </c>
      <c r="E13" s="1676">
        <v>0</v>
      </c>
      <c r="F13" s="1676">
        <v>0</v>
      </c>
      <c r="G13" s="1676">
        <v>0</v>
      </c>
      <c r="H13" s="1676">
        <v>0</v>
      </c>
      <c r="I13" s="1676">
        <v>0</v>
      </c>
      <c r="J13" s="1676">
        <v>0</v>
      </c>
      <c r="K13" s="1676">
        <v>0</v>
      </c>
      <c r="L13" s="1676">
        <v>0</v>
      </c>
      <c r="M13" s="629">
        <v>0.1</v>
      </c>
      <c r="N13" s="629">
        <v>0.1</v>
      </c>
      <c r="O13" s="695"/>
      <c r="P13" s="1676">
        <v>0</v>
      </c>
      <c r="Q13" s="1676">
        <v>0</v>
      </c>
      <c r="R13" s="1676">
        <v>0</v>
      </c>
      <c r="S13" s="1676">
        <v>0</v>
      </c>
      <c r="T13" s="1676">
        <v>0</v>
      </c>
      <c r="U13" s="1676">
        <v>0</v>
      </c>
      <c r="V13" s="1676">
        <v>0</v>
      </c>
      <c r="W13" s="1676">
        <v>0</v>
      </c>
      <c r="X13" s="632">
        <f>ROUNDUP(M$4*M13*0.94,0)</f>
        <v>93</v>
      </c>
      <c r="Y13" s="632">
        <f>ROUNDUP(O$4*O13*0.94,0)</f>
        <v>0</v>
      </c>
      <c r="AA13" s="132"/>
    </row>
    <row r="14" spans="1:27" s="315" customFormat="1" x14ac:dyDescent="0.15">
      <c r="A14" s="132" t="s">
        <v>1236</v>
      </c>
      <c r="E14" s="629">
        <v>1.7969999999999999</v>
      </c>
      <c r="F14" s="629">
        <v>1.8029999999999999</v>
      </c>
      <c r="G14" s="629">
        <v>1.7969999999999999</v>
      </c>
      <c r="H14" s="629">
        <v>1.806</v>
      </c>
      <c r="I14" s="629">
        <v>1.8</v>
      </c>
      <c r="J14" s="629">
        <v>1.8</v>
      </c>
      <c r="K14" s="629">
        <v>1.8</v>
      </c>
      <c r="L14" s="629">
        <v>1.8</v>
      </c>
      <c r="M14" s="629">
        <v>1.645</v>
      </c>
      <c r="N14" s="629">
        <v>1.64</v>
      </c>
      <c r="O14" s="695"/>
      <c r="P14" s="629">
        <v>1.7969999999999999</v>
      </c>
      <c r="Q14" s="629">
        <v>1.8029999999999999</v>
      </c>
      <c r="R14" s="629">
        <v>1.7969999999999999</v>
      </c>
      <c r="S14" s="629">
        <v>1.806</v>
      </c>
      <c r="T14" s="629">
        <v>1.8</v>
      </c>
      <c r="U14" s="629">
        <v>1.8</v>
      </c>
      <c r="V14" s="629">
        <v>1.8</v>
      </c>
      <c r="W14" s="629">
        <v>1.8</v>
      </c>
      <c r="X14" s="629">
        <v>1.645</v>
      </c>
      <c r="Y14" s="629">
        <v>1.64</v>
      </c>
    </row>
    <row r="15" spans="1:27" s="315" customFormat="1" x14ac:dyDescent="0.15">
      <c r="O15" s="316"/>
    </row>
    <row r="16" spans="1:27" s="315" customFormat="1" x14ac:dyDescent="0.15">
      <c r="O16" s="316"/>
      <c r="P16" s="1682">
        <f>SUMPRODUCT(P4:P13,D4:$D$13)</f>
        <v>27771.824727272731</v>
      </c>
      <c r="Q16" s="1682">
        <f>SUMPRODUCT(Q4:Q13,D4:$D13)</f>
        <v>62867.564181818183</v>
      </c>
      <c r="R16" s="1682">
        <f>SUMPRODUCT(R4:R13,D4:$D$13)</f>
        <v>79379.332000000009</v>
      </c>
      <c r="S16" s="1682">
        <f>SUMPRODUCT(S4:S13,D4:$D13)</f>
        <v>176763.64927272729</v>
      </c>
      <c r="T16" s="1682">
        <f>SUMPRODUCT(T4:T13,$D$4:$D$13)</f>
        <v>67171.635272727275</v>
      </c>
      <c r="U16" s="1682">
        <f>SUMPRODUCT(U4:U13,$D$4:$D$13)</f>
        <v>144493.36527272727</v>
      </c>
      <c r="V16" s="1682">
        <f>SUMPRODUCT(V4:V13,$D$4:$D$13)</f>
        <v>10098.155272727274</v>
      </c>
      <c r="W16" s="1682">
        <f>SUMPRODUCT(W4:W13,$D$4:$D$13)</f>
        <v>9379.2830909090917</v>
      </c>
      <c r="X16" s="1682">
        <f>SUMPRODUCT(X4:X13,$D$4:$D$13)</f>
        <v>42051.661</v>
      </c>
    </row>
    <row r="17" spans="2:28" s="315" customFormat="1" x14ac:dyDescent="0.15">
      <c r="O17" s="316"/>
      <c r="P17" s="1682"/>
      <c r="Q17" s="1682"/>
      <c r="R17" s="1682"/>
      <c r="S17" s="1682"/>
      <c r="T17" s="1682"/>
      <c r="U17" s="1682"/>
      <c r="V17" s="1682"/>
      <c r="W17" s="1682"/>
      <c r="X17" s="1682"/>
    </row>
    <row r="18" spans="2:28" s="315" customFormat="1" x14ac:dyDescent="0.15">
      <c r="O18" s="316"/>
    </row>
    <row r="19" spans="2:28" s="315" customFormat="1" ht="15" x14ac:dyDescent="0.2">
      <c r="B19" s="1659" t="s">
        <v>1243</v>
      </c>
      <c r="C19" s="1659"/>
      <c r="D19" s="349"/>
      <c r="E19" s="349"/>
      <c r="F19" s="349"/>
      <c r="G19" s="349"/>
      <c r="H19" s="349"/>
      <c r="I19" s="349"/>
      <c r="O19" s="316"/>
      <c r="P19" s="1684">
        <f>SUM(P16,R16,T16,X16)</f>
        <v>216374.45300000001</v>
      </c>
      <c r="Q19" s="1684">
        <f>SUM(Q16,S16,U16,X16)</f>
        <v>426176.23972727277</v>
      </c>
    </row>
    <row r="20" spans="2:28" x14ac:dyDescent="0.15">
      <c r="B20" s="349"/>
      <c r="C20" s="349"/>
      <c r="D20" s="349"/>
      <c r="E20" s="1669" t="s">
        <v>1239</v>
      </c>
      <c r="F20" s="1669" t="s">
        <v>1240</v>
      </c>
      <c r="G20" s="1669" t="s">
        <v>1241</v>
      </c>
      <c r="H20" s="1669" t="s">
        <v>1242</v>
      </c>
      <c r="I20" s="1669" t="s">
        <v>1244</v>
      </c>
      <c r="J20" s="1669" t="s">
        <v>1279</v>
      </c>
      <c r="K20" s="1669" t="s">
        <v>176</v>
      </c>
      <c r="L20" s="1669" t="s">
        <v>176</v>
      </c>
      <c r="M20" s="1669" t="s">
        <v>175</v>
      </c>
      <c r="P20" s="315"/>
    </row>
    <row r="21" spans="2:28" ht="15" x14ac:dyDescent="0.2">
      <c r="B21" s="349" t="s">
        <v>1197</v>
      </c>
      <c r="C21" s="349"/>
      <c r="D21" s="349" t="s">
        <v>1198</v>
      </c>
      <c r="E21" s="1722">
        <f>INPUT!$E$23</f>
        <v>26</v>
      </c>
      <c r="F21" s="1722">
        <f>INPUT!$E$24</f>
        <v>18.625</v>
      </c>
      <c r="G21" s="1722">
        <f>INPUT!E25</f>
        <v>13.375</v>
      </c>
      <c r="H21" s="1722">
        <f>INPUT!E25</f>
        <v>13.375</v>
      </c>
      <c r="I21" s="1722">
        <f>INPUT!E29</f>
        <v>9.625</v>
      </c>
      <c r="J21" s="1722">
        <f>INPUT!E26</f>
        <v>10.75</v>
      </c>
      <c r="K21" s="1725" t="s">
        <v>1280</v>
      </c>
      <c r="L21" s="1725" t="s">
        <v>1280</v>
      </c>
      <c r="M21" s="1725" t="s">
        <v>1280</v>
      </c>
      <c r="P21" s="1766" t="s">
        <v>2112</v>
      </c>
      <c r="Q21" s="1767"/>
      <c r="R21" s="1768"/>
      <c r="S21" s="1769"/>
      <c r="T21" s="1770"/>
    </row>
    <row r="22" spans="2:28" ht="15.75" customHeight="1" thickBot="1" x14ac:dyDescent="0.25">
      <c r="B22" s="349" t="s">
        <v>1199</v>
      </c>
      <c r="C22" s="349"/>
      <c r="D22" s="349" t="s">
        <v>1198</v>
      </c>
      <c r="E22" s="1722">
        <f>INPUT!$H$23</f>
        <v>24.5</v>
      </c>
      <c r="F22" s="1723">
        <f>INPUT!H$24</f>
        <v>17.466999999999999</v>
      </c>
      <c r="G22" s="1723">
        <f>INPUT!$H$25</f>
        <v>12.414999999999999</v>
      </c>
      <c r="H22" s="1723">
        <f>INPUT!$H$25</f>
        <v>12.414999999999999</v>
      </c>
      <c r="I22" s="1723" t="str">
        <f>INPUT!H29</f>
        <v/>
      </c>
      <c r="J22" s="1723">
        <f>INPUT!H26</f>
        <v>10.050000000000001</v>
      </c>
      <c r="K22" s="1723"/>
      <c r="L22" s="1723"/>
      <c r="M22" s="1723"/>
      <c r="P22" s="1771"/>
      <c r="Q22" s="1771"/>
      <c r="R22" s="1772"/>
      <c r="S22" s="1771"/>
      <c r="T22" s="1773"/>
      <c r="X22" s="315"/>
      <c r="Y22" s="315"/>
      <c r="Z22" s="315"/>
      <c r="AA22" s="315"/>
      <c r="AB22" s="315"/>
    </row>
    <row r="23" spans="2:28" x14ac:dyDescent="0.15">
      <c r="B23" s="349" t="s">
        <v>1200</v>
      </c>
      <c r="C23" s="349"/>
      <c r="D23" s="349" t="s">
        <v>1201</v>
      </c>
      <c r="E23" s="1724">
        <f>INPUT!$G$23*3.281</f>
        <v>328.1</v>
      </c>
      <c r="F23" s="1724">
        <f>INPUT!G24*3.281</f>
        <v>1837.3600000000001</v>
      </c>
      <c r="G23" s="1724">
        <f>INPUT!G25*3.281</f>
        <v>4134.0600000000004</v>
      </c>
      <c r="H23" s="1724">
        <f>F23-(30*3.281)</f>
        <v>1738.93</v>
      </c>
      <c r="I23" s="1724">
        <f>(DRELHOLE*3.281)</f>
        <v>0</v>
      </c>
      <c r="J23" s="1724">
        <f>(30*3.281)</f>
        <v>98.43</v>
      </c>
      <c r="K23" s="1724"/>
      <c r="L23" s="1724"/>
      <c r="M23" s="1724"/>
      <c r="P23" s="2340" t="s">
        <v>513</v>
      </c>
      <c r="Q23" s="2332" t="s">
        <v>433</v>
      </c>
      <c r="R23" s="2332" t="s">
        <v>2113</v>
      </c>
      <c r="S23" s="2335" t="s">
        <v>2114</v>
      </c>
      <c r="T23" s="2337" t="s">
        <v>2115</v>
      </c>
      <c r="X23" s="315"/>
      <c r="Y23" s="315"/>
      <c r="Z23" s="315"/>
      <c r="AA23" s="315"/>
      <c r="AB23" s="315"/>
    </row>
    <row r="24" spans="2:28" ht="14" thickBot="1" x14ac:dyDescent="0.2">
      <c r="B24" s="349" t="s">
        <v>1202</v>
      </c>
      <c r="C24" s="349"/>
      <c r="D24" s="349" t="s">
        <v>1198</v>
      </c>
      <c r="E24" s="1722">
        <f>INPUT!$D$23</f>
        <v>32</v>
      </c>
      <c r="F24" s="1722">
        <f>INPUT!$D$24</f>
        <v>23</v>
      </c>
      <c r="G24" s="1722">
        <f>INPUT!$D$25</f>
        <v>17</v>
      </c>
      <c r="H24" s="1722">
        <f>INPUT!$D$25</f>
        <v>17</v>
      </c>
      <c r="I24" s="1723">
        <f>INPUT!H25</f>
        <v>12.414999999999999</v>
      </c>
      <c r="J24" s="1722">
        <f>INPUT!D26</f>
        <v>12.25</v>
      </c>
      <c r="K24" s="1722"/>
      <c r="L24" s="1722"/>
      <c r="M24" s="1722"/>
      <c r="P24" s="2341"/>
      <c r="Q24" s="2333"/>
      <c r="R24" s="2334"/>
      <c r="S24" s="2336"/>
      <c r="T24" s="2338"/>
      <c r="X24" s="315"/>
      <c r="Y24" s="315"/>
      <c r="Z24" s="315"/>
      <c r="AA24" s="315"/>
      <c r="AB24" s="315"/>
    </row>
    <row r="25" spans="2:28" ht="16" thickTop="1" x14ac:dyDescent="0.15">
      <c r="B25" s="349"/>
      <c r="C25" s="349"/>
      <c r="D25" s="349"/>
      <c r="E25" s="349"/>
      <c r="F25" s="349"/>
      <c r="G25" s="349"/>
      <c r="H25" s="349"/>
      <c r="I25" s="349"/>
      <c r="J25" s="349"/>
      <c r="K25" s="349"/>
      <c r="L25" s="349"/>
      <c r="M25" s="349"/>
      <c r="P25" s="1774" t="s">
        <v>2116</v>
      </c>
      <c r="Q25" s="1775" t="s">
        <v>409</v>
      </c>
      <c r="R25" s="1815">
        <f>961.17*0.975</f>
        <v>937.14074999999991</v>
      </c>
      <c r="S25" s="1776"/>
      <c r="T25" s="1777"/>
      <c r="X25" s="315"/>
      <c r="Y25" s="315"/>
      <c r="Z25" s="315"/>
      <c r="AA25" s="315"/>
      <c r="AB25" s="315"/>
    </row>
    <row r="26" spans="2:28" ht="15" x14ac:dyDescent="0.15">
      <c r="B26" s="349" t="s">
        <v>1203</v>
      </c>
      <c r="C26" s="349"/>
      <c r="D26" s="349" t="s">
        <v>1198</v>
      </c>
      <c r="E26" s="349"/>
      <c r="F26" s="349">
        <f>E21</f>
        <v>26</v>
      </c>
      <c r="G26" s="1662">
        <f>F21</f>
        <v>18.625</v>
      </c>
      <c r="H26" s="1662">
        <f>G21</f>
        <v>13.375</v>
      </c>
      <c r="I26" s="1662">
        <f>H21</f>
        <v>13.375</v>
      </c>
      <c r="J26" s="1662">
        <f>I21</f>
        <v>9.625</v>
      </c>
      <c r="K26" s="1662"/>
      <c r="L26" s="1662"/>
      <c r="M26" s="1662"/>
      <c r="P26" s="1778" t="s">
        <v>2117</v>
      </c>
      <c r="Q26" s="1779" t="s">
        <v>409</v>
      </c>
      <c r="R26" s="1815">
        <f>27.55*0.975</f>
        <v>26.861250000000002</v>
      </c>
      <c r="S26" s="1780">
        <v>5</v>
      </c>
      <c r="T26" s="1781"/>
      <c r="X26" s="315"/>
      <c r="Y26" s="315"/>
      <c r="Z26" s="315"/>
      <c r="AA26" s="315"/>
      <c r="AB26" s="315"/>
    </row>
    <row r="27" spans="2:28" ht="15" x14ac:dyDescent="0.15">
      <c r="B27" s="349" t="s">
        <v>1204</v>
      </c>
      <c r="C27" s="349"/>
      <c r="D27" s="349" t="s">
        <v>1201</v>
      </c>
      <c r="E27" s="349"/>
      <c r="F27" s="349">
        <f>E23</f>
        <v>328.1</v>
      </c>
      <c r="G27" s="349">
        <f>F23</f>
        <v>1837.3600000000001</v>
      </c>
      <c r="H27" s="1674">
        <f>H23</f>
        <v>1738.93</v>
      </c>
      <c r="I27" s="1674">
        <f>I23</f>
        <v>0</v>
      </c>
      <c r="J27" s="1674">
        <f>J23</f>
        <v>98.43</v>
      </c>
      <c r="K27" s="1674"/>
      <c r="L27" s="1674"/>
      <c r="M27" s="1674"/>
      <c r="P27" s="1778" t="s">
        <v>2118</v>
      </c>
      <c r="Q27" s="1779" t="s">
        <v>409</v>
      </c>
      <c r="R27" s="1815">
        <f>21.35*0.975</f>
        <v>20.81625</v>
      </c>
      <c r="S27" s="1780">
        <v>5</v>
      </c>
      <c r="T27" s="1781"/>
    </row>
    <row r="28" spans="2:28" ht="15" x14ac:dyDescent="0.15">
      <c r="B28" s="349"/>
      <c r="C28" s="349"/>
      <c r="D28" s="349"/>
      <c r="E28" s="349"/>
      <c r="F28" s="349"/>
      <c r="G28" s="349"/>
      <c r="H28" s="349"/>
      <c r="I28" s="349"/>
      <c r="J28" s="349"/>
      <c r="K28" s="349"/>
      <c r="L28" s="349"/>
      <c r="M28" s="349"/>
      <c r="P28" s="1782" t="s">
        <v>2119</v>
      </c>
      <c r="Q28" s="1783" t="s">
        <v>409</v>
      </c>
      <c r="R28" s="1815">
        <f>76.21*0.975</f>
        <v>74.304749999999999</v>
      </c>
      <c r="S28" s="1784">
        <v>5</v>
      </c>
      <c r="T28" s="1781"/>
    </row>
    <row r="29" spans="2:28" ht="15" x14ac:dyDescent="0.15">
      <c r="B29" s="349" t="s">
        <v>1205</v>
      </c>
      <c r="C29" s="349"/>
      <c r="D29" s="349" t="s">
        <v>1201</v>
      </c>
      <c r="E29" s="349"/>
      <c r="F29" s="1660">
        <v>0</v>
      </c>
      <c r="G29" s="1661">
        <f>H23</f>
        <v>1738.93</v>
      </c>
      <c r="H29" s="1660">
        <v>0</v>
      </c>
      <c r="I29" s="1660">
        <v>0</v>
      </c>
      <c r="J29" s="1660">
        <v>0</v>
      </c>
      <c r="K29" s="1660"/>
      <c r="L29" s="1660"/>
      <c r="M29" s="1660"/>
      <c r="P29" s="1782" t="s">
        <v>2120</v>
      </c>
      <c r="Q29" s="1783" t="s">
        <v>409</v>
      </c>
      <c r="R29" s="1815">
        <f>280*0.975</f>
        <v>273</v>
      </c>
      <c r="S29" s="1785"/>
      <c r="T29" s="1781"/>
    </row>
    <row r="30" spans="2:28" ht="15" x14ac:dyDescent="0.15">
      <c r="B30" s="349" t="s">
        <v>1206</v>
      </c>
      <c r="C30" s="349"/>
      <c r="D30" s="349" t="s">
        <v>1201</v>
      </c>
      <c r="E30" s="349"/>
      <c r="F30" s="349"/>
      <c r="G30" s="349"/>
      <c r="H30" s="349"/>
      <c r="I30" s="349"/>
      <c r="J30" s="349"/>
      <c r="K30" s="349"/>
      <c r="L30" s="349"/>
      <c r="M30" s="349"/>
      <c r="P30" s="1786" t="s">
        <v>2121</v>
      </c>
      <c r="Q30" s="1787" t="s">
        <v>2122</v>
      </c>
      <c r="R30" s="1788">
        <f>25630.5*0.975</f>
        <v>24989.737499999999</v>
      </c>
      <c r="S30" s="1785"/>
      <c r="T30" s="1781"/>
    </row>
    <row r="31" spans="2:28" ht="15" x14ac:dyDescent="0.15">
      <c r="B31" s="349"/>
      <c r="C31" s="349"/>
      <c r="D31" s="349"/>
      <c r="E31" s="349"/>
      <c r="F31" s="349"/>
      <c r="G31" s="349"/>
      <c r="H31" s="349"/>
      <c r="I31" s="349"/>
      <c r="J31" s="349"/>
      <c r="K31" s="349"/>
      <c r="L31" s="349"/>
      <c r="M31" s="349"/>
      <c r="P31" s="1782" t="s">
        <v>2134</v>
      </c>
      <c r="Q31" s="1783" t="s">
        <v>409</v>
      </c>
      <c r="R31" s="1815">
        <f>280*0.975</f>
        <v>273</v>
      </c>
      <c r="S31" s="1785"/>
      <c r="T31" s="1781"/>
    </row>
    <row r="32" spans="2:28" ht="15" x14ac:dyDescent="0.2">
      <c r="B32" s="1659" t="s">
        <v>1207</v>
      </c>
      <c r="C32" s="1659"/>
      <c r="D32" s="349" t="s">
        <v>1208</v>
      </c>
      <c r="E32" s="1663">
        <f t="shared" ref="E32:J32" si="4">E33*E34</f>
        <v>0</v>
      </c>
      <c r="F32" s="1663">
        <f t="shared" si="4"/>
        <v>66.571916819808777</v>
      </c>
      <c r="G32" s="1663">
        <f t="shared" si="4"/>
        <v>33.631626336422983</v>
      </c>
      <c r="H32" s="1663">
        <f t="shared" si="4"/>
        <v>33.631626336422983</v>
      </c>
      <c r="I32" s="1663" t="e">
        <f>I33*I34</f>
        <v>#VALUE!</v>
      </c>
      <c r="J32" s="1663">
        <f t="shared" si="4"/>
        <v>22.038729013641131</v>
      </c>
      <c r="K32" s="1663"/>
      <c r="L32" s="1663"/>
      <c r="M32" s="1663"/>
      <c r="P32" s="1786" t="s">
        <v>2135</v>
      </c>
      <c r="Q32" s="1787" t="s">
        <v>2122</v>
      </c>
      <c r="R32" s="1816">
        <f>15884.055*0.975</f>
        <v>15486.953625</v>
      </c>
      <c r="S32" s="1785"/>
      <c r="T32" s="1781"/>
    </row>
    <row r="33" spans="2:20" ht="15" x14ac:dyDescent="0.2">
      <c r="B33" s="349" t="s">
        <v>1227</v>
      </c>
      <c r="C33" s="349"/>
      <c r="D33" s="349" t="s">
        <v>1201</v>
      </c>
      <c r="E33" s="1664">
        <v>0</v>
      </c>
      <c r="F33" s="1664">
        <v>40</v>
      </c>
      <c r="G33" s="1664">
        <v>40</v>
      </c>
      <c r="H33" s="1664">
        <v>40</v>
      </c>
      <c r="I33" s="1664">
        <v>40</v>
      </c>
      <c r="J33" s="1664">
        <v>40</v>
      </c>
      <c r="K33" s="1664"/>
      <c r="L33" s="1664"/>
      <c r="M33" s="1664"/>
      <c r="P33" s="1789" t="s">
        <v>176</v>
      </c>
      <c r="Q33" s="1790" t="s">
        <v>2123</v>
      </c>
      <c r="R33" s="1815">
        <f>316.25*0.975</f>
        <v>308.34375</v>
      </c>
      <c r="S33" s="1785"/>
      <c r="T33" s="1781"/>
    </row>
    <row r="34" spans="2:20" ht="15" x14ac:dyDescent="0.2">
      <c r="B34" s="349" t="s">
        <v>1209</v>
      </c>
      <c r="C34" s="349"/>
      <c r="D34" s="349" t="s">
        <v>1228</v>
      </c>
      <c r="E34" s="1665">
        <f t="shared" ref="E34:J34" si="5">(E22^2/1029.24)*5.6145</f>
        <v>3.2743613005712953</v>
      </c>
      <c r="F34" s="1665">
        <f t="shared" si="5"/>
        <v>1.6642979204952193</v>
      </c>
      <c r="G34" s="1665">
        <f t="shared" si="5"/>
        <v>0.84079065841057454</v>
      </c>
      <c r="H34" s="1665">
        <f t="shared" si="5"/>
        <v>0.84079065841057454</v>
      </c>
      <c r="I34" s="1665" t="e">
        <f>(I22^2/1029.24)*5.6145</f>
        <v>#VALUE!</v>
      </c>
      <c r="J34" s="1665">
        <f t="shared" si="5"/>
        <v>0.55096822534102829</v>
      </c>
      <c r="K34" s="1665"/>
      <c r="L34" s="1665"/>
      <c r="M34" s="1665"/>
      <c r="P34" s="1789" t="s">
        <v>175</v>
      </c>
      <c r="Q34" s="1790" t="s">
        <v>2123</v>
      </c>
      <c r="R34" s="1815">
        <f>77*0.975</f>
        <v>75.075000000000003</v>
      </c>
      <c r="S34" s="1785"/>
      <c r="T34" s="1791"/>
    </row>
    <row r="35" spans="2:20" ht="16" thickBot="1" x14ac:dyDescent="0.25">
      <c r="B35" s="349"/>
      <c r="C35" s="349"/>
      <c r="D35" s="349"/>
      <c r="E35" s="1664"/>
      <c r="F35" s="1664"/>
      <c r="G35" s="1664"/>
      <c r="H35" s="1664"/>
      <c r="I35" s="1664"/>
      <c r="J35" s="1664"/>
      <c r="K35" s="1664"/>
      <c r="L35" s="1664"/>
      <c r="M35" s="1664"/>
      <c r="P35" s="1792" t="s">
        <v>2124</v>
      </c>
      <c r="Q35" s="1793" t="s">
        <v>2123</v>
      </c>
      <c r="R35" s="1815">
        <f>316.25*0.975</f>
        <v>308.34375</v>
      </c>
      <c r="S35" s="1794"/>
      <c r="T35" s="1795"/>
    </row>
    <row r="36" spans="2:20" ht="15" x14ac:dyDescent="0.2">
      <c r="B36" s="1659" t="s">
        <v>1210</v>
      </c>
      <c r="C36" s="1659"/>
      <c r="D36" s="349" t="s">
        <v>1208</v>
      </c>
      <c r="E36" s="1663">
        <f t="shared" ref="E36:J36" si="6">E37*E38</f>
        <v>641.53023471493532</v>
      </c>
      <c r="F36" s="1663">
        <f t="shared" si="6"/>
        <v>1509.0858791019725</v>
      </c>
      <c r="G36" s="1663">
        <f t="shared" si="6"/>
        <v>1385.4162680283889</v>
      </c>
      <c r="H36" s="1663">
        <f t="shared" si="6"/>
        <v>1050.3938419048809</v>
      </c>
      <c r="I36" s="1663">
        <f t="shared" si="6"/>
        <v>3.3017007516736605</v>
      </c>
      <c r="J36" s="1663">
        <f t="shared" si="6"/>
        <v>88.631230274188965</v>
      </c>
      <c r="K36" s="1663"/>
      <c r="L36" s="1663"/>
      <c r="M36" s="1663"/>
      <c r="P36" s="1796" t="s">
        <v>2125</v>
      </c>
      <c r="Q36" s="1796"/>
      <c r="R36" s="1797"/>
      <c r="S36" s="1796"/>
      <c r="T36" s="1798"/>
    </row>
    <row r="37" spans="2:20" ht="16" thickBot="1" x14ac:dyDescent="0.25">
      <c r="B37" s="349" t="s">
        <v>1211</v>
      </c>
      <c r="C37" s="349"/>
      <c r="D37" s="349" t="s">
        <v>1201</v>
      </c>
      <c r="E37" s="1664">
        <f>IF(E23=0,0,(E23+(3*3.281)))</f>
        <v>337.94300000000004</v>
      </c>
      <c r="F37" s="1664">
        <f>(F23-F27)+(3*3.281)</f>
        <v>1519.1030000000003</v>
      </c>
      <c r="G37" s="1664">
        <f>(G23-G27)+(3*3.281)</f>
        <v>2306.5430000000001</v>
      </c>
      <c r="H37" s="1664">
        <f>H23-H29+(3*3.281)</f>
        <v>1748.7730000000001</v>
      </c>
      <c r="I37" s="1664">
        <f>I23-I29+(3*3.281)</f>
        <v>9.843</v>
      </c>
      <c r="J37" s="1664">
        <f>J23-J29+(3*3.281)</f>
        <v>108.27300000000001</v>
      </c>
      <c r="K37" s="1664"/>
      <c r="L37" s="1664"/>
      <c r="M37" s="1664"/>
      <c r="P37" s="1799"/>
      <c r="Q37" s="1799"/>
      <c r="R37" s="1800"/>
      <c r="S37" s="1799"/>
      <c r="T37" s="1801"/>
    </row>
    <row r="38" spans="2:20" x14ac:dyDescent="0.15">
      <c r="B38" s="349" t="s">
        <v>1212</v>
      </c>
      <c r="C38" s="349"/>
      <c r="D38" s="349" t="s">
        <v>1228</v>
      </c>
      <c r="E38" s="1665">
        <f>((E24^2-E21^2)/1029.24)*5.6145</f>
        <v>1.8983385799230499</v>
      </c>
      <c r="F38" s="1665">
        <f>((F24^2-F21^2)/1029.24)*5.6145</f>
        <v>0.99340589749475328</v>
      </c>
      <c r="G38" s="1665">
        <f>((G24^2-G21^2)/1029.24)*5.6145</f>
        <v>0.6006461913037775</v>
      </c>
      <c r="H38" s="1665">
        <f>((H24^2-H21^2)/1029.24)*5.6145</f>
        <v>0.6006461913037775</v>
      </c>
      <c r="I38" s="1665">
        <f>((I24^2-I21^2)/1029.24)*5.6145</f>
        <v>0.33543642707240279</v>
      </c>
      <c r="J38" s="1665">
        <f>((J24^2)/1029.24)*5.6145</f>
        <v>0.81859032514282382</v>
      </c>
      <c r="K38" s="1665"/>
      <c r="L38" s="1665"/>
      <c r="M38" s="1665"/>
      <c r="P38" s="2340" t="s">
        <v>791</v>
      </c>
      <c r="Q38" s="2332" t="s">
        <v>2126</v>
      </c>
      <c r="R38" s="2332" t="s">
        <v>2113</v>
      </c>
      <c r="S38" s="2335" t="s">
        <v>2114</v>
      </c>
      <c r="T38" s="2337" t="s">
        <v>2115</v>
      </c>
    </row>
    <row r="39" spans="2:20" ht="14" thickBot="1" x14ac:dyDescent="0.2">
      <c r="B39" s="349"/>
      <c r="C39" s="349"/>
      <c r="D39" s="349"/>
      <c r="E39" s="1664"/>
      <c r="F39" s="1664"/>
      <c r="G39" s="1664"/>
      <c r="H39" s="1664"/>
      <c r="I39" s="1664"/>
      <c r="J39" s="1664"/>
      <c r="K39" s="1664"/>
      <c r="L39" s="1664"/>
      <c r="M39" s="1664"/>
      <c r="P39" s="2341"/>
      <c r="Q39" s="2333"/>
      <c r="R39" s="2334"/>
      <c r="S39" s="2336"/>
      <c r="T39" s="2338"/>
    </row>
    <row r="40" spans="2:20" ht="16" thickTop="1" x14ac:dyDescent="0.2">
      <c r="B40" s="1659" t="s">
        <v>1213</v>
      </c>
      <c r="C40" s="1659"/>
      <c r="D40" s="349" t="s">
        <v>1208</v>
      </c>
      <c r="E40" s="1666">
        <v>1</v>
      </c>
      <c r="F40" s="1666">
        <v>1</v>
      </c>
      <c r="G40" s="1666">
        <v>1</v>
      </c>
      <c r="H40" s="1666">
        <v>0.5</v>
      </c>
      <c r="I40" s="1666">
        <v>0.5</v>
      </c>
      <c r="J40" s="1666">
        <v>1</v>
      </c>
      <c r="K40" s="1666"/>
      <c r="L40" s="1666"/>
      <c r="M40" s="1666"/>
      <c r="P40" s="1778" t="s">
        <v>2127</v>
      </c>
      <c r="Q40" s="1779" t="s">
        <v>409</v>
      </c>
      <c r="R40" s="1815">
        <f>552*0.975</f>
        <v>538.19999999999993</v>
      </c>
      <c r="S40" s="1802"/>
      <c r="T40" s="1781"/>
    </row>
    <row r="41" spans="2:20" ht="15" x14ac:dyDescent="0.2">
      <c r="B41" s="349" t="s">
        <v>1214</v>
      </c>
      <c r="C41" s="349"/>
      <c r="D41" s="349" t="s">
        <v>355</v>
      </c>
      <c r="E41" s="1664">
        <f t="shared" ref="E41:J41" si="7">E40*E36</f>
        <v>641.53023471493532</v>
      </c>
      <c r="F41" s="1664">
        <f t="shared" si="7"/>
        <v>1509.0858791019725</v>
      </c>
      <c r="G41" s="1664">
        <f t="shared" si="7"/>
        <v>1385.4162680283889</v>
      </c>
      <c r="H41" s="1664">
        <f t="shared" si="7"/>
        <v>525.19692095244045</v>
      </c>
      <c r="I41" s="1664">
        <f t="shared" si="7"/>
        <v>1.6508503758368303</v>
      </c>
      <c r="J41" s="1664">
        <f t="shared" si="7"/>
        <v>88.631230274188965</v>
      </c>
      <c r="K41" s="1664"/>
      <c r="L41" s="1664"/>
      <c r="M41" s="1664"/>
      <c r="P41" s="1803" t="s">
        <v>2128</v>
      </c>
      <c r="Q41" s="1783" t="s">
        <v>409</v>
      </c>
      <c r="R41" s="1815">
        <f>207*0.975</f>
        <v>201.82499999999999</v>
      </c>
      <c r="S41" s="1804"/>
      <c r="T41" s="1781"/>
    </row>
    <row r="42" spans="2:20" ht="15" x14ac:dyDescent="0.2">
      <c r="B42" s="349"/>
      <c r="C42" s="349"/>
      <c r="D42" s="349"/>
      <c r="E42" s="1664"/>
      <c r="F42" s="1664"/>
      <c r="G42" s="1664"/>
      <c r="H42" s="1664"/>
      <c r="I42" s="1664"/>
      <c r="J42" s="1664"/>
      <c r="K42" s="1664"/>
      <c r="L42" s="1664"/>
      <c r="M42" s="1664"/>
      <c r="P42" s="1803" t="s">
        <v>178</v>
      </c>
      <c r="Q42" s="1783" t="s">
        <v>409</v>
      </c>
      <c r="R42" s="1815">
        <f>207*0.975</f>
        <v>201.82499999999999</v>
      </c>
      <c r="S42" s="1804"/>
      <c r="T42" s="1781"/>
    </row>
    <row r="43" spans="2:20" ht="15" x14ac:dyDescent="0.2">
      <c r="B43" s="1659" t="s">
        <v>1215</v>
      </c>
      <c r="C43" s="1659"/>
      <c r="D43" s="349" t="s">
        <v>1208</v>
      </c>
      <c r="E43" s="1664"/>
      <c r="F43" s="1663">
        <f>F44*F45</f>
        <v>453.34773868576355</v>
      </c>
      <c r="G43" s="1663">
        <f>G44*G45</f>
        <v>67.747595739278495</v>
      </c>
      <c r="H43" s="1663"/>
      <c r="I43" s="1663"/>
      <c r="J43" s="1663"/>
      <c r="K43" s="1663"/>
      <c r="L43" s="1663"/>
      <c r="M43" s="1663"/>
      <c r="P43" s="1803" t="s">
        <v>2129</v>
      </c>
      <c r="Q43" s="1783" t="s">
        <v>409</v>
      </c>
      <c r="R43" s="1805">
        <v>0</v>
      </c>
      <c r="S43" s="1804"/>
      <c r="T43" s="1781"/>
    </row>
    <row r="44" spans="2:20" ht="16" thickBot="1" x14ac:dyDescent="0.25">
      <c r="B44" s="349" t="s">
        <v>1216</v>
      </c>
      <c r="C44" s="349"/>
      <c r="D44" s="349" t="s">
        <v>1201</v>
      </c>
      <c r="E44" s="1664"/>
      <c r="F44" s="1664">
        <f>E23</f>
        <v>328.1</v>
      </c>
      <c r="G44" s="1664">
        <f>G27-G29</f>
        <v>98.430000000000064</v>
      </c>
      <c r="H44" s="1664"/>
      <c r="I44" s="1664"/>
      <c r="J44" s="1664"/>
      <c r="K44" s="1664"/>
      <c r="L44" s="1664"/>
      <c r="M44" s="1664"/>
      <c r="P44" s="1792" t="s">
        <v>2130</v>
      </c>
      <c r="Q44" s="1806" t="s">
        <v>409</v>
      </c>
      <c r="R44" s="1815">
        <f>862.5*0.975</f>
        <v>840.9375</v>
      </c>
      <c r="S44" s="1807"/>
      <c r="T44" s="1795"/>
    </row>
    <row r="45" spans="2:20" ht="15" x14ac:dyDescent="0.2">
      <c r="B45" s="349" t="s">
        <v>1212</v>
      </c>
      <c r="C45" s="349"/>
      <c r="D45" s="349" t="s">
        <v>1228</v>
      </c>
      <c r="E45" s="1665"/>
      <c r="F45" s="1665">
        <f>(E22^2-F21^2)/1029.4*5.614</f>
        <v>1.3817364787740429</v>
      </c>
      <c r="G45" s="1665">
        <f>(F22^2-G21^2)/1029.4*5.614</f>
        <v>0.68828198455022305</v>
      </c>
      <c r="H45" s="1665"/>
      <c r="I45" s="1665"/>
      <c r="J45" s="1665"/>
      <c r="K45" s="1665"/>
      <c r="L45" s="1665"/>
      <c r="M45" s="1665"/>
      <c r="P45" s="1796" t="s">
        <v>2131</v>
      </c>
      <c r="Q45" s="1796"/>
      <c r="R45" s="1797"/>
      <c r="S45" s="1796"/>
      <c r="T45" s="1798"/>
    </row>
    <row r="46" spans="2:20" ht="15" x14ac:dyDescent="0.2">
      <c r="B46" s="349"/>
      <c r="C46" s="349"/>
      <c r="D46" s="349"/>
      <c r="E46" s="1664"/>
      <c r="F46" s="1664"/>
      <c r="G46" s="1664"/>
      <c r="H46" s="1664"/>
      <c r="I46" s="1664"/>
      <c r="J46" s="1664"/>
      <c r="K46" s="1664"/>
      <c r="L46" s="1664"/>
      <c r="M46" s="1664"/>
      <c r="P46" s="1799"/>
      <c r="Q46" s="1799"/>
      <c r="R46" s="1800"/>
      <c r="S46" s="1799"/>
      <c r="T46" s="1801"/>
    </row>
    <row r="47" spans="2:20" ht="15" x14ac:dyDescent="0.15">
      <c r="B47" s="2339" t="s">
        <v>1217</v>
      </c>
      <c r="C47" s="1673"/>
      <c r="D47" s="349" t="s">
        <v>1208</v>
      </c>
      <c r="E47" s="1663">
        <f>E41+E36</f>
        <v>1283.0604694298706</v>
      </c>
      <c r="F47" s="1663">
        <f>F32+F36+F43+F41</f>
        <v>3538.0914137095174</v>
      </c>
      <c r="G47" s="1663">
        <f>G32+G36+G43+G41</f>
        <v>2872.2117581324792</v>
      </c>
      <c r="H47" s="1663">
        <f t="shared" ref="H47:M47" si="8">H32+H36+H41</f>
        <v>1609.2223891937442</v>
      </c>
      <c r="I47" s="1663" t="e">
        <f t="shared" si="8"/>
        <v>#VALUE!</v>
      </c>
      <c r="J47" s="1663">
        <f t="shared" si="8"/>
        <v>199.30118956201906</v>
      </c>
      <c r="K47" s="1663">
        <f t="shared" si="8"/>
        <v>0</v>
      </c>
      <c r="L47" s="1663">
        <f t="shared" si="8"/>
        <v>0</v>
      </c>
      <c r="M47" s="1663">
        <f t="shared" si="8"/>
        <v>0</v>
      </c>
      <c r="P47" s="1808" t="s">
        <v>2132</v>
      </c>
      <c r="Q47" s="1809"/>
      <c r="R47" s="1809"/>
      <c r="S47" s="1809"/>
      <c r="T47" s="1810"/>
    </row>
    <row r="48" spans="2:20" ht="16" thickBot="1" x14ac:dyDescent="0.2">
      <c r="B48" s="2339"/>
      <c r="C48" s="1673"/>
      <c r="D48" s="349" t="s">
        <v>1218</v>
      </c>
      <c r="E48" s="1667">
        <f t="shared" ref="E48:J48" si="9">E47*0.1781</f>
        <v>228.51306960545998</v>
      </c>
      <c r="F48" s="1667">
        <f t="shared" si="9"/>
        <v>630.13408078166503</v>
      </c>
      <c r="G48" s="1667">
        <f t="shared" si="9"/>
        <v>511.54091412339454</v>
      </c>
      <c r="H48" s="1667">
        <f t="shared" si="9"/>
        <v>286.60250751540588</v>
      </c>
      <c r="I48" s="1667" t="e">
        <f t="shared" si="9"/>
        <v>#VALUE!</v>
      </c>
      <c r="J48" s="1667">
        <f t="shared" si="9"/>
        <v>35.495541860995594</v>
      </c>
      <c r="K48" s="1667">
        <v>33</v>
      </c>
      <c r="L48" s="1667">
        <v>33</v>
      </c>
      <c r="M48" s="1667">
        <v>33</v>
      </c>
      <c r="P48" s="1808"/>
      <c r="Q48" s="1809"/>
      <c r="R48" s="1809"/>
      <c r="S48" s="1809"/>
      <c r="T48" s="1811"/>
    </row>
    <row r="49" spans="2:20" ht="17" thickTop="1" thickBot="1" x14ac:dyDescent="0.2">
      <c r="P49" s="1812" t="s">
        <v>2133</v>
      </c>
      <c r="Q49" s="1813"/>
      <c r="R49" s="1813"/>
      <c r="S49" s="1813"/>
      <c r="T49" s="1814"/>
    </row>
    <row r="50" spans="2:20" ht="14" thickTop="1" x14ac:dyDescent="0.15">
      <c r="E50">
        <f>23^2-18.625^2</f>
        <v>182.109375</v>
      </c>
    </row>
    <row r="51" spans="2:20" x14ac:dyDescent="0.15">
      <c r="E51">
        <f>E50/1029.4</f>
        <v>0.17690827180882066</v>
      </c>
      <c r="F51" s="315" t="s">
        <v>2208</v>
      </c>
      <c r="G51">
        <f>E51*3.281*650</f>
        <v>377.28342587308134</v>
      </c>
    </row>
    <row r="53" spans="2:20" ht="15" x14ac:dyDescent="0.2">
      <c r="B53" s="878" t="s">
        <v>1013</v>
      </c>
      <c r="C53" s="132" t="s">
        <v>1014</v>
      </c>
      <c r="E53" s="315">
        <f>24.5^2-18.625^2</f>
        <v>253.359375</v>
      </c>
      <c r="F53" s="315"/>
      <c r="G53" s="315"/>
    </row>
    <row r="54" spans="2:20" x14ac:dyDescent="0.15">
      <c r="B54" s="132" t="s">
        <v>52</v>
      </c>
      <c r="C54" s="315">
        <v>13</v>
      </c>
      <c r="E54" s="315">
        <f>E53/1029.4</f>
        <v>0.24612334855255485</v>
      </c>
      <c r="F54" s="315" t="s">
        <v>2208</v>
      </c>
      <c r="G54" s="315">
        <f>E54*3.281*100</f>
        <v>80.753070660093258</v>
      </c>
    </row>
    <row r="55" spans="2:20" x14ac:dyDescent="0.15">
      <c r="B55" s="132" t="s">
        <v>327</v>
      </c>
      <c r="C55" s="315">
        <v>16</v>
      </c>
      <c r="G55">
        <f>G54+G51</f>
        <v>458.03649653317461</v>
      </c>
    </row>
    <row r="56" spans="2:20" x14ac:dyDescent="0.15">
      <c r="B56" s="132" t="s">
        <v>379</v>
      </c>
      <c r="C56" s="315">
        <v>15</v>
      </c>
    </row>
    <row r="57" spans="2:20" x14ac:dyDescent="0.15">
      <c r="B57" s="132" t="s">
        <v>378</v>
      </c>
      <c r="C57" s="315">
        <v>10</v>
      </c>
      <c r="G57">
        <f>120+50+57+25+7+10</f>
        <v>269</v>
      </c>
      <c r="H57" s="315">
        <f>120+50+57+25+7+10</f>
        <v>269</v>
      </c>
    </row>
    <row r="58" spans="2:20" x14ac:dyDescent="0.15">
      <c r="G58">
        <v>120</v>
      </c>
    </row>
    <row r="59" spans="2:20" x14ac:dyDescent="0.15">
      <c r="G59">
        <f>G58/2.5</f>
        <v>48</v>
      </c>
    </row>
  </sheetData>
  <mergeCells count="18">
    <mergeCell ref="P1:Q1"/>
    <mergeCell ref="P23:P24"/>
    <mergeCell ref="Q23:Q24"/>
    <mergeCell ref="R23:R24"/>
    <mergeCell ref="S23:S24"/>
    <mergeCell ref="T23:T24"/>
    <mergeCell ref="P2:Q2"/>
    <mergeCell ref="R2:S2"/>
    <mergeCell ref="T2:U2"/>
    <mergeCell ref="E2:F2"/>
    <mergeCell ref="G2:H2"/>
    <mergeCell ref="I2:J2"/>
    <mergeCell ref="Q38:Q39"/>
    <mergeCell ref="R38:R39"/>
    <mergeCell ref="S38:S39"/>
    <mergeCell ref="T38:T39"/>
    <mergeCell ref="B47:B48"/>
    <mergeCell ref="P38:P3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7"/>
  <sheetViews>
    <sheetView topLeftCell="B1" workbookViewId="0">
      <selection activeCell="C7" sqref="C7:C14"/>
    </sheetView>
  </sheetViews>
  <sheetFormatPr baseColWidth="10" defaultColWidth="8.83203125" defaultRowHeight="13" x14ac:dyDescent="0.15"/>
  <cols>
    <col min="3" max="3" width="11.5" style="315" customWidth="1"/>
    <col min="5" max="5" width="11.5" bestFit="1" customWidth="1"/>
    <col min="9" max="9" width="13.5" bestFit="1" customWidth="1"/>
    <col min="10" max="11" width="14.6640625" bestFit="1" customWidth="1"/>
  </cols>
  <sheetData>
    <row r="1" spans="1:33" x14ac:dyDescent="0.15">
      <c r="E1" s="2350" t="s">
        <v>2660</v>
      </c>
      <c r="F1" s="2350"/>
    </row>
    <row r="3" spans="1:33" x14ac:dyDescent="0.15">
      <c r="A3" s="349"/>
      <c r="B3" s="349"/>
      <c r="C3" s="349"/>
      <c r="D3" s="349"/>
      <c r="E3" s="2348" t="s">
        <v>1255</v>
      </c>
      <c r="F3" s="2345" t="s">
        <v>1116</v>
      </c>
      <c r="G3" s="2345" t="s">
        <v>1117</v>
      </c>
      <c r="H3" s="2345" t="s">
        <v>1119</v>
      </c>
      <c r="I3" s="2345" t="s">
        <v>1124</v>
      </c>
      <c r="J3" s="2345" t="s">
        <v>1125</v>
      </c>
      <c r="K3" s="2345" t="s">
        <v>1256</v>
      </c>
      <c r="L3" s="2345" t="s">
        <v>1123</v>
      </c>
      <c r="M3" s="2345" t="s">
        <v>1126</v>
      </c>
      <c r="N3" s="2345" t="s">
        <v>1122</v>
      </c>
      <c r="O3" s="2345" t="s">
        <v>1257</v>
      </c>
      <c r="P3" s="2345" t="s">
        <v>1258</v>
      </c>
      <c r="Q3" s="2345" t="s">
        <v>154</v>
      </c>
      <c r="R3" s="2345" t="s">
        <v>155</v>
      </c>
      <c r="S3" s="2345" t="s">
        <v>1259</v>
      </c>
      <c r="T3" s="2345" t="s">
        <v>1120</v>
      </c>
      <c r="U3" s="2345" t="s">
        <v>1260</v>
      </c>
      <c r="V3" s="2345" t="s">
        <v>1261</v>
      </c>
      <c r="W3" s="2345" t="s">
        <v>1262</v>
      </c>
      <c r="X3" s="2345" t="s">
        <v>1127</v>
      </c>
      <c r="Y3" s="2345" t="s">
        <v>1263</v>
      </c>
      <c r="Z3" s="2345" t="s">
        <v>1264</v>
      </c>
      <c r="AA3" s="2345" t="s">
        <v>158</v>
      </c>
      <c r="AB3" s="2345" t="s">
        <v>157</v>
      </c>
      <c r="AC3" s="2345" t="s">
        <v>1121</v>
      </c>
      <c r="AD3" s="2345" t="s">
        <v>1265</v>
      </c>
      <c r="AE3" s="2345" t="s">
        <v>1266</v>
      </c>
      <c r="AF3" s="2348" t="s">
        <v>1118</v>
      </c>
      <c r="AG3" s="2348" t="s">
        <v>156</v>
      </c>
    </row>
    <row r="4" spans="1:33" x14ac:dyDescent="0.15">
      <c r="A4" s="349"/>
      <c r="B4" s="349"/>
      <c r="C4" s="349"/>
      <c r="D4" s="349"/>
      <c r="E4" s="2348"/>
      <c r="F4" s="2346"/>
      <c r="G4" s="2346"/>
      <c r="H4" s="2346"/>
      <c r="I4" s="2346"/>
      <c r="J4" s="2346"/>
      <c r="K4" s="2346"/>
      <c r="L4" s="2346"/>
      <c r="M4" s="2346"/>
      <c r="N4" s="2346"/>
      <c r="O4" s="2346"/>
      <c r="P4" s="2346"/>
      <c r="Q4" s="2346"/>
      <c r="R4" s="2346"/>
      <c r="S4" s="2346"/>
      <c r="T4" s="2346"/>
      <c r="U4" s="2346"/>
      <c r="V4" s="2346"/>
      <c r="W4" s="2346"/>
      <c r="X4" s="2346"/>
      <c r="Y4" s="2346"/>
      <c r="Z4" s="2346"/>
      <c r="AA4" s="2346"/>
      <c r="AB4" s="2346"/>
      <c r="AC4" s="2346"/>
      <c r="AD4" s="2346"/>
      <c r="AE4" s="2346"/>
      <c r="AF4" s="2348"/>
      <c r="AG4" s="2348"/>
    </row>
    <row r="5" spans="1:33" x14ac:dyDescent="0.15">
      <c r="A5" s="349"/>
      <c r="B5" s="349"/>
      <c r="C5" s="349"/>
      <c r="D5" s="349"/>
      <c r="E5" s="2348"/>
      <c r="F5" s="2347"/>
      <c r="G5" s="2347"/>
      <c r="H5" s="2347"/>
      <c r="I5" s="2347"/>
      <c r="J5" s="2347"/>
      <c r="K5" s="2347"/>
      <c r="L5" s="2347"/>
      <c r="M5" s="2347"/>
      <c r="N5" s="2347"/>
      <c r="O5" s="2347"/>
      <c r="P5" s="2347"/>
      <c r="Q5" s="2347"/>
      <c r="R5" s="2347"/>
      <c r="S5" s="2347"/>
      <c r="T5" s="2347"/>
      <c r="U5" s="2347"/>
      <c r="V5" s="2347"/>
      <c r="W5" s="2347"/>
      <c r="X5" s="2347"/>
      <c r="Y5" s="2347"/>
      <c r="Z5" s="2347"/>
      <c r="AA5" s="2347"/>
      <c r="AB5" s="2347"/>
      <c r="AC5" s="2347"/>
      <c r="AD5" s="2347"/>
      <c r="AE5" s="2347"/>
      <c r="AF5" s="2348"/>
      <c r="AG5" s="2348"/>
    </row>
    <row r="6" spans="1:33" x14ac:dyDescent="0.15">
      <c r="A6" s="349"/>
      <c r="B6" s="349"/>
      <c r="C6" s="349"/>
      <c r="D6" s="349"/>
      <c r="E6" s="2170">
        <v>42.25</v>
      </c>
      <c r="F6" s="2170">
        <v>187.86</v>
      </c>
      <c r="G6" s="2170">
        <v>16.940000000000001</v>
      </c>
      <c r="H6" s="2170">
        <v>64.91</v>
      </c>
      <c r="I6" s="2170">
        <v>1024.8</v>
      </c>
      <c r="J6" s="2170">
        <v>397.39</v>
      </c>
      <c r="K6" s="2170">
        <v>1295.94</v>
      </c>
      <c r="L6" s="2170">
        <v>84.71</v>
      </c>
      <c r="M6" s="2170">
        <v>60.76</v>
      </c>
      <c r="N6" s="2170">
        <v>754.38</v>
      </c>
      <c r="O6" s="2170">
        <v>781.35</v>
      </c>
      <c r="P6" s="2170">
        <v>73.680000000000007</v>
      </c>
      <c r="Q6" s="2170">
        <v>85</v>
      </c>
      <c r="R6" s="2170">
        <v>41.96</v>
      </c>
      <c r="S6" s="2170">
        <v>73.680000000000007</v>
      </c>
      <c r="T6" s="2170">
        <v>66.22</v>
      </c>
      <c r="U6" s="2170">
        <v>66.58</v>
      </c>
      <c r="V6" s="2170">
        <v>148.75</v>
      </c>
      <c r="W6" s="2170">
        <v>38.340000000000003</v>
      </c>
      <c r="X6" s="2170">
        <v>63.99</v>
      </c>
      <c r="Y6" s="2170">
        <v>397.39</v>
      </c>
      <c r="Z6" s="2170">
        <v>85.08</v>
      </c>
      <c r="AA6" s="2170">
        <v>15.55</v>
      </c>
      <c r="AB6" s="2170">
        <v>15.11</v>
      </c>
      <c r="AC6" s="2170">
        <v>110.33</v>
      </c>
      <c r="AD6" s="2170">
        <v>161.5</v>
      </c>
      <c r="AE6" s="2170">
        <v>224.68</v>
      </c>
      <c r="AF6" s="2170">
        <v>13.09</v>
      </c>
      <c r="AG6" s="2170">
        <v>94.73</v>
      </c>
    </row>
    <row r="7" spans="1:33" x14ac:dyDescent="0.15">
      <c r="A7" s="1714">
        <v>103</v>
      </c>
      <c r="B7" s="1714">
        <v>32</v>
      </c>
      <c r="C7" s="1718" t="s">
        <v>393</v>
      </c>
      <c r="D7" s="349">
        <f>DSURFACEHOLE</f>
        <v>103</v>
      </c>
      <c r="E7" s="2171"/>
      <c r="F7" s="2171">
        <v>0.16020000000000001</v>
      </c>
      <c r="G7" s="2171">
        <v>8.8200000000000001E-2</v>
      </c>
      <c r="H7" s="2171"/>
      <c r="I7" s="2171"/>
      <c r="J7" s="2171"/>
      <c r="K7" s="2171"/>
      <c r="L7" s="2171"/>
      <c r="M7" s="2171">
        <v>7.9399999999999998E-2</v>
      </c>
      <c r="N7" s="2171"/>
      <c r="O7" s="2171"/>
      <c r="P7" s="2171"/>
      <c r="Q7" s="2171"/>
      <c r="R7" s="2171"/>
      <c r="S7" s="2171">
        <v>6.5799999999999997E-2</v>
      </c>
      <c r="T7" s="2171"/>
      <c r="U7" s="2171">
        <v>3.5200000000000002E-2</v>
      </c>
      <c r="V7" s="2171"/>
      <c r="W7" s="2171"/>
      <c r="X7" s="2171"/>
      <c r="Y7" s="2171"/>
      <c r="Z7" s="2171">
        <v>2.6499999999999999E-2</v>
      </c>
      <c r="AA7" s="2171"/>
      <c r="AB7" s="2171">
        <v>0.30840000000000001</v>
      </c>
      <c r="AC7" s="2171"/>
      <c r="AD7" s="2171"/>
      <c r="AE7" s="2171"/>
      <c r="AF7" s="2171"/>
      <c r="AG7" s="2171"/>
    </row>
    <row r="8" spans="1:33" ht="26" x14ac:dyDescent="0.15">
      <c r="A8" s="1714">
        <v>800</v>
      </c>
      <c r="B8" s="1714">
        <v>23</v>
      </c>
      <c r="C8" s="315" t="s">
        <v>395</v>
      </c>
      <c r="D8" s="349">
        <f>DINTERHOLE</f>
        <v>563</v>
      </c>
      <c r="E8" s="2171"/>
      <c r="F8" s="2171">
        <v>1.12E-2</v>
      </c>
      <c r="G8" s="2171">
        <v>4.0599999999999997E-2</v>
      </c>
      <c r="H8" s="2171"/>
      <c r="I8" s="2171"/>
      <c r="J8" s="2171"/>
      <c r="K8" s="2171"/>
      <c r="L8" s="2171"/>
      <c r="M8" s="2171">
        <v>1.7600000000000001E-2</v>
      </c>
      <c r="N8" s="2171">
        <v>1.7299999999999999E-2</v>
      </c>
      <c r="O8" s="2171"/>
      <c r="P8" s="2171">
        <v>0.11310000000000001</v>
      </c>
      <c r="Q8" s="2171"/>
      <c r="R8" s="2171"/>
      <c r="S8" s="2171">
        <v>2.0799999999999999E-2</v>
      </c>
      <c r="T8" s="2171">
        <v>7.2499999999999995E-2</v>
      </c>
      <c r="U8" s="2171">
        <v>2.9899999999999999E-2</v>
      </c>
      <c r="V8" s="2171"/>
      <c r="W8" s="2171"/>
      <c r="X8" s="2171"/>
      <c r="Y8" s="2171"/>
      <c r="Z8" s="2171">
        <v>1.29E-2</v>
      </c>
      <c r="AA8" s="2171"/>
      <c r="AB8" s="2171">
        <v>2.2200000000000001E-2</v>
      </c>
      <c r="AC8" s="2171"/>
      <c r="AD8" s="2171"/>
      <c r="AE8" s="2171"/>
      <c r="AF8" s="2171"/>
      <c r="AG8" s="2171"/>
    </row>
    <row r="9" spans="1:33" ht="26" x14ac:dyDescent="0.15">
      <c r="A9" s="1714">
        <v>1395</v>
      </c>
      <c r="B9" s="1714">
        <v>17</v>
      </c>
      <c r="C9" s="315" t="s">
        <v>397</v>
      </c>
      <c r="D9" s="349">
        <f>DPRODHOLE</f>
        <v>1263</v>
      </c>
      <c r="E9" s="2171">
        <v>4.48E-2</v>
      </c>
      <c r="F9" s="2171">
        <v>1.23E-2</v>
      </c>
      <c r="G9" s="2171">
        <v>5.1999999999999998E-2</v>
      </c>
      <c r="H9" s="2171"/>
      <c r="I9" s="2171"/>
      <c r="J9" s="2171"/>
      <c r="K9" s="2171">
        <v>7.4999999999999997E-3</v>
      </c>
      <c r="L9" s="2171"/>
      <c r="M9" s="2171">
        <v>4.2799999999999998E-2</v>
      </c>
      <c r="N9" s="2171">
        <v>1.9900000000000001E-2</v>
      </c>
      <c r="O9" s="2171"/>
      <c r="P9" s="2171">
        <v>7.8700000000000006E-2</v>
      </c>
      <c r="Q9" s="2171"/>
      <c r="R9" s="2171"/>
      <c r="S9" s="2171">
        <v>6.1400000000000003E-2</v>
      </c>
      <c r="T9" s="2171">
        <v>4.02E-2</v>
      </c>
      <c r="U9" s="2171">
        <v>2.7E-2</v>
      </c>
      <c r="V9" s="2171">
        <v>7.4999999999999997E-3</v>
      </c>
      <c r="W9" s="2171"/>
      <c r="X9" s="2171"/>
      <c r="Y9" s="2171">
        <v>8.9999999999999993E-3</v>
      </c>
      <c r="Z9" s="2171">
        <v>1.9E-2</v>
      </c>
      <c r="AA9" s="2171"/>
      <c r="AB9" s="2171">
        <v>4.9500000000000002E-2</v>
      </c>
      <c r="AC9" s="2171"/>
      <c r="AD9" s="2171"/>
      <c r="AE9" s="2171"/>
      <c r="AF9" s="2171"/>
      <c r="AG9" s="2171"/>
    </row>
    <row r="10" spans="1:33" x14ac:dyDescent="0.15">
      <c r="A10" s="1714">
        <v>2200</v>
      </c>
      <c r="B10" s="1716">
        <v>12.25</v>
      </c>
      <c r="C10" s="315" t="s">
        <v>670</v>
      </c>
      <c r="D10" s="349">
        <f>DPL1HOLE</f>
        <v>1900</v>
      </c>
      <c r="E10" s="2171">
        <v>5.3E-3</v>
      </c>
      <c r="F10" s="2171">
        <v>5.7999999999999996E-3</v>
      </c>
      <c r="G10" s="2171">
        <v>5.2600000000000001E-2</v>
      </c>
      <c r="H10" s="2171"/>
      <c r="I10" s="2171"/>
      <c r="J10" s="2171"/>
      <c r="K10" s="2171">
        <v>1.6999999999999999E-3</v>
      </c>
      <c r="L10" s="2171">
        <v>7.4999999999999997E-3</v>
      </c>
      <c r="M10" s="2171">
        <v>9.7100000000000006E-2</v>
      </c>
      <c r="N10" s="2171"/>
      <c r="O10" s="2171"/>
      <c r="P10" s="2171">
        <v>2.6800000000000001E-2</v>
      </c>
      <c r="Q10" s="2171">
        <v>4.9299999999999997E-2</v>
      </c>
      <c r="R10" s="2171"/>
      <c r="S10" s="2171">
        <v>4.5600000000000002E-2</v>
      </c>
      <c r="T10" s="2171">
        <v>2.3300000000000001E-2</v>
      </c>
      <c r="U10" s="2171">
        <v>1.8499999999999999E-2</v>
      </c>
      <c r="V10" s="2171">
        <v>2.4899999999999999E-2</v>
      </c>
      <c r="W10" s="2171"/>
      <c r="X10" s="2171"/>
      <c r="Y10" s="2171">
        <v>8.3999999999999995E-3</v>
      </c>
      <c r="Z10" s="2171">
        <v>9.4999999999999998E-3</v>
      </c>
      <c r="AA10" s="2171"/>
      <c r="AB10" s="2171">
        <v>1.3299999999999999E-2</v>
      </c>
      <c r="AC10" s="2171">
        <v>2.5000000000000001E-2</v>
      </c>
      <c r="AD10" s="2171">
        <v>5.5999999999999999E-3</v>
      </c>
      <c r="AE10" s="2171"/>
      <c r="AF10" s="2171"/>
      <c r="AG10" s="2171"/>
    </row>
    <row r="11" spans="1:33" x14ac:dyDescent="0.15">
      <c r="A11" s="1714">
        <v>3000</v>
      </c>
      <c r="B11" s="1716">
        <v>9.875</v>
      </c>
      <c r="C11" s="132" t="s">
        <v>669</v>
      </c>
      <c r="D11" s="349">
        <f>DPL2HOLE</f>
        <v>2500</v>
      </c>
      <c r="E11" s="2171"/>
      <c r="F11" s="2171"/>
      <c r="G11" s="2171">
        <v>7.7899999999999997E-2</v>
      </c>
      <c r="H11" s="2171"/>
      <c r="I11" s="2171"/>
      <c r="J11" s="2171"/>
      <c r="K11" s="2171">
        <v>4.0000000000000001E-3</v>
      </c>
      <c r="L11" s="2171"/>
      <c r="M11" s="2171">
        <v>0.1179</v>
      </c>
      <c r="N11" s="2171"/>
      <c r="O11" s="2171"/>
      <c r="P11" s="2171"/>
      <c r="Q11" s="2171">
        <v>4.9799999999999997E-2</v>
      </c>
      <c r="R11" s="2171"/>
      <c r="S11" s="2171">
        <v>2.4E-2</v>
      </c>
      <c r="T11" s="2171"/>
      <c r="U11" s="2171">
        <v>3.2399999999999998E-2</v>
      </c>
      <c r="V11" s="2171"/>
      <c r="W11" s="2171"/>
      <c r="X11" s="2171"/>
      <c r="Y11" s="2171">
        <v>3.8E-3</v>
      </c>
      <c r="Z11" s="2171"/>
      <c r="AA11" s="2171"/>
      <c r="AB11" s="2171">
        <v>8.0000000000000002E-3</v>
      </c>
      <c r="AC11" s="2171"/>
      <c r="AD11" s="2171"/>
      <c r="AE11" s="2171"/>
      <c r="AF11" s="2171"/>
      <c r="AG11" s="2171"/>
    </row>
    <row r="12" spans="1:33" s="315" customFormat="1" x14ac:dyDescent="0.15">
      <c r="A12" s="1714"/>
      <c r="B12" s="349"/>
      <c r="C12" s="132" t="s">
        <v>1247</v>
      </c>
      <c r="D12" s="349" t="str">
        <f>DPL3HOLE</f>
        <v/>
      </c>
      <c r="E12" s="2171"/>
      <c r="F12" s="2171"/>
      <c r="G12" s="2171">
        <v>7.7899999999999997E-2</v>
      </c>
      <c r="H12" s="2171"/>
      <c r="I12" s="2171"/>
      <c r="J12" s="2171"/>
      <c r="K12" s="2171">
        <v>4.0000000000000001E-3</v>
      </c>
      <c r="L12" s="2171"/>
      <c r="M12" s="2171">
        <v>0.1179</v>
      </c>
      <c r="N12" s="2171"/>
      <c r="O12" s="2171"/>
      <c r="P12" s="2171"/>
      <c r="Q12" s="2171">
        <v>4.9799999999999997E-2</v>
      </c>
      <c r="R12" s="2171"/>
      <c r="S12" s="2171">
        <v>2.4E-2</v>
      </c>
      <c r="T12" s="2171"/>
      <c r="U12" s="2171">
        <v>3.2399999999999998E-2</v>
      </c>
      <c r="V12" s="2171"/>
      <c r="W12" s="2171"/>
      <c r="X12" s="2171"/>
      <c r="Y12" s="2171">
        <v>3.8E-3</v>
      </c>
      <c r="Z12" s="2171"/>
      <c r="AA12" s="2171"/>
      <c r="AB12" s="2171">
        <v>8.0000000000000002E-3</v>
      </c>
      <c r="AC12" s="2171"/>
      <c r="AD12" s="2171"/>
      <c r="AE12" s="2171"/>
      <c r="AF12" s="2171"/>
      <c r="AG12" s="2171"/>
    </row>
    <row r="13" spans="1:33" x14ac:dyDescent="0.15">
      <c r="A13" s="1714"/>
      <c r="B13" s="349"/>
      <c r="C13" s="132" t="s">
        <v>1252</v>
      </c>
      <c r="D13" s="349" t="str">
        <f>DPL3HOLE</f>
        <v/>
      </c>
      <c r="E13" s="1715" t="s">
        <v>907</v>
      </c>
      <c r="F13" s="1715" t="s">
        <v>907</v>
      </c>
      <c r="G13" s="1715">
        <v>8.2000000000000003E-2</v>
      </c>
      <c r="H13" s="1715" t="s">
        <v>907</v>
      </c>
      <c r="I13" s="1715" t="s">
        <v>907</v>
      </c>
      <c r="J13" s="1715" t="s">
        <v>907</v>
      </c>
      <c r="K13" s="1715">
        <v>4.0000000000000001E-3</v>
      </c>
      <c r="L13" s="1715" t="s">
        <v>907</v>
      </c>
      <c r="M13" s="1715">
        <v>0.112</v>
      </c>
      <c r="N13" s="1715" t="s">
        <v>907</v>
      </c>
      <c r="O13" s="1715" t="s">
        <v>907</v>
      </c>
      <c r="P13" s="1715" t="s">
        <v>907</v>
      </c>
      <c r="Q13" s="1715">
        <v>8.2000000000000003E-2</v>
      </c>
      <c r="R13" s="1715" t="s">
        <v>907</v>
      </c>
      <c r="S13" s="1715">
        <v>2.4E-2</v>
      </c>
      <c r="T13" s="1715" t="s">
        <v>907</v>
      </c>
      <c r="U13" s="1715">
        <v>1.6E-2</v>
      </c>
      <c r="V13" s="1715" t="s">
        <v>907</v>
      </c>
      <c r="W13" s="1715" t="s">
        <v>907</v>
      </c>
      <c r="X13" s="1715" t="s">
        <v>907</v>
      </c>
      <c r="Y13" s="1715" t="s">
        <v>907</v>
      </c>
      <c r="Z13" s="1715" t="s">
        <v>907</v>
      </c>
      <c r="AA13" s="1715" t="s">
        <v>907</v>
      </c>
      <c r="AB13" s="1715">
        <v>8.0000000000000002E-3</v>
      </c>
      <c r="AC13" s="1715" t="s">
        <v>907</v>
      </c>
      <c r="AD13" s="1715" t="s">
        <v>907</v>
      </c>
      <c r="AE13" s="1715" t="s">
        <v>907</v>
      </c>
      <c r="AF13" s="1715" t="s">
        <v>907</v>
      </c>
      <c r="AG13" s="1715" t="s">
        <v>907</v>
      </c>
    </row>
    <row r="14" spans="1:33" s="315" customFormat="1" x14ac:dyDescent="0.15">
      <c r="A14" s="1714"/>
      <c r="B14" s="1716"/>
      <c r="C14" s="132"/>
      <c r="D14" s="349"/>
      <c r="E14" s="1715"/>
      <c r="F14" s="1715"/>
      <c r="G14" s="1715"/>
      <c r="H14" s="1715"/>
      <c r="I14" s="1715"/>
      <c r="J14" s="1715"/>
      <c r="K14" s="1715"/>
      <c r="L14" s="1715"/>
      <c r="M14" s="1715"/>
      <c r="N14" s="1715"/>
      <c r="O14" s="1715"/>
      <c r="P14" s="1715"/>
      <c r="Q14" s="1715"/>
      <c r="R14" s="1715"/>
      <c r="S14" s="1715"/>
      <c r="T14" s="1715"/>
      <c r="U14" s="1715"/>
      <c r="V14" s="1715"/>
      <c r="W14" s="1715"/>
      <c r="X14" s="1715"/>
      <c r="Y14" s="1715"/>
      <c r="Z14" s="1715"/>
      <c r="AA14" s="1715"/>
      <c r="AB14" s="1715"/>
      <c r="AC14" s="1715"/>
      <c r="AD14" s="1715"/>
      <c r="AE14" s="1715"/>
      <c r="AF14" s="1715"/>
      <c r="AG14" s="1715"/>
    </row>
    <row r="16" spans="1:33" x14ac:dyDescent="0.15">
      <c r="E16" s="1721" t="s">
        <v>1267</v>
      </c>
      <c r="F16" s="1721" t="s">
        <v>1268</v>
      </c>
      <c r="G16" s="1721" t="s">
        <v>1269</v>
      </c>
      <c r="H16" s="1721" t="s">
        <v>1269</v>
      </c>
      <c r="I16" s="1721" t="s">
        <v>1270</v>
      </c>
      <c r="J16" s="1721" t="s">
        <v>1270</v>
      </c>
      <c r="K16" s="1721" t="s">
        <v>1270</v>
      </c>
      <c r="L16" s="1721" t="s">
        <v>1270</v>
      </c>
      <c r="M16" s="1721" t="s">
        <v>1269</v>
      </c>
      <c r="N16" s="1721" t="s">
        <v>1270</v>
      </c>
      <c r="O16" s="1721" t="s">
        <v>1270</v>
      </c>
      <c r="P16" s="1721" t="s">
        <v>1269</v>
      </c>
      <c r="Q16" s="1721" t="s">
        <v>1269</v>
      </c>
      <c r="R16" s="1721" t="s">
        <v>1271</v>
      </c>
      <c r="S16" s="1721" t="s">
        <v>1269</v>
      </c>
      <c r="T16" s="1721" t="s">
        <v>1269</v>
      </c>
      <c r="U16" s="1721" t="s">
        <v>1271</v>
      </c>
      <c r="V16" s="1721" t="s">
        <v>1269</v>
      </c>
      <c r="W16" s="1721" t="s">
        <v>1269</v>
      </c>
      <c r="X16" s="1721" t="s">
        <v>1272</v>
      </c>
      <c r="Y16" s="1721" t="s">
        <v>1270</v>
      </c>
      <c r="Z16" s="1721" t="s">
        <v>1273</v>
      </c>
      <c r="AA16" s="1721" t="s">
        <v>1269</v>
      </c>
      <c r="AB16" s="1721" t="s">
        <v>1269</v>
      </c>
      <c r="AC16" s="1721" t="s">
        <v>1269</v>
      </c>
      <c r="AD16" s="1721" t="s">
        <v>1271</v>
      </c>
      <c r="AE16" s="1721" t="s">
        <v>1272</v>
      </c>
      <c r="AF16" s="1721" t="s">
        <v>1272</v>
      </c>
      <c r="AG16" s="1721" t="s">
        <v>1269</v>
      </c>
    </row>
    <row r="17" spans="5:34" x14ac:dyDescent="0.15">
      <c r="E17" s="1717"/>
      <c r="F17" s="1717"/>
      <c r="G17" s="1717"/>
      <c r="H17" s="1717"/>
      <c r="I17" s="1717"/>
      <c r="J17" s="1717"/>
      <c r="K17" s="1717"/>
      <c r="L17" s="1717"/>
      <c r="M17" s="1717"/>
      <c r="N17" s="1717"/>
      <c r="O17" s="1717"/>
      <c r="P17" s="1717"/>
      <c r="Q17" s="1717"/>
      <c r="R17" s="1717"/>
      <c r="S17" s="1717"/>
      <c r="T17" s="1717"/>
      <c r="U17" s="1717"/>
      <c r="V17" s="1717"/>
      <c r="W17" s="1717"/>
      <c r="X17" s="1717"/>
      <c r="Y17" s="1717"/>
      <c r="Z17" s="1717"/>
      <c r="AA17" s="1717"/>
      <c r="AB17" s="1717"/>
      <c r="AC17" s="1717"/>
      <c r="AD17" s="1717"/>
      <c r="AE17" s="1717"/>
      <c r="AF17" s="1717"/>
      <c r="AG17" s="1717"/>
    </row>
    <row r="19" spans="5:34" ht="12.75" customHeight="1" x14ac:dyDescent="0.15">
      <c r="E19" s="2349" t="s">
        <v>1255</v>
      </c>
      <c r="F19" s="2349" t="s">
        <v>1116</v>
      </c>
      <c r="G19" s="2349" t="s">
        <v>1116</v>
      </c>
      <c r="H19" s="2349" t="s">
        <v>1117</v>
      </c>
      <c r="I19" s="2349" t="s">
        <v>1119</v>
      </c>
      <c r="J19" s="2349" t="s">
        <v>1124</v>
      </c>
      <c r="K19" s="2349" t="s">
        <v>1125</v>
      </c>
      <c r="L19" s="2349" t="s">
        <v>1256</v>
      </c>
      <c r="M19" s="2349" t="s">
        <v>1123</v>
      </c>
      <c r="N19" s="2349" t="s">
        <v>1126</v>
      </c>
      <c r="O19" s="2349" t="s">
        <v>1122</v>
      </c>
      <c r="P19" s="2349" t="s">
        <v>1257</v>
      </c>
      <c r="Q19" s="2349" t="s">
        <v>1258</v>
      </c>
      <c r="R19" s="2349" t="s">
        <v>154</v>
      </c>
      <c r="S19" s="2349" t="s">
        <v>155</v>
      </c>
      <c r="T19" s="2349" t="s">
        <v>1259</v>
      </c>
      <c r="U19" s="2349" t="s">
        <v>1120</v>
      </c>
      <c r="V19" s="2349" t="s">
        <v>1260</v>
      </c>
      <c r="W19" s="2349" t="s">
        <v>1261</v>
      </c>
      <c r="X19" s="2349" t="s">
        <v>1262</v>
      </c>
      <c r="Y19" s="2349" t="s">
        <v>1127</v>
      </c>
      <c r="Z19" s="2349" t="s">
        <v>1263</v>
      </c>
      <c r="AA19" s="2349" t="s">
        <v>1264</v>
      </c>
      <c r="AB19" s="2349" t="s">
        <v>158</v>
      </c>
      <c r="AC19" s="2349" t="s">
        <v>157</v>
      </c>
      <c r="AD19" s="2349" t="s">
        <v>1121</v>
      </c>
      <c r="AE19" s="2349" t="s">
        <v>1265</v>
      </c>
      <c r="AF19" s="2349" t="s">
        <v>1266</v>
      </c>
      <c r="AG19" s="2349" t="s">
        <v>1118</v>
      </c>
      <c r="AH19" s="2349" t="s">
        <v>156</v>
      </c>
    </row>
    <row r="20" spans="5:34" x14ac:dyDescent="0.15">
      <c r="E20" s="2349"/>
      <c r="F20" s="2349"/>
      <c r="G20" s="2349"/>
      <c r="H20" s="2349"/>
      <c r="I20" s="2349"/>
      <c r="J20" s="2349"/>
      <c r="K20" s="2349"/>
      <c r="L20" s="2349"/>
      <c r="M20" s="2349"/>
      <c r="N20" s="2349"/>
      <c r="O20" s="2349"/>
      <c r="P20" s="2349"/>
      <c r="Q20" s="2349"/>
      <c r="R20" s="2349"/>
      <c r="S20" s="2349"/>
      <c r="T20" s="2349"/>
      <c r="U20" s="2349"/>
      <c r="V20" s="2349"/>
      <c r="W20" s="2349"/>
      <c r="X20" s="2349"/>
      <c r="Y20" s="2349"/>
      <c r="Z20" s="2349"/>
      <c r="AA20" s="2349"/>
      <c r="AB20" s="2349"/>
      <c r="AC20" s="2349"/>
      <c r="AD20" s="2349"/>
      <c r="AE20" s="2349"/>
      <c r="AF20" s="2349"/>
      <c r="AG20" s="2349"/>
      <c r="AH20" s="2349"/>
    </row>
    <row r="21" spans="5:34" x14ac:dyDescent="0.15">
      <c r="E21" s="2349"/>
      <c r="F21" s="2349"/>
      <c r="G21" s="2349"/>
      <c r="H21" s="2349"/>
      <c r="I21" s="2349"/>
      <c r="J21" s="2349"/>
      <c r="K21" s="2349"/>
      <c r="L21" s="2349"/>
      <c r="M21" s="2349"/>
      <c r="N21" s="2349"/>
      <c r="O21" s="2349"/>
      <c r="P21" s="2349"/>
      <c r="Q21" s="2349"/>
      <c r="R21" s="2349"/>
      <c r="S21" s="2349"/>
      <c r="T21" s="2349"/>
      <c r="U21" s="2349"/>
      <c r="V21" s="2349"/>
      <c r="W21" s="2349"/>
      <c r="X21" s="2349"/>
      <c r="Y21" s="2349"/>
      <c r="Z21" s="2349"/>
      <c r="AA21" s="2349"/>
      <c r="AB21" s="2349"/>
      <c r="AC21" s="2349"/>
      <c r="AD21" s="2349"/>
      <c r="AE21" s="2349"/>
      <c r="AF21" s="2349"/>
      <c r="AG21" s="2349"/>
      <c r="AH21" s="2349"/>
    </row>
    <row r="22" spans="5:34" x14ac:dyDescent="0.15">
      <c r="E22" s="2170">
        <v>42.25</v>
      </c>
      <c r="F22" s="2170">
        <v>187.86</v>
      </c>
      <c r="G22" s="2171" t="s">
        <v>2659</v>
      </c>
      <c r="H22" s="2170">
        <v>16.940000000000001</v>
      </c>
      <c r="I22" s="2170">
        <v>64.91</v>
      </c>
      <c r="J22" s="2170">
        <v>1024.8</v>
      </c>
      <c r="K22" s="2170">
        <v>397.39</v>
      </c>
      <c r="L22" s="2170">
        <v>1295.94</v>
      </c>
      <c r="M22" s="2170">
        <v>84.71</v>
      </c>
      <c r="N22" s="2170">
        <v>60.76</v>
      </c>
      <c r="O22" s="2170">
        <v>754.38</v>
      </c>
      <c r="P22" s="2170">
        <v>781.35</v>
      </c>
      <c r="Q22" s="2170">
        <v>73.680000000000007</v>
      </c>
      <c r="R22" s="2170">
        <v>85</v>
      </c>
      <c r="S22" s="2170">
        <v>41.96</v>
      </c>
      <c r="T22" s="2170">
        <v>73.680000000000007</v>
      </c>
      <c r="U22" s="2170">
        <v>66.22</v>
      </c>
      <c r="V22" s="2170">
        <v>66.58</v>
      </c>
      <c r="W22" s="2170">
        <v>148.75</v>
      </c>
      <c r="X22" s="2170">
        <v>38.340000000000003</v>
      </c>
      <c r="Y22" s="2170">
        <v>63.99</v>
      </c>
      <c r="Z22" s="2170">
        <v>397.39</v>
      </c>
      <c r="AA22" s="2170">
        <v>85.08</v>
      </c>
      <c r="AB22" s="2170">
        <v>15.55</v>
      </c>
      <c r="AC22" s="2170">
        <v>15.11</v>
      </c>
      <c r="AD22" s="2170">
        <v>110.33</v>
      </c>
      <c r="AE22" s="2170">
        <v>161.5</v>
      </c>
      <c r="AF22" s="2170">
        <v>224.68</v>
      </c>
      <c r="AG22" s="2170">
        <v>13.09</v>
      </c>
      <c r="AH22" s="2170">
        <v>94.73</v>
      </c>
    </row>
    <row r="23" spans="5:34" x14ac:dyDescent="0.15">
      <c r="E23" s="2171"/>
      <c r="F23" s="2171">
        <v>0.16020000000000001</v>
      </c>
      <c r="G23" s="2171"/>
      <c r="H23" s="2171">
        <v>8.8200000000000001E-2</v>
      </c>
      <c r="I23" s="2171"/>
      <c r="J23" s="2171"/>
      <c r="K23" s="2171"/>
      <c r="L23" s="2171"/>
      <c r="M23" s="2171"/>
      <c r="N23" s="2171">
        <v>7.9399999999999998E-2</v>
      </c>
      <c r="O23" s="2171"/>
      <c r="P23" s="2171"/>
      <c r="Q23" s="2171"/>
      <c r="R23" s="2171"/>
      <c r="S23" s="2171"/>
      <c r="T23" s="2171">
        <v>6.5799999999999997E-2</v>
      </c>
      <c r="U23" s="2171"/>
      <c r="V23" s="2171">
        <v>3.5200000000000002E-2</v>
      </c>
      <c r="W23" s="2171"/>
      <c r="X23" s="2171"/>
      <c r="Y23" s="2171"/>
      <c r="Z23" s="2171"/>
      <c r="AA23" s="2171">
        <v>2.6499999999999999E-2</v>
      </c>
      <c r="AB23" s="2171"/>
      <c r="AC23" s="2171">
        <v>0.30840000000000001</v>
      </c>
      <c r="AD23" s="2171"/>
      <c r="AE23" s="2171"/>
      <c r="AF23" s="2171"/>
      <c r="AG23" s="2171"/>
      <c r="AH23" s="2171"/>
    </row>
    <row r="24" spans="5:34" x14ac:dyDescent="0.15">
      <c r="E24" s="2171"/>
      <c r="F24" s="2171">
        <v>1.12E-2</v>
      </c>
      <c r="G24" s="2171"/>
      <c r="H24" s="2171">
        <v>4.0599999999999997E-2</v>
      </c>
      <c r="I24" s="2171"/>
      <c r="J24" s="2171"/>
      <c r="K24" s="2171"/>
      <c r="L24" s="2171"/>
      <c r="M24" s="2171"/>
      <c r="N24" s="2171">
        <v>1.7600000000000001E-2</v>
      </c>
      <c r="O24" s="2171">
        <v>1.7299999999999999E-2</v>
      </c>
      <c r="P24" s="2171"/>
      <c r="Q24" s="2171">
        <v>0.11310000000000001</v>
      </c>
      <c r="R24" s="2171"/>
      <c r="S24" s="2171"/>
      <c r="T24" s="2171">
        <v>2.0799999999999999E-2</v>
      </c>
      <c r="U24" s="2171">
        <v>7.2499999999999995E-2</v>
      </c>
      <c r="V24" s="2171">
        <v>2.9899999999999999E-2</v>
      </c>
      <c r="W24" s="2171"/>
      <c r="X24" s="2171"/>
      <c r="Y24" s="2171"/>
      <c r="Z24" s="2171"/>
      <c r="AA24" s="2171">
        <v>1.29E-2</v>
      </c>
      <c r="AB24" s="2171"/>
      <c r="AC24" s="2171">
        <v>2.2200000000000001E-2</v>
      </c>
      <c r="AD24" s="2171"/>
      <c r="AE24" s="2171"/>
      <c r="AF24" s="2171"/>
      <c r="AG24" s="2171"/>
      <c r="AH24" s="2171"/>
    </row>
    <row r="25" spans="5:34" x14ac:dyDescent="0.15">
      <c r="E25" s="2171">
        <v>4.48E-2</v>
      </c>
      <c r="F25" s="2171">
        <v>1.23E-2</v>
      </c>
      <c r="G25" s="2171"/>
      <c r="H25" s="2171">
        <v>5.1999999999999998E-2</v>
      </c>
      <c r="I25" s="2171"/>
      <c r="J25" s="2171"/>
      <c r="K25" s="2171"/>
      <c r="L25" s="2171">
        <v>7.4999999999999997E-3</v>
      </c>
      <c r="M25" s="2171"/>
      <c r="N25" s="2171">
        <v>4.2799999999999998E-2</v>
      </c>
      <c r="O25" s="2171">
        <v>1.9900000000000001E-2</v>
      </c>
      <c r="P25" s="2171"/>
      <c r="Q25" s="2171">
        <v>7.8700000000000006E-2</v>
      </c>
      <c r="R25" s="2171"/>
      <c r="S25" s="2171"/>
      <c r="T25" s="2171">
        <v>6.1400000000000003E-2</v>
      </c>
      <c r="U25" s="2171">
        <v>4.02E-2</v>
      </c>
      <c r="V25" s="2171">
        <v>2.7E-2</v>
      </c>
      <c r="W25" s="2171">
        <v>7.4999999999999997E-3</v>
      </c>
      <c r="X25" s="2171"/>
      <c r="Y25" s="2171"/>
      <c r="Z25" s="2171">
        <v>8.9999999999999993E-3</v>
      </c>
      <c r="AA25" s="2171">
        <v>1.9E-2</v>
      </c>
      <c r="AB25" s="2171"/>
      <c r="AC25" s="2171">
        <v>4.9500000000000002E-2</v>
      </c>
      <c r="AD25" s="2171"/>
      <c r="AE25" s="2171"/>
      <c r="AF25" s="2171"/>
      <c r="AG25" s="2171"/>
      <c r="AH25" s="2171"/>
    </row>
    <row r="26" spans="5:34" x14ac:dyDescent="0.15">
      <c r="E26" s="2171">
        <v>5.3E-3</v>
      </c>
      <c r="F26" s="2171">
        <v>5.7999999999999996E-3</v>
      </c>
      <c r="G26" s="2171">
        <v>2.5000000000000001E-3</v>
      </c>
      <c r="H26" s="2171">
        <v>5.2600000000000001E-2</v>
      </c>
      <c r="I26" s="2171"/>
      <c r="J26" s="2171"/>
      <c r="K26" s="2171"/>
      <c r="L26" s="2171">
        <v>1.6999999999999999E-3</v>
      </c>
      <c r="M26" s="2171">
        <v>7.4999999999999997E-3</v>
      </c>
      <c r="N26" s="2171">
        <v>9.7100000000000006E-2</v>
      </c>
      <c r="O26" s="2171"/>
      <c r="P26" s="2171"/>
      <c r="Q26" s="2171">
        <v>2.6800000000000001E-2</v>
      </c>
      <c r="R26" s="2171">
        <v>4.9299999999999997E-2</v>
      </c>
      <c r="S26" s="2171"/>
      <c r="T26" s="2171">
        <v>4.5600000000000002E-2</v>
      </c>
      <c r="U26" s="2171">
        <v>2.3300000000000001E-2</v>
      </c>
      <c r="V26" s="2171">
        <v>1.8499999999999999E-2</v>
      </c>
      <c r="W26" s="2171">
        <v>2.4899999999999999E-2</v>
      </c>
      <c r="X26" s="2171"/>
      <c r="Y26" s="2171"/>
      <c r="Z26" s="2171">
        <v>8.3999999999999995E-3</v>
      </c>
      <c r="AA26" s="2171">
        <v>9.4999999999999998E-3</v>
      </c>
      <c r="AB26" s="2171"/>
      <c r="AC26" s="2171">
        <v>1.3299999999999999E-2</v>
      </c>
      <c r="AD26" s="2171">
        <v>2.5000000000000001E-2</v>
      </c>
      <c r="AE26" s="2171">
        <v>5.5999999999999999E-3</v>
      </c>
      <c r="AF26" s="2171"/>
      <c r="AG26" s="2171"/>
      <c r="AH26" s="2171"/>
    </row>
    <row r="27" spans="5:34" x14ac:dyDescent="0.15">
      <c r="E27" s="2171"/>
      <c r="F27" s="2171"/>
      <c r="G27" s="2171"/>
      <c r="H27" s="2171">
        <v>7.7899999999999997E-2</v>
      </c>
      <c r="I27" s="2171"/>
      <c r="J27" s="2171"/>
      <c r="K27" s="2171"/>
      <c r="L27" s="2171">
        <v>4.0000000000000001E-3</v>
      </c>
      <c r="M27" s="2171"/>
      <c r="N27" s="2171">
        <v>0.1179</v>
      </c>
      <c r="O27" s="2171"/>
      <c r="P27" s="2171"/>
      <c r="Q27" s="2171"/>
      <c r="R27" s="2171">
        <v>4.9799999999999997E-2</v>
      </c>
      <c r="S27" s="2171"/>
      <c r="T27" s="2171">
        <v>2.4E-2</v>
      </c>
      <c r="U27" s="2171"/>
      <c r="V27" s="2171">
        <v>3.2399999999999998E-2</v>
      </c>
      <c r="W27" s="2171"/>
      <c r="X27" s="2171"/>
      <c r="Y27" s="2171"/>
      <c r="Z27" s="2171">
        <v>3.8E-3</v>
      </c>
      <c r="AA27" s="2171"/>
      <c r="AB27" s="2171"/>
      <c r="AC27" s="2171">
        <v>8.0000000000000002E-3</v>
      </c>
      <c r="AD27" s="2171"/>
      <c r="AE27" s="2171"/>
      <c r="AF27" s="2171"/>
      <c r="AG27" s="2171"/>
      <c r="AH27" s="2171"/>
    </row>
    <row r="28" spans="5:34" x14ac:dyDescent="0.15">
      <c r="E28" s="2171"/>
      <c r="F28" s="2171"/>
      <c r="G28" s="2171"/>
      <c r="H28" s="2171"/>
      <c r="I28" s="2171"/>
      <c r="J28" s="2171"/>
      <c r="K28" s="2171"/>
      <c r="L28" s="2171"/>
      <c r="M28" s="2171"/>
      <c r="N28" s="2171"/>
      <c r="O28" s="2171"/>
      <c r="P28" s="2171"/>
      <c r="Q28" s="2171"/>
      <c r="R28" s="2171"/>
      <c r="S28" s="2171"/>
      <c r="T28" s="2171"/>
      <c r="U28" s="2171"/>
      <c r="V28" s="2171"/>
      <c r="W28" s="2171"/>
      <c r="X28" s="2171"/>
      <c r="Y28" s="2171"/>
      <c r="Z28" s="2171"/>
      <c r="AA28" s="2171"/>
      <c r="AB28" s="2171"/>
      <c r="AC28" s="2171"/>
      <c r="AD28" s="2171"/>
      <c r="AE28" s="2171"/>
      <c r="AF28" s="2171"/>
      <c r="AG28" s="2171"/>
      <c r="AH28" s="2171"/>
    </row>
    <row r="29" spans="5:34" x14ac:dyDescent="0.15">
      <c r="G29" s="315"/>
    </row>
    <row r="30" spans="5:34" x14ac:dyDescent="0.15">
      <c r="G30" s="315"/>
    </row>
    <row r="31" spans="5:34" x14ac:dyDescent="0.15">
      <c r="G31" s="315"/>
    </row>
    <row r="32" spans="5:34" x14ac:dyDescent="0.15">
      <c r="G32" s="315"/>
    </row>
    <row r="33" spans="7:7" x14ac:dyDescent="0.15">
      <c r="G33" s="315"/>
    </row>
    <row r="34" spans="7:7" x14ac:dyDescent="0.15">
      <c r="G34" s="315"/>
    </row>
    <row r="35" spans="7:7" x14ac:dyDescent="0.15">
      <c r="G35" s="315"/>
    </row>
    <row r="36" spans="7:7" x14ac:dyDescent="0.15">
      <c r="G36" s="315"/>
    </row>
    <row r="37" spans="7:7" x14ac:dyDescent="0.15">
      <c r="G37" s="315"/>
    </row>
    <row r="38" spans="7:7" x14ac:dyDescent="0.15">
      <c r="G38" s="315"/>
    </row>
    <row r="39" spans="7:7" x14ac:dyDescent="0.15">
      <c r="G39" s="315"/>
    </row>
    <row r="40" spans="7:7" x14ac:dyDescent="0.15">
      <c r="G40" s="315"/>
    </row>
    <row r="41" spans="7:7" x14ac:dyDescent="0.15">
      <c r="G41" s="315"/>
    </row>
    <row r="42" spans="7:7" x14ac:dyDescent="0.15">
      <c r="G42" s="315"/>
    </row>
    <row r="43" spans="7:7" x14ac:dyDescent="0.15">
      <c r="G43" s="315"/>
    </row>
    <row r="44" spans="7:7" x14ac:dyDescent="0.15">
      <c r="G44" s="315"/>
    </row>
    <row r="45" spans="7:7" x14ac:dyDescent="0.15">
      <c r="G45" s="315"/>
    </row>
    <row r="46" spans="7:7" x14ac:dyDescent="0.15">
      <c r="G46" s="315"/>
    </row>
    <row r="47" spans="7:7" x14ac:dyDescent="0.15">
      <c r="G47" s="315"/>
    </row>
  </sheetData>
  <mergeCells count="60">
    <mergeCell ref="E1:F1"/>
    <mergeCell ref="AD19:AD21"/>
    <mergeCell ref="AE19:AE21"/>
    <mergeCell ref="AF19:AF21"/>
    <mergeCell ref="AG19:AG21"/>
    <mergeCell ref="T19:T21"/>
    <mergeCell ref="U19:U21"/>
    <mergeCell ref="V19:V21"/>
    <mergeCell ref="W19:W21"/>
    <mergeCell ref="X19:X21"/>
    <mergeCell ref="O19:O21"/>
    <mergeCell ref="P19:P21"/>
    <mergeCell ref="Q19:Q21"/>
    <mergeCell ref="R19:R21"/>
    <mergeCell ref="S19:S21"/>
    <mergeCell ref="J19:J21"/>
    <mergeCell ref="AH19:AH21"/>
    <mergeCell ref="Y19:Y21"/>
    <mergeCell ref="Z19:Z21"/>
    <mergeCell ref="AA19:AA21"/>
    <mergeCell ref="AB19:AB21"/>
    <mergeCell ref="AC19:AC21"/>
    <mergeCell ref="K19:K21"/>
    <mergeCell ref="L19:L21"/>
    <mergeCell ref="M19:M21"/>
    <mergeCell ref="N19:N21"/>
    <mergeCell ref="E19:E21"/>
    <mergeCell ref="F19:F21"/>
    <mergeCell ref="G19:G21"/>
    <mergeCell ref="H19:H21"/>
    <mergeCell ref="I19:I21"/>
    <mergeCell ref="AC3:AC5"/>
    <mergeCell ref="AD3:AD5"/>
    <mergeCell ref="AE3:AE5"/>
    <mergeCell ref="AF3:AF5"/>
    <mergeCell ref="AG3:AG5"/>
    <mergeCell ref="AB3:AB5"/>
    <mergeCell ref="Q3:Q5"/>
    <mergeCell ref="R3:R5"/>
    <mergeCell ref="S3:S5"/>
    <mergeCell ref="T3:T5"/>
    <mergeCell ref="U3:U5"/>
    <mergeCell ref="V3:V5"/>
    <mergeCell ref="W3:W5"/>
    <mergeCell ref="X3:X5"/>
    <mergeCell ref="Y3:Y5"/>
    <mergeCell ref="Z3:Z5"/>
    <mergeCell ref="AA3:AA5"/>
    <mergeCell ref="P3:P5"/>
    <mergeCell ref="E3:E5"/>
    <mergeCell ref="F3:F5"/>
    <mergeCell ref="G3:G5"/>
    <mergeCell ref="H3:H5"/>
    <mergeCell ref="I3:I5"/>
    <mergeCell ref="J3:J5"/>
    <mergeCell ref="K3:K5"/>
    <mergeCell ref="L3:L5"/>
    <mergeCell ref="M3:M5"/>
    <mergeCell ref="N3:N5"/>
    <mergeCell ref="O3:O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60"/>
  <sheetViews>
    <sheetView showGridLines="0" topLeftCell="AE1" zoomScale="80" zoomScaleNormal="80" workbookViewId="0">
      <selection activeCell="AP22" sqref="AP22"/>
    </sheetView>
  </sheetViews>
  <sheetFormatPr baseColWidth="10" defaultColWidth="8.83203125" defaultRowHeight="13" outlineLevelCol="1" x14ac:dyDescent="0.15"/>
  <cols>
    <col min="2" max="2" width="7.1640625" style="1966" bestFit="1" customWidth="1"/>
    <col min="3" max="3" width="51.5" customWidth="1"/>
    <col min="4" max="4" width="13.83203125" customWidth="1"/>
    <col min="5" max="5" width="8.5" customWidth="1"/>
    <col min="6" max="6" width="13.83203125" customWidth="1"/>
    <col min="7" max="7" width="17" style="1641" customWidth="1"/>
    <col min="8" max="8" width="9.1640625" style="1967" customWidth="1"/>
    <col min="9" max="9" width="55.1640625" customWidth="1"/>
    <col min="10" max="11" width="9.1640625" style="1641" customWidth="1"/>
    <col min="12" max="12" width="12.1640625" customWidth="1"/>
    <col min="13" max="13" width="18.1640625" customWidth="1"/>
    <col min="14" max="15" width="18.1640625" style="315" customWidth="1"/>
    <col min="16" max="19" width="12.1640625" hidden="1" customWidth="1" outlineLevel="1"/>
    <col min="20" max="20" width="11.83203125" hidden="1" customWidth="1" outlineLevel="1"/>
    <col min="21" max="22" width="12.1640625" hidden="1" customWidth="1" outlineLevel="1"/>
    <col min="23" max="24" width="13.83203125" hidden="1" customWidth="1" outlineLevel="1"/>
    <col min="25" max="25" width="12.1640625" hidden="1" customWidth="1" outlineLevel="1"/>
    <col min="26" max="26" width="8.83203125" collapsed="1"/>
    <col min="27" max="27" width="33.6640625" bestFit="1" customWidth="1"/>
    <col min="28" max="28" width="9.1640625" customWidth="1"/>
    <col min="29" max="29" width="19.33203125" customWidth="1"/>
    <col min="30" max="30" width="13.83203125" customWidth="1"/>
    <col min="31" max="31" width="30.83203125" bestFit="1" customWidth="1"/>
    <col min="32" max="32" width="9.1640625" customWidth="1"/>
    <col min="33" max="33" width="10.83203125" bestFit="1" customWidth="1"/>
    <col min="34" max="34" width="13.83203125" customWidth="1"/>
    <col min="35" max="35" width="9.1640625" customWidth="1"/>
    <col min="36" max="37" width="13.5" customWidth="1"/>
    <col min="38" max="38" width="13.83203125" customWidth="1" outlineLevel="1"/>
    <col min="39" max="39" width="9.1640625" customWidth="1" outlineLevel="1"/>
    <col min="40" max="40" width="12.1640625" customWidth="1" outlineLevel="1"/>
    <col min="41" max="41" width="9.1640625" customWidth="1" outlineLevel="1"/>
    <col min="42" max="42" width="12.1640625" customWidth="1" outlineLevel="1"/>
    <col min="43" max="43" width="13.83203125" customWidth="1" outlineLevel="1"/>
    <col min="44" max="44" width="9.1640625" customWidth="1" outlineLevel="1"/>
    <col min="45" max="46" width="12.1640625" customWidth="1" outlineLevel="1"/>
    <col min="47" max="47" width="9.1640625" customWidth="1" outlineLevel="1"/>
  </cols>
  <sheetData>
    <row r="1" spans="1:47" s="315" customFormat="1" ht="14" thickBot="1" x14ac:dyDescent="0.2">
      <c r="A1" s="2072"/>
      <c r="B1" s="2073"/>
      <c r="C1" s="2072" t="s">
        <v>243</v>
      </c>
      <c r="D1" s="2072"/>
      <c r="E1" s="2072"/>
      <c r="F1" s="2072"/>
      <c r="G1" s="2074"/>
      <c r="H1" s="2075"/>
      <c r="I1" s="2072" t="s">
        <v>242</v>
      </c>
      <c r="J1" s="2074"/>
      <c r="K1" s="2074"/>
      <c r="L1" s="2072"/>
      <c r="M1" s="2072"/>
      <c r="N1" s="2072" t="s">
        <v>357</v>
      </c>
      <c r="O1" s="2072" t="s">
        <v>88</v>
      </c>
      <c r="P1" s="2060" t="s">
        <v>88</v>
      </c>
      <c r="Q1" s="2060"/>
      <c r="R1" s="2060"/>
      <c r="S1" s="2060"/>
      <c r="T1" s="2060"/>
      <c r="U1" s="2060" t="s">
        <v>357</v>
      </c>
      <c r="V1" s="2060"/>
      <c r="W1" s="2060"/>
      <c r="X1" s="2060"/>
      <c r="Y1" s="2060"/>
      <c r="Z1" s="2072"/>
      <c r="AA1" s="2072" t="s">
        <v>59</v>
      </c>
      <c r="AB1" s="2072"/>
      <c r="AC1" s="2072"/>
      <c r="AD1" s="2072"/>
      <c r="AE1" s="2180" t="s">
        <v>54</v>
      </c>
      <c r="AF1" s="2072"/>
      <c r="AG1" s="2072"/>
      <c r="AH1" s="2072"/>
      <c r="AI1" s="2072"/>
      <c r="AJ1" s="2072" t="s">
        <v>357</v>
      </c>
      <c r="AK1" s="2072" t="s">
        <v>88</v>
      </c>
      <c r="AL1" s="2060" t="s">
        <v>88</v>
      </c>
      <c r="AM1" s="2060"/>
      <c r="AN1" s="2060"/>
      <c r="AO1" s="2060"/>
      <c r="AP1" s="2060"/>
      <c r="AQ1" s="2060" t="s">
        <v>357</v>
      </c>
      <c r="AR1" s="2060"/>
      <c r="AS1" s="2060"/>
      <c r="AT1" s="2060"/>
      <c r="AU1" s="2060"/>
    </row>
    <row r="2" spans="1:47" ht="15.75" customHeight="1" x14ac:dyDescent="0.15">
      <c r="A2" s="2072"/>
      <c r="B2" s="2078" t="s">
        <v>2281</v>
      </c>
      <c r="C2" s="2079" t="s">
        <v>1299</v>
      </c>
      <c r="D2" s="2079" t="s">
        <v>2094</v>
      </c>
      <c r="E2" s="2079" t="s">
        <v>2114</v>
      </c>
      <c r="F2" s="2079" t="s">
        <v>2280</v>
      </c>
      <c r="G2" s="2080" t="s">
        <v>2174</v>
      </c>
      <c r="H2" s="2090" t="s">
        <v>2281</v>
      </c>
      <c r="I2" s="2079" t="s">
        <v>1299</v>
      </c>
      <c r="J2" s="2079" t="s">
        <v>2094</v>
      </c>
      <c r="K2" s="2079" t="s">
        <v>2114</v>
      </c>
      <c r="L2" s="2079" t="s">
        <v>2280</v>
      </c>
      <c r="M2" s="2080" t="s">
        <v>2133</v>
      </c>
      <c r="N2" s="2061" t="s">
        <v>536</v>
      </c>
      <c r="O2" s="2062" t="s">
        <v>536</v>
      </c>
      <c r="P2" s="315" t="s">
        <v>2100</v>
      </c>
      <c r="Q2" s="315" t="s">
        <v>327</v>
      </c>
      <c r="R2" s="315" t="s">
        <v>52</v>
      </c>
      <c r="S2" s="315" t="s">
        <v>379</v>
      </c>
      <c r="T2" s="315" t="s">
        <v>378</v>
      </c>
      <c r="U2" s="315" t="s">
        <v>2100</v>
      </c>
      <c r="V2" s="315" t="s">
        <v>327</v>
      </c>
      <c r="W2" s="315" t="s">
        <v>52</v>
      </c>
      <c r="X2" s="315" t="s">
        <v>379</v>
      </c>
      <c r="Y2" s="315" t="s">
        <v>378</v>
      </c>
      <c r="Z2" s="2072"/>
      <c r="AA2" s="2182" t="s">
        <v>2666</v>
      </c>
      <c r="AB2" s="2079" t="s">
        <v>2094</v>
      </c>
      <c r="AC2" s="2079" t="s">
        <v>2114</v>
      </c>
      <c r="AD2" s="2080" t="s">
        <v>2280</v>
      </c>
      <c r="AE2" s="2182" t="s">
        <v>2666</v>
      </c>
      <c r="AF2" s="2079" t="s">
        <v>2094</v>
      </c>
      <c r="AG2" s="2079" t="s">
        <v>2114</v>
      </c>
      <c r="AH2" s="2080" t="s">
        <v>2280</v>
      </c>
      <c r="AI2" s="2072"/>
      <c r="AJ2" s="2061" t="s">
        <v>536</v>
      </c>
      <c r="AK2" s="2062" t="s">
        <v>536</v>
      </c>
      <c r="AL2" s="2072" t="s">
        <v>2100</v>
      </c>
      <c r="AM2" s="2072" t="s">
        <v>327</v>
      </c>
      <c r="AN2" s="2072" t="s">
        <v>52</v>
      </c>
      <c r="AO2" s="2072" t="s">
        <v>379</v>
      </c>
      <c r="AP2" s="2072" t="s">
        <v>378</v>
      </c>
      <c r="AQ2" s="2072" t="s">
        <v>2100</v>
      </c>
      <c r="AR2" s="2072" t="s">
        <v>327</v>
      </c>
      <c r="AS2" s="2072" t="s">
        <v>52</v>
      </c>
      <c r="AT2" s="2072" t="s">
        <v>379</v>
      </c>
      <c r="AU2" s="2072" t="s">
        <v>378</v>
      </c>
    </row>
    <row r="3" spans="1:47" ht="15" x14ac:dyDescent="0.2">
      <c r="A3" s="2072"/>
      <c r="B3" s="2081">
        <v>26</v>
      </c>
      <c r="C3" s="2063" t="s">
        <v>2274</v>
      </c>
      <c r="D3" s="2064">
        <v>85210</v>
      </c>
      <c r="E3" s="2064">
        <f>ROUNDUP(DSURFACEHOLE/11.5,0)+3</f>
        <v>12</v>
      </c>
      <c r="F3" s="2065">
        <f>IF(INDEX('Inventory Report_5.4.2017'!$H$5:$V$603,MATCH('Casings et al'!D3,'Inventory Report_5.4.2017'!$B$5:$B$603,0),MATCH(INPUT!$H$8,'Inventory Report_5.4.2017'!$H$2:$V$2,0))=0,N3,INDEX('Inventory Report_5.4.2017'!$H$5:$V$603,MATCH('Casings et al'!D3,'Inventory Report_5.4.2017'!$B$5:$B$603,0),MATCH(INPUT!$H$8,'Inventory Report_5.4.2017'!$H$2:$V$2,0)))</f>
        <v>486606.3124</v>
      </c>
      <c r="G3" s="2086" t="s">
        <v>394</v>
      </c>
      <c r="H3" s="2091">
        <v>20</v>
      </c>
      <c r="I3" s="2063" t="s">
        <v>2359</v>
      </c>
      <c r="J3" s="2066">
        <v>10145</v>
      </c>
      <c r="K3" s="2066">
        <f>ROUNDUP(DSURFACEHOLE/11.5,0)+3</f>
        <v>12</v>
      </c>
      <c r="L3" s="2069">
        <f>IF(INDEX('Inventory Report_5.4.2017'!$H$5:$V$603,MATCH('Casings et al'!J3,'Inventory Report_5.4.2017'!$B$5:$B$603,0),MATCH(INPUT!$H$8,'Inventory Report_5.4.2017'!$H$2:$V$2,0))=0,O3,INDEX('Inventory Report_5.4.2017'!$H$5:$V$603,MATCH('Casings et al'!J3,'Inventory Report_5.4.2017'!$B$5:$B$603,0),MATCH(INPUT!$H$8,'Inventory Report_5.4.2017'!$H$2:$V$2,0)))</f>
        <v>150977.29072033899</v>
      </c>
      <c r="M3" s="2082" t="s">
        <v>394</v>
      </c>
      <c r="N3" s="2076">
        <f>IFERROR(AVERAGEIF(U3:Y3,"&lt;&gt;0"),0)</f>
        <v>530628.1616401826</v>
      </c>
      <c r="O3" s="2077">
        <f>IFERROR(AVERAGEIF(P3:T3,"&lt;&gt;0"),0)</f>
        <v>150254.02693684152</v>
      </c>
      <c r="P3" s="2059">
        <f>INDEX('Inventory Report_5.4.2017'!$H$5:$V$603,MATCH('Casings et al'!J3,'Inventory Report_5.4.2017'!$B$5:$B$603,0),MATCH($P$2,'Inventory Report_5.4.2017'!$H$2:$V$2,0))</f>
        <v>0</v>
      </c>
      <c r="Q3" s="2059">
        <f>INDEX('Inventory Report_5.4.2017'!$H$5:$V$603,MATCH('Casings et al'!J3,'Inventory Report_5.4.2017'!$B$5:$B$603,0),MATCH($Q$2,'Inventory Report_5.4.2017'!$H$2:$V$2,0))</f>
        <v>148511.80000000002</v>
      </c>
      <c r="R3" s="2059">
        <f>INDEX('Inventory Report_5.4.2017'!$H$5:$V$603,MATCH('Casings et al'!J3,'Inventory Report_5.4.2017'!$B$5:$B$603,0),MATCH($R$2,'Inventory Report_5.4.2017'!$H$2:$V$2,0))</f>
        <v>150977.29072033899</v>
      </c>
      <c r="S3" s="2059">
        <f>INDEX('Inventory Report_5.4.2017'!$H$5:$V$603,MATCH('Casings et al'!J3,'Inventory Report_5.4.2017'!$B$5:$B$603,0),MATCH($S$2,'Inventory Report_5.4.2017'!$H$2:$V$2,0))</f>
        <v>150977.29</v>
      </c>
      <c r="T3" s="2059">
        <f>INDEX('Inventory Report_5.4.2017'!$H$5:$V$603,MATCH('Casings et al'!J3,'Inventory Report_5.4.2017'!$B$5:$B$603,0),MATCH($T$2,'Inventory Report_5.4.2017'!$H$2:$V$2,0))</f>
        <v>150549.72702702702</v>
      </c>
      <c r="U3" s="1757">
        <f>INDEX('Inventory Report_5.4.2017'!$H$5:$V$603,MATCH('Casings et al'!D3,'Inventory Report_5.4.2017'!$B$5:$B$603,0),MATCH($U$2,'Inventory Report_5.4.2017'!$H$2:$V$2,0))</f>
        <v>0</v>
      </c>
      <c r="V3" s="1757">
        <f>INDEX('Inventory Report_5.4.2017'!$H$5:$V$603,MATCH('Casings et al'!D3,'Inventory Report_5.4.2017'!$B$5:$B$603,0),MATCH($V$2,'Inventory Report_5.4.2017'!$H$2:$V$2,0))</f>
        <v>573892.14800000004</v>
      </c>
      <c r="W3" s="1757">
        <f>INDEX('Inventory Report_5.4.2017'!$H$5:$V$603,MATCH('Casings et al'!D3,'Inventory Report_5.4.2017'!$B$5:$B$603,0),MATCH($W$2,'Inventory Report_5.4.2017'!$H$2:$V$2,0))</f>
        <v>486606.3124</v>
      </c>
      <c r="X3" s="1757">
        <f>INDEX('Inventory Report_5.4.2017'!$H$5:$V$603,MATCH('Casings et al'!D3,'Inventory Report_5.4.2017'!$B$5:$B$603,0),MATCH($X$2,'Inventory Report_5.4.2017'!$H$2:$V$2,0))</f>
        <v>531386.02452054794</v>
      </c>
      <c r="Y3" s="1757">
        <f>INDEX('Inventory Report_5.4.2017'!$H$5:$V$603,MATCH('Casings et al'!D3,'Inventory Report_5.4.2017'!$B$5:$B$603,0),MATCH($Y$2,'Inventory Report_5.4.2017'!$H$2:$V$2,0))</f>
        <v>0</v>
      </c>
      <c r="Z3" s="2072"/>
      <c r="AA3" s="940" t="s">
        <v>269</v>
      </c>
      <c r="AB3" s="148">
        <v>11482</v>
      </c>
      <c r="AC3" s="941">
        <v>1</v>
      </c>
      <c r="AD3" s="2183">
        <f>IF(INDEX('Inventory Report_5.4.2017'!$H$5:$V$603,MATCH('Casings et al'!AB3,'Inventory Report_5.4.2017'!$B$5:$B$603,0),MATCH(INPUT!$H$8,'Inventory Report_5.4.2017'!$H$2:$V$2,0))=0,AJ3,INDEX('Inventory Report_5.4.2017'!$H$5:$V$603,MATCH('Casings et al'!AB3,'Inventory Report_5.4.2017'!$B$5:$B$603,0),MATCH(INPUT!$H$8,'Inventory Report_5.4.2017'!$H$2:$V$2,0)))</f>
        <v>490690.9</v>
      </c>
      <c r="AE3" s="2188" t="s">
        <v>271</v>
      </c>
      <c r="AF3" s="2189">
        <v>11644</v>
      </c>
      <c r="AG3" s="2190">
        <v>1</v>
      </c>
      <c r="AH3" s="2183">
        <f>IF(INDEX('Inventory Report_5.4.2017'!$H$5:$V$603,MATCH('Casings et al'!AF3,'Inventory Report_5.4.2017'!$B$5:$B$603,0),MATCH(INPUT!$H$8,'Inventory Report_5.4.2017'!$H$2:$V$2,0))=0,AK3,INDEX('Inventory Report_5.4.2017'!$H$5:$V$603,MATCH('Casings et al'!AF3,'Inventory Report_5.4.2017'!$B$5:$B$603,0),MATCH(INPUT!$H$8,'Inventory Report_5.4.2017'!$H$2:$V$2,0)))</f>
        <v>353079.46</v>
      </c>
      <c r="AI3" s="2072"/>
      <c r="AJ3" s="2076">
        <f>IFERROR(AVERAGEIF(AQ3:AU3,"&lt;&gt;0"),0)</f>
        <v>490690.90000000008</v>
      </c>
      <c r="AK3" s="2077">
        <f>IFERROR(AVERAGEIF(AL3:AP3,"&lt;&gt;0"),0)</f>
        <v>353079.46</v>
      </c>
      <c r="AL3" s="2059">
        <f>INDEX('Inventory Report_5.4.2017'!$H$5:$V$603,MATCH('Casings et al'!AF3,'Inventory Report_5.4.2017'!$B$5:$B$603,0),MATCH($P$2,'Inventory Report_5.4.2017'!$H$2:$V$2,0))</f>
        <v>353079.46</v>
      </c>
      <c r="AM3" s="2059">
        <f>INDEX('Inventory Report_5.4.2017'!$H$5:$V$603,MATCH('Casings et al'!AF3,'Inventory Report_5.4.2017'!$B$5:$B$603,0),MATCH($Q$2,'Inventory Report_5.4.2017'!$H$2:$V$2,0))</f>
        <v>0</v>
      </c>
      <c r="AN3" s="2059">
        <f>INDEX('Inventory Report_5.4.2017'!$H$5:$V$603,MATCH('Casings et al'!AF3,'Inventory Report_5.4.2017'!$B$5:$B$603,0),MATCH($R$2,'Inventory Report_5.4.2017'!$H$2:$V$2,0))</f>
        <v>0</v>
      </c>
      <c r="AO3" s="2059">
        <f>INDEX('Inventory Report_5.4.2017'!$H$5:$V$603,MATCH('Casings et al'!AF3,'Inventory Report_5.4.2017'!$B$5:$B$603,0),MATCH($S$2,'Inventory Report_5.4.2017'!$H$2:$V$2,0))</f>
        <v>0</v>
      </c>
      <c r="AP3" s="2059">
        <f>INDEX('Inventory Report_5.4.2017'!$H$5:$V$603,MATCH('Casings et al'!AF3,'Inventory Report_5.4.2017'!$B$5:$B$603,0),MATCH($T$2,'Inventory Report_5.4.2017'!$H$2:$V$2,0))</f>
        <v>0</v>
      </c>
      <c r="AQ3" s="1757">
        <f>INDEX('Inventory Report_5.4.2017'!$H$5:$V$603,MATCH('Casings et al'!AB3,'Inventory Report_5.4.2017'!$B$5:$B$603,0),MATCH($U$2,'Inventory Report_5.4.2017'!$H$2:$V$2,0))</f>
        <v>490690.9</v>
      </c>
      <c r="AR3" s="1757">
        <f>INDEX('Inventory Report_5.4.2017'!$H$5:$V$603,MATCH('Casings et al'!AB3,'Inventory Report_5.4.2017'!$B$5:$B$603,0),MATCH($V$2,'Inventory Report_5.4.2017'!$H$2:$V$2,0))</f>
        <v>0</v>
      </c>
      <c r="AS3" s="1757">
        <f>INDEX('Inventory Report_5.4.2017'!$H$5:$V$603,MATCH('Casings et al'!AB3,'Inventory Report_5.4.2017'!$B$5:$B$603,0),MATCH($W$2,'Inventory Report_5.4.2017'!$H$2:$V$2,0))</f>
        <v>490690.9</v>
      </c>
      <c r="AT3" s="1757">
        <f>INDEX('Inventory Report_5.4.2017'!$H$5:$V$603,MATCH('Casings et al'!AB3,'Inventory Report_5.4.2017'!$B$5:$B$603,0),MATCH($X$2,'Inventory Report_5.4.2017'!$H$2:$V$2,0))</f>
        <v>490690.9</v>
      </c>
      <c r="AU3" s="1757">
        <f>INDEX('Inventory Report_5.4.2017'!$H$5:$V$603,MATCH('Casings et al'!AB3,'Inventory Report_5.4.2017'!$B$5:$B$603,0),MATCH($Y$2,'Inventory Report_5.4.2017'!$H$2:$V$2,0))</f>
        <v>0</v>
      </c>
    </row>
    <row r="4" spans="1:47" ht="15" x14ac:dyDescent="0.2">
      <c r="A4" s="2072"/>
      <c r="B4" s="2083">
        <v>26</v>
      </c>
      <c r="C4" s="2064" t="s">
        <v>2275</v>
      </c>
      <c r="D4" s="2064">
        <v>111514</v>
      </c>
      <c r="E4" s="2064">
        <v>1</v>
      </c>
      <c r="F4" s="2065">
        <f>IF(INDEX('Inventory Report_5.4.2017'!$H$5:$V$603,MATCH('Casings et al'!D4,'Inventory Report_5.4.2017'!$B$5:$B$603,0),MATCH(INPUT!$H$8,'Inventory Report_5.4.2017'!$H$2:$V$2,0))=0,N4,INDEX('Inventory Report_5.4.2017'!$H$5:$V$603,MATCH('Casings et al'!D4,'Inventory Report_5.4.2017'!$B$5:$B$603,0),MATCH(INPUT!$H$8,'Inventory Report_5.4.2017'!$H$2:$V$2,0)))</f>
        <v>232578.685</v>
      </c>
      <c r="G4" s="2086" t="s">
        <v>394</v>
      </c>
      <c r="H4" s="2092">
        <v>20</v>
      </c>
      <c r="I4" s="2064" t="s">
        <v>2445</v>
      </c>
      <c r="J4" s="2066">
        <v>77682</v>
      </c>
      <c r="K4" s="2066">
        <v>1</v>
      </c>
      <c r="L4" s="2069">
        <f>IF(INDEX('Inventory Report_5.4.2017'!$H$5:$V$603,MATCH('Casings et al'!J4,'Inventory Report_5.4.2017'!$B$5:$B$603,0),MATCH(INPUT!$H$8,'Inventory Report_5.4.2017'!$H$2:$V$2,0))=0,O4,INDEX('Inventory Report_5.4.2017'!$H$5:$V$603,MATCH('Casings et al'!J4,'Inventory Report_5.4.2017'!$B$5:$B$603,0),MATCH(INPUT!$H$8,'Inventory Report_5.4.2017'!$H$2:$V$2,0)))</f>
        <v>162365.39333333334</v>
      </c>
      <c r="M4" s="2082" t="s">
        <v>394</v>
      </c>
      <c r="N4" s="2076">
        <f t="shared" ref="N4:N48" si="0">IFERROR(AVERAGEIF(U4:Y4,"&lt;&gt;0"),0)</f>
        <v>633009.79999999993</v>
      </c>
      <c r="O4" s="2077">
        <f t="shared" ref="O4:O31" si="1">IFERROR(AVERAGEIF(P4:T4,"&lt;&gt;0"),0)</f>
        <v>162024.88291666668</v>
      </c>
      <c r="P4" s="2059">
        <f>INDEX('Inventory Report_5.4.2017'!$H$5:$V$603,MATCH('Casings et al'!J4,'Inventory Report_5.4.2017'!$B$5:$B$603,0),MATCH($P$2,'Inventory Report_5.4.2017'!$H$2:$V$2,0))</f>
        <v>0</v>
      </c>
      <c r="Q4" s="2059">
        <f>INDEX('Inventory Report_5.4.2017'!$H$5:$V$603,MATCH('Casings et al'!J4,'Inventory Report_5.4.2017'!$B$5:$B$603,0),MATCH($Q$2,'Inventory Report_5.4.2017'!$H$2:$V$2,0))</f>
        <v>161343.86000000002</v>
      </c>
      <c r="R4" s="2059">
        <f>INDEX('Inventory Report_5.4.2017'!$H$5:$V$603,MATCH('Casings et al'!J4,'Inventory Report_5.4.2017'!$B$5:$B$603,0),MATCH($R$2,'Inventory Report_5.4.2017'!$H$2:$V$2,0))</f>
        <v>162365.39333333334</v>
      </c>
      <c r="S4" s="2059">
        <f>INDEX('Inventory Report_5.4.2017'!$H$5:$V$603,MATCH('Casings et al'!J4,'Inventory Report_5.4.2017'!$B$5:$B$603,0),MATCH($S$2,'Inventory Report_5.4.2017'!$H$2:$V$2,0))</f>
        <v>162024.88333333333</v>
      </c>
      <c r="T4" s="2059">
        <f>INDEX('Inventory Report_5.4.2017'!$H$5:$V$603,MATCH('Casings et al'!J4,'Inventory Report_5.4.2017'!$B$5:$B$603,0),MATCH($T$2,'Inventory Report_5.4.2017'!$H$2:$V$2,0))</f>
        <v>162365.39499999999</v>
      </c>
      <c r="U4" s="1757">
        <f>INDEX('Inventory Report_5.4.2017'!$H$5:$V$603,MATCH('Casings et al'!D4,'Inventory Report_5.4.2017'!$B$5:$B$603,0),MATCH($U$2,'Inventory Report_5.4.2017'!$H$2:$V$2,0))</f>
        <v>833225.35499999998</v>
      </c>
      <c r="V4" s="1757">
        <f>INDEX('Inventory Report_5.4.2017'!$H$5:$V$603,MATCH('Casings et al'!D4,'Inventory Report_5.4.2017'!$B$5:$B$603,0),MATCH($V$2,'Inventory Report_5.4.2017'!$H$2:$V$2,0))</f>
        <v>0</v>
      </c>
      <c r="W4" s="1757">
        <f>INDEX('Inventory Report_5.4.2017'!$H$5:$V$603,MATCH('Casings et al'!D4,'Inventory Report_5.4.2017'!$B$5:$B$603,0),MATCH($W$2,'Inventory Report_5.4.2017'!$H$2:$V$2,0))</f>
        <v>232578.685</v>
      </c>
      <c r="X4" s="1757">
        <f>INDEX('Inventory Report_5.4.2017'!$H$5:$V$603,MATCH('Casings et al'!D4,'Inventory Report_5.4.2017'!$B$5:$B$603,0),MATCH($X$2,'Inventory Report_5.4.2017'!$H$2:$V$2,0))</f>
        <v>833225.36</v>
      </c>
      <c r="Y4" s="1757">
        <f>INDEX('Inventory Report_5.4.2017'!$H$5:$V$603,MATCH('Casings et al'!D4,'Inventory Report_5.4.2017'!$B$5:$B$603,0),MATCH($Y$2,'Inventory Report_5.4.2017'!$H$2:$V$2,0))</f>
        <v>0</v>
      </c>
      <c r="Z4" s="2072"/>
      <c r="AA4" s="940" t="s">
        <v>270</v>
      </c>
      <c r="AB4" s="148">
        <v>14640</v>
      </c>
      <c r="AC4" s="941">
        <v>1</v>
      </c>
      <c r="AD4" s="2183">
        <f>IF(INDEX('Inventory Report_5.4.2017'!$H$5:$V$603,MATCH('Casings et al'!AB4,'Inventory Report_5.4.2017'!$B$5:$B$603,0),MATCH(INPUT!$H$8,'Inventory Report_5.4.2017'!$H$2:$V$2,0))=0,AJ4,INDEX('Inventory Report_5.4.2017'!$H$5:$V$603,MATCH('Casings et al'!AB4,'Inventory Report_5.4.2017'!$B$5:$B$603,0),MATCH(INPUT!$H$8,'Inventory Report_5.4.2017'!$H$2:$V$2,0)))</f>
        <v>743072.92</v>
      </c>
      <c r="AE4" s="2188" t="s">
        <v>273</v>
      </c>
      <c r="AF4" s="2190">
        <v>14639</v>
      </c>
      <c r="AG4" s="2190">
        <v>1</v>
      </c>
      <c r="AH4" s="2183">
        <f>IF(INDEX('Inventory Report_5.4.2017'!$H$5:$V$603,MATCH('Casings et al'!AF4,'Inventory Report_5.4.2017'!$B$5:$B$603,0),MATCH(INPUT!$H$8,'Inventory Report_5.4.2017'!$H$2:$V$2,0))=0,AK4,INDEX('Inventory Report_5.4.2017'!$H$5:$V$603,MATCH('Casings et al'!AF4,'Inventory Report_5.4.2017'!$B$5:$B$603,0),MATCH(INPUT!$H$8,'Inventory Report_5.4.2017'!$H$2:$V$2,0)))</f>
        <v>504233.92888888891</v>
      </c>
      <c r="AI4" s="2072"/>
      <c r="AJ4" s="2076">
        <f t="shared" ref="AJ4:AJ6" si="2">IFERROR(AVERAGEIF(AQ4:AU4,"&lt;&gt;0"),0)</f>
        <v>742450.20944444451</v>
      </c>
      <c r="AK4" s="2077">
        <f t="shared" ref="AK4:AK6" si="3">IFERROR(AVERAGEIF(AL4:AP4,"&lt;&gt;0"),0)</f>
        <v>519558.61157407408</v>
      </c>
      <c r="AL4" s="2059">
        <f>INDEX('Inventory Report_5.4.2017'!$H$5:$V$603,MATCH('Casings et al'!AF4,'Inventory Report_5.4.2017'!$B$5:$B$603,0),MATCH($P$2,'Inventory Report_5.4.2017'!$H$2:$V$2,0))</f>
        <v>504603.57250000001</v>
      </c>
      <c r="AM4" s="2059">
        <f>INDEX('Inventory Report_5.4.2017'!$H$5:$V$603,MATCH('Casings et al'!AF4,'Inventory Report_5.4.2017'!$B$5:$B$603,0),MATCH($Q$2,'Inventory Report_5.4.2017'!$H$2:$V$2,0))</f>
        <v>0</v>
      </c>
      <c r="AN4" s="2059">
        <f>INDEX('Inventory Report_5.4.2017'!$H$5:$V$603,MATCH('Casings et al'!AF4,'Inventory Report_5.4.2017'!$B$5:$B$603,0),MATCH($R$2,'Inventory Report_5.4.2017'!$H$2:$V$2,0))</f>
        <v>504233.92888888891</v>
      </c>
      <c r="AO4" s="2059">
        <f>INDEX('Inventory Report_5.4.2017'!$H$5:$V$603,MATCH('Casings et al'!AF4,'Inventory Report_5.4.2017'!$B$5:$B$603,0),MATCH($S$2,'Inventory Report_5.4.2017'!$H$2:$V$2,0))</f>
        <v>0</v>
      </c>
      <c r="AP4" s="2059">
        <f>INDEX('Inventory Report_5.4.2017'!$H$5:$V$603,MATCH('Casings et al'!AF4,'Inventory Report_5.4.2017'!$B$5:$B$603,0),MATCH($T$2,'Inventory Report_5.4.2017'!$H$2:$V$2,0))</f>
        <v>549838.33333333337</v>
      </c>
      <c r="AQ4" s="1757">
        <f>INDEX('Inventory Report_5.4.2017'!$H$5:$V$603,MATCH('Casings et al'!AB4,'Inventory Report_5.4.2017'!$B$5:$B$603,0),MATCH($U$2,'Inventory Report_5.4.2017'!$H$2:$V$2,0))</f>
        <v>742138.85499999998</v>
      </c>
      <c r="AR4" s="1757">
        <f>INDEX('Inventory Report_5.4.2017'!$H$5:$V$603,MATCH('Casings et al'!AB4,'Inventory Report_5.4.2017'!$B$5:$B$603,0),MATCH($V$2,'Inventory Report_5.4.2017'!$H$2:$V$2,0))</f>
        <v>0</v>
      </c>
      <c r="AS4" s="1757">
        <f>INDEX('Inventory Report_5.4.2017'!$H$5:$V$603,MATCH('Casings et al'!AB4,'Inventory Report_5.4.2017'!$B$5:$B$603,0),MATCH($W$2,'Inventory Report_5.4.2017'!$H$2:$V$2,0))</f>
        <v>743072.92</v>
      </c>
      <c r="AT4" s="1757">
        <f>INDEX('Inventory Report_5.4.2017'!$H$5:$V$603,MATCH('Casings et al'!AB4,'Inventory Report_5.4.2017'!$B$5:$B$603,0),MATCH($X$2,'Inventory Report_5.4.2017'!$H$2:$V$2,0))</f>
        <v>742138.85333333339</v>
      </c>
      <c r="AU4" s="1757">
        <f>INDEX('Inventory Report_5.4.2017'!$H$5:$V$603,MATCH('Casings et al'!AB4,'Inventory Report_5.4.2017'!$B$5:$B$603,0),MATCH($Y$2,'Inventory Report_5.4.2017'!$H$2:$V$2,0))</f>
        <v>0</v>
      </c>
    </row>
    <row r="5" spans="1:47" ht="15" x14ac:dyDescent="0.2">
      <c r="A5" s="2072"/>
      <c r="B5" s="2083">
        <v>26</v>
      </c>
      <c r="C5" s="2064" t="s">
        <v>2276</v>
      </c>
      <c r="D5" s="2064">
        <v>10181</v>
      </c>
      <c r="E5" s="2064">
        <f>ROUNDUP(E3/4,0)+1</f>
        <v>4</v>
      </c>
      <c r="F5" s="2065">
        <f>IF(INDEX('Inventory Report_5.4.2017'!$H$5:$V$603,MATCH('Casings et al'!D5,'Inventory Report_5.4.2017'!$B$5:$B$603,0),MATCH(INPUT!$H$8,'Inventory Report_5.4.2017'!$H$2:$V$2,0))=0,N5,INDEX('Inventory Report_5.4.2017'!$H$5:$V$603,MATCH('Casings et al'!D5,'Inventory Report_5.4.2017'!$B$5:$B$603,0),MATCH(INPUT!$H$8,'Inventory Report_5.4.2017'!$H$2:$V$2,0)))</f>
        <v>9186.3392037037047</v>
      </c>
      <c r="G5" s="2086" t="s">
        <v>394</v>
      </c>
      <c r="H5" s="2092">
        <v>20</v>
      </c>
      <c r="I5" s="2064" t="s">
        <v>2361</v>
      </c>
      <c r="J5" s="2066">
        <v>29927</v>
      </c>
      <c r="K5" s="2066">
        <f>ROUNDUP(K3/4,0)+1</f>
        <v>4</v>
      </c>
      <c r="L5" s="2069">
        <f>IF(INDEX('Inventory Report_5.4.2017'!$H$5:$V$603,MATCH('Casings et al'!J5,'Inventory Report_5.4.2017'!$B$5:$B$603,0),MATCH(INPUT!$H$8,'Inventory Report_5.4.2017'!$H$2:$V$2,0))=0,O5,INDEX('Inventory Report_5.4.2017'!$H$5:$V$603,MATCH('Casings et al'!J5,'Inventory Report_5.4.2017'!$B$5:$B$603,0),MATCH(INPUT!$H$8,'Inventory Report_5.4.2017'!$H$2:$V$2,0)))</f>
        <v>13760.66</v>
      </c>
      <c r="M5" s="2082" t="s">
        <v>394</v>
      </c>
      <c r="N5" s="2076">
        <f t="shared" si="0"/>
        <v>9186.3392037037047</v>
      </c>
      <c r="O5" s="2077">
        <f t="shared" si="1"/>
        <v>13760.66</v>
      </c>
      <c r="P5" s="2059">
        <f>INDEX('Inventory Report_5.4.2017'!$H$5:$V$603,MATCH('Casings et al'!J5,'Inventory Report_5.4.2017'!$B$5:$B$603,0),MATCH($P$2,'Inventory Report_5.4.2017'!$H$2:$V$2,0))</f>
        <v>0</v>
      </c>
      <c r="Q5" s="2059">
        <f>INDEX('Inventory Report_5.4.2017'!$H$5:$V$603,MATCH('Casings et al'!J5,'Inventory Report_5.4.2017'!$B$5:$B$603,0),MATCH($Q$2,'Inventory Report_5.4.2017'!$H$2:$V$2,0))</f>
        <v>0</v>
      </c>
      <c r="R5" s="2059">
        <f>INDEX('Inventory Report_5.4.2017'!$H$5:$V$603,MATCH('Casings et al'!J5,'Inventory Report_5.4.2017'!$B$5:$B$603,0),MATCH($R$2,'Inventory Report_5.4.2017'!$H$2:$V$2,0))</f>
        <v>13760.66</v>
      </c>
      <c r="S5" s="2059">
        <f>INDEX('Inventory Report_5.4.2017'!$H$5:$V$603,MATCH('Casings et al'!J5,'Inventory Report_5.4.2017'!$B$5:$B$603,0),MATCH($S$2,'Inventory Report_5.4.2017'!$H$2:$V$2,0))</f>
        <v>0</v>
      </c>
      <c r="T5" s="2059">
        <f>INDEX('Inventory Report_5.4.2017'!$H$5:$V$603,MATCH('Casings et al'!J5,'Inventory Report_5.4.2017'!$B$5:$B$603,0),MATCH($T$2,'Inventory Report_5.4.2017'!$H$2:$V$2,0))</f>
        <v>0</v>
      </c>
      <c r="U5" s="1757">
        <f>INDEX('Inventory Report_5.4.2017'!$H$5:$V$603,MATCH('Casings et al'!D5,'Inventory Report_5.4.2017'!$B$5:$B$603,0),MATCH($U$2,'Inventory Report_5.4.2017'!$H$2:$V$2,0))</f>
        <v>0</v>
      </c>
      <c r="V5" s="1757">
        <f>INDEX('Inventory Report_5.4.2017'!$H$5:$V$603,MATCH('Casings et al'!D5,'Inventory Report_5.4.2017'!$B$5:$B$603,0),MATCH($V$2,'Inventory Report_5.4.2017'!$H$2:$V$2,0))</f>
        <v>9515.9264999999996</v>
      </c>
      <c r="W5" s="1757">
        <f>INDEX('Inventory Report_5.4.2017'!$H$5:$V$603,MATCH('Casings et al'!D5,'Inventory Report_5.4.2017'!$B$5:$B$603,0),MATCH($W$2,'Inventory Report_5.4.2017'!$H$2:$V$2,0))</f>
        <v>0</v>
      </c>
      <c r="X5" s="1757">
        <f>INDEX('Inventory Report_5.4.2017'!$H$5:$V$603,MATCH('Casings et al'!D5,'Inventory Report_5.4.2017'!$B$5:$B$603,0),MATCH($X$2,'Inventory Report_5.4.2017'!$H$2:$V$2,0))</f>
        <v>8788.5511111111118</v>
      </c>
      <c r="Y5" s="1757">
        <f>INDEX('Inventory Report_5.4.2017'!$H$5:$V$603,MATCH('Casings et al'!D5,'Inventory Report_5.4.2017'!$B$5:$B$603,0),MATCH($Y$2,'Inventory Report_5.4.2017'!$H$2:$V$2,0))</f>
        <v>9254.5400000000009</v>
      </c>
      <c r="Z5" s="2072"/>
      <c r="AA5" s="940" t="s">
        <v>272</v>
      </c>
      <c r="AB5" s="941">
        <v>15704</v>
      </c>
      <c r="AC5" s="941">
        <v>1</v>
      </c>
      <c r="AD5" s="2183">
        <f>IF(INDEX('Inventory Report_5.4.2017'!$H$5:$V$603,MATCH('Casings et al'!AB5,'Inventory Report_5.4.2017'!$B$5:$B$603,0),MATCH(INPUT!$H$8,'Inventory Report_5.4.2017'!$H$2:$V$2,0))=0,AJ5,INDEX('Inventory Report_5.4.2017'!$H$5:$V$603,MATCH('Casings et al'!AB5,'Inventory Report_5.4.2017'!$B$5:$B$603,0),MATCH(INPUT!$H$8,'Inventory Report_5.4.2017'!$H$2:$V$2,0)))</f>
        <v>1550116.5729166665</v>
      </c>
      <c r="AE5" s="2191" t="s">
        <v>275</v>
      </c>
      <c r="AF5" s="2190">
        <v>15733</v>
      </c>
      <c r="AG5" s="2190">
        <v>1</v>
      </c>
      <c r="AH5" s="2183">
        <f>IF(INDEX('Inventory Report_5.4.2017'!$H$5:$V$603,MATCH('Casings et al'!AF5,'Inventory Report_5.4.2017'!$B$5:$B$603,0),MATCH(INPUT!$H$8,'Inventory Report_5.4.2017'!$H$2:$V$2,0))=0,AK5,INDEX('Inventory Report_5.4.2017'!$H$5:$V$603,MATCH('Casings et al'!AF5,'Inventory Report_5.4.2017'!$B$5:$B$603,0),MATCH(INPUT!$H$8,'Inventory Report_5.4.2017'!$H$2:$V$2,0)))</f>
        <v>1181537</v>
      </c>
      <c r="AI5" s="2072"/>
      <c r="AJ5" s="2076">
        <f t="shared" si="2"/>
        <v>1550116.5729166665</v>
      </c>
      <c r="AK5" s="2077">
        <f t="shared" si="3"/>
        <v>1181537</v>
      </c>
      <c r="AL5" s="2059">
        <f>INDEX('Inventory Report_5.4.2017'!$H$5:$V$603,MATCH('Casings et al'!AF5,'Inventory Report_5.4.2017'!$B$5:$B$603,0),MATCH($P$2,'Inventory Report_5.4.2017'!$H$2:$V$2,0))</f>
        <v>1181537</v>
      </c>
      <c r="AM5" s="2059">
        <f>INDEX('Inventory Report_5.4.2017'!$H$5:$V$603,MATCH('Casings et al'!AF5,'Inventory Report_5.4.2017'!$B$5:$B$603,0),MATCH($Q$2,'Inventory Report_5.4.2017'!$H$2:$V$2,0))</f>
        <v>0</v>
      </c>
      <c r="AN5" s="2059">
        <f>INDEX('Inventory Report_5.4.2017'!$H$5:$V$603,MATCH('Casings et al'!AF5,'Inventory Report_5.4.2017'!$B$5:$B$603,0),MATCH($R$2,'Inventory Report_5.4.2017'!$H$2:$V$2,0))</f>
        <v>0</v>
      </c>
      <c r="AO5" s="2059">
        <f>INDEX('Inventory Report_5.4.2017'!$H$5:$V$603,MATCH('Casings et al'!AF5,'Inventory Report_5.4.2017'!$B$5:$B$603,0),MATCH($S$2,'Inventory Report_5.4.2017'!$H$2:$V$2,0))</f>
        <v>0</v>
      </c>
      <c r="AP5" s="2059">
        <f>INDEX('Inventory Report_5.4.2017'!$H$5:$V$603,MATCH('Casings et al'!AF5,'Inventory Report_5.4.2017'!$B$5:$B$603,0),MATCH($T$2,'Inventory Report_5.4.2017'!$H$2:$V$2,0))</f>
        <v>0</v>
      </c>
      <c r="AQ5" s="1757">
        <f>INDEX('Inventory Report_5.4.2017'!$H$5:$V$603,MATCH('Casings et al'!AB5,'Inventory Report_5.4.2017'!$B$5:$B$603,0),MATCH($U$2,'Inventory Report_5.4.2017'!$H$2:$V$2,0))</f>
        <v>1550116.5725</v>
      </c>
      <c r="AR5" s="1757">
        <f>INDEX('Inventory Report_5.4.2017'!$H$5:$V$603,MATCH('Casings et al'!AB5,'Inventory Report_5.4.2017'!$B$5:$B$603,0),MATCH($V$2,'Inventory Report_5.4.2017'!$H$2:$V$2,0))</f>
        <v>0</v>
      </c>
      <c r="AS5" s="1757">
        <f>INDEX('Inventory Report_5.4.2017'!$H$5:$V$603,MATCH('Casings et al'!AB5,'Inventory Report_5.4.2017'!$B$5:$B$603,0),MATCH($W$2,'Inventory Report_5.4.2017'!$H$2:$V$2,0))</f>
        <v>0</v>
      </c>
      <c r="AT5" s="1757">
        <f>INDEX('Inventory Report_5.4.2017'!$H$5:$V$603,MATCH('Casings et al'!AB5,'Inventory Report_5.4.2017'!$B$5:$B$603,0),MATCH($X$2,'Inventory Report_5.4.2017'!$H$2:$V$2,0))</f>
        <v>1550116.5733333332</v>
      </c>
      <c r="AU5" s="1757">
        <f>INDEX('Inventory Report_5.4.2017'!$H$5:$V$603,MATCH('Casings et al'!AB5,'Inventory Report_5.4.2017'!$B$5:$B$603,0),MATCH($Y$2,'Inventory Report_5.4.2017'!$H$2:$V$2,0))</f>
        <v>0</v>
      </c>
    </row>
    <row r="6" spans="1:47" ht="16" thickBot="1" x14ac:dyDescent="0.25">
      <c r="A6" s="2072"/>
      <c r="B6" s="2083">
        <v>26</v>
      </c>
      <c r="C6" s="2064" t="s">
        <v>2277</v>
      </c>
      <c r="D6" s="2064">
        <v>13909</v>
      </c>
      <c r="E6" s="2064">
        <v>5</v>
      </c>
      <c r="F6" s="2065">
        <f>IF(INDEX('Inventory Report_5.4.2017'!$H$5:$V$603,MATCH('Casings et al'!D6,'Inventory Report_5.4.2017'!$B$5:$B$603,0),MATCH(INPUT!$H$8,'Inventory Report_5.4.2017'!$H$2:$V$2,0))=0,N6,INDEX('Inventory Report_5.4.2017'!$H$5:$V$603,MATCH('Casings et al'!D6,'Inventory Report_5.4.2017'!$B$5:$B$603,0),MATCH(INPUT!$H$8,'Inventory Report_5.4.2017'!$H$2:$V$2,0)))</f>
        <v>3639.9091803278689</v>
      </c>
      <c r="G6" s="2086" t="s">
        <v>394</v>
      </c>
      <c r="H6" s="2092">
        <v>20</v>
      </c>
      <c r="I6" s="2064" t="s">
        <v>2362</v>
      </c>
      <c r="J6" s="2066">
        <v>29886</v>
      </c>
      <c r="K6" s="2066">
        <v>5</v>
      </c>
      <c r="L6" s="2069">
        <f>IF(INDEX('Inventory Report_5.4.2017'!$H$5:$V$603,MATCH('Casings et al'!J6,'Inventory Report_5.4.2017'!$B$5:$B$603,0),MATCH(INPUT!$H$8,'Inventory Report_5.4.2017'!$H$2:$V$2,0))=0,O6,INDEX('Inventory Report_5.4.2017'!$H$5:$V$603,MATCH('Casings et al'!J6,'Inventory Report_5.4.2017'!$B$5:$B$603,0),MATCH(INPUT!$H$8,'Inventory Report_5.4.2017'!$H$2:$V$2,0)))</f>
        <v>1569.2825</v>
      </c>
      <c r="M6" s="2082" t="s">
        <v>394</v>
      </c>
      <c r="N6" s="2076">
        <f t="shared" si="0"/>
        <v>3167.1822950819674</v>
      </c>
      <c r="O6" s="2077">
        <f t="shared" si="1"/>
        <v>1569.9912916666667</v>
      </c>
      <c r="P6" s="2059">
        <f>INDEX('Inventory Report_5.4.2017'!$H$5:$V$603,MATCH('Casings et al'!J6,'Inventory Report_5.4.2017'!$B$5:$B$603,0),MATCH($P$2,'Inventory Report_5.4.2017'!$H$2:$V$2,0))</f>
        <v>0</v>
      </c>
      <c r="Q6" s="2059">
        <f>INDEX('Inventory Report_5.4.2017'!$H$5:$V$603,MATCH('Casings et al'!J6,'Inventory Report_5.4.2017'!$B$5:$B$603,0),MATCH($Q$2,'Inventory Report_5.4.2017'!$H$2:$V$2,0))</f>
        <v>1572.1299999999999</v>
      </c>
      <c r="R6" s="2059">
        <f>INDEX('Inventory Report_5.4.2017'!$H$5:$V$603,MATCH('Casings et al'!J6,'Inventory Report_5.4.2017'!$B$5:$B$603,0),MATCH($R$2,'Inventory Report_5.4.2017'!$H$2:$V$2,0))</f>
        <v>1569.2825</v>
      </c>
      <c r="S6" s="2059">
        <f>INDEX('Inventory Report_5.4.2017'!$H$5:$V$603,MATCH('Casings et al'!J6,'Inventory Report_5.4.2017'!$B$5:$B$603,0),MATCH($S$2,'Inventory Report_5.4.2017'!$H$2:$V$2,0))</f>
        <v>1569.2760000000001</v>
      </c>
      <c r="T6" s="2059">
        <f>INDEX('Inventory Report_5.4.2017'!$H$5:$V$603,MATCH('Casings et al'!J6,'Inventory Report_5.4.2017'!$B$5:$B$603,0),MATCH($T$2,'Inventory Report_5.4.2017'!$H$2:$V$2,0))</f>
        <v>1569.2766666666666</v>
      </c>
      <c r="U6" s="1757">
        <f>INDEX('Inventory Report_5.4.2017'!$H$5:$V$603,MATCH('Casings et al'!D6,'Inventory Report_5.4.2017'!$B$5:$B$603,0),MATCH($U$2,'Inventory Report_5.4.2017'!$H$2:$V$2,0))</f>
        <v>0</v>
      </c>
      <c r="V6" s="1757">
        <f>INDEX('Inventory Report_5.4.2017'!$H$5:$V$603,MATCH('Casings et al'!D6,'Inventory Report_5.4.2017'!$B$5:$B$603,0),MATCH($V$2,'Inventory Report_5.4.2017'!$H$2:$V$2,0))</f>
        <v>3396.97</v>
      </c>
      <c r="W6" s="1757">
        <f>INDEX('Inventory Report_5.4.2017'!$H$5:$V$603,MATCH('Casings et al'!D6,'Inventory Report_5.4.2017'!$B$5:$B$603,0),MATCH($W$2,'Inventory Report_5.4.2017'!$H$2:$V$2,0))</f>
        <v>3639.9091803278689</v>
      </c>
      <c r="X6" s="1757">
        <f>INDEX('Inventory Report_5.4.2017'!$H$5:$V$603,MATCH('Casings et al'!D6,'Inventory Report_5.4.2017'!$B$5:$B$603,0),MATCH($X$2,'Inventory Report_5.4.2017'!$H$2:$V$2,0))</f>
        <v>3895</v>
      </c>
      <c r="Y6" s="1757">
        <f>INDEX('Inventory Report_5.4.2017'!$H$5:$V$603,MATCH('Casings et al'!D6,'Inventory Report_5.4.2017'!$B$5:$B$603,0),MATCH($Y$2,'Inventory Report_5.4.2017'!$H$2:$V$2,0))</f>
        <v>1736.85</v>
      </c>
      <c r="Z6" s="2072"/>
      <c r="AA6" s="2185" t="s">
        <v>274</v>
      </c>
      <c r="AB6" s="2186">
        <v>116389</v>
      </c>
      <c r="AC6" s="2186">
        <v>2</v>
      </c>
      <c r="AD6" s="2184">
        <f>IF(INDEX('Inventory Report_5.4.2017'!$H$5:$V$603,MATCH('Casings et al'!AB6,'Inventory Report_5.4.2017'!$B$5:$B$603,0),MATCH(INPUT!$H$8,'Inventory Report_5.4.2017'!$H$2:$V$2,0))=0,AJ6,INDEX('Inventory Report_5.4.2017'!$H$5:$V$603,MATCH('Casings et al'!AB6,'Inventory Report_5.4.2017'!$B$5:$B$603,0),MATCH(INPUT!$H$8,'Inventory Report_5.4.2017'!$H$2:$V$2,0)))</f>
        <v>308700</v>
      </c>
      <c r="AE6" s="2192" t="s">
        <v>276</v>
      </c>
      <c r="AF6" s="2193">
        <v>116389</v>
      </c>
      <c r="AG6" s="2193">
        <v>2</v>
      </c>
      <c r="AH6" s="2184">
        <f>IF(INDEX('Inventory Report_5.4.2017'!$H$5:$V$603,MATCH('Casings et al'!AF6,'Inventory Report_5.4.2017'!$B$5:$B$603,0),MATCH(INPUT!$H$8,'Inventory Report_5.4.2017'!$H$2:$V$2,0))=0,AK6,INDEX('Inventory Report_5.4.2017'!$H$5:$V$603,MATCH('Casings et al'!AF6,'Inventory Report_5.4.2017'!$B$5:$B$603,0),MATCH(INPUT!$H$8,'Inventory Report_5.4.2017'!$H$2:$V$2,0)))</f>
        <v>308700</v>
      </c>
      <c r="AI6" s="2072"/>
      <c r="AJ6" s="2076">
        <f t="shared" si="2"/>
        <v>308700</v>
      </c>
      <c r="AK6" s="2077">
        <f t="shared" si="3"/>
        <v>308700</v>
      </c>
      <c r="AL6" s="2059">
        <f>INDEX('Inventory Report_5.4.2017'!$H$5:$V$603,MATCH('Casings et al'!AF6,'Inventory Report_5.4.2017'!$B$5:$B$603,0),MATCH($P$2,'Inventory Report_5.4.2017'!$H$2:$V$2,0))</f>
        <v>308700</v>
      </c>
      <c r="AM6" s="2059">
        <f>INDEX('Inventory Report_5.4.2017'!$H$5:$V$603,MATCH('Casings et al'!AF6,'Inventory Report_5.4.2017'!$B$5:$B$603,0),MATCH($Q$2,'Inventory Report_5.4.2017'!$H$2:$V$2,0))</f>
        <v>0</v>
      </c>
      <c r="AN6" s="2059">
        <f>INDEX('Inventory Report_5.4.2017'!$H$5:$V$603,MATCH('Casings et al'!AF6,'Inventory Report_5.4.2017'!$B$5:$B$603,0),MATCH($R$2,'Inventory Report_5.4.2017'!$H$2:$V$2,0))</f>
        <v>0</v>
      </c>
      <c r="AO6" s="2059">
        <f>INDEX('Inventory Report_5.4.2017'!$H$5:$V$603,MATCH('Casings et al'!AF6,'Inventory Report_5.4.2017'!$B$5:$B$603,0),MATCH($S$2,'Inventory Report_5.4.2017'!$H$2:$V$2,0))</f>
        <v>0</v>
      </c>
      <c r="AP6" s="2059">
        <f>INDEX('Inventory Report_5.4.2017'!$H$5:$V$603,MATCH('Casings et al'!AF6,'Inventory Report_5.4.2017'!$B$5:$B$603,0),MATCH($T$2,'Inventory Report_5.4.2017'!$H$2:$V$2,0))</f>
        <v>0</v>
      </c>
      <c r="AQ6" s="1757">
        <f>INDEX('Inventory Report_5.4.2017'!$H$5:$V$603,MATCH('Casings et al'!AB6,'Inventory Report_5.4.2017'!$B$5:$B$603,0),MATCH($U$2,'Inventory Report_5.4.2017'!$H$2:$V$2,0))</f>
        <v>308700</v>
      </c>
      <c r="AR6" s="1757">
        <f>INDEX('Inventory Report_5.4.2017'!$H$5:$V$603,MATCH('Casings et al'!AB6,'Inventory Report_5.4.2017'!$B$5:$B$603,0),MATCH($V$2,'Inventory Report_5.4.2017'!$H$2:$V$2,0))</f>
        <v>0</v>
      </c>
      <c r="AS6" s="1757">
        <f>INDEX('Inventory Report_5.4.2017'!$H$5:$V$603,MATCH('Casings et al'!AB6,'Inventory Report_5.4.2017'!$B$5:$B$603,0),MATCH($W$2,'Inventory Report_5.4.2017'!$H$2:$V$2,0))</f>
        <v>0</v>
      </c>
      <c r="AT6" s="1757">
        <f>INDEX('Inventory Report_5.4.2017'!$H$5:$V$603,MATCH('Casings et al'!AB6,'Inventory Report_5.4.2017'!$B$5:$B$603,0),MATCH($X$2,'Inventory Report_5.4.2017'!$H$2:$V$2,0))</f>
        <v>0</v>
      </c>
      <c r="AU6" s="1757">
        <f>INDEX('Inventory Report_5.4.2017'!$H$5:$V$603,MATCH('Casings et al'!AB6,'Inventory Report_5.4.2017'!$B$5:$B$603,0),MATCH($Y$2,'Inventory Report_5.4.2017'!$H$2:$V$2,0))</f>
        <v>0</v>
      </c>
    </row>
    <row r="7" spans="1:47" ht="15" x14ac:dyDescent="0.2">
      <c r="A7" s="2072"/>
      <c r="B7" s="2083">
        <v>26</v>
      </c>
      <c r="C7" s="2064" t="s">
        <v>2278</v>
      </c>
      <c r="D7" s="2064">
        <v>110534</v>
      </c>
      <c r="E7" s="2064">
        <v>2</v>
      </c>
      <c r="F7" s="2065">
        <f>IF(INDEX('Inventory Report_5.4.2017'!$H$5:$V$603,MATCH('Casings et al'!D7,'Inventory Report_5.4.2017'!$B$5:$B$603,0),MATCH(INPUT!$H$8,'Inventory Report_5.4.2017'!$H$2:$V$2,0))=0,N7,INDEX('Inventory Report_5.4.2017'!$H$5:$V$603,MATCH('Casings et al'!D7,'Inventory Report_5.4.2017'!$B$5:$B$603,0),MATCH(INPUT!$H$8,'Inventory Report_5.4.2017'!$H$2:$V$2,0)))</f>
        <v>679.40000000000009</v>
      </c>
      <c r="G7" s="2086" t="s">
        <v>394</v>
      </c>
      <c r="H7" s="2092">
        <v>20</v>
      </c>
      <c r="I7" s="2064" t="s">
        <v>2277</v>
      </c>
      <c r="J7" s="2066">
        <v>13909</v>
      </c>
      <c r="K7" s="2066">
        <v>5</v>
      </c>
      <c r="L7" s="2069">
        <f>IF(INDEX('Inventory Report_5.4.2017'!$H$5:$V$603,MATCH('Casings et al'!J7,'Inventory Report_5.4.2017'!$B$5:$B$603,0),MATCH(INPUT!$H$8,'Inventory Report_5.4.2017'!$H$2:$V$2,0))=0,O7,INDEX('Inventory Report_5.4.2017'!$H$5:$V$603,MATCH('Casings et al'!J7,'Inventory Report_5.4.2017'!$B$5:$B$603,0),MATCH(INPUT!$H$8,'Inventory Report_5.4.2017'!$H$2:$V$2,0)))</f>
        <v>3639.9091803278689</v>
      </c>
      <c r="M7" s="2082" t="s">
        <v>394</v>
      </c>
      <c r="N7" s="2076">
        <f t="shared" si="0"/>
        <v>679.40000000000009</v>
      </c>
      <c r="O7" s="2077">
        <f t="shared" si="1"/>
        <v>3167.1822950819674</v>
      </c>
      <c r="P7" s="2059">
        <f>INDEX('Inventory Report_5.4.2017'!$H$5:$V$603,MATCH('Casings et al'!J7,'Inventory Report_5.4.2017'!$B$5:$B$603,0),MATCH($P$2,'Inventory Report_5.4.2017'!$H$2:$V$2,0))</f>
        <v>0</v>
      </c>
      <c r="Q7" s="2059">
        <f>INDEX('Inventory Report_5.4.2017'!$H$5:$V$603,MATCH('Casings et al'!J7,'Inventory Report_5.4.2017'!$B$5:$B$603,0),MATCH($Q$2,'Inventory Report_5.4.2017'!$H$2:$V$2,0))</f>
        <v>3396.97</v>
      </c>
      <c r="R7" s="2059">
        <f>INDEX('Inventory Report_5.4.2017'!$H$5:$V$603,MATCH('Casings et al'!J7,'Inventory Report_5.4.2017'!$B$5:$B$603,0),MATCH($R$2,'Inventory Report_5.4.2017'!$H$2:$V$2,0))</f>
        <v>3639.9091803278689</v>
      </c>
      <c r="S7" s="2059">
        <f>INDEX('Inventory Report_5.4.2017'!$H$5:$V$603,MATCH('Casings et al'!J7,'Inventory Report_5.4.2017'!$B$5:$B$603,0),MATCH($S$2,'Inventory Report_5.4.2017'!$H$2:$V$2,0))</f>
        <v>3895</v>
      </c>
      <c r="T7" s="2059">
        <f>INDEX('Inventory Report_5.4.2017'!$H$5:$V$603,MATCH('Casings et al'!J7,'Inventory Report_5.4.2017'!$B$5:$B$603,0),MATCH($T$2,'Inventory Report_5.4.2017'!$H$2:$V$2,0))</f>
        <v>1736.85</v>
      </c>
      <c r="U7" s="1757">
        <f>INDEX('Inventory Report_5.4.2017'!$H$5:$V$603,MATCH('Casings et al'!D7,'Inventory Report_5.4.2017'!$B$5:$B$603,0),MATCH($U$2,'Inventory Report_5.4.2017'!$H$2:$V$2,0))</f>
        <v>0</v>
      </c>
      <c r="V7" s="1757">
        <f>INDEX('Inventory Report_5.4.2017'!$H$5:$V$603,MATCH('Casings et al'!D7,'Inventory Report_5.4.2017'!$B$5:$B$603,0),MATCH($V$2,'Inventory Report_5.4.2017'!$H$2:$V$2,0))</f>
        <v>679.40000000000009</v>
      </c>
      <c r="W7" s="1757">
        <f>INDEX('Inventory Report_5.4.2017'!$H$5:$V$603,MATCH('Casings et al'!D7,'Inventory Report_5.4.2017'!$B$5:$B$603,0),MATCH($W$2,'Inventory Report_5.4.2017'!$H$2:$V$2,0))</f>
        <v>0</v>
      </c>
      <c r="X7" s="1757">
        <f>INDEX('Inventory Report_5.4.2017'!$H$5:$V$603,MATCH('Casings et al'!D7,'Inventory Report_5.4.2017'!$B$5:$B$603,0),MATCH($X$2,'Inventory Report_5.4.2017'!$H$2:$V$2,0))</f>
        <v>0</v>
      </c>
      <c r="Y7" s="1757">
        <f>INDEX('Inventory Report_5.4.2017'!$H$5:$V$603,MATCH('Casings et al'!D7,'Inventory Report_5.4.2017'!$B$5:$B$603,0),MATCH($Y$2,'Inventory Report_5.4.2017'!$H$2:$V$2,0))</f>
        <v>0</v>
      </c>
      <c r="Z7" s="2072"/>
      <c r="AA7" s="2072" t="s">
        <v>2686</v>
      </c>
      <c r="AB7" s="2072"/>
      <c r="AC7" s="2072"/>
      <c r="AD7" s="2072"/>
      <c r="AE7" s="2072"/>
      <c r="AF7" s="2072"/>
      <c r="AG7" s="2072"/>
      <c r="AH7" s="2072"/>
      <c r="AI7" s="2072"/>
      <c r="AJ7" s="2072"/>
      <c r="AK7" s="2072"/>
      <c r="AL7" s="2072"/>
      <c r="AM7" s="2072"/>
      <c r="AN7" s="2072"/>
      <c r="AO7" s="2072"/>
      <c r="AP7" s="2072"/>
      <c r="AQ7" s="2072"/>
      <c r="AR7" s="2072"/>
      <c r="AS7" s="2072"/>
      <c r="AT7" s="2072"/>
      <c r="AU7" s="2072"/>
    </row>
    <row r="8" spans="1:47" ht="16" x14ac:dyDescent="0.2">
      <c r="A8" s="2072"/>
      <c r="B8" s="2083">
        <v>26</v>
      </c>
      <c r="C8" s="2064" t="s">
        <v>2279</v>
      </c>
      <c r="D8" s="2064">
        <v>10416</v>
      </c>
      <c r="E8" s="2064">
        <v>1</v>
      </c>
      <c r="F8" s="2065">
        <f>IF(INDEX('Inventory Report_5.4.2017'!$H$5:$V$603,MATCH('Casings et al'!D8,'Inventory Report_5.4.2017'!$B$5:$B$603,0),MATCH(INPUT!$H$8,'Inventory Report_5.4.2017'!$H$2:$V$2,0))=0,N8,INDEX('Inventory Report_5.4.2017'!$H$5:$V$603,MATCH('Casings et al'!D8,'Inventory Report_5.4.2017'!$B$5:$B$603,0),MATCH(INPUT!$H$8,'Inventory Report_5.4.2017'!$H$2:$V$2,0)))</f>
        <v>10015.318421052631</v>
      </c>
      <c r="G8" s="2086" t="s">
        <v>394</v>
      </c>
      <c r="H8" s="2092">
        <v>20</v>
      </c>
      <c r="I8" s="2064" t="s">
        <v>2278</v>
      </c>
      <c r="J8" s="2066">
        <v>110534</v>
      </c>
      <c r="K8" s="2066">
        <v>2</v>
      </c>
      <c r="L8" s="2069">
        <f>IF(INDEX('Inventory Report_5.4.2017'!$H$5:$V$603,MATCH('Casings et al'!J8,'Inventory Report_5.4.2017'!$B$5:$B$603,0),MATCH(INPUT!$H$8,'Inventory Report_5.4.2017'!$H$2:$V$2,0))=0,O8,INDEX('Inventory Report_5.4.2017'!$H$5:$V$603,MATCH('Casings et al'!J8,'Inventory Report_5.4.2017'!$B$5:$B$603,0),MATCH(INPUT!$H$8,'Inventory Report_5.4.2017'!$H$2:$V$2,0)))</f>
        <v>679.40000000000009</v>
      </c>
      <c r="M8" s="2082" t="s">
        <v>394</v>
      </c>
      <c r="N8" s="2076">
        <f t="shared" si="0"/>
        <v>10015.391369617224</v>
      </c>
      <c r="O8" s="2077">
        <f t="shared" si="1"/>
        <v>679.40000000000009</v>
      </c>
      <c r="P8" s="2059">
        <f>INDEX('Inventory Report_5.4.2017'!$H$5:$V$603,MATCH('Casings et al'!J8,'Inventory Report_5.4.2017'!$B$5:$B$603,0),MATCH($P$2,'Inventory Report_5.4.2017'!$H$2:$V$2,0))</f>
        <v>0</v>
      </c>
      <c r="Q8" s="2059">
        <f>INDEX('Inventory Report_5.4.2017'!$H$5:$V$603,MATCH('Casings et al'!J8,'Inventory Report_5.4.2017'!$B$5:$B$603,0),MATCH($Q$2,'Inventory Report_5.4.2017'!$H$2:$V$2,0))</f>
        <v>679.40000000000009</v>
      </c>
      <c r="R8" s="2059">
        <f>INDEX('Inventory Report_5.4.2017'!$H$5:$V$603,MATCH('Casings et al'!J8,'Inventory Report_5.4.2017'!$B$5:$B$603,0),MATCH($R$2,'Inventory Report_5.4.2017'!$H$2:$V$2,0))</f>
        <v>0</v>
      </c>
      <c r="S8" s="2059">
        <f>INDEX('Inventory Report_5.4.2017'!$H$5:$V$603,MATCH('Casings et al'!J8,'Inventory Report_5.4.2017'!$B$5:$B$603,0),MATCH($S$2,'Inventory Report_5.4.2017'!$H$2:$V$2,0))</f>
        <v>0</v>
      </c>
      <c r="T8" s="2059">
        <f>INDEX('Inventory Report_5.4.2017'!$H$5:$V$603,MATCH('Casings et al'!J8,'Inventory Report_5.4.2017'!$B$5:$B$603,0),MATCH($T$2,'Inventory Report_5.4.2017'!$H$2:$V$2,0))</f>
        <v>0</v>
      </c>
      <c r="U8" s="1757">
        <f>INDEX('Inventory Report_5.4.2017'!$H$5:$V$603,MATCH('Casings et al'!D8,'Inventory Report_5.4.2017'!$B$5:$B$603,0),MATCH($U$2,'Inventory Report_5.4.2017'!$H$2:$V$2,0))</f>
        <v>0</v>
      </c>
      <c r="V8" s="1757">
        <f>INDEX('Inventory Report_5.4.2017'!$H$5:$V$603,MATCH('Casings et al'!D8,'Inventory Report_5.4.2017'!$B$5:$B$603,0),MATCH($V$2,'Inventory Report_5.4.2017'!$H$2:$V$2,0))</f>
        <v>10015.464318181817</v>
      </c>
      <c r="W8" s="1757">
        <f>INDEX('Inventory Report_5.4.2017'!$H$5:$V$603,MATCH('Casings et al'!D8,'Inventory Report_5.4.2017'!$B$5:$B$603,0),MATCH($W$2,'Inventory Report_5.4.2017'!$H$2:$V$2,0))</f>
        <v>10015.318421052631</v>
      </c>
      <c r="X8" s="1757">
        <f>INDEX('Inventory Report_5.4.2017'!$H$5:$V$603,MATCH('Casings et al'!D8,'Inventory Report_5.4.2017'!$B$5:$B$603,0),MATCH($X$2,'Inventory Report_5.4.2017'!$H$2:$V$2,0))</f>
        <v>0</v>
      </c>
      <c r="Y8" s="1757">
        <f>INDEX('Inventory Report_5.4.2017'!$H$5:$V$603,MATCH('Casings et al'!D8,'Inventory Report_5.4.2017'!$B$5:$B$603,0),MATCH($Y$2,'Inventory Report_5.4.2017'!$H$2:$V$2,0))</f>
        <v>0</v>
      </c>
      <c r="Z8" s="2072"/>
      <c r="AA8" s="2201" t="s">
        <v>2667</v>
      </c>
      <c r="AB8" s="2194">
        <v>15704</v>
      </c>
      <c r="AC8" s="2195" t="s">
        <v>2668</v>
      </c>
      <c r="AD8" s="2195">
        <v>1</v>
      </c>
      <c r="AE8" s="2204"/>
      <c r="AF8" s="2072"/>
      <c r="AG8" s="2061" t="s">
        <v>536</v>
      </c>
      <c r="AH8" s="2072" t="s">
        <v>2100</v>
      </c>
      <c r="AI8" s="2072" t="s">
        <v>327</v>
      </c>
      <c r="AJ8" s="2072" t="s">
        <v>52</v>
      </c>
      <c r="AK8" s="2072" t="s">
        <v>379</v>
      </c>
      <c r="AL8" s="2072" t="s">
        <v>378</v>
      </c>
      <c r="AM8" s="2072"/>
      <c r="AN8" s="2072"/>
      <c r="AO8" s="2072"/>
      <c r="AP8" s="2072"/>
      <c r="AQ8" s="2072"/>
      <c r="AR8" s="2072"/>
      <c r="AS8" s="2072"/>
      <c r="AT8" s="2072"/>
      <c r="AU8" s="2072"/>
    </row>
    <row r="9" spans="1:47" ht="16" x14ac:dyDescent="0.2">
      <c r="A9" s="2072"/>
      <c r="B9" s="2083"/>
      <c r="C9" s="2064"/>
      <c r="D9" s="2064"/>
      <c r="E9" s="2064"/>
      <c r="F9" s="2065"/>
      <c r="G9" s="2086"/>
      <c r="H9" s="2092">
        <v>20</v>
      </c>
      <c r="I9" s="2064" t="s">
        <v>2279</v>
      </c>
      <c r="J9" s="2066">
        <v>10416</v>
      </c>
      <c r="K9" s="2066">
        <v>1</v>
      </c>
      <c r="L9" s="2069">
        <f>IF(INDEX('Inventory Report_5.4.2017'!$H$5:$V$603,MATCH('Casings et al'!J9,'Inventory Report_5.4.2017'!$B$5:$B$603,0),MATCH(INPUT!$H$8,'Inventory Report_5.4.2017'!$H$2:$V$2,0))=0,O9,INDEX('Inventory Report_5.4.2017'!$H$5:$V$603,MATCH('Casings et al'!J9,'Inventory Report_5.4.2017'!$B$5:$B$603,0),MATCH(INPUT!$H$8,'Inventory Report_5.4.2017'!$H$2:$V$2,0)))</f>
        <v>10015.318421052631</v>
      </c>
      <c r="M9" s="2082" t="s">
        <v>394</v>
      </c>
      <c r="N9" s="2076">
        <f t="shared" si="0"/>
        <v>0</v>
      </c>
      <c r="O9" s="2077">
        <f t="shared" si="1"/>
        <v>10015.391369617224</v>
      </c>
      <c r="P9" s="2059">
        <f>INDEX('Inventory Report_5.4.2017'!$H$5:$V$603,MATCH('Casings et al'!J9,'Inventory Report_5.4.2017'!$B$5:$B$603,0),MATCH($P$2,'Inventory Report_5.4.2017'!$H$2:$V$2,0))</f>
        <v>0</v>
      </c>
      <c r="Q9" s="2059">
        <f>INDEX('Inventory Report_5.4.2017'!$H$5:$V$603,MATCH('Casings et al'!J9,'Inventory Report_5.4.2017'!$B$5:$B$603,0),MATCH($Q$2,'Inventory Report_5.4.2017'!$H$2:$V$2,0))</f>
        <v>10015.464318181817</v>
      </c>
      <c r="R9" s="2059">
        <f>INDEX('Inventory Report_5.4.2017'!$H$5:$V$603,MATCH('Casings et al'!J9,'Inventory Report_5.4.2017'!$B$5:$B$603,0),MATCH($R$2,'Inventory Report_5.4.2017'!$H$2:$V$2,0))</f>
        <v>10015.318421052631</v>
      </c>
      <c r="S9" s="2059">
        <f>INDEX('Inventory Report_5.4.2017'!$H$5:$V$603,MATCH('Casings et al'!J9,'Inventory Report_5.4.2017'!$B$5:$B$603,0),MATCH($S$2,'Inventory Report_5.4.2017'!$H$2:$V$2,0))</f>
        <v>0</v>
      </c>
      <c r="T9" s="2059">
        <f>INDEX('Inventory Report_5.4.2017'!$H$5:$V$603,MATCH('Casings et al'!J9,'Inventory Report_5.4.2017'!$B$5:$B$603,0),MATCH($T$2,'Inventory Report_5.4.2017'!$H$2:$V$2,0))</f>
        <v>0</v>
      </c>
      <c r="U9" s="1757">
        <f>IFERROR(INDEX('Inventory Report_5.4.2017'!$H$5:$V$603,MATCH('Casings et al'!D9,'Inventory Report_5.4.2017'!$B$5:$B$603,0),MATCH($U$2,'Inventory Report_5.4.2017'!$H$2:$V$2,0)),0)</f>
        <v>0</v>
      </c>
      <c r="V9" s="1757">
        <f>IFERROR(INDEX('Inventory Report_5.4.2017'!$H$5:$V$603,MATCH('Casings et al'!D9,'Inventory Report_5.4.2017'!$B$5:$B$603,0),MATCH($V$2,'Inventory Report_5.4.2017'!$H$2:$V$2,0)),0)</f>
        <v>0</v>
      </c>
      <c r="W9" s="1757">
        <f>IFERROR(INDEX('Inventory Report_5.4.2017'!$H$5:$V$603,MATCH('Casings et al'!D9,'Inventory Report_5.4.2017'!$B$5:$B$603,0),MATCH($W$2,'Inventory Report_5.4.2017'!$H$2:$V$2,0)),0)</f>
        <v>0</v>
      </c>
      <c r="X9" s="1757">
        <f>IFERROR(INDEX('Inventory Report_5.4.2017'!$H$5:$V$603,MATCH('Casings et al'!D9,'Inventory Report_5.4.2017'!$B$5:$B$603,0),MATCH($X$2,'Inventory Report_5.4.2017'!$H$2:$V$2,0)),0)</f>
        <v>0</v>
      </c>
      <c r="Y9" s="1757">
        <f>IFERROR(INDEX('Inventory Report_5.4.2017'!$H$5:$V$603,MATCH('Casings et al'!D9,'Inventory Report_5.4.2017'!$B$5:$B$603,0),MATCH($Y$2,'Inventory Report_5.4.2017'!$H$2:$V$2,0)),0)</f>
        <v>0</v>
      </c>
      <c r="Z9" s="2181"/>
      <c r="AA9" s="2202" t="s">
        <v>2669</v>
      </c>
      <c r="AB9" s="2196">
        <v>9151</v>
      </c>
      <c r="AC9" s="2197" t="s">
        <v>2670</v>
      </c>
      <c r="AD9" s="2197">
        <v>20</v>
      </c>
      <c r="AE9" s="2187">
        <f>IF(INDEX('Inventory Report_5.4.2017'!$H$5:$V$603,MATCH('Casings et al'!AB9,'Inventory Report_5.4.2017'!$B$5:$B$603,0),MATCH(INPUT!$H$8,'Inventory Report_5.4.2017'!$H$2:$V$2,0))=0,AG9,INDEX('Inventory Report_5.4.2017'!$H$5:$V$603,MATCH('Casings et al'!AB9,'Inventory Report_5.4.2017'!$B$5:$B$603,0),MATCH(INPUT!$H$8,'Inventory Report_5.4.2017'!$H$2:$V$2,0)))</f>
        <v>445.1</v>
      </c>
      <c r="AF9" s="2072"/>
      <c r="AG9" s="2076">
        <f>IFERROR(AVERAGEIF(AH9:AL9,"&lt;&gt;0"),0)</f>
        <v>444.24827619047619</v>
      </c>
      <c r="AH9" s="1757">
        <f>INDEX('Inventory Report_5.4.2017'!$H$5:$V$603,MATCH('Casings et al'!AB9,'Inventory Report_5.4.2017'!$B$5:$B$603,0),MATCH($U$2,'Inventory Report_5.4.2017'!$H$2:$V$2,0))</f>
        <v>443.82242857142859</v>
      </c>
      <c r="AI9" s="1757">
        <f>INDEX('Inventory Report_5.4.2017'!$H$5:$V$603,MATCH('Casings et al'!AB9,'Inventory Report_5.4.2017'!$B$5:$B$603,0),MATCH($V$2,'Inventory Report_5.4.2017'!$H$2:$V$2,0))</f>
        <v>0</v>
      </c>
      <c r="AJ9" s="1757">
        <f>INDEX('Inventory Report_5.4.2017'!$H$5:$V$603,MATCH('Casings et al'!AB9,'Inventory Report_5.4.2017'!$B$5:$B$603,0),MATCH($W$2,'Inventory Report_5.4.2017'!$H$2:$V$2,0))</f>
        <v>445.1</v>
      </c>
      <c r="AK9" s="1757">
        <f>INDEX('Inventory Report_5.4.2017'!$H$5:$V$603,MATCH('Casings et al'!AB9,'Inventory Report_5.4.2017'!$B$5:$B$603,0),MATCH($X$2,'Inventory Report_5.4.2017'!$H$2:$V$2,0))</f>
        <v>443.82239999999996</v>
      </c>
      <c r="AL9" s="1757">
        <f>INDEX('Inventory Report_5.4.2017'!$H$5:$V$603,MATCH('Casings et al'!AB9,'Inventory Report_5.4.2017'!$B$5:$B$603,0),MATCH($Y$2,'Inventory Report_5.4.2017'!$H$2:$V$2,0))</f>
        <v>0</v>
      </c>
      <c r="AM9" s="2072"/>
      <c r="AN9" s="2072"/>
      <c r="AO9" s="2072"/>
      <c r="AP9" s="2072"/>
      <c r="AQ9" s="2072"/>
      <c r="AR9" s="2072"/>
      <c r="AS9" s="2072"/>
      <c r="AT9" s="2072"/>
      <c r="AU9" s="2072"/>
    </row>
    <row r="10" spans="1:47" ht="16" x14ac:dyDescent="0.2">
      <c r="A10" s="2072"/>
      <c r="B10" s="2084">
        <v>18.625</v>
      </c>
      <c r="C10" s="2063" t="s">
        <v>2282</v>
      </c>
      <c r="D10" s="2064">
        <v>3091</v>
      </c>
      <c r="E10" s="2064">
        <f>ROUNDUP(DINTERHOLE/11.5,0)+3</f>
        <v>52</v>
      </c>
      <c r="F10" s="2065">
        <f>IF(INDEX('Inventory Report_5.4.2017'!$H$5:$V$603,MATCH('Casings et al'!D10,'Inventory Report_5.4.2017'!$B$5:$B$603,0),MATCH(INPUT!$H$8,'Inventory Report_5.4.2017'!$H$2:$V$2,0))=0,N10,INDEX('Inventory Report_5.4.2017'!$H$5:$V$603,MATCH('Casings et al'!D10,'Inventory Report_5.4.2017'!$B$5:$B$603,0),MATCH(INPUT!$H$8,'Inventory Report_5.4.2017'!$H$2:$V$2,0)))</f>
        <v>128470.82164383562</v>
      </c>
      <c r="G10" s="2086" t="s">
        <v>396</v>
      </c>
      <c r="H10" s="2093">
        <v>13.375</v>
      </c>
      <c r="I10" s="2063" t="s">
        <v>2288</v>
      </c>
      <c r="J10" s="2066">
        <v>10147</v>
      </c>
      <c r="K10" s="2066">
        <f>ROUNDUP(DINTERHOLE/11.5,0)+3</f>
        <v>52</v>
      </c>
      <c r="L10" s="2069">
        <f>IF(INDEX('Inventory Report_5.4.2017'!$H$5:$V$603,MATCH('Casings et al'!J10,'Inventory Report_5.4.2017'!$B$5:$B$603,0),MATCH(INPUT!$H$8,'Inventory Report_5.4.2017'!$H$2:$V$2,0))=0,O10,INDEX('Inventory Report_5.4.2017'!$H$5:$V$603,MATCH('Casings et al'!J10,'Inventory Report_5.4.2017'!$B$5:$B$603,0),MATCH(INPUT!$H$8,'Inventory Report_5.4.2017'!$H$2:$V$2,0)))</f>
        <v>67512.280322580642</v>
      </c>
      <c r="M10" s="2082" t="s">
        <v>396</v>
      </c>
      <c r="N10" s="2076">
        <f t="shared" si="0"/>
        <v>135972.89117980812</v>
      </c>
      <c r="O10" s="2077">
        <f t="shared" si="1"/>
        <v>73628.537283246202</v>
      </c>
      <c r="P10" s="2059">
        <f>INDEX('Inventory Report_5.4.2017'!$H$5:$V$603,MATCH('Casings et al'!J10,'Inventory Report_5.4.2017'!$B$5:$B$603,0),MATCH($P$2,'Inventory Report_5.4.2017'!$H$2:$V$2,0))</f>
        <v>0</v>
      </c>
      <c r="Q10" s="2059">
        <f>INDEX('Inventory Report_5.4.2017'!$H$5:$V$603,MATCH('Casings et al'!J10,'Inventory Report_5.4.2017'!$B$5:$B$603,0),MATCH($Q$2,'Inventory Report_5.4.2017'!$H$2:$V$2,0))</f>
        <v>66516.784897360703</v>
      </c>
      <c r="R10" s="2059">
        <f>INDEX('Inventory Report_5.4.2017'!$H$5:$V$603,MATCH('Casings et al'!J10,'Inventory Report_5.4.2017'!$B$5:$B$603,0),MATCH($R$2,'Inventory Report_5.4.2017'!$H$2:$V$2,0))</f>
        <v>67512.280322580642</v>
      </c>
      <c r="S10" s="2059">
        <f>INDEX('Inventory Report_5.4.2017'!$H$5:$V$603,MATCH('Casings et al'!J10,'Inventory Report_5.4.2017'!$B$5:$B$603,0),MATCH($S$2,'Inventory Report_5.4.2017'!$H$2:$V$2,0))</f>
        <v>76237.535913043481</v>
      </c>
      <c r="T10" s="2059">
        <f>INDEX('Inventory Report_5.4.2017'!$H$5:$V$603,MATCH('Casings et al'!J10,'Inventory Report_5.4.2017'!$B$5:$B$603,0),MATCH($T$2,'Inventory Report_5.4.2017'!$H$2:$V$2,0))</f>
        <v>84247.547999999995</v>
      </c>
      <c r="U10" s="1757">
        <f>INDEX('Inventory Report_5.4.2017'!$H$5:$V$603,MATCH('Casings et al'!D10,'Inventory Report_5.4.2017'!$B$5:$B$603,0),MATCH($U$2,'Inventory Report_5.4.2017'!$H$2:$V$2,0))</f>
        <v>0</v>
      </c>
      <c r="V10" s="1757">
        <f>INDEX('Inventory Report_5.4.2017'!$H$5:$V$603,MATCH('Casings et al'!D10,'Inventory Report_5.4.2017'!$B$5:$B$603,0),MATCH($V$2,'Inventory Report_5.4.2017'!$H$2:$V$2,0))</f>
        <v>132827.54958333334</v>
      </c>
      <c r="W10" s="1757">
        <f>INDEX('Inventory Report_5.4.2017'!$H$5:$V$603,MATCH('Casings et al'!D10,'Inventory Report_5.4.2017'!$B$5:$B$603,0),MATCH($W$2,'Inventory Report_5.4.2017'!$H$2:$V$2,0))</f>
        <v>128470.82164383562</v>
      </c>
      <c r="X10" s="1757">
        <f>INDEX('Inventory Report_5.4.2017'!$H$5:$V$603,MATCH('Casings et al'!D10,'Inventory Report_5.4.2017'!$B$5:$B$603,0),MATCH($X$2,'Inventory Report_5.4.2017'!$H$2:$V$2,0))</f>
        <v>147745.0434920635</v>
      </c>
      <c r="Y10" s="1757">
        <f>INDEX('Inventory Report_5.4.2017'!$H$5:$V$603,MATCH('Casings et al'!D10,'Inventory Report_5.4.2017'!$B$5:$B$603,0),MATCH($Y$2,'Inventory Report_5.4.2017'!$H$2:$V$2,0))</f>
        <v>134848.15</v>
      </c>
      <c r="Z10" s="2072"/>
      <c r="AA10" s="2202" t="s">
        <v>2671</v>
      </c>
      <c r="AB10" s="2196">
        <v>14195</v>
      </c>
      <c r="AC10" s="2197" t="s">
        <v>2343</v>
      </c>
      <c r="AD10" s="2197">
        <v>1</v>
      </c>
      <c r="AE10" s="2187">
        <f>IF(INDEX('Inventory Report_5.4.2017'!$H$5:$V$603,MATCH('Casings et al'!AB10,'Inventory Report_5.4.2017'!$B$5:$B$603,0),MATCH(INPUT!$H$8,'Inventory Report_5.4.2017'!$H$2:$V$2,0))=0,AG10,INDEX('Inventory Report_5.4.2017'!$H$5:$V$603,MATCH('Casings et al'!AB10,'Inventory Report_5.4.2017'!$B$5:$B$603,0),MATCH(INPUT!$H$8,'Inventory Report_5.4.2017'!$H$2:$V$2,0)))</f>
        <v>8403.2800000000007</v>
      </c>
      <c r="AF10" s="2072"/>
      <c r="AG10" s="2076">
        <f>IFERROR(AVERAGEIF(AH10:AL10,"&lt;&gt;0"),0)</f>
        <v>8403.2800000000007</v>
      </c>
      <c r="AH10" s="1757">
        <f>INDEX('Inventory Report_5.4.2017'!$H$5:$V$603,MATCH('Casings et al'!AB10,'Inventory Report_5.4.2017'!$B$5:$B$603,0),MATCH($U$2,'Inventory Report_5.4.2017'!$H$2:$V$2,0))</f>
        <v>0</v>
      </c>
      <c r="AI10" s="1757">
        <f>INDEX('Inventory Report_5.4.2017'!$H$5:$V$603,MATCH('Casings et al'!AB10,'Inventory Report_5.4.2017'!$B$5:$B$603,0),MATCH($V$2,'Inventory Report_5.4.2017'!$H$2:$V$2,0))</f>
        <v>0</v>
      </c>
      <c r="AJ10" s="1757">
        <f>INDEX('Inventory Report_5.4.2017'!$H$5:$V$603,MATCH('Casings et al'!AB10,'Inventory Report_5.4.2017'!$B$5:$B$603,0),MATCH($W$2,'Inventory Report_5.4.2017'!$H$2:$V$2,0))</f>
        <v>8403.2800000000007</v>
      </c>
      <c r="AK10" s="1757">
        <f>INDEX('Inventory Report_5.4.2017'!$H$5:$V$603,MATCH('Casings et al'!AB10,'Inventory Report_5.4.2017'!$B$5:$B$603,0),MATCH($X$2,'Inventory Report_5.4.2017'!$H$2:$V$2,0))</f>
        <v>0</v>
      </c>
      <c r="AL10" s="1757">
        <f>INDEX('Inventory Report_5.4.2017'!$H$5:$V$603,MATCH('Casings et al'!AB10,'Inventory Report_5.4.2017'!$B$5:$B$603,0),MATCH($Y$2,'Inventory Report_5.4.2017'!$H$2:$V$2,0))</f>
        <v>0</v>
      </c>
      <c r="AM10" s="2072"/>
      <c r="AN10" s="2072"/>
      <c r="AO10" s="2072"/>
      <c r="AP10" s="2072"/>
      <c r="AQ10" s="2072"/>
      <c r="AR10" s="2072"/>
      <c r="AS10" s="2072"/>
      <c r="AT10" s="2072"/>
      <c r="AU10" s="2072"/>
    </row>
    <row r="11" spans="1:47" ht="16" x14ac:dyDescent="0.2">
      <c r="A11" s="2072"/>
      <c r="B11" s="2085">
        <v>18.625</v>
      </c>
      <c r="C11" s="2064" t="s">
        <v>2283</v>
      </c>
      <c r="D11" s="2064">
        <v>77681</v>
      </c>
      <c r="E11" s="2064">
        <v>1</v>
      </c>
      <c r="F11" s="2065">
        <f>IF(INDEX('Inventory Report_5.4.2017'!$H$5:$V$603,MATCH('Casings et al'!D11,'Inventory Report_5.4.2017'!$B$5:$B$603,0),MATCH(INPUT!$H$8,'Inventory Report_5.4.2017'!$H$2:$V$2,0))=0,N11,INDEX('Inventory Report_5.4.2017'!$H$5:$V$603,MATCH('Casings et al'!D11,'Inventory Report_5.4.2017'!$B$5:$B$603,0),MATCH(INPUT!$H$8,'Inventory Report_5.4.2017'!$H$2:$V$2,0)))</f>
        <v>88381.61</v>
      </c>
      <c r="G11" s="2086" t="s">
        <v>396</v>
      </c>
      <c r="H11" s="2094">
        <v>13.375</v>
      </c>
      <c r="I11" s="2064" t="s">
        <v>2289</v>
      </c>
      <c r="J11" s="2066">
        <v>67983</v>
      </c>
      <c r="K11" s="2066">
        <v>1</v>
      </c>
      <c r="L11" s="2069">
        <f>IF(INDEX('Inventory Report_5.4.2017'!$H$5:$V$603,MATCH('Casings et al'!J11,'Inventory Report_5.4.2017'!$B$5:$B$603,0),MATCH(INPUT!$H$8,'Inventory Report_5.4.2017'!$H$2:$V$2,0))=0,O11,INDEX('Inventory Report_5.4.2017'!$H$5:$V$603,MATCH('Casings et al'!J11,'Inventory Report_5.4.2017'!$B$5:$B$603,0),MATCH(INPUT!$H$8,'Inventory Report_5.4.2017'!$H$2:$V$2,0)))</f>
        <v>42803.41</v>
      </c>
      <c r="M11" s="2082" t="s">
        <v>396</v>
      </c>
      <c r="N11" s="2076">
        <f t="shared" si="0"/>
        <v>89714.753750000003</v>
      </c>
      <c r="O11" s="2077">
        <f t="shared" si="1"/>
        <v>43436.792499999996</v>
      </c>
      <c r="P11" s="2059">
        <f>INDEX('Inventory Report_5.4.2017'!$H$5:$V$603,MATCH('Casings et al'!J11,'Inventory Report_5.4.2017'!$B$5:$B$603,0),MATCH($P$2,'Inventory Report_5.4.2017'!$H$2:$V$2,0))</f>
        <v>44452.7</v>
      </c>
      <c r="Q11" s="2059">
        <f>INDEX('Inventory Report_5.4.2017'!$H$5:$V$603,MATCH('Casings et al'!J11,'Inventory Report_5.4.2017'!$B$5:$B$603,0),MATCH($Q$2,'Inventory Report_5.4.2017'!$H$2:$V$2,0))</f>
        <v>0</v>
      </c>
      <c r="R11" s="2059">
        <f>INDEX('Inventory Report_5.4.2017'!$H$5:$V$603,MATCH('Casings et al'!J11,'Inventory Report_5.4.2017'!$B$5:$B$603,0),MATCH($R$2,'Inventory Report_5.4.2017'!$H$2:$V$2,0))</f>
        <v>42803.41</v>
      </c>
      <c r="S11" s="2059">
        <f>INDEX('Inventory Report_5.4.2017'!$H$5:$V$603,MATCH('Casings et al'!J11,'Inventory Report_5.4.2017'!$B$5:$B$603,0),MATCH($S$2,'Inventory Report_5.4.2017'!$H$2:$V$2,0))</f>
        <v>43245.53</v>
      </c>
      <c r="T11" s="2059">
        <f>INDEX('Inventory Report_5.4.2017'!$H$5:$V$603,MATCH('Casings et al'!J11,'Inventory Report_5.4.2017'!$B$5:$B$603,0),MATCH($T$2,'Inventory Report_5.4.2017'!$H$2:$V$2,0))</f>
        <v>43245.53</v>
      </c>
      <c r="U11" s="1757">
        <f>INDEX('Inventory Report_5.4.2017'!$H$5:$V$603,MATCH('Casings et al'!D11,'Inventory Report_5.4.2017'!$B$5:$B$603,0),MATCH($U$2,'Inventory Report_5.4.2017'!$H$2:$V$2,0))</f>
        <v>91047.897500000006</v>
      </c>
      <c r="V11" s="1757">
        <f>INDEX('Inventory Report_5.4.2017'!$H$5:$V$603,MATCH('Casings et al'!D11,'Inventory Report_5.4.2017'!$B$5:$B$603,0),MATCH($V$2,'Inventory Report_5.4.2017'!$H$2:$V$2,0))</f>
        <v>0</v>
      </c>
      <c r="W11" s="1757">
        <f>INDEX('Inventory Report_5.4.2017'!$H$5:$V$603,MATCH('Casings et al'!D11,'Inventory Report_5.4.2017'!$B$5:$B$603,0),MATCH($W$2,'Inventory Report_5.4.2017'!$H$2:$V$2,0))</f>
        <v>88381.61</v>
      </c>
      <c r="X11" s="1757">
        <f>INDEX('Inventory Report_5.4.2017'!$H$5:$V$603,MATCH('Casings et al'!D11,'Inventory Report_5.4.2017'!$B$5:$B$603,0),MATCH($X$2,'Inventory Report_5.4.2017'!$H$2:$V$2,0))</f>
        <v>0</v>
      </c>
      <c r="Y11" s="1757">
        <f>INDEX('Inventory Report_5.4.2017'!$H$5:$V$603,MATCH('Casings et al'!D11,'Inventory Report_5.4.2017'!$B$5:$B$603,0),MATCH($Y$2,'Inventory Report_5.4.2017'!$H$2:$V$2,0))</f>
        <v>0</v>
      </c>
      <c r="Z11" s="2072"/>
      <c r="AA11" s="2201" t="s">
        <v>2672</v>
      </c>
      <c r="AB11" s="2194">
        <v>14640</v>
      </c>
      <c r="AC11" s="2195" t="s">
        <v>2673</v>
      </c>
      <c r="AD11" s="2195">
        <v>1</v>
      </c>
      <c r="AE11" s="2204"/>
      <c r="AF11" s="2072"/>
      <c r="AG11" s="2072"/>
      <c r="AH11" s="2072"/>
      <c r="AI11" s="2072"/>
      <c r="AJ11" s="2072"/>
      <c r="AK11" s="2072"/>
      <c r="AL11" s="2072"/>
      <c r="AM11" s="2072"/>
      <c r="AN11" s="2072"/>
      <c r="AO11" s="2072"/>
      <c r="AP11" s="2072"/>
      <c r="AQ11" s="2072"/>
      <c r="AR11" s="2072"/>
      <c r="AS11" s="2072"/>
      <c r="AT11" s="2072"/>
      <c r="AU11" s="2072"/>
    </row>
    <row r="12" spans="1:47" ht="16" x14ac:dyDescent="0.2">
      <c r="A12" s="2072"/>
      <c r="B12" s="2085">
        <v>18.625</v>
      </c>
      <c r="C12" s="2064" t="s">
        <v>2284</v>
      </c>
      <c r="D12" s="2064">
        <v>10370</v>
      </c>
      <c r="E12" s="2064">
        <v>1</v>
      </c>
      <c r="F12" s="2065">
        <f>IF(INDEX('Inventory Report_5.4.2017'!$H$5:$V$603,MATCH('Casings et al'!D12,'Inventory Report_5.4.2017'!$B$5:$B$603,0),MATCH(INPUT!$H$8,'Inventory Report_5.4.2017'!$H$2:$V$2,0))=0,N12,INDEX('Inventory Report_5.4.2017'!$H$5:$V$603,MATCH('Casings et al'!D12,'Inventory Report_5.4.2017'!$B$5:$B$603,0),MATCH(INPUT!$H$8,'Inventory Report_5.4.2017'!$H$2:$V$2,0)))</f>
        <v>221738.82</v>
      </c>
      <c r="G12" s="2086" t="s">
        <v>396</v>
      </c>
      <c r="H12" s="2094">
        <v>13.375</v>
      </c>
      <c r="I12" s="2064" t="s">
        <v>2290</v>
      </c>
      <c r="J12" s="2066">
        <v>67984</v>
      </c>
      <c r="K12" s="2066">
        <v>1</v>
      </c>
      <c r="L12" s="2069">
        <f>IF(INDEX('Inventory Report_5.4.2017'!$H$5:$V$603,MATCH('Casings et al'!J12,'Inventory Report_5.4.2017'!$B$5:$B$603,0),MATCH(INPUT!$H$8,'Inventory Report_5.4.2017'!$H$2:$V$2,0))=0,O12,INDEX('Inventory Report_5.4.2017'!$H$5:$V$603,MATCH('Casings et al'!J12,'Inventory Report_5.4.2017'!$B$5:$B$603,0),MATCH(INPUT!$H$8,'Inventory Report_5.4.2017'!$H$2:$V$2,0)))</f>
        <v>56565.922222222223</v>
      </c>
      <c r="M12" s="2082" t="s">
        <v>396</v>
      </c>
      <c r="N12" s="2076">
        <f t="shared" si="0"/>
        <v>221738.82</v>
      </c>
      <c r="O12" s="2077">
        <f t="shared" si="1"/>
        <v>56565.922222222223</v>
      </c>
      <c r="P12" s="2059">
        <f>INDEX('Inventory Report_5.4.2017'!$H$5:$V$603,MATCH('Casings et al'!J12,'Inventory Report_5.4.2017'!$B$5:$B$603,0),MATCH($P$2,'Inventory Report_5.4.2017'!$H$2:$V$2,0))</f>
        <v>64536.883333333331</v>
      </c>
      <c r="Q12" s="2059">
        <f>INDEX('Inventory Report_5.4.2017'!$H$5:$V$603,MATCH('Casings et al'!J12,'Inventory Report_5.4.2017'!$B$5:$B$603,0),MATCH($Q$2,'Inventory Report_5.4.2017'!$H$2:$V$2,0))</f>
        <v>0</v>
      </c>
      <c r="R12" s="2059">
        <f>INDEX('Inventory Report_5.4.2017'!$H$5:$V$603,MATCH('Casings et al'!J12,'Inventory Report_5.4.2017'!$B$5:$B$603,0),MATCH($R$2,'Inventory Report_5.4.2017'!$H$2:$V$2,0))</f>
        <v>0</v>
      </c>
      <c r="S12" s="2059">
        <f>INDEX('Inventory Report_5.4.2017'!$H$5:$V$603,MATCH('Casings et al'!J12,'Inventory Report_5.4.2017'!$B$5:$B$603,0),MATCH($S$2,'Inventory Report_5.4.2017'!$H$2:$V$2,0))</f>
        <v>53930.356666666667</v>
      </c>
      <c r="T12" s="2059">
        <f>INDEX('Inventory Report_5.4.2017'!$H$5:$V$603,MATCH('Casings et al'!J12,'Inventory Report_5.4.2017'!$B$5:$B$603,0),MATCH($T$2,'Inventory Report_5.4.2017'!$H$2:$V$2,0))</f>
        <v>51230.526666666665</v>
      </c>
      <c r="U12" s="1757">
        <f>INDEX('Inventory Report_5.4.2017'!$H$5:$V$603,MATCH('Casings et al'!D12,'Inventory Report_5.4.2017'!$B$5:$B$603,0),MATCH($U$2,'Inventory Report_5.4.2017'!$H$2:$V$2,0))</f>
        <v>0</v>
      </c>
      <c r="V12" s="1757">
        <f>INDEX('Inventory Report_5.4.2017'!$H$5:$V$603,MATCH('Casings et al'!D12,'Inventory Report_5.4.2017'!$B$5:$B$603,0),MATCH($V$2,'Inventory Report_5.4.2017'!$H$2:$V$2,0))</f>
        <v>0</v>
      </c>
      <c r="W12" s="1757">
        <f>INDEX('Inventory Report_5.4.2017'!$H$5:$V$603,MATCH('Casings et al'!D12,'Inventory Report_5.4.2017'!$B$5:$B$603,0),MATCH($W$2,'Inventory Report_5.4.2017'!$H$2:$V$2,0))</f>
        <v>221738.82</v>
      </c>
      <c r="X12" s="1757">
        <f>INDEX('Inventory Report_5.4.2017'!$H$5:$V$603,MATCH('Casings et al'!D12,'Inventory Report_5.4.2017'!$B$5:$B$603,0),MATCH($X$2,'Inventory Report_5.4.2017'!$H$2:$V$2,0))</f>
        <v>0</v>
      </c>
      <c r="Y12" s="1757">
        <f>INDEX('Inventory Report_5.4.2017'!$H$5:$V$603,MATCH('Casings et al'!D12,'Inventory Report_5.4.2017'!$B$5:$B$603,0),MATCH($Y$2,'Inventory Report_5.4.2017'!$H$2:$V$2,0))</f>
        <v>0</v>
      </c>
      <c r="Z12" s="2072"/>
      <c r="AA12" s="2202" t="s">
        <v>2674</v>
      </c>
      <c r="AB12" s="2196">
        <v>9151</v>
      </c>
      <c r="AC12" s="2197" t="s">
        <v>2670</v>
      </c>
      <c r="AD12" s="2197">
        <v>20</v>
      </c>
      <c r="AE12" s="2187">
        <f>IF(INDEX('Inventory Report_5.4.2017'!$H$5:$V$603,MATCH('Casings et al'!AB12,'Inventory Report_5.4.2017'!$B$5:$B$603,0),MATCH(INPUT!$H$8,'Inventory Report_5.4.2017'!$H$2:$V$2,0))=0,AG12,INDEX('Inventory Report_5.4.2017'!$H$5:$V$603,MATCH('Casings et al'!AB12,'Inventory Report_5.4.2017'!$B$5:$B$603,0),MATCH(INPUT!$H$8,'Inventory Report_5.4.2017'!$H$2:$V$2,0)))</f>
        <v>445.1</v>
      </c>
      <c r="AF12" s="2072"/>
      <c r="AG12" s="2076">
        <f>IFERROR(AVERAGEIF(AH12:AL12,"&lt;&gt;0"),0)</f>
        <v>444.24827619047619</v>
      </c>
      <c r="AH12" s="1757">
        <f>INDEX('Inventory Report_5.4.2017'!$H$5:$V$603,MATCH('Casings et al'!AB12,'Inventory Report_5.4.2017'!$B$5:$B$603,0),MATCH($U$2,'Inventory Report_5.4.2017'!$H$2:$V$2,0))</f>
        <v>443.82242857142859</v>
      </c>
      <c r="AI12" s="1757">
        <f>INDEX('Inventory Report_5.4.2017'!$H$5:$V$603,MATCH('Casings et al'!AB12,'Inventory Report_5.4.2017'!$B$5:$B$603,0),MATCH($V$2,'Inventory Report_5.4.2017'!$H$2:$V$2,0))</f>
        <v>0</v>
      </c>
      <c r="AJ12" s="1757">
        <f>INDEX('Inventory Report_5.4.2017'!$H$5:$V$603,MATCH('Casings et al'!AB12,'Inventory Report_5.4.2017'!$B$5:$B$603,0),MATCH($W$2,'Inventory Report_5.4.2017'!$H$2:$V$2,0))</f>
        <v>445.1</v>
      </c>
      <c r="AK12" s="1757">
        <f>INDEX('Inventory Report_5.4.2017'!$H$5:$V$603,MATCH('Casings et al'!AB12,'Inventory Report_5.4.2017'!$B$5:$B$603,0),MATCH($X$2,'Inventory Report_5.4.2017'!$H$2:$V$2,0))</f>
        <v>443.82239999999996</v>
      </c>
      <c r="AL12" s="1757">
        <f>INDEX('Inventory Report_5.4.2017'!$H$5:$V$603,MATCH('Casings et al'!AB12,'Inventory Report_5.4.2017'!$B$5:$B$603,0),MATCH($Y$2,'Inventory Report_5.4.2017'!$H$2:$V$2,0))</f>
        <v>0</v>
      </c>
      <c r="AM12" s="2072"/>
      <c r="AN12" s="2072"/>
      <c r="AO12" s="2072"/>
      <c r="AP12" s="2072"/>
      <c r="AQ12" s="2072"/>
      <c r="AR12" s="2072"/>
      <c r="AS12" s="2072"/>
      <c r="AT12" s="2072"/>
      <c r="AU12" s="2072"/>
    </row>
    <row r="13" spans="1:47" ht="16" x14ac:dyDescent="0.2">
      <c r="A13" s="2072"/>
      <c r="B13" s="2085">
        <v>18.625</v>
      </c>
      <c r="C13" s="2064" t="s">
        <v>2285</v>
      </c>
      <c r="D13" s="2064">
        <v>10180</v>
      </c>
      <c r="E13" s="2064">
        <f>ROUNDUP($E$3/3,0)+2</f>
        <v>6</v>
      </c>
      <c r="F13" s="2065">
        <f>IF(INDEX('Inventory Report_5.4.2017'!$H$5:$V$603,MATCH('Casings et al'!D13,'Inventory Report_5.4.2017'!$B$5:$B$603,0),MATCH(INPUT!$H$8,'Inventory Report_5.4.2017'!$H$2:$V$2,0))=0,N13,INDEX('Inventory Report_5.4.2017'!$H$5:$V$603,MATCH('Casings et al'!D13,'Inventory Report_5.4.2017'!$B$5:$B$603,0),MATCH(INPUT!$H$8,'Inventory Report_5.4.2017'!$H$2:$V$2,0)))</f>
        <v>6036.8602941176468</v>
      </c>
      <c r="G13" s="2086" t="s">
        <v>396</v>
      </c>
      <c r="H13" s="2094">
        <v>13.375</v>
      </c>
      <c r="I13" s="2064" t="s">
        <v>2292</v>
      </c>
      <c r="J13" s="2066">
        <v>10173</v>
      </c>
      <c r="K13" s="2066">
        <f>ROUNDUP($E$3/3,0)+2</f>
        <v>6</v>
      </c>
      <c r="L13" s="2069">
        <f>IF(INDEX('Inventory Report_5.4.2017'!$H$5:$V$603,MATCH('Casings et al'!J13,'Inventory Report_5.4.2017'!$B$5:$B$603,0),MATCH(INPUT!$H$8,'Inventory Report_5.4.2017'!$H$2:$V$2,0))=0,O13,INDEX('Inventory Report_5.4.2017'!$H$5:$V$603,MATCH('Casings et al'!J13,'Inventory Report_5.4.2017'!$B$5:$B$603,0),MATCH(INPUT!$H$8,'Inventory Report_5.4.2017'!$H$2:$V$2,0)))</f>
        <v>4273.67</v>
      </c>
      <c r="M13" s="2082" t="s">
        <v>396</v>
      </c>
      <c r="N13" s="2076">
        <f t="shared" si="0"/>
        <v>6714.4422899159663</v>
      </c>
      <c r="O13" s="2077">
        <f t="shared" si="1"/>
        <v>7053.6363141025649</v>
      </c>
      <c r="P13" s="2059">
        <f>INDEX('Inventory Report_5.4.2017'!$H$5:$V$603,MATCH('Casings et al'!J13,'Inventory Report_5.4.2017'!$B$5:$B$603,0),MATCH($P$2,'Inventory Report_5.4.2017'!$H$2:$V$2,0))</f>
        <v>0</v>
      </c>
      <c r="Q13" s="2059">
        <f>INDEX('Inventory Report_5.4.2017'!$H$5:$V$603,MATCH('Casings et al'!J13,'Inventory Report_5.4.2017'!$B$5:$B$603,0),MATCH($Q$2,'Inventory Report_5.4.2017'!$H$2:$V$2,0))</f>
        <v>6764.9902564102567</v>
      </c>
      <c r="R13" s="2059">
        <f>INDEX('Inventory Report_5.4.2017'!$H$5:$V$603,MATCH('Casings et al'!J13,'Inventory Report_5.4.2017'!$B$5:$B$603,0),MATCH($R$2,'Inventory Report_5.4.2017'!$H$2:$V$2,0))</f>
        <v>4273.67</v>
      </c>
      <c r="S13" s="2059">
        <f>INDEX('Inventory Report_5.4.2017'!$H$5:$V$603,MATCH('Casings et al'!J13,'Inventory Report_5.4.2017'!$B$5:$B$603,0),MATCH($S$2,'Inventory Report_5.4.2017'!$H$2:$V$2,0))</f>
        <v>4299.3850000000002</v>
      </c>
      <c r="T13" s="2059">
        <f>INDEX('Inventory Report_5.4.2017'!$H$5:$V$603,MATCH('Casings et al'!J13,'Inventory Report_5.4.2017'!$B$5:$B$603,0),MATCH($T$2,'Inventory Report_5.4.2017'!$H$2:$V$2,0))</f>
        <v>12876.5</v>
      </c>
      <c r="U13" s="1757">
        <f>INDEX('Inventory Report_5.4.2017'!$H$5:$V$603,MATCH('Casings et al'!D13,'Inventory Report_5.4.2017'!$B$5:$B$603,0),MATCH($U$2,'Inventory Report_5.4.2017'!$H$2:$V$2,0))</f>
        <v>0</v>
      </c>
      <c r="V13" s="1757">
        <f>INDEX('Inventory Report_5.4.2017'!$H$5:$V$603,MATCH('Casings et al'!D13,'Inventory Report_5.4.2017'!$B$5:$B$603,0),MATCH($V$2,'Inventory Report_5.4.2017'!$H$2:$V$2,0))</f>
        <v>0</v>
      </c>
      <c r="W13" s="1757">
        <f>INDEX('Inventory Report_5.4.2017'!$H$5:$V$603,MATCH('Casings et al'!D13,'Inventory Report_5.4.2017'!$B$5:$B$603,0),MATCH($W$2,'Inventory Report_5.4.2017'!$H$2:$V$2,0))</f>
        <v>6036.8602941176468</v>
      </c>
      <c r="X13" s="1757">
        <f>INDEX('Inventory Report_5.4.2017'!$H$5:$V$603,MATCH('Casings et al'!D13,'Inventory Report_5.4.2017'!$B$5:$B$603,0),MATCH($X$2,'Inventory Report_5.4.2017'!$H$2:$V$2,0))</f>
        <v>7392.0242857142857</v>
      </c>
      <c r="Y13" s="1757">
        <f>INDEX('Inventory Report_5.4.2017'!$H$5:$V$603,MATCH('Casings et al'!D13,'Inventory Report_5.4.2017'!$B$5:$B$603,0),MATCH($Y$2,'Inventory Report_5.4.2017'!$H$2:$V$2,0))</f>
        <v>0</v>
      </c>
      <c r="Z13" s="2072"/>
      <c r="AA13" s="2202" t="s">
        <v>2675</v>
      </c>
      <c r="AB13" s="2196">
        <v>41169</v>
      </c>
      <c r="AC13" s="2197" t="s">
        <v>2676</v>
      </c>
      <c r="AD13" s="2197">
        <v>20</v>
      </c>
      <c r="AE13" s="2187">
        <f>IF(INDEX('Inventory Report_5.4.2017'!$H$5:$V$603,MATCH('Casings et al'!AB13,'Inventory Report_5.4.2017'!$B$5:$B$603,0),MATCH(INPUT!$H$8,'Inventory Report_5.4.2017'!$H$2:$V$2,0))=0,AG13,INDEX('Inventory Report_5.4.2017'!$H$5:$V$603,MATCH('Casings et al'!AB13,'Inventory Report_5.4.2017'!$B$5:$B$603,0),MATCH(INPUT!$H$8,'Inventory Report_5.4.2017'!$H$2:$V$2,0)))</f>
        <v>2263.4009999999998</v>
      </c>
      <c r="AF13" s="2072"/>
      <c r="AG13" s="2076">
        <f>IFERROR(AVERAGEIF(AH13:AL13,"&lt;&gt;0"),0)</f>
        <v>2263.4009999999998</v>
      </c>
      <c r="AH13" s="1757">
        <f>INDEX('Inventory Report_5.4.2017'!$H$5:$V$603,MATCH('Casings et al'!AB13,'Inventory Report_5.4.2017'!$B$5:$B$603,0),MATCH($U$2,'Inventory Report_5.4.2017'!$H$2:$V$2,0))</f>
        <v>2263.4009999999998</v>
      </c>
      <c r="AI13" s="1757">
        <f>INDEX('Inventory Report_5.4.2017'!$H$5:$V$603,MATCH('Casings et al'!AB13,'Inventory Report_5.4.2017'!$B$5:$B$603,0),MATCH($V$2,'Inventory Report_5.4.2017'!$H$2:$V$2,0))</f>
        <v>0</v>
      </c>
      <c r="AJ13" s="1757">
        <f>INDEX('Inventory Report_5.4.2017'!$H$5:$V$603,MATCH('Casings et al'!AB13,'Inventory Report_5.4.2017'!$B$5:$B$603,0),MATCH($W$2,'Inventory Report_5.4.2017'!$H$2:$V$2,0))</f>
        <v>0</v>
      </c>
      <c r="AK13" s="1757">
        <f>INDEX('Inventory Report_5.4.2017'!$H$5:$V$603,MATCH('Casings et al'!AB13,'Inventory Report_5.4.2017'!$B$5:$B$603,0),MATCH($X$2,'Inventory Report_5.4.2017'!$H$2:$V$2,0))</f>
        <v>0</v>
      </c>
      <c r="AL13" s="1757">
        <f>INDEX('Inventory Report_5.4.2017'!$H$5:$V$603,MATCH('Casings et al'!AB13,'Inventory Report_5.4.2017'!$B$5:$B$603,0),MATCH($Y$2,'Inventory Report_5.4.2017'!$H$2:$V$2,0))</f>
        <v>0</v>
      </c>
      <c r="AM13" s="2072"/>
      <c r="AN13" s="2072"/>
      <c r="AO13" s="2072"/>
      <c r="AP13" s="2072"/>
      <c r="AQ13" s="2072"/>
      <c r="AR13" s="2072"/>
      <c r="AS13" s="2072"/>
      <c r="AT13" s="2072"/>
      <c r="AU13" s="2072"/>
    </row>
    <row r="14" spans="1:47" ht="16" x14ac:dyDescent="0.2">
      <c r="A14" s="2072"/>
      <c r="B14" s="2085">
        <v>18.625</v>
      </c>
      <c r="C14" s="2064" t="s">
        <v>2286</v>
      </c>
      <c r="D14" s="2064">
        <v>10179</v>
      </c>
      <c r="E14" s="2064">
        <f>ROUNDUP(($E$10-$E$3)/3,0)+3</f>
        <v>17</v>
      </c>
      <c r="F14" s="2065">
        <f>IF(INDEX('Inventory Report_5.4.2017'!$H$5:$V$603,MATCH('Casings et al'!D14,'Inventory Report_5.4.2017'!$B$5:$B$603,0),MATCH(INPUT!$H$8,'Inventory Report_5.4.2017'!$H$2:$V$2,0))=0,N14,INDEX('Inventory Report_5.4.2017'!$H$5:$V$603,MATCH('Casings et al'!D14,'Inventory Report_5.4.2017'!$B$5:$B$603,0),MATCH(INPUT!$H$8,'Inventory Report_5.4.2017'!$H$2:$V$2,0)))</f>
        <v>3666.2733333333331</v>
      </c>
      <c r="G14" s="2086" t="s">
        <v>396</v>
      </c>
      <c r="H14" s="2094">
        <v>13.375</v>
      </c>
      <c r="I14" s="2064" t="s">
        <v>2291</v>
      </c>
      <c r="J14" s="2066">
        <v>10172</v>
      </c>
      <c r="K14" s="2066">
        <f>ROUNDUP(($K$10-$K$3)/3,0)+3</f>
        <v>17</v>
      </c>
      <c r="L14" s="2069">
        <f>IF(INDEX('Inventory Report_5.4.2017'!$H$5:$V$603,MATCH('Casings et al'!J14,'Inventory Report_5.4.2017'!$B$5:$B$603,0),MATCH(INPUT!$H$8,'Inventory Report_5.4.2017'!$H$2:$V$2,0))=0,O14,INDEX('Inventory Report_5.4.2017'!$H$5:$V$603,MATCH('Casings et al'!J14,'Inventory Report_5.4.2017'!$B$5:$B$603,0),MATCH(INPUT!$H$8,'Inventory Report_5.4.2017'!$H$2:$V$2,0)))</f>
        <v>3053.2036363636362</v>
      </c>
      <c r="M14" s="2082" t="s">
        <v>396</v>
      </c>
      <c r="N14" s="2076">
        <f t="shared" si="0"/>
        <v>3666.2733333333331</v>
      </c>
      <c r="O14" s="2077">
        <f t="shared" si="1"/>
        <v>3057.8552563131311</v>
      </c>
      <c r="P14" s="2059">
        <f>INDEX('Inventory Report_5.4.2017'!$H$5:$V$603,MATCH('Casings et al'!J14,'Inventory Report_5.4.2017'!$B$5:$B$603,0),MATCH($P$2,'Inventory Report_5.4.2017'!$H$2:$V$2,0))</f>
        <v>0</v>
      </c>
      <c r="Q14" s="2059">
        <f>INDEX('Inventory Report_5.4.2017'!$H$5:$V$603,MATCH('Casings et al'!J14,'Inventory Report_5.4.2017'!$B$5:$B$603,0),MATCH($Q$2,'Inventory Report_5.4.2017'!$H$2:$V$2,0))</f>
        <v>3105.1151666666669</v>
      </c>
      <c r="R14" s="2059">
        <f>INDEX('Inventory Report_5.4.2017'!$H$5:$V$603,MATCH('Casings et al'!J14,'Inventory Report_5.4.2017'!$B$5:$B$603,0),MATCH($R$2,'Inventory Report_5.4.2017'!$H$2:$V$2,0))</f>
        <v>3053.2036363636362</v>
      </c>
      <c r="S14" s="2059">
        <f>INDEX('Inventory Report_5.4.2017'!$H$5:$V$603,MATCH('Casings et al'!J14,'Inventory Report_5.4.2017'!$B$5:$B$603,0),MATCH($S$2,'Inventory Report_5.4.2017'!$H$2:$V$2,0))</f>
        <v>3053.2022222222222</v>
      </c>
      <c r="T14" s="2059">
        <f>INDEX('Inventory Report_5.4.2017'!$H$5:$V$603,MATCH('Casings et al'!J14,'Inventory Report_5.4.2017'!$B$5:$B$603,0),MATCH($T$2,'Inventory Report_5.4.2017'!$H$2:$V$2,0))</f>
        <v>3019.9</v>
      </c>
      <c r="U14" s="1757">
        <f>INDEX('Inventory Report_5.4.2017'!$H$5:$V$603,MATCH('Casings et al'!D14,'Inventory Report_5.4.2017'!$B$5:$B$603,0),MATCH($U$2,'Inventory Report_5.4.2017'!$H$2:$V$2,0))</f>
        <v>0</v>
      </c>
      <c r="V14" s="1757">
        <f>INDEX('Inventory Report_5.4.2017'!$H$5:$V$603,MATCH('Casings et al'!D14,'Inventory Report_5.4.2017'!$B$5:$B$603,0),MATCH($V$2,'Inventory Report_5.4.2017'!$H$2:$V$2,0))</f>
        <v>3878.9199999999996</v>
      </c>
      <c r="W14" s="1757">
        <f>INDEX('Inventory Report_5.4.2017'!$H$5:$V$603,MATCH('Casings et al'!D14,'Inventory Report_5.4.2017'!$B$5:$B$603,0),MATCH($W$2,'Inventory Report_5.4.2017'!$H$2:$V$2,0))</f>
        <v>0</v>
      </c>
      <c r="X14" s="1757">
        <f>INDEX('Inventory Report_5.4.2017'!$H$5:$V$603,MATCH('Casings et al'!D14,'Inventory Report_5.4.2017'!$B$5:$B$603,0),MATCH($X$2,'Inventory Report_5.4.2017'!$H$2:$V$2,0))</f>
        <v>3559.95</v>
      </c>
      <c r="Y14" s="1757">
        <f>INDEX('Inventory Report_5.4.2017'!$H$5:$V$603,MATCH('Casings et al'!D14,'Inventory Report_5.4.2017'!$B$5:$B$603,0),MATCH($Y$2,'Inventory Report_5.4.2017'!$H$2:$V$2,0))</f>
        <v>3559.95</v>
      </c>
      <c r="Z14" s="2072"/>
      <c r="AA14" s="2202" t="s">
        <v>2677</v>
      </c>
      <c r="AB14" s="2196">
        <v>9147</v>
      </c>
      <c r="AC14" s="2197" t="s">
        <v>2678</v>
      </c>
      <c r="AD14" s="2197">
        <v>16</v>
      </c>
      <c r="AE14" s="2187">
        <f>IF(INDEX('Inventory Report_5.4.2017'!$H$5:$V$603,MATCH('Casings et al'!AB14,'Inventory Report_5.4.2017'!$B$5:$B$603,0),MATCH(INPUT!$H$8,'Inventory Report_5.4.2017'!$H$2:$V$2,0))=0,AG14,INDEX('Inventory Report_5.4.2017'!$H$5:$V$603,MATCH('Casings et al'!AB14,'Inventory Report_5.4.2017'!$B$5:$B$603,0),MATCH(INPUT!$H$8,'Inventory Report_5.4.2017'!$H$2:$V$2,0)))</f>
        <v>79.516874999999999</v>
      </c>
      <c r="AF14" s="2072"/>
      <c r="AG14" s="2076">
        <f>IFERROR(AVERAGEIF(AH14:AL14,"&lt;&gt;0"),0)</f>
        <v>105.13800378787879</v>
      </c>
      <c r="AH14" s="1757">
        <f>INDEX('Inventory Report_5.4.2017'!$H$5:$V$603,MATCH('Casings et al'!AB14,'Inventory Report_5.4.2017'!$B$5:$B$603,0),MATCH($U$2,'Inventory Report_5.4.2017'!$H$2:$V$2,0))</f>
        <v>117.94863636363635</v>
      </c>
      <c r="AI14" s="1757">
        <f>INDEX('Inventory Report_5.4.2017'!$H$5:$V$603,MATCH('Casings et al'!AB14,'Inventory Report_5.4.2017'!$B$5:$B$603,0),MATCH($V$2,'Inventory Report_5.4.2017'!$H$2:$V$2,0))</f>
        <v>0</v>
      </c>
      <c r="AJ14" s="1757">
        <f>INDEX('Inventory Report_5.4.2017'!$H$5:$V$603,MATCH('Casings et al'!AB14,'Inventory Report_5.4.2017'!$B$5:$B$603,0),MATCH($W$2,'Inventory Report_5.4.2017'!$H$2:$V$2,0))</f>
        <v>79.516874999999999</v>
      </c>
      <c r="AK14" s="1757">
        <f>INDEX('Inventory Report_5.4.2017'!$H$5:$V$603,MATCH('Casings et al'!AB14,'Inventory Report_5.4.2017'!$B$5:$B$603,0),MATCH($X$2,'Inventory Report_5.4.2017'!$H$2:$V$2,0))</f>
        <v>117.9485</v>
      </c>
      <c r="AL14" s="1757">
        <f>INDEX('Inventory Report_5.4.2017'!$H$5:$V$603,MATCH('Casings et al'!AB14,'Inventory Report_5.4.2017'!$B$5:$B$603,0),MATCH($Y$2,'Inventory Report_5.4.2017'!$H$2:$V$2,0))</f>
        <v>0</v>
      </c>
      <c r="AM14" s="2072"/>
      <c r="AN14" s="2072"/>
      <c r="AO14" s="2072"/>
      <c r="AP14" s="2072"/>
      <c r="AQ14" s="2072"/>
      <c r="AR14" s="2072"/>
      <c r="AS14" s="2072"/>
      <c r="AT14" s="2072"/>
      <c r="AU14" s="2072"/>
    </row>
    <row r="15" spans="1:47" ht="16" x14ac:dyDescent="0.2">
      <c r="A15" s="2072"/>
      <c r="B15" s="2085">
        <v>18.625</v>
      </c>
      <c r="C15" s="2064" t="s">
        <v>2287</v>
      </c>
      <c r="D15" s="2064">
        <v>8719</v>
      </c>
      <c r="E15" s="2064">
        <v>2</v>
      </c>
      <c r="F15" s="2065">
        <f>IF(INDEX('Inventory Report_5.4.2017'!$H$5:$V$603,MATCH('Casings et al'!D15,'Inventory Report_5.4.2017'!$B$5:$B$603,0),MATCH(INPUT!$H$8,'Inventory Report_5.4.2017'!$H$2:$V$2,0))=0,N15,INDEX('Inventory Report_5.4.2017'!$H$5:$V$603,MATCH('Casings et al'!D15,'Inventory Report_5.4.2017'!$B$5:$B$603,0),MATCH(INPUT!$H$8,'Inventory Report_5.4.2017'!$H$2:$V$2,0)))</f>
        <v>20579.436666666665</v>
      </c>
      <c r="G15" s="2086" t="s">
        <v>396</v>
      </c>
      <c r="H15" s="2094">
        <v>13.375</v>
      </c>
      <c r="I15" s="2064" t="s">
        <v>2293</v>
      </c>
      <c r="J15" s="2066">
        <v>8715</v>
      </c>
      <c r="K15" s="2066">
        <v>2</v>
      </c>
      <c r="L15" s="2069">
        <f>IF(INDEX('Inventory Report_5.4.2017'!$H$5:$V$603,MATCH('Casings et al'!J15,'Inventory Report_5.4.2017'!$B$5:$B$603,0),MATCH(INPUT!$H$8,'Inventory Report_5.4.2017'!$H$2:$V$2,0))=0,O15,INDEX('Inventory Report_5.4.2017'!$H$5:$V$603,MATCH('Casings et al'!J15,'Inventory Report_5.4.2017'!$B$5:$B$603,0),MATCH(INPUT!$H$8,'Inventory Report_5.4.2017'!$H$2:$V$2,0)))</f>
        <v>11634.460000000001</v>
      </c>
      <c r="M15" s="2082" t="s">
        <v>396</v>
      </c>
      <c r="N15" s="2076">
        <f t="shared" si="0"/>
        <v>20579.436333333331</v>
      </c>
      <c r="O15" s="2077">
        <f t="shared" si="1"/>
        <v>12037.867321937321</v>
      </c>
      <c r="P15" s="2059">
        <f>INDEX('Inventory Report_5.4.2017'!$H$5:$V$603,MATCH('Casings et al'!J15,'Inventory Report_5.4.2017'!$B$5:$B$603,0),MATCH($P$2,'Inventory Report_5.4.2017'!$H$2:$V$2,0))</f>
        <v>0</v>
      </c>
      <c r="Q15" s="2059">
        <f>INDEX('Inventory Report_5.4.2017'!$H$5:$V$603,MATCH('Casings et al'!J15,'Inventory Report_5.4.2017'!$B$5:$B$603,0),MATCH($Q$2,'Inventory Report_5.4.2017'!$H$2:$V$2,0))</f>
        <v>0</v>
      </c>
      <c r="R15" s="2059">
        <f>INDEX('Inventory Report_5.4.2017'!$H$5:$V$603,MATCH('Casings et al'!J15,'Inventory Report_5.4.2017'!$B$5:$B$603,0),MATCH($R$2,'Inventory Report_5.4.2017'!$H$2:$V$2,0))</f>
        <v>11634.460000000001</v>
      </c>
      <c r="S15" s="2059">
        <f>INDEX('Inventory Report_5.4.2017'!$H$5:$V$603,MATCH('Casings et al'!J15,'Inventory Report_5.4.2017'!$B$5:$B$603,0),MATCH($S$2,'Inventory Report_5.4.2017'!$H$2:$V$2,0))</f>
        <v>12580.308888888889</v>
      </c>
      <c r="T15" s="2059">
        <f>INDEX('Inventory Report_5.4.2017'!$H$5:$V$603,MATCH('Casings et al'!J15,'Inventory Report_5.4.2017'!$B$5:$B$603,0),MATCH($T$2,'Inventory Report_5.4.2017'!$H$2:$V$2,0))</f>
        <v>11898.833076923076</v>
      </c>
      <c r="U15" s="1757">
        <f>INDEX('Inventory Report_5.4.2017'!$H$5:$V$603,MATCH('Casings et al'!D15,'Inventory Report_5.4.2017'!$B$5:$B$603,0),MATCH($U$2,'Inventory Report_5.4.2017'!$H$2:$V$2,0))</f>
        <v>20579.435999999998</v>
      </c>
      <c r="V15" s="1757">
        <f>INDEX('Inventory Report_5.4.2017'!$H$5:$V$603,MATCH('Casings et al'!D15,'Inventory Report_5.4.2017'!$B$5:$B$603,0),MATCH($V$2,'Inventory Report_5.4.2017'!$H$2:$V$2,0))</f>
        <v>0</v>
      </c>
      <c r="W15" s="1757">
        <f>INDEX('Inventory Report_5.4.2017'!$H$5:$V$603,MATCH('Casings et al'!D15,'Inventory Report_5.4.2017'!$B$5:$B$603,0),MATCH($W$2,'Inventory Report_5.4.2017'!$H$2:$V$2,0))</f>
        <v>20579.436666666665</v>
      </c>
      <c r="X15" s="1757">
        <f>INDEX('Inventory Report_5.4.2017'!$H$5:$V$603,MATCH('Casings et al'!D15,'Inventory Report_5.4.2017'!$B$5:$B$603,0),MATCH($X$2,'Inventory Report_5.4.2017'!$H$2:$V$2,0))</f>
        <v>0</v>
      </c>
      <c r="Y15" s="1757">
        <f>INDEX('Inventory Report_5.4.2017'!$H$5:$V$603,MATCH('Casings et al'!D15,'Inventory Report_5.4.2017'!$B$5:$B$603,0),MATCH($Y$2,'Inventory Report_5.4.2017'!$H$2:$V$2,0))</f>
        <v>0</v>
      </c>
      <c r="Z15" s="2072"/>
      <c r="AA15" s="2202" t="s">
        <v>2679</v>
      </c>
      <c r="AB15" s="2196">
        <v>114804</v>
      </c>
      <c r="AC15" s="2197" t="s">
        <v>2680</v>
      </c>
      <c r="AD15" s="2197">
        <v>1</v>
      </c>
      <c r="AE15" s="2187">
        <f>IF(INDEX('Inventory Report_5.4.2017'!$H$5:$V$603,MATCH('Casings et al'!AB15,'Inventory Report_5.4.2017'!$B$5:$B$603,0),MATCH(INPUT!$H$8,'Inventory Report_5.4.2017'!$H$2:$V$2,0))=0,AG15,INDEX('Inventory Report_5.4.2017'!$H$5:$V$603,MATCH('Casings et al'!AB15,'Inventory Report_5.4.2017'!$B$5:$B$603,0),MATCH(INPUT!$H$8,'Inventory Report_5.4.2017'!$H$2:$V$2,0)))</f>
        <v>27524</v>
      </c>
      <c r="AF15" s="2072"/>
      <c r="AG15" s="2076">
        <f>IFERROR(AVERAGEIF(AH15:AL15,"&lt;&gt;0"),0)</f>
        <v>27524</v>
      </c>
      <c r="AH15" s="1757">
        <f>INDEX('Inventory Report_5.4.2017'!$H$5:$V$603,MATCH('Casings et al'!AB15,'Inventory Report_5.4.2017'!$B$5:$B$603,0),MATCH($U$2,'Inventory Report_5.4.2017'!$H$2:$V$2,0))</f>
        <v>0</v>
      </c>
      <c r="AI15" s="1757">
        <f>INDEX('Inventory Report_5.4.2017'!$H$5:$V$603,MATCH('Casings et al'!AB15,'Inventory Report_5.4.2017'!$B$5:$B$603,0),MATCH($V$2,'Inventory Report_5.4.2017'!$H$2:$V$2,0))</f>
        <v>0</v>
      </c>
      <c r="AJ15" s="1757">
        <f>INDEX('Inventory Report_5.4.2017'!$H$5:$V$603,MATCH('Casings et al'!AB15,'Inventory Report_5.4.2017'!$B$5:$B$603,0),MATCH($W$2,'Inventory Report_5.4.2017'!$H$2:$V$2,0))</f>
        <v>27524</v>
      </c>
      <c r="AK15" s="1757">
        <f>INDEX('Inventory Report_5.4.2017'!$H$5:$V$603,MATCH('Casings et al'!AB15,'Inventory Report_5.4.2017'!$B$5:$B$603,0),MATCH($X$2,'Inventory Report_5.4.2017'!$H$2:$V$2,0))</f>
        <v>0</v>
      </c>
      <c r="AL15" s="1757">
        <f>INDEX('Inventory Report_5.4.2017'!$H$5:$V$603,MATCH('Casings et al'!AB15,'Inventory Report_5.4.2017'!$B$5:$B$603,0),MATCH($Y$2,'Inventory Report_5.4.2017'!$H$2:$V$2,0))</f>
        <v>0</v>
      </c>
      <c r="AM15" s="2072"/>
      <c r="AN15" s="2072"/>
      <c r="AO15" s="2072"/>
      <c r="AP15" s="2072"/>
      <c r="AQ15" s="2072"/>
      <c r="AR15" s="2072"/>
      <c r="AS15" s="2072"/>
      <c r="AT15" s="2072"/>
      <c r="AU15" s="2072"/>
    </row>
    <row r="16" spans="1:47" ht="16" x14ac:dyDescent="0.2">
      <c r="A16" s="2072"/>
      <c r="B16" s="2085">
        <v>18.625</v>
      </c>
      <c r="C16" s="2064" t="s">
        <v>2277</v>
      </c>
      <c r="D16" s="2064">
        <v>13909</v>
      </c>
      <c r="E16" s="2064">
        <v>5</v>
      </c>
      <c r="F16" s="2065">
        <f>IF(INDEX('Inventory Report_5.4.2017'!$H$5:$V$603,MATCH('Casings et al'!D16,'Inventory Report_5.4.2017'!$B$5:$B$603,0),MATCH(INPUT!$H$8,'Inventory Report_5.4.2017'!$H$2:$V$2,0))=0,N16,INDEX('Inventory Report_5.4.2017'!$H$5:$V$603,MATCH('Casings et al'!D16,'Inventory Report_5.4.2017'!$B$5:$B$603,0),MATCH(INPUT!$H$8,'Inventory Report_5.4.2017'!$H$2:$V$2,0)))</f>
        <v>3639.9091803278689</v>
      </c>
      <c r="G16" s="2086" t="s">
        <v>396</v>
      </c>
      <c r="H16" s="2094">
        <v>13.375</v>
      </c>
      <c r="I16" s="2064" t="s">
        <v>2277</v>
      </c>
      <c r="J16" s="2066">
        <v>13909</v>
      </c>
      <c r="K16" s="2066">
        <v>5</v>
      </c>
      <c r="L16" s="2069">
        <f>IF(INDEX('Inventory Report_5.4.2017'!$H$5:$V$603,MATCH('Casings et al'!J16,'Inventory Report_5.4.2017'!$B$5:$B$603,0),MATCH(INPUT!$H$8,'Inventory Report_5.4.2017'!$H$2:$V$2,0))=0,O16,INDEX('Inventory Report_5.4.2017'!$H$5:$V$603,MATCH('Casings et al'!J16,'Inventory Report_5.4.2017'!$B$5:$B$603,0),MATCH(INPUT!$H$8,'Inventory Report_5.4.2017'!$H$2:$V$2,0)))</f>
        <v>3639.9091803278689</v>
      </c>
      <c r="M16" s="2082" t="s">
        <v>396</v>
      </c>
      <c r="N16" s="2076">
        <f t="shared" si="0"/>
        <v>3167.1822950819674</v>
      </c>
      <c r="O16" s="2077">
        <f t="shared" si="1"/>
        <v>3167.1822950819674</v>
      </c>
      <c r="P16" s="2059">
        <f>INDEX('Inventory Report_5.4.2017'!$H$5:$V$603,MATCH('Casings et al'!J16,'Inventory Report_5.4.2017'!$B$5:$B$603,0),MATCH($P$2,'Inventory Report_5.4.2017'!$H$2:$V$2,0))</f>
        <v>0</v>
      </c>
      <c r="Q16" s="2059">
        <f>INDEX('Inventory Report_5.4.2017'!$H$5:$V$603,MATCH('Casings et al'!J16,'Inventory Report_5.4.2017'!$B$5:$B$603,0),MATCH($Q$2,'Inventory Report_5.4.2017'!$H$2:$V$2,0))</f>
        <v>3396.97</v>
      </c>
      <c r="R16" s="2059">
        <f>INDEX('Inventory Report_5.4.2017'!$H$5:$V$603,MATCH('Casings et al'!J16,'Inventory Report_5.4.2017'!$B$5:$B$603,0),MATCH($R$2,'Inventory Report_5.4.2017'!$H$2:$V$2,0))</f>
        <v>3639.9091803278689</v>
      </c>
      <c r="S16" s="2059">
        <f>INDEX('Inventory Report_5.4.2017'!$H$5:$V$603,MATCH('Casings et al'!J16,'Inventory Report_5.4.2017'!$B$5:$B$603,0),MATCH($S$2,'Inventory Report_5.4.2017'!$H$2:$V$2,0))</f>
        <v>3895</v>
      </c>
      <c r="T16" s="2059">
        <f>INDEX('Inventory Report_5.4.2017'!$H$5:$V$603,MATCH('Casings et al'!J16,'Inventory Report_5.4.2017'!$B$5:$B$603,0),MATCH($T$2,'Inventory Report_5.4.2017'!$H$2:$V$2,0))</f>
        <v>1736.85</v>
      </c>
      <c r="U16" s="1757">
        <f>INDEX('Inventory Report_5.4.2017'!$H$5:$V$603,MATCH('Casings et al'!D16,'Inventory Report_5.4.2017'!$B$5:$B$603,0),MATCH($U$2,'Inventory Report_5.4.2017'!$H$2:$V$2,0))</f>
        <v>0</v>
      </c>
      <c r="V16" s="1757">
        <f>INDEX('Inventory Report_5.4.2017'!$H$5:$V$603,MATCH('Casings et al'!D16,'Inventory Report_5.4.2017'!$B$5:$B$603,0),MATCH($V$2,'Inventory Report_5.4.2017'!$H$2:$V$2,0))</f>
        <v>3396.97</v>
      </c>
      <c r="W16" s="1757">
        <f>INDEX('Inventory Report_5.4.2017'!$H$5:$V$603,MATCH('Casings et al'!D16,'Inventory Report_5.4.2017'!$B$5:$B$603,0),MATCH($W$2,'Inventory Report_5.4.2017'!$H$2:$V$2,0))</f>
        <v>3639.9091803278689</v>
      </c>
      <c r="X16" s="1757">
        <f>INDEX('Inventory Report_5.4.2017'!$H$5:$V$603,MATCH('Casings et al'!D16,'Inventory Report_5.4.2017'!$B$5:$B$603,0),MATCH($X$2,'Inventory Report_5.4.2017'!$H$2:$V$2,0))</f>
        <v>3895</v>
      </c>
      <c r="Y16" s="1757">
        <f>INDEX('Inventory Report_5.4.2017'!$H$5:$V$603,MATCH('Casings et al'!D16,'Inventory Report_5.4.2017'!$B$5:$B$603,0),MATCH($Y$2,'Inventory Report_5.4.2017'!$H$2:$V$2,0))</f>
        <v>1736.85</v>
      </c>
      <c r="Z16" s="2072"/>
      <c r="AA16" s="2202" t="s">
        <v>2681</v>
      </c>
      <c r="AB16" s="2196">
        <v>14193</v>
      </c>
      <c r="AC16" s="2197" t="s">
        <v>2345</v>
      </c>
      <c r="AD16" s="2197">
        <v>2</v>
      </c>
      <c r="AE16" s="2187">
        <f>IF(INDEX('Inventory Report_5.4.2017'!$H$5:$V$603,MATCH('Casings et al'!AB16,'Inventory Report_5.4.2017'!$B$5:$B$603,0),MATCH(INPUT!$H$8,'Inventory Report_5.4.2017'!$H$2:$V$2,0))=0,AG16,INDEX('Inventory Report_5.4.2017'!$H$5:$V$603,MATCH('Casings et al'!AB16,'Inventory Report_5.4.2017'!$B$5:$B$603,0),MATCH(INPUT!$H$8,'Inventory Report_5.4.2017'!$H$2:$V$2,0)))</f>
        <v>1643.6000000000001</v>
      </c>
      <c r="AF16" s="2072"/>
      <c r="AG16" s="2076">
        <f>IFERROR(AVERAGEIF(AH16:AL16,"&lt;&gt;0"),0)</f>
        <v>1643.6000000000001</v>
      </c>
      <c r="AH16" s="1757">
        <f>INDEX('Inventory Report_5.4.2017'!$H$5:$V$603,MATCH('Casings et al'!AB16,'Inventory Report_5.4.2017'!$B$5:$B$603,0),MATCH($U$2,'Inventory Report_5.4.2017'!$H$2:$V$2,0))</f>
        <v>0</v>
      </c>
      <c r="AI16" s="1757">
        <f>INDEX('Inventory Report_5.4.2017'!$H$5:$V$603,MATCH('Casings et al'!AB16,'Inventory Report_5.4.2017'!$B$5:$B$603,0),MATCH($V$2,'Inventory Report_5.4.2017'!$H$2:$V$2,0))</f>
        <v>0</v>
      </c>
      <c r="AJ16" s="1757">
        <f>INDEX('Inventory Report_5.4.2017'!$H$5:$V$603,MATCH('Casings et al'!AB16,'Inventory Report_5.4.2017'!$B$5:$B$603,0),MATCH($W$2,'Inventory Report_5.4.2017'!$H$2:$V$2,0))</f>
        <v>1643.6000000000001</v>
      </c>
      <c r="AK16" s="1757">
        <f>INDEX('Inventory Report_5.4.2017'!$H$5:$V$603,MATCH('Casings et al'!AB16,'Inventory Report_5.4.2017'!$B$5:$B$603,0),MATCH($X$2,'Inventory Report_5.4.2017'!$H$2:$V$2,0))</f>
        <v>0</v>
      </c>
      <c r="AL16" s="1757">
        <f>INDEX('Inventory Report_5.4.2017'!$H$5:$V$603,MATCH('Casings et al'!AB16,'Inventory Report_5.4.2017'!$B$5:$B$603,0),MATCH($Y$2,'Inventory Report_5.4.2017'!$H$2:$V$2,0))</f>
        <v>0</v>
      </c>
      <c r="AM16" s="2072"/>
      <c r="AN16" s="2072"/>
      <c r="AO16" s="2072"/>
      <c r="AP16" s="2072"/>
      <c r="AQ16" s="2072"/>
      <c r="AR16" s="2072"/>
      <c r="AS16" s="2072"/>
      <c r="AT16" s="2072"/>
      <c r="AU16" s="2072"/>
    </row>
    <row r="17" spans="1:47" ht="16" x14ac:dyDescent="0.2">
      <c r="A17" s="2072"/>
      <c r="B17" s="2085">
        <v>18.625</v>
      </c>
      <c r="C17" s="2064" t="s">
        <v>2278</v>
      </c>
      <c r="D17" s="2064">
        <v>110534</v>
      </c>
      <c r="E17" s="2064">
        <v>5</v>
      </c>
      <c r="F17" s="2065">
        <f>IF(INDEX('Inventory Report_5.4.2017'!$H$5:$V$603,MATCH('Casings et al'!D17,'Inventory Report_5.4.2017'!$B$5:$B$603,0),MATCH(INPUT!$H$8,'Inventory Report_5.4.2017'!$H$2:$V$2,0))=0,N17,INDEX('Inventory Report_5.4.2017'!$H$5:$V$603,MATCH('Casings et al'!D17,'Inventory Report_5.4.2017'!$B$5:$B$603,0),MATCH(INPUT!$H$8,'Inventory Report_5.4.2017'!$H$2:$V$2,0)))</f>
        <v>679.40000000000009</v>
      </c>
      <c r="G17" s="2086" t="s">
        <v>396</v>
      </c>
      <c r="H17" s="2094">
        <v>13.375</v>
      </c>
      <c r="I17" s="2064" t="s">
        <v>2278</v>
      </c>
      <c r="J17" s="2066">
        <v>110534</v>
      </c>
      <c r="K17" s="2066">
        <v>5</v>
      </c>
      <c r="L17" s="2069">
        <f>IF(INDEX('Inventory Report_5.4.2017'!$H$5:$V$603,MATCH('Casings et al'!J17,'Inventory Report_5.4.2017'!$B$5:$B$603,0),MATCH(INPUT!$H$8,'Inventory Report_5.4.2017'!$H$2:$V$2,0))=0,O17,INDEX('Inventory Report_5.4.2017'!$H$5:$V$603,MATCH('Casings et al'!J17,'Inventory Report_5.4.2017'!$B$5:$B$603,0),MATCH(INPUT!$H$8,'Inventory Report_5.4.2017'!$H$2:$V$2,0)))</f>
        <v>679.40000000000009</v>
      </c>
      <c r="M17" s="2082" t="s">
        <v>396</v>
      </c>
      <c r="N17" s="2076">
        <f t="shared" si="0"/>
        <v>679.40000000000009</v>
      </c>
      <c r="O17" s="2077">
        <f t="shared" si="1"/>
        <v>679.40000000000009</v>
      </c>
      <c r="P17" s="2059">
        <f>INDEX('Inventory Report_5.4.2017'!$H$5:$V$603,MATCH('Casings et al'!J17,'Inventory Report_5.4.2017'!$B$5:$B$603,0),MATCH($P$2,'Inventory Report_5.4.2017'!$H$2:$V$2,0))</f>
        <v>0</v>
      </c>
      <c r="Q17" s="2059">
        <f>INDEX('Inventory Report_5.4.2017'!$H$5:$V$603,MATCH('Casings et al'!J17,'Inventory Report_5.4.2017'!$B$5:$B$603,0),MATCH($Q$2,'Inventory Report_5.4.2017'!$H$2:$V$2,0))</f>
        <v>679.40000000000009</v>
      </c>
      <c r="R17" s="2059">
        <f>INDEX('Inventory Report_5.4.2017'!$H$5:$V$603,MATCH('Casings et al'!J17,'Inventory Report_5.4.2017'!$B$5:$B$603,0),MATCH($R$2,'Inventory Report_5.4.2017'!$H$2:$V$2,0))</f>
        <v>0</v>
      </c>
      <c r="S17" s="2059">
        <f>INDEX('Inventory Report_5.4.2017'!$H$5:$V$603,MATCH('Casings et al'!J17,'Inventory Report_5.4.2017'!$B$5:$B$603,0),MATCH($S$2,'Inventory Report_5.4.2017'!$H$2:$V$2,0))</f>
        <v>0</v>
      </c>
      <c r="T17" s="2059">
        <f>INDEX('Inventory Report_5.4.2017'!$H$5:$V$603,MATCH('Casings et al'!J17,'Inventory Report_5.4.2017'!$B$5:$B$603,0),MATCH($T$2,'Inventory Report_5.4.2017'!$H$2:$V$2,0))</f>
        <v>0</v>
      </c>
      <c r="U17" s="1757">
        <f>INDEX('Inventory Report_5.4.2017'!$H$5:$V$603,MATCH('Casings et al'!D17,'Inventory Report_5.4.2017'!$B$5:$B$603,0),MATCH($U$2,'Inventory Report_5.4.2017'!$H$2:$V$2,0))</f>
        <v>0</v>
      </c>
      <c r="V17" s="1757">
        <f>INDEX('Inventory Report_5.4.2017'!$H$5:$V$603,MATCH('Casings et al'!D17,'Inventory Report_5.4.2017'!$B$5:$B$603,0),MATCH($V$2,'Inventory Report_5.4.2017'!$H$2:$V$2,0))</f>
        <v>679.40000000000009</v>
      </c>
      <c r="W17" s="1757">
        <f>INDEX('Inventory Report_5.4.2017'!$H$5:$V$603,MATCH('Casings et al'!D17,'Inventory Report_5.4.2017'!$B$5:$B$603,0),MATCH($W$2,'Inventory Report_5.4.2017'!$H$2:$V$2,0))</f>
        <v>0</v>
      </c>
      <c r="X17" s="1757">
        <f>INDEX('Inventory Report_5.4.2017'!$H$5:$V$603,MATCH('Casings et al'!D17,'Inventory Report_5.4.2017'!$B$5:$B$603,0),MATCH($X$2,'Inventory Report_5.4.2017'!$H$2:$V$2,0))</f>
        <v>0</v>
      </c>
      <c r="Y17" s="1757">
        <f>INDEX('Inventory Report_5.4.2017'!$H$5:$V$603,MATCH('Casings et al'!D17,'Inventory Report_5.4.2017'!$B$5:$B$603,0),MATCH($Y$2,'Inventory Report_5.4.2017'!$H$2:$V$2,0))</f>
        <v>0</v>
      </c>
      <c r="Z17" s="2072"/>
      <c r="AA17" s="2201" t="s">
        <v>2682</v>
      </c>
      <c r="AB17" s="2194">
        <v>15655</v>
      </c>
      <c r="AC17" s="2195" t="s">
        <v>2683</v>
      </c>
      <c r="AD17" s="2195">
        <v>2</v>
      </c>
      <c r="AE17" s="2204"/>
      <c r="AF17" s="2072"/>
      <c r="AG17" s="2072"/>
      <c r="AH17" s="2072"/>
      <c r="AI17" s="2072"/>
      <c r="AJ17" s="2072"/>
      <c r="AK17" s="2072"/>
      <c r="AL17" s="2072"/>
      <c r="AM17" s="2072"/>
      <c r="AN17" s="2072"/>
      <c r="AO17" s="2072"/>
      <c r="AP17" s="2072"/>
      <c r="AQ17" s="2072"/>
      <c r="AR17" s="2072"/>
      <c r="AS17" s="2072"/>
      <c r="AT17" s="2072"/>
      <c r="AU17" s="2072"/>
    </row>
    <row r="18" spans="1:47" ht="16" x14ac:dyDescent="0.2">
      <c r="A18" s="2072"/>
      <c r="B18" s="2085">
        <v>18.625</v>
      </c>
      <c r="C18" s="2064" t="s">
        <v>2279</v>
      </c>
      <c r="D18" s="2064">
        <v>10416</v>
      </c>
      <c r="E18" s="2064">
        <v>1</v>
      </c>
      <c r="F18" s="2065">
        <f>IF(INDEX('Inventory Report_5.4.2017'!$H$5:$V$603,MATCH('Casings et al'!D18,'Inventory Report_5.4.2017'!$B$5:$B$603,0),MATCH(INPUT!$H$8,'Inventory Report_5.4.2017'!$H$2:$V$2,0))=0,N18,INDEX('Inventory Report_5.4.2017'!$H$5:$V$603,MATCH('Casings et al'!D18,'Inventory Report_5.4.2017'!$B$5:$B$603,0),MATCH(INPUT!$H$8,'Inventory Report_5.4.2017'!$H$2:$V$2,0)))</f>
        <v>10015.318421052631</v>
      </c>
      <c r="G18" s="2086" t="s">
        <v>396</v>
      </c>
      <c r="H18" s="2094">
        <v>13.375</v>
      </c>
      <c r="I18" s="2064" t="s">
        <v>2279</v>
      </c>
      <c r="J18" s="2066">
        <v>10416</v>
      </c>
      <c r="K18" s="2066">
        <v>1</v>
      </c>
      <c r="L18" s="2069">
        <f>IF(INDEX('Inventory Report_5.4.2017'!$H$5:$V$603,MATCH('Casings et al'!J18,'Inventory Report_5.4.2017'!$B$5:$B$603,0),MATCH(INPUT!$H$8,'Inventory Report_5.4.2017'!$H$2:$V$2,0))=0,O18,INDEX('Inventory Report_5.4.2017'!$H$5:$V$603,MATCH('Casings et al'!J18,'Inventory Report_5.4.2017'!$B$5:$B$603,0),MATCH(INPUT!$H$8,'Inventory Report_5.4.2017'!$H$2:$V$2,0)))</f>
        <v>10015.318421052631</v>
      </c>
      <c r="M18" s="2082" t="s">
        <v>396</v>
      </c>
      <c r="N18" s="2076">
        <f t="shared" si="0"/>
        <v>10015.391369617224</v>
      </c>
      <c r="O18" s="2077">
        <f t="shared" si="1"/>
        <v>10015.391369617224</v>
      </c>
      <c r="P18" s="2059">
        <f>INDEX('Inventory Report_5.4.2017'!$H$5:$V$603,MATCH('Casings et al'!J18,'Inventory Report_5.4.2017'!$B$5:$B$603,0),MATCH($P$2,'Inventory Report_5.4.2017'!$H$2:$V$2,0))</f>
        <v>0</v>
      </c>
      <c r="Q18" s="2059">
        <f>INDEX('Inventory Report_5.4.2017'!$H$5:$V$603,MATCH('Casings et al'!J18,'Inventory Report_5.4.2017'!$B$5:$B$603,0),MATCH($Q$2,'Inventory Report_5.4.2017'!$H$2:$V$2,0))</f>
        <v>10015.464318181817</v>
      </c>
      <c r="R18" s="2059">
        <f>INDEX('Inventory Report_5.4.2017'!$H$5:$V$603,MATCH('Casings et al'!J18,'Inventory Report_5.4.2017'!$B$5:$B$603,0),MATCH($R$2,'Inventory Report_5.4.2017'!$H$2:$V$2,0))</f>
        <v>10015.318421052631</v>
      </c>
      <c r="S18" s="2059">
        <f>INDEX('Inventory Report_5.4.2017'!$H$5:$V$603,MATCH('Casings et al'!J18,'Inventory Report_5.4.2017'!$B$5:$B$603,0),MATCH($S$2,'Inventory Report_5.4.2017'!$H$2:$V$2,0))</f>
        <v>0</v>
      </c>
      <c r="T18" s="2059">
        <f>INDEX('Inventory Report_5.4.2017'!$H$5:$V$603,MATCH('Casings et al'!J18,'Inventory Report_5.4.2017'!$B$5:$B$603,0),MATCH($T$2,'Inventory Report_5.4.2017'!$H$2:$V$2,0))</f>
        <v>0</v>
      </c>
      <c r="U18" s="1757">
        <f>INDEX('Inventory Report_5.4.2017'!$H$5:$V$603,MATCH('Casings et al'!D18,'Inventory Report_5.4.2017'!$B$5:$B$603,0),MATCH($U$2,'Inventory Report_5.4.2017'!$H$2:$V$2,0))</f>
        <v>0</v>
      </c>
      <c r="V18" s="1757">
        <f>INDEX('Inventory Report_5.4.2017'!$H$5:$V$603,MATCH('Casings et al'!D18,'Inventory Report_5.4.2017'!$B$5:$B$603,0),MATCH($V$2,'Inventory Report_5.4.2017'!$H$2:$V$2,0))</f>
        <v>10015.464318181817</v>
      </c>
      <c r="W18" s="1757">
        <f>INDEX('Inventory Report_5.4.2017'!$H$5:$V$603,MATCH('Casings et al'!D18,'Inventory Report_5.4.2017'!$B$5:$B$603,0),MATCH($W$2,'Inventory Report_5.4.2017'!$H$2:$V$2,0))</f>
        <v>10015.318421052631</v>
      </c>
      <c r="X18" s="1757">
        <f>INDEX('Inventory Report_5.4.2017'!$H$5:$V$603,MATCH('Casings et al'!D18,'Inventory Report_5.4.2017'!$B$5:$B$603,0),MATCH($X$2,'Inventory Report_5.4.2017'!$H$2:$V$2,0))</f>
        <v>0</v>
      </c>
      <c r="Y18" s="1757">
        <f>INDEX('Inventory Report_5.4.2017'!$H$5:$V$603,MATCH('Casings et al'!D18,'Inventory Report_5.4.2017'!$B$5:$B$603,0),MATCH($Y$2,'Inventory Report_5.4.2017'!$H$2:$V$2,0))</f>
        <v>0</v>
      </c>
      <c r="Z18" s="2072"/>
      <c r="AA18" s="2203" t="s">
        <v>2684</v>
      </c>
      <c r="AB18" s="2198">
        <v>11482</v>
      </c>
      <c r="AC18" s="2199" t="s">
        <v>2685</v>
      </c>
      <c r="AD18" s="2200">
        <v>1</v>
      </c>
      <c r="AE18" s="2204"/>
      <c r="AF18" s="2072"/>
      <c r="AG18" s="2072"/>
      <c r="AH18" s="2072"/>
      <c r="AI18" s="2072"/>
      <c r="AJ18" s="2072"/>
      <c r="AK18" s="2072"/>
      <c r="AL18" s="2072"/>
      <c r="AM18" s="2072"/>
      <c r="AN18" s="2072"/>
      <c r="AO18" s="2072"/>
      <c r="AP18" s="2072"/>
      <c r="AQ18" s="2072"/>
      <c r="AR18" s="2072"/>
      <c r="AS18" s="2072"/>
      <c r="AT18" s="2072"/>
      <c r="AU18" s="2072"/>
    </row>
    <row r="19" spans="1:47" ht="15" x14ac:dyDescent="0.2">
      <c r="A19" s="2072"/>
      <c r="B19" s="2084">
        <v>13.375</v>
      </c>
      <c r="C19" s="2063" t="s">
        <v>2288</v>
      </c>
      <c r="D19" s="2064">
        <v>10147</v>
      </c>
      <c r="E19" s="2064">
        <f>ROUNDUP(DPRODHOLE/11.5,0)+3</f>
        <v>113</v>
      </c>
      <c r="F19" s="2065">
        <f>IF(INDEX('Inventory Report_5.4.2017'!$H$5:$V$603,MATCH('Casings et al'!D19,'Inventory Report_5.4.2017'!$B$5:$B$603,0),MATCH(INPUT!$H$8,'Inventory Report_5.4.2017'!$H$2:$V$2,0))=0,N19,INDEX('Inventory Report_5.4.2017'!$H$5:$V$603,MATCH('Casings et al'!D19,'Inventory Report_5.4.2017'!$B$5:$B$603,0),MATCH(INPUT!$H$8,'Inventory Report_5.4.2017'!$H$2:$V$2,0)))</f>
        <v>67512.280322580642</v>
      </c>
      <c r="G19" s="2086" t="s">
        <v>398</v>
      </c>
      <c r="H19" s="2093">
        <v>9.625</v>
      </c>
      <c r="I19" s="2068" t="s">
        <v>2302</v>
      </c>
      <c r="J19" s="2070">
        <v>10149</v>
      </c>
      <c r="K19" s="2066">
        <f>ROUNDUP(DPRODHOLE/11.5,0)+3</f>
        <v>113</v>
      </c>
      <c r="L19" s="2069">
        <f>IF(INDEX('Inventory Report_5.4.2017'!$H$5:$V$603,MATCH('Casings et al'!J19,'Inventory Report_5.4.2017'!$B$5:$B$603,0),MATCH(INPUT!$H$8,'Inventory Report_5.4.2017'!$H$2:$V$2,0))=0,O19,INDEX('Inventory Report_5.4.2017'!$H$5:$V$603,MATCH('Casings et al'!J19,'Inventory Report_5.4.2017'!$B$5:$B$603,0),MATCH(INPUT!$H$8,'Inventory Report_5.4.2017'!$H$2:$V$2,0)))</f>
        <v>56537.527391304349</v>
      </c>
      <c r="M19" s="2082" t="s">
        <v>398</v>
      </c>
      <c r="N19" s="2076">
        <f t="shared" si="0"/>
        <v>73628.537283246202</v>
      </c>
      <c r="O19" s="2077">
        <f t="shared" si="1"/>
        <v>56008.915085303881</v>
      </c>
      <c r="P19" s="2059">
        <f>INDEX('Inventory Report_5.4.2017'!$H$5:$V$603,MATCH('Casings et al'!J19,'Inventory Report_5.4.2017'!$B$5:$B$603,0),MATCH($P$2,'Inventory Report_5.4.2017'!$H$2:$V$2,0))</f>
        <v>0</v>
      </c>
      <c r="Q19" s="2059">
        <f>INDEX('Inventory Report_5.4.2017'!$H$5:$V$603,MATCH('Casings et al'!J19,'Inventory Report_5.4.2017'!$B$5:$B$603,0),MATCH($Q$2,'Inventory Report_5.4.2017'!$H$2:$V$2,0))</f>
        <v>54405.163594266814</v>
      </c>
      <c r="R19" s="2059">
        <f>INDEX('Inventory Report_5.4.2017'!$H$5:$V$603,MATCH('Casings et al'!J19,'Inventory Report_5.4.2017'!$B$5:$B$603,0),MATCH($R$2,'Inventory Report_5.4.2017'!$H$2:$V$2,0))</f>
        <v>56537.527391304349</v>
      </c>
      <c r="S19" s="2059">
        <f>INDEX('Inventory Report_5.4.2017'!$H$5:$V$603,MATCH('Casings et al'!J19,'Inventory Report_5.4.2017'!$B$5:$B$603,0),MATCH($S$2,'Inventory Report_5.4.2017'!$H$2:$V$2,0))</f>
        <v>56479.634615384617</v>
      </c>
      <c r="T19" s="2059">
        <f>INDEX('Inventory Report_5.4.2017'!$H$5:$V$603,MATCH('Casings et al'!J19,'Inventory Report_5.4.2017'!$B$5:$B$603,0),MATCH($T$2,'Inventory Report_5.4.2017'!$H$2:$V$2,0))</f>
        <v>56613.334740259743</v>
      </c>
      <c r="U19" s="1757">
        <f>INDEX('Inventory Report_5.4.2017'!$H$5:$V$603,MATCH('Casings et al'!D19,'Inventory Report_5.4.2017'!$B$5:$B$603,0),MATCH($U$2,'Inventory Report_5.4.2017'!$H$2:$V$2,0))</f>
        <v>0</v>
      </c>
      <c r="V19" s="1757">
        <f>INDEX('Inventory Report_5.4.2017'!$H$5:$V$603,MATCH('Casings et al'!D19,'Inventory Report_5.4.2017'!$B$5:$B$603,0),MATCH($V$2,'Inventory Report_5.4.2017'!$H$2:$V$2,0))</f>
        <v>66516.784897360703</v>
      </c>
      <c r="W19" s="1757">
        <f>INDEX('Inventory Report_5.4.2017'!$H$5:$V$603,MATCH('Casings et al'!D19,'Inventory Report_5.4.2017'!$B$5:$B$603,0),MATCH($W$2,'Inventory Report_5.4.2017'!$H$2:$V$2,0))</f>
        <v>67512.280322580642</v>
      </c>
      <c r="X19" s="1757">
        <f>INDEX('Inventory Report_5.4.2017'!$H$5:$V$603,MATCH('Casings et al'!D19,'Inventory Report_5.4.2017'!$B$5:$B$603,0),MATCH($X$2,'Inventory Report_5.4.2017'!$H$2:$V$2,0))</f>
        <v>76237.535913043481</v>
      </c>
      <c r="Y19" s="1757">
        <f>INDEX('Inventory Report_5.4.2017'!$H$5:$V$603,MATCH('Casings et al'!D19,'Inventory Report_5.4.2017'!$B$5:$B$603,0),MATCH($Y$2,'Inventory Report_5.4.2017'!$H$2:$V$2,0))</f>
        <v>84247.547999999995</v>
      </c>
      <c r="Z19" s="2072"/>
      <c r="AA19" s="2072"/>
      <c r="AB19" s="2072"/>
      <c r="AC19" s="2072"/>
      <c r="AD19" s="2072"/>
      <c r="AE19" s="2205">
        <f>SUMPRODUCT(AD8:AD18,AE8:AE18)</f>
        <v>103558.76999999999</v>
      </c>
      <c r="AF19" s="2072"/>
      <c r="AG19" s="2072"/>
      <c r="AH19" s="2072"/>
      <c r="AI19" s="2072"/>
      <c r="AJ19" s="2072"/>
      <c r="AK19" s="2072"/>
      <c r="AL19" s="2072"/>
      <c r="AM19" s="2072"/>
      <c r="AN19" s="2072"/>
      <c r="AO19" s="2072"/>
      <c r="AP19" s="2072"/>
      <c r="AQ19" s="2072"/>
      <c r="AR19" s="2072"/>
      <c r="AS19" s="2072"/>
      <c r="AT19" s="2072"/>
      <c r="AU19" s="2072"/>
    </row>
    <row r="20" spans="1:47" ht="15" x14ac:dyDescent="0.2">
      <c r="A20" s="2072"/>
      <c r="B20" s="2085">
        <v>13.375</v>
      </c>
      <c r="C20" s="2064" t="s">
        <v>2289</v>
      </c>
      <c r="D20" s="2064">
        <v>67983</v>
      </c>
      <c r="E20" s="2064">
        <v>1</v>
      </c>
      <c r="F20" s="2065">
        <f>IF(INDEX('Inventory Report_5.4.2017'!$H$5:$V$603,MATCH('Casings et al'!D20,'Inventory Report_5.4.2017'!$B$5:$B$603,0),MATCH(INPUT!$H$8,'Inventory Report_5.4.2017'!$H$2:$V$2,0))=0,N20,INDEX('Inventory Report_5.4.2017'!$H$5:$V$603,MATCH('Casings et al'!D20,'Inventory Report_5.4.2017'!$B$5:$B$603,0),MATCH(INPUT!$H$8,'Inventory Report_5.4.2017'!$H$2:$V$2,0)))</f>
        <v>42803.41</v>
      </c>
      <c r="G20" s="2086" t="s">
        <v>398</v>
      </c>
      <c r="H20" s="2094">
        <v>9.625</v>
      </c>
      <c r="I20" s="2064" t="s">
        <v>2447</v>
      </c>
      <c r="J20" s="2066">
        <v>67985</v>
      </c>
      <c r="K20" s="2066">
        <v>1</v>
      </c>
      <c r="L20" s="2069">
        <f>IF(INDEX('Inventory Report_5.4.2017'!$H$5:$V$603,MATCH('Casings et al'!J20,'Inventory Report_5.4.2017'!$B$5:$B$603,0),MATCH(INPUT!$H$8,'Inventory Report_5.4.2017'!$H$2:$V$2,0))=0,O20,INDEX('Inventory Report_5.4.2017'!$H$5:$V$603,MATCH('Casings et al'!J20,'Inventory Report_5.4.2017'!$B$5:$B$603,0),MATCH(INPUT!$H$8,'Inventory Report_5.4.2017'!$H$2:$V$2,0)))</f>
        <v>24569.559999999998</v>
      </c>
      <c r="M20" s="2082" t="s">
        <v>398</v>
      </c>
      <c r="N20" s="2076">
        <f t="shared" si="0"/>
        <v>43436.792499999996</v>
      </c>
      <c r="O20" s="2077">
        <f t="shared" si="1"/>
        <v>24569.559999999998</v>
      </c>
      <c r="P20" s="2059">
        <f>INDEX('Inventory Report_5.4.2017'!$H$5:$V$603,MATCH('Casings et al'!J20,'Inventory Report_5.4.2017'!$B$5:$B$603,0),MATCH($P$2,'Inventory Report_5.4.2017'!$H$2:$V$2,0))</f>
        <v>0</v>
      </c>
      <c r="Q20" s="2059">
        <f>INDEX('Inventory Report_5.4.2017'!$H$5:$V$603,MATCH('Casings et al'!J20,'Inventory Report_5.4.2017'!$B$5:$B$603,0),MATCH($Q$2,'Inventory Report_5.4.2017'!$H$2:$V$2,0))</f>
        <v>0</v>
      </c>
      <c r="R20" s="2059">
        <f>INDEX('Inventory Report_5.4.2017'!$H$5:$V$603,MATCH('Casings et al'!J20,'Inventory Report_5.4.2017'!$B$5:$B$603,0),MATCH($R$2,'Inventory Report_5.4.2017'!$H$2:$V$2,0))</f>
        <v>0</v>
      </c>
      <c r="S20" s="2059">
        <f>INDEX('Inventory Report_5.4.2017'!$H$5:$V$603,MATCH('Casings et al'!J20,'Inventory Report_5.4.2017'!$B$5:$B$603,0),MATCH($S$2,'Inventory Report_5.4.2017'!$H$2:$V$2,0))</f>
        <v>0</v>
      </c>
      <c r="T20" s="2059">
        <f>INDEX('Inventory Report_5.4.2017'!$H$5:$V$603,MATCH('Casings et al'!J20,'Inventory Report_5.4.2017'!$B$5:$B$603,0),MATCH($T$2,'Inventory Report_5.4.2017'!$H$2:$V$2,0))</f>
        <v>24569.559999999998</v>
      </c>
      <c r="U20" s="1757">
        <f>INDEX('Inventory Report_5.4.2017'!$H$5:$V$603,MATCH('Casings et al'!D20,'Inventory Report_5.4.2017'!$B$5:$B$603,0),MATCH($U$2,'Inventory Report_5.4.2017'!$H$2:$V$2,0))</f>
        <v>44452.7</v>
      </c>
      <c r="V20" s="1757">
        <f>INDEX('Inventory Report_5.4.2017'!$H$5:$V$603,MATCH('Casings et al'!D20,'Inventory Report_5.4.2017'!$B$5:$B$603,0),MATCH($V$2,'Inventory Report_5.4.2017'!$H$2:$V$2,0))</f>
        <v>0</v>
      </c>
      <c r="W20" s="1757">
        <f>INDEX('Inventory Report_5.4.2017'!$H$5:$V$603,MATCH('Casings et al'!D20,'Inventory Report_5.4.2017'!$B$5:$B$603,0),MATCH($W$2,'Inventory Report_5.4.2017'!$H$2:$V$2,0))</f>
        <v>42803.41</v>
      </c>
      <c r="X20" s="1757">
        <f>INDEX('Inventory Report_5.4.2017'!$H$5:$V$603,MATCH('Casings et al'!D20,'Inventory Report_5.4.2017'!$B$5:$B$603,0),MATCH($X$2,'Inventory Report_5.4.2017'!$H$2:$V$2,0))</f>
        <v>43245.53</v>
      </c>
      <c r="Y20" s="1757">
        <f>INDEX('Inventory Report_5.4.2017'!$H$5:$V$603,MATCH('Casings et al'!D20,'Inventory Report_5.4.2017'!$B$5:$B$603,0),MATCH($Y$2,'Inventory Report_5.4.2017'!$H$2:$V$2,0))</f>
        <v>43245.53</v>
      </c>
      <c r="Z20" s="2072"/>
      <c r="AA20" s="2072"/>
      <c r="AB20" s="2072"/>
      <c r="AC20" s="2072"/>
      <c r="AD20" s="2072"/>
      <c r="AE20" s="2072"/>
      <c r="AF20" s="2072"/>
      <c r="AG20" s="2072"/>
      <c r="AH20" s="2072"/>
      <c r="AI20" s="2072"/>
      <c r="AJ20" s="2072"/>
      <c r="AK20" s="2072"/>
      <c r="AL20" s="2072"/>
      <c r="AM20" s="2072"/>
      <c r="AN20" s="2072"/>
      <c r="AO20" s="2072"/>
      <c r="AP20" s="2072"/>
      <c r="AQ20" s="2072"/>
      <c r="AR20" s="2072"/>
      <c r="AS20" s="2072"/>
      <c r="AT20" s="2072"/>
      <c r="AU20" s="2072"/>
    </row>
    <row r="21" spans="1:47" ht="15" x14ac:dyDescent="0.2">
      <c r="A21" s="2072"/>
      <c r="B21" s="2085">
        <v>13.375</v>
      </c>
      <c r="C21" s="2064" t="s">
        <v>2290</v>
      </c>
      <c r="D21" s="2064">
        <v>67984</v>
      </c>
      <c r="E21" s="2064">
        <v>1</v>
      </c>
      <c r="F21" s="2065">
        <f>IF(INDEX('Inventory Report_5.4.2017'!$H$5:$V$603,MATCH('Casings et al'!D21,'Inventory Report_5.4.2017'!$B$5:$B$603,0),MATCH(INPUT!$H$8,'Inventory Report_5.4.2017'!$H$2:$V$2,0))=0,N21,INDEX('Inventory Report_5.4.2017'!$H$5:$V$603,MATCH('Casings et al'!D21,'Inventory Report_5.4.2017'!$B$5:$B$603,0),MATCH(INPUT!$H$8,'Inventory Report_5.4.2017'!$H$2:$V$2,0)))</f>
        <v>56565.922222222223</v>
      </c>
      <c r="G21" s="2086" t="s">
        <v>398</v>
      </c>
      <c r="H21" s="2094">
        <v>9.625</v>
      </c>
      <c r="I21" s="2064" t="s">
        <v>2448</v>
      </c>
      <c r="J21" s="2066">
        <v>67986</v>
      </c>
      <c r="K21" s="2066">
        <v>1</v>
      </c>
      <c r="L21" s="2069">
        <f>IF(INDEX('Inventory Report_5.4.2017'!$H$5:$V$603,MATCH('Casings et al'!J21,'Inventory Report_5.4.2017'!$B$5:$B$603,0),MATCH(INPUT!$H$8,'Inventory Report_5.4.2017'!$H$2:$V$2,0))=0,O21,INDEX('Inventory Report_5.4.2017'!$H$5:$V$603,MATCH('Casings et al'!J21,'Inventory Report_5.4.2017'!$B$5:$B$603,0),MATCH(INPUT!$H$8,'Inventory Report_5.4.2017'!$H$2:$V$2,0)))</f>
        <v>32231.13625</v>
      </c>
      <c r="M21" s="2082" t="s">
        <v>398</v>
      </c>
      <c r="N21" s="2076">
        <f t="shared" si="0"/>
        <v>56565.922222222223</v>
      </c>
      <c r="O21" s="2077">
        <f t="shared" si="1"/>
        <v>32455.821041666666</v>
      </c>
      <c r="P21" s="2059">
        <f>INDEX('Inventory Report_5.4.2017'!$H$5:$V$603,MATCH('Casings et al'!J21,'Inventory Report_5.4.2017'!$B$5:$B$603,0),MATCH($P$2,'Inventory Report_5.4.2017'!$H$2:$V$2,0))</f>
        <v>33129.878750000003</v>
      </c>
      <c r="Q21" s="2059">
        <f>INDEX('Inventory Report_5.4.2017'!$H$5:$V$603,MATCH('Casings et al'!J21,'Inventory Report_5.4.2017'!$B$5:$B$603,0),MATCH($Q$2,'Inventory Report_5.4.2017'!$H$2:$V$2,0))</f>
        <v>0</v>
      </c>
      <c r="R21" s="2059">
        <f>INDEX('Inventory Report_5.4.2017'!$H$5:$V$603,MATCH('Casings et al'!J21,'Inventory Report_5.4.2017'!$B$5:$B$603,0),MATCH($R$2,'Inventory Report_5.4.2017'!$H$2:$V$2,0))</f>
        <v>32231.13625</v>
      </c>
      <c r="S21" s="2059">
        <f>INDEX('Inventory Report_5.4.2017'!$H$5:$V$603,MATCH('Casings et al'!J21,'Inventory Report_5.4.2017'!$B$5:$B$603,0),MATCH($S$2,'Inventory Report_5.4.2017'!$H$2:$V$2,0))</f>
        <v>32604.932499999999</v>
      </c>
      <c r="T21" s="2059">
        <f>INDEX('Inventory Report_5.4.2017'!$H$5:$V$603,MATCH('Casings et al'!J21,'Inventory Report_5.4.2017'!$B$5:$B$603,0),MATCH($T$2,'Inventory Report_5.4.2017'!$H$2:$V$2,0))</f>
        <v>31857.336666666666</v>
      </c>
      <c r="U21" s="1757">
        <f>INDEX('Inventory Report_5.4.2017'!$H$5:$V$603,MATCH('Casings et al'!D21,'Inventory Report_5.4.2017'!$B$5:$B$603,0),MATCH($U$2,'Inventory Report_5.4.2017'!$H$2:$V$2,0))</f>
        <v>64536.883333333331</v>
      </c>
      <c r="V21" s="1757">
        <f>INDEX('Inventory Report_5.4.2017'!$H$5:$V$603,MATCH('Casings et al'!D21,'Inventory Report_5.4.2017'!$B$5:$B$603,0),MATCH($V$2,'Inventory Report_5.4.2017'!$H$2:$V$2,0))</f>
        <v>0</v>
      </c>
      <c r="W21" s="1757">
        <f>INDEX('Inventory Report_5.4.2017'!$H$5:$V$603,MATCH('Casings et al'!D21,'Inventory Report_5.4.2017'!$B$5:$B$603,0),MATCH($W$2,'Inventory Report_5.4.2017'!$H$2:$V$2,0))</f>
        <v>0</v>
      </c>
      <c r="X21" s="1757">
        <f>INDEX('Inventory Report_5.4.2017'!$H$5:$V$603,MATCH('Casings et al'!D21,'Inventory Report_5.4.2017'!$B$5:$B$603,0),MATCH($X$2,'Inventory Report_5.4.2017'!$H$2:$V$2,0))</f>
        <v>53930.356666666667</v>
      </c>
      <c r="Y21" s="1757">
        <f>INDEX('Inventory Report_5.4.2017'!$H$5:$V$603,MATCH('Casings et al'!D21,'Inventory Report_5.4.2017'!$B$5:$B$603,0),MATCH($Y$2,'Inventory Report_5.4.2017'!$H$2:$V$2,0))</f>
        <v>51230.526666666665</v>
      </c>
      <c r="Z21" s="2072"/>
      <c r="AA21" s="2072"/>
      <c r="AB21" s="2072"/>
      <c r="AC21" s="2072"/>
      <c r="AD21" s="2072"/>
      <c r="AE21" s="2072"/>
      <c r="AF21" s="2072"/>
      <c r="AG21" s="2072"/>
      <c r="AH21" s="2072"/>
      <c r="AI21" s="2072"/>
      <c r="AJ21" s="2072"/>
      <c r="AK21" s="2072"/>
      <c r="AL21" s="2072"/>
      <c r="AM21" s="2072"/>
      <c r="AN21" s="2072"/>
      <c r="AO21" s="2072"/>
      <c r="AP21" s="2072"/>
      <c r="AQ21" s="2072"/>
      <c r="AR21" s="2072"/>
      <c r="AS21" s="2072"/>
      <c r="AT21" s="2072"/>
      <c r="AU21" s="2072"/>
    </row>
    <row r="22" spans="1:47" ht="27" x14ac:dyDescent="0.2">
      <c r="A22" s="2072"/>
      <c r="B22" s="2085">
        <v>13.375</v>
      </c>
      <c r="C22" s="2067" t="s">
        <v>2294</v>
      </c>
      <c r="D22" s="2064">
        <v>15176</v>
      </c>
      <c r="E22" s="2064">
        <v>1</v>
      </c>
      <c r="F22" s="2065">
        <f>IF(INDEX('Inventory Report_5.4.2017'!$H$5:$V$603,MATCH('Casings et al'!D22,'Inventory Report_5.4.2017'!$B$5:$B$603,0),MATCH(INPUT!$H$8,'Inventory Report_5.4.2017'!$H$2:$V$2,0))=0,N22,INDEX('Inventory Report_5.4.2017'!$H$5:$V$603,MATCH('Casings et al'!D22,'Inventory Report_5.4.2017'!$B$5:$B$603,0),MATCH(INPUT!$H$8,'Inventory Report_5.4.2017'!$H$2:$V$2,0)))</f>
        <v>1981112.88</v>
      </c>
      <c r="G22" s="2086" t="s">
        <v>398</v>
      </c>
      <c r="H22" s="2094">
        <v>9.625</v>
      </c>
      <c r="I22" s="2071" t="s">
        <v>2417</v>
      </c>
      <c r="J22" s="2066">
        <v>15174</v>
      </c>
      <c r="K22" s="2066">
        <v>1</v>
      </c>
      <c r="L22" s="2069">
        <f>IF(INDEX('Inventory Report_5.4.2017'!$H$5:$V$603,MATCH('Casings et al'!J22,'Inventory Report_5.4.2017'!$B$5:$B$603,0),MATCH(INPUT!$H$8,'Inventory Report_5.4.2017'!$H$2:$V$2,0))=0,O22,INDEX('Inventory Report_5.4.2017'!$H$5:$V$603,MATCH('Casings et al'!J22,'Inventory Report_5.4.2017'!$B$5:$B$603,0),MATCH(INPUT!$H$8,'Inventory Report_5.4.2017'!$H$2:$V$2,0)))</f>
        <v>813684.59</v>
      </c>
      <c r="M22" s="2082" t="s">
        <v>398</v>
      </c>
      <c r="N22" s="2076">
        <f t="shared" si="0"/>
        <v>2013422.5566666666</v>
      </c>
      <c r="O22" s="2077">
        <f t="shared" si="1"/>
        <v>915234.80666666664</v>
      </c>
      <c r="P22" s="2059">
        <f>INDEX('Inventory Report_5.4.2017'!$H$5:$V$603,MATCH('Casings et al'!J22,'Inventory Report_5.4.2017'!$B$5:$B$603,0),MATCH($P$2,'Inventory Report_5.4.2017'!$H$2:$V$2,0))</f>
        <v>966821.35</v>
      </c>
      <c r="Q22" s="2059">
        <f>INDEX('Inventory Report_5.4.2017'!$H$5:$V$603,MATCH('Casings et al'!J22,'Inventory Report_5.4.2017'!$B$5:$B$603,0),MATCH($Q$2,'Inventory Report_5.4.2017'!$H$2:$V$2,0))</f>
        <v>0</v>
      </c>
      <c r="R22" s="2059">
        <f>INDEX('Inventory Report_5.4.2017'!$H$5:$V$603,MATCH('Casings et al'!J22,'Inventory Report_5.4.2017'!$B$5:$B$603,0),MATCH($R$2,'Inventory Report_5.4.2017'!$H$2:$V$2,0))</f>
        <v>813684.59</v>
      </c>
      <c r="S22" s="2059">
        <f>INDEX('Inventory Report_5.4.2017'!$H$5:$V$603,MATCH('Casings et al'!J22,'Inventory Report_5.4.2017'!$B$5:$B$603,0),MATCH($S$2,'Inventory Report_5.4.2017'!$H$2:$V$2,0))</f>
        <v>0</v>
      </c>
      <c r="T22" s="2059">
        <f>INDEX('Inventory Report_5.4.2017'!$H$5:$V$603,MATCH('Casings et al'!J22,'Inventory Report_5.4.2017'!$B$5:$B$603,0),MATCH($T$2,'Inventory Report_5.4.2017'!$H$2:$V$2,0))</f>
        <v>965198.48</v>
      </c>
      <c r="U22" s="1757">
        <f>INDEX('Inventory Report_5.4.2017'!$H$5:$V$603,MATCH('Casings et al'!D22,'Inventory Report_5.4.2017'!$B$5:$B$603,0),MATCH($U$2,'Inventory Report_5.4.2017'!$H$2:$V$2,0))</f>
        <v>0</v>
      </c>
      <c r="V22" s="1757">
        <f>INDEX('Inventory Report_5.4.2017'!$H$5:$V$603,MATCH('Casings et al'!D22,'Inventory Report_5.4.2017'!$B$5:$B$603,0),MATCH($V$2,'Inventory Report_5.4.2017'!$H$2:$V$2,0))</f>
        <v>0</v>
      </c>
      <c r="W22" s="1757">
        <f>INDEX('Inventory Report_5.4.2017'!$H$5:$V$603,MATCH('Casings et al'!D22,'Inventory Report_5.4.2017'!$B$5:$B$603,0),MATCH($W$2,'Inventory Report_5.4.2017'!$H$2:$V$2,0))</f>
        <v>1981112.88</v>
      </c>
      <c r="X22" s="1757">
        <f>INDEX('Inventory Report_5.4.2017'!$H$5:$V$603,MATCH('Casings et al'!D22,'Inventory Report_5.4.2017'!$B$5:$B$603,0),MATCH($X$2,'Inventory Report_5.4.2017'!$H$2:$V$2,0))</f>
        <v>2045732.2333333334</v>
      </c>
      <c r="Y22" s="1757">
        <f>INDEX('Inventory Report_5.4.2017'!$H$5:$V$603,MATCH('Casings et al'!D22,'Inventory Report_5.4.2017'!$B$5:$B$603,0),MATCH($Y$2,'Inventory Report_5.4.2017'!$H$2:$V$2,0))</f>
        <v>0</v>
      </c>
      <c r="Z22" s="2072"/>
      <c r="AA22" s="2072"/>
      <c r="AB22" s="2072"/>
      <c r="AC22" s="2072"/>
      <c r="AD22" s="2072"/>
      <c r="AE22" s="2072"/>
      <c r="AF22" s="2072"/>
      <c r="AG22" s="2072"/>
      <c r="AH22" s="2072"/>
      <c r="AI22" s="2072"/>
      <c r="AJ22" s="2072"/>
      <c r="AK22" s="2072"/>
      <c r="AL22" s="2072"/>
      <c r="AM22" s="2072"/>
      <c r="AN22" s="2072"/>
      <c r="AO22" s="2072"/>
      <c r="AP22" s="2072"/>
      <c r="AQ22" s="2072"/>
      <c r="AR22" s="2072"/>
      <c r="AS22" s="2072"/>
      <c r="AT22" s="2072"/>
      <c r="AU22" s="2072"/>
    </row>
    <row r="23" spans="1:47" ht="15" x14ac:dyDescent="0.2">
      <c r="A23" s="2072"/>
      <c r="B23" s="2085">
        <v>13.375</v>
      </c>
      <c r="C23" s="2064" t="s">
        <v>2292</v>
      </c>
      <c r="D23" s="2064">
        <v>10173</v>
      </c>
      <c r="E23" s="2064">
        <f>ROUNDUP($E$10/3,0)+2</f>
        <v>20</v>
      </c>
      <c r="F23" s="2065">
        <f>IF(INDEX('Inventory Report_5.4.2017'!$H$5:$V$603,MATCH('Casings et al'!D23,'Inventory Report_5.4.2017'!$B$5:$B$603,0),MATCH(INPUT!$H$8,'Inventory Report_5.4.2017'!$H$2:$V$2,0))=0,N23,INDEX('Inventory Report_5.4.2017'!$H$5:$V$603,MATCH('Casings et al'!D23,'Inventory Report_5.4.2017'!$B$5:$B$603,0),MATCH(INPUT!$H$8,'Inventory Report_5.4.2017'!$H$2:$V$2,0)))</f>
        <v>4273.67</v>
      </c>
      <c r="G23" s="2086" t="s">
        <v>398</v>
      </c>
      <c r="H23" s="2094">
        <v>9.625</v>
      </c>
      <c r="I23" s="2064" t="s">
        <v>2450</v>
      </c>
      <c r="J23" s="2066">
        <v>10174</v>
      </c>
      <c r="K23" s="2066">
        <f>ROUNDUP($K$10/3,0)+2</f>
        <v>20</v>
      </c>
      <c r="L23" s="2069">
        <f>IF(INDEX('Inventory Report_5.4.2017'!$H$5:$V$603,MATCH('Casings et al'!J23,'Inventory Report_5.4.2017'!$B$5:$B$603,0),MATCH(INPUT!$H$8,'Inventory Report_5.4.2017'!$H$2:$V$2,0))=0,O23,INDEX('Inventory Report_5.4.2017'!$H$5:$V$603,MATCH('Casings et al'!J23,'Inventory Report_5.4.2017'!$B$5:$B$603,0),MATCH(INPUT!$H$8,'Inventory Report_5.4.2017'!$H$2:$V$2,0)))</f>
        <v>4051.57</v>
      </c>
      <c r="M23" s="2082" t="s">
        <v>398</v>
      </c>
      <c r="N23" s="2076">
        <f t="shared" si="0"/>
        <v>7053.6363141025649</v>
      </c>
      <c r="O23" s="2077">
        <f t="shared" si="1"/>
        <v>4051.57</v>
      </c>
      <c r="P23" s="2059">
        <f>INDEX('Inventory Report_5.4.2017'!$H$5:$V$603,MATCH('Casings et al'!J23,'Inventory Report_5.4.2017'!$B$5:$B$603,0),MATCH($P$2,'Inventory Report_5.4.2017'!$H$2:$V$2,0))</f>
        <v>4051.57</v>
      </c>
      <c r="Q23" s="2059">
        <f>INDEX('Inventory Report_5.4.2017'!$H$5:$V$603,MATCH('Casings et al'!J23,'Inventory Report_5.4.2017'!$B$5:$B$603,0),MATCH($Q$2,'Inventory Report_5.4.2017'!$H$2:$V$2,0))</f>
        <v>0</v>
      </c>
      <c r="R23" s="2059">
        <f>INDEX('Inventory Report_5.4.2017'!$H$5:$V$603,MATCH('Casings et al'!J23,'Inventory Report_5.4.2017'!$B$5:$B$603,0),MATCH($R$2,'Inventory Report_5.4.2017'!$H$2:$V$2,0))</f>
        <v>0</v>
      </c>
      <c r="S23" s="2059">
        <f>INDEX('Inventory Report_5.4.2017'!$H$5:$V$603,MATCH('Casings et al'!J23,'Inventory Report_5.4.2017'!$B$5:$B$603,0),MATCH($S$2,'Inventory Report_5.4.2017'!$H$2:$V$2,0))</f>
        <v>0</v>
      </c>
      <c r="T23" s="2059">
        <f>INDEX('Inventory Report_5.4.2017'!$H$5:$V$603,MATCH('Casings et al'!J23,'Inventory Report_5.4.2017'!$B$5:$B$603,0),MATCH($T$2,'Inventory Report_5.4.2017'!$H$2:$V$2,0))</f>
        <v>0</v>
      </c>
      <c r="U23" s="1757">
        <f>INDEX('Inventory Report_5.4.2017'!$H$5:$V$603,MATCH('Casings et al'!D23,'Inventory Report_5.4.2017'!$B$5:$B$603,0),MATCH($U$2,'Inventory Report_5.4.2017'!$H$2:$V$2,0))</f>
        <v>0</v>
      </c>
      <c r="V23" s="1757">
        <f>INDEX('Inventory Report_5.4.2017'!$H$5:$V$603,MATCH('Casings et al'!D23,'Inventory Report_5.4.2017'!$B$5:$B$603,0),MATCH($V$2,'Inventory Report_5.4.2017'!$H$2:$V$2,0))</f>
        <v>6764.9902564102567</v>
      </c>
      <c r="W23" s="1757">
        <f>INDEX('Inventory Report_5.4.2017'!$H$5:$V$603,MATCH('Casings et al'!D23,'Inventory Report_5.4.2017'!$B$5:$B$603,0),MATCH($W$2,'Inventory Report_5.4.2017'!$H$2:$V$2,0))</f>
        <v>4273.67</v>
      </c>
      <c r="X23" s="1757">
        <f>INDEX('Inventory Report_5.4.2017'!$H$5:$V$603,MATCH('Casings et al'!D23,'Inventory Report_5.4.2017'!$B$5:$B$603,0),MATCH($X$2,'Inventory Report_5.4.2017'!$H$2:$V$2,0))</f>
        <v>4299.3850000000002</v>
      </c>
      <c r="Y23" s="1757">
        <f>INDEX('Inventory Report_5.4.2017'!$H$5:$V$603,MATCH('Casings et al'!D23,'Inventory Report_5.4.2017'!$B$5:$B$603,0),MATCH($Y$2,'Inventory Report_5.4.2017'!$H$2:$V$2,0))</f>
        <v>12876.5</v>
      </c>
      <c r="Z23" s="2072"/>
      <c r="AA23" s="2072"/>
      <c r="AB23" s="2072"/>
      <c r="AC23" s="2072"/>
      <c r="AD23" s="2072"/>
      <c r="AE23" s="2072"/>
      <c r="AF23" s="2072"/>
      <c r="AG23" s="2072"/>
      <c r="AH23" s="2072"/>
      <c r="AI23" s="2072"/>
      <c r="AJ23" s="2072"/>
      <c r="AK23" s="2072"/>
      <c r="AL23" s="2072"/>
      <c r="AM23" s="2072"/>
      <c r="AN23" s="2072"/>
      <c r="AO23" s="2072"/>
      <c r="AP23" s="2072"/>
      <c r="AQ23" s="2072"/>
      <c r="AR23" s="2072"/>
      <c r="AS23" s="2072"/>
      <c r="AT23" s="2072"/>
      <c r="AU23" s="2072"/>
    </row>
    <row r="24" spans="1:47" ht="15" x14ac:dyDescent="0.2">
      <c r="A24" s="2072"/>
      <c r="B24" s="2085">
        <v>13.375</v>
      </c>
      <c r="C24" s="2064" t="s">
        <v>2291</v>
      </c>
      <c r="D24" s="2064">
        <v>10172</v>
      </c>
      <c r="E24" s="2064">
        <f>ROUNDUP(($E$19-$E$10)/3,0)+3</f>
        <v>24</v>
      </c>
      <c r="F24" s="2065">
        <f>IF(INDEX('Inventory Report_5.4.2017'!$H$5:$V$603,MATCH('Casings et al'!D24,'Inventory Report_5.4.2017'!$B$5:$B$603,0),MATCH(INPUT!$H$8,'Inventory Report_5.4.2017'!$H$2:$V$2,0))=0,N24,INDEX('Inventory Report_5.4.2017'!$H$5:$V$603,MATCH('Casings et al'!D24,'Inventory Report_5.4.2017'!$B$5:$B$603,0),MATCH(INPUT!$H$8,'Inventory Report_5.4.2017'!$H$2:$V$2,0)))</f>
        <v>3053.2036363636362</v>
      </c>
      <c r="G24" s="2086" t="s">
        <v>398</v>
      </c>
      <c r="H24" s="2094">
        <v>9.625</v>
      </c>
      <c r="I24" s="2064" t="s">
        <v>2449</v>
      </c>
      <c r="J24" s="2066">
        <v>10176</v>
      </c>
      <c r="K24" s="2066">
        <f>ROUNDUP(($K$19-$K$10)/3,0)+3</f>
        <v>24</v>
      </c>
      <c r="L24" s="2069">
        <f>IF(INDEX('Inventory Report_5.4.2017'!$H$5:$V$603,MATCH('Casings et al'!J24,'Inventory Report_5.4.2017'!$B$5:$B$603,0),MATCH(INPUT!$H$8,'Inventory Report_5.4.2017'!$H$2:$V$2,0))=0,O24,INDEX('Inventory Report_5.4.2017'!$H$5:$V$603,MATCH('Casings et al'!J24,'Inventory Report_5.4.2017'!$B$5:$B$603,0),MATCH(INPUT!$H$8,'Inventory Report_5.4.2017'!$H$2:$V$2,0)))</f>
        <v>1364.7312817412335</v>
      </c>
      <c r="M24" s="2082" t="s">
        <v>398</v>
      </c>
      <c r="N24" s="2076">
        <f t="shared" si="0"/>
        <v>3057.8552563131311</v>
      </c>
      <c r="O24" s="2077">
        <f t="shared" si="1"/>
        <v>1354.0145806862313</v>
      </c>
      <c r="P24" s="2059">
        <f>INDEX('Inventory Report_5.4.2017'!$H$5:$V$603,MATCH('Casings et al'!J24,'Inventory Report_5.4.2017'!$B$5:$B$603,0),MATCH($P$2,'Inventory Report_5.4.2017'!$H$2:$V$2,0))</f>
        <v>0</v>
      </c>
      <c r="Q24" s="2059">
        <f>INDEX('Inventory Report_5.4.2017'!$H$5:$V$603,MATCH('Casings et al'!J24,'Inventory Report_5.4.2017'!$B$5:$B$603,0),MATCH($Q$2,'Inventory Report_5.4.2017'!$H$2:$V$2,0))</f>
        <v>1356.4824603174604</v>
      </c>
      <c r="R24" s="2059">
        <f>INDEX('Inventory Report_5.4.2017'!$H$5:$V$603,MATCH('Casings et al'!J24,'Inventory Report_5.4.2017'!$B$5:$B$603,0),MATCH($R$2,'Inventory Report_5.4.2017'!$H$2:$V$2,0))</f>
        <v>1364.7312817412335</v>
      </c>
      <c r="S24" s="2059">
        <f>INDEX('Inventory Report_5.4.2017'!$H$5:$V$603,MATCH('Casings et al'!J24,'Inventory Report_5.4.2017'!$B$5:$B$603,0),MATCH($S$2,'Inventory Report_5.4.2017'!$H$2:$V$2,0))</f>
        <v>1340.83</v>
      </c>
      <c r="T24" s="2059">
        <f>INDEX('Inventory Report_5.4.2017'!$H$5:$V$603,MATCH('Casings et al'!J24,'Inventory Report_5.4.2017'!$B$5:$B$603,0),MATCH($T$2,'Inventory Report_5.4.2017'!$H$2:$V$2,0))</f>
        <v>0</v>
      </c>
      <c r="U24" s="1757">
        <f>INDEX('Inventory Report_5.4.2017'!$H$5:$V$603,MATCH('Casings et al'!D24,'Inventory Report_5.4.2017'!$B$5:$B$603,0),MATCH($U$2,'Inventory Report_5.4.2017'!$H$2:$V$2,0))</f>
        <v>0</v>
      </c>
      <c r="V24" s="1757">
        <f>INDEX('Inventory Report_5.4.2017'!$H$5:$V$603,MATCH('Casings et al'!D24,'Inventory Report_5.4.2017'!$B$5:$B$603,0),MATCH($V$2,'Inventory Report_5.4.2017'!$H$2:$V$2,0))</f>
        <v>3105.1151666666669</v>
      </c>
      <c r="W24" s="1757">
        <f>INDEX('Inventory Report_5.4.2017'!$H$5:$V$603,MATCH('Casings et al'!D24,'Inventory Report_5.4.2017'!$B$5:$B$603,0),MATCH($W$2,'Inventory Report_5.4.2017'!$H$2:$V$2,0))</f>
        <v>3053.2036363636362</v>
      </c>
      <c r="X24" s="1757">
        <f>INDEX('Inventory Report_5.4.2017'!$H$5:$V$603,MATCH('Casings et al'!D24,'Inventory Report_5.4.2017'!$B$5:$B$603,0),MATCH($X$2,'Inventory Report_5.4.2017'!$H$2:$V$2,0))</f>
        <v>3053.2022222222222</v>
      </c>
      <c r="Y24" s="1757">
        <f>INDEX('Inventory Report_5.4.2017'!$H$5:$V$603,MATCH('Casings et al'!D24,'Inventory Report_5.4.2017'!$B$5:$B$603,0),MATCH($Y$2,'Inventory Report_5.4.2017'!$H$2:$V$2,0))</f>
        <v>3019.9</v>
      </c>
      <c r="Z24" s="2072"/>
      <c r="AA24" s="2072"/>
      <c r="AB24" s="2072"/>
      <c r="AC24" s="2072"/>
      <c r="AD24" s="2072"/>
      <c r="AE24" s="2072"/>
      <c r="AF24" s="2072"/>
      <c r="AG24" s="2072"/>
      <c r="AH24" s="2072"/>
      <c r="AI24" s="2072"/>
      <c r="AJ24" s="2072"/>
      <c r="AK24" s="2072"/>
      <c r="AL24" s="2072"/>
      <c r="AM24" s="2072"/>
      <c r="AN24" s="2072"/>
      <c r="AO24" s="2072"/>
      <c r="AP24" s="2072"/>
      <c r="AQ24" s="2072"/>
      <c r="AR24" s="2072"/>
      <c r="AS24" s="2072"/>
      <c r="AT24" s="2072"/>
      <c r="AU24" s="2072"/>
    </row>
    <row r="25" spans="1:47" ht="15" x14ac:dyDescent="0.2">
      <c r="A25" s="2072"/>
      <c r="B25" s="2085">
        <v>13.375</v>
      </c>
      <c r="C25" s="2064" t="s">
        <v>2293</v>
      </c>
      <c r="D25" s="2064">
        <v>8715</v>
      </c>
      <c r="E25" s="2064">
        <v>2</v>
      </c>
      <c r="F25" s="2065">
        <f>IF(INDEX('Inventory Report_5.4.2017'!$H$5:$V$603,MATCH('Casings et al'!D25,'Inventory Report_5.4.2017'!$B$5:$B$603,0),MATCH(INPUT!$H$8,'Inventory Report_5.4.2017'!$H$2:$V$2,0))=0,N25,INDEX('Inventory Report_5.4.2017'!$H$5:$V$603,MATCH('Casings et al'!D25,'Inventory Report_5.4.2017'!$B$5:$B$603,0),MATCH(INPUT!$H$8,'Inventory Report_5.4.2017'!$H$2:$V$2,0)))</f>
        <v>11634.460000000001</v>
      </c>
      <c r="G25" s="2086" t="s">
        <v>398</v>
      </c>
      <c r="H25" s="2094">
        <v>9.625</v>
      </c>
      <c r="I25" s="2064" t="s">
        <v>2451</v>
      </c>
      <c r="J25" s="2066">
        <v>8714</v>
      </c>
      <c r="K25" s="2066">
        <v>2</v>
      </c>
      <c r="L25" s="2069">
        <f>IF(INDEX('Inventory Report_5.4.2017'!$H$5:$V$603,MATCH('Casings et al'!J25,'Inventory Report_5.4.2017'!$B$5:$B$603,0),MATCH(INPUT!$H$8,'Inventory Report_5.4.2017'!$H$2:$V$2,0))=0,O25,INDEX('Inventory Report_5.4.2017'!$H$5:$V$603,MATCH('Casings et al'!J25,'Inventory Report_5.4.2017'!$B$5:$B$603,0),MATCH(INPUT!$H$8,'Inventory Report_5.4.2017'!$H$2:$V$2,0)))</f>
        <v>11716.632000000001</v>
      </c>
      <c r="M25" s="2082" t="s">
        <v>398</v>
      </c>
      <c r="N25" s="2076">
        <f t="shared" si="0"/>
        <v>12037.867321937321</v>
      </c>
      <c r="O25" s="2077">
        <f t="shared" si="1"/>
        <v>9946.3594969696969</v>
      </c>
      <c r="P25" s="2059">
        <f>INDEX('Inventory Report_5.4.2017'!$H$5:$V$603,MATCH('Casings et al'!J25,'Inventory Report_5.4.2017'!$B$5:$B$603,0),MATCH($P$2,'Inventory Report_5.4.2017'!$H$2:$V$2,0))</f>
        <v>13403.732</v>
      </c>
      <c r="Q25" s="2059">
        <f>INDEX('Inventory Report_5.4.2017'!$H$5:$V$603,MATCH('Casings et al'!J25,'Inventory Report_5.4.2017'!$B$5:$B$603,0),MATCH($Q$2,'Inventory Report_5.4.2017'!$H$2:$V$2,0))</f>
        <v>8203.8118181818172</v>
      </c>
      <c r="R25" s="2059">
        <f>INDEX('Inventory Report_5.4.2017'!$H$5:$V$603,MATCH('Casings et al'!J25,'Inventory Report_5.4.2017'!$B$5:$B$603,0),MATCH($R$2,'Inventory Report_5.4.2017'!$H$2:$V$2,0))</f>
        <v>11716.632000000001</v>
      </c>
      <c r="S25" s="2059">
        <f>INDEX('Inventory Report_5.4.2017'!$H$5:$V$603,MATCH('Casings et al'!J25,'Inventory Report_5.4.2017'!$B$5:$B$603,0),MATCH($S$2,'Inventory Report_5.4.2017'!$H$2:$V$2,0))</f>
        <v>8203.8116666666665</v>
      </c>
      <c r="T25" s="2059">
        <f>INDEX('Inventory Report_5.4.2017'!$H$5:$V$603,MATCH('Casings et al'!J25,'Inventory Report_5.4.2017'!$B$5:$B$603,0),MATCH($T$2,'Inventory Report_5.4.2017'!$H$2:$V$2,0))</f>
        <v>8203.81</v>
      </c>
      <c r="U25" s="1757">
        <f>INDEX('Inventory Report_5.4.2017'!$H$5:$V$603,MATCH('Casings et al'!D25,'Inventory Report_5.4.2017'!$B$5:$B$603,0),MATCH($U$2,'Inventory Report_5.4.2017'!$H$2:$V$2,0))</f>
        <v>0</v>
      </c>
      <c r="V25" s="1757">
        <f>INDEX('Inventory Report_5.4.2017'!$H$5:$V$603,MATCH('Casings et al'!D25,'Inventory Report_5.4.2017'!$B$5:$B$603,0),MATCH($V$2,'Inventory Report_5.4.2017'!$H$2:$V$2,0))</f>
        <v>0</v>
      </c>
      <c r="W25" s="1757">
        <f>INDEX('Inventory Report_5.4.2017'!$H$5:$V$603,MATCH('Casings et al'!D25,'Inventory Report_5.4.2017'!$B$5:$B$603,0),MATCH($W$2,'Inventory Report_5.4.2017'!$H$2:$V$2,0))</f>
        <v>11634.460000000001</v>
      </c>
      <c r="X25" s="1757">
        <f>INDEX('Inventory Report_5.4.2017'!$H$5:$V$603,MATCH('Casings et al'!D25,'Inventory Report_5.4.2017'!$B$5:$B$603,0),MATCH($X$2,'Inventory Report_5.4.2017'!$H$2:$V$2,0))</f>
        <v>12580.308888888889</v>
      </c>
      <c r="Y25" s="1757">
        <f>INDEX('Inventory Report_5.4.2017'!$H$5:$V$603,MATCH('Casings et al'!D25,'Inventory Report_5.4.2017'!$B$5:$B$603,0),MATCH($Y$2,'Inventory Report_5.4.2017'!$H$2:$V$2,0))</f>
        <v>11898.833076923076</v>
      </c>
      <c r="Z25" s="2072"/>
      <c r="AA25" s="2072"/>
      <c r="AB25" s="2072"/>
      <c r="AC25" s="2072"/>
      <c r="AD25" s="2072"/>
      <c r="AE25" s="2072"/>
      <c r="AF25" s="2072"/>
      <c r="AG25" s="2072"/>
      <c r="AH25" s="2072"/>
      <c r="AI25" s="2072"/>
      <c r="AJ25" s="2072"/>
      <c r="AK25" s="2072"/>
      <c r="AL25" s="2072"/>
      <c r="AM25" s="2072"/>
      <c r="AN25" s="2072"/>
      <c r="AO25" s="2072"/>
      <c r="AP25" s="2072"/>
      <c r="AQ25" s="2072"/>
      <c r="AR25" s="2072"/>
      <c r="AS25" s="2072"/>
      <c r="AT25" s="2072"/>
      <c r="AU25" s="2072"/>
    </row>
    <row r="26" spans="1:47" ht="15" x14ac:dyDescent="0.2">
      <c r="A26" s="2072"/>
      <c r="B26" s="2085">
        <v>13.375</v>
      </c>
      <c r="C26" s="2067" t="s">
        <v>2277</v>
      </c>
      <c r="D26" s="2064">
        <v>13909</v>
      </c>
      <c r="E26" s="2064">
        <v>5</v>
      </c>
      <c r="F26" s="2065">
        <f>IF(INDEX('Inventory Report_5.4.2017'!$H$5:$V$603,MATCH('Casings et al'!D26,'Inventory Report_5.4.2017'!$B$5:$B$603,0),MATCH(INPUT!$H$8,'Inventory Report_5.4.2017'!$H$2:$V$2,0))=0,N26,INDEX('Inventory Report_5.4.2017'!$H$5:$V$603,MATCH('Casings et al'!D26,'Inventory Report_5.4.2017'!$B$5:$B$603,0),MATCH(INPUT!$H$8,'Inventory Report_5.4.2017'!$H$2:$V$2,0)))</f>
        <v>3639.9091803278689</v>
      </c>
      <c r="G26" s="2086" t="s">
        <v>398</v>
      </c>
      <c r="H26" s="2094">
        <v>9.625</v>
      </c>
      <c r="I26" s="2067" t="s">
        <v>2277</v>
      </c>
      <c r="J26" s="2066">
        <v>13909</v>
      </c>
      <c r="K26" s="2066">
        <v>5</v>
      </c>
      <c r="L26" s="2069">
        <f>IF(INDEX('Inventory Report_5.4.2017'!$H$5:$V$603,MATCH('Casings et al'!J26,'Inventory Report_5.4.2017'!$B$5:$B$603,0),MATCH(INPUT!$H$8,'Inventory Report_5.4.2017'!$H$2:$V$2,0))=0,O26,INDEX('Inventory Report_5.4.2017'!$H$5:$V$603,MATCH('Casings et al'!J26,'Inventory Report_5.4.2017'!$B$5:$B$603,0),MATCH(INPUT!$H$8,'Inventory Report_5.4.2017'!$H$2:$V$2,0)))</f>
        <v>3639.9091803278689</v>
      </c>
      <c r="M26" s="2082" t="s">
        <v>398</v>
      </c>
      <c r="N26" s="2076">
        <f t="shared" si="0"/>
        <v>3167.1822950819674</v>
      </c>
      <c r="O26" s="2077">
        <f t="shared" si="1"/>
        <v>3167.1822950819674</v>
      </c>
      <c r="P26" s="2059">
        <f>INDEX('Inventory Report_5.4.2017'!$H$5:$V$603,MATCH('Casings et al'!J26,'Inventory Report_5.4.2017'!$B$5:$B$603,0),MATCH($P$2,'Inventory Report_5.4.2017'!$H$2:$V$2,0))</f>
        <v>0</v>
      </c>
      <c r="Q26" s="2059">
        <f>INDEX('Inventory Report_5.4.2017'!$H$5:$V$603,MATCH('Casings et al'!J26,'Inventory Report_5.4.2017'!$B$5:$B$603,0),MATCH($Q$2,'Inventory Report_5.4.2017'!$H$2:$V$2,0))</f>
        <v>3396.97</v>
      </c>
      <c r="R26" s="2059">
        <f>INDEX('Inventory Report_5.4.2017'!$H$5:$V$603,MATCH('Casings et al'!J26,'Inventory Report_5.4.2017'!$B$5:$B$603,0),MATCH($R$2,'Inventory Report_5.4.2017'!$H$2:$V$2,0))</f>
        <v>3639.9091803278689</v>
      </c>
      <c r="S26" s="2059">
        <f>INDEX('Inventory Report_5.4.2017'!$H$5:$V$603,MATCH('Casings et al'!J26,'Inventory Report_5.4.2017'!$B$5:$B$603,0),MATCH($S$2,'Inventory Report_5.4.2017'!$H$2:$V$2,0))</f>
        <v>3895</v>
      </c>
      <c r="T26" s="2059">
        <f>INDEX('Inventory Report_5.4.2017'!$H$5:$V$603,MATCH('Casings et al'!J26,'Inventory Report_5.4.2017'!$B$5:$B$603,0),MATCH($T$2,'Inventory Report_5.4.2017'!$H$2:$V$2,0))</f>
        <v>1736.85</v>
      </c>
      <c r="U26" s="1757">
        <f>INDEX('Inventory Report_5.4.2017'!$H$5:$V$603,MATCH('Casings et al'!D26,'Inventory Report_5.4.2017'!$B$5:$B$603,0),MATCH($U$2,'Inventory Report_5.4.2017'!$H$2:$V$2,0))</f>
        <v>0</v>
      </c>
      <c r="V26" s="1757">
        <f>INDEX('Inventory Report_5.4.2017'!$H$5:$V$603,MATCH('Casings et al'!D26,'Inventory Report_5.4.2017'!$B$5:$B$603,0),MATCH($V$2,'Inventory Report_5.4.2017'!$H$2:$V$2,0))</f>
        <v>3396.97</v>
      </c>
      <c r="W26" s="1757">
        <f>INDEX('Inventory Report_5.4.2017'!$H$5:$V$603,MATCH('Casings et al'!D26,'Inventory Report_5.4.2017'!$B$5:$B$603,0),MATCH($W$2,'Inventory Report_5.4.2017'!$H$2:$V$2,0))</f>
        <v>3639.9091803278689</v>
      </c>
      <c r="X26" s="1757">
        <f>INDEX('Inventory Report_5.4.2017'!$H$5:$V$603,MATCH('Casings et al'!D26,'Inventory Report_5.4.2017'!$B$5:$B$603,0),MATCH($X$2,'Inventory Report_5.4.2017'!$H$2:$V$2,0))</f>
        <v>3895</v>
      </c>
      <c r="Y26" s="1757">
        <f>INDEX('Inventory Report_5.4.2017'!$H$5:$V$603,MATCH('Casings et al'!D26,'Inventory Report_5.4.2017'!$B$5:$B$603,0),MATCH($Y$2,'Inventory Report_5.4.2017'!$H$2:$V$2,0))</f>
        <v>1736.85</v>
      </c>
      <c r="Z26" s="2072"/>
      <c r="AA26" s="2072"/>
      <c r="AB26" s="2072"/>
      <c r="AC26" s="2072"/>
      <c r="AD26" s="2072"/>
      <c r="AE26" s="2072"/>
      <c r="AF26" s="2072"/>
      <c r="AG26" s="2072"/>
      <c r="AH26" s="2072"/>
      <c r="AI26" s="2072"/>
      <c r="AJ26" s="2072"/>
      <c r="AK26" s="2072"/>
      <c r="AL26" s="2072"/>
      <c r="AM26" s="2072"/>
      <c r="AN26" s="2072"/>
      <c r="AO26" s="2072"/>
      <c r="AP26" s="2072"/>
      <c r="AQ26" s="2072"/>
      <c r="AR26" s="2072"/>
      <c r="AS26" s="2072"/>
      <c r="AT26" s="2072"/>
      <c r="AU26" s="2072"/>
    </row>
    <row r="27" spans="1:47" ht="15" x14ac:dyDescent="0.2">
      <c r="A27" s="2072"/>
      <c r="B27" s="2085">
        <v>13.375</v>
      </c>
      <c r="C27" s="2064" t="s">
        <v>2278</v>
      </c>
      <c r="D27" s="2064">
        <v>110534</v>
      </c>
      <c r="E27" s="2064">
        <v>5</v>
      </c>
      <c r="F27" s="2065">
        <f>IF(INDEX('Inventory Report_5.4.2017'!$H$5:$V$603,MATCH('Casings et al'!D27,'Inventory Report_5.4.2017'!$B$5:$B$603,0),MATCH(INPUT!$H$8,'Inventory Report_5.4.2017'!$H$2:$V$2,0))=0,N27,INDEX('Inventory Report_5.4.2017'!$H$5:$V$603,MATCH('Casings et al'!D27,'Inventory Report_5.4.2017'!$B$5:$B$603,0),MATCH(INPUT!$H$8,'Inventory Report_5.4.2017'!$H$2:$V$2,0)))</f>
        <v>679.40000000000009</v>
      </c>
      <c r="G27" s="2086" t="s">
        <v>398</v>
      </c>
      <c r="H27" s="2094">
        <v>9.625</v>
      </c>
      <c r="I27" s="2064" t="s">
        <v>2278</v>
      </c>
      <c r="J27" s="2066">
        <v>110534</v>
      </c>
      <c r="K27" s="2066">
        <v>5</v>
      </c>
      <c r="L27" s="2069">
        <f>IF(INDEX('Inventory Report_5.4.2017'!$H$5:$V$603,MATCH('Casings et al'!J27,'Inventory Report_5.4.2017'!$B$5:$B$603,0),MATCH(INPUT!$H$8,'Inventory Report_5.4.2017'!$H$2:$V$2,0))=0,O27,INDEX('Inventory Report_5.4.2017'!$H$5:$V$603,MATCH('Casings et al'!J27,'Inventory Report_5.4.2017'!$B$5:$B$603,0),MATCH(INPUT!$H$8,'Inventory Report_5.4.2017'!$H$2:$V$2,0)))</f>
        <v>679.40000000000009</v>
      </c>
      <c r="M27" s="2082" t="s">
        <v>398</v>
      </c>
      <c r="N27" s="2076">
        <f t="shared" si="0"/>
        <v>679.40000000000009</v>
      </c>
      <c r="O27" s="2077">
        <f t="shared" si="1"/>
        <v>679.40000000000009</v>
      </c>
      <c r="P27" s="2059">
        <f>INDEX('Inventory Report_5.4.2017'!$H$5:$V$603,MATCH('Casings et al'!J27,'Inventory Report_5.4.2017'!$B$5:$B$603,0),MATCH($P$2,'Inventory Report_5.4.2017'!$H$2:$V$2,0))</f>
        <v>0</v>
      </c>
      <c r="Q27" s="2059">
        <f>INDEX('Inventory Report_5.4.2017'!$H$5:$V$603,MATCH('Casings et al'!J27,'Inventory Report_5.4.2017'!$B$5:$B$603,0),MATCH($Q$2,'Inventory Report_5.4.2017'!$H$2:$V$2,0))</f>
        <v>679.40000000000009</v>
      </c>
      <c r="R27" s="2059">
        <f>INDEX('Inventory Report_5.4.2017'!$H$5:$V$603,MATCH('Casings et al'!J27,'Inventory Report_5.4.2017'!$B$5:$B$603,0),MATCH($R$2,'Inventory Report_5.4.2017'!$H$2:$V$2,0))</f>
        <v>0</v>
      </c>
      <c r="S27" s="2059">
        <f>INDEX('Inventory Report_5.4.2017'!$H$5:$V$603,MATCH('Casings et al'!J27,'Inventory Report_5.4.2017'!$B$5:$B$603,0),MATCH($S$2,'Inventory Report_5.4.2017'!$H$2:$V$2,0))</f>
        <v>0</v>
      </c>
      <c r="T27" s="2059">
        <f>INDEX('Inventory Report_5.4.2017'!$H$5:$V$603,MATCH('Casings et al'!J27,'Inventory Report_5.4.2017'!$B$5:$B$603,0),MATCH($T$2,'Inventory Report_5.4.2017'!$H$2:$V$2,0))</f>
        <v>0</v>
      </c>
      <c r="U27" s="1757">
        <f>INDEX('Inventory Report_5.4.2017'!$H$5:$V$603,MATCH('Casings et al'!D27,'Inventory Report_5.4.2017'!$B$5:$B$603,0),MATCH($U$2,'Inventory Report_5.4.2017'!$H$2:$V$2,0))</f>
        <v>0</v>
      </c>
      <c r="V27" s="1757">
        <f>INDEX('Inventory Report_5.4.2017'!$H$5:$V$603,MATCH('Casings et al'!D27,'Inventory Report_5.4.2017'!$B$5:$B$603,0),MATCH($V$2,'Inventory Report_5.4.2017'!$H$2:$V$2,0))</f>
        <v>679.40000000000009</v>
      </c>
      <c r="W27" s="1757">
        <f>INDEX('Inventory Report_5.4.2017'!$H$5:$V$603,MATCH('Casings et al'!D27,'Inventory Report_5.4.2017'!$B$5:$B$603,0),MATCH($W$2,'Inventory Report_5.4.2017'!$H$2:$V$2,0))</f>
        <v>0</v>
      </c>
      <c r="X27" s="1757">
        <f>INDEX('Inventory Report_5.4.2017'!$H$5:$V$603,MATCH('Casings et al'!D27,'Inventory Report_5.4.2017'!$B$5:$B$603,0),MATCH($X$2,'Inventory Report_5.4.2017'!$H$2:$V$2,0))</f>
        <v>0</v>
      </c>
      <c r="Y27" s="1757">
        <f>INDEX('Inventory Report_5.4.2017'!$H$5:$V$603,MATCH('Casings et al'!D27,'Inventory Report_5.4.2017'!$B$5:$B$603,0),MATCH($Y$2,'Inventory Report_5.4.2017'!$H$2:$V$2,0))</f>
        <v>0</v>
      </c>
      <c r="Z27" s="2072"/>
      <c r="AA27" s="2072"/>
      <c r="AB27" s="2072"/>
      <c r="AC27" s="2072"/>
      <c r="AD27" s="2072"/>
      <c r="AE27" s="2072"/>
      <c r="AF27" s="2072"/>
      <c r="AG27" s="2072"/>
      <c r="AH27" s="2072"/>
      <c r="AI27" s="2072"/>
      <c r="AJ27" s="2072"/>
      <c r="AK27" s="2072"/>
      <c r="AL27" s="2072"/>
      <c r="AM27" s="2072"/>
      <c r="AN27" s="2072"/>
      <c r="AO27" s="2072"/>
      <c r="AP27" s="2072"/>
      <c r="AQ27" s="2072"/>
      <c r="AR27" s="2072"/>
      <c r="AS27" s="2072"/>
      <c r="AT27" s="2072"/>
      <c r="AU27" s="2072"/>
    </row>
    <row r="28" spans="1:47" ht="15" x14ac:dyDescent="0.2">
      <c r="A28" s="2072"/>
      <c r="B28" s="2085">
        <v>13.375</v>
      </c>
      <c r="C28" s="2064" t="s">
        <v>2279</v>
      </c>
      <c r="D28" s="2064">
        <v>10416</v>
      </c>
      <c r="E28" s="2064">
        <v>1</v>
      </c>
      <c r="F28" s="2065">
        <f>IF(INDEX('Inventory Report_5.4.2017'!$H$5:$V$603,MATCH('Casings et al'!D28,'Inventory Report_5.4.2017'!$B$5:$B$603,0),MATCH(INPUT!$H$8,'Inventory Report_5.4.2017'!$H$2:$V$2,0))=0,N28,INDEX('Inventory Report_5.4.2017'!$H$5:$V$603,MATCH('Casings et al'!D28,'Inventory Report_5.4.2017'!$B$5:$B$603,0),MATCH(INPUT!$H$8,'Inventory Report_5.4.2017'!$H$2:$V$2,0)))</f>
        <v>10015.318421052631</v>
      </c>
      <c r="G28" s="2086" t="s">
        <v>398</v>
      </c>
      <c r="H28" s="2094">
        <v>9.625</v>
      </c>
      <c r="I28" s="2064" t="s">
        <v>2279</v>
      </c>
      <c r="J28" s="2066">
        <v>10416</v>
      </c>
      <c r="K28" s="2066">
        <v>1</v>
      </c>
      <c r="L28" s="2069">
        <f>IF(INDEX('Inventory Report_5.4.2017'!$H$5:$V$603,MATCH('Casings et al'!J28,'Inventory Report_5.4.2017'!$B$5:$B$603,0),MATCH(INPUT!$H$8,'Inventory Report_5.4.2017'!$H$2:$V$2,0))=0,O28,INDEX('Inventory Report_5.4.2017'!$H$5:$V$603,MATCH('Casings et al'!J28,'Inventory Report_5.4.2017'!$B$5:$B$603,0),MATCH(INPUT!$H$8,'Inventory Report_5.4.2017'!$H$2:$V$2,0)))</f>
        <v>10015.318421052631</v>
      </c>
      <c r="M28" s="2082" t="s">
        <v>398</v>
      </c>
      <c r="N28" s="2076">
        <f t="shared" si="0"/>
        <v>10015.391369617224</v>
      </c>
      <c r="O28" s="2077">
        <f t="shared" si="1"/>
        <v>10015.391369617224</v>
      </c>
      <c r="P28" s="2059">
        <f>INDEX('Inventory Report_5.4.2017'!$H$5:$V$603,MATCH('Casings et al'!J28,'Inventory Report_5.4.2017'!$B$5:$B$603,0),MATCH($P$2,'Inventory Report_5.4.2017'!$H$2:$V$2,0))</f>
        <v>0</v>
      </c>
      <c r="Q28" s="2059">
        <f>INDEX('Inventory Report_5.4.2017'!$H$5:$V$603,MATCH('Casings et al'!J28,'Inventory Report_5.4.2017'!$B$5:$B$603,0),MATCH($Q$2,'Inventory Report_5.4.2017'!$H$2:$V$2,0))</f>
        <v>10015.464318181817</v>
      </c>
      <c r="R28" s="2059">
        <f>INDEX('Inventory Report_5.4.2017'!$H$5:$V$603,MATCH('Casings et al'!J28,'Inventory Report_5.4.2017'!$B$5:$B$603,0),MATCH($R$2,'Inventory Report_5.4.2017'!$H$2:$V$2,0))</f>
        <v>10015.318421052631</v>
      </c>
      <c r="S28" s="2059">
        <f>INDEX('Inventory Report_5.4.2017'!$H$5:$V$603,MATCH('Casings et al'!J28,'Inventory Report_5.4.2017'!$B$5:$B$603,0),MATCH($S$2,'Inventory Report_5.4.2017'!$H$2:$V$2,0))</f>
        <v>0</v>
      </c>
      <c r="T28" s="2059">
        <f>INDEX('Inventory Report_5.4.2017'!$H$5:$V$603,MATCH('Casings et al'!J28,'Inventory Report_5.4.2017'!$B$5:$B$603,0),MATCH($T$2,'Inventory Report_5.4.2017'!$H$2:$V$2,0))</f>
        <v>0</v>
      </c>
      <c r="U28" s="1757">
        <f>INDEX('Inventory Report_5.4.2017'!$H$5:$V$603,MATCH('Casings et al'!D28,'Inventory Report_5.4.2017'!$B$5:$B$603,0),MATCH($U$2,'Inventory Report_5.4.2017'!$H$2:$V$2,0))</f>
        <v>0</v>
      </c>
      <c r="V28" s="1757">
        <f>INDEX('Inventory Report_5.4.2017'!$H$5:$V$603,MATCH('Casings et al'!D28,'Inventory Report_5.4.2017'!$B$5:$B$603,0),MATCH($V$2,'Inventory Report_5.4.2017'!$H$2:$V$2,0))</f>
        <v>10015.464318181817</v>
      </c>
      <c r="W28" s="1757">
        <f>INDEX('Inventory Report_5.4.2017'!$H$5:$V$603,MATCH('Casings et al'!D28,'Inventory Report_5.4.2017'!$B$5:$B$603,0),MATCH($W$2,'Inventory Report_5.4.2017'!$H$2:$V$2,0))</f>
        <v>10015.318421052631</v>
      </c>
      <c r="X28" s="1757">
        <f>INDEX('Inventory Report_5.4.2017'!$H$5:$V$603,MATCH('Casings et al'!D28,'Inventory Report_5.4.2017'!$B$5:$B$603,0),MATCH($X$2,'Inventory Report_5.4.2017'!$H$2:$V$2,0))</f>
        <v>0</v>
      </c>
      <c r="Y28" s="1757">
        <f>INDEX('Inventory Report_5.4.2017'!$H$5:$V$603,MATCH('Casings et al'!D28,'Inventory Report_5.4.2017'!$B$5:$B$603,0),MATCH($Y$2,'Inventory Report_5.4.2017'!$H$2:$V$2,0))</f>
        <v>0</v>
      </c>
      <c r="Z28" s="2072"/>
      <c r="AA28" s="2072"/>
      <c r="AB28" s="2072"/>
      <c r="AC28" s="2072"/>
      <c r="AD28" s="2072"/>
      <c r="AE28" s="2072"/>
      <c r="AF28" s="2072"/>
      <c r="AG28" s="2072"/>
      <c r="AH28" s="2072"/>
      <c r="AI28" s="2072"/>
      <c r="AJ28" s="2072"/>
      <c r="AK28" s="2072"/>
      <c r="AL28" s="2072"/>
      <c r="AM28" s="2072"/>
      <c r="AN28" s="2072"/>
      <c r="AO28" s="2072"/>
      <c r="AP28" s="2072"/>
      <c r="AQ28" s="2072"/>
      <c r="AR28" s="2072"/>
      <c r="AS28" s="2072"/>
      <c r="AT28" s="2072"/>
      <c r="AU28" s="2072"/>
    </row>
    <row r="29" spans="1:47" ht="15" x14ac:dyDescent="0.2">
      <c r="A29" s="2072"/>
      <c r="B29" s="2084">
        <v>10.75</v>
      </c>
      <c r="C29" s="2068" t="s">
        <v>2295</v>
      </c>
      <c r="D29" s="2064">
        <v>3087</v>
      </c>
      <c r="E29" s="2064">
        <f>ROUNDUP((DPL1HOLE-DPRODHOLE)/11.5,0)+3</f>
        <v>59</v>
      </c>
      <c r="F29" s="2065">
        <f>IF(INDEX('Inventory Report_5.4.2017'!$H$5:$V$603,MATCH('Casings et al'!D29,'Inventory Report_5.4.2017'!$B$5:$B$603,0),MATCH(INPUT!$H$8,'Inventory Report_5.4.2017'!$H$2:$V$2,0))=0,N29,INDEX('Inventory Report_5.4.2017'!$H$5:$V$603,MATCH('Casings et al'!D29,'Inventory Report_5.4.2017'!$B$5:$B$603,0),MATCH(INPUT!$H$8,'Inventory Report_5.4.2017'!$H$2:$V$2,0)))</f>
        <v>44468.519043824701</v>
      </c>
      <c r="G29" s="2086" t="s">
        <v>400</v>
      </c>
      <c r="H29" s="2091">
        <v>7</v>
      </c>
      <c r="I29" s="2063" t="s">
        <v>2453</v>
      </c>
      <c r="J29" s="2064">
        <v>85208</v>
      </c>
      <c r="K29" s="2064">
        <f>ROUNDUP((DPL1HOLE-DPRODHOLE)/11.5,0)+3</f>
        <v>59</v>
      </c>
      <c r="L29" s="2069">
        <f>IF(INDEX('Inventory Report_5.4.2017'!$H$5:$V$603,MATCH('Casings et al'!J29,'Inventory Report_5.4.2017'!$B$5:$B$603,0),MATCH(INPUT!$H$8,'Inventory Report_5.4.2017'!$H$2:$V$2,0))=0,O29,INDEX('Inventory Report_5.4.2017'!$H$5:$V$603,MATCH('Casings et al'!J29,'Inventory Report_5.4.2017'!$B$5:$B$603,0),MATCH(INPUT!$H$8,'Inventory Report_5.4.2017'!$H$2:$V$2,0)))</f>
        <v>22789.29</v>
      </c>
      <c r="M29" s="2086" t="s">
        <v>400</v>
      </c>
      <c r="N29" s="2076">
        <f t="shared" si="0"/>
        <v>44188.350403027238</v>
      </c>
      <c r="O29" s="2077">
        <f t="shared" si="1"/>
        <v>22789.29</v>
      </c>
      <c r="P29" s="2059">
        <f>INDEX('Inventory Report_5.4.2017'!$H$5:$V$603,MATCH('Casings et al'!J29,'Inventory Report_5.4.2017'!$B$5:$B$603,0),MATCH($P$2,'Inventory Report_5.4.2017'!$H$2:$V$2,0))</f>
        <v>0</v>
      </c>
      <c r="Q29" s="2059">
        <f>INDEX('Inventory Report_5.4.2017'!$H$5:$V$603,MATCH('Casings et al'!J29,'Inventory Report_5.4.2017'!$B$5:$B$603,0),MATCH($Q$2,'Inventory Report_5.4.2017'!$H$2:$V$2,0))</f>
        <v>22789.29</v>
      </c>
      <c r="R29" s="2059">
        <f>INDEX('Inventory Report_5.4.2017'!$H$5:$V$603,MATCH('Casings et al'!J29,'Inventory Report_5.4.2017'!$B$5:$B$603,0),MATCH($R$2,'Inventory Report_5.4.2017'!$H$2:$V$2,0))</f>
        <v>0</v>
      </c>
      <c r="S29" s="2059">
        <f>INDEX('Inventory Report_5.4.2017'!$H$5:$V$603,MATCH('Casings et al'!J29,'Inventory Report_5.4.2017'!$B$5:$B$603,0),MATCH($S$2,'Inventory Report_5.4.2017'!$H$2:$V$2,0))</f>
        <v>0</v>
      </c>
      <c r="T29" s="2059">
        <f>INDEX('Inventory Report_5.4.2017'!$H$5:$V$603,MATCH('Casings et al'!J29,'Inventory Report_5.4.2017'!$B$5:$B$603,0),MATCH($T$2,'Inventory Report_5.4.2017'!$H$2:$V$2,0))</f>
        <v>0</v>
      </c>
      <c r="U29" s="1757">
        <f>INDEX('Inventory Report_5.4.2017'!$H$5:$V$603,MATCH('Casings et al'!D29,'Inventory Report_5.4.2017'!$B$5:$B$603,0),MATCH($U$2,'Inventory Report_5.4.2017'!$H$2:$V$2,0))</f>
        <v>44929.823750000003</v>
      </c>
      <c r="V29" s="1757">
        <f>INDEX('Inventory Report_5.4.2017'!$H$5:$V$603,MATCH('Casings et al'!D29,'Inventory Report_5.4.2017'!$B$5:$B$603,0),MATCH($V$2,'Inventory Report_5.4.2017'!$H$2:$V$2,0))</f>
        <v>42468.069180327868</v>
      </c>
      <c r="W29" s="1757">
        <f>INDEX('Inventory Report_5.4.2017'!$H$5:$V$603,MATCH('Casings et al'!D29,'Inventory Report_5.4.2017'!$B$5:$B$603,0),MATCH($W$2,'Inventory Report_5.4.2017'!$H$2:$V$2,0))</f>
        <v>44468.519043824701</v>
      </c>
      <c r="X29" s="1757">
        <f>INDEX('Inventory Report_5.4.2017'!$H$5:$V$603,MATCH('Casings et al'!D29,'Inventory Report_5.4.2017'!$B$5:$B$603,0),MATCH($X$2,'Inventory Report_5.4.2017'!$H$2:$V$2,0))</f>
        <v>48271.850040983605</v>
      </c>
      <c r="Y29" s="1757">
        <f>INDEX('Inventory Report_5.4.2017'!$H$5:$V$603,MATCH('Casings et al'!D29,'Inventory Report_5.4.2017'!$B$5:$B$603,0),MATCH($Y$2,'Inventory Report_5.4.2017'!$H$2:$V$2,0))</f>
        <v>40803.49</v>
      </c>
      <c r="Z29" s="2072"/>
      <c r="AA29" s="2072"/>
      <c r="AB29" s="2072"/>
      <c r="AC29" s="2072"/>
      <c r="AD29" s="2072"/>
      <c r="AE29" s="2072"/>
      <c r="AF29" s="2072"/>
      <c r="AG29" s="2072"/>
      <c r="AH29" s="2072"/>
      <c r="AI29" s="2072"/>
      <c r="AJ29" s="2072"/>
      <c r="AK29" s="2072"/>
      <c r="AL29" s="2072"/>
      <c r="AM29" s="2072"/>
      <c r="AN29" s="2072"/>
      <c r="AO29" s="2072"/>
      <c r="AP29" s="2072"/>
      <c r="AQ29" s="2072"/>
      <c r="AR29" s="2072"/>
      <c r="AS29" s="2072"/>
      <c r="AT29" s="2072"/>
      <c r="AU29" s="2072"/>
    </row>
    <row r="30" spans="1:47" ht="15" x14ac:dyDescent="0.2">
      <c r="A30" s="2072"/>
      <c r="B30" s="2085">
        <v>10.75</v>
      </c>
      <c r="C30" s="2067" t="s">
        <v>2296</v>
      </c>
      <c r="D30" s="2064">
        <v>3086</v>
      </c>
      <c r="E30" s="2064">
        <v>3</v>
      </c>
      <c r="F30" s="2065">
        <f>IF(INDEX('Inventory Report_5.4.2017'!$H$5:$V$603,MATCH('Casings et al'!D30,'Inventory Report_5.4.2017'!$B$5:$B$603,0),MATCH(INPUT!$H$8,'Inventory Report_5.4.2017'!$H$2:$V$2,0))=0,N30,INDEX('Inventory Report_5.4.2017'!$H$5:$V$603,MATCH('Casings et al'!D30,'Inventory Report_5.4.2017'!$B$5:$B$603,0),MATCH(INPUT!$H$8,'Inventory Report_5.4.2017'!$H$2:$V$2,0)))</f>
        <v>34538.660000000003</v>
      </c>
      <c r="G30" s="2086" t="s">
        <v>400</v>
      </c>
      <c r="H30" s="2095">
        <v>7</v>
      </c>
      <c r="I30" s="2064" t="s">
        <v>2609</v>
      </c>
      <c r="J30" s="2066">
        <v>10138</v>
      </c>
      <c r="K30" s="2066">
        <v>3</v>
      </c>
      <c r="L30" s="2069">
        <f>IF(INDEX('Inventory Report_5.4.2017'!$H$5:$V$603,MATCH('Casings et al'!J30,'Inventory Report_5.4.2017'!$B$5:$B$603,0),MATCH(INPUT!$H$8,'Inventory Report_5.4.2017'!$H$2:$V$2,0))=0,O30,INDEX('Inventory Report_5.4.2017'!$H$5:$V$603,MATCH('Casings et al'!J30,'Inventory Report_5.4.2017'!$B$5:$B$603,0),MATCH(INPUT!$H$8,'Inventory Report_5.4.2017'!$H$2:$V$2,0)))</f>
        <v>18741.312857142857</v>
      </c>
      <c r="M30" s="2086" t="s">
        <v>400</v>
      </c>
      <c r="N30" s="2076">
        <f t="shared" si="0"/>
        <v>33963.739686907022</v>
      </c>
      <c r="O30" s="2077">
        <f t="shared" si="1"/>
        <v>18953.079050118791</v>
      </c>
      <c r="P30" s="2059">
        <f>INDEX('Inventory Report_5.4.2017'!$H$5:$V$603,MATCH('Casings et al'!J30,'Inventory Report_5.4.2017'!$B$5:$B$603,0),MATCH($P$2,'Inventory Report_5.4.2017'!$H$2:$V$2,0))</f>
        <v>0</v>
      </c>
      <c r="Q30" s="2059">
        <f>INDEX('Inventory Report_5.4.2017'!$H$5:$V$603,MATCH('Casings et al'!J30,'Inventory Report_5.4.2017'!$B$5:$B$603,0),MATCH($Q$2,'Inventory Report_5.4.2017'!$H$2:$V$2,0))</f>
        <v>19210.373143507975</v>
      </c>
      <c r="R30" s="2059">
        <f>INDEX('Inventory Report_5.4.2017'!$H$5:$V$603,MATCH('Casings et al'!J30,'Inventory Report_5.4.2017'!$B$5:$B$603,0),MATCH($R$2,'Inventory Report_5.4.2017'!$H$2:$V$2,0))</f>
        <v>18741.312857142857</v>
      </c>
      <c r="S30" s="2059">
        <f>INDEX('Inventory Report_5.4.2017'!$H$5:$V$603,MATCH('Casings et al'!J30,'Inventory Report_5.4.2017'!$B$5:$B$603,0),MATCH($S$2,'Inventory Report_5.4.2017'!$H$2:$V$2,0))</f>
        <v>19119.317373737373</v>
      </c>
      <c r="T30" s="2059">
        <f>INDEX('Inventory Report_5.4.2017'!$H$5:$V$603,MATCH('Casings et al'!J30,'Inventory Report_5.4.2017'!$B$5:$B$603,0),MATCH($T$2,'Inventory Report_5.4.2017'!$H$2:$V$2,0))</f>
        <v>18741.312826086956</v>
      </c>
      <c r="U30" s="1757">
        <f>INDEX('Inventory Report_5.4.2017'!$H$5:$V$603,MATCH('Casings et al'!D30,'Inventory Report_5.4.2017'!$B$5:$B$603,0),MATCH($U$2,'Inventory Report_5.4.2017'!$H$2:$V$2,0))</f>
        <v>0</v>
      </c>
      <c r="V30" s="1757">
        <f>INDEX('Inventory Report_5.4.2017'!$H$5:$V$603,MATCH('Casings et al'!D30,'Inventory Report_5.4.2017'!$B$5:$B$603,0),MATCH($V$2,'Inventory Report_5.4.2017'!$H$2:$V$2,0))</f>
        <v>35350.169705882356</v>
      </c>
      <c r="W30" s="1757">
        <f>INDEX('Inventory Report_5.4.2017'!$H$5:$V$603,MATCH('Casings et al'!D30,'Inventory Report_5.4.2017'!$B$5:$B$603,0),MATCH($W$2,'Inventory Report_5.4.2017'!$H$2:$V$2,0))</f>
        <v>34538.660000000003</v>
      </c>
      <c r="X30" s="1757">
        <f>INDEX('Inventory Report_5.4.2017'!$H$5:$V$603,MATCH('Casings et al'!D30,'Inventory Report_5.4.2017'!$B$5:$B$603,0),MATCH($X$2,'Inventory Report_5.4.2017'!$H$2:$V$2,0))</f>
        <v>32002.38935483871</v>
      </c>
      <c r="Y30" s="1757">
        <f>INDEX('Inventory Report_5.4.2017'!$H$5:$V$603,MATCH('Casings et al'!D30,'Inventory Report_5.4.2017'!$B$5:$B$603,0),MATCH($Y$2,'Inventory Report_5.4.2017'!$H$2:$V$2,0))</f>
        <v>0</v>
      </c>
      <c r="Z30" s="2072"/>
      <c r="AA30" s="2072"/>
      <c r="AB30" s="2072"/>
      <c r="AC30" s="2072"/>
      <c r="AD30" s="2072"/>
      <c r="AE30" s="2072"/>
      <c r="AF30" s="2072"/>
      <c r="AG30" s="2072"/>
      <c r="AH30" s="2072"/>
      <c r="AI30" s="2072"/>
      <c r="AJ30" s="2072"/>
      <c r="AK30" s="2072"/>
      <c r="AL30" s="2072"/>
      <c r="AM30" s="2072"/>
      <c r="AN30" s="2072"/>
      <c r="AO30" s="2072"/>
      <c r="AP30" s="2072"/>
      <c r="AQ30" s="2072"/>
      <c r="AR30" s="2072"/>
      <c r="AS30" s="2072"/>
      <c r="AT30" s="2072"/>
      <c r="AU30" s="2072"/>
    </row>
    <row r="31" spans="1:47" ht="16" thickBot="1" x14ac:dyDescent="0.25">
      <c r="A31" s="2072"/>
      <c r="B31" s="2085">
        <v>10.75</v>
      </c>
      <c r="C31" s="2067" t="s">
        <v>2297</v>
      </c>
      <c r="D31" s="2064">
        <v>14327</v>
      </c>
      <c r="E31" s="2064">
        <v>1</v>
      </c>
      <c r="F31" s="2065">
        <f>IF(INDEX('Inventory Report_5.4.2017'!$H$5:$V$603,MATCH('Casings et al'!D31,'Inventory Report_5.4.2017'!$B$5:$B$603,0),MATCH(INPUT!$H$8,'Inventory Report_5.4.2017'!$H$2:$V$2,0))=0,N31,INDEX('Inventory Report_5.4.2017'!$H$5:$V$603,MATCH('Casings et al'!D31,'Inventory Report_5.4.2017'!$B$5:$B$603,0),MATCH(INPUT!$H$8,'Inventory Report_5.4.2017'!$H$2:$V$2,0)))</f>
        <v>36387.794999999998</v>
      </c>
      <c r="G31" s="2086" t="s">
        <v>400</v>
      </c>
      <c r="H31" s="2096">
        <v>7</v>
      </c>
      <c r="I31" s="2087" t="s">
        <v>2452</v>
      </c>
      <c r="J31" s="2088">
        <v>29942</v>
      </c>
      <c r="K31" s="2088">
        <v>1</v>
      </c>
      <c r="L31" s="2069">
        <f>IF(INDEX('Inventory Report_5.4.2017'!$H$5:$V$603,MATCH('Casings et al'!J31,'Inventory Report_5.4.2017'!$B$5:$B$603,0),MATCH(INPUT!$H$8,'Inventory Report_5.4.2017'!$H$2:$V$2,0))=0,O31,INDEX('Inventory Report_5.4.2017'!$H$5:$V$603,MATCH('Casings et al'!J31,'Inventory Report_5.4.2017'!$B$5:$B$603,0),MATCH(INPUT!$H$8,'Inventory Report_5.4.2017'!$H$2:$V$2,0)))</f>
        <v>227.18</v>
      </c>
      <c r="M31" s="2089" t="s">
        <v>400</v>
      </c>
      <c r="N31" s="2076">
        <f t="shared" si="0"/>
        <v>37495.082500000004</v>
      </c>
      <c r="O31" s="2077">
        <f t="shared" si="1"/>
        <v>227.18</v>
      </c>
      <c r="P31" s="2059">
        <f>INDEX('Inventory Report_5.4.2017'!$H$5:$V$603,MATCH('Casings et al'!J31,'Inventory Report_5.4.2017'!$B$5:$B$603,0),MATCH($P$2,'Inventory Report_5.4.2017'!$H$2:$V$2,0))</f>
        <v>0</v>
      </c>
      <c r="Q31" s="2059">
        <f>INDEX('Inventory Report_5.4.2017'!$H$5:$V$603,MATCH('Casings et al'!J31,'Inventory Report_5.4.2017'!$B$5:$B$603,0),MATCH($Q$2,'Inventory Report_5.4.2017'!$H$2:$V$2,0))</f>
        <v>0</v>
      </c>
      <c r="R31" s="2059">
        <f>INDEX('Inventory Report_5.4.2017'!$H$5:$V$603,MATCH('Casings et al'!J31,'Inventory Report_5.4.2017'!$B$5:$B$603,0),MATCH($R$2,'Inventory Report_5.4.2017'!$H$2:$V$2,0))</f>
        <v>0</v>
      </c>
      <c r="S31" s="2059">
        <f>INDEX('Inventory Report_5.4.2017'!$H$5:$V$603,MATCH('Casings et al'!J31,'Inventory Report_5.4.2017'!$B$5:$B$603,0),MATCH($S$2,'Inventory Report_5.4.2017'!$H$2:$V$2,0))</f>
        <v>0</v>
      </c>
      <c r="T31" s="2059">
        <f>INDEX('Inventory Report_5.4.2017'!$H$5:$V$603,MATCH('Casings et al'!J31,'Inventory Report_5.4.2017'!$B$5:$B$603,0),MATCH($T$2,'Inventory Report_5.4.2017'!$H$2:$V$2,0))</f>
        <v>227.18</v>
      </c>
      <c r="U31" s="1757">
        <f>INDEX('Inventory Report_5.4.2017'!$H$5:$V$603,MATCH('Casings et al'!D31,'Inventory Report_5.4.2017'!$B$5:$B$603,0),MATCH($U$2,'Inventory Report_5.4.2017'!$H$2:$V$2,0))</f>
        <v>0</v>
      </c>
      <c r="V31" s="1757">
        <f>INDEX('Inventory Report_5.4.2017'!$H$5:$V$603,MATCH('Casings et al'!D31,'Inventory Report_5.4.2017'!$B$5:$B$603,0),MATCH($V$2,'Inventory Report_5.4.2017'!$H$2:$V$2,0))</f>
        <v>0</v>
      </c>
      <c r="W31" s="1757">
        <f>INDEX('Inventory Report_5.4.2017'!$H$5:$V$603,MATCH('Casings et al'!D31,'Inventory Report_5.4.2017'!$B$5:$B$603,0),MATCH($W$2,'Inventory Report_5.4.2017'!$H$2:$V$2,0))</f>
        <v>36387.794999999998</v>
      </c>
      <c r="X31" s="1757">
        <f>INDEX('Inventory Report_5.4.2017'!$H$5:$V$603,MATCH('Casings et al'!D31,'Inventory Report_5.4.2017'!$B$5:$B$603,0),MATCH($X$2,'Inventory Report_5.4.2017'!$H$2:$V$2,0))</f>
        <v>38602.370000000003</v>
      </c>
      <c r="Y31" s="1757">
        <f>INDEX('Inventory Report_5.4.2017'!$H$5:$V$603,MATCH('Casings et al'!D31,'Inventory Report_5.4.2017'!$B$5:$B$603,0),MATCH($Y$2,'Inventory Report_5.4.2017'!$H$2:$V$2,0))</f>
        <v>0</v>
      </c>
      <c r="Z31" s="2072"/>
      <c r="AA31" s="2072"/>
      <c r="AB31" s="2072"/>
      <c r="AC31" s="2072"/>
      <c r="AD31" s="2072"/>
      <c r="AE31" s="2072"/>
      <c r="AF31" s="2072"/>
      <c r="AG31" s="2072"/>
      <c r="AH31" s="2072"/>
      <c r="AI31" s="2072"/>
      <c r="AJ31" s="2072"/>
      <c r="AK31" s="2072"/>
      <c r="AL31" s="2072"/>
      <c r="AM31" s="2072"/>
      <c r="AN31" s="2072"/>
      <c r="AO31" s="2072"/>
      <c r="AP31" s="2072"/>
      <c r="AQ31" s="2072"/>
      <c r="AR31" s="2072"/>
      <c r="AS31" s="2072"/>
      <c r="AT31" s="2072"/>
      <c r="AU31" s="2072"/>
    </row>
    <row r="32" spans="1:47" ht="15" x14ac:dyDescent="0.2">
      <c r="A32" s="2072"/>
      <c r="B32" s="2085">
        <v>10.75</v>
      </c>
      <c r="C32" s="2067" t="s">
        <v>2298</v>
      </c>
      <c r="D32" s="2064">
        <v>11934</v>
      </c>
      <c r="E32" s="2064">
        <v>1</v>
      </c>
      <c r="F32" s="2065">
        <f>IF(INDEX('Inventory Report_5.4.2017'!$H$5:$V$603,MATCH('Casings et al'!D32,'Inventory Report_5.4.2017'!$B$5:$B$603,0),MATCH(INPUT!$H$8,'Inventory Report_5.4.2017'!$H$2:$V$2,0))=0,N32,INDEX('Inventory Report_5.4.2017'!$H$5:$V$603,MATCH('Casings et al'!D32,'Inventory Report_5.4.2017'!$B$5:$B$603,0),MATCH(INPUT!$H$8,'Inventory Report_5.4.2017'!$H$2:$V$2,0)))</f>
        <v>402462.95500000002</v>
      </c>
      <c r="G32" s="2086" t="s">
        <v>400</v>
      </c>
      <c r="H32" s="2075"/>
      <c r="I32" s="2072"/>
      <c r="J32" s="2074"/>
      <c r="K32" s="2074"/>
      <c r="L32" s="2072"/>
      <c r="M32" s="2072"/>
      <c r="N32" s="2076">
        <f t="shared" si="0"/>
        <v>402462.95500000002</v>
      </c>
      <c r="O32" s="2072"/>
      <c r="P32" s="2072"/>
      <c r="Q32" s="2072"/>
      <c r="R32" s="2072"/>
      <c r="S32" s="2072"/>
      <c r="T32" s="2072"/>
      <c r="U32" s="1757">
        <f>INDEX('Inventory Report_5.4.2017'!$H$5:$V$603,MATCH('Casings et al'!D32,'Inventory Report_5.4.2017'!$B$5:$B$603,0),MATCH($U$2,'Inventory Report_5.4.2017'!$H$2:$V$2,0))</f>
        <v>0</v>
      </c>
      <c r="V32" s="1757">
        <f>INDEX('Inventory Report_5.4.2017'!$H$5:$V$603,MATCH('Casings et al'!D32,'Inventory Report_5.4.2017'!$B$5:$B$603,0),MATCH($V$2,'Inventory Report_5.4.2017'!$H$2:$V$2,0))</f>
        <v>397670.09</v>
      </c>
      <c r="W32" s="1757">
        <f>INDEX('Inventory Report_5.4.2017'!$H$5:$V$603,MATCH('Casings et al'!D32,'Inventory Report_5.4.2017'!$B$5:$B$603,0),MATCH($W$2,'Inventory Report_5.4.2017'!$H$2:$V$2,0))</f>
        <v>0</v>
      </c>
      <c r="X32" s="1757">
        <f>INDEX('Inventory Report_5.4.2017'!$H$5:$V$603,MATCH('Casings et al'!D32,'Inventory Report_5.4.2017'!$B$5:$B$603,0),MATCH($X$2,'Inventory Report_5.4.2017'!$H$2:$V$2,0))</f>
        <v>407255.82</v>
      </c>
      <c r="Y32" s="1757">
        <f>INDEX('Inventory Report_5.4.2017'!$H$5:$V$603,MATCH('Casings et al'!D32,'Inventory Report_5.4.2017'!$B$5:$B$603,0),MATCH($Y$2,'Inventory Report_5.4.2017'!$H$2:$V$2,0))</f>
        <v>0</v>
      </c>
      <c r="Z32" s="2072"/>
      <c r="AA32" s="2072"/>
      <c r="AB32" s="2072"/>
      <c r="AC32" s="2072"/>
      <c r="AD32" s="2072"/>
      <c r="AE32" s="2072"/>
      <c r="AF32" s="2072"/>
      <c r="AG32" s="2072"/>
      <c r="AH32" s="2072"/>
      <c r="AI32" s="2072"/>
      <c r="AJ32" s="2072"/>
      <c r="AK32" s="2072"/>
      <c r="AL32" s="2072"/>
      <c r="AM32" s="2072"/>
      <c r="AN32" s="2072"/>
      <c r="AO32" s="2072"/>
      <c r="AP32" s="2072"/>
      <c r="AQ32" s="2072"/>
      <c r="AR32" s="2072"/>
      <c r="AS32" s="2072"/>
      <c r="AT32" s="2072"/>
      <c r="AU32" s="2072"/>
    </row>
    <row r="33" spans="1:47" ht="15" x14ac:dyDescent="0.2">
      <c r="A33" s="2072"/>
      <c r="B33" s="2085">
        <v>10.75</v>
      </c>
      <c r="C33" s="2067" t="s">
        <v>2277</v>
      </c>
      <c r="D33" s="2064">
        <v>13909</v>
      </c>
      <c r="E33" s="2064">
        <v>5</v>
      </c>
      <c r="F33" s="2065">
        <f>IF(INDEX('Inventory Report_5.4.2017'!$H$5:$V$603,MATCH('Casings et al'!D33,'Inventory Report_5.4.2017'!$B$5:$B$603,0),MATCH(INPUT!$H$8,'Inventory Report_5.4.2017'!$H$2:$V$2,0))=0,N33,INDEX('Inventory Report_5.4.2017'!$H$5:$V$603,MATCH('Casings et al'!D33,'Inventory Report_5.4.2017'!$B$5:$B$603,0),MATCH(INPUT!$H$8,'Inventory Report_5.4.2017'!$H$2:$V$2,0)))</f>
        <v>3639.9091803278689</v>
      </c>
      <c r="G33" s="2086" t="s">
        <v>400</v>
      </c>
      <c r="H33" s="2075"/>
      <c r="I33" s="2072"/>
      <c r="J33" s="2074"/>
      <c r="K33" s="2074"/>
      <c r="L33" s="2072"/>
      <c r="M33" s="2072"/>
      <c r="N33" s="2076">
        <f t="shared" si="0"/>
        <v>3167.1822950819674</v>
      </c>
      <c r="O33" s="2072"/>
      <c r="P33" s="2072"/>
      <c r="Q33" s="2072"/>
      <c r="R33" s="2072"/>
      <c r="S33" s="2072"/>
      <c r="T33" s="2072"/>
      <c r="U33" s="1757">
        <f>INDEX('Inventory Report_5.4.2017'!$H$5:$V$603,MATCH('Casings et al'!D33,'Inventory Report_5.4.2017'!$B$5:$B$603,0),MATCH($U$2,'Inventory Report_5.4.2017'!$H$2:$V$2,0))</f>
        <v>0</v>
      </c>
      <c r="V33" s="1757">
        <f>INDEX('Inventory Report_5.4.2017'!$H$5:$V$603,MATCH('Casings et al'!D33,'Inventory Report_5.4.2017'!$B$5:$B$603,0),MATCH($V$2,'Inventory Report_5.4.2017'!$H$2:$V$2,0))</f>
        <v>3396.97</v>
      </c>
      <c r="W33" s="1757">
        <f>INDEX('Inventory Report_5.4.2017'!$H$5:$V$603,MATCH('Casings et al'!D33,'Inventory Report_5.4.2017'!$B$5:$B$603,0),MATCH($W$2,'Inventory Report_5.4.2017'!$H$2:$V$2,0))</f>
        <v>3639.9091803278689</v>
      </c>
      <c r="X33" s="1757">
        <f>INDEX('Inventory Report_5.4.2017'!$H$5:$V$603,MATCH('Casings et al'!D33,'Inventory Report_5.4.2017'!$B$5:$B$603,0),MATCH($X$2,'Inventory Report_5.4.2017'!$H$2:$V$2,0))</f>
        <v>3895</v>
      </c>
      <c r="Y33" s="1757">
        <f>INDEX('Inventory Report_5.4.2017'!$H$5:$V$603,MATCH('Casings et al'!D33,'Inventory Report_5.4.2017'!$B$5:$B$603,0),MATCH($Y$2,'Inventory Report_5.4.2017'!$H$2:$V$2,0))</f>
        <v>1736.85</v>
      </c>
      <c r="Z33" s="2072"/>
      <c r="AA33" s="2072"/>
      <c r="AB33" s="2072"/>
      <c r="AC33" s="2072"/>
      <c r="AD33" s="2072"/>
      <c r="AE33" s="2072"/>
      <c r="AF33" s="2072"/>
      <c r="AG33" s="2072"/>
      <c r="AH33" s="2072"/>
      <c r="AI33" s="2072"/>
      <c r="AJ33" s="2072"/>
      <c r="AK33" s="2072"/>
      <c r="AL33" s="2072"/>
      <c r="AM33" s="2072"/>
      <c r="AN33" s="2072"/>
      <c r="AO33" s="2072"/>
      <c r="AP33" s="2072"/>
      <c r="AQ33" s="2072"/>
      <c r="AR33" s="2072"/>
      <c r="AS33" s="2072"/>
      <c r="AT33" s="2072"/>
      <c r="AU33" s="2072"/>
    </row>
    <row r="34" spans="1:47" ht="15" x14ac:dyDescent="0.2">
      <c r="A34" s="2072"/>
      <c r="B34" s="2085">
        <v>10.75</v>
      </c>
      <c r="C34" s="2067" t="s">
        <v>2299</v>
      </c>
      <c r="D34" s="2064">
        <v>110534</v>
      </c>
      <c r="E34" s="2064">
        <v>5</v>
      </c>
      <c r="F34" s="2065">
        <f>IF(INDEX('Inventory Report_5.4.2017'!$H$5:$V$603,MATCH('Casings et al'!D34,'Inventory Report_5.4.2017'!$B$5:$B$603,0),MATCH(INPUT!$H$8,'Inventory Report_5.4.2017'!$H$2:$V$2,0))=0,N34,INDEX('Inventory Report_5.4.2017'!$H$5:$V$603,MATCH('Casings et al'!D34,'Inventory Report_5.4.2017'!$B$5:$B$603,0),MATCH(INPUT!$H$8,'Inventory Report_5.4.2017'!$H$2:$V$2,0)))</f>
        <v>679.40000000000009</v>
      </c>
      <c r="G34" s="2086" t="s">
        <v>400</v>
      </c>
      <c r="H34" s="2075"/>
      <c r="I34" s="2072"/>
      <c r="J34" s="2074"/>
      <c r="K34" s="2074"/>
      <c r="L34" s="2072"/>
      <c r="M34" s="2072"/>
      <c r="N34" s="2076">
        <f t="shared" si="0"/>
        <v>679.40000000000009</v>
      </c>
      <c r="O34" s="2072"/>
      <c r="P34" s="2072"/>
      <c r="Q34" s="2072"/>
      <c r="R34" s="2072"/>
      <c r="S34" s="2072"/>
      <c r="T34" s="2072"/>
      <c r="U34" s="1757">
        <f>INDEX('Inventory Report_5.4.2017'!$H$5:$V$603,MATCH('Casings et al'!D34,'Inventory Report_5.4.2017'!$B$5:$B$603,0),MATCH($U$2,'Inventory Report_5.4.2017'!$H$2:$V$2,0))</f>
        <v>0</v>
      </c>
      <c r="V34" s="1757">
        <f>INDEX('Inventory Report_5.4.2017'!$H$5:$V$603,MATCH('Casings et al'!D34,'Inventory Report_5.4.2017'!$B$5:$B$603,0),MATCH($V$2,'Inventory Report_5.4.2017'!$H$2:$V$2,0))</f>
        <v>679.40000000000009</v>
      </c>
      <c r="W34" s="1757">
        <f>INDEX('Inventory Report_5.4.2017'!$H$5:$V$603,MATCH('Casings et al'!D34,'Inventory Report_5.4.2017'!$B$5:$B$603,0),MATCH($W$2,'Inventory Report_5.4.2017'!$H$2:$V$2,0))</f>
        <v>0</v>
      </c>
      <c r="X34" s="1757">
        <f>INDEX('Inventory Report_5.4.2017'!$H$5:$V$603,MATCH('Casings et al'!D34,'Inventory Report_5.4.2017'!$B$5:$B$603,0),MATCH($X$2,'Inventory Report_5.4.2017'!$H$2:$V$2,0))</f>
        <v>0</v>
      </c>
      <c r="Y34" s="1757">
        <f>INDEX('Inventory Report_5.4.2017'!$H$5:$V$603,MATCH('Casings et al'!D34,'Inventory Report_5.4.2017'!$B$5:$B$603,0),MATCH($Y$2,'Inventory Report_5.4.2017'!$H$2:$V$2,0))</f>
        <v>0</v>
      </c>
      <c r="Z34" s="2072"/>
      <c r="AA34" s="2072"/>
      <c r="AB34" s="2072"/>
      <c r="AC34" s="2072"/>
      <c r="AD34" s="2072"/>
      <c r="AE34" s="2072"/>
      <c r="AF34" s="2072"/>
      <c r="AG34" s="2072"/>
      <c r="AH34" s="2072"/>
      <c r="AI34" s="2072"/>
      <c r="AJ34" s="2072"/>
      <c r="AK34" s="2072"/>
      <c r="AL34" s="2072"/>
      <c r="AM34" s="2072"/>
      <c r="AN34" s="2072"/>
      <c r="AO34" s="2072"/>
      <c r="AP34" s="2072"/>
      <c r="AQ34" s="2072"/>
      <c r="AR34" s="2072"/>
      <c r="AS34" s="2072"/>
      <c r="AT34" s="2072"/>
      <c r="AU34" s="2072"/>
    </row>
    <row r="35" spans="1:47" ht="15" x14ac:dyDescent="0.2">
      <c r="A35" s="2072"/>
      <c r="B35" s="2085">
        <v>10.75</v>
      </c>
      <c r="C35" s="2067" t="s">
        <v>2300</v>
      </c>
      <c r="D35" s="2064">
        <v>10416</v>
      </c>
      <c r="E35" s="2064">
        <v>1</v>
      </c>
      <c r="F35" s="2065">
        <f>IF(INDEX('Inventory Report_5.4.2017'!$H$5:$V$603,MATCH('Casings et al'!D35,'Inventory Report_5.4.2017'!$B$5:$B$603,0),MATCH(INPUT!$H$8,'Inventory Report_5.4.2017'!$H$2:$V$2,0))=0,N35,INDEX('Inventory Report_5.4.2017'!$H$5:$V$603,MATCH('Casings et al'!D35,'Inventory Report_5.4.2017'!$B$5:$B$603,0),MATCH(INPUT!$H$8,'Inventory Report_5.4.2017'!$H$2:$V$2,0)))</f>
        <v>10015.318421052631</v>
      </c>
      <c r="G35" s="2086" t="s">
        <v>400</v>
      </c>
      <c r="H35" s="2075"/>
      <c r="I35" s="2072"/>
      <c r="J35" s="2074"/>
      <c r="K35" s="2074"/>
      <c r="L35" s="2072"/>
      <c r="M35" s="2072"/>
      <c r="N35" s="2076">
        <f t="shared" si="0"/>
        <v>10015.391369617224</v>
      </c>
      <c r="O35" s="2072"/>
      <c r="P35" s="2072"/>
      <c r="Q35" s="2072"/>
      <c r="R35" s="2072"/>
      <c r="S35" s="2072"/>
      <c r="T35" s="2072"/>
      <c r="U35" s="1757">
        <f>INDEX('Inventory Report_5.4.2017'!$H$5:$V$603,MATCH('Casings et al'!D35,'Inventory Report_5.4.2017'!$B$5:$B$603,0),MATCH($U$2,'Inventory Report_5.4.2017'!$H$2:$V$2,0))</f>
        <v>0</v>
      </c>
      <c r="V35" s="1757">
        <f>INDEX('Inventory Report_5.4.2017'!$H$5:$V$603,MATCH('Casings et al'!D35,'Inventory Report_5.4.2017'!$B$5:$B$603,0),MATCH($V$2,'Inventory Report_5.4.2017'!$H$2:$V$2,0))</f>
        <v>10015.464318181817</v>
      </c>
      <c r="W35" s="1757">
        <f>INDEX('Inventory Report_5.4.2017'!$H$5:$V$603,MATCH('Casings et al'!D35,'Inventory Report_5.4.2017'!$B$5:$B$603,0),MATCH($W$2,'Inventory Report_5.4.2017'!$H$2:$V$2,0))</f>
        <v>10015.318421052631</v>
      </c>
      <c r="X35" s="1757">
        <f>INDEX('Inventory Report_5.4.2017'!$H$5:$V$603,MATCH('Casings et al'!D35,'Inventory Report_5.4.2017'!$B$5:$B$603,0),MATCH($X$2,'Inventory Report_5.4.2017'!$H$2:$V$2,0))</f>
        <v>0</v>
      </c>
      <c r="Y35" s="1757">
        <f>INDEX('Inventory Report_5.4.2017'!$H$5:$V$603,MATCH('Casings et al'!D35,'Inventory Report_5.4.2017'!$B$5:$B$603,0),MATCH($Y$2,'Inventory Report_5.4.2017'!$H$2:$V$2,0))</f>
        <v>0</v>
      </c>
      <c r="Z35" s="2072"/>
      <c r="AA35" s="2072"/>
      <c r="AB35" s="2072"/>
      <c r="AC35" s="2072"/>
      <c r="AD35" s="2072"/>
      <c r="AE35" s="2072"/>
      <c r="AF35" s="2072"/>
      <c r="AG35" s="2072"/>
      <c r="AH35" s="2072"/>
      <c r="AI35" s="2072"/>
      <c r="AJ35" s="2072"/>
      <c r="AK35" s="2072"/>
      <c r="AL35" s="2072"/>
      <c r="AM35" s="2072"/>
      <c r="AN35" s="2072"/>
      <c r="AO35" s="2072"/>
      <c r="AP35" s="2072"/>
      <c r="AQ35" s="2072"/>
      <c r="AR35" s="2072"/>
      <c r="AS35" s="2072"/>
      <c r="AT35" s="2072"/>
      <c r="AU35" s="2072"/>
    </row>
    <row r="36" spans="1:47" ht="15" x14ac:dyDescent="0.2">
      <c r="A36" s="2072"/>
      <c r="B36" s="2081">
        <v>8.625</v>
      </c>
      <c r="C36" s="2063" t="s">
        <v>2303</v>
      </c>
      <c r="D36" s="2064">
        <v>40321</v>
      </c>
      <c r="E36" s="2066">
        <f>ROUNDUP((DPL2HOLE-DPL1HOLE)/11.5,0)+3</f>
        <v>56</v>
      </c>
      <c r="F36" s="2065">
        <f>IF(INDEX('Inventory Report_5.4.2017'!$H$5:$V$603,MATCH('Casings et al'!D36,'Inventory Report_5.4.2017'!$B$5:$B$603,0),MATCH(INPUT!$H$8,'Inventory Report_5.4.2017'!$H$2:$V$2,0))=0,N36,INDEX('Inventory Report_5.4.2017'!$H$5:$V$603,MATCH('Casings et al'!D36,'Inventory Report_5.4.2017'!$B$5:$B$603,0),MATCH(INPUT!$H$8,'Inventory Report_5.4.2017'!$H$2:$V$2,0)))</f>
        <v>27381.5</v>
      </c>
      <c r="G36" s="2086" t="s">
        <v>402</v>
      </c>
      <c r="H36" s="2075"/>
      <c r="I36" s="2072"/>
      <c r="J36" s="2074"/>
      <c r="K36" s="2074"/>
      <c r="L36" s="2072"/>
      <c r="M36" s="2072"/>
      <c r="N36" s="2076">
        <f t="shared" si="0"/>
        <v>29799.896957301404</v>
      </c>
      <c r="O36" s="2072"/>
      <c r="P36" s="2072"/>
      <c r="Q36" s="2072"/>
      <c r="R36" s="2072"/>
      <c r="S36" s="2072"/>
      <c r="T36" s="2072"/>
      <c r="U36" s="1757">
        <f>INDEX('Inventory Report_5.4.2017'!$H$5:$V$603,MATCH('Casings et al'!D36,'Inventory Report_5.4.2017'!$B$5:$B$603,0),MATCH($U$2,'Inventory Report_5.4.2017'!$H$2:$V$2,0))</f>
        <v>33178.83</v>
      </c>
      <c r="V36" s="1757">
        <f>INDEX('Inventory Report_5.4.2017'!$H$5:$V$603,MATCH('Casings et al'!D36,'Inventory Report_5.4.2017'!$B$5:$B$603,0),MATCH($V$2,'Inventory Report_5.4.2017'!$H$2:$V$2,0))</f>
        <v>27593.872174999997</v>
      </c>
      <c r="W36" s="1757">
        <f>INDEX('Inventory Report_5.4.2017'!$H$5:$V$603,MATCH('Casings et al'!D36,'Inventory Report_5.4.2017'!$B$5:$B$603,0),MATCH($W$2,'Inventory Report_5.4.2017'!$H$2:$V$2,0))</f>
        <v>27381.5</v>
      </c>
      <c r="X36" s="1757">
        <f>INDEX('Inventory Report_5.4.2017'!$H$5:$V$603,MATCH('Casings et al'!D36,'Inventory Report_5.4.2017'!$B$5:$B$603,0),MATCH($X$2,'Inventory Report_5.4.2017'!$H$2:$V$2,0))</f>
        <v>31045.385654205609</v>
      </c>
      <c r="Y36" s="1757">
        <f>INDEX('Inventory Report_5.4.2017'!$H$5:$V$603,MATCH('Casings et al'!D36,'Inventory Report_5.4.2017'!$B$5:$B$603,0),MATCH($Y$2,'Inventory Report_5.4.2017'!$H$2:$V$2,0))</f>
        <v>0</v>
      </c>
      <c r="Z36" s="2072"/>
      <c r="AA36" s="2072"/>
      <c r="AB36" s="2072"/>
      <c r="AC36" s="2072"/>
      <c r="AD36" s="2072"/>
      <c r="AE36" s="2072"/>
      <c r="AF36" s="2072"/>
      <c r="AG36" s="2072"/>
      <c r="AH36" s="2072"/>
      <c r="AI36" s="2072"/>
      <c r="AJ36" s="2072"/>
      <c r="AK36" s="2072"/>
      <c r="AL36" s="2072"/>
      <c r="AM36" s="2072"/>
      <c r="AN36" s="2072"/>
      <c r="AO36" s="2072"/>
      <c r="AP36" s="2072"/>
      <c r="AQ36" s="2072"/>
      <c r="AR36" s="2072"/>
      <c r="AS36" s="2072"/>
      <c r="AT36" s="2072"/>
      <c r="AU36" s="2072"/>
    </row>
    <row r="37" spans="1:47" ht="15" x14ac:dyDescent="0.2">
      <c r="A37" s="2072"/>
      <c r="B37" s="2083">
        <v>8.625</v>
      </c>
      <c r="C37" s="2064" t="s">
        <v>2304</v>
      </c>
      <c r="D37" s="2064">
        <v>14328</v>
      </c>
      <c r="E37" s="2064">
        <v>1</v>
      </c>
      <c r="F37" s="2065">
        <f>IF(INDEX('Inventory Report_5.4.2017'!$H$5:$V$603,MATCH('Casings et al'!D37,'Inventory Report_5.4.2017'!$B$5:$B$603,0),MATCH(INPUT!$H$8,'Inventory Report_5.4.2017'!$H$2:$V$2,0))=0,N37,INDEX('Inventory Report_5.4.2017'!$H$5:$V$603,MATCH('Casings et al'!D37,'Inventory Report_5.4.2017'!$B$5:$B$603,0),MATCH(INPUT!$H$8,'Inventory Report_5.4.2017'!$H$2:$V$2,0)))</f>
        <v>23343.065000000002</v>
      </c>
      <c r="G37" s="2086" t="s">
        <v>402</v>
      </c>
      <c r="H37" s="2075"/>
      <c r="I37" s="2072"/>
      <c r="J37" s="2074"/>
      <c r="K37" s="2074"/>
      <c r="L37" s="2072"/>
      <c r="M37" s="2072"/>
      <c r="N37" s="2076">
        <f t="shared" si="0"/>
        <v>23343.065000000002</v>
      </c>
      <c r="O37" s="2072"/>
      <c r="P37" s="2072"/>
      <c r="Q37" s="2072"/>
      <c r="R37" s="2072"/>
      <c r="S37" s="2072"/>
      <c r="T37" s="2072"/>
      <c r="U37" s="1757">
        <f>INDEX('Inventory Report_5.4.2017'!$H$5:$V$603,MATCH('Casings et al'!D37,'Inventory Report_5.4.2017'!$B$5:$B$603,0),MATCH($U$2,'Inventory Report_5.4.2017'!$H$2:$V$2,0))</f>
        <v>0</v>
      </c>
      <c r="V37" s="1757">
        <f>INDEX('Inventory Report_5.4.2017'!$H$5:$V$603,MATCH('Casings et al'!D37,'Inventory Report_5.4.2017'!$B$5:$B$603,0),MATCH($V$2,'Inventory Report_5.4.2017'!$H$2:$V$2,0))</f>
        <v>0</v>
      </c>
      <c r="W37" s="1757">
        <f>INDEX('Inventory Report_5.4.2017'!$H$5:$V$603,MATCH('Casings et al'!D37,'Inventory Report_5.4.2017'!$B$5:$B$603,0),MATCH($W$2,'Inventory Report_5.4.2017'!$H$2:$V$2,0))</f>
        <v>23343.065000000002</v>
      </c>
      <c r="X37" s="1757">
        <f>INDEX('Inventory Report_5.4.2017'!$H$5:$V$603,MATCH('Casings et al'!D37,'Inventory Report_5.4.2017'!$B$5:$B$603,0),MATCH($X$2,'Inventory Report_5.4.2017'!$H$2:$V$2,0))</f>
        <v>0</v>
      </c>
      <c r="Y37" s="1757">
        <f>INDEX('Inventory Report_5.4.2017'!$H$5:$V$603,MATCH('Casings et al'!D37,'Inventory Report_5.4.2017'!$B$5:$B$603,0),MATCH($Y$2,'Inventory Report_5.4.2017'!$H$2:$V$2,0))</f>
        <v>0</v>
      </c>
      <c r="Z37" s="2072"/>
      <c r="AA37" s="2072"/>
      <c r="AB37" s="2072"/>
      <c r="AC37" s="2072"/>
      <c r="AD37" s="2072"/>
      <c r="AE37" s="2072"/>
      <c r="AF37" s="2072"/>
      <c r="AG37" s="2072"/>
      <c r="AH37" s="2072"/>
      <c r="AI37" s="2072"/>
      <c r="AJ37" s="2072"/>
      <c r="AK37" s="2072"/>
      <c r="AL37" s="2072"/>
      <c r="AM37" s="2072"/>
      <c r="AN37" s="2072"/>
      <c r="AO37" s="2072"/>
      <c r="AP37" s="2072"/>
      <c r="AQ37" s="2072"/>
      <c r="AR37" s="2072"/>
      <c r="AS37" s="2072"/>
      <c r="AT37" s="2072"/>
      <c r="AU37" s="2072"/>
    </row>
    <row r="38" spans="1:47" ht="15" x14ac:dyDescent="0.2">
      <c r="A38" s="2072"/>
      <c r="B38" s="2083">
        <v>8.625</v>
      </c>
      <c r="C38" s="2064" t="s">
        <v>2305</v>
      </c>
      <c r="D38" s="2064">
        <v>85214</v>
      </c>
      <c r="E38" s="2064">
        <v>1</v>
      </c>
      <c r="F38" s="2065">
        <f>IF(INDEX('Inventory Report_5.4.2017'!$H$5:$V$603,MATCH('Casings et al'!D38,'Inventory Report_5.4.2017'!$B$5:$B$603,0),MATCH(INPUT!$H$8,'Inventory Report_5.4.2017'!$H$2:$V$2,0))=0,N38,INDEX('Inventory Report_5.4.2017'!$H$5:$V$603,MATCH('Casings et al'!D38,'Inventory Report_5.4.2017'!$B$5:$B$603,0),MATCH(INPUT!$H$8,'Inventory Report_5.4.2017'!$H$2:$V$2,0)))</f>
        <v>291224.89500000002</v>
      </c>
      <c r="G38" s="2086" t="s">
        <v>402</v>
      </c>
      <c r="H38" s="2075"/>
      <c r="I38" s="2072"/>
      <c r="J38" s="2074"/>
      <c r="K38" s="2074"/>
      <c r="L38" s="2072"/>
      <c r="M38" s="2072"/>
      <c r="N38" s="2076">
        <f t="shared" si="0"/>
        <v>291224.89500000002</v>
      </c>
      <c r="O38" s="2072"/>
      <c r="P38" s="2072"/>
      <c r="Q38" s="2072"/>
      <c r="R38" s="2072"/>
      <c r="S38" s="2072"/>
      <c r="T38" s="2072"/>
      <c r="U38" s="1757">
        <f>INDEX('Inventory Report_5.4.2017'!$H$5:$V$603,MATCH('Casings et al'!D38,'Inventory Report_5.4.2017'!$B$5:$B$603,0),MATCH($U$2,'Inventory Report_5.4.2017'!$H$2:$V$2,0))</f>
        <v>288558.58</v>
      </c>
      <c r="V38" s="1757">
        <f>INDEX('Inventory Report_5.4.2017'!$H$5:$V$603,MATCH('Casings et al'!D38,'Inventory Report_5.4.2017'!$B$5:$B$603,0),MATCH($V$2,'Inventory Report_5.4.2017'!$H$2:$V$2,0))</f>
        <v>293891.21000000002</v>
      </c>
      <c r="W38" s="1757">
        <f>INDEX('Inventory Report_5.4.2017'!$H$5:$V$603,MATCH('Casings et al'!D38,'Inventory Report_5.4.2017'!$B$5:$B$603,0),MATCH($W$2,'Inventory Report_5.4.2017'!$H$2:$V$2,0))</f>
        <v>0</v>
      </c>
      <c r="X38" s="1757">
        <f>INDEX('Inventory Report_5.4.2017'!$H$5:$V$603,MATCH('Casings et al'!D38,'Inventory Report_5.4.2017'!$B$5:$B$603,0),MATCH($X$2,'Inventory Report_5.4.2017'!$H$2:$V$2,0))</f>
        <v>0</v>
      </c>
      <c r="Y38" s="1757">
        <f>INDEX('Inventory Report_5.4.2017'!$H$5:$V$603,MATCH('Casings et al'!D38,'Inventory Report_5.4.2017'!$B$5:$B$603,0),MATCH($Y$2,'Inventory Report_5.4.2017'!$H$2:$V$2,0))</f>
        <v>0</v>
      </c>
      <c r="Z38" s="2072"/>
      <c r="AA38" s="2072"/>
      <c r="AB38" s="2072"/>
      <c r="AC38" s="2072"/>
      <c r="AD38" s="2072"/>
      <c r="AE38" s="2072"/>
      <c r="AF38" s="2072"/>
      <c r="AG38" s="2072"/>
      <c r="AH38" s="2072"/>
      <c r="AI38" s="2072"/>
      <c r="AJ38" s="2072"/>
      <c r="AK38" s="2072"/>
      <c r="AL38" s="2072"/>
      <c r="AM38" s="2072"/>
      <c r="AN38" s="2072"/>
      <c r="AO38" s="2072"/>
      <c r="AP38" s="2072"/>
      <c r="AQ38" s="2072"/>
      <c r="AR38" s="2072"/>
      <c r="AS38" s="2072"/>
      <c r="AT38" s="2072"/>
      <c r="AU38" s="2072"/>
    </row>
    <row r="39" spans="1:47" ht="15" x14ac:dyDescent="0.2">
      <c r="A39" s="2072"/>
      <c r="B39" s="2084">
        <v>9.625</v>
      </c>
      <c r="C39" s="2068" t="s">
        <v>2443</v>
      </c>
      <c r="D39" s="2064">
        <v>85209</v>
      </c>
      <c r="E39" s="2066">
        <f>ROUNDUP((DPL1HOLE-DPRODHOLE)/11.5,0)+3</f>
        <v>59</v>
      </c>
      <c r="F39" s="2065">
        <f>IF(INDEX('Inventory Report_5.4.2017'!$H$5:$V$603,MATCH('Casings et al'!D39,'Inventory Report_5.4.2017'!$B$5:$B$603,0),MATCH(INPUT!$H$8,'Inventory Report_5.4.2017'!$H$2:$V$2,0))=0,N39,INDEX('Inventory Report_5.4.2017'!$H$5:$V$603,MATCH('Casings et al'!D39,'Inventory Report_5.4.2017'!$B$5:$B$603,0),MATCH(INPUT!$H$8,'Inventory Report_5.4.2017'!$H$2:$V$2,0)))</f>
        <v>54405.163846153846</v>
      </c>
      <c r="G39" s="2086" t="s">
        <v>400</v>
      </c>
      <c r="H39" s="2075"/>
      <c r="I39" s="2072"/>
      <c r="J39" s="2074"/>
      <c r="K39" s="2074"/>
      <c r="L39" s="2072"/>
      <c r="M39" s="2072"/>
      <c r="N39" s="2076">
        <f t="shared" si="0"/>
        <v>54405.163846153846</v>
      </c>
      <c r="O39" s="2072"/>
      <c r="P39" s="2072"/>
      <c r="Q39" s="2072"/>
      <c r="R39" s="2072"/>
      <c r="S39" s="2072"/>
      <c r="T39" s="2072"/>
      <c r="U39" s="1757">
        <f>INDEX('Inventory Report_5.4.2017'!$H$5:$V$603,MATCH('Casings et al'!D39,'Inventory Report_5.4.2017'!$B$5:$B$603,0),MATCH($U$2,'Inventory Report_5.4.2017'!$H$2:$V$2,0))</f>
        <v>0</v>
      </c>
      <c r="V39" s="1757">
        <f>INDEX('Inventory Report_5.4.2017'!$H$5:$V$603,MATCH('Casings et al'!D39,'Inventory Report_5.4.2017'!$B$5:$B$603,0),MATCH($V$2,'Inventory Report_5.4.2017'!$H$2:$V$2,0))</f>
        <v>54405.163846153846</v>
      </c>
      <c r="W39" s="1757">
        <f>INDEX('Inventory Report_5.4.2017'!$H$5:$V$603,MATCH('Casings et al'!D39,'Inventory Report_5.4.2017'!$B$5:$B$603,0),MATCH($W$2,'Inventory Report_5.4.2017'!$H$2:$V$2,0))</f>
        <v>0</v>
      </c>
      <c r="X39" s="1757">
        <f>INDEX('Inventory Report_5.4.2017'!$H$5:$V$603,MATCH('Casings et al'!D39,'Inventory Report_5.4.2017'!$B$5:$B$603,0),MATCH($X$2,'Inventory Report_5.4.2017'!$H$2:$V$2,0))</f>
        <v>0</v>
      </c>
      <c r="Y39" s="1757">
        <f>INDEX('Inventory Report_5.4.2017'!$H$5:$V$603,MATCH('Casings et al'!D39,'Inventory Report_5.4.2017'!$B$5:$B$603,0),MATCH($Y$2,'Inventory Report_5.4.2017'!$H$2:$V$2,0))</f>
        <v>0</v>
      </c>
      <c r="Z39" s="2072"/>
      <c r="AA39" s="2072"/>
      <c r="AB39" s="2072"/>
      <c r="AC39" s="2072"/>
      <c r="AD39" s="2072"/>
      <c r="AE39" s="2072"/>
      <c r="AF39" s="2072"/>
      <c r="AG39" s="2072"/>
      <c r="AH39" s="2072"/>
      <c r="AI39" s="2072"/>
      <c r="AJ39" s="2072"/>
      <c r="AK39" s="2072"/>
      <c r="AL39" s="2072"/>
      <c r="AM39" s="2072"/>
      <c r="AN39" s="2072"/>
      <c r="AO39" s="2072"/>
      <c r="AP39" s="2072"/>
      <c r="AQ39" s="2072"/>
      <c r="AR39" s="2072"/>
      <c r="AS39" s="2072"/>
      <c r="AT39" s="2072"/>
      <c r="AU39" s="2072"/>
    </row>
    <row r="40" spans="1:47" ht="15" x14ac:dyDescent="0.2">
      <c r="A40" s="2072"/>
      <c r="B40" s="2085">
        <v>9.625</v>
      </c>
      <c r="C40" s="2067" t="s">
        <v>2302</v>
      </c>
      <c r="D40" s="2064">
        <v>10149</v>
      </c>
      <c r="E40" s="2064">
        <v>3</v>
      </c>
      <c r="F40" s="2065">
        <f>IF(INDEX('Inventory Report_5.4.2017'!$H$5:$V$603,MATCH('Casings et al'!D40,'Inventory Report_5.4.2017'!$B$5:$B$603,0),MATCH(INPUT!$H$8,'Inventory Report_5.4.2017'!$H$2:$V$2,0))=0,N40,INDEX('Inventory Report_5.4.2017'!$H$5:$V$603,MATCH('Casings et al'!D40,'Inventory Report_5.4.2017'!$B$5:$B$603,0),MATCH(INPUT!$H$8,'Inventory Report_5.4.2017'!$H$2:$V$2,0)))</f>
        <v>56537.527391304349</v>
      </c>
      <c r="G40" s="2086" t="s">
        <v>400</v>
      </c>
      <c r="H40" s="2075"/>
      <c r="I40" s="2072"/>
      <c r="J40" s="2074"/>
      <c r="K40" s="2074"/>
      <c r="L40" s="2072"/>
      <c r="M40" s="2072"/>
      <c r="N40" s="2076">
        <f t="shared" si="0"/>
        <v>56008.915085303881</v>
      </c>
      <c r="O40" s="2072"/>
      <c r="P40" s="2072"/>
      <c r="Q40" s="2072"/>
      <c r="R40" s="2072"/>
      <c r="S40" s="2072"/>
      <c r="T40" s="2072"/>
      <c r="U40" s="1757">
        <f>INDEX('Inventory Report_5.4.2017'!$H$5:$V$603,MATCH('Casings et al'!D40,'Inventory Report_5.4.2017'!$B$5:$B$603,0),MATCH($U$2,'Inventory Report_5.4.2017'!$H$2:$V$2,0))</f>
        <v>0</v>
      </c>
      <c r="V40" s="1757">
        <f>INDEX('Inventory Report_5.4.2017'!$H$5:$V$603,MATCH('Casings et al'!D40,'Inventory Report_5.4.2017'!$B$5:$B$603,0),MATCH($V$2,'Inventory Report_5.4.2017'!$H$2:$V$2,0))</f>
        <v>54405.163594266814</v>
      </c>
      <c r="W40" s="1757">
        <f>INDEX('Inventory Report_5.4.2017'!$H$5:$V$603,MATCH('Casings et al'!D40,'Inventory Report_5.4.2017'!$B$5:$B$603,0),MATCH($W$2,'Inventory Report_5.4.2017'!$H$2:$V$2,0))</f>
        <v>56537.527391304349</v>
      </c>
      <c r="X40" s="1757">
        <f>INDEX('Inventory Report_5.4.2017'!$H$5:$V$603,MATCH('Casings et al'!D40,'Inventory Report_5.4.2017'!$B$5:$B$603,0),MATCH($X$2,'Inventory Report_5.4.2017'!$H$2:$V$2,0))</f>
        <v>56479.634615384617</v>
      </c>
      <c r="Y40" s="1757">
        <f>INDEX('Inventory Report_5.4.2017'!$H$5:$V$603,MATCH('Casings et al'!D40,'Inventory Report_5.4.2017'!$B$5:$B$603,0),MATCH($Y$2,'Inventory Report_5.4.2017'!$H$2:$V$2,0))</f>
        <v>56613.334740259743</v>
      </c>
      <c r="Z40" s="2072"/>
      <c r="AA40" s="2072"/>
      <c r="AB40" s="2072"/>
      <c r="AC40" s="2072"/>
      <c r="AD40" s="2072"/>
      <c r="AE40" s="2072"/>
      <c r="AF40" s="2072"/>
      <c r="AG40" s="2072"/>
      <c r="AH40" s="2072"/>
      <c r="AI40" s="2072"/>
      <c r="AJ40" s="2072"/>
      <c r="AK40" s="2072"/>
      <c r="AL40" s="2072"/>
      <c r="AM40" s="2072"/>
      <c r="AN40" s="2072"/>
      <c r="AO40" s="2072"/>
      <c r="AP40" s="2072"/>
      <c r="AQ40" s="2072"/>
      <c r="AR40" s="2072"/>
      <c r="AS40" s="2072"/>
      <c r="AT40" s="2072"/>
      <c r="AU40" s="2072"/>
    </row>
    <row r="41" spans="1:47" ht="15" x14ac:dyDescent="0.2">
      <c r="A41" s="2072"/>
      <c r="B41" s="2085">
        <v>9.625</v>
      </c>
      <c r="C41" s="2067" t="s">
        <v>2444</v>
      </c>
      <c r="D41" s="2064">
        <v>67985</v>
      </c>
      <c r="E41" s="2064">
        <v>1</v>
      </c>
      <c r="F41" s="2065">
        <f>IF(INDEX('Inventory Report_5.4.2017'!$H$5:$V$603,MATCH('Casings et al'!D41,'Inventory Report_5.4.2017'!$B$5:$B$603,0),MATCH(INPUT!$H$8,'Inventory Report_5.4.2017'!$H$2:$V$2,0))=0,N41,INDEX('Inventory Report_5.4.2017'!$H$5:$V$603,MATCH('Casings et al'!D41,'Inventory Report_5.4.2017'!$B$5:$B$603,0),MATCH(INPUT!$H$8,'Inventory Report_5.4.2017'!$H$2:$V$2,0)))</f>
        <v>24569.559999999998</v>
      </c>
      <c r="G41" s="2086" t="s">
        <v>400</v>
      </c>
      <c r="H41" s="2075"/>
      <c r="I41" s="2072"/>
      <c r="J41" s="2074"/>
      <c r="K41" s="2074"/>
      <c r="L41" s="2072"/>
      <c r="M41" s="2072"/>
      <c r="N41" s="2076">
        <f t="shared" si="0"/>
        <v>24569.559999999998</v>
      </c>
      <c r="O41" s="2072"/>
      <c r="P41" s="2072"/>
      <c r="Q41" s="2072"/>
      <c r="R41" s="2072"/>
      <c r="S41" s="2072"/>
      <c r="T41" s="2072"/>
      <c r="U41" s="1757">
        <f>INDEX('Inventory Report_5.4.2017'!$H$5:$V$603,MATCH('Casings et al'!D41,'Inventory Report_5.4.2017'!$B$5:$B$603,0),MATCH($U$2,'Inventory Report_5.4.2017'!$H$2:$V$2,0))</f>
        <v>0</v>
      </c>
      <c r="V41" s="1757">
        <f>INDEX('Inventory Report_5.4.2017'!$H$5:$V$603,MATCH('Casings et al'!D41,'Inventory Report_5.4.2017'!$B$5:$B$603,0),MATCH($V$2,'Inventory Report_5.4.2017'!$H$2:$V$2,0))</f>
        <v>0</v>
      </c>
      <c r="W41" s="1757">
        <f>INDEX('Inventory Report_5.4.2017'!$H$5:$V$603,MATCH('Casings et al'!D41,'Inventory Report_5.4.2017'!$B$5:$B$603,0),MATCH($W$2,'Inventory Report_5.4.2017'!$H$2:$V$2,0))</f>
        <v>0</v>
      </c>
      <c r="X41" s="1757">
        <f>INDEX('Inventory Report_5.4.2017'!$H$5:$V$603,MATCH('Casings et al'!D41,'Inventory Report_5.4.2017'!$B$5:$B$603,0),MATCH($X$2,'Inventory Report_5.4.2017'!$H$2:$V$2,0))</f>
        <v>0</v>
      </c>
      <c r="Y41" s="1757">
        <f>INDEX('Inventory Report_5.4.2017'!$H$5:$V$603,MATCH('Casings et al'!D41,'Inventory Report_5.4.2017'!$B$5:$B$603,0),MATCH($Y$2,'Inventory Report_5.4.2017'!$H$2:$V$2,0))</f>
        <v>24569.559999999998</v>
      </c>
      <c r="Z41" s="2072"/>
      <c r="AA41" s="2072"/>
      <c r="AB41" s="2072"/>
      <c r="AC41" s="2072"/>
      <c r="AD41" s="2072"/>
      <c r="AE41" s="2072"/>
      <c r="AF41" s="2072"/>
      <c r="AG41" s="2072"/>
      <c r="AH41" s="2072"/>
      <c r="AI41" s="2072"/>
      <c r="AJ41" s="2072"/>
      <c r="AK41" s="2072"/>
      <c r="AL41" s="2072"/>
      <c r="AM41" s="2072"/>
      <c r="AN41" s="2072"/>
      <c r="AO41" s="2072"/>
      <c r="AP41" s="2072"/>
      <c r="AQ41" s="2072"/>
      <c r="AR41" s="2072"/>
      <c r="AS41" s="2072"/>
      <c r="AT41" s="2072"/>
      <c r="AU41" s="2072"/>
    </row>
    <row r="42" spans="1:47" s="315" customFormat="1" ht="15" x14ac:dyDescent="0.2">
      <c r="A42" s="2072"/>
      <c r="B42" s="2085">
        <v>9.625</v>
      </c>
      <c r="C42" s="2067" t="s">
        <v>2301</v>
      </c>
      <c r="D42" s="2064">
        <v>115868</v>
      </c>
      <c r="E42" s="2064">
        <v>1</v>
      </c>
      <c r="F42" s="2065">
        <f>IF(INDEX('Inventory Report_5.4.2017'!$H$5:$V$603,MATCH('Casings et al'!D42,'Inventory Report_5.4.2017'!$B$5:$B$603,0),MATCH(INPUT!$H$8,'Inventory Report_5.4.2017'!$H$2:$V$2,0))=0,N42,INDEX('Inventory Report_5.4.2017'!$H$5:$V$603,MATCH('Casings et al'!D42,'Inventory Report_5.4.2017'!$B$5:$B$603,0),MATCH(INPUT!$H$8,'Inventory Report_5.4.2017'!$H$2:$V$2,0)))</f>
        <v>157165.19333333333</v>
      </c>
      <c r="G42" s="2086" t="s">
        <v>400</v>
      </c>
      <c r="H42" s="2075"/>
      <c r="I42" s="2072"/>
      <c r="J42" s="2074"/>
      <c r="K42" s="2074"/>
      <c r="L42" s="2072"/>
      <c r="M42" s="2072"/>
      <c r="N42" s="2076">
        <f t="shared" si="0"/>
        <v>157165.19333333333</v>
      </c>
      <c r="O42" s="2072"/>
      <c r="P42" s="2072"/>
      <c r="Q42" s="2072"/>
      <c r="R42" s="2072"/>
      <c r="S42" s="2072"/>
      <c r="T42" s="2072"/>
      <c r="U42" s="1757">
        <f>INDEX('Inventory Report_5.4.2017'!$H$5:$V$603,MATCH('Casings et al'!D42,'Inventory Report_5.4.2017'!$B$5:$B$603,0),MATCH($U$2,'Inventory Report_5.4.2017'!$H$2:$V$2,0))</f>
        <v>157165.19333333333</v>
      </c>
      <c r="V42" s="1757">
        <f>INDEX('Inventory Report_5.4.2017'!$H$5:$V$603,MATCH('Casings et al'!D42,'Inventory Report_5.4.2017'!$B$5:$B$603,0),MATCH($V$2,'Inventory Report_5.4.2017'!$H$2:$V$2,0))</f>
        <v>0</v>
      </c>
      <c r="W42" s="1757">
        <f>INDEX('Inventory Report_5.4.2017'!$H$5:$V$603,MATCH('Casings et al'!D42,'Inventory Report_5.4.2017'!$B$5:$B$603,0),MATCH($W$2,'Inventory Report_5.4.2017'!$H$2:$V$2,0))</f>
        <v>0</v>
      </c>
      <c r="X42" s="1757">
        <f>INDEX('Inventory Report_5.4.2017'!$H$5:$V$603,MATCH('Casings et al'!D42,'Inventory Report_5.4.2017'!$B$5:$B$603,0),MATCH($X$2,'Inventory Report_5.4.2017'!$H$2:$V$2,0))</f>
        <v>157165.19333333333</v>
      </c>
      <c r="Y42" s="1757">
        <f>INDEX('Inventory Report_5.4.2017'!$H$5:$V$603,MATCH('Casings et al'!D42,'Inventory Report_5.4.2017'!$B$5:$B$603,0),MATCH($Y$2,'Inventory Report_5.4.2017'!$H$2:$V$2,0))</f>
        <v>0</v>
      </c>
      <c r="Z42" s="2072"/>
      <c r="AA42" s="2072"/>
      <c r="AB42" s="2072"/>
      <c r="AC42" s="2072"/>
      <c r="AD42" s="2072"/>
      <c r="AE42" s="2072"/>
      <c r="AF42" s="2072"/>
      <c r="AG42" s="2072"/>
      <c r="AH42" s="2072"/>
      <c r="AI42" s="2072"/>
      <c r="AJ42" s="2072"/>
      <c r="AK42" s="2072"/>
      <c r="AL42" s="2072"/>
      <c r="AM42" s="2072"/>
      <c r="AN42" s="2072"/>
      <c r="AO42" s="2072"/>
      <c r="AP42" s="2072"/>
      <c r="AQ42" s="2072"/>
      <c r="AR42" s="2072"/>
      <c r="AS42" s="2072"/>
      <c r="AT42" s="2072"/>
      <c r="AU42" s="2072"/>
    </row>
    <row r="43" spans="1:47" ht="15" x14ac:dyDescent="0.2">
      <c r="A43" s="2072"/>
      <c r="B43" s="2085">
        <v>9.625</v>
      </c>
      <c r="C43" s="2067" t="s">
        <v>2277</v>
      </c>
      <c r="D43" s="2064">
        <v>13909</v>
      </c>
      <c r="E43" s="2064">
        <v>5</v>
      </c>
      <c r="F43" s="2065">
        <f>IF(INDEX('Inventory Report_5.4.2017'!$H$5:$V$603,MATCH('Casings et al'!D43,'Inventory Report_5.4.2017'!$B$5:$B$603,0),MATCH(INPUT!$H$8,'Inventory Report_5.4.2017'!$H$2:$V$2,0))=0,N43,INDEX('Inventory Report_5.4.2017'!$H$5:$V$603,MATCH('Casings et al'!D43,'Inventory Report_5.4.2017'!$B$5:$B$603,0),MATCH(INPUT!$H$8,'Inventory Report_5.4.2017'!$H$2:$V$2,0)))</f>
        <v>3639.9091803278689</v>
      </c>
      <c r="G43" s="2086" t="s">
        <v>400</v>
      </c>
      <c r="H43" s="2075"/>
      <c r="I43" s="2072"/>
      <c r="J43" s="2074"/>
      <c r="K43" s="2074"/>
      <c r="L43" s="2072"/>
      <c r="M43" s="2072"/>
      <c r="N43" s="2076">
        <f t="shared" si="0"/>
        <v>3167.1822950819674</v>
      </c>
      <c r="O43" s="2072"/>
      <c r="P43" s="2072"/>
      <c r="Q43" s="2072"/>
      <c r="R43" s="2072"/>
      <c r="S43" s="2072"/>
      <c r="T43" s="2072"/>
      <c r="U43" s="1757">
        <f>INDEX('Inventory Report_5.4.2017'!$H$5:$V$603,MATCH('Casings et al'!D43,'Inventory Report_5.4.2017'!$B$5:$B$603,0),MATCH($U$2,'Inventory Report_5.4.2017'!$H$2:$V$2,0))</f>
        <v>0</v>
      </c>
      <c r="V43" s="1757">
        <f>INDEX('Inventory Report_5.4.2017'!$H$5:$V$603,MATCH('Casings et al'!D43,'Inventory Report_5.4.2017'!$B$5:$B$603,0),MATCH($V$2,'Inventory Report_5.4.2017'!$H$2:$V$2,0))</f>
        <v>3396.97</v>
      </c>
      <c r="W43" s="1757">
        <f>INDEX('Inventory Report_5.4.2017'!$H$5:$V$603,MATCH('Casings et al'!D43,'Inventory Report_5.4.2017'!$B$5:$B$603,0),MATCH($W$2,'Inventory Report_5.4.2017'!$H$2:$V$2,0))</f>
        <v>3639.9091803278689</v>
      </c>
      <c r="X43" s="1757">
        <f>INDEX('Inventory Report_5.4.2017'!$H$5:$V$603,MATCH('Casings et al'!D43,'Inventory Report_5.4.2017'!$B$5:$B$603,0),MATCH($X$2,'Inventory Report_5.4.2017'!$H$2:$V$2,0))</f>
        <v>3895</v>
      </c>
      <c r="Y43" s="1757">
        <f>INDEX('Inventory Report_5.4.2017'!$H$5:$V$603,MATCH('Casings et al'!D43,'Inventory Report_5.4.2017'!$B$5:$B$603,0),MATCH($Y$2,'Inventory Report_5.4.2017'!$H$2:$V$2,0))</f>
        <v>1736.85</v>
      </c>
      <c r="Z43" s="2072"/>
      <c r="AA43" s="2072"/>
      <c r="AB43" s="2072"/>
      <c r="AC43" s="2072"/>
      <c r="AD43" s="2072"/>
      <c r="AE43" s="2072"/>
      <c r="AF43" s="2072"/>
      <c r="AG43" s="2072"/>
      <c r="AH43" s="2072"/>
      <c r="AI43" s="2072"/>
      <c r="AJ43" s="2072"/>
      <c r="AK43" s="2072"/>
      <c r="AL43" s="2072"/>
      <c r="AM43" s="2072"/>
      <c r="AN43" s="2072"/>
      <c r="AO43" s="2072"/>
      <c r="AP43" s="2072"/>
      <c r="AQ43" s="2072"/>
      <c r="AR43" s="2072"/>
      <c r="AS43" s="2072"/>
      <c r="AT43" s="2072"/>
      <c r="AU43" s="2072"/>
    </row>
    <row r="44" spans="1:47" ht="15" x14ac:dyDescent="0.2">
      <c r="A44" s="2072"/>
      <c r="B44" s="2085">
        <v>9.625</v>
      </c>
      <c r="C44" s="2067" t="s">
        <v>2278</v>
      </c>
      <c r="D44" s="2064">
        <v>110534</v>
      </c>
      <c r="E44" s="2064">
        <v>5</v>
      </c>
      <c r="F44" s="2065">
        <f>IF(INDEX('Inventory Report_5.4.2017'!$H$5:$V$603,MATCH('Casings et al'!D44,'Inventory Report_5.4.2017'!$B$5:$B$603,0),MATCH(INPUT!$H$8,'Inventory Report_5.4.2017'!$H$2:$V$2,0))=0,N44,INDEX('Inventory Report_5.4.2017'!$H$5:$V$603,MATCH('Casings et al'!D44,'Inventory Report_5.4.2017'!$B$5:$B$603,0),MATCH(INPUT!$H$8,'Inventory Report_5.4.2017'!$H$2:$V$2,0)))</f>
        <v>679.40000000000009</v>
      </c>
      <c r="G44" s="2086" t="s">
        <v>400</v>
      </c>
      <c r="H44" s="2075"/>
      <c r="I44" s="2072"/>
      <c r="J44" s="2074"/>
      <c r="K44" s="2074"/>
      <c r="L44" s="2072"/>
      <c r="M44" s="2072"/>
      <c r="N44" s="2076">
        <f t="shared" si="0"/>
        <v>679.40000000000009</v>
      </c>
      <c r="O44" s="2072"/>
      <c r="P44" s="2072"/>
      <c r="Q44" s="2072"/>
      <c r="R44" s="2072"/>
      <c r="S44" s="2072"/>
      <c r="T44" s="2072"/>
      <c r="U44" s="1757">
        <f>INDEX('Inventory Report_5.4.2017'!$H$5:$V$603,MATCH('Casings et al'!D44,'Inventory Report_5.4.2017'!$B$5:$B$603,0),MATCH($U$2,'Inventory Report_5.4.2017'!$H$2:$V$2,0))</f>
        <v>0</v>
      </c>
      <c r="V44" s="1757">
        <f>INDEX('Inventory Report_5.4.2017'!$H$5:$V$603,MATCH('Casings et al'!D44,'Inventory Report_5.4.2017'!$B$5:$B$603,0),MATCH($V$2,'Inventory Report_5.4.2017'!$H$2:$V$2,0))</f>
        <v>679.40000000000009</v>
      </c>
      <c r="W44" s="1757">
        <f>INDEX('Inventory Report_5.4.2017'!$H$5:$V$603,MATCH('Casings et al'!D44,'Inventory Report_5.4.2017'!$B$5:$B$603,0),MATCH($W$2,'Inventory Report_5.4.2017'!$H$2:$V$2,0))</f>
        <v>0</v>
      </c>
      <c r="X44" s="1757">
        <f>INDEX('Inventory Report_5.4.2017'!$H$5:$V$603,MATCH('Casings et al'!D44,'Inventory Report_5.4.2017'!$B$5:$B$603,0),MATCH($X$2,'Inventory Report_5.4.2017'!$H$2:$V$2,0))</f>
        <v>0</v>
      </c>
      <c r="Y44" s="1757">
        <f>INDEX('Inventory Report_5.4.2017'!$H$5:$V$603,MATCH('Casings et al'!D44,'Inventory Report_5.4.2017'!$B$5:$B$603,0),MATCH($Y$2,'Inventory Report_5.4.2017'!$H$2:$V$2,0))</f>
        <v>0</v>
      </c>
      <c r="Z44" s="2072"/>
      <c r="AA44" s="2072"/>
      <c r="AB44" s="2072"/>
      <c r="AC44" s="2072"/>
      <c r="AD44" s="2072"/>
      <c r="AE44" s="2072"/>
      <c r="AF44" s="2072"/>
      <c r="AG44" s="2072"/>
      <c r="AH44" s="2072"/>
      <c r="AI44" s="2072"/>
      <c r="AJ44" s="2072"/>
      <c r="AK44" s="2072"/>
      <c r="AL44" s="2072"/>
      <c r="AM44" s="2072"/>
      <c r="AN44" s="2072"/>
      <c r="AO44" s="2072"/>
      <c r="AP44" s="2072"/>
      <c r="AQ44" s="2072"/>
      <c r="AR44" s="2072"/>
      <c r="AS44" s="2072"/>
      <c r="AT44" s="2072"/>
      <c r="AU44" s="2072"/>
    </row>
    <row r="45" spans="1:47" ht="15" x14ac:dyDescent="0.2">
      <c r="A45" s="2072"/>
      <c r="B45" s="2085">
        <v>9.625</v>
      </c>
      <c r="C45" s="2067" t="s">
        <v>2279</v>
      </c>
      <c r="D45" s="2064">
        <v>10416</v>
      </c>
      <c r="E45" s="2064">
        <v>1</v>
      </c>
      <c r="F45" s="2065">
        <f>IF(INDEX('Inventory Report_5.4.2017'!$H$5:$V$603,MATCH('Casings et al'!D45,'Inventory Report_5.4.2017'!$B$5:$B$603,0),MATCH(INPUT!$H$8,'Inventory Report_5.4.2017'!$H$2:$V$2,0))=0,N45,INDEX('Inventory Report_5.4.2017'!$H$5:$V$603,MATCH('Casings et al'!D45,'Inventory Report_5.4.2017'!$B$5:$B$603,0),MATCH(INPUT!$H$8,'Inventory Report_5.4.2017'!$H$2:$V$2,0)))</f>
        <v>10015.318421052631</v>
      </c>
      <c r="G45" s="2086" t="s">
        <v>400</v>
      </c>
      <c r="H45" s="2075"/>
      <c r="I45" s="2072"/>
      <c r="J45" s="2074"/>
      <c r="K45" s="2074"/>
      <c r="L45" s="2072"/>
      <c r="M45" s="2072"/>
      <c r="N45" s="2076">
        <f t="shared" si="0"/>
        <v>10015.391369617224</v>
      </c>
      <c r="O45" s="2072"/>
      <c r="P45" s="2072"/>
      <c r="Q45" s="2072"/>
      <c r="R45" s="2072"/>
      <c r="S45" s="2072"/>
      <c r="T45" s="2072"/>
      <c r="U45" s="1757">
        <f>INDEX('Inventory Report_5.4.2017'!$H$5:$V$603,MATCH('Casings et al'!D45,'Inventory Report_5.4.2017'!$B$5:$B$603,0),MATCH($U$2,'Inventory Report_5.4.2017'!$H$2:$V$2,0))</f>
        <v>0</v>
      </c>
      <c r="V45" s="1757">
        <f>INDEX('Inventory Report_5.4.2017'!$H$5:$V$603,MATCH('Casings et al'!D45,'Inventory Report_5.4.2017'!$B$5:$B$603,0),MATCH($V$2,'Inventory Report_5.4.2017'!$H$2:$V$2,0))</f>
        <v>10015.464318181817</v>
      </c>
      <c r="W45" s="1757">
        <f>INDEX('Inventory Report_5.4.2017'!$H$5:$V$603,MATCH('Casings et al'!D45,'Inventory Report_5.4.2017'!$B$5:$B$603,0),MATCH($W$2,'Inventory Report_5.4.2017'!$H$2:$V$2,0))</f>
        <v>10015.318421052631</v>
      </c>
      <c r="X45" s="1757">
        <f>INDEX('Inventory Report_5.4.2017'!$H$5:$V$603,MATCH('Casings et al'!D45,'Inventory Report_5.4.2017'!$B$5:$B$603,0),MATCH($X$2,'Inventory Report_5.4.2017'!$H$2:$V$2,0))</f>
        <v>0</v>
      </c>
      <c r="Y45" s="1757">
        <f>INDEX('Inventory Report_5.4.2017'!$H$5:$V$603,MATCH('Casings et al'!D45,'Inventory Report_5.4.2017'!$B$5:$B$603,0),MATCH($Y$2,'Inventory Report_5.4.2017'!$H$2:$V$2,0))</f>
        <v>0</v>
      </c>
      <c r="Z45" s="2072"/>
      <c r="AA45" s="2072"/>
      <c r="AB45" s="2072"/>
      <c r="AC45" s="2072"/>
      <c r="AD45" s="2072"/>
      <c r="AE45" s="2072"/>
      <c r="AF45" s="2072"/>
      <c r="AG45" s="2072"/>
      <c r="AH45" s="2072"/>
      <c r="AI45" s="2072"/>
      <c r="AJ45" s="2072"/>
      <c r="AK45" s="2072"/>
      <c r="AL45" s="2072"/>
      <c r="AM45" s="2072"/>
      <c r="AN45" s="2072"/>
      <c r="AO45" s="2072"/>
      <c r="AP45" s="2072"/>
      <c r="AQ45" s="2072"/>
      <c r="AR45" s="2072"/>
      <c r="AS45" s="2072"/>
      <c r="AT45" s="2072"/>
      <c r="AU45" s="2072"/>
    </row>
    <row r="46" spans="1:47" ht="15" x14ac:dyDescent="0.2">
      <c r="A46" s="2072"/>
      <c r="B46" s="2081">
        <v>7</v>
      </c>
      <c r="C46" s="2063" t="s">
        <v>2453</v>
      </c>
      <c r="D46" s="2064">
        <v>85208</v>
      </c>
      <c r="E46" s="2066">
        <f>ROUNDUP((DPL2HOLE-DPL1HOLE)/11.5,0)+3</f>
        <v>56</v>
      </c>
      <c r="F46" s="2065">
        <f>IF(INDEX('Inventory Report_5.4.2017'!$H$5:$V$603,MATCH('Casings et al'!D46,'Inventory Report_5.4.2017'!$B$5:$B$603,0),MATCH(INPUT!$H$8,'Inventory Report_5.4.2017'!$H$2:$V$2,0))=0,N46,INDEX('Inventory Report_5.4.2017'!$H$5:$V$603,MATCH('Casings et al'!D46,'Inventory Report_5.4.2017'!$B$5:$B$603,0),MATCH(INPUT!$H$8,'Inventory Report_5.4.2017'!$H$2:$V$2,0)))</f>
        <v>22789.29</v>
      </c>
      <c r="G46" s="2086" t="s">
        <v>402</v>
      </c>
      <c r="H46" s="2075"/>
      <c r="I46" s="2072"/>
      <c r="J46" s="2074"/>
      <c r="K46" s="2074"/>
      <c r="L46" s="2072"/>
      <c r="M46" s="2072"/>
      <c r="N46" s="2076">
        <f t="shared" si="0"/>
        <v>22789.29</v>
      </c>
      <c r="O46" s="2072"/>
      <c r="P46" s="2072"/>
      <c r="Q46" s="2072"/>
      <c r="R46" s="2072"/>
      <c r="S46" s="2072"/>
      <c r="T46" s="2072"/>
      <c r="U46" s="1757">
        <f>INDEX('Inventory Report_5.4.2017'!$H$5:$V$603,MATCH('Casings et al'!D46,'Inventory Report_5.4.2017'!$B$5:$B$603,0),MATCH($U$2,'Inventory Report_5.4.2017'!$H$2:$V$2,0))</f>
        <v>0</v>
      </c>
      <c r="V46" s="1757">
        <f>INDEX('Inventory Report_5.4.2017'!$H$5:$V$603,MATCH('Casings et al'!D46,'Inventory Report_5.4.2017'!$B$5:$B$603,0),MATCH($V$2,'Inventory Report_5.4.2017'!$H$2:$V$2,0))</f>
        <v>22789.29</v>
      </c>
      <c r="W46" s="1757">
        <f>INDEX('Inventory Report_5.4.2017'!$H$5:$V$603,MATCH('Casings et al'!D46,'Inventory Report_5.4.2017'!$B$5:$B$603,0),MATCH($W$2,'Inventory Report_5.4.2017'!$H$2:$V$2,0))</f>
        <v>0</v>
      </c>
      <c r="X46" s="1757">
        <f>INDEX('Inventory Report_5.4.2017'!$H$5:$V$603,MATCH('Casings et al'!D46,'Inventory Report_5.4.2017'!$B$5:$B$603,0),MATCH($X$2,'Inventory Report_5.4.2017'!$H$2:$V$2,0))</f>
        <v>0</v>
      </c>
      <c r="Y46" s="1757">
        <f>INDEX('Inventory Report_5.4.2017'!$H$5:$V$603,MATCH('Casings et al'!D46,'Inventory Report_5.4.2017'!$B$5:$B$603,0),MATCH($Y$2,'Inventory Report_5.4.2017'!$H$2:$V$2,0))</f>
        <v>0</v>
      </c>
      <c r="Z46" s="2072"/>
      <c r="AA46" s="2072"/>
      <c r="AB46" s="2072"/>
      <c r="AC46" s="2072"/>
      <c r="AD46" s="2072"/>
      <c r="AE46" s="2072"/>
      <c r="AF46" s="2072"/>
      <c r="AG46" s="2072"/>
      <c r="AH46" s="2072"/>
      <c r="AI46" s="2072"/>
      <c r="AJ46" s="2072"/>
      <c r="AK46" s="2072"/>
      <c r="AL46" s="2072"/>
      <c r="AM46" s="2072"/>
      <c r="AN46" s="2072"/>
      <c r="AO46" s="2072"/>
      <c r="AP46" s="2072"/>
      <c r="AQ46" s="2072"/>
      <c r="AR46" s="2072"/>
      <c r="AS46" s="2072"/>
      <c r="AT46" s="2072"/>
      <c r="AU46" s="2072"/>
    </row>
    <row r="47" spans="1:47" ht="15" x14ac:dyDescent="0.2">
      <c r="A47" s="2072"/>
      <c r="B47" s="2083">
        <v>7</v>
      </c>
      <c r="C47" s="2099" t="s">
        <v>2609</v>
      </c>
      <c r="D47" s="2064">
        <v>10138</v>
      </c>
      <c r="E47" s="2064">
        <v>1</v>
      </c>
      <c r="F47" s="2065">
        <f>IF(INDEX('Inventory Report_5.4.2017'!$H$5:$V$603,MATCH('Casings et al'!D47,'Inventory Report_5.4.2017'!$B$5:$B$603,0),MATCH(INPUT!$H$8,'Inventory Report_5.4.2017'!$H$2:$V$2,0))=0,N47,INDEX('Inventory Report_5.4.2017'!$H$5:$V$603,MATCH('Casings et al'!D47,'Inventory Report_5.4.2017'!$B$5:$B$603,0),MATCH(INPUT!$H$8,'Inventory Report_5.4.2017'!$H$2:$V$2,0)))</f>
        <v>18741.312857142857</v>
      </c>
      <c r="G47" s="2086" t="s">
        <v>402</v>
      </c>
      <c r="H47" s="2075"/>
      <c r="I47" s="2072"/>
      <c r="J47" s="2074"/>
      <c r="K47" s="2074"/>
      <c r="L47" s="2072"/>
      <c r="M47" s="2072"/>
      <c r="N47" s="2076">
        <f t="shared" si="0"/>
        <v>18953.079050118791</v>
      </c>
      <c r="O47" s="2072"/>
      <c r="P47" s="2072"/>
      <c r="Q47" s="2072"/>
      <c r="R47" s="2072"/>
      <c r="S47" s="2072"/>
      <c r="T47" s="2072"/>
      <c r="U47" s="1757">
        <f>INDEX('Inventory Report_5.4.2017'!$H$5:$V$603,MATCH('Casings et al'!D47,'Inventory Report_5.4.2017'!$B$5:$B$603,0),MATCH($U$2,'Inventory Report_5.4.2017'!$H$2:$V$2,0))</f>
        <v>0</v>
      </c>
      <c r="V47" s="1757">
        <f>INDEX('Inventory Report_5.4.2017'!$H$5:$V$603,MATCH('Casings et al'!D47,'Inventory Report_5.4.2017'!$B$5:$B$603,0),MATCH($V$2,'Inventory Report_5.4.2017'!$H$2:$V$2,0))</f>
        <v>19210.373143507975</v>
      </c>
      <c r="W47" s="1757">
        <f>INDEX('Inventory Report_5.4.2017'!$H$5:$V$603,MATCH('Casings et al'!D47,'Inventory Report_5.4.2017'!$B$5:$B$603,0),MATCH($W$2,'Inventory Report_5.4.2017'!$H$2:$V$2,0))</f>
        <v>18741.312857142857</v>
      </c>
      <c r="X47" s="1757">
        <f>INDEX('Inventory Report_5.4.2017'!$H$5:$V$603,MATCH('Casings et al'!D47,'Inventory Report_5.4.2017'!$B$5:$B$603,0),MATCH($X$2,'Inventory Report_5.4.2017'!$H$2:$V$2,0))</f>
        <v>19119.317373737373</v>
      </c>
      <c r="Y47" s="1757">
        <f>INDEX('Inventory Report_5.4.2017'!$H$5:$V$603,MATCH('Casings et al'!D47,'Inventory Report_5.4.2017'!$B$5:$B$603,0),MATCH($Y$2,'Inventory Report_5.4.2017'!$H$2:$V$2,0))</f>
        <v>18741.312826086956</v>
      </c>
      <c r="Z47" s="2072"/>
      <c r="AA47" s="2072"/>
      <c r="AB47" s="2072"/>
      <c r="AC47" s="2072"/>
      <c r="AD47" s="2072"/>
      <c r="AE47" s="2072"/>
      <c r="AF47" s="2072"/>
      <c r="AG47" s="2072"/>
      <c r="AH47" s="2072"/>
      <c r="AI47" s="2072"/>
      <c r="AJ47" s="2072"/>
      <c r="AK47" s="2072"/>
      <c r="AL47" s="2072"/>
      <c r="AM47" s="2072"/>
      <c r="AN47" s="2072"/>
      <c r="AO47" s="2072"/>
      <c r="AP47" s="2072"/>
      <c r="AQ47" s="2072"/>
      <c r="AR47" s="2072"/>
      <c r="AS47" s="2072"/>
      <c r="AT47" s="2072"/>
      <c r="AU47" s="2072"/>
    </row>
    <row r="48" spans="1:47" ht="16" thickBot="1" x14ac:dyDescent="0.25">
      <c r="A48" s="2072"/>
      <c r="B48" s="2097">
        <v>7</v>
      </c>
      <c r="C48" s="2087" t="s">
        <v>2452</v>
      </c>
      <c r="D48" s="2087">
        <v>29942</v>
      </c>
      <c r="E48" s="2087">
        <v>1</v>
      </c>
      <c r="F48" s="2098">
        <f>IF(INDEX('Inventory Report_5.4.2017'!$H$5:$V$603,MATCH('Casings et al'!D48,'Inventory Report_5.4.2017'!$B$5:$B$603,0),MATCH(INPUT!$H$8,'Inventory Report_5.4.2017'!$H$2:$V$2,0))=0,N48,INDEX('Inventory Report_5.4.2017'!$H$5:$V$603,MATCH('Casings et al'!D48,'Inventory Report_5.4.2017'!$B$5:$B$603,0),MATCH(INPUT!$H$8,'Inventory Report_5.4.2017'!$H$2:$V$2,0)))</f>
        <v>227.18</v>
      </c>
      <c r="G48" s="2089" t="s">
        <v>402</v>
      </c>
      <c r="H48" s="2075"/>
      <c r="I48" s="2072"/>
      <c r="J48" s="2074"/>
      <c r="K48" s="2074"/>
      <c r="L48" s="2072"/>
      <c r="M48" s="2072"/>
      <c r="N48" s="2076">
        <f t="shared" si="0"/>
        <v>227.18</v>
      </c>
      <c r="O48" s="2072"/>
      <c r="P48" s="2072"/>
      <c r="Q48" s="2072"/>
      <c r="R48" s="2072"/>
      <c r="S48" s="2072"/>
      <c r="T48" s="2072"/>
      <c r="U48" s="1757">
        <f>INDEX('Inventory Report_5.4.2017'!$H$5:$V$603,MATCH('Casings et al'!D48,'Inventory Report_5.4.2017'!$B$5:$B$603,0),MATCH($U$2,'Inventory Report_5.4.2017'!$H$2:$V$2,0))</f>
        <v>0</v>
      </c>
      <c r="V48" s="1757">
        <f>INDEX('Inventory Report_5.4.2017'!$H$5:$V$603,MATCH('Casings et al'!D48,'Inventory Report_5.4.2017'!$B$5:$B$603,0),MATCH($V$2,'Inventory Report_5.4.2017'!$H$2:$V$2,0))</f>
        <v>0</v>
      </c>
      <c r="W48" s="1757">
        <f>INDEX('Inventory Report_5.4.2017'!$H$5:$V$603,MATCH('Casings et al'!D48,'Inventory Report_5.4.2017'!$B$5:$B$603,0),MATCH($W$2,'Inventory Report_5.4.2017'!$H$2:$V$2,0))</f>
        <v>0</v>
      </c>
      <c r="X48" s="1757">
        <f>INDEX('Inventory Report_5.4.2017'!$H$5:$V$603,MATCH('Casings et al'!D48,'Inventory Report_5.4.2017'!$B$5:$B$603,0),MATCH($X$2,'Inventory Report_5.4.2017'!$H$2:$V$2,0))</f>
        <v>0</v>
      </c>
      <c r="Y48" s="1757">
        <f>INDEX('Inventory Report_5.4.2017'!$H$5:$V$603,MATCH('Casings et al'!D48,'Inventory Report_5.4.2017'!$B$5:$B$603,0),MATCH($Y$2,'Inventory Report_5.4.2017'!$H$2:$V$2,0))</f>
        <v>227.18</v>
      </c>
      <c r="Z48" s="2072"/>
      <c r="AA48" s="2072"/>
      <c r="AB48" s="2072"/>
      <c r="AC48" s="2072"/>
      <c r="AD48" s="2072"/>
      <c r="AE48" s="2072"/>
      <c r="AF48" s="2072"/>
      <c r="AG48" s="2072"/>
      <c r="AH48" s="2072"/>
      <c r="AI48" s="2072"/>
      <c r="AJ48" s="2072"/>
      <c r="AK48" s="2072"/>
      <c r="AL48" s="2072"/>
      <c r="AM48" s="2072"/>
      <c r="AN48" s="2072"/>
      <c r="AO48" s="2072"/>
      <c r="AP48" s="2072"/>
      <c r="AQ48" s="2072"/>
      <c r="AR48" s="2072"/>
      <c r="AS48" s="2072"/>
      <c r="AT48" s="2072"/>
      <c r="AU48" s="2072"/>
    </row>
    <row r="49" spans="1:47" x14ac:dyDescent="0.15">
      <c r="A49" s="2072"/>
      <c r="B49" s="2073"/>
      <c r="C49" s="2072"/>
      <c r="D49" s="2072"/>
      <c r="E49" s="2072"/>
      <c r="F49" s="2072"/>
      <c r="G49" s="2074"/>
      <c r="H49" s="2075"/>
      <c r="I49" s="2072"/>
      <c r="J49" s="2074"/>
      <c r="K49" s="2074"/>
      <c r="L49" s="2072"/>
      <c r="M49" s="2072"/>
      <c r="N49" s="2072"/>
      <c r="O49" s="2072"/>
      <c r="P49" s="2072"/>
      <c r="Q49" s="2072"/>
      <c r="R49" s="2072"/>
      <c r="S49" s="2072"/>
      <c r="T49" s="2072"/>
      <c r="Z49" s="2072"/>
      <c r="AA49" s="2072"/>
      <c r="AB49" s="2072"/>
      <c r="AC49" s="2072"/>
      <c r="AD49" s="2072"/>
      <c r="AE49" s="2072"/>
      <c r="AF49" s="2072"/>
      <c r="AG49" s="2072"/>
      <c r="AH49" s="2072"/>
      <c r="AI49" s="2072"/>
      <c r="AJ49" s="2072"/>
      <c r="AK49" s="2072"/>
      <c r="AL49" s="2072"/>
      <c r="AM49" s="2072"/>
      <c r="AN49" s="2072"/>
      <c r="AO49" s="2072"/>
      <c r="AP49" s="2072"/>
      <c r="AQ49" s="2072"/>
      <c r="AR49" s="2072"/>
      <c r="AS49" s="2072"/>
      <c r="AT49" s="2072"/>
      <c r="AU49" s="2072"/>
    </row>
    <row r="50" spans="1:47" x14ac:dyDescent="0.15">
      <c r="A50" s="2072"/>
      <c r="B50" s="2073"/>
      <c r="C50" s="2072"/>
      <c r="D50" s="2072"/>
      <c r="E50" s="2072"/>
      <c r="F50" s="2072"/>
      <c r="G50" s="2074"/>
      <c r="H50" s="2075"/>
      <c r="I50" s="2072"/>
      <c r="J50" s="2074"/>
      <c r="K50" s="2074"/>
      <c r="L50" s="2072"/>
      <c r="M50" s="2072"/>
      <c r="N50" s="2072"/>
      <c r="O50" s="2072"/>
      <c r="P50" s="2072"/>
      <c r="Q50" s="2072"/>
      <c r="R50" s="2072"/>
      <c r="S50" s="2072"/>
      <c r="T50" s="2072"/>
      <c r="U50" s="2072"/>
      <c r="V50" s="2072"/>
      <c r="W50" s="2072"/>
      <c r="X50" s="2072"/>
      <c r="Y50" s="2072"/>
      <c r="Z50" s="2072"/>
      <c r="AA50" s="2072"/>
      <c r="AB50" s="2072"/>
      <c r="AC50" s="2072"/>
      <c r="AD50" s="2072"/>
      <c r="AE50" s="2072"/>
      <c r="AF50" s="2072"/>
      <c r="AG50" s="2072"/>
      <c r="AH50" s="2072"/>
      <c r="AI50" s="2072"/>
      <c r="AJ50" s="2072"/>
      <c r="AK50" s="2072"/>
      <c r="AL50" s="2072"/>
      <c r="AM50" s="2072"/>
      <c r="AN50" s="2072"/>
      <c r="AO50" s="2072"/>
      <c r="AP50" s="2072"/>
      <c r="AQ50" s="2072"/>
      <c r="AR50" s="2072"/>
      <c r="AS50" s="2072"/>
      <c r="AT50" s="2072"/>
      <c r="AU50" s="2072"/>
    </row>
    <row r="51" spans="1:47" x14ac:dyDescent="0.15">
      <c r="A51" s="2072"/>
      <c r="B51" s="2073"/>
      <c r="C51" s="2072"/>
      <c r="D51" s="2072"/>
      <c r="E51" s="2072"/>
      <c r="F51" s="2072"/>
      <c r="G51" s="2074"/>
      <c r="H51" s="2075"/>
      <c r="I51" s="2072"/>
      <c r="J51" s="2074"/>
      <c r="K51" s="2074"/>
      <c r="L51" s="2072"/>
      <c r="M51" s="2072"/>
      <c r="N51" s="2072"/>
      <c r="O51" s="2072"/>
      <c r="P51" s="2072"/>
      <c r="Q51" s="2072"/>
      <c r="R51" s="2072"/>
      <c r="S51" s="2072"/>
      <c r="T51" s="2072"/>
      <c r="U51" s="2072"/>
      <c r="V51" s="2072"/>
      <c r="W51" s="2072"/>
      <c r="X51" s="2072"/>
      <c r="Y51" s="2072"/>
      <c r="Z51" s="2072"/>
      <c r="AA51" s="2072"/>
      <c r="AB51" s="2072"/>
      <c r="AC51" s="2072"/>
      <c r="AD51" s="2072"/>
      <c r="AE51" s="2072"/>
      <c r="AF51" s="2072"/>
      <c r="AG51" s="2072"/>
      <c r="AH51" s="2072"/>
      <c r="AI51" s="2072"/>
      <c r="AJ51" s="2072"/>
      <c r="AK51" s="2072"/>
      <c r="AL51" s="2072"/>
      <c r="AM51" s="2072"/>
      <c r="AN51" s="2072"/>
      <c r="AO51" s="2072"/>
      <c r="AP51" s="2072"/>
      <c r="AQ51" s="2072"/>
      <c r="AR51" s="2072"/>
      <c r="AS51" s="2072"/>
      <c r="AT51" s="2072"/>
      <c r="AU51" s="2072"/>
    </row>
    <row r="52" spans="1:47" x14ac:dyDescent="0.15">
      <c r="A52" s="2072"/>
      <c r="B52" s="2073"/>
      <c r="C52" s="2072"/>
      <c r="D52" s="2072"/>
      <c r="E52" s="2072"/>
      <c r="F52" s="2072"/>
      <c r="G52" s="2074"/>
      <c r="H52" s="2075"/>
      <c r="I52" s="2072"/>
      <c r="J52" s="2074"/>
      <c r="K52" s="2074"/>
      <c r="L52" s="2072"/>
      <c r="M52" s="2072"/>
      <c r="N52" s="2072"/>
      <c r="O52" s="2072"/>
      <c r="P52" s="2072"/>
      <c r="Q52" s="2072"/>
      <c r="R52" s="2072"/>
      <c r="S52" s="2072"/>
      <c r="T52" s="2072"/>
      <c r="U52" s="2072"/>
      <c r="V52" s="2072"/>
      <c r="W52" s="2072"/>
      <c r="X52" s="2072"/>
      <c r="Y52" s="2072"/>
      <c r="Z52" s="2072"/>
      <c r="AA52" s="2072"/>
      <c r="AB52" s="2072"/>
      <c r="AC52" s="2072"/>
      <c r="AD52" s="2072"/>
      <c r="AE52" s="2072"/>
      <c r="AF52" s="2072"/>
      <c r="AG52" s="2072"/>
      <c r="AH52" s="2072"/>
      <c r="AI52" s="2072"/>
      <c r="AJ52" s="2072"/>
      <c r="AK52" s="2072"/>
      <c r="AL52" s="2072"/>
      <c r="AM52" s="2072"/>
      <c r="AN52" s="2072"/>
      <c r="AO52" s="2072"/>
      <c r="AP52" s="2072"/>
      <c r="AQ52" s="2072"/>
      <c r="AR52" s="2072"/>
      <c r="AS52" s="2072"/>
      <c r="AT52" s="2072"/>
      <c r="AU52" s="2072"/>
    </row>
    <row r="53" spans="1:47" x14ac:dyDescent="0.15">
      <c r="A53" s="2072"/>
      <c r="B53" s="2073"/>
      <c r="C53" s="2072"/>
      <c r="D53" s="2072"/>
      <c r="E53" s="2072"/>
      <c r="F53" s="2072"/>
      <c r="G53" s="2074"/>
      <c r="H53" s="2075"/>
      <c r="I53" s="2072"/>
      <c r="J53" s="2074"/>
      <c r="K53" s="2074"/>
      <c r="L53" s="2072"/>
      <c r="M53" s="2072"/>
      <c r="N53" s="2072"/>
      <c r="O53" s="2072"/>
      <c r="P53" s="2072"/>
      <c r="Q53" s="2072"/>
      <c r="R53" s="2072"/>
      <c r="S53" s="2072"/>
      <c r="T53" s="2072"/>
      <c r="U53" s="2072"/>
      <c r="V53" s="2072"/>
      <c r="W53" s="2072"/>
      <c r="X53" s="2072"/>
      <c r="Y53" s="2072"/>
      <c r="Z53" s="2072"/>
      <c r="AA53" s="2072"/>
      <c r="AB53" s="2072"/>
      <c r="AC53" s="2072"/>
      <c r="AD53" s="2072"/>
      <c r="AE53" s="2072"/>
      <c r="AF53" s="2072"/>
      <c r="AG53" s="2072"/>
      <c r="AH53" s="2072"/>
      <c r="AI53" s="2072"/>
      <c r="AJ53" s="2072"/>
      <c r="AK53" s="2072"/>
      <c r="AL53" s="2072"/>
      <c r="AM53" s="2072"/>
      <c r="AN53" s="2072"/>
      <c r="AO53" s="2072"/>
      <c r="AP53" s="2072"/>
      <c r="AQ53" s="2072"/>
      <c r="AR53" s="2072"/>
      <c r="AS53" s="2072"/>
      <c r="AT53" s="2072"/>
      <c r="AU53" s="2072"/>
    </row>
    <row r="54" spans="1:47" x14ac:dyDescent="0.15">
      <c r="A54" s="2072"/>
      <c r="B54" s="2073"/>
      <c r="C54" s="2072"/>
      <c r="D54" s="2072"/>
      <c r="E54" s="2072"/>
      <c r="F54" s="2072"/>
      <c r="G54" s="2074"/>
      <c r="H54" s="2075"/>
      <c r="I54" s="2072"/>
      <c r="J54" s="2074"/>
      <c r="K54" s="2074"/>
      <c r="L54" s="2072"/>
      <c r="M54" s="2072"/>
      <c r="N54" s="2072"/>
      <c r="O54" s="2072"/>
      <c r="P54" s="2072"/>
      <c r="Q54" s="2072"/>
      <c r="R54" s="2072"/>
      <c r="S54" s="2072"/>
      <c r="T54" s="2072"/>
      <c r="U54" s="2072"/>
      <c r="V54" s="2072"/>
      <c r="W54" s="2072"/>
      <c r="X54" s="2072"/>
      <c r="Y54" s="2072"/>
      <c r="Z54" s="2072"/>
      <c r="AA54" s="2072"/>
      <c r="AB54" s="2072"/>
      <c r="AC54" s="2072"/>
      <c r="AD54" s="2072"/>
      <c r="AE54" s="2072"/>
      <c r="AF54" s="2072"/>
      <c r="AG54" s="2072"/>
      <c r="AH54" s="2072"/>
      <c r="AI54" s="2072"/>
      <c r="AJ54" s="2072"/>
      <c r="AK54" s="2072"/>
      <c r="AL54" s="2072"/>
      <c r="AM54" s="2072"/>
      <c r="AN54" s="2072"/>
      <c r="AO54" s="2072"/>
      <c r="AP54" s="2072"/>
      <c r="AQ54" s="2072"/>
      <c r="AR54" s="2072"/>
      <c r="AS54" s="2072"/>
      <c r="AT54" s="2072"/>
      <c r="AU54" s="2072"/>
    </row>
    <row r="55" spans="1:47" x14ac:dyDescent="0.15">
      <c r="A55" s="2072"/>
      <c r="B55" s="2073"/>
      <c r="C55" s="2072"/>
      <c r="D55" s="2072"/>
      <c r="E55" s="2072"/>
      <c r="F55" s="2072"/>
      <c r="G55" s="2074"/>
      <c r="H55" s="2075"/>
      <c r="I55" s="2072"/>
      <c r="J55" s="2074"/>
      <c r="K55" s="2074"/>
      <c r="L55" s="2072"/>
      <c r="M55" s="2072"/>
      <c r="N55" s="2072"/>
      <c r="O55" s="2072"/>
      <c r="P55" s="2072"/>
      <c r="Q55" s="2072"/>
      <c r="R55" s="2072"/>
      <c r="S55" s="2072"/>
      <c r="T55" s="2072"/>
      <c r="U55" s="2072"/>
      <c r="V55" s="2072"/>
      <c r="W55" s="2072"/>
      <c r="X55" s="2072"/>
      <c r="Y55" s="2072"/>
      <c r="Z55" s="2072"/>
      <c r="AA55" s="2072"/>
      <c r="AB55" s="2072"/>
      <c r="AC55" s="2072"/>
      <c r="AD55" s="2072"/>
      <c r="AE55" s="2072"/>
      <c r="AF55" s="2072"/>
      <c r="AG55" s="2072"/>
      <c r="AH55" s="2072"/>
      <c r="AI55" s="2072"/>
      <c r="AJ55" s="2072"/>
      <c r="AK55" s="2072"/>
      <c r="AL55" s="2072"/>
      <c r="AM55" s="2072"/>
      <c r="AN55" s="2072"/>
      <c r="AO55" s="2072"/>
      <c r="AP55" s="2072"/>
      <c r="AQ55" s="2072"/>
      <c r="AR55" s="2072"/>
      <c r="AS55" s="2072"/>
      <c r="AT55" s="2072"/>
      <c r="AU55" s="2072"/>
    </row>
    <row r="56" spans="1:47" x14ac:dyDescent="0.15">
      <c r="A56" s="2072"/>
      <c r="B56" s="2073"/>
      <c r="C56" s="2072"/>
      <c r="D56" s="2072"/>
      <c r="E56" s="2072"/>
      <c r="F56" s="2072"/>
      <c r="G56" s="2074"/>
      <c r="H56" s="2075"/>
      <c r="I56" s="2072"/>
      <c r="J56" s="2074"/>
      <c r="K56" s="2074"/>
      <c r="L56" s="2072"/>
      <c r="M56" s="2072"/>
      <c r="N56" s="2072"/>
      <c r="O56" s="2072"/>
      <c r="P56" s="2072"/>
      <c r="Q56" s="2072"/>
      <c r="R56" s="2072"/>
      <c r="S56" s="2072"/>
      <c r="T56" s="2072"/>
      <c r="U56" s="2072"/>
      <c r="V56" s="2072"/>
      <c r="W56" s="2072"/>
      <c r="X56" s="2072"/>
      <c r="Y56" s="2072"/>
      <c r="Z56" s="2072"/>
      <c r="AA56" s="2072"/>
      <c r="AB56" s="2072"/>
      <c r="AC56" s="2072"/>
      <c r="AD56" s="2072"/>
      <c r="AE56" s="2072"/>
      <c r="AF56" s="2072"/>
      <c r="AG56" s="2072"/>
      <c r="AH56" s="2072"/>
      <c r="AI56" s="2072"/>
      <c r="AJ56" s="2072"/>
      <c r="AK56" s="2072"/>
      <c r="AL56" s="2072"/>
      <c r="AM56" s="2072"/>
      <c r="AN56" s="2072"/>
      <c r="AO56" s="2072"/>
      <c r="AP56" s="2072"/>
      <c r="AQ56" s="2072"/>
      <c r="AR56" s="2072"/>
      <c r="AS56" s="2072"/>
      <c r="AT56" s="2072"/>
      <c r="AU56" s="2072"/>
    </row>
    <row r="57" spans="1:47" x14ac:dyDescent="0.15">
      <c r="A57" s="2072"/>
      <c r="B57" s="2073"/>
      <c r="C57" s="2072"/>
      <c r="D57" s="2072"/>
      <c r="E57" s="2072"/>
      <c r="F57" s="2072"/>
      <c r="G57" s="2074"/>
      <c r="H57" s="2075"/>
      <c r="I57" s="2072"/>
      <c r="J57" s="2074"/>
      <c r="K57" s="2074"/>
      <c r="L57" s="2072"/>
      <c r="M57" s="2072"/>
      <c r="N57" s="2072"/>
      <c r="O57" s="2072"/>
      <c r="P57" s="2072"/>
      <c r="Q57" s="2072"/>
      <c r="R57" s="2072"/>
      <c r="S57" s="2072"/>
      <c r="T57" s="2072"/>
      <c r="U57" s="2072"/>
      <c r="V57" s="2072"/>
      <c r="W57" s="2072"/>
      <c r="X57" s="2072"/>
      <c r="Y57" s="2072"/>
      <c r="Z57" s="2072"/>
      <c r="AA57" s="2072"/>
      <c r="AB57" s="2072"/>
      <c r="AC57" s="2072"/>
      <c r="AD57" s="2072"/>
      <c r="AE57" s="2072"/>
      <c r="AF57" s="2072"/>
      <c r="AG57" s="2072"/>
      <c r="AH57" s="2072"/>
      <c r="AI57" s="2072"/>
      <c r="AJ57" s="2072"/>
      <c r="AK57" s="2072"/>
      <c r="AL57" s="2072"/>
      <c r="AM57" s="2072"/>
      <c r="AN57" s="2072"/>
      <c r="AO57" s="2072"/>
      <c r="AP57" s="2072"/>
      <c r="AQ57" s="2072"/>
      <c r="AR57" s="2072"/>
      <c r="AS57" s="2072"/>
      <c r="AT57" s="2072"/>
      <c r="AU57" s="2072"/>
    </row>
    <row r="58" spans="1:47" x14ac:dyDescent="0.15">
      <c r="A58" s="2072"/>
      <c r="B58" s="2073"/>
      <c r="C58" s="2072"/>
      <c r="D58" s="2072"/>
      <c r="E58" s="2072"/>
      <c r="F58" s="2072"/>
      <c r="G58" s="2074"/>
      <c r="H58" s="2075"/>
      <c r="I58" s="2072"/>
      <c r="J58" s="2074"/>
      <c r="K58" s="2074"/>
      <c r="L58" s="2072"/>
      <c r="M58" s="2072"/>
      <c r="N58" s="2072"/>
      <c r="O58" s="2072"/>
      <c r="P58" s="2072"/>
      <c r="Q58" s="2072"/>
      <c r="R58" s="2072"/>
      <c r="S58" s="2072"/>
      <c r="T58" s="2072"/>
      <c r="U58" s="2072"/>
      <c r="V58" s="2072"/>
      <c r="W58" s="2072"/>
      <c r="X58" s="2072"/>
      <c r="Y58" s="2072"/>
      <c r="Z58" s="2072"/>
      <c r="AA58" s="2072"/>
      <c r="AB58" s="2072"/>
      <c r="AC58" s="2072"/>
      <c r="AD58" s="2072"/>
      <c r="AE58" s="2072"/>
      <c r="AF58" s="2072"/>
      <c r="AG58" s="2072"/>
      <c r="AH58" s="2072"/>
      <c r="AI58" s="2072"/>
      <c r="AJ58" s="2072"/>
      <c r="AK58" s="2072"/>
      <c r="AL58" s="2072"/>
      <c r="AM58" s="2072"/>
      <c r="AN58" s="2072"/>
      <c r="AO58" s="2072"/>
      <c r="AP58" s="2072"/>
      <c r="AQ58" s="2072"/>
      <c r="AR58" s="2072"/>
      <c r="AS58" s="2072"/>
      <c r="AT58" s="2072"/>
      <c r="AU58" s="2072"/>
    </row>
    <row r="59" spans="1:47" x14ac:dyDescent="0.15">
      <c r="A59" s="2072"/>
      <c r="B59" s="2073"/>
      <c r="C59" s="2072"/>
      <c r="D59" s="2072"/>
      <c r="E59" s="2072"/>
      <c r="F59" s="2072"/>
      <c r="G59" s="2074"/>
      <c r="H59" s="2075"/>
      <c r="I59" s="2072"/>
      <c r="J59" s="2074"/>
      <c r="K59" s="2074"/>
      <c r="L59" s="2072"/>
      <c r="M59" s="2072"/>
      <c r="N59" s="2072"/>
      <c r="O59" s="2072"/>
      <c r="P59" s="2072"/>
      <c r="Q59" s="2072"/>
      <c r="R59" s="2072"/>
      <c r="S59" s="2072"/>
      <c r="T59" s="2072"/>
      <c r="U59" s="2072"/>
      <c r="V59" s="2072"/>
      <c r="W59" s="2072"/>
      <c r="X59" s="2072"/>
      <c r="Y59" s="2072"/>
      <c r="Z59" s="2072"/>
      <c r="AA59" s="2072"/>
      <c r="AB59" s="2072"/>
      <c r="AC59" s="2072"/>
      <c r="AD59" s="2072"/>
      <c r="AE59" s="2072"/>
      <c r="AF59" s="2072"/>
      <c r="AG59" s="2072"/>
      <c r="AH59" s="2072"/>
      <c r="AI59" s="2072"/>
      <c r="AJ59" s="2072"/>
      <c r="AK59" s="2072"/>
      <c r="AL59" s="2072"/>
      <c r="AM59" s="2072"/>
      <c r="AN59" s="2072"/>
      <c r="AO59" s="2072"/>
      <c r="AP59" s="2072"/>
      <c r="AQ59" s="2072"/>
      <c r="AR59" s="2072"/>
      <c r="AS59" s="2072"/>
      <c r="AT59" s="2072"/>
      <c r="AU59" s="2072"/>
    </row>
    <row r="60" spans="1:47" x14ac:dyDescent="0.15">
      <c r="A60" s="2072"/>
      <c r="B60" s="2073"/>
      <c r="C60" s="2072"/>
      <c r="D60" s="2072"/>
      <c r="E60" s="2072"/>
      <c r="F60" s="2072"/>
      <c r="G60" s="2074"/>
      <c r="H60" s="2075"/>
      <c r="I60" s="2072"/>
      <c r="J60" s="2074"/>
      <c r="K60" s="2074"/>
      <c r="L60" s="2072"/>
      <c r="M60" s="2072"/>
      <c r="N60" s="2072"/>
      <c r="O60" s="2072"/>
      <c r="P60" s="2072"/>
      <c r="Q60" s="2072"/>
      <c r="R60" s="2072"/>
      <c r="S60" s="2072"/>
      <c r="T60" s="2072"/>
      <c r="U60" s="2072"/>
      <c r="V60" s="2072"/>
      <c r="W60" s="2072"/>
      <c r="X60" s="2072"/>
      <c r="Y60" s="2072"/>
      <c r="Z60" s="2072"/>
      <c r="AA60" s="2072"/>
      <c r="AB60" s="2072"/>
      <c r="AC60" s="2072"/>
      <c r="AD60" s="2072"/>
      <c r="AE60" s="2072"/>
      <c r="AF60" s="2072"/>
      <c r="AG60" s="2072"/>
      <c r="AH60" s="2072"/>
      <c r="AI60" s="2072"/>
      <c r="AJ60" s="2072"/>
      <c r="AK60" s="2072"/>
      <c r="AL60" s="2072"/>
      <c r="AM60" s="2072"/>
      <c r="AN60" s="2072"/>
      <c r="AO60" s="2072"/>
      <c r="AP60" s="2072"/>
      <c r="AQ60" s="2072"/>
      <c r="AR60" s="2072"/>
      <c r="AS60" s="2072"/>
      <c r="AT60" s="2072"/>
      <c r="AU60" s="2072"/>
    </row>
  </sheetData>
  <pageMargins left="0.7" right="0.7" top="0.75" bottom="0.75" header="0.3" footer="0.3"/>
  <pageSetup orientation="portrait" verticalDpi="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enableFormatConditionsCalculation="0"/>
  <dimension ref="A1:Q32"/>
  <sheetViews>
    <sheetView workbookViewId="0">
      <selection activeCell="H16" sqref="H16"/>
    </sheetView>
  </sheetViews>
  <sheetFormatPr baseColWidth="10" defaultColWidth="9.83203125" defaultRowHeight="15" customHeight="1" x14ac:dyDescent="0.15"/>
  <cols>
    <col min="1" max="1" width="17" customWidth="1"/>
    <col min="2" max="2" width="13.83203125" bestFit="1" customWidth="1"/>
    <col min="3" max="3" width="12.5" bestFit="1" customWidth="1"/>
    <col min="4" max="4" width="9.5" customWidth="1"/>
    <col min="5" max="5" width="15.33203125" bestFit="1" customWidth="1"/>
    <col min="6" max="6" width="13.5" customWidth="1"/>
    <col min="7" max="7" width="5.33203125" customWidth="1"/>
    <col min="8" max="8" width="12.5" bestFit="1" customWidth="1"/>
    <col min="9" max="9" width="11.33203125" customWidth="1"/>
    <col min="10" max="10" width="10" customWidth="1"/>
    <col min="11" max="11" width="9.83203125" bestFit="1" customWidth="1"/>
    <col min="12" max="12" width="20.6640625" customWidth="1"/>
    <col min="13" max="13" width="14.33203125" bestFit="1" customWidth="1"/>
    <col min="14" max="14" width="22.1640625" customWidth="1"/>
    <col min="15" max="15" width="14.6640625" style="315" bestFit="1" customWidth="1"/>
    <col min="16" max="16" width="15.5" style="315" customWidth="1"/>
    <col min="17" max="17" width="16.6640625" customWidth="1"/>
    <col min="18" max="18" width="36.5" customWidth="1"/>
  </cols>
  <sheetData>
    <row r="1" spans="1:17" x14ac:dyDescent="0.2">
      <c r="A1" s="105"/>
      <c r="B1" s="105"/>
      <c r="C1" s="105"/>
      <c r="D1" s="105"/>
      <c r="E1" s="105"/>
      <c r="F1" s="105"/>
      <c r="G1" s="105"/>
      <c r="H1" s="105"/>
      <c r="I1" s="105"/>
    </row>
    <row r="2" spans="1:17" ht="15.75" customHeight="1" x14ac:dyDescent="0.2">
      <c r="A2" s="105"/>
      <c r="B2" s="345" t="s">
        <v>2162</v>
      </c>
      <c r="C2" s="308"/>
      <c r="D2" s="308"/>
      <c r="E2" s="345" t="s">
        <v>2161</v>
      </c>
      <c r="F2" s="308"/>
      <c r="G2" s="308"/>
      <c r="H2" s="308"/>
      <c r="I2" s="308"/>
      <c r="K2" s="353" t="s">
        <v>644</v>
      </c>
    </row>
    <row r="3" spans="1:17" ht="15.75" customHeight="1" thickBot="1" x14ac:dyDescent="0.25">
      <c r="A3" s="278"/>
      <c r="B3" s="2351" t="s">
        <v>1008</v>
      </c>
      <c r="C3" s="2351"/>
      <c r="D3" s="576"/>
      <c r="E3" s="2351" t="s">
        <v>1009</v>
      </c>
      <c r="F3" s="2351"/>
      <c r="G3" s="576"/>
      <c r="H3" s="576"/>
      <c r="I3" s="577"/>
      <c r="K3" s="568" t="s">
        <v>640</v>
      </c>
      <c r="L3" s="568" t="s">
        <v>641</v>
      </c>
      <c r="M3" s="568" t="s">
        <v>642</v>
      </c>
      <c r="N3" s="568" t="s">
        <v>643</v>
      </c>
      <c r="O3" s="568" t="s">
        <v>1006</v>
      </c>
      <c r="P3" s="568" t="s">
        <v>1007</v>
      </c>
      <c r="Q3" s="568" t="s">
        <v>101</v>
      </c>
    </row>
    <row r="4" spans="1:17" ht="16" thickBot="1" x14ac:dyDescent="0.25">
      <c r="A4" s="278"/>
      <c r="B4" s="578" t="s">
        <v>321</v>
      </c>
      <c r="C4" s="579" t="s">
        <v>322</v>
      </c>
      <c r="D4" s="570"/>
      <c r="E4" s="578" t="s">
        <v>323</v>
      </c>
      <c r="F4" s="579" t="s">
        <v>324</v>
      </c>
      <c r="G4" s="571"/>
      <c r="H4" s="578" t="s">
        <v>325</v>
      </c>
      <c r="I4" s="579" t="s">
        <v>209</v>
      </c>
      <c r="K4" s="1372">
        <v>5</v>
      </c>
      <c r="L4" s="694"/>
      <c r="M4" s="1374">
        <v>10780196</v>
      </c>
      <c r="N4" s="694"/>
      <c r="O4" s="694">
        <v>572738.07000000018</v>
      </c>
      <c r="P4" s="694">
        <v>2080006.7800000003</v>
      </c>
      <c r="Q4" s="566">
        <f>SUM(L4:P4)</f>
        <v>13432940.850000001</v>
      </c>
    </row>
    <row r="5" spans="1:17" x14ac:dyDescent="0.2">
      <c r="A5" s="278"/>
      <c r="B5" s="580" t="s">
        <v>66</v>
      </c>
      <c r="C5" s="583">
        <f>SUM(L4:N4)/365</f>
        <v>29534.783561643835</v>
      </c>
      <c r="D5" s="572"/>
      <c r="E5" s="580" t="s">
        <v>52</v>
      </c>
      <c r="F5" s="1653">
        <f>L11/$M$11*0.5</f>
        <v>145212.29195652175</v>
      </c>
      <c r="G5" s="573"/>
      <c r="H5" s="1299" t="s">
        <v>326</v>
      </c>
      <c r="I5" s="1300">
        <f>(15000000*12)/365</f>
        <v>493150.68493150687</v>
      </c>
      <c r="J5" s="132" t="s">
        <v>2160</v>
      </c>
      <c r="K5" s="1372">
        <v>12</v>
      </c>
      <c r="L5" s="1373"/>
      <c r="M5" s="1373">
        <v>12436196</v>
      </c>
      <c r="N5" s="1373"/>
      <c r="O5" s="1373">
        <v>2270824.4900000012</v>
      </c>
      <c r="P5" s="1373">
        <v>21393649.15000001</v>
      </c>
      <c r="Q5" s="566">
        <f>SUM(L5:P5)</f>
        <v>36100669.640000015</v>
      </c>
    </row>
    <row r="6" spans="1:17" ht="16" thickBot="1" x14ac:dyDescent="0.25">
      <c r="A6" s="278"/>
      <c r="B6" s="582" t="s">
        <v>74</v>
      </c>
      <c r="C6" s="583">
        <f>SUM(L5:N5)/365</f>
        <v>34071.769863013702</v>
      </c>
      <c r="D6" s="572"/>
      <c r="E6" s="582" t="s">
        <v>378</v>
      </c>
      <c r="F6" s="583">
        <f>L12/$M$12</f>
        <v>1523555.5817187501</v>
      </c>
      <c r="G6" s="573"/>
      <c r="H6" s="1301" t="s">
        <v>380</v>
      </c>
      <c r="I6" s="1652">
        <f>SUM(L16,L18)/M16</f>
        <v>412039.91052054794</v>
      </c>
      <c r="J6" s="132" t="s">
        <v>2159</v>
      </c>
      <c r="K6" s="1372">
        <v>14</v>
      </c>
      <c r="L6" s="1374"/>
      <c r="M6" s="1374">
        <v>12928196</v>
      </c>
      <c r="N6" s="1374"/>
      <c r="O6" s="1374">
        <v>3964920</v>
      </c>
      <c r="P6" s="1374">
        <v>103125345.48</v>
      </c>
      <c r="Q6" s="566">
        <f>SUM(L6:P6)</f>
        <v>120018461.48</v>
      </c>
    </row>
    <row r="7" spans="1:17" ht="15.75" customHeight="1" x14ac:dyDescent="0.2">
      <c r="A7" s="278"/>
      <c r="B7" s="584" t="s">
        <v>77</v>
      </c>
      <c r="C7" s="585">
        <f>SUM(L6:N6)/365</f>
        <v>35419.715068493148</v>
      </c>
      <c r="D7" s="572"/>
      <c r="E7" s="584" t="s">
        <v>327</v>
      </c>
      <c r="F7" s="585">
        <f>L13/M13</f>
        <v>157616.43835616438</v>
      </c>
      <c r="G7" s="573"/>
      <c r="H7" s="559"/>
      <c r="I7" s="559"/>
      <c r="K7" s="567"/>
    </row>
    <row r="8" spans="1:17" x14ac:dyDescent="0.2">
      <c r="A8" s="278"/>
      <c r="B8" s="582" t="s">
        <v>79</v>
      </c>
      <c r="C8" s="583"/>
      <c r="D8" s="572"/>
      <c r="E8" s="582" t="s">
        <v>379</v>
      </c>
      <c r="F8" s="585">
        <f>L14/M14</f>
        <v>134513.23251028807</v>
      </c>
      <c r="G8" s="279"/>
      <c r="H8" s="559"/>
      <c r="I8" s="345"/>
      <c r="K8" s="567"/>
      <c r="L8" s="1025"/>
      <c r="M8" s="695"/>
      <c r="N8" s="695"/>
      <c r="O8" s="695"/>
      <c r="P8" s="695"/>
    </row>
    <row r="9" spans="1:17" ht="15.75" customHeight="1" thickBot="1" x14ac:dyDescent="0.25">
      <c r="A9" s="278"/>
      <c r="B9" s="586" t="s">
        <v>50</v>
      </c>
      <c r="C9" s="110"/>
      <c r="D9" s="574"/>
      <c r="E9" s="587"/>
      <c r="F9" s="110"/>
      <c r="G9" s="575"/>
      <c r="H9" s="345" t="s">
        <v>2252</v>
      </c>
      <c r="I9" s="1957">
        <f>I6</f>
        <v>412039.91052054794</v>
      </c>
      <c r="P9" s="670"/>
    </row>
    <row r="10" spans="1:17" ht="15.75" customHeight="1" x14ac:dyDescent="0.2">
      <c r="A10" s="105"/>
      <c r="B10" s="345" t="s">
        <v>2162</v>
      </c>
      <c r="C10" s="559"/>
      <c r="D10" s="559"/>
      <c r="E10" s="345" t="s">
        <v>2162</v>
      </c>
      <c r="F10" s="559"/>
      <c r="G10" s="559"/>
      <c r="H10" s="345" t="s">
        <v>2253</v>
      </c>
      <c r="I10" s="1957">
        <f>I9</f>
        <v>412039.91052054794</v>
      </c>
      <c r="K10" s="353" t="s">
        <v>1181</v>
      </c>
      <c r="M10" s="353" t="s">
        <v>387</v>
      </c>
      <c r="N10" s="569" t="s">
        <v>1184</v>
      </c>
      <c r="O10"/>
    </row>
    <row r="11" spans="1:17" ht="15.75" customHeight="1" thickBot="1" x14ac:dyDescent="0.25">
      <c r="A11" s="105"/>
      <c r="B11" s="2351" t="s">
        <v>1007</v>
      </c>
      <c r="C11" s="2351"/>
      <c r="D11" s="559"/>
      <c r="E11" s="2351" t="s">
        <v>1006</v>
      </c>
      <c r="F11" s="2351"/>
      <c r="G11" s="559"/>
      <c r="H11" s="559"/>
      <c r="I11" s="105"/>
      <c r="K11" s="315" t="s">
        <v>52</v>
      </c>
      <c r="L11" s="1375">
        <v>26719061.719999999</v>
      </c>
      <c r="M11" s="590">
        <v>92</v>
      </c>
      <c r="N11" s="1643" t="s">
        <v>1183</v>
      </c>
    </row>
    <row r="12" spans="1:17" x14ac:dyDescent="0.2">
      <c r="A12" s="105"/>
      <c r="B12" s="578" t="s">
        <v>321</v>
      </c>
      <c r="C12" s="579" t="s">
        <v>322</v>
      </c>
      <c r="D12" s="559"/>
      <c r="E12" s="578" t="s">
        <v>321</v>
      </c>
      <c r="F12" s="579" t="s">
        <v>322</v>
      </c>
      <c r="G12" s="559"/>
      <c r="H12" s="559"/>
      <c r="I12" s="105"/>
      <c r="K12" s="315" t="s">
        <v>378</v>
      </c>
      <c r="L12" s="1646">
        <v>195015114.46000001</v>
      </c>
      <c r="M12" s="1647">
        <v>128</v>
      </c>
      <c r="N12" s="1649" t="s">
        <v>1185</v>
      </c>
    </row>
    <row r="13" spans="1:17" x14ac:dyDescent="0.2">
      <c r="A13" s="105"/>
      <c r="B13" s="580" t="s">
        <v>66</v>
      </c>
      <c r="C13" s="581">
        <f>P4/365</f>
        <v>5698.6487123287679</v>
      </c>
      <c r="D13" s="559"/>
      <c r="E13" s="580" t="s">
        <v>66</v>
      </c>
      <c r="F13" s="581">
        <f>O4/365</f>
        <v>1569.1453972602744</v>
      </c>
      <c r="G13" s="559"/>
      <c r="H13" s="559"/>
      <c r="I13" s="105"/>
      <c r="K13" s="315" t="s">
        <v>327</v>
      </c>
      <c r="L13" s="1646">
        <v>57530000</v>
      </c>
      <c r="M13" s="1647">
        <v>365</v>
      </c>
      <c r="N13" s="1649" t="s">
        <v>1185</v>
      </c>
    </row>
    <row r="14" spans="1:17" x14ac:dyDescent="0.2">
      <c r="A14" s="105"/>
      <c r="B14" s="582" t="s">
        <v>74</v>
      </c>
      <c r="C14" s="581">
        <f>P5/365</f>
        <v>58612.737397260302</v>
      </c>
      <c r="D14" s="559"/>
      <c r="E14" s="582" t="s">
        <v>74</v>
      </c>
      <c r="F14" s="581">
        <f>O5/365</f>
        <v>6221.4369589041125</v>
      </c>
      <c r="G14" s="559"/>
      <c r="H14" s="559"/>
      <c r="I14" s="105"/>
      <c r="K14" s="315" t="s">
        <v>379</v>
      </c>
      <c r="L14" s="1644">
        <v>32686715.5</v>
      </c>
      <c r="M14" s="1645">
        <v>243</v>
      </c>
      <c r="N14" s="1643" t="s">
        <v>1183</v>
      </c>
    </row>
    <row r="15" spans="1:17" ht="16" thickBot="1" x14ac:dyDescent="0.25">
      <c r="A15" s="105"/>
      <c r="B15" s="1302" t="s">
        <v>77</v>
      </c>
      <c r="C15" s="1303">
        <f>P6/365</f>
        <v>282535.1930958904</v>
      </c>
      <c r="D15" s="559"/>
      <c r="E15" s="1302" t="s">
        <v>77</v>
      </c>
      <c r="F15" s="1303">
        <f>O6/365</f>
        <v>10862.794520547945</v>
      </c>
      <c r="G15" s="559"/>
      <c r="H15" s="559"/>
      <c r="I15" s="105"/>
      <c r="K15" s="315"/>
      <c r="L15" s="315"/>
      <c r="N15" s="132"/>
    </row>
    <row r="16" spans="1:17" x14ac:dyDescent="0.2">
      <c r="A16" s="105"/>
      <c r="B16" s="559"/>
      <c r="C16" s="559"/>
      <c r="D16" s="559"/>
      <c r="E16" s="559"/>
      <c r="F16" s="559"/>
      <c r="G16" s="559"/>
      <c r="H16" s="559"/>
      <c r="I16" s="105"/>
      <c r="K16" s="569" t="s">
        <v>380</v>
      </c>
      <c r="L16" s="1375">
        <v>150394567.34</v>
      </c>
      <c r="M16" s="590">
        <v>365</v>
      </c>
      <c r="N16" s="1643" t="s">
        <v>1183</v>
      </c>
      <c r="O16"/>
    </row>
    <row r="17" spans="1:15" ht="16" thickBot="1" x14ac:dyDescent="0.25">
      <c r="A17" s="127"/>
      <c r="B17" s="2351" t="s">
        <v>2163</v>
      </c>
      <c r="C17" s="2351"/>
      <c r="D17" s="559"/>
      <c r="E17" s="559"/>
      <c r="F17" s="559"/>
      <c r="G17" s="559"/>
      <c r="H17" s="559"/>
      <c r="I17" s="105"/>
      <c r="K17" s="315"/>
      <c r="L17" s="315"/>
    </row>
    <row r="18" spans="1:15" ht="15.75" customHeight="1" thickBot="1" x14ac:dyDescent="0.25">
      <c r="A18" s="127"/>
      <c r="B18" s="578" t="s">
        <v>321</v>
      </c>
      <c r="C18" s="579" t="s">
        <v>322</v>
      </c>
      <c r="D18" s="559"/>
      <c r="E18" s="559"/>
      <c r="F18" s="559"/>
      <c r="G18" s="559"/>
      <c r="H18" s="559"/>
      <c r="I18" s="105"/>
      <c r="K18" s="132" t="s">
        <v>1096</v>
      </c>
      <c r="L18" s="1375">
        <v>0</v>
      </c>
      <c r="M18" s="590">
        <v>0</v>
      </c>
    </row>
    <row r="19" spans="1:15" ht="15.75" customHeight="1" x14ac:dyDescent="0.2">
      <c r="A19" s="105"/>
      <c r="B19" s="1650" t="s">
        <v>52</v>
      </c>
      <c r="C19" s="1300">
        <f>L21/M21</f>
        <v>27686.053043478259</v>
      </c>
      <c r="D19" s="559"/>
      <c r="E19" s="559"/>
      <c r="F19" s="105"/>
      <c r="G19" s="105"/>
      <c r="H19" s="105"/>
      <c r="I19" s="105"/>
    </row>
    <row r="20" spans="1:15" x14ac:dyDescent="0.2">
      <c r="A20" s="105"/>
      <c r="B20" s="582" t="s">
        <v>379</v>
      </c>
      <c r="C20" s="581">
        <f>L22/M22</f>
        <v>517784.13222222222</v>
      </c>
      <c r="D20" s="105"/>
      <c r="E20" s="105"/>
      <c r="F20" s="151"/>
      <c r="G20" s="151"/>
      <c r="H20" s="105"/>
      <c r="I20" s="105"/>
      <c r="K20" s="353" t="s">
        <v>1182</v>
      </c>
    </row>
    <row r="21" spans="1:15" x14ac:dyDescent="0.2">
      <c r="A21" s="105"/>
      <c r="B21" s="582" t="s">
        <v>327</v>
      </c>
      <c r="C21" s="581"/>
      <c r="D21" s="105"/>
      <c r="F21" s="105"/>
      <c r="G21" s="105"/>
      <c r="H21" s="105"/>
      <c r="I21" s="105"/>
      <c r="K21" s="132" t="s">
        <v>52</v>
      </c>
      <c r="L21" s="1648">
        <v>2547116.88</v>
      </c>
      <c r="M21" s="590">
        <v>92</v>
      </c>
      <c r="N21" s="1643" t="s">
        <v>1183</v>
      </c>
    </row>
    <row r="22" spans="1:15" ht="28" thickBot="1" x14ac:dyDescent="0.25">
      <c r="A22" s="105"/>
      <c r="B22" s="1301" t="s">
        <v>378</v>
      </c>
      <c r="C22" s="1303">
        <f>L24/M24</f>
        <v>1199715.4531111112</v>
      </c>
      <c r="D22" s="105"/>
      <c r="E22" s="315"/>
      <c r="F22" s="105"/>
      <c r="G22" s="105"/>
      <c r="H22" s="105"/>
      <c r="I22" s="105"/>
      <c r="J22" s="315"/>
      <c r="K22" s="132" t="s">
        <v>379</v>
      </c>
      <c r="L22" s="1648">
        <v>125821544.13</v>
      </c>
      <c r="M22" s="590">
        <v>243</v>
      </c>
      <c r="N22" s="1643" t="s">
        <v>2258</v>
      </c>
      <c r="O22" s="692"/>
    </row>
    <row r="23" spans="1:15" x14ac:dyDescent="0.2">
      <c r="A23" s="105"/>
      <c r="B23" s="105"/>
      <c r="C23" s="105"/>
      <c r="D23" s="105"/>
      <c r="E23" s="315"/>
      <c r="F23" s="105"/>
      <c r="G23" s="105"/>
      <c r="H23" s="105"/>
      <c r="I23" s="105"/>
      <c r="J23" s="315"/>
    </row>
    <row r="24" spans="1:15" x14ac:dyDescent="0.2">
      <c r="A24" s="105"/>
      <c r="B24" s="105"/>
      <c r="C24" s="105"/>
      <c r="D24" s="105"/>
      <c r="E24" s="315"/>
      <c r="F24" s="105"/>
      <c r="G24" s="105"/>
      <c r="H24" s="105"/>
      <c r="I24" s="105"/>
      <c r="J24" s="315"/>
      <c r="K24" s="132" t="s">
        <v>378</v>
      </c>
      <c r="L24" s="1648">
        <v>53987195.390000001</v>
      </c>
      <c r="M24" s="590">
        <v>45</v>
      </c>
    </row>
    <row r="25" spans="1:15" x14ac:dyDescent="0.2">
      <c r="A25" s="105"/>
      <c r="B25" s="127"/>
      <c r="C25" s="151"/>
      <c r="D25" s="105"/>
      <c r="E25" s="105"/>
      <c r="F25" s="105"/>
      <c r="G25" s="105"/>
      <c r="H25" s="105"/>
      <c r="I25" s="105"/>
    </row>
    <row r="26" spans="1:15" x14ac:dyDescent="0.2">
      <c r="A26" s="105"/>
      <c r="B26" s="127" t="s">
        <v>983</v>
      </c>
      <c r="C26" s="151"/>
      <c r="D26" s="105"/>
      <c r="E26" s="105"/>
      <c r="F26" s="105"/>
      <c r="G26" s="105"/>
      <c r="H26" s="105"/>
      <c r="I26" s="105"/>
    </row>
    <row r="27" spans="1:15" x14ac:dyDescent="0.2">
      <c r="A27" s="105"/>
      <c r="B27" s="127" t="s">
        <v>988</v>
      </c>
      <c r="C27" s="105"/>
      <c r="D27" s="105"/>
      <c r="E27" s="105"/>
      <c r="F27" s="105"/>
      <c r="G27" s="105"/>
      <c r="H27" s="105"/>
      <c r="I27" s="105"/>
    </row>
    <row r="28" spans="1:15" x14ac:dyDescent="0.2">
      <c r="A28" s="105"/>
      <c r="B28" s="127" t="s">
        <v>984</v>
      </c>
      <c r="C28" s="127"/>
      <c r="D28" s="127"/>
      <c r="E28" s="127"/>
      <c r="F28" s="274"/>
      <c r="G28" s="105"/>
      <c r="H28" s="105"/>
      <c r="I28" s="105"/>
    </row>
    <row r="29" spans="1:15" ht="15.75" customHeight="1" x14ac:dyDescent="0.2">
      <c r="A29" s="105"/>
      <c r="B29" s="127" t="s">
        <v>987</v>
      </c>
      <c r="C29" s="275"/>
      <c r="D29" s="275"/>
      <c r="E29" s="275"/>
      <c r="F29" s="274"/>
      <c r="G29" s="105"/>
      <c r="H29" s="105"/>
      <c r="I29" s="105"/>
    </row>
    <row r="30" spans="1:15" ht="15" customHeight="1" x14ac:dyDescent="0.2">
      <c r="B30" s="105"/>
      <c r="C30" s="276"/>
      <c r="D30" s="277"/>
      <c r="E30" s="276"/>
      <c r="F30" s="105"/>
      <c r="G30" s="105"/>
      <c r="H30" s="105"/>
      <c r="I30" s="105"/>
    </row>
    <row r="31" spans="1:15" ht="15" customHeight="1" x14ac:dyDescent="0.2">
      <c r="B31" s="105"/>
      <c r="C31" s="105"/>
      <c r="D31" s="105"/>
      <c r="E31" s="105"/>
      <c r="F31" s="105"/>
      <c r="G31" s="105"/>
      <c r="H31" s="105"/>
      <c r="I31" s="105"/>
    </row>
    <row r="32" spans="1:15" ht="15" customHeight="1" x14ac:dyDescent="0.2">
      <c r="B32" s="105"/>
      <c r="C32" s="105"/>
      <c r="D32" s="105"/>
      <c r="E32" s="105"/>
      <c r="F32" s="105"/>
      <c r="G32" s="105"/>
      <c r="H32" s="105"/>
      <c r="I32" s="105"/>
    </row>
  </sheetData>
  <mergeCells count="5">
    <mergeCell ref="B3:C3"/>
    <mergeCell ref="E3:F3"/>
    <mergeCell ref="B11:C11"/>
    <mergeCell ref="E11:F11"/>
    <mergeCell ref="B17:C17"/>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M125"/>
  <sheetViews>
    <sheetView workbookViewId="0">
      <selection activeCell="D14" sqref="D14"/>
    </sheetView>
  </sheetViews>
  <sheetFormatPr baseColWidth="10" defaultColWidth="8.83203125" defaultRowHeight="13" outlineLevelRow="1" x14ac:dyDescent="0.15"/>
  <cols>
    <col min="4" max="4" width="25.5" customWidth="1"/>
    <col min="6" max="6" width="19.1640625" customWidth="1"/>
    <col min="7" max="7" width="18.6640625" customWidth="1"/>
    <col min="8" max="8" width="40.5" customWidth="1"/>
    <col min="13" max="13" width="64.6640625" customWidth="1"/>
  </cols>
  <sheetData>
    <row r="1" spans="2:13" ht="12.75" customHeight="1" thickBot="1" x14ac:dyDescent="0.2">
      <c r="B1" s="2107" t="s">
        <v>1299</v>
      </c>
    </row>
    <row r="2" spans="2:13" ht="44" outlineLevel="1" thickTop="1" thickBot="1" x14ac:dyDescent="0.2">
      <c r="B2" s="1972" t="s">
        <v>2306</v>
      </c>
      <c r="C2" s="1973" t="s">
        <v>2307</v>
      </c>
      <c r="D2" s="1973" t="s">
        <v>2310</v>
      </c>
      <c r="E2" s="1977" t="s">
        <v>2312</v>
      </c>
      <c r="F2" s="1977" t="s">
        <v>2313</v>
      </c>
      <c r="G2" s="1978" t="s">
        <v>2314</v>
      </c>
      <c r="H2" s="1979" t="s">
        <v>418</v>
      </c>
    </row>
    <row r="3" spans="2:13" ht="15" outlineLevel="1" x14ac:dyDescent="0.15">
      <c r="B3" s="1974" t="s">
        <v>2308</v>
      </c>
      <c r="C3" s="1975" t="s">
        <v>2309</v>
      </c>
      <c r="D3" s="1976" t="s">
        <v>2311</v>
      </c>
      <c r="E3" s="1980">
        <v>15733</v>
      </c>
      <c r="F3" s="1981"/>
      <c r="G3" s="1982">
        <v>1179322.2</v>
      </c>
      <c r="H3" s="1983" t="s">
        <v>2315</v>
      </c>
      <c r="M3" t="s">
        <v>244</v>
      </c>
    </row>
    <row r="4" spans="2:13" ht="15" outlineLevel="1" x14ac:dyDescent="0.15">
      <c r="B4" s="1974" t="s">
        <v>2316</v>
      </c>
      <c r="C4" s="1975" t="s">
        <v>2317</v>
      </c>
      <c r="D4" s="1976" t="s">
        <v>2311</v>
      </c>
      <c r="E4" s="1984">
        <v>14639</v>
      </c>
      <c r="F4" s="1985"/>
      <c r="G4" s="1982">
        <v>519775.9357142857</v>
      </c>
      <c r="H4" s="1983" t="s">
        <v>2318</v>
      </c>
      <c r="M4" t="s">
        <v>246</v>
      </c>
    </row>
    <row r="5" spans="2:13" ht="15" outlineLevel="1" x14ac:dyDescent="0.15">
      <c r="B5" s="1974"/>
      <c r="C5" s="1975" t="s">
        <v>2317</v>
      </c>
      <c r="D5" s="1976" t="s">
        <v>2311</v>
      </c>
      <c r="E5" s="1984">
        <v>11644</v>
      </c>
      <c r="F5" s="1985">
        <v>11439</v>
      </c>
      <c r="G5" s="1982">
        <v>359946.97764705884</v>
      </c>
      <c r="H5" s="1983" t="s">
        <v>2319</v>
      </c>
      <c r="M5" t="s">
        <v>248</v>
      </c>
    </row>
    <row r="6" spans="2:13" ht="15" outlineLevel="1" x14ac:dyDescent="0.15">
      <c r="B6" s="1974" t="s">
        <v>2320</v>
      </c>
      <c r="C6" s="1975" t="s">
        <v>2321</v>
      </c>
      <c r="D6" s="1976" t="s">
        <v>2311</v>
      </c>
      <c r="E6" s="1984">
        <v>15704</v>
      </c>
      <c r="F6" s="1985"/>
      <c r="G6" s="1982">
        <v>1543043.801</v>
      </c>
      <c r="H6" s="1983" t="s">
        <v>2322</v>
      </c>
      <c r="M6" t="s">
        <v>245</v>
      </c>
    </row>
    <row r="7" spans="2:13" ht="15" outlineLevel="1" x14ac:dyDescent="0.15">
      <c r="B7" s="1974" t="s">
        <v>2323</v>
      </c>
      <c r="C7" s="1975" t="s">
        <v>2324</v>
      </c>
      <c r="D7" s="1976" t="s">
        <v>2311</v>
      </c>
      <c r="E7" s="1984">
        <v>14640</v>
      </c>
      <c r="F7" s="1985"/>
      <c r="G7" s="1982">
        <v>748847.80999999994</v>
      </c>
      <c r="H7" s="1983" t="s">
        <v>2325</v>
      </c>
      <c r="M7" t="s">
        <v>247</v>
      </c>
    </row>
    <row r="8" spans="2:13" ht="15" outlineLevel="1" x14ac:dyDescent="0.15">
      <c r="B8" s="1974" t="s">
        <v>2326</v>
      </c>
      <c r="C8" s="1975" t="s">
        <v>2324</v>
      </c>
      <c r="D8" s="1976" t="s">
        <v>2311</v>
      </c>
      <c r="E8" s="1984">
        <v>11482</v>
      </c>
      <c r="F8" s="1985"/>
      <c r="G8" s="1982">
        <v>490690.9</v>
      </c>
      <c r="H8" s="1983" t="s">
        <v>2327</v>
      </c>
      <c r="M8" t="s">
        <v>249</v>
      </c>
    </row>
    <row r="9" spans="2:13" ht="15" outlineLevel="1" x14ac:dyDescent="0.15">
      <c r="B9" s="1974"/>
      <c r="C9" s="1975" t="s">
        <v>2328</v>
      </c>
      <c r="D9" s="1976" t="s">
        <v>2311</v>
      </c>
      <c r="E9" s="1984">
        <v>116389</v>
      </c>
      <c r="F9" s="1985">
        <v>15655</v>
      </c>
      <c r="G9" s="1982">
        <v>303901.49063938623</v>
      </c>
      <c r="H9" s="1983" t="s">
        <v>2329</v>
      </c>
      <c r="M9" t="s">
        <v>251</v>
      </c>
    </row>
    <row r="10" spans="2:13" ht="15" outlineLevel="1" x14ac:dyDescent="0.15">
      <c r="B10" s="1974" t="s">
        <v>2330</v>
      </c>
      <c r="C10" s="1975" t="s">
        <v>2331</v>
      </c>
      <c r="D10" s="1976" t="s">
        <v>2332</v>
      </c>
      <c r="E10" s="1984">
        <v>9148</v>
      </c>
      <c r="F10" s="1985"/>
      <c r="G10" s="1982">
        <v>325.86257668711653</v>
      </c>
      <c r="H10" s="1983" t="s">
        <v>2333</v>
      </c>
      <c r="M10" t="s">
        <v>956</v>
      </c>
    </row>
    <row r="11" spans="2:13" ht="15" outlineLevel="1" x14ac:dyDescent="0.15">
      <c r="B11" s="1974" t="s">
        <v>2334</v>
      </c>
      <c r="C11" s="1975" t="s">
        <v>2331</v>
      </c>
      <c r="D11" s="1976" t="s">
        <v>2332</v>
      </c>
      <c r="E11" s="1984">
        <v>9151</v>
      </c>
      <c r="F11" s="1985"/>
      <c r="G11" s="1982">
        <v>410.76203504043127</v>
      </c>
      <c r="H11" s="1983" t="s">
        <v>2335</v>
      </c>
      <c r="M11" t="s">
        <v>250</v>
      </c>
    </row>
    <row r="12" spans="2:13" ht="15" outlineLevel="1" x14ac:dyDescent="0.15">
      <c r="B12" s="1974" t="s">
        <v>2336</v>
      </c>
      <c r="C12" s="1975" t="s">
        <v>2337</v>
      </c>
      <c r="D12" s="1976" t="s">
        <v>2332</v>
      </c>
      <c r="E12" s="1984">
        <v>9147</v>
      </c>
      <c r="F12" s="1985"/>
      <c r="G12" s="1982">
        <v>77.389177718832897</v>
      </c>
      <c r="H12" s="1983" t="s">
        <v>2338</v>
      </c>
      <c r="M12" t="s">
        <v>252</v>
      </c>
    </row>
    <row r="13" spans="2:13" ht="15" outlineLevel="1" x14ac:dyDescent="0.15">
      <c r="B13" s="1974" t="s">
        <v>2339</v>
      </c>
      <c r="C13" s="1975" t="s">
        <v>2340</v>
      </c>
      <c r="D13" s="1976" t="s">
        <v>2332</v>
      </c>
      <c r="E13" s="1984">
        <v>13913</v>
      </c>
      <c r="F13" s="1985"/>
      <c r="G13" s="1982">
        <v>5712.7650349650348</v>
      </c>
      <c r="H13" s="2206" t="s">
        <v>2341</v>
      </c>
      <c r="M13" t="s">
        <v>2099</v>
      </c>
    </row>
    <row r="14" spans="2:13" ht="15" outlineLevel="1" x14ac:dyDescent="0.15">
      <c r="B14" s="1974" t="s">
        <v>2342</v>
      </c>
      <c r="C14" s="1975" t="s">
        <v>2343</v>
      </c>
      <c r="D14" s="1976" t="s">
        <v>2332</v>
      </c>
      <c r="E14" s="1984">
        <v>14195</v>
      </c>
      <c r="F14" s="1985"/>
      <c r="G14" s="1982">
        <v>8837.1349137931029</v>
      </c>
      <c r="H14" s="2206" t="s">
        <v>2344</v>
      </c>
      <c r="M14" t="s">
        <v>255</v>
      </c>
    </row>
    <row r="15" spans="2:13" ht="15" outlineLevel="1" x14ac:dyDescent="0.15">
      <c r="B15" s="1974" t="s">
        <v>1717</v>
      </c>
      <c r="C15" s="1975" t="s">
        <v>2345</v>
      </c>
      <c r="D15" s="1976" t="s">
        <v>2332</v>
      </c>
      <c r="E15" s="1984">
        <v>14193</v>
      </c>
      <c r="F15" s="1985"/>
      <c r="G15" s="1982">
        <v>1682.2970967741935</v>
      </c>
      <c r="H15" s="2206" t="s">
        <v>2346</v>
      </c>
      <c r="M15" t="s">
        <v>253</v>
      </c>
    </row>
    <row r="16" spans="2:13" ht="15" outlineLevel="1" x14ac:dyDescent="0.15">
      <c r="B16" s="1974" t="s">
        <v>1757</v>
      </c>
      <c r="C16" s="1975" t="s">
        <v>2331</v>
      </c>
      <c r="D16" s="1976" t="s">
        <v>2332</v>
      </c>
      <c r="E16" s="1984">
        <v>11477</v>
      </c>
      <c r="F16" s="1985">
        <v>41169</v>
      </c>
      <c r="G16" s="1982">
        <v>1144.5168333333334</v>
      </c>
      <c r="H16" s="1983" t="s">
        <v>2347</v>
      </c>
      <c r="M16" t="s">
        <v>254</v>
      </c>
    </row>
    <row r="17" spans="2:13" ht="15" outlineLevel="1" x14ac:dyDescent="0.15">
      <c r="B17" s="1974" t="s">
        <v>2348</v>
      </c>
      <c r="C17" s="1975" t="s">
        <v>2340</v>
      </c>
      <c r="D17" s="1976" t="s">
        <v>2332</v>
      </c>
      <c r="E17" s="1984">
        <v>14195</v>
      </c>
      <c r="F17" s="1985"/>
      <c r="G17" s="1982">
        <v>8837.1349137931029</v>
      </c>
      <c r="H17" s="1983" t="s">
        <v>2344</v>
      </c>
      <c r="M17" t="s">
        <v>256</v>
      </c>
    </row>
    <row r="18" spans="2:13" ht="15" outlineLevel="1" x14ac:dyDescent="0.15">
      <c r="B18" s="1974" t="s">
        <v>2342</v>
      </c>
      <c r="C18" s="1975" t="s">
        <v>2343</v>
      </c>
      <c r="D18" s="1976" t="s">
        <v>2332</v>
      </c>
      <c r="E18" s="1984">
        <v>114804</v>
      </c>
      <c r="F18" s="1985"/>
      <c r="G18" s="1982">
        <v>27524</v>
      </c>
      <c r="H18" s="2206" t="s">
        <v>2349</v>
      </c>
      <c r="M18" t="s">
        <v>257</v>
      </c>
    </row>
    <row r="19" spans="2:13" ht="15" outlineLevel="1" x14ac:dyDescent="0.15">
      <c r="B19" s="1986" t="s">
        <v>2336</v>
      </c>
      <c r="C19" s="1987" t="s">
        <v>2350</v>
      </c>
      <c r="D19" s="1976" t="s">
        <v>2351</v>
      </c>
      <c r="E19" s="1988">
        <v>114865</v>
      </c>
      <c r="F19" s="1989"/>
      <c r="G19" s="1990">
        <v>120172.5119117647</v>
      </c>
      <c r="H19" s="1983" t="s">
        <v>2352</v>
      </c>
      <c r="M19" t="s">
        <v>258</v>
      </c>
    </row>
    <row r="20" spans="2:13" ht="15" outlineLevel="1" x14ac:dyDescent="0.15">
      <c r="B20" s="1986"/>
      <c r="C20" s="1987" t="s">
        <v>2350</v>
      </c>
      <c r="D20" s="1976" t="s">
        <v>2351</v>
      </c>
      <c r="E20" s="2014">
        <v>85210</v>
      </c>
      <c r="F20" s="1989"/>
      <c r="G20" s="1990">
        <v>537746.94855263166</v>
      </c>
      <c r="H20" s="1983" t="s">
        <v>2353</v>
      </c>
      <c r="M20" t="s">
        <v>259</v>
      </c>
    </row>
    <row r="21" spans="2:13" ht="15" outlineLevel="1" x14ac:dyDescent="0.15">
      <c r="B21" s="1986"/>
      <c r="C21" s="1987" t="s">
        <v>2350</v>
      </c>
      <c r="D21" s="1976" t="s">
        <v>2354</v>
      </c>
      <c r="E21" s="2015">
        <v>111514</v>
      </c>
      <c r="F21" s="1992"/>
      <c r="G21" s="1990">
        <v>232578.68333333335</v>
      </c>
      <c r="H21" s="1993" t="s">
        <v>2355</v>
      </c>
      <c r="M21" t="s">
        <v>260</v>
      </c>
    </row>
    <row r="22" spans="2:13" ht="15" outlineLevel="1" x14ac:dyDescent="0.15">
      <c r="B22" s="1986">
        <v>3</v>
      </c>
      <c r="C22" s="1987" t="s">
        <v>2350</v>
      </c>
      <c r="D22" s="1976" t="s">
        <v>2356</v>
      </c>
      <c r="E22" s="2015">
        <v>10181</v>
      </c>
      <c r="F22" s="1992"/>
      <c r="G22" s="1990">
        <v>9287.8893548387096</v>
      </c>
      <c r="H22" s="1993" t="s">
        <v>2357</v>
      </c>
      <c r="M22" t="s">
        <v>261</v>
      </c>
    </row>
    <row r="23" spans="2:13" ht="15" outlineLevel="1" x14ac:dyDescent="0.15">
      <c r="B23" s="1986">
        <v>4</v>
      </c>
      <c r="C23" s="1987" t="s">
        <v>2358</v>
      </c>
      <c r="D23" s="1976" t="s">
        <v>2351</v>
      </c>
      <c r="E23" s="1988">
        <v>10145</v>
      </c>
      <c r="F23" s="1989"/>
      <c r="G23" s="1990">
        <v>149911.2139834025</v>
      </c>
      <c r="H23" s="1993" t="s">
        <v>2359</v>
      </c>
      <c r="M23" t="s">
        <v>262</v>
      </c>
    </row>
    <row r="24" spans="2:13" ht="15" outlineLevel="1" x14ac:dyDescent="0.15">
      <c r="B24" s="1986">
        <v>5</v>
      </c>
      <c r="C24" s="1987" t="s">
        <v>2358</v>
      </c>
      <c r="D24" s="1976" t="s">
        <v>2354</v>
      </c>
      <c r="E24" s="1991">
        <v>77682</v>
      </c>
      <c r="F24" s="1992"/>
      <c r="G24" s="1990">
        <v>161993.92727272728</v>
      </c>
      <c r="H24" s="1983" t="s">
        <v>2360</v>
      </c>
      <c r="M24" t="s">
        <v>263</v>
      </c>
    </row>
    <row r="25" spans="2:13" ht="15" outlineLevel="1" x14ac:dyDescent="0.15">
      <c r="B25" s="1986">
        <v>6</v>
      </c>
      <c r="C25" s="1987" t="s">
        <v>2358</v>
      </c>
      <c r="D25" s="1976" t="s">
        <v>2354</v>
      </c>
      <c r="E25" s="1991">
        <v>29927</v>
      </c>
      <c r="F25" s="1992"/>
      <c r="G25" s="1990">
        <v>13760.66</v>
      </c>
      <c r="H25" s="1993" t="s">
        <v>2361</v>
      </c>
      <c r="M25" t="s">
        <v>264</v>
      </c>
    </row>
    <row r="26" spans="2:13" ht="15" outlineLevel="1" x14ac:dyDescent="0.15">
      <c r="B26" s="1986">
        <v>7</v>
      </c>
      <c r="C26" s="1987" t="s">
        <v>2358</v>
      </c>
      <c r="D26" s="1976" t="s">
        <v>2356</v>
      </c>
      <c r="E26" s="1994">
        <v>29886</v>
      </c>
      <c r="F26" s="1995"/>
      <c r="G26" s="1990">
        <v>1569.5323214285713</v>
      </c>
      <c r="H26" s="1983" t="s">
        <v>2362</v>
      </c>
      <c r="M26" t="s">
        <v>265</v>
      </c>
    </row>
    <row r="27" spans="2:13" ht="15" outlineLevel="1" x14ac:dyDescent="0.15">
      <c r="B27" s="1986"/>
      <c r="C27" s="1987" t="s">
        <v>2363</v>
      </c>
      <c r="D27" s="1976" t="s">
        <v>2351</v>
      </c>
      <c r="E27" s="2014">
        <v>3091</v>
      </c>
      <c r="F27" s="1989"/>
      <c r="G27" s="1990">
        <v>133829.60365671641</v>
      </c>
      <c r="H27" s="1993" t="s">
        <v>2364</v>
      </c>
      <c r="M27" t="s">
        <v>266</v>
      </c>
    </row>
    <row r="28" spans="2:13" ht="15" outlineLevel="1" x14ac:dyDescent="0.15">
      <c r="B28" s="1986"/>
      <c r="C28" s="1987" t="s">
        <v>2363</v>
      </c>
      <c r="D28" s="1976" t="s">
        <v>2351</v>
      </c>
      <c r="E28" s="1988">
        <v>115057</v>
      </c>
      <c r="F28" s="1989"/>
      <c r="G28" s="1990">
        <v>157783.04518518518</v>
      </c>
      <c r="H28" s="1993" t="s">
        <v>2365</v>
      </c>
      <c r="M28" t="s">
        <v>1156</v>
      </c>
    </row>
    <row r="29" spans="2:13" ht="15" outlineLevel="1" x14ac:dyDescent="0.15">
      <c r="B29" s="1974">
        <v>9</v>
      </c>
      <c r="C29" s="1987" t="s">
        <v>2363</v>
      </c>
      <c r="D29" s="1976" t="s">
        <v>2351</v>
      </c>
      <c r="E29" s="1996">
        <v>10140</v>
      </c>
      <c r="F29" s="1997"/>
      <c r="G29" s="1982">
        <v>276001.80460674159</v>
      </c>
      <c r="H29" s="1998" t="s">
        <v>2366</v>
      </c>
      <c r="M29" t="s">
        <v>1158</v>
      </c>
    </row>
    <row r="30" spans="2:13" ht="15" outlineLevel="1" x14ac:dyDescent="0.15">
      <c r="B30" s="1986"/>
      <c r="C30" s="1987" t="s">
        <v>2363</v>
      </c>
      <c r="D30" s="1976" t="s">
        <v>2354</v>
      </c>
      <c r="E30" s="2016">
        <v>77681</v>
      </c>
      <c r="F30" s="1995"/>
      <c r="G30" s="1990">
        <v>90159.136666666658</v>
      </c>
      <c r="H30" s="1993" t="s">
        <v>2367</v>
      </c>
      <c r="M30" t="s">
        <v>1157</v>
      </c>
    </row>
    <row r="31" spans="2:13" ht="15" outlineLevel="1" x14ac:dyDescent="0.15">
      <c r="B31" s="1986">
        <v>11</v>
      </c>
      <c r="C31" s="1987" t="s">
        <v>2363</v>
      </c>
      <c r="D31" s="1976" t="s">
        <v>2354</v>
      </c>
      <c r="E31" s="1994">
        <v>14335</v>
      </c>
      <c r="F31" s="1995"/>
      <c r="G31" s="1990">
        <v>45135.35</v>
      </c>
      <c r="H31" s="1993" t="s">
        <v>2368</v>
      </c>
      <c r="M31" t="s">
        <v>1159</v>
      </c>
    </row>
    <row r="32" spans="2:13" ht="15" outlineLevel="1" x14ac:dyDescent="0.15">
      <c r="B32" s="1986">
        <v>12</v>
      </c>
      <c r="C32" s="1987" t="s">
        <v>2363</v>
      </c>
      <c r="D32" s="1976" t="s">
        <v>2354</v>
      </c>
      <c r="E32" s="1994">
        <v>10371</v>
      </c>
      <c r="F32" s="1995"/>
      <c r="G32" s="1990">
        <v>101881.05</v>
      </c>
      <c r="H32" s="1993" t="s">
        <v>2369</v>
      </c>
      <c r="M32" t="s">
        <v>1160</v>
      </c>
    </row>
    <row r="33" spans="2:13" ht="15" outlineLevel="1" x14ac:dyDescent="0.15">
      <c r="B33" s="1986">
        <v>13</v>
      </c>
      <c r="C33" s="1987" t="s">
        <v>2363</v>
      </c>
      <c r="D33" s="1976" t="s">
        <v>2354</v>
      </c>
      <c r="E33" s="2015">
        <v>10370</v>
      </c>
      <c r="F33" s="1992"/>
      <c r="G33" s="1990">
        <v>221738.82</v>
      </c>
      <c r="H33" s="1993" t="s">
        <v>2370</v>
      </c>
      <c r="M33" t="s">
        <v>1161</v>
      </c>
    </row>
    <row r="34" spans="2:13" ht="15" outlineLevel="1" x14ac:dyDescent="0.15">
      <c r="B34" s="1986"/>
      <c r="C34" s="1987" t="s">
        <v>2363</v>
      </c>
      <c r="D34" s="1976" t="s">
        <v>2354</v>
      </c>
      <c r="E34" s="1994">
        <v>108595</v>
      </c>
      <c r="F34" s="1995"/>
      <c r="G34" s="1990">
        <v>224725.67428571428</v>
      </c>
      <c r="H34" s="1993" t="s">
        <v>2371</v>
      </c>
      <c r="M34" t="s">
        <v>2097</v>
      </c>
    </row>
    <row r="35" spans="2:13" ht="15" outlineLevel="1" x14ac:dyDescent="0.15">
      <c r="B35" s="1999">
        <v>16</v>
      </c>
      <c r="C35" s="1987" t="s">
        <v>2363</v>
      </c>
      <c r="D35" s="1976" t="s">
        <v>2354</v>
      </c>
      <c r="E35" s="1991">
        <v>87073</v>
      </c>
      <c r="F35" s="1992"/>
      <c r="G35" s="1990">
        <v>111384.02</v>
      </c>
      <c r="H35" s="1993" t="s">
        <v>2372</v>
      </c>
      <c r="M35" t="s">
        <v>2098</v>
      </c>
    </row>
    <row r="36" spans="2:13" ht="15" outlineLevel="1" x14ac:dyDescent="0.15">
      <c r="B36" s="1999">
        <v>17</v>
      </c>
      <c r="C36" s="1987" t="s">
        <v>2363</v>
      </c>
      <c r="D36" s="1976" t="s">
        <v>2354</v>
      </c>
      <c r="E36" s="1991">
        <v>112551</v>
      </c>
      <c r="F36" s="1992"/>
      <c r="G36" s="1990">
        <v>0</v>
      </c>
      <c r="H36" s="1993" t="s">
        <v>2373</v>
      </c>
      <c r="M36" t="s">
        <v>1162</v>
      </c>
    </row>
    <row r="37" spans="2:13" ht="15" outlineLevel="1" x14ac:dyDescent="0.15">
      <c r="B37" s="1986">
        <v>18</v>
      </c>
      <c r="C37" s="1987" t="s">
        <v>2363</v>
      </c>
      <c r="D37" s="1976" t="s">
        <v>2356</v>
      </c>
      <c r="E37" s="2016">
        <v>10179</v>
      </c>
      <c r="F37" s="1995">
        <v>29874</v>
      </c>
      <c r="G37" s="1990">
        <v>2652.8102389705882</v>
      </c>
      <c r="H37" s="1983" t="s">
        <v>2374</v>
      </c>
      <c r="M37" t="s">
        <v>267</v>
      </c>
    </row>
    <row r="38" spans="2:13" ht="15" outlineLevel="1" x14ac:dyDescent="0.15">
      <c r="B38" s="1986">
        <v>19</v>
      </c>
      <c r="C38" s="1987" t="s">
        <v>2363</v>
      </c>
      <c r="D38" s="1976" t="s">
        <v>2356</v>
      </c>
      <c r="E38" s="2016">
        <v>10180</v>
      </c>
      <c r="F38" s="1995"/>
      <c r="G38" s="1990">
        <v>6252.454545454545</v>
      </c>
      <c r="H38" s="1993" t="s">
        <v>2375</v>
      </c>
      <c r="M38" t="s">
        <v>365</v>
      </c>
    </row>
    <row r="39" spans="2:13" ht="15" outlineLevel="1" x14ac:dyDescent="0.15">
      <c r="B39" s="1986">
        <v>21</v>
      </c>
      <c r="C39" s="1987" t="s">
        <v>2363</v>
      </c>
      <c r="D39" s="1976" t="s">
        <v>2356</v>
      </c>
      <c r="E39" s="2015">
        <v>8719</v>
      </c>
      <c r="F39" s="1992"/>
      <c r="G39" s="1990">
        <v>20579.436315789473</v>
      </c>
      <c r="H39" s="1993" t="s">
        <v>2376</v>
      </c>
      <c r="M39" t="s">
        <v>366</v>
      </c>
    </row>
    <row r="40" spans="2:13" ht="15" outlineLevel="1" x14ac:dyDescent="0.15">
      <c r="B40" s="1986"/>
      <c r="C40" s="1987" t="s">
        <v>2377</v>
      </c>
      <c r="D40" s="1976" t="s">
        <v>2351</v>
      </c>
      <c r="E40" s="2017">
        <v>10147</v>
      </c>
      <c r="F40" s="2001"/>
      <c r="G40" s="1990">
        <v>72340.950474716214</v>
      </c>
      <c r="H40" s="1993" t="s">
        <v>2378</v>
      </c>
      <c r="M40" t="s">
        <v>268</v>
      </c>
    </row>
    <row r="41" spans="2:13" ht="15" outlineLevel="1" x14ac:dyDescent="0.15">
      <c r="B41" s="1986"/>
      <c r="C41" s="1987" t="s">
        <v>2377</v>
      </c>
      <c r="D41" s="1976" t="s">
        <v>2351</v>
      </c>
      <c r="E41" s="2000">
        <v>115058</v>
      </c>
      <c r="F41" s="2001"/>
      <c r="G41" s="1990">
        <v>59802.843225806449</v>
      </c>
      <c r="H41" s="1993" t="s">
        <v>2379</v>
      </c>
      <c r="M41" t="s">
        <v>2096</v>
      </c>
    </row>
    <row r="42" spans="2:13" ht="15" outlineLevel="1" x14ac:dyDescent="0.15">
      <c r="B42" s="2002">
        <v>23</v>
      </c>
      <c r="C42" s="1987" t="s">
        <v>2377</v>
      </c>
      <c r="D42" s="1976" t="s">
        <v>2351</v>
      </c>
      <c r="E42" s="1996">
        <v>10148</v>
      </c>
      <c r="F42" s="1997"/>
      <c r="G42" s="1982">
        <v>77189.892736842099</v>
      </c>
      <c r="H42" s="1993" t="s">
        <v>2380</v>
      </c>
      <c r="M42" t="s">
        <v>2095</v>
      </c>
    </row>
    <row r="43" spans="2:13" ht="15" outlineLevel="1" x14ac:dyDescent="0.15">
      <c r="B43" s="1986">
        <v>28</v>
      </c>
      <c r="C43" s="1987" t="s">
        <v>2377</v>
      </c>
      <c r="D43" s="1976" t="s">
        <v>2356</v>
      </c>
      <c r="E43" s="2015">
        <v>8715</v>
      </c>
      <c r="F43" s="1992"/>
      <c r="G43" s="1990">
        <v>12112.4396</v>
      </c>
      <c r="H43" s="1993" t="s">
        <v>2381</v>
      </c>
      <c r="M43" t="s">
        <v>2111</v>
      </c>
    </row>
    <row r="44" spans="2:13" ht="15" outlineLevel="1" x14ac:dyDescent="0.15">
      <c r="B44" s="1986">
        <v>29</v>
      </c>
      <c r="C44" s="1987" t="s">
        <v>2377</v>
      </c>
      <c r="D44" s="1976" t="s">
        <v>2354</v>
      </c>
      <c r="E44" s="2015">
        <v>67983</v>
      </c>
      <c r="F44" s="1992">
        <v>14326</v>
      </c>
      <c r="G44" s="1990">
        <v>83447.456666666665</v>
      </c>
      <c r="H44" s="1993" t="s">
        <v>2382</v>
      </c>
      <c r="M44" t="s">
        <v>2248</v>
      </c>
    </row>
    <row r="45" spans="2:13" ht="30" outlineLevel="1" x14ac:dyDescent="0.15">
      <c r="B45" s="1986">
        <v>31</v>
      </c>
      <c r="C45" s="1987" t="s">
        <v>2377</v>
      </c>
      <c r="D45" s="1976" t="s">
        <v>2354</v>
      </c>
      <c r="E45" s="2016">
        <v>67984</v>
      </c>
      <c r="F45" s="1995"/>
      <c r="G45" s="1990">
        <v>59412.694285714286</v>
      </c>
      <c r="H45" s="1993" t="s">
        <v>2383</v>
      </c>
      <c r="M45" t="s">
        <v>261</v>
      </c>
    </row>
    <row r="46" spans="2:13" ht="15" outlineLevel="1" x14ac:dyDescent="0.15">
      <c r="B46" s="1986">
        <v>32</v>
      </c>
      <c r="C46" s="1987" t="s">
        <v>2377</v>
      </c>
      <c r="D46" s="1976" t="s">
        <v>2354</v>
      </c>
      <c r="E46" s="1991">
        <v>75786</v>
      </c>
      <c r="F46" s="1992"/>
      <c r="G46" s="1990">
        <v>104898.59833333333</v>
      </c>
      <c r="H46" s="1983" t="s">
        <v>2384</v>
      </c>
      <c r="M46" t="s">
        <v>262</v>
      </c>
    </row>
    <row r="47" spans="2:13" ht="15" outlineLevel="1" x14ac:dyDescent="0.15">
      <c r="B47" s="1986">
        <v>34</v>
      </c>
      <c r="C47" s="1987" t="s">
        <v>2377</v>
      </c>
      <c r="D47" s="1976" t="s">
        <v>2356</v>
      </c>
      <c r="E47" s="2015">
        <v>10173</v>
      </c>
      <c r="F47" s="1992"/>
      <c r="G47" s="1990">
        <v>6084.2525657894739</v>
      </c>
      <c r="H47" s="1993" t="s">
        <v>2385</v>
      </c>
      <c r="M47" t="s">
        <v>263</v>
      </c>
    </row>
    <row r="48" spans="2:13" ht="15" outlineLevel="1" x14ac:dyDescent="0.15">
      <c r="B48" s="1986">
        <v>35</v>
      </c>
      <c r="C48" s="1987" t="s">
        <v>2377</v>
      </c>
      <c r="D48" s="1976" t="s">
        <v>2356</v>
      </c>
      <c r="E48" s="1991">
        <v>10175</v>
      </c>
      <c r="F48" s="1992"/>
      <c r="G48" s="1990">
        <v>11089.857314285715</v>
      </c>
      <c r="H48" s="1993" t="s">
        <v>2386</v>
      </c>
      <c r="M48" t="s">
        <v>264</v>
      </c>
    </row>
    <row r="49" spans="2:13" ht="30" outlineLevel="1" x14ac:dyDescent="0.15">
      <c r="B49" s="1986">
        <v>36</v>
      </c>
      <c r="C49" s="1987" t="s">
        <v>2377</v>
      </c>
      <c r="D49" s="1976" t="s">
        <v>2356</v>
      </c>
      <c r="E49" s="2015">
        <v>10172</v>
      </c>
      <c r="F49" s="1992">
        <v>10177</v>
      </c>
      <c r="G49" s="1990">
        <v>2746.0351006711408</v>
      </c>
      <c r="H49" s="1993" t="s">
        <v>2387</v>
      </c>
      <c r="M49" t="s">
        <v>265</v>
      </c>
    </row>
    <row r="50" spans="2:13" ht="15" outlineLevel="1" x14ac:dyDescent="0.15">
      <c r="B50" s="1986"/>
      <c r="C50" s="1987" t="s">
        <v>2377</v>
      </c>
      <c r="D50" s="1976" t="s">
        <v>2354</v>
      </c>
      <c r="E50" s="1991">
        <v>29900</v>
      </c>
      <c r="F50" s="1992">
        <v>6110</v>
      </c>
      <c r="G50" s="1990">
        <v>7290.7835000000005</v>
      </c>
      <c r="H50" s="1993" t="s">
        <v>2388</v>
      </c>
      <c r="M50" t="s">
        <v>266</v>
      </c>
    </row>
    <row r="51" spans="2:13" ht="15" outlineLevel="1" x14ac:dyDescent="0.15">
      <c r="B51" s="1986">
        <v>39</v>
      </c>
      <c r="C51" s="1987" t="s">
        <v>2377</v>
      </c>
      <c r="D51" s="1976" t="s">
        <v>2354</v>
      </c>
      <c r="E51" s="1991">
        <v>29888</v>
      </c>
      <c r="F51" s="1992">
        <v>6108</v>
      </c>
      <c r="G51" s="1990">
        <v>2136.0075000000002</v>
      </c>
      <c r="H51" s="1993" t="s">
        <v>2389</v>
      </c>
      <c r="M51" t="s">
        <v>365</v>
      </c>
    </row>
    <row r="52" spans="2:13" ht="30" outlineLevel="1" x14ac:dyDescent="0.15">
      <c r="B52" s="1986"/>
      <c r="C52" s="1987" t="s">
        <v>2377</v>
      </c>
      <c r="D52" s="1976" t="s">
        <v>2390</v>
      </c>
      <c r="E52" s="2015">
        <v>15176</v>
      </c>
      <c r="F52" s="1992"/>
      <c r="G52" s="1990">
        <v>2019884.4940000002</v>
      </c>
      <c r="H52" s="1993" t="s">
        <v>2391</v>
      </c>
      <c r="M52" t="s">
        <v>366</v>
      </c>
    </row>
    <row r="53" spans="2:13" ht="15" outlineLevel="1" x14ac:dyDescent="0.15">
      <c r="B53" s="1986">
        <v>43</v>
      </c>
      <c r="C53" s="1987" t="s">
        <v>2392</v>
      </c>
      <c r="D53" s="1976" t="s">
        <v>2351</v>
      </c>
      <c r="E53" s="2018">
        <v>3086</v>
      </c>
      <c r="F53" s="2003"/>
      <c r="G53" s="1990">
        <v>33651.127507788158</v>
      </c>
      <c r="H53" s="1983" t="s">
        <v>2393</v>
      </c>
      <c r="M53" t="s">
        <v>268</v>
      </c>
    </row>
    <row r="54" spans="2:13" ht="30" outlineLevel="1" x14ac:dyDescent="0.15">
      <c r="B54" s="1986"/>
      <c r="C54" s="1987" t="s">
        <v>2392</v>
      </c>
      <c r="D54" s="1976" t="s">
        <v>2351</v>
      </c>
      <c r="E54" s="2017">
        <v>3087</v>
      </c>
      <c r="F54" s="2001"/>
      <c r="G54" s="1990">
        <v>44331.989468186133</v>
      </c>
      <c r="H54" s="1993" t="s">
        <v>2394</v>
      </c>
    </row>
    <row r="55" spans="2:13" ht="15" outlineLevel="1" x14ac:dyDescent="0.15">
      <c r="B55" s="1986">
        <v>45</v>
      </c>
      <c r="C55" s="1987" t="s">
        <v>2392</v>
      </c>
      <c r="D55" s="1976" t="s">
        <v>2354</v>
      </c>
      <c r="E55" s="2015">
        <v>14327</v>
      </c>
      <c r="F55" s="1992"/>
      <c r="G55" s="1990">
        <v>37495.081666666665</v>
      </c>
      <c r="H55" s="1993" t="s">
        <v>2395</v>
      </c>
    </row>
    <row r="56" spans="2:13" ht="15" outlineLevel="1" x14ac:dyDescent="0.15">
      <c r="B56" s="1986">
        <v>46</v>
      </c>
      <c r="C56" s="1987" t="s">
        <v>2392</v>
      </c>
      <c r="D56" s="1976" t="s">
        <v>2390</v>
      </c>
      <c r="E56" s="2015">
        <v>11934</v>
      </c>
      <c r="F56" s="1992">
        <v>115865</v>
      </c>
      <c r="G56" s="1990">
        <v>283160.8641666667</v>
      </c>
      <c r="H56" s="1983" t="s">
        <v>2396</v>
      </c>
    </row>
    <row r="57" spans="2:13" ht="15" outlineLevel="1" x14ac:dyDescent="0.15">
      <c r="B57" s="1986">
        <v>47</v>
      </c>
      <c r="C57" s="1987" t="s">
        <v>2392</v>
      </c>
      <c r="D57" s="1976" t="s">
        <v>2390</v>
      </c>
      <c r="E57" s="1991">
        <v>9634</v>
      </c>
      <c r="F57" s="1992"/>
      <c r="G57" s="1990">
        <v>186867.90000000002</v>
      </c>
      <c r="H57" s="1993" t="s">
        <v>2397</v>
      </c>
    </row>
    <row r="58" spans="2:13" ht="15" outlineLevel="1" x14ac:dyDescent="0.15">
      <c r="B58" s="1986">
        <v>48</v>
      </c>
      <c r="C58" s="1987" t="s">
        <v>2392</v>
      </c>
      <c r="D58" s="1976" t="s">
        <v>2354</v>
      </c>
      <c r="E58" s="1991">
        <v>14377</v>
      </c>
      <c r="F58" s="1992"/>
      <c r="G58" s="1990">
        <v>54308.207499999997</v>
      </c>
      <c r="H58" s="1993" t="s">
        <v>2398</v>
      </c>
    </row>
    <row r="59" spans="2:13" ht="15" outlineLevel="1" x14ac:dyDescent="0.15">
      <c r="B59" s="1986">
        <v>49</v>
      </c>
      <c r="C59" s="1987" t="s">
        <v>2392</v>
      </c>
      <c r="D59" s="1976" t="s">
        <v>2354</v>
      </c>
      <c r="E59" s="1991">
        <v>10378</v>
      </c>
      <c r="F59" s="1992"/>
      <c r="G59" s="1990">
        <v>58370.21875</v>
      </c>
      <c r="H59" s="1993" t="s">
        <v>2399</v>
      </c>
    </row>
    <row r="60" spans="2:13" ht="30" outlineLevel="1" x14ac:dyDescent="0.15">
      <c r="B60" s="1986">
        <v>50</v>
      </c>
      <c r="C60" s="1987" t="s">
        <v>2392</v>
      </c>
      <c r="D60" s="1976" t="s">
        <v>2354</v>
      </c>
      <c r="E60" s="1991">
        <v>75783</v>
      </c>
      <c r="F60" s="1992"/>
      <c r="G60" s="1990">
        <v>71002.69</v>
      </c>
      <c r="H60" s="1993" t="s">
        <v>2400</v>
      </c>
    </row>
    <row r="61" spans="2:13" ht="30" outlineLevel="1" x14ac:dyDescent="0.15">
      <c r="B61" s="1986">
        <v>51</v>
      </c>
      <c r="C61" s="1987" t="s">
        <v>2392</v>
      </c>
      <c r="D61" s="1976" t="s">
        <v>2356</v>
      </c>
      <c r="E61" s="1991">
        <v>80161</v>
      </c>
      <c r="F61" s="1992"/>
      <c r="G61" s="1990">
        <v>5862.913333333333</v>
      </c>
      <c r="H61" s="1993" t="s">
        <v>2401</v>
      </c>
    </row>
    <row r="62" spans="2:13" ht="30" outlineLevel="1" x14ac:dyDescent="0.15">
      <c r="B62" s="1986">
        <v>52</v>
      </c>
      <c r="C62" s="1987" t="s">
        <v>2392</v>
      </c>
      <c r="D62" s="1976" t="s">
        <v>2356</v>
      </c>
      <c r="E62" s="1991">
        <v>85243</v>
      </c>
      <c r="F62" s="1992"/>
      <c r="G62" s="1990">
        <v>4585.3290243902438</v>
      </c>
      <c r="H62" s="1993" t="s">
        <v>2402</v>
      </c>
    </row>
    <row r="63" spans="2:13" ht="15" outlineLevel="1" x14ac:dyDescent="0.15">
      <c r="B63" s="1986">
        <v>53</v>
      </c>
      <c r="C63" s="1987" t="s">
        <v>2403</v>
      </c>
      <c r="D63" s="1976" t="s">
        <v>2351</v>
      </c>
      <c r="E63" s="2000">
        <v>85211</v>
      </c>
      <c r="F63" s="2001"/>
      <c r="G63" s="1990">
        <v>54405.163999999997</v>
      </c>
      <c r="H63" s="1993" t="s">
        <v>2404</v>
      </c>
    </row>
    <row r="64" spans="2:13" ht="15" outlineLevel="1" x14ac:dyDescent="0.15">
      <c r="B64" s="1986">
        <v>54</v>
      </c>
      <c r="C64" s="1987" t="s">
        <v>2403</v>
      </c>
      <c r="D64" s="1976" t="s">
        <v>2351</v>
      </c>
      <c r="E64" s="2017">
        <v>10149</v>
      </c>
      <c r="F64" s="2001"/>
      <c r="G64" s="1990">
        <v>55121.865239146427</v>
      </c>
      <c r="H64" s="1993" t="s">
        <v>2405</v>
      </c>
    </row>
    <row r="65" spans="2:8" ht="15" outlineLevel="1" x14ac:dyDescent="0.15">
      <c r="B65" s="1986">
        <v>55</v>
      </c>
      <c r="C65" s="1987" t="s">
        <v>2403</v>
      </c>
      <c r="D65" s="1976" t="s">
        <v>2351</v>
      </c>
      <c r="E65" s="2004">
        <v>85209</v>
      </c>
      <c r="F65" s="2005"/>
      <c r="G65" s="1990">
        <v>54405.163846153846</v>
      </c>
      <c r="H65" s="1993" t="s">
        <v>2406</v>
      </c>
    </row>
    <row r="66" spans="2:8" ht="30" outlineLevel="1" x14ac:dyDescent="0.15">
      <c r="B66" s="1986">
        <v>56</v>
      </c>
      <c r="C66" s="1987" t="s">
        <v>2403</v>
      </c>
      <c r="D66" s="1976" t="s">
        <v>2351</v>
      </c>
      <c r="E66" s="2000">
        <v>10154</v>
      </c>
      <c r="F66" s="2001"/>
      <c r="G66" s="1990">
        <v>20922.777205882354</v>
      </c>
      <c r="H66" s="1993" t="s">
        <v>2407</v>
      </c>
    </row>
    <row r="67" spans="2:8" ht="15" outlineLevel="1" x14ac:dyDescent="0.15">
      <c r="B67" s="1986">
        <v>57</v>
      </c>
      <c r="C67" s="1987" t="s">
        <v>2403</v>
      </c>
      <c r="D67" s="1976" t="s">
        <v>2356</v>
      </c>
      <c r="E67" s="2015">
        <v>8714</v>
      </c>
      <c r="F67" s="1992"/>
      <c r="G67" s="1990">
        <v>10097.885652173913</v>
      </c>
      <c r="H67" s="1993" t="s">
        <v>2408</v>
      </c>
    </row>
    <row r="68" spans="2:8" ht="15" outlineLevel="1" x14ac:dyDescent="0.15">
      <c r="B68" s="1986">
        <v>58</v>
      </c>
      <c r="C68" s="1987" t="s">
        <v>2403</v>
      </c>
      <c r="D68" s="1976" t="s">
        <v>2354</v>
      </c>
      <c r="E68" s="2019">
        <v>67985</v>
      </c>
      <c r="F68" s="2006">
        <v>14331</v>
      </c>
      <c r="G68" s="1990">
        <v>25508.838333333333</v>
      </c>
      <c r="H68" s="1993" t="s">
        <v>2409</v>
      </c>
    </row>
    <row r="69" spans="2:8" ht="15" outlineLevel="1" x14ac:dyDescent="0.15">
      <c r="B69" s="1986">
        <v>60</v>
      </c>
      <c r="C69" s="1987" t="s">
        <v>2403</v>
      </c>
      <c r="D69" s="1976" t="s">
        <v>2354</v>
      </c>
      <c r="E69" s="2015">
        <v>67986</v>
      </c>
      <c r="F69" s="1992">
        <v>40334</v>
      </c>
      <c r="G69" s="1990">
        <v>33231.54903846154</v>
      </c>
      <c r="H69" s="1993" t="s">
        <v>2410</v>
      </c>
    </row>
    <row r="70" spans="2:8" ht="15" outlineLevel="1" x14ac:dyDescent="0.15">
      <c r="B70" s="1986">
        <v>61</v>
      </c>
      <c r="C70" s="1987" t="s">
        <v>2403</v>
      </c>
      <c r="D70" s="1976" t="s">
        <v>2354</v>
      </c>
      <c r="E70" s="1991">
        <v>75784</v>
      </c>
      <c r="F70" s="1992"/>
      <c r="G70" s="1990">
        <v>66475.633333333331</v>
      </c>
      <c r="H70" s="1993" t="s">
        <v>2411</v>
      </c>
    </row>
    <row r="71" spans="2:8" ht="15" outlineLevel="1" x14ac:dyDescent="0.15">
      <c r="B71" s="1986">
        <v>63</v>
      </c>
      <c r="C71" s="1987" t="s">
        <v>2403</v>
      </c>
      <c r="D71" s="1976" t="s">
        <v>2356</v>
      </c>
      <c r="E71" s="2015">
        <v>10174</v>
      </c>
      <c r="F71" s="1992">
        <v>3109</v>
      </c>
      <c r="G71" s="1990">
        <v>6129.8334160756503</v>
      </c>
      <c r="H71" s="1993" t="s">
        <v>2412</v>
      </c>
    </row>
    <row r="72" spans="2:8" ht="15" outlineLevel="1" x14ac:dyDescent="0.15">
      <c r="B72" s="1986">
        <v>64</v>
      </c>
      <c r="C72" s="1987" t="s">
        <v>2403</v>
      </c>
      <c r="D72" s="1976" t="s">
        <v>2356</v>
      </c>
      <c r="E72" s="2016">
        <v>10176</v>
      </c>
      <c r="F72" s="1995"/>
      <c r="G72" s="1990">
        <v>1363.4743437500001</v>
      </c>
      <c r="H72" s="1993" t="s">
        <v>2413</v>
      </c>
    </row>
    <row r="73" spans="2:8" ht="15" outlineLevel="1" x14ac:dyDescent="0.15">
      <c r="B73" s="1986">
        <v>66</v>
      </c>
      <c r="C73" s="1987" t="s">
        <v>2403</v>
      </c>
      <c r="D73" s="1976" t="s">
        <v>2354</v>
      </c>
      <c r="E73" s="1991">
        <v>13472</v>
      </c>
      <c r="F73" s="1992"/>
      <c r="G73" s="1990">
        <v>4239.9258823529417</v>
      </c>
      <c r="H73" s="1983" t="s">
        <v>2414</v>
      </c>
    </row>
    <row r="74" spans="2:8" ht="15" outlineLevel="1" x14ac:dyDescent="0.15">
      <c r="B74" s="1986">
        <v>68</v>
      </c>
      <c r="C74" s="1987" t="s">
        <v>2403</v>
      </c>
      <c r="D74" s="1976" t="s">
        <v>2354</v>
      </c>
      <c r="E74" s="1991">
        <v>13467</v>
      </c>
      <c r="F74" s="1992"/>
      <c r="G74" s="1990">
        <v>21465.52381818182</v>
      </c>
      <c r="H74" s="1993" t="s">
        <v>2415</v>
      </c>
    </row>
    <row r="75" spans="2:8" ht="30" outlineLevel="1" x14ac:dyDescent="0.15">
      <c r="B75" s="1986">
        <v>70</v>
      </c>
      <c r="C75" s="1987" t="s">
        <v>2416</v>
      </c>
      <c r="D75" s="1976" t="s">
        <v>2390</v>
      </c>
      <c r="E75" s="2020">
        <v>15174</v>
      </c>
      <c r="F75" s="2007"/>
      <c r="G75" s="1990">
        <v>935220.27599999995</v>
      </c>
      <c r="H75" s="1993" t="s">
        <v>2417</v>
      </c>
    </row>
    <row r="76" spans="2:8" ht="15" outlineLevel="1" x14ac:dyDescent="0.15">
      <c r="B76" s="1986">
        <v>70</v>
      </c>
      <c r="C76" s="1987" t="s">
        <v>2416</v>
      </c>
      <c r="D76" s="1976" t="s">
        <v>2390</v>
      </c>
      <c r="E76" s="2020">
        <v>115868</v>
      </c>
      <c r="F76" s="2007">
        <v>115868</v>
      </c>
      <c r="G76" s="1990">
        <v>157165.19333333333</v>
      </c>
      <c r="H76" s="1993" t="s">
        <v>2418</v>
      </c>
    </row>
    <row r="77" spans="2:8" ht="15" outlineLevel="1" x14ac:dyDescent="0.15">
      <c r="B77" s="1986">
        <v>71</v>
      </c>
      <c r="C77" s="1987" t="s">
        <v>2403</v>
      </c>
      <c r="D77" s="1976" t="s">
        <v>2354</v>
      </c>
      <c r="E77" s="1991">
        <v>40335</v>
      </c>
      <c r="F77" s="1992"/>
      <c r="G77" s="1990">
        <v>52055.838181818181</v>
      </c>
      <c r="H77" s="1993" t="s">
        <v>2419</v>
      </c>
    </row>
    <row r="78" spans="2:8" ht="15" outlineLevel="1" x14ac:dyDescent="0.15">
      <c r="B78" s="1986"/>
      <c r="C78" s="1987" t="s">
        <v>2420</v>
      </c>
      <c r="D78" s="1976" t="s">
        <v>2351</v>
      </c>
      <c r="E78" s="2014">
        <v>40321</v>
      </c>
      <c r="F78" s="1989"/>
      <c r="G78" s="1990">
        <v>29125.453167506297</v>
      </c>
      <c r="H78" s="1983" t="s">
        <v>2421</v>
      </c>
    </row>
    <row r="79" spans="2:8" ht="15" outlineLevel="1" x14ac:dyDescent="0.15">
      <c r="B79" s="1986">
        <v>73</v>
      </c>
      <c r="C79" s="1987" t="s">
        <v>2420</v>
      </c>
      <c r="D79" s="1976" t="s">
        <v>2354</v>
      </c>
      <c r="E79" s="2015">
        <v>14328</v>
      </c>
      <c r="F79" s="1992"/>
      <c r="G79" s="1990">
        <v>23343.065714285713</v>
      </c>
      <c r="H79" s="1983" t="s">
        <v>2422</v>
      </c>
    </row>
    <row r="80" spans="2:8" ht="30" outlineLevel="1" x14ac:dyDescent="0.15">
      <c r="B80" s="1986">
        <v>74</v>
      </c>
      <c r="C80" s="1987" t="s">
        <v>2423</v>
      </c>
      <c r="D80" s="1976" t="s">
        <v>2390</v>
      </c>
      <c r="E80" s="2015">
        <v>85214</v>
      </c>
      <c r="F80" s="1992">
        <v>115866</v>
      </c>
      <c r="G80" s="1990">
        <v>191950.72</v>
      </c>
      <c r="H80" s="1983" t="s">
        <v>2424</v>
      </c>
    </row>
    <row r="81" spans="2:8" ht="30" outlineLevel="1" x14ac:dyDescent="0.15">
      <c r="B81" s="1986">
        <v>75</v>
      </c>
      <c r="C81" s="1987" t="s">
        <v>2425</v>
      </c>
      <c r="D81" s="1976" t="s">
        <v>2390</v>
      </c>
      <c r="E81" s="1994">
        <v>69321</v>
      </c>
      <c r="F81" s="1995">
        <v>115869</v>
      </c>
      <c r="G81" s="1990">
        <v>166908.15142857141</v>
      </c>
      <c r="H81" s="1993" t="s">
        <v>2426</v>
      </c>
    </row>
    <row r="82" spans="2:8" ht="15" outlineLevel="1" x14ac:dyDescent="0.15">
      <c r="B82" s="1986">
        <v>76</v>
      </c>
      <c r="C82" s="1987" t="s">
        <v>2425</v>
      </c>
      <c r="D82" s="1976" t="s">
        <v>2351</v>
      </c>
      <c r="E82" s="2014">
        <v>110423</v>
      </c>
      <c r="F82" s="1989"/>
      <c r="G82" s="1990">
        <v>0</v>
      </c>
      <c r="H82" s="1993" t="s">
        <v>2427</v>
      </c>
    </row>
    <row r="83" spans="2:8" ht="15" outlineLevel="1" x14ac:dyDescent="0.15">
      <c r="B83" s="1986">
        <v>76</v>
      </c>
      <c r="C83" s="1987" t="s">
        <v>2425</v>
      </c>
      <c r="D83" s="1976" t="s">
        <v>2351</v>
      </c>
      <c r="E83" s="2014">
        <v>10138</v>
      </c>
      <c r="F83" s="1989"/>
      <c r="G83" s="1990">
        <v>18966.211109057302</v>
      </c>
      <c r="H83" s="1993" t="s">
        <v>2428</v>
      </c>
    </row>
    <row r="84" spans="2:8" ht="15" outlineLevel="1" x14ac:dyDescent="0.15">
      <c r="B84" s="1986">
        <v>77</v>
      </c>
      <c r="C84" s="1987" t="s">
        <v>2425</v>
      </c>
      <c r="D84" s="1976" t="s">
        <v>2351</v>
      </c>
      <c r="E84" s="2000">
        <v>85208</v>
      </c>
      <c r="F84" s="2001"/>
      <c r="G84" s="1990">
        <v>22789.29</v>
      </c>
      <c r="H84" s="1993" t="s">
        <v>2429</v>
      </c>
    </row>
    <row r="85" spans="2:8" ht="15" outlineLevel="1" x14ac:dyDescent="0.15">
      <c r="B85" s="1986">
        <v>78</v>
      </c>
      <c r="C85" s="1987" t="s">
        <v>2425</v>
      </c>
      <c r="D85" s="1976" t="s">
        <v>2351</v>
      </c>
      <c r="E85" s="1988">
        <v>40320</v>
      </c>
      <c r="F85" s="1989"/>
      <c r="G85" s="1990">
        <v>24067.170459459459</v>
      </c>
      <c r="H85" s="1993" t="s">
        <v>2430</v>
      </c>
    </row>
    <row r="86" spans="2:8" ht="30" outlineLevel="1" x14ac:dyDescent="0.15">
      <c r="B86" s="1986">
        <v>80</v>
      </c>
      <c r="C86" s="1987" t="s">
        <v>2425</v>
      </c>
      <c r="D86" s="1976" t="s">
        <v>2390</v>
      </c>
      <c r="E86" s="1991">
        <v>85220</v>
      </c>
      <c r="F86" s="1992">
        <v>115867</v>
      </c>
      <c r="G86" s="1990">
        <v>91185.79</v>
      </c>
      <c r="H86" s="1993" t="s">
        <v>2431</v>
      </c>
    </row>
    <row r="87" spans="2:8" ht="15" outlineLevel="1" x14ac:dyDescent="0.15">
      <c r="B87" s="1986">
        <v>81</v>
      </c>
      <c r="C87" s="1987" t="s">
        <v>2425</v>
      </c>
      <c r="D87" s="1976" t="s">
        <v>2354</v>
      </c>
      <c r="E87" s="1991">
        <v>11849</v>
      </c>
      <c r="F87" s="1992"/>
      <c r="G87" s="1990">
        <v>0</v>
      </c>
      <c r="H87" s="1993" t="s">
        <v>2432</v>
      </c>
    </row>
    <row r="88" spans="2:8" ht="15" outlineLevel="1" x14ac:dyDescent="0.15">
      <c r="B88" s="1986">
        <v>82</v>
      </c>
      <c r="C88" s="2008" t="s">
        <v>2425</v>
      </c>
      <c r="D88" s="2009" t="s">
        <v>2354</v>
      </c>
      <c r="E88" s="2015">
        <v>29942</v>
      </c>
      <c r="F88" s="1992"/>
      <c r="G88" s="1990">
        <v>227.18</v>
      </c>
      <c r="H88" s="2010" t="s">
        <v>2433</v>
      </c>
    </row>
    <row r="89" spans="2:8" ht="15" outlineLevel="1" x14ac:dyDescent="0.15">
      <c r="B89" s="1986">
        <v>86</v>
      </c>
      <c r="C89" s="1987" t="s">
        <v>2434</v>
      </c>
      <c r="D89" s="1976" t="s">
        <v>2351</v>
      </c>
      <c r="E89" s="1991">
        <v>10141</v>
      </c>
      <c r="F89" s="1992"/>
      <c r="G89" s="1990">
        <v>0</v>
      </c>
      <c r="H89" s="1993" t="s">
        <v>2435</v>
      </c>
    </row>
    <row r="90" spans="2:8" ht="15" outlineLevel="1" x14ac:dyDescent="0.15">
      <c r="B90" s="1986">
        <v>87</v>
      </c>
      <c r="C90" s="1987"/>
      <c r="D90" s="1976" t="s">
        <v>2436</v>
      </c>
      <c r="E90" s="1994">
        <v>13909</v>
      </c>
      <c r="F90" s="1995"/>
      <c r="G90" s="1990">
        <v>3615.9454081632657</v>
      </c>
      <c r="H90" s="2011" t="s">
        <v>2437</v>
      </c>
    </row>
    <row r="91" spans="2:8" ht="15" outlineLevel="1" x14ac:dyDescent="0.15">
      <c r="B91" s="1986">
        <v>88</v>
      </c>
      <c r="C91" s="1987"/>
      <c r="D91" s="1976" t="s">
        <v>2438</v>
      </c>
      <c r="E91" s="1994">
        <v>15360</v>
      </c>
      <c r="F91" s="1995"/>
      <c r="G91" s="1990">
        <v>2000</v>
      </c>
      <c r="H91" s="2011" t="s">
        <v>2439</v>
      </c>
    </row>
    <row r="92" spans="2:8" ht="30" outlineLevel="1" x14ac:dyDescent="0.15">
      <c r="B92" s="1986">
        <v>89</v>
      </c>
      <c r="C92" s="1987"/>
      <c r="D92" s="1976" t="s">
        <v>2438</v>
      </c>
      <c r="E92" s="1994">
        <v>10416</v>
      </c>
      <c r="F92" s="1995"/>
      <c r="G92" s="1990">
        <v>10015.418750000001</v>
      </c>
      <c r="H92" s="2011" t="s">
        <v>2440</v>
      </c>
    </row>
    <row r="93" spans="2:8" ht="30" outlineLevel="1" x14ac:dyDescent="0.15">
      <c r="B93" s="1986">
        <v>90</v>
      </c>
      <c r="C93" s="1987"/>
      <c r="D93" s="1976" t="s">
        <v>2438</v>
      </c>
      <c r="E93" s="1994">
        <v>10421</v>
      </c>
      <c r="F93" s="1995"/>
      <c r="G93" s="1990">
        <v>5132.8182894736847</v>
      </c>
      <c r="H93" s="2011" t="s">
        <v>2441</v>
      </c>
    </row>
    <row r="94" spans="2:8" ht="15" outlineLevel="1" x14ac:dyDescent="0.15">
      <c r="B94" s="1986">
        <v>90</v>
      </c>
      <c r="C94" s="1987"/>
      <c r="D94" s="1976" t="s">
        <v>2438</v>
      </c>
      <c r="E94" s="2012">
        <v>110533</v>
      </c>
      <c r="F94" s="2013"/>
      <c r="G94" s="1990">
        <v>744.38</v>
      </c>
      <c r="H94" s="2011" t="s">
        <v>2442</v>
      </c>
    </row>
    <row r="96" spans="2:8" ht="25.5" customHeight="1" x14ac:dyDescent="0.15">
      <c r="B96" s="2352" t="s">
        <v>162</v>
      </c>
      <c r="C96" s="2353"/>
      <c r="D96" s="2353"/>
      <c r="E96" s="2353"/>
      <c r="F96" s="2353"/>
      <c r="G96" s="2354"/>
    </row>
    <row r="97" spans="2:7" s="1641" customFormat="1" outlineLevel="1" x14ac:dyDescent="0.15">
      <c r="B97" s="2106" t="s">
        <v>2612</v>
      </c>
      <c r="C97" s="2106" t="s">
        <v>654</v>
      </c>
      <c r="D97" s="2106" t="s">
        <v>653</v>
      </c>
      <c r="E97" s="2106" t="s">
        <v>926</v>
      </c>
      <c r="F97" s="2106" t="s">
        <v>911</v>
      </c>
      <c r="G97" s="2106" t="s">
        <v>2614</v>
      </c>
    </row>
    <row r="98" spans="2:7" outlineLevel="1" x14ac:dyDescent="0.15">
      <c r="B98" s="901" t="s">
        <v>360</v>
      </c>
      <c r="C98" s="901"/>
      <c r="D98" s="901"/>
      <c r="E98" s="901">
        <v>10723</v>
      </c>
      <c r="F98" s="901" t="s">
        <v>2613</v>
      </c>
      <c r="G98" s="901">
        <v>2</v>
      </c>
    </row>
    <row r="99" spans="2:7" outlineLevel="1" x14ac:dyDescent="0.15">
      <c r="B99" s="901" t="s">
        <v>2350</v>
      </c>
      <c r="C99" s="901">
        <v>115060</v>
      </c>
      <c r="D99" s="901">
        <v>40327</v>
      </c>
      <c r="E99" s="901">
        <v>115137</v>
      </c>
      <c r="F99" s="901" t="s">
        <v>2615</v>
      </c>
      <c r="G99" s="901">
        <v>15</v>
      </c>
    </row>
    <row r="100" spans="2:7" outlineLevel="1" x14ac:dyDescent="0.15">
      <c r="B100" s="901" t="s">
        <v>646</v>
      </c>
      <c r="C100" s="901">
        <v>14049</v>
      </c>
      <c r="D100" s="901">
        <v>8908</v>
      </c>
      <c r="E100" s="901"/>
      <c r="F100" s="901" t="s">
        <v>2615</v>
      </c>
      <c r="G100" s="901">
        <v>3</v>
      </c>
    </row>
    <row r="101" spans="2:7" outlineLevel="1" x14ac:dyDescent="0.15">
      <c r="B101" s="901" t="s">
        <v>2616</v>
      </c>
      <c r="C101" s="901">
        <v>8889</v>
      </c>
      <c r="D101" s="901">
        <v>13945</v>
      </c>
      <c r="E101" s="901"/>
      <c r="F101" s="901" t="s">
        <v>2617</v>
      </c>
      <c r="G101" s="901">
        <v>24</v>
      </c>
    </row>
    <row r="102" spans="2:7" outlineLevel="1" x14ac:dyDescent="0.15">
      <c r="B102" s="901" t="s">
        <v>2616</v>
      </c>
      <c r="C102" s="901">
        <v>85216</v>
      </c>
      <c r="D102" s="901">
        <v>115424</v>
      </c>
      <c r="E102" s="901"/>
      <c r="F102" s="901" t="s">
        <v>2618</v>
      </c>
      <c r="G102" s="901">
        <v>5</v>
      </c>
    </row>
    <row r="103" spans="2:7" outlineLevel="1" x14ac:dyDescent="0.15">
      <c r="B103" s="901" t="s">
        <v>2619</v>
      </c>
      <c r="C103" s="901">
        <v>13944</v>
      </c>
      <c r="D103" s="901">
        <v>13944</v>
      </c>
      <c r="E103" s="901">
        <v>8905</v>
      </c>
      <c r="F103" s="901" t="s">
        <v>2620</v>
      </c>
      <c r="G103" s="901">
        <v>8</v>
      </c>
    </row>
    <row r="104" spans="2:7" outlineLevel="1" x14ac:dyDescent="0.15">
      <c r="B104" s="901" t="s">
        <v>2619</v>
      </c>
      <c r="C104" s="901">
        <v>108568</v>
      </c>
      <c r="D104" s="901">
        <v>8887</v>
      </c>
      <c r="E104" s="901">
        <v>13962</v>
      </c>
      <c r="F104" s="901" t="s">
        <v>2621</v>
      </c>
      <c r="G104" s="901">
        <v>5</v>
      </c>
    </row>
    <row r="105" spans="2:7" outlineLevel="1" x14ac:dyDescent="0.15">
      <c r="B105" s="901" t="s">
        <v>2619</v>
      </c>
      <c r="C105" s="901">
        <v>13970</v>
      </c>
      <c r="D105" s="901">
        <v>13950</v>
      </c>
      <c r="E105" s="901"/>
      <c r="F105" s="901" t="s">
        <v>2622</v>
      </c>
      <c r="G105" s="901">
        <v>4</v>
      </c>
    </row>
    <row r="106" spans="2:7" outlineLevel="1" x14ac:dyDescent="0.15">
      <c r="B106" s="901" t="s">
        <v>2619</v>
      </c>
      <c r="C106" s="901">
        <v>13940</v>
      </c>
      <c r="D106" s="901">
        <v>13951</v>
      </c>
      <c r="E106" s="901">
        <v>13941</v>
      </c>
      <c r="F106" s="901" t="s">
        <v>2623</v>
      </c>
      <c r="G106" s="901">
        <v>23</v>
      </c>
    </row>
    <row r="107" spans="2:7" outlineLevel="1" x14ac:dyDescent="0.15">
      <c r="B107" s="901" t="s">
        <v>2619</v>
      </c>
      <c r="C107" s="901">
        <v>115423</v>
      </c>
      <c r="D107" s="901"/>
      <c r="E107" s="901"/>
      <c r="F107" s="901" t="s">
        <v>2624</v>
      </c>
      <c r="G107" s="901">
        <v>2</v>
      </c>
    </row>
    <row r="108" spans="2:7" outlineLevel="1" x14ac:dyDescent="0.15">
      <c r="B108" s="901" t="s">
        <v>2619</v>
      </c>
      <c r="C108" s="901">
        <v>13949</v>
      </c>
      <c r="D108" s="901">
        <v>13952</v>
      </c>
      <c r="E108" s="901">
        <v>13948</v>
      </c>
      <c r="F108" s="901" t="s">
        <v>2625</v>
      </c>
      <c r="G108" s="901">
        <v>18</v>
      </c>
    </row>
    <row r="109" spans="2:7" outlineLevel="1" x14ac:dyDescent="0.15">
      <c r="B109" s="901" t="s">
        <v>2626</v>
      </c>
      <c r="C109" s="901">
        <v>52543</v>
      </c>
      <c r="D109" s="901">
        <v>52582</v>
      </c>
      <c r="E109" s="901">
        <v>8906</v>
      </c>
      <c r="F109" s="901" t="s">
        <v>2627</v>
      </c>
      <c r="G109" s="901">
        <v>20</v>
      </c>
    </row>
    <row r="110" spans="2:7" outlineLevel="1" x14ac:dyDescent="0.15">
      <c r="B110" s="901" t="s">
        <v>2626</v>
      </c>
      <c r="C110" s="901">
        <v>115429</v>
      </c>
      <c r="D110" s="901">
        <v>108569</v>
      </c>
      <c r="E110" s="901">
        <v>115429</v>
      </c>
      <c r="F110" s="901" t="s">
        <v>2628</v>
      </c>
      <c r="G110" s="901">
        <v>4</v>
      </c>
    </row>
    <row r="111" spans="2:7" outlineLevel="1" x14ac:dyDescent="0.15">
      <c r="B111" s="901" t="s">
        <v>2626</v>
      </c>
      <c r="C111" s="901">
        <v>109768</v>
      </c>
      <c r="D111" s="901"/>
      <c r="E111" s="901">
        <v>109767</v>
      </c>
      <c r="F111" s="901" t="s">
        <v>2622</v>
      </c>
      <c r="G111" s="901">
        <v>9</v>
      </c>
    </row>
    <row r="112" spans="2:7" outlineLevel="1" x14ac:dyDescent="0.15">
      <c r="B112" s="901" t="s">
        <v>2626</v>
      </c>
      <c r="C112" s="901">
        <v>52542</v>
      </c>
      <c r="D112" s="901">
        <v>40328</v>
      </c>
      <c r="E112" s="901">
        <v>13966</v>
      </c>
      <c r="F112" s="901" t="s">
        <v>2623</v>
      </c>
      <c r="G112" s="901">
        <v>14</v>
      </c>
    </row>
    <row r="113" spans="2:7" outlineLevel="1" x14ac:dyDescent="0.15">
      <c r="B113" s="901" t="s">
        <v>2626</v>
      </c>
      <c r="C113" s="901">
        <v>13967</v>
      </c>
      <c r="D113" s="901">
        <v>8909</v>
      </c>
      <c r="E113" s="901"/>
      <c r="F113" s="901" t="s">
        <v>2625</v>
      </c>
      <c r="G113" s="901">
        <v>4</v>
      </c>
    </row>
    <row r="114" spans="2:7" outlineLevel="1" x14ac:dyDescent="0.15">
      <c r="B114" s="901" t="s">
        <v>2629</v>
      </c>
      <c r="C114" s="901">
        <v>13973</v>
      </c>
      <c r="D114" s="901">
        <v>13957</v>
      </c>
      <c r="E114" s="901">
        <v>8904</v>
      </c>
      <c r="F114" s="901" t="s">
        <v>2630</v>
      </c>
      <c r="G114" s="901">
        <v>17</v>
      </c>
    </row>
    <row r="115" spans="2:7" outlineLevel="1" x14ac:dyDescent="0.15">
      <c r="B115" s="901" t="s">
        <v>2629</v>
      </c>
      <c r="C115" s="901">
        <v>8912</v>
      </c>
      <c r="D115" s="901">
        <v>8913</v>
      </c>
      <c r="E115" s="901">
        <v>13971</v>
      </c>
      <c r="F115" s="901" t="s">
        <v>2631</v>
      </c>
      <c r="G115" s="901">
        <v>7</v>
      </c>
    </row>
    <row r="116" spans="2:7" outlineLevel="1" x14ac:dyDescent="0.15">
      <c r="B116" s="901" t="s">
        <v>2629</v>
      </c>
      <c r="C116" s="901">
        <v>13956</v>
      </c>
      <c r="D116" s="901">
        <v>13960</v>
      </c>
      <c r="E116" s="901">
        <v>13964</v>
      </c>
      <c r="F116" s="901" t="s">
        <v>2625</v>
      </c>
      <c r="G116" s="901">
        <v>5</v>
      </c>
    </row>
    <row r="117" spans="2:7" outlineLevel="1" x14ac:dyDescent="0.15">
      <c r="B117" s="901" t="s">
        <v>2632</v>
      </c>
      <c r="C117" s="901">
        <v>115427</v>
      </c>
      <c r="D117" s="901">
        <v>52541</v>
      </c>
      <c r="E117" s="901"/>
      <c r="F117" s="901" t="s">
        <v>2627</v>
      </c>
      <c r="G117" s="901">
        <v>5</v>
      </c>
    </row>
    <row r="118" spans="2:7" outlineLevel="1" x14ac:dyDescent="0.15">
      <c r="B118" s="901" t="s">
        <v>2632</v>
      </c>
      <c r="C118" s="901">
        <v>115426</v>
      </c>
      <c r="D118" s="901">
        <v>85217</v>
      </c>
      <c r="E118" s="901"/>
      <c r="F118" s="901" t="s">
        <v>2621</v>
      </c>
      <c r="G118" s="901">
        <v>5</v>
      </c>
    </row>
    <row r="119" spans="2:7" outlineLevel="1" x14ac:dyDescent="0.15">
      <c r="B119" s="901" t="s">
        <v>2632</v>
      </c>
      <c r="C119" s="901">
        <v>109257</v>
      </c>
      <c r="D119" s="901">
        <v>8915</v>
      </c>
      <c r="E119" s="901"/>
      <c r="F119" s="901" t="s">
        <v>2622</v>
      </c>
      <c r="G119" s="901">
        <v>3</v>
      </c>
    </row>
    <row r="120" spans="2:7" outlineLevel="1" x14ac:dyDescent="0.15">
      <c r="B120" s="901" t="s">
        <v>2632</v>
      </c>
      <c r="C120" s="901">
        <v>13968</v>
      </c>
      <c r="D120" s="901">
        <v>109766</v>
      </c>
      <c r="E120" s="901">
        <v>109766</v>
      </c>
      <c r="F120" s="901" t="s">
        <v>2623</v>
      </c>
      <c r="G120" s="901">
        <v>2</v>
      </c>
    </row>
    <row r="121" spans="2:7" outlineLevel="1" x14ac:dyDescent="0.15">
      <c r="B121" s="901" t="s">
        <v>2632</v>
      </c>
      <c r="C121" s="901">
        <v>13969</v>
      </c>
      <c r="D121" s="901">
        <v>8910</v>
      </c>
      <c r="E121" s="901"/>
      <c r="F121" s="901" t="s">
        <v>2625</v>
      </c>
      <c r="G121" s="901">
        <v>0</v>
      </c>
    </row>
    <row r="122" spans="2:7" outlineLevel="1" x14ac:dyDescent="0.15">
      <c r="B122" s="901" t="s">
        <v>2633</v>
      </c>
      <c r="C122" s="901"/>
      <c r="D122" s="901">
        <v>8911</v>
      </c>
      <c r="E122" s="901"/>
      <c r="F122" s="901" t="s">
        <v>2634</v>
      </c>
      <c r="G122" s="901">
        <v>8</v>
      </c>
    </row>
    <row r="123" spans="2:7" outlineLevel="1" x14ac:dyDescent="0.15">
      <c r="B123" s="901" t="s">
        <v>2633</v>
      </c>
      <c r="C123" s="901"/>
      <c r="D123" s="901">
        <v>112532</v>
      </c>
      <c r="E123" s="901"/>
      <c r="F123" s="901" t="s">
        <v>2635</v>
      </c>
      <c r="G123" s="901">
        <v>0</v>
      </c>
    </row>
    <row r="124" spans="2:7" outlineLevel="1" x14ac:dyDescent="0.15">
      <c r="B124" s="901" t="s">
        <v>2636</v>
      </c>
      <c r="C124" s="901"/>
      <c r="D124" s="901">
        <v>14052</v>
      </c>
      <c r="E124" s="901"/>
      <c r="F124" s="901" t="s">
        <v>2634</v>
      </c>
      <c r="G124" s="901">
        <v>3</v>
      </c>
    </row>
    <row r="125" spans="2:7" outlineLevel="1" x14ac:dyDescent="0.15">
      <c r="B125" s="901" t="s">
        <v>2636</v>
      </c>
      <c r="C125" s="901"/>
      <c r="D125" s="901">
        <v>13942</v>
      </c>
      <c r="E125" s="901"/>
      <c r="F125" s="901" t="s">
        <v>2635</v>
      </c>
      <c r="G125" s="901">
        <v>3</v>
      </c>
    </row>
  </sheetData>
  <mergeCells count="1">
    <mergeCell ref="B96:G96"/>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03"/>
  <sheetViews>
    <sheetView workbookViewId="0">
      <pane xSplit="7" ySplit="4" topLeftCell="H85" activePane="bottomRight" state="frozen"/>
      <selection pane="topRight" activeCell="H1" sqref="H1"/>
      <selection pane="bottomLeft" activeCell="A5" sqref="A5"/>
      <selection pane="bottomRight" activeCell="H5" sqref="H5:V603"/>
    </sheetView>
  </sheetViews>
  <sheetFormatPr baseColWidth="10" defaultColWidth="8.83203125" defaultRowHeight="13" outlineLevelCol="1" x14ac:dyDescent="0.15"/>
  <cols>
    <col min="1" max="1" width="6" style="349" customWidth="1"/>
    <col min="2" max="2" width="8.5" style="349" bestFit="1" customWidth="1"/>
    <col min="3" max="3" width="48" style="349" customWidth="1"/>
    <col min="4" max="4" width="47" style="349" customWidth="1" outlineLevel="1"/>
    <col min="5" max="5" width="9" style="349" bestFit="1" customWidth="1"/>
    <col min="6" max="6" width="5.1640625" style="349" bestFit="1" customWidth="1"/>
    <col min="7" max="7" width="8.83203125" style="349"/>
    <col min="8" max="8" width="15.83203125" style="1760" customWidth="1"/>
    <col min="9" max="9" width="11.33203125" style="315" customWidth="1"/>
    <col min="10" max="10" width="15.83203125" style="1760" customWidth="1"/>
    <col min="11" max="11" width="16.5" style="315" bestFit="1" customWidth="1"/>
    <col min="12" max="12" width="11.33203125" style="315" customWidth="1"/>
    <col min="13" max="14" width="15.83203125" style="1760" customWidth="1"/>
    <col min="15" max="15" width="11.33203125" style="315" customWidth="1"/>
    <col min="16" max="17" width="15.83203125" style="1760" customWidth="1"/>
    <col min="18" max="18" width="11.33203125" style="315" customWidth="1"/>
    <col min="19" max="20" width="15.83203125" style="1760" customWidth="1"/>
    <col min="21" max="21" width="11.33203125" style="315" customWidth="1"/>
    <col min="22" max="23" width="15.83203125" style="1760" customWidth="1"/>
    <col min="24" max="16384" width="8.83203125" style="349"/>
  </cols>
  <sheetData>
    <row r="1" spans="1:23" ht="15" x14ac:dyDescent="0.2">
      <c r="A1" s="2021" t="s">
        <v>1283</v>
      </c>
      <c r="B1" s="2022"/>
      <c r="C1" s="2023">
        <f ca="1">NOW()</f>
        <v>43168.592878240743</v>
      </c>
      <c r="D1" s="2021" t="s">
        <v>1283</v>
      </c>
      <c r="E1" s="2022"/>
      <c r="F1" s="2022"/>
      <c r="G1" s="2022"/>
      <c r="H1" s="1759"/>
      <c r="I1" s="316"/>
      <c r="J1" s="1759"/>
      <c r="K1" s="316"/>
      <c r="L1" s="316"/>
      <c r="M1" s="1759"/>
      <c r="N1" s="1759"/>
      <c r="O1" s="316"/>
      <c r="P1" s="1759"/>
      <c r="Q1" s="1759"/>
      <c r="R1" s="316"/>
      <c r="S1" s="1759"/>
      <c r="T1" s="1759"/>
      <c r="U1" s="316"/>
      <c r="V1" s="1759"/>
      <c r="W1" s="1759"/>
    </row>
    <row r="2" spans="1:23" s="1970" customFormat="1" ht="15" x14ac:dyDescent="0.2">
      <c r="A2" s="2051" t="s">
        <v>1286</v>
      </c>
      <c r="B2" s="2024"/>
      <c r="C2" s="2024"/>
      <c r="D2" s="2051" t="s">
        <v>2454</v>
      </c>
      <c r="E2" s="2024"/>
      <c r="F2" s="2024"/>
      <c r="G2" s="2024"/>
      <c r="H2" s="2050"/>
      <c r="I2" s="2052"/>
      <c r="J2" s="2050" t="s">
        <v>2100</v>
      </c>
      <c r="K2" s="2052"/>
      <c r="L2" s="2052"/>
      <c r="M2" s="2050" t="s">
        <v>327</v>
      </c>
      <c r="N2" s="2050"/>
      <c r="O2" s="2052"/>
      <c r="P2" s="2050" t="s">
        <v>52</v>
      </c>
      <c r="Q2" s="2050"/>
      <c r="R2" s="2052"/>
      <c r="S2" s="2050" t="s">
        <v>379</v>
      </c>
      <c r="T2" s="2050"/>
      <c r="U2" s="2052"/>
      <c r="V2" s="2050" t="s">
        <v>378</v>
      </c>
      <c r="W2" s="2133" t="s">
        <v>2652</v>
      </c>
    </row>
    <row r="3" spans="1:23" ht="15" x14ac:dyDescent="0.2">
      <c r="B3" s="1288"/>
      <c r="C3" s="1288"/>
      <c r="D3" s="1288"/>
      <c r="E3" s="1288"/>
      <c r="F3" s="1288"/>
      <c r="G3" s="1288"/>
      <c r="H3" s="2355" t="s">
        <v>2455</v>
      </c>
      <c r="I3" s="2355"/>
      <c r="J3" s="2355"/>
      <c r="K3" s="2356" t="s">
        <v>2456</v>
      </c>
      <c r="L3" s="2356"/>
      <c r="M3" s="2356"/>
      <c r="N3" s="2355" t="s">
        <v>2457</v>
      </c>
      <c r="O3" s="2355"/>
      <c r="P3" s="2355"/>
      <c r="Q3" s="2356" t="s">
        <v>2458</v>
      </c>
      <c r="R3" s="2356"/>
      <c r="S3" s="2356"/>
      <c r="T3" s="2355" t="s">
        <v>2459</v>
      </c>
      <c r="U3" s="2355"/>
      <c r="V3" s="2355"/>
      <c r="W3" s="349"/>
    </row>
    <row r="4" spans="1:23" ht="26" x14ac:dyDescent="0.15">
      <c r="B4" s="2025" t="s">
        <v>432</v>
      </c>
      <c r="C4" s="2026" t="s">
        <v>1288</v>
      </c>
      <c r="D4" s="2027" t="s">
        <v>1289</v>
      </c>
      <c r="E4" s="2027" t="s">
        <v>1291</v>
      </c>
      <c r="F4" s="2028" t="s">
        <v>452</v>
      </c>
      <c r="G4" s="2026" t="s">
        <v>1292</v>
      </c>
      <c r="H4" s="2029" t="s">
        <v>2460</v>
      </c>
      <c r="I4" s="2030" t="s">
        <v>2461</v>
      </c>
      <c r="J4" s="2029" t="s">
        <v>928</v>
      </c>
      <c r="K4" s="1762" t="s">
        <v>2460</v>
      </c>
      <c r="L4" s="2031" t="s">
        <v>2461</v>
      </c>
      <c r="M4" s="1762" t="s">
        <v>928</v>
      </c>
      <c r="N4" s="2029" t="s">
        <v>2460</v>
      </c>
      <c r="O4" s="2030" t="s">
        <v>2461</v>
      </c>
      <c r="P4" s="2029" t="s">
        <v>928</v>
      </c>
      <c r="Q4" s="1762" t="s">
        <v>2460</v>
      </c>
      <c r="R4" s="2031" t="s">
        <v>2461</v>
      </c>
      <c r="S4" s="1762" t="s">
        <v>928</v>
      </c>
      <c r="T4" s="2029" t="s">
        <v>2460</v>
      </c>
      <c r="U4" s="2030" t="s">
        <v>2461</v>
      </c>
      <c r="V4" s="2029" t="s">
        <v>928</v>
      </c>
      <c r="W4" s="2029"/>
    </row>
    <row r="5" spans="1:23" x14ac:dyDescent="0.15">
      <c r="B5" s="2032">
        <v>710</v>
      </c>
      <c r="C5" s="2032" t="s">
        <v>1293</v>
      </c>
      <c r="D5" s="2032" t="s">
        <v>2102</v>
      </c>
      <c r="E5" s="2032" t="s">
        <v>94</v>
      </c>
      <c r="F5" s="1288" t="s">
        <v>1295</v>
      </c>
      <c r="G5" s="1288" t="s">
        <v>1296</v>
      </c>
      <c r="H5" s="2033">
        <f>IFERROR(VLOOKUP($B5,'[3]1001'!$B$6:$G$5927,2,FALSE),0)</f>
        <v>0</v>
      </c>
      <c r="I5" s="2034">
        <f>IFERROR(VLOOKUP($B5,'[3]1001'!$B$6:$G$5927,4,FALSE),0)</f>
        <v>0</v>
      </c>
      <c r="J5" s="2033">
        <f>IF(H5=0,0,H5/I5)</f>
        <v>0</v>
      </c>
      <c r="K5" s="2035">
        <f>IFERROR(VLOOKUP($B5,'[3]1002'!$B$6:$G$5921,2,FALSE),0)</f>
        <v>0</v>
      </c>
      <c r="L5" s="2036">
        <f>IFERROR(VLOOKUP($B5,'[3]1002'!$B$6:$G$5921,4,FALSE),0)</f>
        <v>0</v>
      </c>
      <c r="M5" s="1763">
        <f>IF(K5=0,0,K5/L5)</f>
        <v>0</v>
      </c>
      <c r="N5" s="2033">
        <f>IFERROR(VLOOKUP($B5,'[3]1003'!$B$6:$G$5921,2,FALSE),0)</f>
        <v>652011.22</v>
      </c>
      <c r="O5" s="2034">
        <f>IFERROR(VLOOKUP($B5,'[3]1003'!$B$6:$G$5921,4,FALSE),0)</f>
        <v>2</v>
      </c>
      <c r="P5" s="2033">
        <f>IF(N5=0,0,N5/O5)</f>
        <v>326005.61</v>
      </c>
      <c r="Q5" s="1763">
        <f>IFERROR(VLOOKUP($B5,'[3]1004'!$B$6:$G$5921,2,FALSE),0)</f>
        <v>0</v>
      </c>
      <c r="R5" s="2036">
        <f>IFERROR(VLOOKUP($B5,'[3]1004'!$B$6:$G$5921,4,FALSE),0)</f>
        <v>0</v>
      </c>
      <c r="S5" s="1763">
        <f>IF(Q5=0,0,Q5/R5)</f>
        <v>0</v>
      </c>
      <c r="T5" s="2033">
        <f>IFERROR(VLOOKUP($B5,'[3]1006'!$B$6:$G$5921,2,FALSE),0)</f>
        <v>0</v>
      </c>
      <c r="U5" s="2034">
        <f>IFERROR(VLOOKUP($B5,'[3]1006'!$B$6:$G$5921,4,FALSE),0)</f>
        <v>0</v>
      </c>
      <c r="V5" s="2033">
        <f>IF(T5=0,0,T5/U5)</f>
        <v>0</v>
      </c>
      <c r="W5" s="2033">
        <f>U5+R5+O5+L5+I5</f>
        <v>2</v>
      </c>
    </row>
    <row r="6" spans="1:23" x14ac:dyDescent="0.15">
      <c r="B6" s="2032">
        <v>3078</v>
      </c>
      <c r="C6" s="2032" t="s">
        <v>1297</v>
      </c>
      <c r="D6" s="2037" t="s">
        <v>1298</v>
      </c>
      <c r="E6" s="2032" t="s">
        <v>94</v>
      </c>
      <c r="F6" s="1288" t="s">
        <v>1300</v>
      </c>
      <c r="G6" s="1288" t="s">
        <v>1296</v>
      </c>
      <c r="H6" s="2033">
        <f>IFERROR(VLOOKUP($B6,'[3]1001'!$B$6:$G$5927,2,FALSE),0)</f>
        <v>0</v>
      </c>
      <c r="I6" s="2034">
        <f>IFERROR(VLOOKUP($B6,'[3]1001'!$B$6:$G$5927,4,FALSE),0)</f>
        <v>0</v>
      </c>
      <c r="J6" s="2033">
        <f t="shared" ref="J6:J69" si="0">IF(H6=0,0,H6/I6)</f>
        <v>0</v>
      </c>
      <c r="K6" s="2035">
        <f>IFERROR(VLOOKUP($B6,'[3]1002'!$B$6:$G$5921,2,FALSE),0)</f>
        <v>0</v>
      </c>
      <c r="L6" s="2036">
        <f>IFERROR(VLOOKUP($B6,'[3]1002'!$B$6:$G$5921,4,FALSE),0)</f>
        <v>0</v>
      </c>
      <c r="M6" s="1763">
        <f t="shared" ref="M6:M69" si="1">IF(K6=0,0,K6/L6)</f>
        <v>0</v>
      </c>
      <c r="N6" s="2033">
        <f>IFERROR(VLOOKUP($B6,'[3]1003'!$B$6:$G$5921,2,FALSE),0)</f>
        <v>0</v>
      </c>
      <c r="O6" s="2034">
        <f>IFERROR(VLOOKUP($B6,'[3]1003'!$B$6:$G$5921,4,FALSE),0)</f>
        <v>0</v>
      </c>
      <c r="P6" s="2033">
        <f t="shared" ref="P6:P69" si="2">IF(N6=0,0,N6/O6)</f>
        <v>0</v>
      </c>
      <c r="Q6" s="1763">
        <f>IFERROR(VLOOKUP($B6,'[3]1004'!$B$6:$G$5921,2,FALSE),0)</f>
        <v>0</v>
      </c>
      <c r="R6" s="2036">
        <f>IFERROR(VLOOKUP($B6,'[3]1004'!$B$6:$G$5921,4,FALSE),0)</f>
        <v>0</v>
      </c>
      <c r="S6" s="1763">
        <f t="shared" ref="S6:S69" si="3">IF(Q6=0,0,Q6/R6)</f>
        <v>0</v>
      </c>
      <c r="T6" s="2033">
        <f>IFERROR(VLOOKUP($B6,'[3]1006'!$B$6:$G$5921,2,FALSE),0)</f>
        <v>594996.93999999994</v>
      </c>
      <c r="U6" s="2034">
        <f>IFERROR(VLOOKUP($B6,'[3]1006'!$B$6:$G$5921,4,FALSE),0)</f>
        <v>1</v>
      </c>
      <c r="V6" s="2033">
        <f t="shared" ref="V6:V69" si="4">IF(T6=0,0,T6/U6)</f>
        <v>594996.93999999994</v>
      </c>
      <c r="W6" s="2033">
        <f t="shared" ref="W6:W69" si="5">U6+R6+O6+L6+I6</f>
        <v>1</v>
      </c>
    </row>
    <row r="7" spans="1:23" x14ac:dyDescent="0.15">
      <c r="B7" s="2032">
        <v>3086</v>
      </c>
      <c r="C7" s="2032" t="s">
        <v>1301</v>
      </c>
      <c r="D7" s="2037" t="s">
        <v>1302</v>
      </c>
      <c r="E7" s="2032" t="s">
        <v>94</v>
      </c>
      <c r="F7" s="1288" t="s">
        <v>1300</v>
      </c>
      <c r="G7" s="1288" t="s">
        <v>1303</v>
      </c>
      <c r="H7" s="2033">
        <f>IFERROR(VLOOKUP($B7,'[3]1001'!$B$6:$G$5927,2,FALSE),0)</f>
        <v>0</v>
      </c>
      <c r="I7" s="2034">
        <f>IFERROR(VLOOKUP($B7,'[3]1001'!$B$6:$G$5927,4,FALSE),0)</f>
        <v>0</v>
      </c>
      <c r="J7" s="2033">
        <f t="shared" si="0"/>
        <v>0</v>
      </c>
      <c r="K7" s="2035">
        <f>IFERROR(VLOOKUP($B7,'[3]1002'!$B$6:$G$5921,2,FALSE),0)</f>
        <v>1201905.77</v>
      </c>
      <c r="L7" s="2036">
        <f>IFERROR(VLOOKUP($B7,'[3]1002'!$B$6:$G$5921,4,FALSE),0)</f>
        <v>34</v>
      </c>
      <c r="M7" s="1763">
        <f t="shared" si="1"/>
        <v>35350.169705882356</v>
      </c>
      <c r="N7" s="2033">
        <f>IFERROR(VLOOKUP($B7,'[3]1003'!$B$6:$G$5921,2,FALSE),0)</f>
        <v>8807358.3000000007</v>
      </c>
      <c r="O7" s="2034">
        <f>IFERROR(VLOOKUP($B7,'[3]1003'!$B$6:$G$5921,4,FALSE),0)</f>
        <v>255</v>
      </c>
      <c r="P7" s="2033">
        <f t="shared" si="2"/>
        <v>34538.660000000003</v>
      </c>
      <c r="Q7" s="1763">
        <f>IFERROR(VLOOKUP($B7,'[3]1004'!$B$6:$G$5921,2,FALSE),0)</f>
        <v>992074.07</v>
      </c>
      <c r="R7" s="2036">
        <f>IFERROR(VLOOKUP($B7,'[3]1004'!$B$6:$G$5921,4,FALSE),0)</f>
        <v>31</v>
      </c>
      <c r="S7" s="1763">
        <f t="shared" si="3"/>
        <v>32002.38935483871</v>
      </c>
      <c r="T7" s="2033">
        <f>IFERROR(VLOOKUP($B7,'[3]1006'!$B$6:$G$5921,2,FALSE),0)</f>
        <v>0</v>
      </c>
      <c r="U7" s="2034">
        <f>IFERROR(VLOOKUP($B7,'[3]1006'!$B$6:$G$5921,4,FALSE),0)</f>
        <v>0</v>
      </c>
      <c r="V7" s="2033">
        <f t="shared" si="4"/>
        <v>0</v>
      </c>
      <c r="W7" s="2033">
        <f t="shared" si="5"/>
        <v>320</v>
      </c>
    </row>
    <row r="8" spans="1:23" x14ac:dyDescent="0.15">
      <c r="B8" s="2032">
        <v>3087</v>
      </c>
      <c r="C8" s="2032" t="s">
        <v>1304</v>
      </c>
      <c r="D8" s="2037" t="s">
        <v>2103</v>
      </c>
      <c r="E8" s="2032" t="s">
        <v>94</v>
      </c>
      <c r="F8" s="1288" t="s">
        <v>1305</v>
      </c>
      <c r="G8" s="1288" t="s">
        <v>1303</v>
      </c>
      <c r="H8" s="2033">
        <f>IFERROR(VLOOKUP($B8,'[3]1001'!$B$6:$G$5927,2,FALSE),0)</f>
        <v>2156631.54</v>
      </c>
      <c r="I8" s="2034">
        <f>IFERROR(VLOOKUP($B8,'[3]1001'!$B$6:$G$5927,4,FALSE),0)</f>
        <v>48</v>
      </c>
      <c r="J8" s="2033">
        <f t="shared" si="0"/>
        <v>44929.823750000003</v>
      </c>
      <c r="K8" s="2035">
        <f>IFERROR(VLOOKUP($B8,'[3]1002'!$B$6:$G$5921,2,FALSE),0)</f>
        <v>12952761.1</v>
      </c>
      <c r="L8" s="2036">
        <f>IFERROR(VLOOKUP($B8,'[3]1002'!$B$6:$G$5921,4,FALSE),0)</f>
        <v>305</v>
      </c>
      <c r="M8" s="1763">
        <f t="shared" si="1"/>
        <v>42468.069180327868</v>
      </c>
      <c r="N8" s="2033">
        <f>IFERROR(VLOOKUP($B8,'[3]1003'!$B$6:$G$5921,2,FALSE),0)</f>
        <v>11161598.279999999</v>
      </c>
      <c r="O8" s="2034">
        <f>IFERROR(VLOOKUP($B8,'[3]1003'!$B$6:$G$5921,4,FALSE),0)</f>
        <v>251</v>
      </c>
      <c r="P8" s="2033">
        <f t="shared" si="2"/>
        <v>44468.519043824701</v>
      </c>
      <c r="Q8" s="1763">
        <f>IFERROR(VLOOKUP($B8,'[3]1004'!$B$6:$G$5921,2,FALSE),0)</f>
        <v>11778331.41</v>
      </c>
      <c r="R8" s="2036">
        <f>IFERROR(VLOOKUP($B8,'[3]1004'!$B$6:$G$5921,4,FALSE),0)</f>
        <v>244</v>
      </c>
      <c r="S8" s="1763">
        <f t="shared" si="3"/>
        <v>48271.850040983605</v>
      </c>
      <c r="T8" s="2033">
        <f>IFERROR(VLOOKUP($B8,'[3]1006'!$B$6:$G$5921,2,FALSE),0)</f>
        <v>5386060.6799999997</v>
      </c>
      <c r="U8" s="2034">
        <f>IFERROR(VLOOKUP($B8,'[3]1006'!$B$6:$G$5921,4,FALSE),0)</f>
        <v>132</v>
      </c>
      <c r="V8" s="2033">
        <f t="shared" si="4"/>
        <v>40803.49</v>
      </c>
      <c r="W8" s="2033">
        <f t="shared" si="5"/>
        <v>980</v>
      </c>
    </row>
    <row r="9" spans="1:23" x14ac:dyDescent="0.15">
      <c r="B9" s="2032">
        <v>3091</v>
      </c>
      <c r="C9" s="2032" t="s">
        <v>2462</v>
      </c>
      <c r="D9" s="2037" t="s">
        <v>2104</v>
      </c>
      <c r="E9" s="2032" t="s">
        <v>94</v>
      </c>
      <c r="F9" s="1288" t="s">
        <v>1305</v>
      </c>
      <c r="G9" s="1288" t="s">
        <v>1303</v>
      </c>
      <c r="H9" s="2033">
        <f>IFERROR(VLOOKUP($B9,'[3]1001'!$B$6:$G$5927,2,FALSE),0)</f>
        <v>0</v>
      </c>
      <c r="I9" s="2034">
        <f>IFERROR(VLOOKUP($B9,'[3]1001'!$B$6:$G$5927,4,FALSE),0)</f>
        <v>0</v>
      </c>
      <c r="J9" s="2033">
        <f t="shared" si="0"/>
        <v>0</v>
      </c>
      <c r="K9" s="2035">
        <f>IFERROR(VLOOKUP($B9,'[3]1002'!$B$6:$G$5921,2,FALSE),0)</f>
        <v>6375722.3799999999</v>
      </c>
      <c r="L9" s="2036">
        <f>IFERROR(VLOOKUP($B9,'[3]1002'!$B$6:$G$5921,4,FALSE),0)</f>
        <v>48</v>
      </c>
      <c r="M9" s="1763">
        <f t="shared" si="1"/>
        <v>132827.54958333334</v>
      </c>
      <c r="N9" s="2033">
        <f>IFERROR(VLOOKUP($B9,'[3]1003'!$B$6:$G$5921,2,FALSE),0)</f>
        <v>9378369.9800000004</v>
      </c>
      <c r="O9" s="2034">
        <f>IFERROR(VLOOKUP($B9,'[3]1003'!$B$6:$G$5921,4,FALSE),0)</f>
        <v>73</v>
      </c>
      <c r="P9" s="2033">
        <f t="shared" si="2"/>
        <v>128470.82164383562</v>
      </c>
      <c r="Q9" s="1763">
        <f>IFERROR(VLOOKUP($B9,'[3]1004'!$B$6:$G$5921,2,FALSE),0)</f>
        <v>9307937.7400000002</v>
      </c>
      <c r="R9" s="2036">
        <f>IFERROR(VLOOKUP($B9,'[3]1004'!$B$6:$G$5921,4,FALSE),0)</f>
        <v>63</v>
      </c>
      <c r="S9" s="1763">
        <f t="shared" si="3"/>
        <v>147745.0434920635</v>
      </c>
      <c r="T9" s="2033">
        <f>IFERROR(VLOOKUP($B9,'[3]1006'!$B$6:$G$5921,2,FALSE),0)</f>
        <v>269696.3</v>
      </c>
      <c r="U9" s="2034">
        <f>IFERROR(VLOOKUP($B9,'[3]1006'!$B$6:$G$5921,4,FALSE),0)</f>
        <v>2</v>
      </c>
      <c r="V9" s="2033">
        <f t="shared" si="4"/>
        <v>134848.15</v>
      </c>
      <c r="W9" s="2033">
        <f t="shared" si="5"/>
        <v>186</v>
      </c>
    </row>
    <row r="10" spans="1:23" x14ac:dyDescent="0.15">
      <c r="B10" s="2032">
        <v>3109</v>
      </c>
      <c r="C10" s="2032" t="s">
        <v>1306</v>
      </c>
      <c r="D10" s="2038" t="s">
        <v>1307</v>
      </c>
      <c r="E10" s="2032" t="s">
        <v>94</v>
      </c>
      <c r="F10" s="2039" t="s">
        <v>1300</v>
      </c>
      <c r="G10" s="1288" t="s">
        <v>1303</v>
      </c>
      <c r="H10" s="2033">
        <f>IFERROR(VLOOKUP($B10,'[3]1001'!$B$6:$G$5927,2,FALSE),0)</f>
        <v>0</v>
      </c>
      <c r="I10" s="2034">
        <f>IFERROR(VLOOKUP($B10,'[3]1001'!$B$6:$G$5927,4,FALSE),0)</f>
        <v>0</v>
      </c>
      <c r="J10" s="2033">
        <f t="shared" si="0"/>
        <v>0</v>
      </c>
      <c r="K10" s="2035">
        <f>IFERROR(VLOOKUP($B10,'[3]1002'!$B$6:$G$5921,2,FALSE),0)</f>
        <v>635376.16</v>
      </c>
      <c r="L10" s="2036">
        <f>IFERROR(VLOOKUP($B10,'[3]1002'!$B$6:$G$5921,4,FALSE),0)</f>
        <v>68</v>
      </c>
      <c r="M10" s="1763">
        <f t="shared" si="1"/>
        <v>9343.7670588235305</v>
      </c>
      <c r="N10" s="2033">
        <f>IFERROR(VLOOKUP($B10,'[3]1003'!$B$6:$G$5921,2,FALSE),0)</f>
        <v>1086716.1599999999</v>
      </c>
      <c r="O10" s="2034">
        <f>IFERROR(VLOOKUP($B10,'[3]1003'!$B$6:$G$5921,4,FALSE),0)</f>
        <v>136</v>
      </c>
      <c r="P10" s="2033">
        <f t="shared" si="2"/>
        <v>7990.5599999999995</v>
      </c>
      <c r="Q10" s="1763">
        <f>IFERROR(VLOOKUP($B10,'[3]1004'!$B$6:$G$5921,2,FALSE),0)</f>
        <v>886952.16</v>
      </c>
      <c r="R10" s="2036">
        <f>IFERROR(VLOOKUP($B10,'[3]1004'!$B$6:$G$5921,4,FALSE),0)</f>
        <v>111</v>
      </c>
      <c r="S10" s="1763">
        <f t="shared" si="3"/>
        <v>7990.56</v>
      </c>
      <c r="T10" s="2033">
        <f>IFERROR(VLOOKUP($B10,'[3]1006'!$B$6:$G$5921,2,FALSE),0)</f>
        <v>799056</v>
      </c>
      <c r="U10" s="2034">
        <f>IFERROR(VLOOKUP($B10,'[3]1006'!$B$6:$G$5921,4,FALSE),0)</f>
        <v>100</v>
      </c>
      <c r="V10" s="2033">
        <f t="shared" si="4"/>
        <v>7990.56</v>
      </c>
      <c r="W10" s="2033">
        <f t="shared" si="5"/>
        <v>415</v>
      </c>
    </row>
    <row r="11" spans="1:23" x14ac:dyDescent="0.15">
      <c r="B11" s="2032">
        <v>3276</v>
      </c>
      <c r="C11" s="2032" t="s">
        <v>1309</v>
      </c>
      <c r="D11" s="2037" t="s">
        <v>1310</v>
      </c>
      <c r="E11" s="2032" t="s">
        <v>94</v>
      </c>
      <c r="F11" s="1288" t="s">
        <v>1300</v>
      </c>
      <c r="G11" s="1288" t="s">
        <v>1296</v>
      </c>
      <c r="H11" s="2033">
        <f>IFERROR(VLOOKUP($B11,'[3]1001'!$B$6:$G$5927,2,FALSE),0)</f>
        <v>67968.36</v>
      </c>
      <c r="I11" s="2034">
        <f>IFERROR(VLOOKUP($B11,'[3]1001'!$B$6:$G$5927,4,FALSE),0)</f>
        <v>2</v>
      </c>
      <c r="J11" s="2033">
        <f t="shared" si="0"/>
        <v>33984.18</v>
      </c>
      <c r="K11" s="2035">
        <f>IFERROR(VLOOKUP($B11,'[3]1002'!$B$6:$G$5921,2,FALSE),0)</f>
        <v>0</v>
      </c>
      <c r="L11" s="2036">
        <f>IFERROR(VLOOKUP($B11,'[3]1002'!$B$6:$G$5921,4,FALSE),0)</f>
        <v>0</v>
      </c>
      <c r="M11" s="1763">
        <f t="shared" si="1"/>
        <v>0</v>
      </c>
      <c r="N11" s="2033">
        <f>IFERROR(VLOOKUP($B11,'[3]1003'!$B$6:$G$5921,2,FALSE),0)</f>
        <v>0</v>
      </c>
      <c r="O11" s="2034">
        <f>IFERROR(VLOOKUP($B11,'[3]1003'!$B$6:$G$5921,4,FALSE),0)</f>
        <v>0</v>
      </c>
      <c r="P11" s="2033">
        <f t="shared" si="2"/>
        <v>0</v>
      </c>
      <c r="Q11" s="1763">
        <f>IFERROR(VLOOKUP($B11,'[3]1004'!$B$6:$G$5921,2,FALSE),0)</f>
        <v>0</v>
      </c>
      <c r="R11" s="2036">
        <f>IFERROR(VLOOKUP($B11,'[3]1004'!$B$6:$G$5921,4,FALSE),0)</f>
        <v>0</v>
      </c>
      <c r="S11" s="1763">
        <f t="shared" si="3"/>
        <v>0</v>
      </c>
      <c r="T11" s="2033">
        <f>IFERROR(VLOOKUP($B11,'[3]1006'!$B$6:$G$5921,2,FALSE),0)</f>
        <v>0</v>
      </c>
      <c r="U11" s="2034">
        <f>IFERROR(VLOOKUP($B11,'[3]1006'!$B$6:$G$5921,4,FALSE),0)</f>
        <v>0</v>
      </c>
      <c r="V11" s="2033">
        <f t="shared" si="4"/>
        <v>0</v>
      </c>
      <c r="W11" s="2033">
        <f t="shared" si="5"/>
        <v>2</v>
      </c>
    </row>
    <row r="12" spans="1:23" x14ac:dyDescent="0.15">
      <c r="B12" s="2032">
        <v>3277</v>
      </c>
      <c r="C12" s="2032" t="s">
        <v>1312</v>
      </c>
      <c r="D12" s="2037" t="s">
        <v>1313</v>
      </c>
      <c r="E12" s="2032" t="s">
        <v>94</v>
      </c>
      <c r="F12" s="1288" t="s">
        <v>1300</v>
      </c>
      <c r="G12" s="1288" t="s">
        <v>1303</v>
      </c>
      <c r="H12" s="2033">
        <f>IFERROR(VLOOKUP($B12,'[3]1001'!$B$6:$G$5927,2,FALSE),0)</f>
        <v>69715.070000000007</v>
      </c>
      <c r="I12" s="2034">
        <f>IFERROR(VLOOKUP($B12,'[3]1001'!$B$6:$G$5927,4,FALSE),0)</f>
        <v>1</v>
      </c>
      <c r="J12" s="2033">
        <f t="shared" si="0"/>
        <v>69715.070000000007</v>
      </c>
      <c r="K12" s="2035">
        <f>IFERROR(VLOOKUP($B12,'[3]1002'!$B$6:$G$5921,2,FALSE),0)</f>
        <v>69715.08</v>
      </c>
      <c r="L12" s="2036">
        <f>IFERROR(VLOOKUP($B12,'[3]1002'!$B$6:$G$5921,4,FALSE),0)</f>
        <v>1</v>
      </c>
      <c r="M12" s="1763">
        <f t="shared" si="1"/>
        <v>69715.08</v>
      </c>
      <c r="N12" s="2033">
        <f>IFERROR(VLOOKUP($B12,'[3]1003'!$B$6:$G$5921,2,FALSE),0)</f>
        <v>0</v>
      </c>
      <c r="O12" s="2034">
        <f>IFERROR(VLOOKUP($B12,'[3]1003'!$B$6:$G$5921,4,FALSE),0)</f>
        <v>0</v>
      </c>
      <c r="P12" s="2033">
        <f t="shared" si="2"/>
        <v>0</v>
      </c>
      <c r="Q12" s="1763">
        <f>IFERROR(VLOOKUP($B12,'[3]1004'!$B$6:$G$5921,2,FALSE),0)</f>
        <v>0</v>
      </c>
      <c r="R12" s="2036">
        <f>IFERROR(VLOOKUP($B12,'[3]1004'!$B$6:$G$5921,4,FALSE),0)</f>
        <v>0</v>
      </c>
      <c r="S12" s="1763">
        <f t="shared" si="3"/>
        <v>0</v>
      </c>
      <c r="T12" s="2033">
        <f>IFERROR(VLOOKUP($B12,'[3]1006'!$B$6:$G$5921,2,FALSE),0)</f>
        <v>0</v>
      </c>
      <c r="U12" s="2034">
        <f>IFERROR(VLOOKUP($B12,'[3]1006'!$B$6:$G$5921,4,FALSE),0)</f>
        <v>0</v>
      </c>
      <c r="V12" s="2033">
        <f t="shared" si="4"/>
        <v>0</v>
      </c>
      <c r="W12" s="2033">
        <f t="shared" si="5"/>
        <v>2</v>
      </c>
    </row>
    <row r="13" spans="1:23" x14ac:dyDescent="0.15">
      <c r="B13" s="2032">
        <v>3278</v>
      </c>
      <c r="C13" s="2032" t="s">
        <v>1314</v>
      </c>
      <c r="D13" s="2037" t="s">
        <v>1310</v>
      </c>
      <c r="E13" s="2032" t="s">
        <v>94</v>
      </c>
      <c r="F13" s="1288" t="s">
        <v>1300</v>
      </c>
      <c r="G13" s="1288" t="s">
        <v>1303</v>
      </c>
      <c r="H13" s="2033">
        <f>IFERROR(VLOOKUP($B13,'[3]1001'!$B$6:$G$5927,2,FALSE),0)</f>
        <v>0</v>
      </c>
      <c r="I13" s="2034">
        <f>IFERROR(VLOOKUP($B13,'[3]1001'!$B$6:$G$5927,4,FALSE),0)</f>
        <v>0</v>
      </c>
      <c r="J13" s="2033">
        <f t="shared" si="0"/>
        <v>0</v>
      </c>
      <c r="K13" s="2035">
        <f>IFERROR(VLOOKUP($B13,'[3]1002'!$B$6:$G$5921,2,FALSE),0)</f>
        <v>0</v>
      </c>
      <c r="L13" s="2036">
        <f>IFERROR(VLOOKUP($B13,'[3]1002'!$B$6:$G$5921,4,FALSE),0)</f>
        <v>0</v>
      </c>
      <c r="M13" s="1763">
        <f t="shared" si="1"/>
        <v>0</v>
      </c>
      <c r="N13" s="2033">
        <f>IFERROR(VLOOKUP($B13,'[3]1003'!$B$6:$G$5921,2,FALSE),0)</f>
        <v>58910.52</v>
      </c>
      <c r="O13" s="2034">
        <f>IFERROR(VLOOKUP($B13,'[3]1003'!$B$6:$G$5921,4,FALSE),0)</f>
        <v>1</v>
      </c>
      <c r="P13" s="2033">
        <f t="shared" si="2"/>
        <v>58910.52</v>
      </c>
      <c r="Q13" s="1763">
        <f>IFERROR(VLOOKUP($B13,'[3]1004'!$B$6:$G$5921,2,FALSE),0)</f>
        <v>0</v>
      </c>
      <c r="R13" s="2036">
        <f>IFERROR(VLOOKUP($B13,'[3]1004'!$B$6:$G$5921,4,FALSE),0)</f>
        <v>0</v>
      </c>
      <c r="S13" s="1763">
        <f t="shared" si="3"/>
        <v>0</v>
      </c>
      <c r="T13" s="2033">
        <f>IFERROR(VLOOKUP($B13,'[3]1006'!$B$6:$G$5921,2,FALSE),0)</f>
        <v>0</v>
      </c>
      <c r="U13" s="2034">
        <f>IFERROR(VLOOKUP($B13,'[3]1006'!$B$6:$G$5921,4,FALSE),0)</f>
        <v>0</v>
      </c>
      <c r="V13" s="2033">
        <f t="shared" si="4"/>
        <v>0</v>
      </c>
      <c r="W13" s="2033">
        <f t="shared" si="5"/>
        <v>1</v>
      </c>
    </row>
    <row r="14" spans="1:23" x14ac:dyDescent="0.15">
      <c r="B14" s="2032">
        <v>6108</v>
      </c>
      <c r="C14" s="2032" t="s">
        <v>1315</v>
      </c>
      <c r="D14" s="2032" t="s">
        <v>2105</v>
      </c>
      <c r="E14" s="2032" t="s">
        <v>94</v>
      </c>
      <c r="F14" s="1288" t="s">
        <v>1300</v>
      </c>
      <c r="G14" s="1288" t="s">
        <v>1303</v>
      </c>
      <c r="H14" s="2033">
        <f>IFERROR(VLOOKUP($B14,'[3]1001'!$B$6:$G$5927,2,FALSE),0)</f>
        <v>0</v>
      </c>
      <c r="I14" s="2034">
        <f>IFERROR(VLOOKUP($B14,'[3]1001'!$B$6:$G$5927,4,FALSE),0)</f>
        <v>0</v>
      </c>
      <c r="J14" s="2033">
        <f t="shared" si="0"/>
        <v>0</v>
      </c>
      <c r="K14" s="2035">
        <f>IFERROR(VLOOKUP($B14,'[3]1002'!$B$6:$G$5921,2,FALSE),0)</f>
        <v>0</v>
      </c>
      <c r="L14" s="2036">
        <f>IFERROR(VLOOKUP($B14,'[3]1002'!$B$6:$G$5921,4,FALSE),0)</f>
        <v>0</v>
      </c>
      <c r="M14" s="1763">
        <f t="shared" si="1"/>
        <v>0</v>
      </c>
      <c r="N14" s="2033">
        <f>IFERROR(VLOOKUP($B14,'[3]1003'!$B$6:$G$5921,2,FALSE),0)</f>
        <v>0</v>
      </c>
      <c r="O14" s="2034">
        <f>IFERROR(VLOOKUP($B14,'[3]1003'!$B$6:$G$5921,4,FALSE),0)</f>
        <v>0</v>
      </c>
      <c r="P14" s="2033">
        <f t="shared" si="2"/>
        <v>0</v>
      </c>
      <c r="Q14" s="1763">
        <f>IFERROR(VLOOKUP($B14,'[3]1004'!$B$6:$G$5921,2,FALSE),0)</f>
        <v>0</v>
      </c>
      <c r="R14" s="2036">
        <f>IFERROR(VLOOKUP($B14,'[3]1004'!$B$6:$G$5921,4,FALSE),0)</f>
        <v>0</v>
      </c>
      <c r="S14" s="1763">
        <f t="shared" si="3"/>
        <v>0</v>
      </c>
      <c r="T14" s="2033">
        <f>IFERROR(VLOOKUP($B14,'[3]1006'!$B$6:$G$5921,2,FALSE),0)</f>
        <v>0</v>
      </c>
      <c r="U14" s="2034">
        <f>IFERROR(VLOOKUP($B14,'[3]1006'!$B$6:$G$5921,4,FALSE),0)</f>
        <v>0</v>
      </c>
      <c r="V14" s="2033">
        <f t="shared" si="4"/>
        <v>0</v>
      </c>
      <c r="W14" s="2033">
        <f t="shared" si="5"/>
        <v>0</v>
      </c>
    </row>
    <row r="15" spans="1:23" x14ac:dyDescent="0.15">
      <c r="B15" s="2032">
        <v>6109</v>
      </c>
      <c r="C15" s="2032" t="s">
        <v>1317</v>
      </c>
      <c r="D15" s="2032" t="s">
        <v>1318</v>
      </c>
      <c r="E15" s="2032" t="s">
        <v>94</v>
      </c>
      <c r="F15" s="1288" t="s">
        <v>1300</v>
      </c>
      <c r="G15" s="1288" t="s">
        <v>1303</v>
      </c>
      <c r="H15" s="2033">
        <f>IFERROR(VLOOKUP($B15,'[3]1001'!$B$6:$G$5927,2,FALSE),0)</f>
        <v>0</v>
      </c>
      <c r="I15" s="2034">
        <f>IFERROR(VLOOKUP($B15,'[3]1001'!$B$6:$G$5927,4,FALSE),0)</f>
        <v>0</v>
      </c>
      <c r="J15" s="2033">
        <f t="shared" si="0"/>
        <v>0</v>
      </c>
      <c r="K15" s="2035">
        <f>IFERROR(VLOOKUP($B15,'[3]1002'!$B$6:$G$5921,2,FALSE),0)</f>
        <v>0</v>
      </c>
      <c r="L15" s="2036">
        <f>IFERROR(VLOOKUP($B15,'[3]1002'!$B$6:$G$5921,4,FALSE),0)</f>
        <v>0</v>
      </c>
      <c r="M15" s="1763">
        <f t="shared" si="1"/>
        <v>0</v>
      </c>
      <c r="N15" s="2033">
        <f>IFERROR(VLOOKUP($B15,'[3]1003'!$B$6:$G$5921,2,FALSE),0)</f>
        <v>34986.160000000003</v>
      </c>
      <c r="O15" s="2034">
        <f>IFERROR(VLOOKUP($B15,'[3]1003'!$B$6:$G$5921,4,FALSE),0)</f>
        <v>2</v>
      </c>
      <c r="P15" s="2033">
        <f t="shared" si="2"/>
        <v>17493.080000000002</v>
      </c>
      <c r="Q15" s="1763">
        <f>IFERROR(VLOOKUP($B15,'[3]1004'!$B$6:$G$5921,2,FALSE),0)</f>
        <v>0</v>
      </c>
      <c r="R15" s="2036">
        <f>IFERROR(VLOOKUP($B15,'[3]1004'!$B$6:$G$5921,4,FALSE),0)</f>
        <v>0</v>
      </c>
      <c r="S15" s="1763">
        <f t="shared" si="3"/>
        <v>0</v>
      </c>
      <c r="T15" s="2033">
        <f>IFERROR(VLOOKUP($B15,'[3]1006'!$B$6:$G$5921,2,FALSE),0)</f>
        <v>0</v>
      </c>
      <c r="U15" s="2034">
        <f>IFERROR(VLOOKUP($B15,'[3]1006'!$B$6:$G$5921,4,FALSE),0)</f>
        <v>0</v>
      </c>
      <c r="V15" s="2033">
        <f t="shared" si="4"/>
        <v>0</v>
      </c>
      <c r="W15" s="2033">
        <f t="shared" si="5"/>
        <v>2</v>
      </c>
    </row>
    <row r="16" spans="1:23" x14ac:dyDescent="0.15">
      <c r="B16" s="2032">
        <v>6110</v>
      </c>
      <c r="C16" s="2032" t="s">
        <v>1319</v>
      </c>
      <c r="D16" s="2032" t="s">
        <v>1320</v>
      </c>
      <c r="E16" s="2032" t="s">
        <v>94</v>
      </c>
      <c r="F16" s="1288" t="s">
        <v>1300</v>
      </c>
      <c r="G16" s="1288" t="s">
        <v>1303</v>
      </c>
      <c r="H16" s="2033">
        <f>IFERROR(VLOOKUP($B16,'[3]1001'!$B$6:$G$5927,2,FALSE),0)</f>
        <v>0</v>
      </c>
      <c r="I16" s="2034">
        <f>IFERROR(VLOOKUP($B16,'[3]1001'!$B$6:$G$5927,4,FALSE),0)</f>
        <v>0</v>
      </c>
      <c r="J16" s="2033">
        <f t="shared" si="0"/>
        <v>0</v>
      </c>
      <c r="K16" s="2035">
        <f>IFERROR(VLOOKUP($B16,'[3]1002'!$B$6:$G$5921,2,FALSE),0)</f>
        <v>0</v>
      </c>
      <c r="L16" s="2036">
        <f>IFERROR(VLOOKUP($B16,'[3]1002'!$B$6:$G$5921,4,FALSE),0)</f>
        <v>0</v>
      </c>
      <c r="M16" s="1763">
        <f t="shared" si="1"/>
        <v>0</v>
      </c>
      <c r="N16" s="2033">
        <f>IFERROR(VLOOKUP($B16,'[3]1003'!$B$6:$G$5921,2,FALSE),0)</f>
        <v>0</v>
      </c>
      <c r="O16" s="2034">
        <f>IFERROR(VLOOKUP($B16,'[3]1003'!$B$6:$G$5921,4,FALSE),0)</f>
        <v>0</v>
      </c>
      <c r="P16" s="2033">
        <f t="shared" si="2"/>
        <v>0</v>
      </c>
      <c r="Q16" s="1763">
        <f>IFERROR(VLOOKUP($B16,'[3]1004'!$B$6:$G$5921,2,FALSE),0)</f>
        <v>0</v>
      </c>
      <c r="R16" s="2036">
        <f>IFERROR(VLOOKUP($B16,'[3]1004'!$B$6:$G$5921,4,FALSE),0)</f>
        <v>0</v>
      </c>
      <c r="S16" s="1763">
        <f t="shared" si="3"/>
        <v>0</v>
      </c>
      <c r="T16" s="2033">
        <f>IFERROR(VLOOKUP($B16,'[3]1006'!$B$6:$G$5921,2,FALSE),0)</f>
        <v>0</v>
      </c>
      <c r="U16" s="2034">
        <f>IFERROR(VLOOKUP($B16,'[3]1006'!$B$6:$G$5921,4,FALSE),0)</f>
        <v>0</v>
      </c>
      <c r="V16" s="2033">
        <f t="shared" si="4"/>
        <v>0</v>
      </c>
      <c r="W16" s="2033">
        <f t="shared" si="5"/>
        <v>0</v>
      </c>
    </row>
    <row r="17" spans="2:23" x14ac:dyDescent="0.15">
      <c r="B17" s="2032">
        <v>6111</v>
      </c>
      <c r="C17" s="2032" t="s">
        <v>1321</v>
      </c>
      <c r="D17" s="2032" t="s">
        <v>1322</v>
      </c>
      <c r="E17" s="2032" t="s">
        <v>94</v>
      </c>
      <c r="F17" s="1288" t="s">
        <v>1300</v>
      </c>
      <c r="G17" s="1288" t="s">
        <v>1303</v>
      </c>
      <c r="H17" s="2033">
        <f>IFERROR(VLOOKUP($B17,'[3]1001'!$B$6:$G$5927,2,FALSE),0)</f>
        <v>0</v>
      </c>
      <c r="I17" s="2034">
        <f>IFERROR(VLOOKUP($B17,'[3]1001'!$B$6:$G$5927,4,FALSE),0)</f>
        <v>0</v>
      </c>
      <c r="J17" s="2033">
        <f t="shared" si="0"/>
        <v>0</v>
      </c>
      <c r="K17" s="2035">
        <f>IFERROR(VLOOKUP($B17,'[3]1002'!$B$6:$G$5921,2,FALSE),0)</f>
        <v>0</v>
      </c>
      <c r="L17" s="2036">
        <f>IFERROR(VLOOKUP($B17,'[3]1002'!$B$6:$G$5921,4,FALSE),0)</f>
        <v>0</v>
      </c>
      <c r="M17" s="1763">
        <f t="shared" si="1"/>
        <v>0</v>
      </c>
      <c r="N17" s="2033">
        <f>IFERROR(VLOOKUP($B17,'[3]1003'!$B$6:$G$5921,2,FALSE),0)</f>
        <v>25725.119999999999</v>
      </c>
      <c r="O17" s="2034">
        <f>IFERROR(VLOOKUP($B17,'[3]1003'!$B$6:$G$5921,4,FALSE),0)</f>
        <v>2</v>
      </c>
      <c r="P17" s="2033">
        <f t="shared" si="2"/>
        <v>12862.56</v>
      </c>
      <c r="Q17" s="1763">
        <f>IFERROR(VLOOKUP($B17,'[3]1004'!$B$6:$G$5921,2,FALSE),0)</f>
        <v>0</v>
      </c>
      <c r="R17" s="2036">
        <f>IFERROR(VLOOKUP($B17,'[3]1004'!$B$6:$G$5921,4,FALSE),0)</f>
        <v>0</v>
      </c>
      <c r="S17" s="1763">
        <f t="shared" si="3"/>
        <v>0</v>
      </c>
      <c r="T17" s="2033">
        <f>IFERROR(VLOOKUP($B17,'[3]1006'!$B$6:$G$5921,2,FALSE),0)</f>
        <v>0</v>
      </c>
      <c r="U17" s="2034">
        <f>IFERROR(VLOOKUP($B17,'[3]1006'!$B$6:$G$5921,4,FALSE),0)</f>
        <v>0</v>
      </c>
      <c r="V17" s="2033">
        <f t="shared" si="4"/>
        <v>0</v>
      </c>
      <c r="W17" s="2033">
        <f t="shared" si="5"/>
        <v>2</v>
      </c>
    </row>
    <row r="18" spans="2:23" x14ac:dyDescent="0.15">
      <c r="B18" s="2032">
        <v>7279</v>
      </c>
      <c r="C18" s="2032" t="s">
        <v>1323</v>
      </c>
      <c r="D18" s="2037" t="s">
        <v>1324</v>
      </c>
      <c r="E18" s="2032" t="s">
        <v>94</v>
      </c>
      <c r="F18" s="1288" t="s">
        <v>1325</v>
      </c>
      <c r="G18" s="1288" t="s">
        <v>1303</v>
      </c>
      <c r="H18" s="2033">
        <f>IFERROR(VLOOKUP($B18,'[3]1001'!$B$6:$G$5927,2,FALSE),0)</f>
        <v>131198.10999999999</v>
      </c>
      <c r="I18" s="2034">
        <f>IFERROR(VLOOKUP($B18,'[3]1001'!$B$6:$G$5927,4,FALSE),0)</f>
        <v>2</v>
      </c>
      <c r="J18" s="2033">
        <f t="shared" si="0"/>
        <v>65599.054999999993</v>
      </c>
      <c r="K18" s="2035">
        <f>IFERROR(VLOOKUP($B18,'[3]1002'!$B$6:$G$5921,2,FALSE),0)</f>
        <v>0</v>
      </c>
      <c r="L18" s="2036">
        <f>IFERROR(VLOOKUP($B18,'[3]1002'!$B$6:$G$5921,4,FALSE),0)</f>
        <v>0</v>
      </c>
      <c r="M18" s="1763">
        <f t="shared" si="1"/>
        <v>0</v>
      </c>
      <c r="N18" s="2033">
        <f>IFERROR(VLOOKUP($B18,'[3]1003'!$B$6:$G$5921,2,FALSE),0)</f>
        <v>0</v>
      </c>
      <c r="O18" s="2034">
        <f>IFERROR(VLOOKUP($B18,'[3]1003'!$B$6:$G$5921,4,FALSE),0)</f>
        <v>0</v>
      </c>
      <c r="P18" s="2033">
        <f t="shared" si="2"/>
        <v>0</v>
      </c>
      <c r="Q18" s="1763">
        <f>IFERROR(VLOOKUP($B18,'[3]1004'!$B$6:$G$5921,2,FALSE),0)</f>
        <v>0</v>
      </c>
      <c r="R18" s="2036">
        <f>IFERROR(VLOOKUP($B18,'[3]1004'!$B$6:$G$5921,4,FALSE),0)</f>
        <v>0</v>
      </c>
      <c r="S18" s="1763">
        <f t="shared" si="3"/>
        <v>0</v>
      </c>
      <c r="T18" s="2033">
        <f>IFERROR(VLOOKUP($B18,'[3]1006'!$B$6:$G$5921,2,FALSE),0)</f>
        <v>0</v>
      </c>
      <c r="U18" s="2034">
        <f>IFERROR(VLOOKUP($B18,'[3]1006'!$B$6:$G$5921,4,FALSE),0)</f>
        <v>0</v>
      </c>
      <c r="V18" s="2033">
        <f t="shared" si="4"/>
        <v>0</v>
      </c>
      <c r="W18" s="2033">
        <f t="shared" si="5"/>
        <v>2</v>
      </c>
    </row>
    <row r="19" spans="2:23" x14ac:dyDescent="0.15">
      <c r="B19" s="2032">
        <v>7280</v>
      </c>
      <c r="C19" s="2032" t="s">
        <v>1326</v>
      </c>
      <c r="D19" s="2037" t="s">
        <v>1327</v>
      </c>
      <c r="E19" s="2032" t="s">
        <v>94</v>
      </c>
      <c r="F19" s="1288" t="s">
        <v>1300</v>
      </c>
      <c r="G19" s="1288" t="s">
        <v>1303</v>
      </c>
      <c r="H19" s="2033">
        <f>IFERROR(VLOOKUP($B19,'[3]1001'!$B$6:$G$5927,2,FALSE),0)</f>
        <v>0</v>
      </c>
      <c r="I19" s="2034">
        <f>IFERROR(VLOOKUP($B19,'[3]1001'!$B$6:$G$5927,4,FALSE),0)</f>
        <v>0</v>
      </c>
      <c r="J19" s="2033">
        <f t="shared" si="0"/>
        <v>0</v>
      </c>
      <c r="K19" s="2035">
        <f>IFERROR(VLOOKUP($B19,'[3]1002'!$B$6:$G$5921,2,FALSE),0)</f>
        <v>58396.02</v>
      </c>
      <c r="L19" s="2036">
        <f>IFERROR(VLOOKUP($B19,'[3]1002'!$B$6:$G$5921,4,FALSE),0)</f>
        <v>1</v>
      </c>
      <c r="M19" s="1763">
        <f t="shared" si="1"/>
        <v>58396.02</v>
      </c>
      <c r="N19" s="2033">
        <f>IFERROR(VLOOKUP($B19,'[3]1003'!$B$6:$G$5921,2,FALSE),0)</f>
        <v>0</v>
      </c>
      <c r="O19" s="2034">
        <f>IFERROR(VLOOKUP($B19,'[3]1003'!$B$6:$G$5921,4,FALSE),0)</f>
        <v>0</v>
      </c>
      <c r="P19" s="2033">
        <f t="shared" si="2"/>
        <v>0</v>
      </c>
      <c r="Q19" s="1763">
        <f>IFERROR(VLOOKUP($B19,'[3]1004'!$B$6:$G$5921,2,FALSE),0)</f>
        <v>58396.02</v>
      </c>
      <c r="R19" s="2036">
        <f>IFERROR(VLOOKUP($B19,'[3]1004'!$B$6:$G$5921,4,FALSE),0)</f>
        <v>1</v>
      </c>
      <c r="S19" s="1763">
        <f t="shared" si="3"/>
        <v>58396.02</v>
      </c>
      <c r="T19" s="2033">
        <f>IFERROR(VLOOKUP($B19,'[3]1006'!$B$6:$G$5921,2,FALSE),0)</f>
        <v>0</v>
      </c>
      <c r="U19" s="2034">
        <f>IFERROR(VLOOKUP($B19,'[3]1006'!$B$6:$G$5921,4,FALSE),0)</f>
        <v>0</v>
      </c>
      <c r="V19" s="2033">
        <f t="shared" si="4"/>
        <v>0</v>
      </c>
      <c r="W19" s="2033">
        <f t="shared" si="5"/>
        <v>2</v>
      </c>
    </row>
    <row r="20" spans="2:23" x14ac:dyDescent="0.15">
      <c r="B20" s="2032">
        <v>7343</v>
      </c>
      <c r="C20" s="2032" t="s">
        <v>1328</v>
      </c>
      <c r="D20" s="2032" t="s">
        <v>1329</v>
      </c>
      <c r="E20" s="2032" t="s">
        <v>94</v>
      </c>
      <c r="F20" s="1288" t="s">
        <v>1300</v>
      </c>
      <c r="G20" s="1288" t="s">
        <v>1296</v>
      </c>
      <c r="H20" s="2033">
        <f>IFERROR(VLOOKUP($B20,'[3]1001'!$B$6:$G$5927,2,FALSE),0)</f>
        <v>0</v>
      </c>
      <c r="I20" s="2034">
        <f>IFERROR(VLOOKUP($B20,'[3]1001'!$B$6:$G$5927,4,FALSE),0)</f>
        <v>0</v>
      </c>
      <c r="J20" s="2033">
        <f t="shared" si="0"/>
        <v>0</v>
      </c>
      <c r="K20" s="2035">
        <f>IFERROR(VLOOKUP($B20,'[3]1002'!$B$6:$G$5921,2,FALSE),0)</f>
        <v>0</v>
      </c>
      <c r="L20" s="2036">
        <f>IFERROR(VLOOKUP($B20,'[3]1002'!$B$6:$G$5921,4,FALSE),0)</f>
        <v>0</v>
      </c>
      <c r="M20" s="1763">
        <f t="shared" si="1"/>
        <v>0</v>
      </c>
      <c r="N20" s="2033">
        <f>IFERROR(VLOOKUP($B20,'[3]1003'!$B$6:$G$5921,2,FALSE),0)</f>
        <v>0</v>
      </c>
      <c r="O20" s="2034">
        <f>IFERROR(VLOOKUP($B20,'[3]1003'!$B$6:$G$5921,4,FALSE),0)</f>
        <v>0</v>
      </c>
      <c r="P20" s="2033">
        <f t="shared" si="2"/>
        <v>0</v>
      </c>
      <c r="Q20" s="1763">
        <f>IFERROR(VLOOKUP($B20,'[3]1004'!$B$6:$G$5921,2,FALSE),0)</f>
        <v>0</v>
      </c>
      <c r="R20" s="2036">
        <f>IFERROR(VLOOKUP($B20,'[3]1004'!$B$6:$G$5921,4,FALSE),0)</f>
        <v>0</v>
      </c>
      <c r="S20" s="1763">
        <f t="shared" si="3"/>
        <v>0</v>
      </c>
      <c r="T20" s="2033">
        <f>IFERROR(VLOOKUP($B20,'[3]1006'!$B$6:$G$5921,2,FALSE),0)</f>
        <v>0</v>
      </c>
      <c r="U20" s="2034">
        <f>IFERROR(VLOOKUP($B20,'[3]1006'!$B$6:$G$5921,4,FALSE),0)</f>
        <v>0</v>
      </c>
      <c r="V20" s="2033">
        <f t="shared" si="4"/>
        <v>0</v>
      </c>
      <c r="W20" s="2033">
        <f t="shared" si="5"/>
        <v>0</v>
      </c>
    </row>
    <row r="21" spans="2:23" x14ac:dyDescent="0.15">
      <c r="B21" s="2032">
        <v>7345</v>
      </c>
      <c r="C21" s="2032" t="s">
        <v>1331</v>
      </c>
      <c r="D21" s="2032" t="s">
        <v>2106</v>
      </c>
      <c r="E21" s="2032" t="s">
        <v>94</v>
      </c>
      <c r="F21" s="1288" t="s">
        <v>1300</v>
      </c>
      <c r="G21" s="1288" t="s">
        <v>1303</v>
      </c>
      <c r="H21" s="2033">
        <f>IFERROR(VLOOKUP($B21,'[3]1001'!$B$6:$G$5927,2,FALSE),0)</f>
        <v>0</v>
      </c>
      <c r="I21" s="2034">
        <f>IFERROR(VLOOKUP($B21,'[3]1001'!$B$6:$G$5927,4,FALSE),0)</f>
        <v>0</v>
      </c>
      <c r="J21" s="2033">
        <f t="shared" si="0"/>
        <v>0</v>
      </c>
      <c r="K21" s="2035">
        <f>IFERROR(VLOOKUP($B21,'[3]1002'!$B$6:$G$5921,2,FALSE),0)</f>
        <v>0</v>
      </c>
      <c r="L21" s="2036">
        <f>IFERROR(VLOOKUP($B21,'[3]1002'!$B$6:$G$5921,4,FALSE),0)</f>
        <v>0</v>
      </c>
      <c r="M21" s="1763">
        <f t="shared" si="1"/>
        <v>0</v>
      </c>
      <c r="N21" s="2033">
        <f>IFERROR(VLOOKUP($B21,'[3]1003'!$B$6:$G$5921,2,FALSE),0)</f>
        <v>0</v>
      </c>
      <c r="O21" s="2034">
        <f>IFERROR(VLOOKUP($B21,'[3]1003'!$B$6:$G$5921,4,FALSE),0)</f>
        <v>0</v>
      </c>
      <c r="P21" s="2033">
        <f t="shared" si="2"/>
        <v>0</v>
      </c>
      <c r="Q21" s="1763">
        <f>IFERROR(VLOOKUP($B21,'[3]1004'!$B$6:$G$5921,2,FALSE),0)</f>
        <v>0</v>
      </c>
      <c r="R21" s="2036">
        <f>IFERROR(VLOOKUP($B21,'[3]1004'!$B$6:$G$5921,4,FALSE),0)</f>
        <v>0</v>
      </c>
      <c r="S21" s="1763">
        <f t="shared" si="3"/>
        <v>0</v>
      </c>
      <c r="T21" s="2033">
        <f>IFERROR(VLOOKUP($B21,'[3]1006'!$B$6:$G$5921,2,FALSE),0)</f>
        <v>0</v>
      </c>
      <c r="U21" s="2034">
        <f>IFERROR(VLOOKUP($B21,'[3]1006'!$B$6:$G$5921,4,FALSE),0)</f>
        <v>0</v>
      </c>
      <c r="V21" s="2033">
        <f t="shared" si="4"/>
        <v>0</v>
      </c>
      <c r="W21" s="2033">
        <f t="shared" si="5"/>
        <v>0</v>
      </c>
    </row>
    <row r="22" spans="2:23" x14ac:dyDescent="0.15">
      <c r="B22" s="2032">
        <v>7348</v>
      </c>
      <c r="C22" s="2032" t="s">
        <v>1332</v>
      </c>
      <c r="D22" s="2032" t="s">
        <v>2107</v>
      </c>
      <c r="E22" s="2032" t="s">
        <v>94</v>
      </c>
      <c r="F22" s="1288" t="s">
        <v>1295</v>
      </c>
      <c r="G22" s="1288" t="s">
        <v>1303</v>
      </c>
      <c r="H22" s="2033">
        <f>IFERROR(VLOOKUP($B22,'[3]1001'!$B$6:$G$5927,2,FALSE),0)</f>
        <v>0</v>
      </c>
      <c r="I22" s="2034">
        <f>IFERROR(VLOOKUP($B22,'[3]1001'!$B$6:$G$5927,4,FALSE),0)</f>
        <v>0</v>
      </c>
      <c r="J22" s="2033">
        <f t="shared" si="0"/>
        <v>0</v>
      </c>
      <c r="K22" s="2035">
        <f>IFERROR(VLOOKUP($B22,'[3]1002'!$B$6:$G$5921,2,FALSE),0)</f>
        <v>0</v>
      </c>
      <c r="L22" s="2036">
        <f>IFERROR(VLOOKUP($B22,'[3]1002'!$B$6:$G$5921,4,FALSE),0)</f>
        <v>0</v>
      </c>
      <c r="M22" s="1763">
        <f t="shared" si="1"/>
        <v>0</v>
      </c>
      <c r="N22" s="2033">
        <f>IFERROR(VLOOKUP($B22,'[3]1003'!$B$6:$G$5921,2,FALSE),0)</f>
        <v>0</v>
      </c>
      <c r="O22" s="2034">
        <f>IFERROR(VLOOKUP($B22,'[3]1003'!$B$6:$G$5921,4,FALSE),0)</f>
        <v>0</v>
      </c>
      <c r="P22" s="2033">
        <f t="shared" si="2"/>
        <v>0</v>
      </c>
      <c r="Q22" s="1763">
        <f>IFERROR(VLOOKUP($B22,'[3]1004'!$B$6:$G$5921,2,FALSE),0)</f>
        <v>0</v>
      </c>
      <c r="R22" s="2036">
        <f>IFERROR(VLOOKUP($B22,'[3]1004'!$B$6:$G$5921,4,FALSE),0)</f>
        <v>0</v>
      </c>
      <c r="S22" s="1763">
        <f t="shared" si="3"/>
        <v>0</v>
      </c>
      <c r="T22" s="2033">
        <f>IFERROR(VLOOKUP($B22,'[3]1006'!$B$6:$G$5921,2,FALSE),0)</f>
        <v>0</v>
      </c>
      <c r="U22" s="2034">
        <f>IFERROR(VLOOKUP($B22,'[3]1006'!$B$6:$G$5921,4,FALSE),0)</f>
        <v>0</v>
      </c>
      <c r="V22" s="2033">
        <f t="shared" si="4"/>
        <v>0</v>
      </c>
      <c r="W22" s="2033">
        <f t="shared" si="5"/>
        <v>0</v>
      </c>
    </row>
    <row r="23" spans="2:23" x14ac:dyDescent="0.15">
      <c r="B23" s="2032">
        <v>8549</v>
      </c>
      <c r="C23" s="2032" t="s">
        <v>1333</v>
      </c>
      <c r="D23" s="1288" t="s">
        <v>1334</v>
      </c>
      <c r="E23" s="2032" t="s">
        <v>94</v>
      </c>
      <c r="F23" s="870" t="s">
        <v>1300</v>
      </c>
      <c r="G23" s="1288" t="s">
        <v>1296</v>
      </c>
      <c r="H23" s="2033">
        <f>IFERROR(VLOOKUP($B23,'[3]1001'!$B$6:$G$5927,2,FALSE),0)</f>
        <v>0</v>
      </c>
      <c r="I23" s="2034">
        <f>IFERROR(VLOOKUP($B23,'[3]1001'!$B$6:$G$5927,4,FALSE),0)</f>
        <v>0</v>
      </c>
      <c r="J23" s="2033">
        <f t="shared" si="0"/>
        <v>0</v>
      </c>
      <c r="K23" s="2035">
        <f>IFERROR(VLOOKUP($B23,'[3]1002'!$B$6:$G$5921,2,FALSE),0)</f>
        <v>3419239.6</v>
      </c>
      <c r="L23" s="2036">
        <f>IFERROR(VLOOKUP($B23,'[3]1002'!$B$6:$G$5921,4,FALSE),0)</f>
        <v>1960</v>
      </c>
      <c r="M23" s="1763">
        <f t="shared" si="1"/>
        <v>1744.51</v>
      </c>
      <c r="N23" s="2033">
        <f>IFERROR(VLOOKUP($B23,'[3]1003'!$B$6:$G$5921,2,FALSE),0)</f>
        <v>0</v>
      </c>
      <c r="O23" s="2034">
        <f>IFERROR(VLOOKUP($B23,'[3]1003'!$B$6:$G$5921,4,FALSE),0)</f>
        <v>0</v>
      </c>
      <c r="P23" s="2033">
        <f t="shared" si="2"/>
        <v>0</v>
      </c>
      <c r="Q23" s="1763">
        <f>IFERROR(VLOOKUP($B23,'[3]1004'!$B$6:$G$5921,2,FALSE),0)</f>
        <v>488462.8</v>
      </c>
      <c r="R23" s="2036">
        <f>IFERROR(VLOOKUP($B23,'[3]1004'!$B$6:$G$5921,4,FALSE),0)</f>
        <v>280</v>
      </c>
      <c r="S23" s="1763">
        <f t="shared" si="3"/>
        <v>1744.51</v>
      </c>
      <c r="T23" s="2033">
        <f>IFERROR(VLOOKUP($B23,'[3]1006'!$B$6:$G$5921,2,FALSE),0)</f>
        <v>0</v>
      </c>
      <c r="U23" s="2034">
        <f>IFERROR(VLOOKUP($B23,'[3]1006'!$B$6:$G$5921,4,FALSE),0)</f>
        <v>0</v>
      </c>
      <c r="V23" s="2033">
        <f t="shared" si="4"/>
        <v>0</v>
      </c>
      <c r="W23" s="2033">
        <f t="shared" si="5"/>
        <v>2240</v>
      </c>
    </row>
    <row r="24" spans="2:23" x14ac:dyDescent="0.15">
      <c r="B24" s="2032">
        <v>41281</v>
      </c>
      <c r="C24" s="2032" t="s">
        <v>1336</v>
      </c>
      <c r="D24" s="2032" t="s">
        <v>1336</v>
      </c>
      <c r="E24" s="2032" t="s">
        <v>94</v>
      </c>
      <c r="F24" s="2039" t="s">
        <v>1337</v>
      </c>
      <c r="G24" s="2039" t="s">
        <v>1303</v>
      </c>
      <c r="H24" s="2033">
        <f>IFERROR(VLOOKUP($B24,'[3]1001'!$B$6:$G$5927,2,FALSE),0)</f>
        <v>0</v>
      </c>
      <c r="I24" s="2034">
        <f>IFERROR(VLOOKUP($B24,'[3]1001'!$B$6:$G$5927,4,FALSE),0)</f>
        <v>0</v>
      </c>
      <c r="J24" s="2033">
        <f t="shared" si="0"/>
        <v>0</v>
      </c>
      <c r="K24" s="2035">
        <f>IFERROR(VLOOKUP($B24,'[3]1002'!$B$6:$G$5921,2,FALSE),0)</f>
        <v>0</v>
      </c>
      <c r="L24" s="2036">
        <f>IFERROR(VLOOKUP($B24,'[3]1002'!$B$6:$G$5921,4,FALSE),0)</f>
        <v>0</v>
      </c>
      <c r="M24" s="1763">
        <f t="shared" si="1"/>
        <v>0</v>
      </c>
      <c r="N24" s="2033">
        <f>IFERROR(VLOOKUP($B24,'[3]1003'!$B$6:$G$5921,2,FALSE),0)</f>
        <v>0</v>
      </c>
      <c r="O24" s="2034">
        <f>IFERROR(VLOOKUP($B24,'[3]1003'!$B$6:$G$5921,4,FALSE),0)</f>
        <v>0</v>
      </c>
      <c r="P24" s="2033">
        <f t="shared" si="2"/>
        <v>0</v>
      </c>
      <c r="Q24" s="1763">
        <f>IFERROR(VLOOKUP($B24,'[3]1004'!$B$6:$G$5921,2,FALSE),0)</f>
        <v>0</v>
      </c>
      <c r="R24" s="2036">
        <f>IFERROR(VLOOKUP($B24,'[3]1004'!$B$6:$G$5921,4,FALSE),0)</f>
        <v>0</v>
      </c>
      <c r="S24" s="1763">
        <f t="shared" si="3"/>
        <v>0</v>
      </c>
      <c r="T24" s="2033">
        <f>IFERROR(VLOOKUP($B24,'[3]1006'!$B$6:$G$5921,2,FALSE),0)</f>
        <v>0</v>
      </c>
      <c r="U24" s="2034">
        <f>IFERROR(VLOOKUP($B24,'[3]1006'!$B$6:$G$5921,4,FALSE),0)</f>
        <v>0</v>
      </c>
      <c r="V24" s="2033">
        <f t="shared" si="4"/>
        <v>0</v>
      </c>
      <c r="W24" s="2033">
        <f t="shared" si="5"/>
        <v>0</v>
      </c>
    </row>
    <row r="25" spans="2:23" x14ac:dyDescent="0.15">
      <c r="B25" s="1288">
        <v>8713</v>
      </c>
      <c r="C25" s="1288" t="s">
        <v>1338</v>
      </c>
      <c r="D25" s="1288"/>
      <c r="E25" s="1288" t="s">
        <v>94</v>
      </c>
      <c r="F25" s="1288" t="s">
        <v>1300</v>
      </c>
      <c r="G25" s="1288" t="s">
        <v>1303</v>
      </c>
      <c r="H25" s="2033">
        <f>IFERROR(VLOOKUP($B25,'[3]1001'!$B$6:$G$5927,2,FALSE),0)</f>
        <v>0</v>
      </c>
      <c r="I25" s="2034">
        <f>IFERROR(VLOOKUP($B25,'[3]1001'!$B$6:$G$5927,4,FALSE),0)</f>
        <v>0</v>
      </c>
      <c r="J25" s="2033">
        <f t="shared" si="0"/>
        <v>0</v>
      </c>
      <c r="K25" s="2035">
        <f>IFERROR(VLOOKUP($B25,'[3]1002'!$B$6:$G$5921,2,FALSE),0)</f>
        <v>0</v>
      </c>
      <c r="L25" s="2036">
        <f>IFERROR(VLOOKUP($B25,'[3]1002'!$B$6:$G$5921,4,FALSE),0)</f>
        <v>0</v>
      </c>
      <c r="M25" s="1763">
        <f t="shared" si="1"/>
        <v>0</v>
      </c>
      <c r="N25" s="2033">
        <f>IFERROR(VLOOKUP($B25,'[3]1003'!$B$6:$G$5921,2,FALSE),0)</f>
        <v>0</v>
      </c>
      <c r="O25" s="2034">
        <f>IFERROR(VLOOKUP($B25,'[3]1003'!$B$6:$G$5921,4,FALSE),0)</f>
        <v>0</v>
      </c>
      <c r="P25" s="2033">
        <f t="shared" si="2"/>
        <v>0</v>
      </c>
      <c r="Q25" s="1763">
        <f>IFERROR(VLOOKUP($B25,'[3]1004'!$B$6:$G$5921,2,FALSE),0)</f>
        <v>0</v>
      </c>
      <c r="R25" s="2036">
        <f>IFERROR(VLOOKUP($B25,'[3]1004'!$B$6:$G$5921,4,FALSE),0)</f>
        <v>0</v>
      </c>
      <c r="S25" s="1763">
        <f t="shared" si="3"/>
        <v>0</v>
      </c>
      <c r="T25" s="2033">
        <f>IFERROR(VLOOKUP($B25,'[3]1006'!$B$6:$G$5921,2,FALSE),0)</f>
        <v>0</v>
      </c>
      <c r="U25" s="2034">
        <f>IFERROR(VLOOKUP($B25,'[3]1006'!$B$6:$G$5921,4,FALSE),0)</f>
        <v>0</v>
      </c>
      <c r="V25" s="2033">
        <f t="shared" si="4"/>
        <v>0</v>
      </c>
      <c r="W25" s="2033">
        <f t="shared" si="5"/>
        <v>0</v>
      </c>
    </row>
    <row r="26" spans="2:23" x14ac:dyDescent="0.15">
      <c r="B26" s="2032">
        <v>8714</v>
      </c>
      <c r="C26" s="2032" t="s">
        <v>1339</v>
      </c>
      <c r="D26" s="2032" t="s">
        <v>1340</v>
      </c>
      <c r="E26" s="2032" t="s">
        <v>94</v>
      </c>
      <c r="F26" s="2039" t="s">
        <v>1300</v>
      </c>
      <c r="G26" s="1288" t="s">
        <v>1303</v>
      </c>
      <c r="H26" s="2033">
        <f>IFERROR(VLOOKUP($B26,'[3]1001'!$B$6:$G$5927,2,FALSE),0)</f>
        <v>134037.32</v>
      </c>
      <c r="I26" s="2034">
        <f>IFERROR(VLOOKUP($B26,'[3]1001'!$B$6:$G$5927,4,FALSE),0)</f>
        <v>10</v>
      </c>
      <c r="J26" s="2033">
        <f t="shared" si="0"/>
        <v>13403.732</v>
      </c>
      <c r="K26" s="2035">
        <f>IFERROR(VLOOKUP($B26,'[3]1002'!$B$6:$G$5921,2,FALSE),0)</f>
        <v>90241.93</v>
      </c>
      <c r="L26" s="2036">
        <f>IFERROR(VLOOKUP($B26,'[3]1002'!$B$6:$G$5921,4,FALSE),0)</f>
        <v>11</v>
      </c>
      <c r="M26" s="1763">
        <f t="shared" si="1"/>
        <v>8203.8118181818172</v>
      </c>
      <c r="N26" s="2033">
        <f>IFERROR(VLOOKUP($B26,'[3]1003'!$B$6:$G$5921,2,FALSE),0)</f>
        <v>117166.32</v>
      </c>
      <c r="O26" s="2034">
        <f>IFERROR(VLOOKUP($B26,'[3]1003'!$B$6:$G$5921,4,FALSE),0)</f>
        <v>10</v>
      </c>
      <c r="P26" s="2033">
        <f t="shared" si="2"/>
        <v>11716.632000000001</v>
      </c>
      <c r="Q26" s="1763">
        <f>IFERROR(VLOOKUP($B26,'[3]1004'!$B$6:$G$5921,2,FALSE),0)</f>
        <v>98445.74</v>
      </c>
      <c r="R26" s="2036">
        <f>IFERROR(VLOOKUP($B26,'[3]1004'!$B$6:$G$5921,4,FALSE),0)</f>
        <v>12</v>
      </c>
      <c r="S26" s="1763">
        <f t="shared" si="3"/>
        <v>8203.8116666666665</v>
      </c>
      <c r="T26" s="2033">
        <f>IFERROR(VLOOKUP($B26,'[3]1006'!$B$6:$G$5921,2,FALSE),0)</f>
        <v>24611.43</v>
      </c>
      <c r="U26" s="2034">
        <f>IFERROR(VLOOKUP($B26,'[3]1006'!$B$6:$G$5921,4,FALSE),0)</f>
        <v>3</v>
      </c>
      <c r="V26" s="2033">
        <f t="shared" si="4"/>
        <v>8203.81</v>
      </c>
      <c r="W26" s="2033">
        <f t="shared" si="5"/>
        <v>46</v>
      </c>
    </row>
    <row r="27" spans="2:23" x14ac:dyDescent="0.15">
      <c r="B27" s="2032">
        <v>8715</v>
      </c>
      <c r="C27" s="2032" t="s">
        <v>1341</v>
      </c>
      <c r="D27" s="2032" t="s">
        <v>1342</v>
      </c>
      <c r="E27" s="2032" t="s">
        <v>94</v>
      </c>
      <c r="F27" s="2039" t="s">
        <v>1300</v>
      </c>
      <c r="G27" s="1288" t="s">
        <v>1303</v>
      </c>
      <c r="H27" s="2033">
        <f>IFERROR(VLOOKUP($B27,'[3]1001'!$B$6:$G$5927,2,FALSE),0)</f>
        <v>0</v>
      </c>
      <c r="I27" s="2034">
        <f>IFERROR(VLOOKUP($B27,'[3]1001'!$B$6:$G$5927,4,FALSE),0)</f>
        <v>0</v>
      </c>
      <c r="J27" s="2033">
        <f t="shared" si="0"/>
        <v>0</v>
      </c>
      <c r="K27" s="2035">
        <f>IFERROR(VLOOKUP($B27,'[3]1002'!$B$6:$G$5921,2,FALSE),0)</f>
        <v>0</v>
      </c>
      <c r="L27" s="2036">
        <f>IFERROR(VLOOKUP($B27,'[3]1002'!$B$6:$G$5921,4,FALSE),0)</f>
        <v>0</v>
      </c>
      <c r="M27" s="1763">
        <f t="shared" si="1"/>
        <v>0</v>
      </c>
      <c r="N27" s="2033">
        <f>IFERROR(VLOOKUP($B27,'[3]1003'!$B$6:$G$5921,2,FALSE),0)</f>
        <v>58172.3</v>
      </c>
      <c r="O27" s="2034">
        <f>IFERROR(VLOOKUP($B27,'[3]1003'!$B$6:$G$5921,4,FALSE),0)</f>
        <v>5</v>
      </c>
      <c r="P27" s="2033">
        <f t="shared" si="2"/>
        <v>11634.460000000001</v>
      </c>
      <c r="Q27" s="1763">
        <f>IFERROR(VLOOKUP($B27,'[3]1004'!$B$6:$G$5921,2,FALSE),0)</f>
        <v>113222.78</v>
      </c>
      <c r="R27" s="2036">
        <f>IFERROR(VLOOKUP($B27,'[3]1004'!$B$6:$G$5921,4,FALSE),0)</f>
        <v>9</v>
      </c>
      <c r="S27" s="1763">
        <f t="shared" si="3"/>
        <v>12580.308888888889</v>
      </c>
      <c r="T27" s="2033">
        <f>IFERROR(VLOOKUP($B27,'[3]1006'!$B$6:$G$5921,2,FALSE),0)</f>
        <v>154684.82999999999</v>
      </c>
      <c r="U27" s="2034">
        <f>IFERROR(VLOOKUP($B27,'[3]1006'!$B$6:$G$5921,4,FALSE),0)</f>
        <v>13</v>
      </c>
      <c r="V27" s="2033">
        <f t="shared" si="4"/>
        <v>11898.833076923076</v>
      </c>
      <c r="W27" s="2033">
        <f t="shared" si="5"/>
        <v>27</v>
      </c>
    </row>
    <row r="28" spans="2:23" x14ac:dyDescent="0.15">
      <c r="B28" s="2032">
        <v>8719</v>
      </c>
      <c r="C28" s="2032" t="s">
        <v>1343</v>
      </c>
      <c r="D28" s="2032" t="s">
        <v>1344</v>
      </c>
      <c r="E28" s="2032" t="s">
        <v>94</v>
      </c>
      <c r="F28" s="2039" t="s">
        <v>1300</v>
      </c>
      <c r="G28" s="1288" t="s">
        <v>1303</v>
      </c>
      <c r="H28" s="2033">
        <f>IFERROR(VLOOKUP($B28,'[3]1001'!$B$6:$G$5927,2,FALSE),0)</f>
        <v>102897.18</v>
      </c>
      <c r="I28" s="2034">
        <f>IFERROR(VLOOKUP($B28,'[3]1001'!$B$6:$G$5927,4,FALSE),0)</f>
        <v>5</v>
      </c>
      <c r="J28" s="2033">
        <f t="shared" si="0"/>
        <v>20579.435999999998</v>
      </c>
      <c r="K28" s="2035">
        <f>IFERROR(VLOOKUP($B28,'[3]1002'!$B$6:$G$5921,2,FALSE),0)</f>
        <v>0</v>
      </c>
      <c r="L28" s="2036">
        <f>IFERROR(VLOOKUP($B28,'[3]1002'!$B$6:$G$5921,4,FALSE),0)</f>
        <v>0</v>
      </c>
      <c r="M28" s="1763">
        <f t="shared" si="1"/>
        <v>0</v>
      </c>
      <c r="N28" s="2033">
        <f>IFERROR(VLOOKUP($B28,'[3]1003'!$B$6:$G$5921,2,FALSE),0)</f>
        <v>246953.24</v>
      </c>
      <c r="O28" s="2034">
        <f>IFERROR(VLOOKUP($B28,'[3]1003'!$B$6:$G$5921,4,FALSE),0)</f>
        <v>12</v>
      </c>
      <c r="P28" s="2033">
        <f t="shared" si="2"/>
        <v>20579.436666666665</v>
      </c>
      <c r="Q28" s="1763">
        <f>IFERROR(VLOOKUP($B28,'[3]1004'!$B$6:$G$5921,2,FALSE),0)</f>
        <v>0</v>
      </c>
      <c r="R28" s="2036">
        <f>IFERROR(VLOOKUP($B28,'[3]1004'!$B$6:$G$5921,4,FALSE),0)</f>
        <v>0</v>
      </c>
      <c r="S28" s="1763">
        <f t="shared" si="3"/>
        <v>0</v>
      </c>
      <c r="T28" s="2033">
        <f>IFERROR(VLOOKUP($B28,'[3]1006'!$B$6:$G$5921,2,FALSE),0)</f>
        <v>0</v>
      </c>
      <c r="U28" s="2034">
        <f>IFERROR(VLOOKUP($B28,'[3]1006'!$B$6:$G$5921,4,FALSE),0)</f>
        <v>0</v>
      </c>
      <c r="V28" s="2033">
        <f t="shared" si="4"/>
        <v>0</v>
      </c>
      <c r="W28" s="2033">
        <f t="shared" si="5"/>
        <v>17</v>
      </c>
    </row>
    <row r="29" spans="2:23" x14ac:dyDescent="0.15">
      <c r="B29" s="2032">
        <v>65404</v>
      </c>
      <c r="C29" s="2032" t="s">
        <v>1345</v>
      </c>
      <c r="D29" s="2032" t="s">
        <v>2108</v>
      </c>
      <c r="E29" s="2032" t="s">
        <v>94</v>
      </c>
      <c r="F29" s="870" t="s">
        <v>1346</v>
      </c>
      <c r="G29" s="1288" t="s">
        <v>1303</v>
      </c>
      <c r="H29" s="2033">
        <f>IFERROR(VLOOKUP($B29,'[3]1001'!$B$6:$G$5927,2,FALSE),0)</f>
        <v>0</v>
      </c>
      <c r="I29" s="2034">
        <f>IFERROR(VLOOKUP($B29,'[3]1001'!$B$6:$G$5927,4,FALSE),0)</f>
        <v>0</v>
      </c>
      <c r="J29" s="2033">
        <f t="shared" si="0"/>
        <v>0</v>
      </c>
      <c r="K29" s="2035">
        <f>IFERROR(VLOOKUP($B29,'[3]1002'!$B$6:$G$5921,2,FALSE),0)</f>
        <v>0</v>
      </c>
      <c r="L29" s="2036">
        <f>IFERROR(VLOOKUP($B29,'[3]1002'!$B$6:$G$5921,4,FALSE),0)</f>
        <v>0</v>
      </c>
      <c r="M29" s="1763">
        <f t="shared" si="1"/>
        <v>0</v>
      </c>
      <c r="N29" s="2033">
        <f>IFERROR(VLOOKUP($B29,'[3]1003'!$B$6:$G$5921,2,FALSE),0)</f>
        <v>0</v>
      </c>
      <c r="O29" s="2034">
        <f>IFERROR(VLOOKUP($B29,'[3]1003'!$B$6:$G$5921,4,FALSE),0)</f>
        <v>0</v>
      </c>
      <c r="P29" s="2033">
        <f t="shared" si="2"/>
        <v>0</v>
      </c>
      <c r="Q29" s="1763">
        <f>IFERROR(VLOOKUP($B29,'[3]1004'!$B$6:$G$5921,2,FALSE),0)</f>
        <v>0</v>
      </c>
      <c r="R29" s="2036">
        <f>IFERROR(VLOOKUP($B29,'[3]1004'!$B$6:$G$5921,4,FALSE),0)</f>
        <v>0</v>
      </c>
      <c r="S29" s="1763">
        <f t="shared" si="3"/>
        <v>0</v>
      </c>
      <c r="T29" s="2033">
        <f>IFERROR(VLOOKUP($B29,'[3]1006'!$B$6:$G$5921,2,FALSE),0)</f>
        <v>0</v>
      </c>
      <c r="U29" s="2034">
        <f>IFERROR(VLOOKUP($B29,'[3]1006'!$B$6:$G$5921,4,FALSE),0)</f>
        <v>0</v>
      </c>
      <c r="V29" s="2033">
        <f t="shared" si="4"/>
        <v>0</v>
      </c>
      <c r="W29" s="2033">
        <f t="shared" si="5"/>
        <v>0</v>
      </c>
    </row>
    <row r="30" spans="2:23" x14ac:dyDescent="0.15">
      <c r="B30" s="2032">
        <v>8887</v>
      </c>
      <c r="C30" s="2032" t="s">
        <v>1347</v>
      </c>
      <c r="D30" s="2037" t="s">
        <v>2109</v>
      </c>
      <c r="E30" s="2032" t="s">
        <v>94</v>
      </c>
      <c r="F30" s="1288" t="s">
        <v>1300</v>
      </c>
      <c r="G30" s="1288" t="s">
        <v>1303</v>
      </c>
      <c r="H30" s="2033">
        <f>IFERROR(VLOOKUP($B30,'[3]1001'!$B$6:$G$5927,2,FALSE),0)</f>
        <v>535618.67000000004</v>
      </c>
      <c r="I30" s="2034">
        <f>IFERROR(VLOOKUP($B30,'[3]1001'!$B$6:$G$5927,4,FALSE),0)</f>
        <v>1</v>
      </c>
      <c r="J30" s="2033">
        <f t="shared" si="0"/>
        <v>535618.67000000004</v>
      </c>
      <c r="K30" s="2035">
        <f>IFERROR(VLOOKUP($B30,'[3]1002'!$B$6:$G$5921,2,FALSE),0)</f>
        <v>528683.94999999995</v>
      </c>
      <c r="L30" s="2036">
        <f>IFERROR(VLOOKUP($B30,'[3]1002'!$B$6:$G$5921,4,FALSE),0)</f>
        <v>1</v>
      </c>
      <c r="M30" s="1763">
        <f t="shared" si="1"/>
        <v>528683.94999999995</v>
      </c>
      <c r="N30" s="2033">
        <f>IFERROR(VLOOKUP($B30,'[3]1003'!$B$6:$G$5921,2,FALSE),0)</f>
        <v>0</v>
      </c>
      <c r="O30" s="2034">
        <f>IFERROR(VLOOKUP($B30,'[3]1003'!$B$6:$G$5921,4,FALSE),0)</f>
        <v>0</v>
      </c>
      <c r="P30" s="2033">
        <f t="shared" si="2"/>
        <v>0</v>
      </c>
      <c r="Q30" s="1763">
        <f>IFERROR(VLOOKUP($B30,'[3]1004'!$B$6:$G$5921,2,FALSE),0)</f>
        <v>0</v>
      </c>
      <c r="R30" s="2036">
        <f>IFERROR(VLOOKUP($B30,'[3]1004'!$B$6:$G$5921,4,FALSE),0)</f>
        <v>0</v>
      </c>
      <c r="S30" s="1763">
        <f t="shared" si="3"/>
        <v>0</v>
      </c>
      <c r="T30" s="2033">
        <f>IFERROR(VLOOKUP($B30,'[3]1006'!$B$6:$G$5921,2,FALSE),0)</f>
        <v>0</v>
      </c>
      <c r="U30" s="2034">
        <f>IFERROR(VLOOKUP($B30,'[3]1006'!$B$6:$G$5921,4,FALSE),0)</f>
        <v>0</v>
      </c>
      <c r="V30" s="2033">
        <f t="shared" si="4"/>
        <v>0</v>
      </c>
      <c r="W30" s="2033">
        <f t="shared" si="5"/>
        <v>2</v>
      </c>
    </row>
    <row r="31" spans="2:23" x14ac:dyDescent="0.15">
      <c r="B31" s="2032">
        <v>8889</v>
      </c>
      <c r="C31" s="2032" t="s">
        <v>1348</v>
      </c>
      <c r="D31" s="2037" t="s">
        <v>1349</v>
      </c>
      <c r="E31" s="2032" t="s">
        <v>94</v>
      </c>
      <c r="F31" s="1288" t="s">
        <v>1300</v>
      </c>
      <c r="G31" s="1288" t="s">
        <v>1303</v>
      </c>
      <c r="H31" s="2033">
        <f>IFERROR(VLOOKUP($B31,'[3]1001'!$B$6:$G$5927,2,FALSE),0)</f>
        <v>0</v>
      </c>
      <c r="I31" s="2034">
        <f>IFERROR(VLOOKUP($B31,'[3]1001'!$B$6:$G$5927,4,FALSE),0)</f>
        <v>0</v>
      </c>
      <c r="J31" s="2033">
        <f t="shared" si="0"/>
        <v>0</v>
      </c>
      <c r="K31" s="2035">
        <f>IFERROR(VLOOKUP($B31,'[3]1002'!$B$6:$G$5921,2,FALSE),0)</f>
        <v>0</v>
      </c>
      <c r="L31" s="2036">
        <f>IFERROR(VLOOKUP($B31,'[3]1002'!$B$6:$G$5921,4,FALSE),0)</f>
        <v>0</v>
      </c>
      <c r="M31" s="1763">
        <f t="shared" si="1"/>
        <v>0</v>
      </c>
      <c r="N31" s="2033">
        <f>IFERROR(VLOOKUP($B31,'[3]1003'!$B$6:$G$5921,2,FALSE),0)</f>
        <v>18783039.719999999</v>
      </c>
      <c r="O31" s="2034">
        <f>IFERROR(VLOOKUP($B31,'[3]1003'!$B$6:$G$5921,4,FALSE),0)</f>
        <v>13</v>
      </c>
      <c r="P31" s="2033">
        <f t="shared" si="2"/>
        <v>1444849.2092307692</v>
      </c>
      <c r="Q31" s="1763">
        <f>IFERROR(VLOOKUP($B31,'[3]1004'!$B$6:$G$5921,2,FALSE),0)</f>
        <v>7347914.46</v>
      </c>
      <c r="R31" s="2036">
        <f>IFERROR(VLOOKUP($B31,'[3]1004'!$B$6:$G$5921,4,FALSE),0)</f>
        <v>6</v>
      </c>
      <c r="S31" s="1763">
        <f t="shared" si="3"/>
        <v>1224652.4099999999</v>
      </c>
      <c r="T31" s="2033">
        <f>IFERROR(VLOOKUP($B31,'[3]1006'!$B$6:$G$5921,2,FALSE),0)</f>
        <v>0</v>
      </c>
      <c r="U31" s="2034">
        <f>IFERROR(VLOOKUP($B31,'[3]1006'!$B$6:$G$5921,4,FALSE),0)</f>
        <v>0</v>
      </c>
      <c r="V31" s="2033">
        <f t="shared" si="4"/>
        <v>0</v>
      </c>
      <c r="W31" s="2033">
        <f t="shared" si="5"/>
        <v>19</v>
      </c>
    </row>
    <row r="32" spans="2:23" x14ac:dyDescent="0.15">
      <c r="B32" s="2032">
        <v>8905</v>
      </c>
      <c r="C32" s="2032" t="s">
        <v>1350</v>
      </c>
      <c r="D32" s="2037" t="s">
        <v>1351</v>
      </c>
      <c r="E32" s="2032" t="s">
        <v>94</v>
      </c>
      <c r="F32" s="1288" t="s">
        <v>1300</v>
      </c>
      <c r="G32" s="1288" t="s">
        <v>1303</v>
      </c>
      <c r="H32" s="2033">
        <f>IFERROR(VLOOKUP($B32,'[3]1001'!$B$6:$G$5927,2,FALSE),0)</f>
        <v>0</v>
      </c>
      <c r="I32" s="2034">
        <f>IFERROR(VLOOKUP($B32,'[3]1001'!$B$6:$G$5927,4,FALSE),0)</f>
        <v>0</v>
      </c>
      <c r="J32" s="2033">
        <f t="shared" si="0"/>
        <v>0</v>
      </c>
      <c r="K32" s="2035">
        <f>IFERROR(VLOOKUP($B32,'[3]1002'!$B$6:$G$5921,2,FALSE),0)</f>
        <v>0</v>
      </c>
      <c r="L32" s="2036">
        <f>IFERROR(VLOOKUP($B32,'[3]1002'!$B$6:$G$5921,4,FALSE),0)</f>
        <v>0</v>
      </c>
      <c r="M32" s="1763">
        <f t="shared" si="1"/>
        <v>0</v>
      </c>
      <c r="N32" s="2033">
        <f>IFERROR(VLOOKUP($B32,'[3]1003'!$B$6:$G$5921,2,FALSE),0)</f>
        <v>2620202.2000000002</v>
      </c>
      <c r="O32" s="2034">
        <f>IFERROR(VLOOKUP($B32,'[3]1003'!$B$6:$G$5921,4,FALSE),0)</f>
        <v>1</v>
      </c>
      <c r="P32" s="2033">
        <f t="shared" si="2"/>
        <v>2620202.2000000002</v>
      </c>
      <c r="Q32" s="1763">
        <f>IFERROR(VLOOKUP($B32,'[3]1004'!$B$6:$G$5921,2,FALSE),0)</f>
        <v>0</v>
      </c>
      <c r="R32" s="2036">
        <f>IFERROR(VLOOKUP($B32,'[3]1004'!$B$6:$G$5921,4,FALSE),0)</f>
        <v>0</v>
      </c>
      <c r="S32" s="1763">
        <f t="shared" si="3"/>
        <v>0</v>
      </c>
      <c r="T32" s="2033">
        <f>IFERROR(VLOOKUP($B32,'[3]1006'!$B$6:$G$5921,2,FALSE),0)</f>
        <v>0</v>
      </c>
      <c r="U32" s="2034">
        <f>IFERROR(VLOOKUP($B32,'[3]1006'!$B$6:$G$5921,4,FALSE),0)</f>
        <v>0</v>
      </c>
      <c r="V32" s="2033">
        <f t="shared" si="4"/>
        <v>0</v>
      </c>
      <c r="W32" s="2033">
        <f t="shared" si="5"/>
        <v>1</v>
      </c>
    </row>
    <row r="33" spans="2:23" x14ac:dyDescent="0.15">
      <c r="B33" s="2032">
        <v>8906</v>
      </c>
      <c r="C33" s="2032" t="s">
        <v>1352</v>
      </c>
      <c r="D33" s="2037" t="s">
        <v>1353</v>
      </c>
      <c r="E33" s="2032" t="s">
        <v>94</v>
      </c>
      <c r="F33" s="1288" t="s">
        <v>1300</v>
      </c>
      <c r="G33" s="1288" t="s">
        <v>1303</v>
      </c>
      <c r="H33" s="2033">
        <f>IFERROR(VLOOKUP($B33,'[3]1001'!$B$6:$G$5927,2,FALSE),0)</f>
        <v>0</v>
      </c>
      <c r="I33" s="2034">
        <f>IFERROR(VLOOKUP($B33,'[3]1001'!$B$6:$G$5927,4,FALSE),0)</f>
        <v>0</v>
      </c>
      <c r="J33" s="2033">
        <f t="shared" si="0"/>
        <v>0</v>
      </c>
      <c r="K33" s="2035">
        <f>IFERROR(VLOOKUP($B33,'[3]1002'!$B$6:$G$5921,2,FALSE),0)</f>
        <v>0</v>
      </c>
      <c r="L33" s="2036">
        <f>IFERROR(VLOOKUP($B33,'[3]1002'!$B$6:$G$5921,4,FALSE),0)</f>
        <v>0</v>
      </c>
      <c r="M33" s="1763">
        <f t="shared" si="1"/>
        <v>0</v>
      </c>
      <c r="N33" s="2033">
        <f>IFERROR(VLOOKUP($B33,'[3]1003'!$B$6:$G$5921,2,FALSE),0)</f>
        <v>0</v>
      </c>
      <c r="O33" s="2034">
        <f>IFERROR(VLOOKUP($B33,'[3]1003'!$B$6:$G$5921,4,FALSE),0)</f>
        <v>0</v>
      </c>
      <c r="P33" s="2033">
        <f t="shared" si="2"/>
        <v>0</v>
      </c>
      <c r="Q33" s="1763">
        <f>IFERROR(VLOOKUP($B33,'[3]1004'!$B$6:$G$5921,2,FALSE),0)</f>
        <v>0</v>
      </c>
      <c r="R33" s="2036">
        <f>IFERROR(VLOOKUP($B33,'[3]1004'!$B$6:$G$5921,4,FALSE),0)</f>
        <v>0</v>
      </c>
      <c r="S33" s="1763">
        <f t="shared" si="3"/>
        <v>0</v>
      </c>
      <c r="T33" s="2033">
        <f>IFERROR(VLOOKUP($B33,'[3]1006'!$B$6:$G$5921,2,FALSE),0)</f>
        <v>0</v>
      </c>
      <c r="U33" s="2034">
        <f>IFERROR(VLOOKUP($B33,'[3]1006'!$B$6:$G$5921,4,FALSE),0)</f>
        <v>0</v>
      </c>
      <c r="V33" s="2033">
        <f t="shared" si="4"/>
        <v>0</v>
      </c>
      <c r="W33" s="2033">
        <f t="shared" si="5"/>
        <v>0</v>
      </c>
    </row>
    <row r="34" spans="2:23" x14ac:dyDescent="0.15">
      <c r="B34" s="2032">
        <v>8907</v>
      </c>
      <c r="C34" s="2032" t="s">
        <v>1354</v>
      </c>
      <c r="D34" s="2032" t="s">
        <v>2110</v>
      </c>
      <c r="E34" s="2032" t="s">
        <v>94</v>
      </c>
      <c r="F34" s="1288" t="s">
        <v>1300</v>
      </c>
      <c r="G34" s="1288" t="s">
        <v>1303</v>
      </c>
      <c r="H34" s="2033">
        <f>IFERROR(VLOOKUP($B34,'[3]1001'!$B$6:$G$5927,2,FALSE),0)</f>
        <v>737371.33</v>
      </c>
      <c r="I34" s="2034">
        <f>IFERROR(VLOOKUP($B34,'[3]1001'!$B$6:$G$5927,4,FALSE),0)</f>
        <v>4</v>
      </c>
      <c r="J34" s="2033">
        <f t="shared" si="0"/>
        <v>184342.83249999999</v>
      </c>
      <c r="K34" s="2035">
        <f>IFERROR(VLOOKUP($B34,'[3]1002'!$B$6:$G$5921,2,FALSE),0)</f>
        <v>0</v>
      </c>
      <c r="L34" s="2036">
        <f>IFERROR(VLOOKUP($B34,'[3]1002'!$B$6:$G$5921,4,FALSE),0)</f>
        <v>0</v>
      </c>
      <c r="M34" s="1763">
        <f t="shared" si="1"/>
        <v>0</v>
      </c>
      <c r="N34" s="2033">
        <f>IFERROR(VLOOKUP($B34,'[3]1003'!$B$6:$G$5921,2,FALSE),0)</f>
        <v>0</v>
      </c>
      <c r="O34" s="2034">
        <f>IFERROR(VLOOKUP($B34,'[3]1003'!$B$6:$G$5921,4,FALSE),0)</f>
        <v>0</v>
      </c>
      <c r="P34" s="2033">
        <f t="shared" si="2"/>
        <v>0</v>
      </c>
      <c r="Q34" s="1763">
        <f>IFERROR(VLOOKUP($B34,'[3]1004'!$B$6:$G$5921,2,FALSE),0)</f>
        <v>0</v>
      </c>
      <c r="R34" s="2036">
        <f>IFERROR(VLOOKUP($B34,'[3]1004'!$B$6:$G$5921,4,FALSE),0)</f>
        <v>0</v>
      </c>
      <c r="S34" s="1763">
        <f t="shared" si="3"/>
        <v>0</v>
      </c>
      <c r="T34" s="2033">
        <f>IFERROR(VLOOKUP($B34,'[3]1006'!$B$6:$G$5921,2,FALSE),0)</f>
        <v>0</v>
      </c>
      <c r="U34" s="2034">
        <f>IFERROR(VLOOKUP($B34,'[3]1006'!$B$6:$G$5921,4,FALSE),0)</f>
        <v>0</v>
      </c>
      <c r="V34" s="2033">
        <f t="shared" si="4"/>
        <v>0</v>
      </c>
      <c r="W34" s="2033">
        <f t="shared" si="5"/>
        <v>4</v>
      </c>
    </row>
    <row r="35" spans="2:23" s="1660" customFormat="1" x14ac:dyDescent="0.15">
      <c r="B35" s="2053">
        <v>8908</v>
      </c>
      <c r="C35" s="2053" t="s">
        <v>1356</v>
      </c>
      <c r="D35" s="2054" t="s">
        <v>1357</v>
      </c>
      <c r="E35" s="2053" t="s">
        <v>94</v>
      </c>
      <c r="F35" s="2055" t="s">
        <v>1300</v>
      </c>
      <c r="G35" s="2055" t="s">
        <v>1303</v>
      </c>
      <c r="H35" s="2056">
        <f>IFERROR(VLOOKUP($B35,'[3]1001'!$B$6:$G$5927,2,FALSE),0)</f>
        <v>0</v>
      </c>
      <c r="I35" s="2057">
        <f>IFERROR(VLOOKUP($B35,'[3]1001'!$B$6:$G$5927,4,FALSE),0)</f>
        <v>0</v>
      </c>
      <c r="J35" s="2056">
        <f t="shared" si="0"/>
        <v>0</v>
      </c>
      <c r="K35" s="2058">
        <f>IFERROR(VLOOKUP($B35,'[3]1002'!$B$6:$G$5921,2,FALSE),0)</f>
        <v>0</v>
      </c>
      <c r="L35" s="2057">
        <f>IFERROR(VLOOKUP($B35,'[3]1002'!$B$6:$G$5921,4,FALSE),0)</f>
        <v>0</v>
      </c>
      <c r="M35" s="2056">
        <f t="shared" si="1"/>
        <v>0</v>
      </c>
      <c r="N35" s="2056">
        <f>IFERROR(VLOOKUP($B35,'[3]1003'!$B$6:$G$5921,2,FALSE),0)</f>
        <v>0</v>
      </c>
      <c r="O35" s="2057">
        <f>IFERROR(VLOOKUP($B35,'[3]1003'!$B$6:$G$5921,4,FALSE),0)</f>
        <v>0</v>
      </c>
      <c r="P35" s="2056">
        <f t="shared" si="2"/>
        <v>0</v>
      </c>
      <c r="Q35" s="2056">
        <f>IFERROR(VLOOKUP($B35,'[3]1004'!$B$6:$G$5921,2,FALSE),0)</f>
        <v>0</v>
      </c>
      <c r="R35" s="2057">
        <f>IFERROR(VLOOKUP($B35,'[3]1004'!$B$6:$G$5921,4,FALSE),0)</f>
        <v>0</v>
      </c>
      <c r="S35" s="2056">
        <f t="shared" si="3"/>
        <v>0</v>
      </c>
      <c r="T35" s="2056">
        <f>IFERROR(VLOOKUP($B35,'[3]1006'!$B$6:$G$5921,2,FALSE),0)</f>
        <v>0</v>
      </c>
      <c r="U35" s="2057">
        <f>IFERROR(VLOOKUP($B35,'[3]1006'!$B$6:$G$5921,4,FALSE),0)</f>
        <v>0</v>
      </c>
      <c r="V35" s="2056">
        <f t="shared" si="4"/>
        <v>0</v>
      </c>
      <c r="W35" s="2033">
        <f t="shared" si="5"/>
        <v>0</v>
      </c>
    </row>
    <row r="36" spans="2:23" x14ac:dyDescent="0.15">
      <c r="B36" s="2032">
        <v>8909</v>
      </c>
      <c r="C36" s="2032" t="s">
        <v>1358</v>
      </c>
      <c r="D36" s="2037" t="s">
        <v>1359</v>
      </c>
      <c r="E36" s="2032" t="s">
        <v>94</v>
      </c>
      <c r="F36" s="1288" t="s">
        <v>1300</v>
      </c>
      <c r="G36" s="1288" t="s">
        <v>1303</v>
      </c>
      <c r="H36" s="2033">
        <f>IFERROR(VLOOKUP($B36,'[3]1001'!$B$6:$G$5927,2,FALSE),0)</f>
        <v>0</v>
      </c>
      <c r="I36" s="2034">
        <f>IFERROR(VLOOKUP($B36,'[3]1001'!$B$6:$G$5927,4,FALSE),0)</f>
        <v>0</v>
      </c>
      <c r="J36" s="2033">
        <f t="shared" si="0"/>
        <v>0</v>
      </c>
      <c r="K36" s="2035">
        <f>IFERROR(VLOOKUP($B36,'[3]1002'!$B$6:$G$5921,2,FALSE),0)</f>
        <v>567685.23</v>
      </c>
      <c r="L36" s="2036">
        <f>IFERROR(VLOOKUP($B36,'[3]1002'!$B$6:$G$5921,4,FALSE),0)</f>
        <v>1</v>
      </c>
      <c r="M36" s="1763">
        <f t="shared" si="1"/>
        <v>567685.23</v>
      </c>
      <c r="N36" s="2033">
        <f>IFERROR(VLOOKUP($B36,'[3]1003'!$B$6:$G$5921,2,FALSE),0)</f>
        <v>0</v>
      </c>
      <c r="O36" s="2034">
        <f>IFERROR(VLOOKUP($B36,'[3]1003'!$B$6:$G$5921,4,FALSE),0)</f>
        <v>0</v>
      </c>
      <c r="P36" s="2033">
        <f t="shared" si="2"/>
        <v>0</v>
      </c>
      <c r="Q36" s="1763">
        <f>IFERROR(VLOOKUP($B36,'[3]1004'!$B$6:$G$5921,2,FALSE),0)</f>
        <v>0</v>
      </c>
      <c r="R36" s="2036">
        <f>IFERROR(VLOOKUP($B36,'[3]1004'!$B$6:$G$5921,4,FALSE),0)</f>
        <v>0</v>
      </c>
      <c r="S36" s="1763">
        <f t="shared" si="3"/>
        <v>0</v>
      </c>
      <c r="T36" s="2033">
        <f>IFERROR(VLOOKUP($B36,'[3]1006'!$B$6:$G$5921,2,FALSE),0)</f>
        <v>0</v>
      </c>
      <c r="U36" s="2034">
        <f>IFERROR(VLOOKUP($B36,'[3]1006'!$B$6:$G$5921,4,FALSE),0)</f>
        <v>0</v>
      </c>
      <c r="V36" s="2033">
        <f t="shared" si="4"/>
        <v>0</v>
      </c>
      <c r="W36" s="2033">
        <f t="shared" si="5"/>
        <v>1</v>
      </c>
    </row>
    <row r="37" spans="2:23" x14ac:dyDescent="0.15">
      <c r="B37" s="2032">
        <v>8910</v>
      </c>
      <c r="C37" s="2032" t="s">
        <v>1360</v>
      </c>
      <c r="D37" s="2037" t="s">
        <v>1361</v>
      </c>
      <c r="E37" s="2032" t="s">
        <v>94</v>
      </c>
      <c r="F37" s="1288" t="s">
        <v>1300</v>
      </c>
      <c r="G37" s="1288" t="s">
        <v>1303</v>
      </c>
      <c r="H37" s="2033">
        <f>IFERROR(VLOOKUP($B37,'[3]1001'!$B$6:$G$5927,2,FALSE),0)</f>
        <v>0</v>
      </c>
      <c r="I37" s="2034">
        <f>IFERROR(VLOOKUP($B37,'[3]1001'!$B$6:$G$5927,4,FALSE),0)</f>
        <v>0</v>
      </c>
      <c r="J37" s="2033">
        <f t="shared" si="0"/>
        <v>0</v>
      </c>
      <c r="K37" s="2035">
        <f>IFERROR(VLOOKUP($B37,'[3]1002'!$B$6:$G$5921,2,FALSE),0)</f>
        <v>0</v>
      </c>
      <c r="L37" s="2036">
        <f>IFERROR(VLOOKUP($B37,'[3]1002'!$B$6:$G$5921,4,FALSE),0)</f>
        <v>0</v>
      </c>
      <c r="M37" s="1763">
        <f t="shared" si="1"/>
        <v>0</v>
      </c>
      <c r="N37" s="2033">
        <f>IFERROR(VLOOKUP($B37,'[3]1003'!$B$6:$G$5921,2,FALSE),0)</f>
        <v>0</v>
      </c>
      <c r="O37" s="2034">
        <f>IFERROR(VLOOKUP($B37,'[3]1003'!$B$6:$G$5921,4,FALSE),0)</f>
        <v>0</v>
      </c>
      <c r="P37" s="2033">
        <f t="shared" si="2"/>
        <v>0</v>
      </c>
      <c r="Q37" s="1763">
        <f>IFERROR(VLOOKUP($B37,'[3]1004'!$B$6:$G$5921,2,FALSE),0)</f>
        <v>0</v>
      </c>
      <c r="R37" s="2036">
        <f>IFERROR(VLOOKUP($B37,'[3]1004'!$B$6:$G$5921,4,FALSE),0)</f>
        <v>0</v>
      </c>
      <c r="S37" s="1763">
        <f t="shared" si="3"/>
        <v>0</v>
      </c>
      <c r="T37" s="2033">
        <f>IFERROR(VLOOKUP($B37,'[3]1006'!$B$6:$G$5921,2,FALSE),0)</f>
        <v>0</v>
      </c>
      <c r="U37" s="2034">
        <f>IFERROR(VLOOKUP($B37,'[3]1006'!$B$6:$G$5921,4,FALSE),0)</f>
        <v>0</v>
      </c>
      <c r="V37" s="2033">
        <f t="shared" si="4"/>
        <v>0</v>
      </c>
      <c r="W37" s="2033">
        <f t="shared" si="5"/>
        <v>0</v>
      </c>
    </row>
    <row r="38" spans="2:23" x14ac:dyDescent="0.15">
      <c r="B38" s="2032">
        <v>8911</v>
      </c>
      <c r="C38" s="2032" t="s">
        <v>1362</v>
      </c>
      <c r="D38" s="2037" t="s">
        <v>1363</v>
      </c>
      <c r="E38" s="2032" t="s">
        <v>94</v>
      </c>
      <c r="F38" s="1288" t="s">
        <v>1300</v>
      </c>
      <c r="G38" s="1288" t="s">
        <v>1303</v>
      </c>
      <c r="H38" s="2033">
        <f>IFERROR(VLOOKUP($B38,'[3]1001'!$B$6:$G$5927,2,FALSE),0)</f>
        <v>428093.2</v>
      </c>
      <c r="I38" s="2034">
        <f>IFERROR(VLOOKUP($B38,'[3]1001'!$B$6:$G$5927,4,FALSE),0)</f>
        <v>2</v>
      </c>
      <c r="J38" s="2033">
        <f t="shared" si="0"/>
        <v>214046.6</v>
      </c>
      <c r="K38" s="2035">
        <f>IFERROR(VLOOKUP($B38,'[3]1002'!$B$6:$G$5921,2,FALSE),0)</f>
        <v>0</v>
      </c>
      <c r="L38" s="2036">
        <f>IFERROR(VLOOKUP($B38,'[3]1002'!$B$6:$G$5921,4,FALSE),0)</f>
        <v>0</v>
      </c>
      <c r="M38" s="1763">
        <f t="shared" si="1"/>
        <v>0</v>
      </c>
      <c r="N38" s="2033">
        <f>IFERROR(VLOOKUP($B38,'[3]1003'!$B$6:$G$5921,2,FALSE),0)</f>
        <v>856186.41</v>
      </c>
      <c r="O38" s="2034">
        <f>IFERROR(VLOOKUP($B38,'[3]1003'!$B$6:$G$5921,4,FALSE),0)</f>
        <v>4</v>
      </c>
      <c r="P38" s="2033">
        <f t="shared" si="2"/>
        <v>214046.60250000001</v>
      </c>
      <c r="Q38" s="1763">
        <f>IFERROR(VLOOKUP($B38,'[3]1004'!$B$6:$G$5921,2,FALSE),0)</f>
        <v>442298.44</v>
      </c>
      <c r="R38" s="2036">
        <f>IFERROR(VLOOKUP($B38,'[3]1004'!$B$6:$G$5921,4,FALSE),0)</f>
        <v>2</v>
      </c>
      <c r="S38" s="1763">
        <f t="shared" si="3"/>
        <v>221149.22</v>
      </c>
      <c r="T38" s="2033">
        <f>IFERROR(VLOOKUP($B38,'[3]1006'!$B$6:$G$5921,2,FALSE),0)</f>
        <v>0</v>
      </c>
      <c r="U38" s="2034">
        <f>IFERROR(VLOOKUP($B38,'[3]1006'!$B$6:$G$5921,4,FALSE),0)</f>
        <v>0</v>
      </c>
      <c r="V38" s="2033">
        <f t="shared" si="4"/>
        <v>0</v>
      </c>
      <c r="W38" s="2033">
        <f t="shared" si="5"/>
        <v>8</v>
      </c>
    </row>
    <row r="39" spans="2:23" x14ac:dyDescent="0.15">
      <c r="B39" s="2032">
        <v>8912</v>
      </c>
      <c r="C39" s="2032" t="s">
        <v>1364</v>
      </c>
      <c r="D39" s="2037" t="s">
        <v>1365</v>
      </c>
      <c r="E39" s="2032" t="s">
        <v>94</v>
      </c>
      <c r="F39" s="1288" t="s">
        <v>1300</v>
      </c>
      <c r="G39" s="1288" t="s">
        <v>1303</v>
      </c>
      <c r="H39" s="2033">
        <f>IFERROR(VLOOKUP($B39,'[3]1001'!$B$6:$G$5927,2,FALSE),0)</f>
        <v>0</v>
      </c>
      <c r="I39" s="2034">
        <f>IFERROR(VLOOKUP($B39,'[3]1001'!$B$6:$G$5927,4,FALSE),0)</f>
        <v>0</v>
      </c>
      <c r="J39" s="2033">
        <f t="shared" si="0"/>
        <v>0</v>
      </c>
      <c r="K39" s="2035">
        <f>IFERROR(VLOOKUP($B39,'[3]1002'!$B$6:$G$5921,2,FALSE),0)</f>
        <v>0</v>
      </c>
      <c r="L39" s="2036">
        <f>IFERROR(VLOOKUP($B39,'[3]1002'!$B$6:$G$5921,4,FALSE),0)</f>
        <v>0</v>
      </c>
      <c r="M39" s="1763">
        <f t="shared" si="1"/>
        <v>0</v>
      </c>
      <c r="N39" s="2033">
        <f>IFERROR(VLOOKUP($B39,'[3]1003'!$B$6:$G$5921,2,FALSE),0)</f>
        <v>0</v>
      </c>
      <c r="O39" s="2034">
        <f>IFERROR(VLOOKUP($B39,'[3]1003'!$B$6:$G$5921,4,FALSE),0)</f>
        <v>0</v>
      </c>
      <c r="P39" s="2033">
        <f t="shared" si="2"/>
        <v>0</v>
      </c>
      <c r="Q39" s="1763">
        <f>IFERROR(VLOOKUP($B39,'[3]1004'!$B$6:$G$5921,2,FALSE),0)</f>
        <v>0</v>
      </c>
      <c r="R39" s="2036">
        <f>IFERROR(VLOOKUP($B39,'[3]1004'!$B$6:$G$5921,4,FALSE),0)</f>
        <v>0</v>
      </c>
      <c r="S39" s="1763">
        <f t="shared" si="3"/>
        <v>0</v>
      </c>
      <c r="T39" s="2033">
        <f>IFERROR(VLOOKUP($B39,'[3]1006'!$B$6:$G$5921,2,FALSE),0)</f>
        <v>0</v>
      </c>
      <c r="U39" s="2034">
        <f>IFERROR(VLOOKUP($B39,'[3]1006'!$B$6:$G$5921,4,FALSE),0)</f>
        <v>0</v>
      </c>
      <c r="V39" s="2033">
        <f t="shared" si="4"/>
        <v>0</v>
      </c>
      <c r="W39" s="2033">
        <f t="shared" si="5"/>
        <v>0</v>
      </c>
    </row>
    <row r="40" spans="2:23" x14ac:dyDescent="0.15">
      <c r="B40" s="2032">
        <v>8913</v>
      </c>
      <c r="C40" s="2032" t="s">
        <v>1366</v>
      </c>
      <c r="D40" s="2037" t="s">
        <v>1367</v>
      </c>
      <c r="E40" s="2032" t="s">
        <v>94</v>
      </c>
      <c r="F40" s="1288" t="s">
        <v>1300</v>
      </c>
      <c r="G40" s="1288" t="s">
        <v>1303</v>
      </c>
      <c r="H40" s="2033">
        <f>IFERROR(VLOOKUP($B40,'[3]1001'!$B$6:$G$5927,2,FALSE),0)</f>
        <v>318297.98</v>
      </c>
      <c r="I40" s="2034">
        <f>IFERROR(VLOOKUP($B40,'[3]1001'!$B$6:$G$5927,4,FALSE),0)</f>
        <v>1</v>
      </c>
      <c r="J40" s="2033">
        <f t="shared" si="0"/>
        <v>318297.98</v>
      </c>
      <c r="K40" s="2035">
        <f>IFERROR(VLOOKUP($B40,'[3]1002'!$B$6:$G$5921,2,FALSE),0)</f>
        <v>0</v>
      </c>
      <c r="L40" s="2036">
        <f>IFERROR(VLOOKUP($B40,'[3]1002'!$B$6:$G$5921,4,FALSE),0)</f>
        <v>0</v>
      </c>
      <c r="M40" s="1763">
        <f t="shared" si="1"/>
        <v>0</v>
      </c>
      <c r="N40" s="2033">
        <f>IFERROR(VLOOKUP($B40,'[3]1003'!$B$6:$G$5921,2,FALSE),0)</f>
        <v>0</v>
      </c>
      <c r="O40" s="2034">
        <f>IFERROR(VLOOKUP($B40,'[3]1003'!$B$6:$G$5921,4,FALSE),0)</f>
        <v>0</v>
      </c>
      <c r="P40" s="2033">
        <f t="shared" si="2"/>
        <v>0</v>
      </c>
      <c r="Q40" s="1763">
        <f>IFERROR(VLOOKUP($B40,'[3]1004'!$B$6:$G$5921,2,FALSE),0)</f>
        <v>0</v>
      </c>
      <c r="R40" s="2036">
        <f>IFERROR(VLOOKUP($B40,'[3]1004'!$B$6:$G$5921,4,FALSE),0)</f>
        <v>0</v>
      </c>
      <c r="S40" s="1763">
        <f t="shared" si="3"/>
        <v>0</v>
      </c>
      <c r="T40" s="2033">
        <f>IFERROR(VLOOKUP($B40,'[3]1006'!$B$6:$G$5921,2,FALSE),0)</f>
        <v>0</v>
      </c>
      <c r="U40" s="2034">
        <f>IFERROR(VLOOKUP($B40,'[3]1006'!$B$6:$G$5921,4,FALSE),0)</f>
        <v>0</v>
      </c>
      <c r="V40" s="2033">
        <f t="shared" si="4"/>
        <v>0</v>
      </c>
      <c r="W40" s="2033">
        <f t="shared" si="5"/>
        <v>1</v>
      </c>
    </row>
    <row r="41" spans="2:23" x14ac:dyDescent="0.15">
      <c r="B41" s="2032">
        <v>8914</v>
      </c>
      <c r="C41" s="2032" t="s">
        <v>1368</v>
      </c>
      <c r="D41" s="2037" t="s">
        <v>1369</v>
      </c>
      <c r="E41" s="2032" t="s">
        <v>94</v>
      </c>
      <c r="F41" s="1288" t="s">
        <v>1300</v>
      </c>
      <c r="G41" s="1288" t="s">
        <v>1303</v>
      </c>
      <c r="H41" s="2033">
        <f>IFERROR(VLOOKUP($B41,'[3]1001'!$B$6:$G$5927,2,FALSE),0)</f>
        <v>722878.65</v>
      </c>
      <c r="I41" s="2034">
        <f>IFERROR(VLOOKUP($B41,'[3]1001'!$B$6:$G$5927,4,FALSE),0)</f>
        <v>3</v>
      </c>
      <c r="J41" s="2033">
        <f t="shared" si="0"/>
        <v>240959.55000000002</v>
      </c>
      <c r="K41" s="2035">
        <f>IFERROR(VLOOKUP($B41,'[3]1002'!$B$6:$G$5921,2,FALSE),0)</f>
        <v>0</v>
      </c>
      <c r="L41" s="2036">
        <f>IFERROR(VLOOKUP($B41,'[3]1002'!$B$6:$G$5921,4,FALSE),0)</f>
        <v>0</v>
      </c>
      <c r="M41" s="1763">
        <f t="shared" si="1"/>
        <v>0</v>
      </c>
      <c r="N41" s="2033">
        <f>IFERROR(VLOOKUP($B41,'[3]1003'!$B$6:$G$5921,2,FALSE),0)</f>
        <v>0</v>
      </c>
      <c r="O41" s="2034">
        <f>IFERROR(VLOOKUP($B41,'[3]1003'!$B$6:$G$5921,4,FALSE),0)</f>
        <v>0</v>
      </c>
      <c r="P41" s="2033">
        <f t="shared" si="2"/>
        <v>0</v>
      </c>
      <c r="Q41" s="1763">
        <f>IFERROR(VLOOKUP($B41,'[3]1004'!$B$6:$G$5921,2,FALSE),0)</f>
        <v>252756</v>
      </c>
      <c r="R41" s="2036">
        <f>IFERROR(VLOOKUP($B41,'[3]1004'!$B$6:$G$5921,4,FALSE),0)</f>
        <v>1</v>
      </c>
      <c r="S41" s="1763">
        <f t="shared" si="3"/>
        <v>252756</v>
      </c>
      <c r="T41" s="2033">
        <f>IFERROR(VLOOKUP($B41,'[3]1006'!$B$6:$G$5921,2,FALSE),0)</f>
        <v>0</v>
      </c>
      <c r="U41" s="2034">
        <f>IFERROR(VLOOKUP($B41,'[3]1006'!$B$6:$G$5921,4,FALSE),0)</f>
        <v>0</v>
      </c>
      <c r="V41" s="2033">
        <f t="shared" si="4"/>
        <v>0</v>
      </c>
      <c r="W41" s="2033">
        <f t="shared" si="5"/>
        <v>4</v>
      </c>
    </row>
    <row r="42" spans="2:23" x14ac:dyDescent="0.15">
      <c r="B42" s="2032">
        <v>8915</v>
      </c>
      <c r="C42" s="2032" t="s">
        <v>1360</v>
      </c>
      <c r="D42" s="2037" t="s">
        <v>1370</v>
      </c>
      <c r="E42" s="2032" t="s">
        <v>94</v>
      </c>
      <c r="F42" s="1288" t="s">
        <v>1300</v>
      </c>
      <c r="G42" s="1288" t="s">
        <v>1303</v>
      </c>
      <c r="H42" s="2033">
        <f>IFERROR(VLOOKUP($B42,'[3]1001'!$B$6:$G$5927,2,FALSE),0)</f>
        <v>0</v>
      </c>
      <c r="I42" s="2034">
        <f>IFERROR(VLOOKUP($B42,'[3]1001'!$B$6:$G$5927,4,FALSE),0)</f>
        <v>0</v>
      </c>
      <c r="J42" s="2033">
        <f t="shared" si="0"/>
        <v>0</v>
      </c>
      <c r="K42" s="2035">
        <f>IFERROR(VLOOKUP($B42,'[3]1002'!$B$6:$G$5921,2,FALSE),0)</f>
        <v>288234.05</v>
      </c>
      <c r="L42" s="2036">
        <f>IFERROR(VLOOKUP($B42,'[3]1002'!$B$6:$G$5921,4,FALSE),0)</f>
        <v>1</v>
      </c>
      <c r="M42" s="1763">
        <f t="shared" si="1"/>
        <v>288234.05</v>
      </c>
      <c r="N42" s="2033">
        <f>IFERROR(VLOOKUP($B42,'[3]1003'!$B$6:$G$5921,2,FALSE),0)</f>
        <v>0</v>
      </c>
      <c r="O42" s="2034">
        <f>IFERROR(VLOOKUP($B42,'[3]1003'!$B$6:$G$5921,4,FALSE),0)</f>
        <v>0</v>
      </c>
      <c r="P42" s="2033">
        <f t="shared" si="2"/>
        <v>0</v>
      </c>
      <c r="Q42" s="1763">
        <f>IFERROR(VLOOKUP($B42,'[3]1004'!$B$6:$G$5921,2,FALSE),0)</f>
        <v>0</v>
      </c>
      <c r="R42" s="2036">
        <f>IFERROR(VLOOKUP($B42,'[3]1004'!$B$6:$G$5921,4,FALSE),0)</f>
        <v>0</v>
      </c>
      <c r="S42" s="1763">
        <f t="shared" si="3"/>
        <v>0</v>
      </c>
      <c r="T42" s="2033">
        <f>IFERROR(VLOOKUP($B42,'[3]1006'!$B$6:$G$5921,2,FALSE),0)</f>
        <v>576468.1</v>
      </c>
      <c r="U42" s="2034">
        <f>IFERROR(VLOOKUP($B42,'[3]1006'!$B$6:$G$5921,4,FALSE),0)</f>
        <v>2</v>
      </c>
      <c r="V42" s="2033">
        <f t="shared" si="4"/>
        <v>288234.05</v>
      </c>
      <c r="W42" s="2033">
        <f t="shared" si="5"/>
        <v>3</v>
      </c>
    </row>
    <row r="43" spans="2:23" x14ac:dyDescent="0.15">
      <c r="B43" s="2032">
        <v>9147</v>
      </c>
      <c r="C43" s="2032" t="s">
        <v>1371</v>
      </c>
      <c r="D43" s="2032" t="s">
        <v>1372</v>
      </c>
      <c r="E43" s="2032" t="s">
        <v>94</v>
      </c>
      <c r="F43" s="1288" t="s">
        <v>1325</v>
      </c>
      <c r="G43" s="1288" t="s">
        <v>1296</v>
      </c>
      <c r="H43" s="2033">
        <f>IFERROR(VLOOKUP($B43,'[3]1001'!$B$6:$G$5927,2,FALSE),0)</f>
        <v>10379.48</v>
      </c>
      <c r="I43" s="2034">
        <f>IFERROR(VLOOKUP($B43,'[3]1001'!$B$6:$G$5927,4,FALSE),0)</f>
        <v>88</v>
      </c>
      <c r="J43" s="2033">
        <f t="shared" si="0"/>
        <v>117.94863636363635</v>
      </c>
      <c r="K43" s="2035">
        <f>IFERROR(VLOOKUP($B43,'[3]1002'!$B$6:$G$5921,2,FALSE),0)</f>
        <v>0</v>
      </c>
      <c r="L43" s="2036">
        <f>IFERROR(VLOOKUP($B43,'[3]1002'!$B$6:$G$5921,4,FALSE),0)</f>
        <v>0</v>
      </c>
      <c r="M43" s="1763">
        <f t="shared" si="1"/>
        <v>0</v>
      </c>
      <c r="N43" s="2033">
        <f>IFERROR(VLOOKUP($B43,'[3]1003'!$B$6:$G$5921,2,FALSE),0)</f>
        <v>1272.27</v>
      </c>
      <c r="O43" s="2034">
        <f>IFERROR(VLOOKUP($B43,'[3]1003'!$B$6:$G$5921,4,FALSE),0)</f>
        <v>16</v>
      </c>
      <c r="P43" s="2033">
        <f t="shared" si="2"/>
        <v>79.516874999999999</v>
      </c>
      <c r="Q43" s="1763">
        <f>IFERROR(VLOOKUP($B43,'[3]1004'!$B$6:$G$5921,2,FALSE),0)</f>
        <v>4717.9399999999996</v>
      </c>
      <c r="R43" s="2036">
        <f>IFERROR(VLOOKUP($B43,'[3]1004'!$B$6:$G$5921,4,FALSE),0)</f>
        <v>40</v>
      </c>
      <c r="S43" s="1763">
        <f t="shared" si="3"/>
        <v>117.9485</v>
      </c>
      <c r="T43" s="2033">
        <f>IFERROR(VLOOKUP($B43,'[3]1006'!$B$6:$G$5921,2,FALSE),0)</f>
        <v>0</v>
      </c>
      <c r="U43" s="2034">
        <f>IFERROR(VLOOKUP($B43,'[3]1006'!$B$6:$G$5921,4,FALSE),0)</f>
        <v>0</v>
      </c>
      <c r="V43" s="2033">
        <f t="shared" si="4"/>
        <v>0</v>
      </c>
      <c r="W43" s="2033">
        <f t="shared" si="5"/>
        <v>144</v>
      </c>
    </row>
    <row r="44" spans="2:23" x14ac:dyDescent="0.15">
      <c r="B44" s="2032">
        <v>9148</v>
      </c>
      <c r="C44" s="1288" t="s">
        <v>1374</v>
      </c>
      <c r="D44" s="2032" t="s">
        <v>1375</v>
      </c>
      <c r="E44" s="2032" t="s">
        <v>94</v>
      </c>
      <c r="F44" s="1288" t="s">
        <v>1325</v>
      </c>
      <c r="G44" s="1288" t="s">
        <v>1296</v>
      </c>
      <c r="H44" s="2033">
        <f>IFERROR(VLOOKUP($B44,'[3]1001'!$B$6:$G$5927,2,FALSE),0)</f>
        <v>26286.22</v>
      </c>
      <c r="I44" s="2034">
        <f>IFERROR(VLOOKUP($B44,'[3]1001'!$B$6:$G$5927,4,FALSE),0)</f>
        <v>64</v>
      </c>
      <c r="J44" s="2033">
        <f t="shared" si="0"/>
        <v>410.72218750000002</v>
      </c>
      <c r="K44" s="2035">
        <f>IFERROR(VLOOKUP($B44,'[3]1002'!$B$6:$G$5921,2,FALSE),0)</f>
        <v>13559.53</v>
      </c>
      <c r="L44" s="2036">
        <f>IFERROR(VLOOKUP($B44,'[3]1002'!$B$6:$G$5921,4,FALSE),0)</f>
        <v>32</v>
      </c>
      <c r="M44" s="1763">
        <f t="shared" si="1"/>
        <v>423.73531250000002</v>
      </c>
      <c r="N44" s="2033">
        <f>IFERROR(VLOOKUP($B44,'[3]1003'!$B$6:$G$5921,2,FALSE),0)</f>
        <v>423.74</v>
      </c>
      <c r="O44" s="2034">
        <f>IFERROR(VLOOKUP($B44,'[3]1003'!$B$6:$G$5921,4,FALSE),0)</f>
        <v>1</v>
      </c>
      <c r="P44" s="2033">
        <f t="shared" si="2"/>
        <v>423.74</v>
      </c>
      <c r="Q44" s="1763">
        <f>IFERROR(VLOOKUP($B44,'[3]1004'!$B$6:$G$5921,2,FALSE),0)</f>
        <v>0</v>
      </c>
      <c r="R44" s="2036">
        <f>IFERROR(VLOOKUP($B44,'[3]1004'!$B$6:$G$5921,4,FALSE),0)</f>
        <v>0</v>
      </c>
      <c r="S44" s="1763">
        <f t="shared" si="3"/>
        <v>0</v>
      </c>
      <c r="T44" s="2033">
        <f>IFERROR(VLOOKUP($B44,'[3]1006'!$B$6:$G$5921,2,FALSE),0)</f>
        <v>0</v>
      </c>
      <c r="U44" s="2034">
        <f>IFERROR(VLOOKUP($B44,'[3]1006'!$B$6:$G$5921,4,FALSE),0)</f>
        <v>0</v>
      </c>
      <c r="V44" s="2033">
        <f t="shared" si="4"/>
        <v>0</v>
      </c>
      <c r="W44" s="2033">
        <f t="shared" si="5"/>
        <v>97</v>
      </c>
    </row>
    <row r="45" spans="2:23" x14ac:dyDescent="0.15">
      <c r="B45" s="2032">
        <v>9151</v>
      </c>
      <c r="C45" s="2032" t="s">
        <v>1376</v>
      </c>
      <c r="D45" s="2032" t="s">
        <v>1377</v>
      </c>
      <c r="E45" s="2032" t="s">
        <v>94</v>
      </c>
      <c r="F45" s="1288" t="s">
        <v>1300</v>
      </c>
      <c r="G45" s="1288" t="s">
        <v>1296</v>
      </c>
      <c r="H45" s="2033">
        <f>IFERROR(VLOOKUP($B45,'[3]1001'!$B$6:$G$5927,2,FALSE),0)</f>
        <v>62135.14</v>
      </c>
      <c r="I45" s="2034">
        <f>IFERROR(VLOOKUP($B45,'[3]1001'!$B$6:$G$5927,4,FALSE),0)</f>
        <v>140</v>
      </c>
      <c r="J45" s="2033">
        <f t="shared" si="0"/>
        <v>443.82242857142859</v>
      </c>
      <c r="K45" s="2035">
        <f>IFERROR(VLOOKUP($B45,'[3]1002'!$B$6:$G$5921,2,FALSE),0)</f>
        <v>0</v>
      </c>
      <c r="L45" s="2036">
        <f>IFERROR(VLOOKUP($B45,'[3]1002'!$B$6:$G$5921,4,FALSE),0)</f>
        <v>0</v>
      </c>
      <c r="M45" s="1763">
        <f t="shared" si="1"/>
        <v>0</v>
      </c>
      <c r="N45" s="2033">
        <f>IFERROR(VLOOKUP($B45,'[3]1003'!$B$6:$G$5921,2,FALSE),0)</f>
        <v>44510</v>
      </c>
      <c r="O45" s="2034">
        <f>IFERROR(VLOOKUP($B45,'[3]1003'!$B$6:$G$5921,4,FALSE),0)</f>
        <v>100</v>
      </c>
      <c r="P45" s="2033">
        <f t="shared" si="2"/>
        <v>445.1</v>
      </c>
      <c r="Q45" s="1763">
        <f>IFERROR(VLOOKUP($B45,'[3]1004'!$B$6:$G$5921,2,FALSE),0)</f>
        <v>44382.239999999998</v>
      </c>
      <c r="R45" s="2036">
        <f>IFERROR(VLOOKUP($B45,'[3]1004'!$B$6:$G$5921,4,FALSE),0)</f>
        <v>100</v>
      </c>
      <c r="S45" s="1763">
        <f t="shared" si="3"/>
        <v>443.82239999999996</v>
      </c>
      <c r="T45" s="2033">
        <f>IFERROR(VLOOKUP($B45,'[3]1006'!$B$6:$G$5921,2,FALSE),0)</f>
        <v>0</v>
      </c>
      <c r="U45" s="2034">
        <f>IFERROR(VLOOKUP($B45,'[3]1006'!$B$6:$G$5921,4,FALSE),0)</f>
        <v>0</v>
      </c>
      <c r="V45" s="2033">
        <f t="shared" si="4"/>
        <v>0</v>
      </c>
      <c r="W45" s="2033">
        <f t="shared" si="5"/>
        <v>340</v>
      </c>
    </row>
    <row r="46" spans="2:23" x14ac:dyDescent="0.15">
      <c r="B46" s="2032">
        <v>9634</v>
      </c>
      <c r="C46" s="2032" t="s">
        <v>1378</v>
      </c>
      <c r="D46" s="2032" t="s">
        <v>1379</v>
      </c>
      <c r="E46" s="2032" t="s">
        <v>94</v>
      </c>
      <c r="F46" s="1288" t="s">
        <v>1300</v>
      </c>
      <c r="G46" s="1288" t="s">
        <v>1303</v>
      </c>
      <c r="H46" s="2033">
        <f>IFERROR(VLOOKUP($B46,'[3]1001'!$B$6:$G$5927,2,FALSE),0)</f>
        <v>574091.28</v>
      </c>
      <c r="I46" s="2034">
        <f>IFERROR(VLOOKUP($B46,'[3]1001'!$B$6:$G$5927,4,FALSE),0)</f>
        <v>3</v>
      </c>
      <c r="J46" s="2033">
        <f t="shared" si="0"/>
        <v>191363.76</v>
      </c>
      <c r="K46" s="2035">
        <f>IFERROR(VLOOKUP($B46,'[3]1002'!$B$6:$G$5921,2,FALSE),0)</f>
        <v>0</v>
      </c>
      <c r="L46" s="2036">
        <f>IFERROR(VLOOKUP($B46,'[3]1002'!$B$6:$G$5921,4,FALSE),0)</f>
        <v>0</v>
      </c>
      <c r="M46" s="1763">
        <f t="shared" si="1"/>
        <v>0</v>
      </c>
      <c r="N46" s="2033">
        <f>IFERROR(VLOOKUP($B46,'[3]1003'!$B$6:$G$5921,2,FALSE),0)</f>
        <v>931738.93</v>
      </c>
      <c r="O46" s="2034">
        <f>IFERROR(VLOOKUP($B46,'[3]1003'!$B$6:$G$5921,4,FALSE),0)</f>
        <v>5</v>
      </c>
      <c r="P46" s="2033">
        <f t="shared" si="2"/>
        <v>186347.78600000002</v>
      </c>
      <c r="Q46" s="1763">
        <f>IFERROR(VLOOKUP($B46,'[3]1004'!$B$6:$G$5921,2,FALSE),0)</f>
        <v>175980.89</v>
      </c>
      <c r="R46" s="2036">
        <f>IFERROR(VLOOKUP($B46,'[3]1004'!$B$6:$G$5921,4,FALSE),0)</f>
        <v>1</v>
      </c>
      <c r="S46" s="1763">
        <f t="shared" si="3"/>
        <v>175980.89</v>
      </c>
      <c r="T46" s="2033">
        <f>IFERROR(VLOOKUP($B46,'[3]1006'!$B$6:$G$5921,2,FALSE),0)</f>
        <v>0</v>
      </c>
      <c r="U46" s="2034">
        <f>IFERROR(VLOOKUP($B46,'[3]1006'!$B$6:$G$5921,4,FALSE),0)</f>
        <v>0</v>
      </c>
      <c r="V46" s="2033">
        <f t="shared" si="4"/>
        <v>0</v>
      </c>
      <c r="W46" s="2033">
        <f t="shared" si="5"/>
        <v>9</v>
      </c>
    </row>
    <row r="47" spans="2:23" x14ac:dyDescent="0.15">
      <c r="B47" s="2032">
        <v>65402</v>
      </c>
      <c r="C47" s="2032" t="s">
        <v>1380</v>
      </c>
      <c r="D47" s="2032" t="s">
        <v>1381</v>
      </c>
      <c r="E47" s="2032" t="s">
        <v>94</v>
      </c>
      <c r="F47" s="2039" t="s">
        <v>1337</v>
      </c>
      <c r="G47" s="2039" t="s">
        <v>1303</v>
      </c>
      <c r="H47" s="2033">
        <f>IFERROR(VLOOKUP($B47,'[3]1001'!$B$6:$G$5927,2,FALSE),0)</f>
        <v>0</v>
      </c>
      <c r="I47" s="2034">
        <f>IFERROR(VLOOKUP($B47,'[3]1001'!$B$6:$G$5927,4,FALSE),0)</f>
        <v>0</v>
      </c>
      <c r="J47" s="2033">
        <f t="shared" si="0"/>
        <v>0</v>
      </c>
      <c r="K47" s="2035">
        <f>IFERROR(VLOOKUP($B47,'[3]1002'!$B$6:$G$5921,2,FALSE),0)</f>
        <v>0</v>
      </c>
      <c r="L47" s="2036">
        <f>IFERROR(VLOOKUP($B47,'[3]1002'!$B$6:$G$5921,4,FALSE),0)</f>
        <v>0</v>
      </c>
      <c r="M47" s="1763">
        <f t="shared" si="1"/>
        <v>0</v>
      </c>
      <c r="N47" s="2033">
        <f>IFERROR(VLOOKUP($B47,'[3]1003'!$B$6:$G$5921,2,FALSE),0)</f>
        <v>0</v>
      </c>
      <c r="O47" s="2034">
        <f>IFERROR(VLOOKUP($B47,'[3]1003'!$B$6:$G$5921,4,FALSE),0)</f>
        <v>0</v>
      </c>
      <c r="P47" s="2033">
        <f t="shared" si="2"/>
        <v>0</v>
      </c>
      <c r="Q47" s="1763">
        <f>IFERROR(VLOOKUP($B47,'[3]1004'!$B$6:$G$5921,2,FALSE),0)</f>
        <v>0</v>
      </c>
      <c r="R47" s="2036">
        <f>IFERROR(VLOOKUP($B47,'[3]1004'!$B$6:$G$5921,4,FALSE),0)</f>
        <v>0</v>
      </c>
      <c r="S47" s="1763">
        <f t="shared" si="3"/>
        <v>0</v>
      </c>
      <c r="T47" s="2033">
        <f>IFERROR(VLOOKUP($B47,'[3]1006'!$B$6:$G$5921,2,FALSE),0)</f>
        <v>0</v>
      </c>
      <c r="U47" s="2034">
        <f>IFERROR(VLOOKUP($B47,'[3]1006'!$B$6:$G$5921,4,FALSE),0)</f>
        <v>0</v>
      </c>
      <c r="V47" s="2033">
        <f t="shared" si="4"/>
        <v>0</v>
      </c>
      <c r="W47" s="2033">
        <f t="shared" si="5"/>
        <v>0</v>
      </c>
    </row>
    <row r="48" spans="2:23" x14ac:dyDescent="0.15">
      <c r="B48" s="2032">
        <v>65403</v>
      </c>
      <c r="C48" s="2032" t="s">
        <v>1382</v>
      </c>
      <c r="D48" s="2032" t="s">
        <v>1383</v>
      </c>
      <c r="E48" s="2032" t="s">
        <v>94</v>
      </c>
      <c r="F48" s="2039" t="s">
        <v>1337</v>
      </c>
      <c r="G48" s="2039" t="s">
        <v>1303</v>
      </c>
      <c r="H48" s="2033">
        <f>IFERROR(VLOOKUP($B48,'[3]1001'!$B$6:$G$5927,2,FALSE),0)</f>
        <v>0</v>
      </c>
      <c r="I48" s="2034">
        <f>IFERROR(VLOOKUP($B48,'[3]1001'!$B$6:$G$5927,4,FALSE),0)</f>
        <v>0</v>
      </c>
      <c r="J48" s="2033">
        <f t="shared" si="0"/>
        <v>0</v>
      </c>
      <c r="K48" s="2035">
        <f>IFERROR(VLOOKUP($B48,'[3]1002'!$B$6:$G$5921,2,FALSE),0)</f>
        <v>0</v>
      </c>
      <c r="L48" s="2036">
        <f>IFERROR(VLOOKUP($B48,'[3]1002'!$B$6:$G$5921,4,FALSE),0)</f>
        <v>0</v>
      </c>
      <c r="M48" s="1763">
        <f t="shared" si="1"/>
        <v>0</v>
      </c>
      <c r="N48" s="2033">
        <f>IFERROR(VLOOKUP($B48,'[3]1003'!$B$6:$G$5921,2,FALSE),0)</f>
        <v>0</v>
      </c>
      <c r="O48" s="2034">
        <f>IFERROR(VLOOKUP($B48,'[3]1003'!$B$6:$G$5921,4,FALSE),0)</f>
        <v>0</v>
      </c>
      <c r="P48" s="2033">
        <f t="shared" si="2"/>
        <v>0</v>
      </c>
      <c r="Q48" s="1763">
        <f>IFERROR(VLOOKUP($B48,'[3]1004'!$B$6:$G$5921,2,FALSE),0)</f>
        <v>0</v>
      </c>
      <c r="R48" s="2036">
        <f>IFERROR(VLOOKUP($B48,'[3]1004'!$B$6:$G$5921,4,FALSE),0)</f>
        <v>0</v>
      </c>
      <c r="S48" s="1763">
        <f t="shared" si="3"/>
        <v>0</v>
      </c>
      <c r="T48" s="2033">
        <f>IFERROR(VLOOKUP($B48,'[3]1006'!$B$6:$G$5921,2,FALSE),0)</f>
        <v>0</v>
      </c>
      <c r="U48" s="2034">
        <f>IFERROR(VLOOKUP($B48,'[3]1006'!$B$6:$G$5921,4,FALSE),0)</f>
        <v>0</v>
      </c>
      <c r="V48" s="2033">
        <f t="shared" si="4"/>
        <v>0</v>
      </c>
      <c r="W48" s="2033">
        <f t="shared" si="5"/>
        <v>0</v>
      </c>
    </row>
    <row r="49" spans="2:23" x14ac:dyDescent="0.15">
      <c r="B49" s="2032">
        <v>10138</v>
      </c>
      <c r="C49" s="2032" t="s">
        <v>1384</v>
      </c>
      <c r="D49" s="2037" t="s">
        <v>1385</v>
      </c>
      <c r="E49" s="2032" t="s">
        <v>94</v>
      </c>
      <c r="F49" s="1288" t="s">
        <v>1300</v>
      </c>
      <c r="G49" s="1288" t="s">
        <v>1296</v>
      </c>
      <c r="H49" s="2033">
        <f>IFERROR(VLOOKUP($B49,'[3]1001'!$B$6:$G$5927,2,FALSE),0)</f>
        <v>0</v>
      </c>
      <c r="I49" s="2034">
        <f>IFERROR(VLOOKUP($B49,'[3]1001'!$B$6:$G$5927,4,FALSE),0)</f>
        <v>0</v>
      </c>
      <c r="J49" s="2033">
        <f t="shared" si="0"/>
        <v>0</v>
      </c>
      <c r="K49" s="2035">
        <f>IFERROR(VLOOKUP($B49,'[3]1002'!$B$6:$G$5921,2,FALSE),0)</f>
        <v>8433353.8100000005</v>
      </c>
      <c r="L49" s="2036">
        <f>IFERROR(VLOOKUP($B49,'[3]1002'!$B$6:$G$5921,4,FALSE),0)</f>
        <v>439</v>
      </c>
      <c r="M49" s="1763">
        <f t="shared" si="1"/>
        <v>19210.373143507975</v>
      </c>
      <c r="N49" s="2033">
        <f>IFERROR(VLOOKUP($B49,'[3]1003'!$B$6:$G$5921,2,FALSE),0)</f>
        <v>7608973.0199999996</v>
      </c>
      <c r="O49" s="2034">
        <f>IFERROR(VLOOKUP($B49,'[3]1003'!$B$6:$G$5921,4,FALSE),0)</f>
        <v>406</v>
      </c>
      <c r="P49" s="2033">
        <f t="shared" si="2"/>
        <v>18741.312857142857</v>
      </c>
      <c r="Q49" s="1763">
        <f>IFERROR(VLOOKUP($B49,'[3]1004'!$B$6:$G$5921,2,FALSE),0)</f>
        <v>1892812.42</v>
      </c>
      <c r="R49" s="2036">
        <f>IFERROR(VLOOKUP($B49,'[3]1004'!$B$6:$G$5921,4,FALSE),0)</f>
        <v>99</v>
      </c>
      <c r="S49" s="1763">
        <f t="shared" si="3"/>
        <v>19119.317373737373</v>
      </c>
      <c r="T49" s="2033">
        <f>IFERROR(VLOOKUP($B49,'[3]1006'!$B$6:$G$5921,2,FALSE),0)</f>
        <v>2586301.17</v>
      </c>
      <c r="U49" s="2034">
        <f>IFERROR(VLOOKUP($B49,'[3]1006'!$B$6:$G$5921,4,FALSE),0)</f>
        <v>138</v>
      </c>
      <c r="V49" s="2033">
        <f t="shared" si="4"/>
        <v>18741.312826086956</v>
      </c>
      <c r="W49" s="2033">
        <f t="shared" si="5"/>
        <v>1082</v>
      </c>
    </row>
    <row r="50" spans="2:23" x14ac:dyDescent="0.15">
      <c r="B50" s="2032">
        <v>10140</v>
      </c>
      <c r="C50" s="2032" t="s">
        <v>1386</v>
      </c>
      <c r="D50" s="2037" t="s">
        <v>1387</v>
      </c>
      <c r="E50" s="2032" t="s">
        <v>94</v>
      </c>
      <c r="F50" s="1288" t="s">
        <v>1305</v>
      </c>
      <c r="G50" s="1288" t="s">
        <v>1303</v>
      </c>
      <c r="H50" s="2033">
        <f>IFERROR(VLOOKUP($B50,'[3]1001'!$B$6:$G$5927,2,FALSE),0)</f>
        <v>0</v>
      </c>
      <c r="I50" s="2034">
        <f>IFERROR(VLOOKUP($B50,'[3]1001'!$B$6:$G$5927,4,FALSE),0)</f>
        <v>0</v>
      </c>
      <c r="J50" s="2033">
        <f t="shared" si="0"/>
        <v>0</v>
      </c>
      <c r="K50" s="2035">
        <f>IFERROR(VLOOKUP($B50,'[3]1002'!$B$6:$G$5921,2,FALSE),0)</f>
        <v>22196157.890000001</v>
      </c>
      <c r="L50" s="2036">
        <f>IFERROR(VLOOKUP($B50,'[3]1002'!$B$6:$G$5921,4,FALSE),0)</f>
        <v>81</v>
      </c>
      <c r="M50" s="1763">
        <f t="shared" si="1"/>
        <v>274026.64061728393</v>
      </c>
      <c r="N50" s="2033">
        <f>IFERROR(VLOOKUP($B50,'[3]1003'!$B$6:$G$5921,2,FALSE),0)</f>
        <v>2072002.38</v>
      </c>
      <c r="O50" s="2034">
        <f>IFERROR(VLOOKUP($B50,'[3]1003'!$B$6:$G$5921,4,FALSE),0)</f>
        <v>7</v>
      </c>
      <c r="P50" s="2033">
        <f t="shared" si="2"/>
        <v>296000.33999999997</v>
      </c>
      <c r="Q50" s="1763">
        <f>IFERROR(VLOOKUP($B50,'[3]1004'!$B$6:$G$5921,2,FALSE),0)</f>
        <v>296000.34000000003</v>
      </c>
      <c r="R50" s="2036">
        <f>IFERROR(VLOOKUP($B50,'[3]1004'!$B$6:$G$5921,4,FALSE),0)</f>
        <v>1</v>
      </c>
      <c r="S50" s="1763">
        <f t="shared" si="3"/>
        <v>296000.34000000003</v>
      </c>
      <c r="T50" s="2033">
        <f>IFERROR(VLOOKUP($B50,'[3]1006'!$B$6:$G$5921,2,FALSE),0)</f>
        <v>0</v>
      </c>
      <c r="U50" s="2034">
        <f>IFERROR(VLOOKUP($B50,'[3]1006'!$B$6:$G$5921,4,FALSE),0)</f>
        <v>0</v>
      </c>
      <c r="V50" s="2033">
        <f t="shared" si="4"/>
        <v>0</v>
      </c>
      <c r="W50" s="2033">
        <f t="shared" si="5"/>
        <v>89</v>
      </c>
    </row>
    <row r="51" spans="2:23" x14ac:dyDescent="0.15">
      <c r="B51" s="2032">
        <v>10141</v>
      </c>
      <c r="C51" s="2032" t="s">
        <v>1388</v>
      </c>
      <c r="D51" s="2037" t="s">
        <v>1389</v>
      </c>
      <c r="E51" s="2032" t="s">
        <v>94</v>
      </c>
      <c r="F51" s="1288" t="s">
        <v>1305</v>
      </c>
      <c r="G51" s="1288" t="s">
        <v>1303</v>
      </c>
      <c r="H51" s="2033">
        <f>IFERROR(VLOOKUP($B51,'[3]1001'!$B$6:$G$5927,2,FALSE),0)</f>
        <v>0</v>
      </c>
      <c r="I51" s="2034">
        <f>IFERROR(VLOOKUP($B51,'[3]1001'!$B$6:$G$5927,4,FALSE),0)</f>
        <v>0</v>
      </c>
      <c r="J51" s="2033">
        <f t="shared" si="0"/>
        <v>0</v>
      </c>
      <c r="K51" s="2035">
        <f>IFERROR(VLOOKUP($B51,'[3]1002'!$B$6:$G$5921,2,FALSE),0)</f>
        <v>0</v>
      </c>
      <c r="L51" s="2036">
        <f>IFERROR(VLOOKUP($B51,'[3]1002'!$B$6:$G$5921,4,FALSE),0)</f>
        <v>0</v>
      </c>
      <c r="M51" s="1763">
        <f t="shared" si="1"/>
        <v>0</v>
      </c>
      <c r="N51" s="2033">
        <f>IFERROR(VLOOKUP($B51,'[3]1003'!$B$6:$G$5921,2,FALSE),0)</f>
        <v>0</v>
      </c>
      <c r="O51" s="2034">
        <f>IFERROR(VLOOKUP($B51,'[3]1003'!$B$6:$G$5921,4,FALSE),0)</f>
        <v>0</v>
      </c>
      <c r="P51" s="2033">
        <f t="shared" si="2"/>
        <v>0</v>
      </c>
      <c r="Q51" s="1763">
        <f>IFERROR(VLOOKUP($B51,'[3]1004'!$B$6:$G$5921,2,FALSE),0)</f>
        <v>0</v>
      </c>
      <c r="R51" s="2036">
        <f>IFERROR(VLOOKUP($B51,'[3]1004'!$B$6:$G$5921,4,FALSE),0)</f>
        <v>0</v>
      </c>
      <c r="S51" s="1763">
        <f t="shared" si="3"/>
        <v>0</v>
      </c>
      <c r="T51" s="2033">
        <f>IFERROR(VLOOKUP($B51,'[3]1006'!$B$6:$G$5921,2,FALSE),0)</f>
        <v>0</v>
      </c>
      <c r="U51" s="2034">
        <f>IFERROR(VLOOKUP($B51,'[3]1006'!$B$6:$G$5921,4,FALSE),0)</f>
        <v>0</v>
      </c>
      <c r="V51" s="2033">
        <f t="shared" si="4"/>
        <v>0</v>
      </c>
      <c r="W51" s="2033">
        <f t="shared" si="5"/>
        <v>0</v>
      </c>
    </row>
    <row r="52" spans="2:23" x14ac:dyDescent="0.15">
      <c r="B52" s="2032">
        <v>10142</v>
      </c>
      <c r="C52" s="2032" t="s">
        <v>1390</v>
      </c>
      <c r="D52" s="2037" t="s">
        <v>1390</v>
      </c>
      <c r="E52" s="2032" t="s">
        <v>94</v>
      </c>
      <c r="F52" s="1288" t="s">
        <v>1305</v>
      </c>
      <c r="G52" s="1288" t="s">
        <v>1303</v>
      </c>
      <c r="H52" s="2033">
        <f>IFERROR(VLOOKUP($B52,'[3]1001'!$B$6:$G$5927,2,FALSE),0)</f>
        <v>0</v>
      </c>
      <c r="I52" s="2034">
        <f>IFERROR(VLOOKUP($B52,'[3]1001'!$B$6:$G$5927,4,FALSE),0)</f>
        <v>0</v>
      </c>
      <c r="J52" s="2033">
        <f t="shared" si="0"/>
        <v>0</v>
      </c>
      <c r="K52" s="2035">
        <f>IFERROR(VLOOKUP($B52,'[3]1002'!$B$6:$G$5921,2,FALSE),0)</f>
        <v>0</v>
      </c>
      <c r="L52" s="2036">
        <f>IFERROR(VLOOKUP($B52,'[3]1002'!$B$6:$G$5921,4,FALSE),0)</f>
        <v>0</v>
      </c>
      <c r="M52" s="1763">
        <f t="shared" si="1"/>
        <v>0</v>
      </c>
      <c r="N52" s="2033">
        <f>IFERROR(VLOOKUP($B52,'[3]1003'!$B$6:$G$5921,2,FALSE),0)</f>
        <v>0</v>
      </c>
      <c r="O52" s="2034">
        <f>IFERROR(VLOOKUP($B52,'[3]1003'!$B$6:$G$5921,4,FALSE),0)</f>
        <v>0</v>
      </c>
      <c r="P52" s="2033">
        <f t="shared" si="2"/>
        <v>0</v>
      </c>
      <c r="Q52" s="1763">
        <f>IFERROR(VLOOKUP($B52,'[3]1004'!$B$6:$G$5921,2,FALSE),0)</f>
        <v>386739.67</v>
      </c>
      <c r="R52" s="2036">
        <f>IFERROR(VLOOKUP($B52,'[3]1004'!$B$6:$G$5921,4,FALSE),0)</f>
        <v>17</v>
      </c>
      <c r="S52" s="1763">
        <f t="shared" si="3"/>
        <v>22749.392352941177</v>
      </c>
      <c r="T52" s="2033">
        <f>IFERROR(VLOOKUP($B52,'[3]1006'!$B$6:$G$5921,2,FALSE),0)</f>
        <v>0</v>
      </c>
      <c r="U52" s="2034">
        <f>IFERROR(VLOOKUP($B52,'[3]1006'!$B$6:$G$5921,4,FALSE),0)</f>
        <v>0</v>
      </c>
      <c r="V52" s="2033">
        <f t="shared" si="4"/>
        <v>0</v>
      </c>
      <c r="W52" s="2033">
        <f t="shared" si="5"/>
        <v>17</v>
      </c>
    </row>
    <row r="53" spans="2:23" x14ac:dyDescent="0.15">
      <c r="B53" s="2032">
        <v>10145</v>
      </c>
      <c r="C53" s="2032" t="s">
        <v>1391</v>
      </c>
      <c r="D53" s="2037" t="s">
        <v>1392</v>
      </c>
      <c r="E53" s="2032" t="s">
        <v>94</v>
      </c>
      <c r="F53" s="1288" t="s">
        <v>1305</v>
      </c>
      <c r="G53" s="1288" t="s">
        <v>1303</v>
      </c>
      <c r="H53" s="2033">
        <f>IFERROR(VLOOKUP($B53,'[3]1001'!$B$6:$G$5927,2,FALSE),0)</f>
        <v>0</v>
      </c>
      <c r="I53" s="2034">
        <f>IFERROR(VLOOKUP($B53,'[3]1001'!$B$6:$G$5927,4,FALSE),0)</f>
        <v>0</v>
      </c>
      <c r="J53" s="2033">
        <f t="shared" si="0"/>
        <v>0</v>
      </c>
      <c r="K53" s="2035">
        <f>IFERROR(VLOOKUP($B53,'[3]1002'!$B$6:$G$5921,2,FALSE),0)</f>
        <v>29999383.600000001</v>
      </c>
      <c r="L53" s="2036">
        <f>IFERROR(VLOOKUP($B53,'[3]1002'!$B$6:$G$5921,4,FALSE),0)</f>
        <v>202</v>
      </c>
      <c r="M53" s="1763">
        <f t="shared" si="1"/>
        <v>148511.80000000002</v>
      </c>
      <c r="N53" s="2033">
        <f>IFERROR(VLOOKUP($B53,'[3]1003'!$B$6:$G$5921,2,FALSE),0)</f>
        <v>35630640.609999999</v>
      </c>
      <c r="O53" s="2034">
        <f>IFERROR(VLOOKUP($B53,'[3]1003'!$B$6:$G$5921,4,FALSE),0)</f>
        <v>236</v>
      </c>
      <c r="P53" s="2033">
        <f t="shared" si="2"/>
        <v>150977.29072033899</v>
      </c>
      <c r="Q53" s="1763">
        <f>IFERROR(VLOOKUP($B53,'[3]1004'!$B$6:$G$5921,2,FALSE),0)</f>
        <v>1056841.03</v>
      </c>
      <c r="R53" s="2036">
        <f>IFERROR(VLOOKUP($B53,'[3]1004'!$B$6:$G$5921,4,FALSE),0)</f>
        <v>7</v>
      </c>
      <c r="S53" s="1763">
        <f t="shared" si="3"/>
        <v>150977.29</v>
      </c>
      <c r="T53" s="2033">
        <f>IFERROR(VLOOKUP($B53,'[3]1006'!$B$6:$G$5921,2,FALSE),0)</f>
        <v>5570339.9000000004</v>
      </c>
      <c r="U53" s="2034">
        <f>IFERROR(VLOOKUP($B53,'[3]1006'!$B$6:$G$5921,4,FALSE),0)</f>
        <v>37</v>
      </c>
      <c r="V53" s="2033">
        <f t="shared" si="4"/>
        <v>150549.72702702702</v>
      </c>
      <c r="W53" s="2033">
        <f t="shared" si="5"/>
        <v>482</v>
      </c>
    </row>
    <row r="54" spans="2:23" x14ac:dyDescent="0.15">
      <c r="B54" s="2032">
        <v>10147</v>
      </c>
      <c r="C54" s="2032" t="s">
        <v>1393</v>
      </c>
      <c r="D54" s="2037" t="s">
        <v>1394</v>
      </c>
      <c r="E54" s="2032" t="s">
        <v>94</v>
      </c>
      <c r="F54" s="1288" t="s">
        <v>1305</v>
      </c>
      <c r="G54" s="1288" t="s">
        <v>1303</v>
      </c>
      <c r="H54" s="2033">
        <f>IFERROR(VLOOKUP($B54,'[3]1001'!$B$6:$G$5927,2,FALSE),0)</f>
        <v>0</v>
      </c>
      <c r="I54" s="2034">
        <f>IFERROR(VLOOKUP($B54,'[3]1001'!$B$6:$G$5927,4,FALSE),0)</f>
        <v>0</v>
      </c>
      <c r="J54" s="2033">
        <f t="shared" si="0"/>
        <v>0</v>
      </c>
      <c r="K54" s="2035">
        <f>IFERROR(VLOOKUP($B54,'[3]1002'!$B$6:$G$5921,2,FALSE),0)</f>
        <v>22682223.649999999</v>
      </c>
      <c r="L54" s="2036">
        <f>IFERROR(VLOOKUP($B54,'[3]1002'!$B$6:$G$5921,4,FALSE),0)</f>
        <v>341</v>
      </c>
      <c r="M54" s="1763">
        <f t="shared" si="1"/>
        <v>66516.784897360703</v>
      </c>
      <c r="N54" s="2033">
        <f>IFERROR(VLOOKUP($B54,'[3]1003'!$B$6:$G$5921,2,FALSE),0)</f>
        <v>4185761.38</v>
      </c>
      <c r="O54" s="2034">
        <f>IFERROR(VLOOKUP($B54,'[3]1003'!$B$6:$G$5921,4,FALSE),0)</f>
        <v>62</v>
      </c>
      <c r="P54" s="2033">
        <f t="shared" si="2"/>
        <v>67512.280322580642</v>
      </c>
      <c r="Q54" s="1763">
        <f>IFERROR(VLOOKUP($B54,'[3]1004'!$B$6:$G$5921,2,FALSE),0)</f>
        <v>26301949.890000001</v>
      </c>
      <c r="R54" s="2036">
        <f>IFERROR(VLOOKUP($B54,'[3]1004'!$B$6:$G$5921,4,FALSE),0)</f>
        <v>345</v>
      </c>
      <c r="S54" s="1763">
        <f t="shared" si="3"/>
        <v>76237.535913043481</v>
      </c>
      <c r="T54" s="2033">
        <f>IFERROR(VLOOKUP($B54,'[3]1006'!$B$6:$G$5921,2,FALSE),0)</f>
        <v>10109705.76</v>
      </c>
      <c r="U54" s="2034">
        <f>IFERROR(VLOOKUP($B54,'[3]1006'!$B$6:$G$5921,4,FALSE),0)</f>
        <v>120</v>
      </c>
      <c r="V54" s="2033">
        <f t="shared" si="4"/>
        <v>84247.547999999995</v>
      </c>
      <c r="W54" s="2033">
        <f t="shared" si="5"/>
        <v>868</v>
      </c>
    </row>
    <row r="55" spans="2:23" x14ac:dyDescent="0.15">
      <c r="B55" s="2032">
        <v>10148</v>
      </c>
      <c r="C55" s="2032" t="s">
        <v>1395</v>
      </c>
      <c r="D55" s="2037" t="s">
        <v>1396</v>
      </c>
      <c r="E55" s="2032" t="s">
        <v>94</v>
      </c>
      <c r="F55" s="1288" t="s">
        <v>1305</v>
      </c>
      <c r="G55" s="1288" t="s">
        <v>1303</v>
      </c>
      <c r="H55" s="2033">
        <f>IFERROR(VLOOKUP($B55,'[3]1001'!$B$6:$G$5927,2,FALSE),0)</f>
        <v>0</v>
      </c>
      <c r="I55" s="2034">
        <f>IFERROR(VLOOKUP($B55,'[3]1001'!$B$6:$G$5927,4,FALSE),0)</f>
        <v>0</v>
      </c>
      <c r="J55" s="2033">
        <f t="shared" si="0"/>
        <v>0</v>
      </c>
      <c r="K55" s="2035">
        <f>IFERROR(VLOOKUP($B55,'[3]1002'!$B$6:$G$5921,2,FALSE),0)</f>
        <v>7256149.7800000003</v>
      </c>
      <c r="L55" s="2036">
        <f>IFERROR(VLOOKUP($B55,'[3]1002'!$B$6:$G$5921,4,FALSE),0)</f>
        <v>94</v>
      </c>
      <c r="M55" s="1763">
        <f t="shared" si="1"/>
        <v>77193.082765957442</v>
      </c>
      <c r="N55" s="2033">
        <f>IFERROR(VLOOKUP($B55,'[3]1003'!$B$6:$G$5921,2,FALSE),0)</f>
        <v>0</v>
      </c>
      <c r="O55" s="2034">
        <f>IFERROR(VLOOKUP($B55,'[3]1003'!$B$6:$G$5921,4,FALSE),0)</f>
        <v>0</v>
      </c>
      <c r="P55" s="2033">
        <f t="shared" si="2"/>
        <v>0</v>
      </c>
      <c r="Q55" s="1763">
        <f>IFERROR(VLOOKUP($B55,'[3]1004'!$B$6:$G$5921,2,FALSE),0)</f>
        <v>0</v>
      </c>
      <c r="R55" s="2036">
        <f>IFERROR(VLOOKUP($B55,'[3]1004'!$B$6:$G$5921,4,FALSE),0)</f>
        <v>0</v>
      </c>
      <c r="S55" s="1763">
        <f t="shared" si="3"/>
        <v>0</v>
      </c>
      <c r="T55" s="2033">
        <f>IFERROR(VLOOKUP($B55,'[3]1006'!$B$6:$G$5921,2,FALSE),0)</f>
        <v>76890.03</v>
      </c>
      <c r="U55" s="2034">
        <f>IFERROR(VLOOKUP($B55,'[3]1006'!$B$6:$G$5921,4,FALSE),0)</f>
        <v>1</v>
      </c>
      <c r="V55" s="2033">
        <f t="shared" si="4"/>
        <v>76890.03</v>
      </c>
      <c r="W55" s="2033">
        <f t="shared" si="5"/>
        <v>95</v>
      </c>
    </row>
    <row r="56" spans="2:23" x14ac:dyDescent="0.15">
      <c r="B56" s="2032">
        <v>10149</v>
      </c>
      <c r="C56" s="2032" t="s">
        <v>1397</v>
      </c>
      <c r="D56" s="2037" t="s">
        <v>1398</v>
      </c>
      <c r="E56" s="2032" t="s">
        <v>94</v>
      </c>
      <c r="F56" s="1288" t="s">
        <v>1300</v>
      </c>
      <c r="G56" s="1288" t="s">
        <v>1303</v>
      </c>
      <c r="H56" s="2033">
        <f>IFERROR(VLOOKUP($B56,'[3]1001'!$B$6:$G$5927,2,FALSE),0)</f>
        <v>0</v>
      </c>
      <c r="I56" s="2034">
        <f>IFERROR(VLOOKUP($B56,'[3]1001'!$B$6:$G$5927,4,FALSE),0)</f>
        <v>0</v>
      </c>
      <c r="J56" s="2033">
        <f t="shared" si="0"/>
        <v>0</v>
      </c>
      <c r="K56" s="2035">
        <f>IFERROR(VLOOKUP($B56,'[3]1002'!$B$6:$G$5921,2,FALSE),0)</f>
        <v>49345483.380000003</v>
      </c>
      <c r="L56" s="2036">
        <f>IFERROR(VLOOKUP($B56,'[3]1002'!$B$6:$G$5921,4,FALSE),0)</f>
        <v>907</v>
      </c>
      <c r="M56" s="1763">
        <f t="shared" si="1"/>
        <v>54405.163594266814</v>
      </c>
      <c r="N56" s="2033">
        <f>IFERROR(VLOOKUP($B56,'[3]1003'!$B$6:$G$5921,2,FALSE),0)</f>
        <v>13003631.300000001</v>
      </c>
      <c r="O56" s="2034">
        <f>IFERROR(VLOOKUP($B56,'[3]1003'!$B$6:$G$5921,4,FALSE),0)</f>
        <v>230</v>
      </c>
      <c r="P56" s="2033">
        <f t="shared" si="2"/>
        <v>56537.527391304349</v>
      </c>
      <c r="Q56" s="1763">
        <f>IFERROR(VLOOKUP($B56,'[3]1004'!$B$6:$G$5921,2,FALSE),0)</f>
        <v>1468470.5</v>
      </c>
      <c r="R56" s="2036">
        <f>IFERROR(VLOOKUP($B56,'[3]1004'!$B$6:$G$5921,4,FALSE),0)</f>
        <v>26</v>
      </c>
      <c r="S56" s="1763">
        <f t="shared" si="3"/>
        <v>56479.634615384617</v>
      </c>
      <c r="T56" s="2033">
        <f>IFERROR(VLOOKUP($B56,'[3]1006'!$B$6:$G$5921,2,FALSE),0)</f>
        <v>8718453.5500000007</v>
      </c>
      <c r="U56" s="2034">
        <f>IFERROR(VLOOKUP($B56,'[3]1006'!$B$6:$G$5921,4,FALSE),0)</f>
        <v>154</v>
      </c>
      <c r="V56" s="2033">
        <f t="shared" si="4"/>
        <v>56613.334740259743</v>
      </c>
      <c r="W56" s="2033">
        <f t="shared" si="5"/>
        <v>1317</v>
      </c>
    </row>
    <row r="57" spans="2:23" x14ac:dyDescent="0.15">
      <c r="B57" s="2032">
        <v>10150</v>
      </c>
      <c r="C57" s="2032" t="s">
        <v>1399</v>
      </c>
      <c r="D57" s="2037" t="s">
        <v>1400</v>
      </c>
      <c r="E57" s="2032" t="s">
        <v>94</v>
      </c>
      <c r="F57" s="1288" t="s">
        <v>1300</v>
      </c>
      <c r="G57" s="1288" t="s">
        <v>1303</v>
      </c>
      <c r="H57" s="2033">
        <f>IFERROR(VLOOKUP($B57,'[3]1001'!$B$6:$G$5927,2,FALSE),0)</f>
        <v>0</v>
      </c>
      <c r="I57" s="2034">
        <f>IFERROR(VLOOKUP($B57,'[3]1001'!$B$6:$G$5927,4,FALSE),0)</f>
        <v>0</v>
      </c>
      <c r="J57" s="2033">
        <f t="shared" si="0"/>
        <v>0</v>
      </c>
      <c r="K57" s="2035">
        <f>IFERROR(VLOOKUP($B57,'[3]1002'!$B$6:$G$5921,2,FALSE),0)</f>
        <v>8379359.1200000001</v>
      </c>
      <c r="L57" s="2036">
        <f>IFERROR(VLOOKUP($B57,'[3]1002'!$B$6:$G$5921,4,FALSE),0)</f>
        <v>44</v>
      </c>
      <c r="M57" s="1763">
        <f t="shared" si="1"/>
        <v>190439.98</v>
      </c>
      <c r="N57" s="2033">
        <f>IFERROR(VLOOKUP($B57,'[3]1003'!$B$6:$G$5921,2,FALSE),0)</f>
        <v>0</v>
      </c>
      <c r="O57" s="2034">
        <f>IFERROR(VLOOKUP($B57,'[3]1003'!$B$6:$G$5921,4,FALSE),0)</f>
        <v>0</v>
      </c>
      <c r="P57" s="2033">
        <f t="shared" si="2"/>
        <v>0</v>
      </c>
      <c r="Q57" s="1763">
        <f>IFERROR(VLOOKUP($B57,'[3]1004'!$B$6:$G$5921,2,FALSE),0)</f>
        <v>0</v>
      </c>
      <c r="R57" s="2036">
        <f>IFERROR(VLOOKUP($B57,'[3]1004'!$B$6:$G$5921,4,FALSE),0)</f>
        <v>0</v>
      </c>
      <c r="S57" s="1763">
        <f t="shared" si="3"/>
        <v>0</v>
      </c>
      <c r="T57" s="2033">
        <f>IFERROR(VLOOKUP($B57,'[3]1006'!$B$6:$G$5921,2,FALSE),0)</f>
        <v>0</v>
      </c>
      <c r="U57" s="2034">
        <f>IFERROR(VLOOKUP($B57,'[3]1006'!$B$6:$G$5921,4,FALSE),0)</f>
        <v>0</v>
      </c>
      <c r="V57" s="2033">
        <f t="shared" si="4"/>
        <v>0</v>
      </c>
      <c r="W57" s="2033">
        <f t="shared" si="5"/>
        <v>44</v>
      </c>
    </row>
    <row r="58" spans="2:23" x14ac:dyDescent="0.15">
      <c r="B58" s="2032">
        <v>10151</v>
      </c>
      <c r="C58" s="2032" t="s">
        <v>1401</v>
      </c>
      <c r="D58" s="2037" t="s">
        <v>1402</v>
      </c>
      <c r="E58" s="2032" t="s">
        <v>94</v>
      </c>
      <c r="F58" s="1288" t="s">
        <v>1305</v>
      </c>
      <c r="G58" s="1288" t="s">
        <v>1303</v>
      </c>
      <c r="H58" s="2033">
        <f>IFERROR(VLOOKUP($B58,'[3]1001'!$B$6:$G$5927,2,FALSE),0)</f>
        <v>0</v>
      </c>
      <c r="I58" s="2034">
        <f>IFERROR(VLOOKUP($B58,'[3]1001'!$B$6:$G$5927,4,FALSE),0)</f>
        <v>0</v>
      </c>
      <c r="J58" s="2033">
        <f t="shared" si="0"/>
        <v>0</v>
      </c>
      <c r="K58" s="2035">
        <f>IFERROR(VLOOKUP($B58,'[3]1002'!$B$6:$G$5921,2,FALSE),0)</f>
        <v>7266957.5499999998</v>
      </c>
      <c r="L58" s="2036">
        <f>IFERROR(VLOOKUP($B58,'[3]1002'!$B$6:$G$5921,4,FALSE),0)</f>
        <v>95</v>
      </c>
      <c r="M58" s="1763">
        <f t="shared" si="1"/>
        <v>76494.289999999994</v>
      </c>
      <c r="N58" s="2033">
        <f>IFERROR(VLOOKUP($B58,'[3]1003'!$B$6:$G$5921,2,FALSE),0)</f>
        <v>1508613.31</v>
      </c>
      <c r="O58" s="2034">
        <f>IFERROR(VLOOKUP($B58,'[3]1003'!$B$6:$G$5921,4,FALSE),0)</f>
        <v>19</v>
      </c>
      <c r="P58" s="2033">
        <f t="shared" si="2"/>
        <v>79400.700526315792</v>
      </c>
      <c r="Q58" s="1763">
        <f>IFERROR(VLOOKUP($B58,'[3]1004'!$B$6:$G$5921,2,FALSE),0)</f>
        <v>0</v>
      </c>
      <c r="R58" s="2036">
        <f>IFERROR(VLOOKUP($B58,'[3]1004'!$B$6:$G$5921,4,FALSE),0)</f>
        <v>0</v>
      </c>
      <c r="S58" s="1763">
        <f t="shared" si="3"/>
        <v>0</v>
      </c>
      <c r="T58" s="2033">
        <f>IFERROR(VLOOKUP($B58,'[3]1006'!$B$6:$G$5921,2,FALSE),0)</f>
        <v>6272655.3399999999</v>
      </c>
      <c r="U58" s="2034">
        <f>IFERROR(VLOOKUP($B58,'[3]1006'!$B$6:$G$5921,4,FALSE),0)</f>
        <v>79</v>
      </c>
      <c r="V58" s="2033">
        <f t="shared" si="4"/>
        <v>79400.700506329114</v>
      </c>
      <c r="W58" s="2033">
        <f t="shared" si="5"/>
        <v>193</v>
      </c>
    </row>
    <row r="59" spans="2:23" x14ac:dyDescent="0.15">
      <c r="B59" s="2032">
        <v>10154</v>
      </c>
      <c r="C59" s="2032" t="s">
        <v>1403</v>
      </c>
      <c r="D59" s="2037" t="s">
        <v>1404</v>
      </c>
      <c r="E59" s="2032" t="s">
        <v>94</v>
      </c>
      <c r="F59" s="1288" t="s">
        <v>1305</v>
      </c>
      <c r="G59" s="1288" t="s">
        <v>1303</v>
      </c>
      <c r="H59" s="2033">
        <f>IFERROR(VLOOKUP($B59,'[3]1001'!$B$6:$G$5927,2,FALSE),0)</f>
        <v>0</v>
      </c>
      <c r="I59" s="2034">
        <f>IFERROR(VLOOKUP($B59,'[3]1001'!$B$6:$G$5927,4,FALSE),0)</f>
        <v>0</v>
      </c>
      <c r="J59" s="2033">
        <f t="shared" si="0"/>
        <v>0</v>
      </c>
      <c r="K59" s="2035">
        <f>IFERROR(VLOOKUP($B59,'[3]1002'!$B$6:$G$5921,2,FALSE),0)</f>
        <v>2405580</v>
      </c>
      <c r="L59" s="2036">
        <f>IFERROR(VLOOKUP($B59,'[3]1002'!$B$6:$G$5921,4,FALSE),0)</f>
        <v>120</v>
      </c>
      <c r="M59" s="1763">
        <f t="shared" si="1"/>
        <v>20046.5</v>
      </c>
      <c r="N59" s="2033">
        <f>IFERROR(VLOOKUP($B59,'[3]1003'!$B$6:$G$5921,2,FALSE),0)</f>
        <v>8920692.5</v>
      </c>
      <c r="O59" s="2034">
        <f>IFERROR(VLOOKUP($B59,'[3]1003'!$B$6:$G$5921,4,FALSE),0)</f>
        <v>445</v>
      </c>
      <c r="P59" s="2033">
        <f t="shared" si="2"/>
        <v>20046.5</v>
      </c>
      <c r="Q59" s="1763">
        <f>IFERROR(VLOOKUP($B59,'[3]1004'!$B$6:$G$5921,2,FALSE),0)</f>
        <v>1478467.15</v>
      </c>
      <c r="R59" s="2036">
        <f>IFERROR(VLOOKUP($B59,'[3]1004'!$B$6:$G$5921,4,FALSE),0)</f>
        <v>47</v>
      </c>
      <c r="S59" s="1763">
        <f t="shared" si="3"/>
        <v>31456.747872340424</v>
      </c>
      <c r="T59" s="2033">
        <f>IFERROR(VLOOKUP($B59,'[3]1006'!$B$6:$G$5921,2,FALSE),0)</f>
        <v>0</v>
      </c>
      <c r="U59" s="2034">
        <f>IFERROR(VLOOKUP($B59,'[3]1006'!$B$6:$G$5921,4,FALSE),0)</f>
        <v>0</v>
      </c>
      <c r="V59" s="2033">
        <f t="shared" si="4"/>
        <v>0</v>
      </c>
      <c r="W59" s="2033">
        <f t="shared" si="5"/>
        <v>612</v>
      </c>
    </row>
    <row r="60" spans="2:23" x14ac:dyDescent="0.15">
      <c r="B60" s="2032">
        <v>10158</v>
      </c>
      <c r="C60" s="2032" t="s">
        <v>1405</v>
      </c>
      <c r="D60" s="2037" t="s">
        <v>1406</v>
      </c>
      <c r="E60" s="2032" t="s">
        <v>94</v>
      </c>
      <c r="F60" s="1288" t="s">
        <v>1305</v>
      </c>
      <c r="G60" s="1288" t="s">
        <v>1303</v>
      </c>
      <c r="H60" s="2033">
        <f>IFERROR(VLOOKUP($B60,'[3]1001'!$B$6:$G$5927,2,FALSE),0)</f>
        <v>0</v>
      </c>
      <c r="I60" s="2034">
        <f>IFERROR(VLOOKUP($B60,'[3]1001'!$B$6:$G$5927,4,FALSE),0)</f>
        <v>0</v>
      </c>
      <c r="J60" s="2033">
        <f t="shared" si="0"/>
        <v>0</v>
      </c>
      <c r="K60" s="2035">
        <f>IFERROR(VLOOKUP($B60,'[3]1002'!$B$6:$G$5921,2,FALSE),0)</f>
        <v>7156706.3300000001</v>
      </c>
      <c r="L60" s="2036">
        <f>IFERROR(VLOOKUP($B60,'[3]1002'!$B$6:$G$5921,4,FALSE),0)</f>
        <v>96</v>
      </c>
      <c r="M60" s="1763">
        <f t="shared" si="1"/>
        <v>74549.024270833339</v>
      </c>
      <c r="N60" s="2033">
        <f>IFERROR(VLOOKUP($B60,'[3]1003'!$B$6:$G$5921,2,FALSE),0)</f>
        <v>0</v>
      </c>
      <c r="O60" s="2034">
        <f>IFERROR(VLOOKUP($B60,'[3]1003'!$B$6:$G$5921,4,FALSE),0)</f>
        <v>0</v>
      </c>
      <c r="P60" s="2033">
        <f t="shared" si="2"/>
        <v>0</v>
      </c>
      <c r="Q60" s="1763">
        <f>IFERROR(VLOOKUP($B60,'[3]1004'!$B$6:$G$5921,2,FALSE),0)</f>
        <v>0</v>
      </c>
      <c r="R60" s="2036">
        <f>IFERROR(VLOOKUP($B60,'[3]1004'!$B$6:$G$5921,4,FALSE),0)</f>
        <v>0</v>
      </c>
      <c r="S60" s="1763">
        <f t="shared" si="3"/>
        <v>0</v>
      </c>
      <c r="T60" s="2033">
        <f>IFERROR(VLOOKUP($B60,'[3]1006'!$B$6:$G$5921,2,FALSE),0)</f>
        <v>0</v>
      </c>
      <c r="U60" s="2034">
        <f>IFERROR(VLOOKUP($B60,'[3]1006'!$B$6:$G$5921,4,FALSE),0)</f>
        <v>0</v>
      </c>
      <c r="V60" s="2033">
        <f t="shared" si="4"/>
        <v>0</v>
      </c>
      <c r="W60" s="2033">
        <f t="shared" si="5"/>
        <v>96</v>
      </c>
    </row>
    <row r="61" spans="2:23" x14ac:dyDescent="0.15">
      <c r="B61" s="2032">
        <v>65408</v>
      </c>
      <c r="C61" s="2032" t="s">
        <v>1407</v>
      </c>
      <c r="D61" s="2032" t="s">
        <v>1408</v>
      </c>
      <c r="E61" s="2032" t="s">
        <v>94</v>
      </c>
      <c r="F61" s="2039" t="s">
        <v>1337</v>
      </c>
      <c r="G61" s="2039" t="s">
        <v>1303</v>
      </c>
      <c r="H61" s="2033">
        <f>IFERROR(VLOOKUP($B61,'[3]1001'!$B$6:$G$5927,2,FALSE),0)</f>
        <v>0</v>
      </c>
      <c r="I61" s="2034">
        <f>IFERROR(VLOOKUP($B61,'[3]1001'!$B$6:$G$5927,4,FALSE),0)</f>
        <v>0</v>
      </c>
      <c r="J61" s="2033">
        <f t="shared" si="0"/>
        <v>0</v>
      </c>
      <c r="K61" s="2035">
        <f>IFERROR(VLOOKUP($B61,'[3]1002'!$B$6:$G$5921,2,FALSE),0)</f>
        <v>0</v>
      </c>
      <c r="L61" s="2036">
        <f>IFERROR(VLOOKUP($B61,'[3]1002'!$B$6:$G$5921,4,FALSE),0)</f>
        <v>0</v>
      </c>
      <c r="M61" s="1763">
        <f t="shared" si="1"/>
        <v>0</v>
      </c>
      <c r="N61" s="2033">
        <f>IFERROR(VLOOKUP($B61,'[3]1003'!$B$6:$G$5921,2,FALSE),0)</f>
        <v>0</v>
      </c>
      <c r="O61" s="2034">
        <f>IFERROR(VLOOKUP($B61,'[3]1003'!$B$6:$G$5921,4,FALSE),0)</f>
        <v>0</v>
      </c>
      <c r="P61" s="2033">
        <f t="shared" si="2"/>
        <v>0</v>
      </c>
      <c r="Q61" s="1763">
        <f>IFERROR(VLOOKUP($B61,'[3]1004'!$B$6:$G$5921,2,FALSE),0)</f>
        <v>0</v>
      </c>
      <c r="R61" s="2036">
        <f>IFERROR(VLOOKUP($B61,'[3]1004'!$B$6:$G$5921,4,FALSE),0)</f>
        <v>0</v>
      </c>
      <c r="S61" s="1763">
        <f t="shared" si="3"/>
        <v>0</v>
      </c>
      <c r="T61" s="2033">
        <f>IFERROR(VLOOKUP($B61,'[3]1006'!$B$6:$G$5921,2,FALSE),0)</f>
        <v>0</v>
      </c>
      <c r="U61" s="2034">
        <f>IFERROR(VLOOKUP($B61,'[3]1006'!$B$6:$G$5921,4,FALSE),0)</f>
        <v>0</v>
      </c>
      <c r="V61" s="2033">
        <f t="shared" si="4"/>
        <v>0</v>
      </c>
      <c r="W61" s="2033">
        <f t="shared" si="5"/>
        <v>0</v>
      </c>
    </row>
    <row r="62" spans="2:23" x14ac:dyDescent="0.15">
      <c r="B62" s="2032">
        <v>10172</v>
      </c>
      <c r="C62" s="2032" t="s">
        <v>1409</v>
      </c>
      <c r="D62" s="2032" t="s">
        <v>1410</v>
      </c>
      <c r="E62" s="2032" t="s">
        <v>94</v>
      </c>
      <c r="F62" s="2039" t="s">
        <v>1411</v>
      </c>
      <c r="G62" s="1288" t="s">
        <v>1303</v>
      </c>
      <c r="H62" s="2033">
        <f>IFERROR(VLOOKUP($B62,'[3]1001'!$B$6:$G$5927,2,FALSE),0)</f>
        <v>0</v>
      </c>
      <c r="I62" s="2034">
        <f>IFERROR(VLOOKUP($B62,'[3]1001'!$B$6:$G$5927,4,FALSE),0)</f>
        <v>0</v>
      </c>
      <c r="J62" s="2033">
        <f t="shared" si="0"/>
        <v>0</v>
      </c>
      <c r="K62" s="2035">
        <f>IFERROR(VLOOKUP($B62,'[3]1002'!$B$6:$G$5921,2,FALSE),0)</f>
        <v>186306.91</v>
      </c>
      <c r="L62" s="2036">
        <f>IFERROR(VLOOKUP($B62,'[3]1002'!$B$6:$G$5921,4,FALSE),0)</f>
        <v>60</v>
      </c>
      <c r="M62" s="1763">
        <f t="shared" si="1"/>
        <v>3105.1151666666669</v>
      </c>
      <c r="N62" s="2033">
        <f>IFERROR(VLOOKUP($B62,'[3]1003'!$B$6:$G$5921,2,FALSE),0)</f>
        <v>33585.24</v>
      </c>
      <c r="O62" s="2034">
        <f>IFERROR(VLOOKUP($B62,'[3]1003'!$B$6:$G$5921,4,FALSE),0)</f>
        <v>11</v>
      </c>
      <c r="P62" s="2033">
        <f t="shared" si="2"/>
        <v>3053.2036363636362</v>
      </c>
      <c r="Q62" s="1763">
        <f>IFERROR(VLOOKUP($B62,'[3]1004'!$B$6:$G$5921,2,FALSE),0)</f>
        <v>137394.1</v>
      </c>
      <c r="R62" s="2036">
        <f>IFERROR(VLOOKUP($B62,'[3]1004'!$B$6:$G$5921,4,FALSE),0)</f>
        <v>45</v>
      </c>
      <c r="S62" s="1763">
        <f t="shared" si="3"/>
        <v>3053.2022222222222</v>
      </c>
      <c r="T62" s="2033">
        <f>IFERROR(VLOOKUP($B62,'[3]1006'!$B$6:$G$5921,2,FALSE),0)</f>
        <v>57378.1</v>
      </c>
      <c r="U62" s="2034">
        <f>IFERROR(VLOOKUP($B62,'[3]1006'!$B$6:$G$5921,4,FALSE),0)</f>
        <v>19</v>
      </c>
      <c r="V62" s="2033">
        <f t="shared" si="4"/>
        <v>3019.9</v>
      </c>
      <c r="W62" s="2033">
        <f t="shared" si="5"/>
        <v>135</v>
      </c>
    </row>
    <row r="63" spans="2:23" x14ac:dyDescent="0.15">
      <c r="B63" s="2032">
        <v>10173</v>
      </c>
      <c r="C63" s="2032" t="s">
        <v>1412</v>
      </c>
      <c r="D63" s="2032" t="s">
        <v>1413</v>
      </c>
      <c r="E63" s="2032" t="s">
        <v>94</v>
      </c>
      <c r="F63" s="2039" t="s">
        <v>1300</v>
      </c>
      <c r="G63" s="1288" t="s">
        <v>1303</v>
      </c>
      <c r="H63" s="2033">
        <f>IFERROR(VLOOKUP($B63,'[3]1001'!$B$6:$G$5927,2,FALSE),0)</f>
        <v>0</v>
      </c>
      <c r="I63" s="2034">
        <f>IFERROR(VLOOKUP($B63,'[3]1001'!$B$6:$G$5927,4,FALSE),0)</f>
        <v>0</v>
      </c>
      <c r="J63" s="2033">
        <f t="shared" si="0"/>
        <v>0</v>
      </c>
      <c r="K63" s="2035">
        <f>IFERROR(VLOOKUP($B63,'[3]1002'!$B$6:$G$5921,2,FALSE),0)</f>
        <v>527669.24</v>
      </c>
      <c r="L63" s="2036">
        <f>IFERROR(VLOOKUP($B63,'[3]1002'!$B$6:$G$5921,4,FALSE),0)</f>
        <v>78</v>
      </c>
      <c r="M63" s="1763">
        <f t="shared" si="1"/>
        <v>6764.9902564102567</v>
      </c>
      <c r="N63" s="2033">
        <f>IFERROR(VLOOKUP($B63,'[3]1003'!$B$6:$G$5921,2,FALSE),0)</f>
        <v>128210.1</v>
      </c>
      <c r="O63" s="2034">
        <f>IFERROR(VLOOKUP($B63,'[3]1003'!$B$6:$G$5921,4,FALSE),0)</f>
        <v>30</v>
      </c>
      <c r="P63" s="2033">
        <f t="shared" si="2"/>
        <v>4273.67</v>
      </c>
      <c r="Q63" s="1763">
        <f>IFERROR(VLOOKUP($B63,'[3]1004'!$B$6:$G$5921,2,FALSE),0)</f>
        <v>85987.7</v>
      </c>
      <c r="R63" s="2036">
        <f>IFERROR(VLOOKUP($B63,'[3]1004'!$B$6:$G$5921,4,FALSE),0)</f>
        <v>20</v>
      </c>
      <c r="S63" s="1763">
        <f t="shared" si="3"/>
        <v>4299.3850000000002</v>
      </c>
      <c r="T63" s="2033">
        <f>IFERROR(VLOOKUP($B63,'[3]1006'!$B$6:$G$5921,2,FALSE),0)</f>
        <v>128765</v>
      </c>
      <c r="U63" s="2034">
        <f>IFERROR(VLOOKUP($B63,'[3]1006'!$B$6:$G$5921,4,FALSE),0)</f>
        <v>10</v>
      </c>
      <c r="V63" s="2033">
        <f t="shared" si="4"/>
        <v>12876.5</v>
      </c>
      <c r="W63" s="2033">
        <f t="shared" si="5"/>
        <v>138</v>
      </c>
    </row>
    <row r="64" spans="2:23" x14ac:dyDescent="0.15">
      <c r="B64" s="2032">
        <v>10174</v>
      </c>
      <c r="C64" s="2032" t="s">
        <v>1414</v>
      </c>
      <c r="D64" s="2032" t="s">
        <v>1307</v>
      </c>
      <c r="E64" s="2032" t="s">
        <v>94</v>
      </c>
      <c r="F64" s="2039" t="s">
        <v>1300</v>
      </c>
      <c r="G64" s="1288" t="s">
        <v>1303</v>
      </c>
      <c r="H64" s="2033">
        <f>IFERROR(VLOOKUP($B64,'[3]1001'!$B$6:$G$5927,2,FALSE),0)</f>
        <v>202578.5</v>
      </c>
      <c r="I64" s="2034">
        <f>IFERROR(VLOOKUP($B64,'[3]1001'!$B$6:$G$5927,4,FALSE),0)</f>
        <v>50</v>
      </c>
      <c r="J64" s="2033">
        <f t="shared" si="0"/>
        <v>4051.57</v>
      </c>
      <c r="K64" s="2035">
        <f>IFERROR(VLOOKUP($B64,'[3]1002'!$B$6:$G$5921,2,FALSE),0)</f>
        <v>0</v>
      </c>
      <c r="L64" s="2036">
        <f>IFERROR(VLOOKUP($B64,'[3]1002'!$B$6:$G$5921,4,FALSE),0)</f>
        <v>0</v>
      </c>
      <c r="M64" s="1763">
        <f t="shared" si="1"/>
        <v>0</v>
      </c>
      <c r="N64" s="2033">
        <f>IFERROR(VLOOKUP($B64,'[3]1003'!$B$6:$G$5921,2,FALSE),0)</f>
        <v>0</v>
      </c>
      <c r="O64" s="2034">
        <f>IFERROR(VLOOKUP($B64,'[3]1003'!$B$6:$G$5921,4,FALSE),0)</f>
        <v>0</v>
      </c>
      <c r="P64" s="2033">
        <f t="shared" si="2"/>
        <v>0</v>
      </c>
      <c r="Q64" s="1763">
        <f>IFERROR(VLOOKUP($B64,'[3]1004'!$B$6:$G$5921,2,FALSE),0)</f>
        <v>0</v>
      </c>
      <c r="R64" s="2036">
        <f>IFERROR(VLOOKUP($B64,'[3]1004'!$B$6:$G$5921,4,FALSE),0)</f>
        <v>0</v>
      </c>
      <c r="S64" s="1763">
        <f t="shared" si="3"/>
        <v>0</v>
      </c>
      <c r="T64" s="2033">
        <f>IFERROR(VLOOKUP($B64,'[3]1006'!$B$6:$G$5921,2,FALSE),0)</f>
        <v>0</v>
      </c>
      <c r="U64" s="2034">
        <f>IFERROR(VLOOKUP($B64,'[3]1006'!$B$6:$G$5921,4,FALSE),0)</f>
        <v>0</v>
      </c>
      <c r="V64" s="2033">
        <f t="shared" si="4"/>
        <v>0</v>
      </c>
      <c r="W64" s="2033">
        <f t="shared" si="5"/>
        <v>50</v>
      </c>
    </row>
    <row r="65" spans="2:23" x14ac:dyDescent="0.15">
      <c r="B65" s="2032">
        <v>10175</v>
      </c>
      <c r="C65" s="2032" t="s">
        <v>1415</v>
      </c>
      <c r="D65" s="2032" t="s">
        <v>1416</v>
      </c>
      <c r="E65" s="2032" t="s">
        <v>94</v>
      </c>
      <c r="F65" s="2039" t="s">
        <v>1300</v>
      </c>
      <c r="G65" s="1288" t="s">
        <v>1303</v>
      </c>
      <c r="H65" s="2033">
        <f>IFERROR(VLOOKUP($B65,'[3]1001'!$B$6:$G$5927,2,FALSE),0)</f>
        <v>0</v>
      </c>
      <c r="I65" s="2034">
        <f>IFERROR(VLOOKUP($B65,'[3]1001'!$B$6:$G$5927,4,FALSE),0)</f>
        <v>0</v>
      </c>
      <c r="J65" s="2033">
        <f t="shared" si="0"/>
        <v>0</v>
      </c>
      <c r="K65" s="2035">
        <f>IFERROR(VLOOKUP($B65,'[3]1002'!$B$6:$G$5921,2,FALSE),0)</f>
        <v>0</v>
      </c>
      <c r="L65" s="2036">
        <f>IFERROR(VLOOKUP($B65,'[3]1002'!$B$6:$G$5921,4,FALSE),0)</f>
        <v>0</v>
      </c>
      <c r="M65" s="1763">
        <f t="shared" si="1"/>
        <v>0</v>
      </c>
      <c r="N65" s="2033">
        <f>IFERROR(VLOOKUP($B65,'[3]1003'!$B$6:$G$5921,2,FALSE),0)</f>
        <v>865854.49</v>
      </c>
      <c r="O65" s="2034">
        <f>IFERROR(VLOOKUP($B65,'[3]1003'!$B$6:$G$5921,4,FALSE),0)</f>
        <v>77</v>
      </c>
      <c r="P65" s="2033">
        <f t="shared" si="2"/>
        <v>11244.863506493506</v>
      </c>
      <c r="Q65" s="1763">
        <f>IFERROR(VLOOKUP($B65,'[3]1004'!$B$6:$G$5921,2,FALSE),0)</f>
        <v>734860.47</v>
      </c>
      <c r="R65" s="2036">
        <f>IFERROR(VLOOKUP($B65,'[3]1004'!$B$6:$G$5921,4,FALSE),0)</f>
        <v>67</v>
      </c>
      <c r="S65" s="1763">
        <f t="shared" si="3"/>
        <v>10968.06671641791</v>
      </c>
      <c r="T65" s="2033">
        <f>IFERROR(VLOOKUP($B65,'[3]1006'!$B$6:$G$5921,2,FALSE),0)</f>
        <v>340010.07</v>
      </c>
      <c r="U65" s="2034">
        <f>IFERROR(VLOOKUP($B65,'[3]1006'!$B$6:$G$5921,4,FALSE),0)</f>
        <v>31</v>
      </c>
      <c r="V65" s="2033">
        <f t="shared" si="4"/>
        <v>10968.066774193549</v>
      </c>
      <c r="W65" s="2033">
        <f t="shared" si="5"/>
        <v>175</v>
      </c>
    </row>
    <row r="66" spans="2:23" x14ac:dyDescent="0.15">
      <c r="B66" s="2032">
        <v>10176</v>
      </c>
      <c r="C66" s="2032" t="s">
        <v>1417</v>
      </c>
      <c r="D66" s="2032" t="s">
        <v>1418</v>
      </c>
      <c r="E66" s="2032" t="s">
        <v>94</v>
      </c>
      <c r="F66" s="2039" t="s">
        <v>1300</v>
      </c>
      <c r="G66" s="1288" t="s">
        <v>1303</v>
      </c>
      <c r="H66" s="2033">
        <f>IFERROR(VLOOKUP($B66,'[3]1001'!$B$6:$G$5927,2,FALSE),0)</f>
        <v>0</v>
      </c>
      <c r="I66" s="2034">
        <f>IFERROR(VLOOKUP($B66,'[3]1001'!$B$6:$G$5927,4,FALSE),0)</f>
        <v>0</v>
      </c>
      <c r="J66" s="2033">
        <f t="shared" si="0"/>
        <v>0</v>
      </c>
      <c r="K66" s="2035">
        <f>IFERROR(VLOOKUP($B66,'[3]1002'!$B$6:$G$5921,2,FALSE),0)</f>
        <v>170916.79</v>
      </c>
      <c r="L66" s="2036">
        <f>IFERROR(VLOOKUP($B66,'[3]1002'!$B$6:$G$5921,4,FALSE),0)</f>
        <v>126</v>
      </c>
      <c r="M66" s="1763">
        <f t="shared" si="1"/>
        <v>1356.4824603174604</v>
      </c>
      <c r="N66" s="2033">
        <f>IFERROR(VLOOKUP($B66,'[3]1003'!$B$6:$G$5921,2,FALSE),0)</f>
        <v>1128632.77</v>
      </c>
      <c r="O66" s="2034">
        <f>IFERROR(VLOOKUP($B66,'[3]1003'!$B$6:$G$5921,4,FALSE),0)</f>
        <v>827</v>
      </c>
      <c r="P66" s="2033">
        <f t="shared" si="2"/>
        <v>1364.7312817412335</v>
      </c>
      <c r="Q66" s="1763">
        <f>IFERROR(VLOOKUP($B66,'[3]1004'!$B$6:$G$5921,2,FALSE),0)</f>
        <v>9385.81</v>
      </c>
      <c r="R66" s="2036">
        <f>IFERROR(VLOOKUP($B66,'[3]1004'!$B$6:$G$5921,4,FALSE),0)</f>
        <v>7</v>
      </c>
      <c r="S66" s="1763">
        <f t="shared" si="3"/>
        <v>1340.83</v>
      </c>
      <c r="T66" s="2033">
        <f>IFERROR(VLOOKUP($B66,'[3]1006'!$B$6:$G$5921,2,FALSE),0)</f>
        <v>0</v>
      </c>
      <c r="U66" s="2034">
        <f>IFERROR(VLOOKUP($B66,'[3]1006'!$B$6:$G$5921,4,FALSE),0)</f>
        <v>0</v>
      </c>
      <c r="V66" s="2033">
        <f t="shared" si="4"/>
        <v>0</v>
      </c>
      <c r="W66" s="2033">
        <f t="shared" si="5"/>
        <v>960</v>
      </c>
    </row>
    <row r="67" spans="2:23" x14ac:dyDescent="0.15">
      <c r="B67" s="2032">
        <v>10177</v>
      </c>
      <c r="C67" s="2032" t="s">
        <v>1419</v>
      </c>
      <c r="D67" s="2038" t="s">
        <v>1410</v>
      </c>
      <c r="E67" s="2032" t="s">
        <v>94</v>
      </c>
      <c r="F67" s="2039" t="s">
        <v>1325</v>
      </c>
      <c r="G67" s="1288" t="s">
        <v>1303</v>
      </c>
      <c r="H67" s="2033">
        <f>IFERROR(VLOOKUP($B67,'[3]1001'!$B$6:$G$5927,2,FALSE),0)</f>
        <v>0</v>
      </c>
      <c r="I67" s="2034">
        <f>IFERROR(VLOOKUP($B67,'[3]1001'!$B$6:$G$5927,4,FALSE),0)</f>
        <v>0</v>
      </c>
      <c r="J67" s="2033">
        <f t="shared" si="0"/>
        <v>0</v>
      </c>
      <c r="K67" s="2035">
        <f>IFERROR(VLOOKUP($B67,'[3]1002'!$B$6:$G$5921,2,FALSE),0)</f>
        <v>118688.29</v>
      </c>
      <c r="L67" s="2036">
        <f>IFERROR(VLOOKUP($B67,'[3]1002'!$B$6:$G$5921,4,FALSE),0)</f>
        <v>49</v>
      </c>
      <c r="M67" s="1763">
        <f t="shared" si="1"/>
        <v>2422.21</v>
      </c>
      <c r="N67" s="2033">
        <f>IFERROR(VLOOKUP($B67,'[3]1003'!$B$6:$G$5921,2,FALSE),0)</f>
        <v>503819.68</v>
      </c>
      <c r="O67" s="2034">
        <f>IFERROR(VLOOKUP($B67,'[3]1003'!$B$6:$G$5921,4,FALSE),0)</f>
        <v>208</v>
      </c>
      <c r="P67" s="2033">
        <f t="shared" si="2"/>
        <v>2422.21</v>
      </c>
      <c r="Q67" s="1763">
        <f>IFERROR(VLOOKUP($B67,'[3]1004'!$B$6:$G$5921,2,FALSE),0)</f>
        <v>0</v>
      </c>
      <c r="R67" s="2036">
        <f>IFERROR(VLOOKUP($B67,'[3]1004'!$B$6:$G$5921,4,FALSE),0)</f>
        <v>0</v>
      </c>
      <c r="S67" s="1763">
        <f t="shared" si="3"/>
        <v>0</v>
      </c>
      <c r="T67" s="2033">
        <f>IFERROR(VLOOKUP($B67,'[3]1006'!$B$6:$G$5921,2,FALSE),0)</f>
        <v>179243.54</v>
      </c>
      <c r="U67" s="2034">
        <f>IFERROR(VLOOKUP($B67,'[3]1006'!$B$6:$G$5921,4,FALSE),0)</f>
        <v>74</v>
      </c>
      <c r="V67" s="2033">
        <f t="shared" si="4"/>
        <v>2422.21</v>
      </c>
      <c r="W67" s="2033">
        <f t="shared" si="5"/>
        <v>331</v>
      </c>
    </row>
    <row r="68" spans="2:23" x14ac:dyDescent="0.15">
      <c r="B68" s="2032">
        <v>10178</v>
      </c>
      <c r="C68" s="2032" t="s">
        <v>1420</v>
      </c>
      <c r="D68" s="2038" t="s">
        <v>1421</v>
      </c>
      <c r="E68" s="2032" t="s">
        <v>94</v>
      </c>
      <c r="F68" s="2039" t="s">
        <v>1325</v>
      </c>
      <c r="G68" s="1288" t="s">
        <v>1303</v>
      </c>
      <c r="H68" s="2033">
        <f>IFERROR(VLOOKUP($B68,'[3]1001'!$B$6:$G$5927,2,FALSE),0)</f>
        <v>431259.78</v>
      </c>
      <c r="I68" s="2034">
        <f>IFERROR(VLOOKUP($B68,'[3]1001'!$B$6:$G$5927,4,FALSE),0)</f>
        <v>47</v>
      </c>
      <c r="J68" s="2033">
        <f t="shared" si="0"/>
        <v>9175.74</v>
      </c>
      <c r="K68" s="2035">
        <f>IFERROR(VLOOKUP($B68,'[3]1002'!$B$6:$G$5921,2,FALSE),0)</f>
        <v>0</v>
      </c>
      <c r="L68" s="2036">
        <f>IFERROR(VLOOKUP($B68,'[3]1002'!$B$6:$G$5921,4,FALSE),0)</f>
        <v>0</v>
      </c>
      <c r="M68" s="1763">
        <f t="shared" si="1"/>
        <v>0</v>
      </c>
      <c r="N68" s="2033">
        <f>IFERROR(VLOOKUP($B68,'[3]1003'!$B$6:$G$5921,2,FALSE),0)</f>
        <v>0</v>
      </c>
      <c r="O68" s="2034">
        <f>IFERROR(VLOOKUP($B68,'[3]1003'!$B$6:$G$5921,4,FALSE),0)</f>
        <v>0</v>
      </c>
      <c r="P68" s="2033">
        <f t="shared" si="2"/>
        <v>0</v>
      </c>
      <c r="Q68" s="1763">
        <f>IFERROR(VLOOKUP($B68,'[3]1004'!$B$6:$G$5921,2,FALSE),0)</f>
        <v>0</v>
      </c>
      <c r="R68" s="2036">
        <f>IFERROR(VLOOKUP($B68,'[3]1004'!$B$6:$G$5921,4,FALSE),0)</f>
        <v>0</v>
      </c>
      <c r="S68" s="1763">
        <f t="shared" si="3"/>
        <v>0</v>
      </c>
      <c r="T68" s="2033">
        <f>IFERROR(VLOOKUP($B68,'[3]1006'!$B$6:$G$5921,2,FALSE),0)</f>
        <v>0</v>
      </c>
      <c r="U68" s="2034">
        <f>IFERROR(VLOOKUP($B68,'[3]1006'!$B$6:$G$5921,4,FALSE),0)</f>
        <v>0</v>
      </c>
      <c r="V68" s="2033">
        <f t="shared" si="4"/>
        <v>0</v>
      </c>
      <c r="W68" s="2033">
        <f t="shared" si="5"/>
        <v>47</v>
      </c>
    </row>
    <row r="69" spans="2:23" x14ac:dyDescent="0.15">
      <c r="B69" s="2032">
        <v>10179</v>
      </c>
      <c r="C69" s="2032" t="s">
        <v>1422</v>
      </c>
      <c r="D69" s="2032" t="s">
        <v>1423</v>
      </c>
      <c r="E69" s="2032" t="s">
        <v>94</v>
      </c>
      <c r="F69" s="2039" t="s">
        <v>1300</v>
      </c>
      <c r="G69" s="1288" t="s">
        <v>1303</v>
      </c>
      <c r="H69" s="2033">
        <f>IFERROR(VLOOKUP($B69,'[3]1001'!$B$6:$G$5927,2,FALSE),0)</f>
        <v>0</v>
      </c>
      <c r="I69" s="2034">
        <f>IFERROR(VLOOKUP($B69,'[3]1001'!$B$6:$G$5927,4,FALSE),0)</f>
        <v>0</v>
      </c>
      <c r="J69" s="2033">
        <f t="shared" si="0"/>
        <v>0</v>
      </c>
      <c r="K69" s="2035">
        <f>IFERROR(VLOOKUP($B69,'[3]1002'!$B$6:$G$5921,2,FALSE),0)</f>
        <v>19394.599999999999</v>
      </c>
      <c r="L69" s="2036">
        <f>IFERROR(VLOOKUP($B69,'[3]1002'!$B$6:$G$5921,4,FALSE),0)</f>
        <v>5</v>
      </c>
      <c r="M69" s="1763">
        <f t="shared" si="1"/>
        <v>3878.9199999999996</v>
      </c>
      <c r="N69" s="2033">
        <f>IFERROR(VLOOKUP($B69,'[3]1003'!$B$6:$G$5921,2,FALSE),0)</f>
        <v>0</v>
      </c>
      <c r="O69" s="2034">
        <f>IFERROR(VLOOKUP($B69,'[3]1003'!$B$6:$G$5921,4,FALSE),0)</f>
        <v>0</v>
      </c>
      <c r="P69" s="2033">
        <f t="shared" si="2"/>
        <v>0</v>
      </c>
      <c r="Q69" s="1763">
        <f>IFERROR(VLOOKUP($B69,'[3]1004'!$B$6:$G$5921,2,FALSE),0)</f>
        <v>3559.95</v>
      </c>
      <c r="R69" s="2036">
        <f>IFERROR(VLOOKUP($B69,'[3]1004'!$B$6:$G$5921,4,FALSE),0)</f>
        <v>1</v>
      </c>
      <c r="S69" s="1763">
        <f t="shared" si="3"/>
        <v>3559.95</v>
      </c>
      <c r="T69" s="2033">
        <f>IFERROR(VLOOKUP($B69,'[3]1006'!$B$6:$G$5921,2,FALSE),0)</f>
        <v>35599.5</v>
      </c>
      <c r="U69" s="2034">
        <f>IFERROR(VLOOKUP($B69,'[3]1006'!$B$6:$G$5921,4,FALSE),0)</f>
        <v>10</v>
      </c>
      <c r="V69" s="2033">
        <f t="shared" si="4"/>
        <v>3559.95</v>
      </c>
      <c r="W69" s="2033">
        <f t="shared" si="5"/>
        <v>16</v>
      </c>
    </row>
    <row r="70" spans="2:23" x14ac:dyDescent="0.15">
      <c r="B70" s="2032">
        <v>10180</v>
      </c>
      <c r="C70" s="2032" t="s">
        <v>1424</v>
      </c>
      <c r="D70" s="2032" t="s">
        <v>1425</v>
      </c>
      <c r="E70" s="2032" t="s">
        <v>94</v>
      </c>
      <c r="F70" s="2039" t="s">
        <v>1300</v>
      </c>
      <c r="G70" s="1288" t="s">
        <v>1303</v>
      </c>
      <c r="H70" s="2033">
        <f>IFERROR(VLOOKUP($B70,'[3]1001'!$B$6:$G$5927,2,FALSE),0)</f>
        <v>0</v>
      </c>
      <c r="I70" s="2034">
        <f>IFERROR(VLOOKUP($B70,'[3]1001'!$B$6:$G$5927,4,FALSE),0)</f>
        <v>0</v>
      </c>
      <c r="J70" s="2033">
        <f t="shared" ref="J70:J133" si="6">IF(H70=0,0,H70/I70)</f>
        <v>0</v>
      </c>
      <c r="K70" s="2035">
        <f>IFERROR(VLOOKUP($B70,'[3]1002'!$B$6:$G$5921,2,FALSE),0)</f>
        <v>0</v>
      </c>
      <c r="L70" s="2036">
        <f>IFERROR(VLOOKUP($B70,'[3]1002'!$B$6:$G$5921,4,FALSE),0)</f>
        <v>0</v>
      </c>
      <c r="M70" s="1763">
        <f t="shared" ref="M70:M133" si="7">IF(K70=0,0,K70/L70)</f>
        <v>0</v>
      </c>
      <c r="N70" s="2033">
        <f>IFERROR(VLOOKUP($B70,'[3]1003'!$B$6:$G$5921,2,FALSE),0)</f>
        <v>205253.25</v>
      </c>
      <c r="O70" s="2034">
        <f>IFERROR(VLOOKUP($B70,'[3]1003'!$B$6:$G$5921,4,FALSE),0)</f>
        <v>34</v>
      </c>
      <c r="P70" s="2033">
        <f t="shared" ref="P70:P133" si="8">IF(N70=0,0,N70/O70)</f>
        <v>6036.8602941176468</v>
      </c>
      <c r="Q70" s="1763">
        <f>IFERROR(VLOOKUP($B70,'[3]1004'!$B$6:$G$5921,2,FALSE),0)</f>
        <v>51744.17</v>
      </c>
      <c r="R70" s="2036">
        <f>IFERROR(VLOOKUP($B70,'[3]1004'!$B$6:$G$5921,4,FALSE),0)</f>
        <v>7</v>
      </c>
      <c r="S70" s="1763">
        <f t="shared" ref="S70:S133" si="9">IF(Q70=0,0,Q70/R70)</f>
        <v>7392.0242857142857</v>
      </c>
      <c r="T70" s="2033">
        <f>IFERROR(VLOOKUP($B70,'[3]1006'!$B$6:$G$5921,2,FALSE),0)</f>
        <v>0</v>
      </c>
      <c r="U70" s="2034">
        <f>IFERROR(VLOOKUP($B70,'[3]1006'!$B$6:$G$5921,4,FALSE),0)</f>
        <v>0</v>
      </c>
      <c r="V70" s="2033">
        <f t="shared" ref="V70:V133" si="10">IF(T70=0,0,T70/U70)</f>
        <v>0</v>
      </c>
      <c r="W70" s="2033">
        <f t="shared" ref="W70:W133" si="11">U70+R70+O70+L70+I70</f>
        <v>41</v>
      </c>
    </row>
    <row r="71" spans="2:23" x14ac:dyDescent="0.15">
      <c r="B71" s="2032">
        <v>10181</v>
      </c>
      <c r="C71" s="2032" t="s">
        <v>1426</v>
      </c>
      <c r="D71" s="2032" t="s">
        <v>1427</v>
      </c>
      <c r="E71" s="2032" t="s">
        <v>94</v>
      </c>
      <c r="F71" s="2039" t="s">
        <v>1300</v>
      </c>
      <c r="G71" s="1288" t="s">
        <v>1303</v>
      </c>
      <c r="H71" s="2033">
        <f>IFERROR(VLOOKUP($B71,'[3]1001'!$B$6:$G$5927,2,FALSE),0)</f>
        <v>0</v>
      </c>
      <c r="I71" s="2034">
        <f>IFERROR(VLOOKUP($B71,'[3]1001'!$B$6:$G$5927,4,FALSE),0)</f>
        <v>0</v>
      </c>
      <c r="J71" s="2033">
        <f t="shared" si="6"/>
        <v>0</v>
      </c>
      <c r="K71" s="2035">
        <f>IFERROR(VLOOKUP($B71,'[3]1002'!$B$6:$G$5921,2,FALSE),0)</f>
        <v>190318.53</v>
      </c>
      <c r="L71" s="2036">
        <f>IFERROR(VLOOKUP($B71,'[3]1002'!$B$6:$G$5921,4,FALSE),0)</f>
        <v>20</v>
      </c>
      <c r="M71" s="1763">
        <f t="shared" si="7"/>
        <v>9515.9264999999996</v>
      </c>
      <c r="N71" s="2033">
        <f>IFERROR(VLOOKUP($B71,'[3]1003'!$B$6:$G$5921,2,FALSE),0)</f>
        <v>0</v>
      </c>
      <c r="O71" s="2034">
        <f>IFERROR(VLOOKUP($B71,'[3]1003'!$B$6:$G$5921,4,FALSE),0)</f>
        <v>0</v>
      </c>
      <c r="P71" s="2033">
        <f t="shared" si="8"/>
        <v>0</v>
      </c>
      <c r="Q71" s="1763">
        <f>IFERROR(VLOOKUP($B71,'[3]1004'!$B$6:$G$5921,2,FALSE),0)</f>
        <v>79096.960000000006</v>
      </c>
      <c r="R71" s="2036">
        <f>IFERROR(VLOOKUP($B71,'[3]1004'!$B$6:$G$5921,4,FALSE),0)</f>
        <v>9</v>
      </c>
      <c r="S71" s="1763">
        <f t="shared" si="9"/>
        <v>8788.5511111111118</v>
      </c>
      <c r="T71" s="2033">
        <f>IFERROR(VLOOKUP($B71,'[3]1006'!$B$6:$G$5921,2,FALSE),0)</f>
        <v>18509.080000000002</v>
      </c>
      <c r="U71" s="2034">
        <f>IFERROR(VLOOKUP($B71,'[3]1006'!$B$6:$G$5921,4,FALSE),0)</f>
        <v>2</v>
      </c>
      <c r="V71" s="2033">
        <f t="shared" si="10"/>
        <v>9254.5400000000009</v>
      </c>
      <c r="W71" s="2033">
        <f t="shared" si="11"/>
        <v>31</v>
      </c>
    </row>
    <row r="72" spans="2:23" x14ac:dyDescent="0.15">
      <c r="B72" s="2032">
        <v>10360</v>
      </c>
      <c r="C72" s="2032" t="s">
        <v>1428</v>
      </c>
      <c r="D72" s="2038" t="s">
        <v>1429</v>
      </c>
      <c r="E72" s="2032" t="s">
        <v>94</v>
      </c>
      <c r="F72" s="1288" t="s">
        <v>1300</v>
      </c>
      <c r="G72" s="1288" t="s">
        <v>1303</v>
      </c>
      <c r="H72" s="2033">
        <f>IFERROR(VLOOKUP($B72,'[3]1001'!$B$6:$G$5927,2,FALSE),0)</f>
        <v>0</v>
      </c>
      <c r="I72" s="2034">
        <f>IFERROR(VLOOKUP($B72,'[3]1001'!$B$6:$G$5927,4,FALSE),0)</f>
        <v>0</v>
      </c>
      <c r="J72" s="2033">
        <f t="shared" si="6"/>
        <v>0</v>
      </c>
      <c r="K72" s="2035">
        <f>IFERROR(VLOOKUP($B72,'[3]1002'!$B$6:$G$5921,2,FALSE),0)</f>
        <v>187253.17</v>
      </c>
      <c r="L72" s="2036">
        <f>IFERROR(VLOOKUP($B72,'[3]1002'!$B$6:$G$5921,4,FALSE),0)</f>
        <v>1</v>
      </c>
      <c r="M72" s="1763">
        <f t="shared" si="7"/>
        <v>187253.17</v>
      </c>
      <c r="N72" s="2033">
        <f>IFERROR(VLOOKUP($B72,'[3]1003'!$B$6:$G$5921,2,FALSE),0)</f>
        <v>0</v>
      </c>
      <c r="O72" s="2034">
        <f>IFERROR(VLOOKUP($B72,'[3]1003'!$B$6:$G$5921,4,FALSE),0)</f>
        <v>0</v>
      </c>
      <c r="P72" s="2033">
        <f t="shared" si="8"/>
        <v>0</v>
      </c>
      <c r="Q72" s="1763">
        <f>IFERROR(VLOOKUP($B72,'[3]1004'!$B$6:$G$5921,2,FALSE),0)</f>
        <v>0</v>
      </c>
      <c r="R72" s="2036">
        <f>IFERROR(VLOOKUP($B72,'[3]1004'!$B$6:$G$5921,4,FALSE),0)</f>
        <v>0</v>
      </c>
      <c r="S72" s="1763">
        <f t="shared" si="9"/>
        <v>0</v>
      </c>
      <c r="T72" s="2033">
        <f>IFERROR(VLOOKUP($B72,'[3]1006'!$B$6:$G$5921,2,FALSE),0)</f>
        <v>346550.24</v>
      </c>
      <c r="U72" s="2034">
        <f>IFERROR(VLOOKUP($B72,'[3]1006'!$B$6:$G$5921,4,FALSE),0)</f>
        <v>2</v>
      </c>
      <c r="V72" s="2033">
        <f t="shared" si="10"/>
        <v>173275.12</v>
      </c>
      <c r="W72" s="2033">
        <f t="shared" si="11"/>
        <v>3</v>
      </c>
    </row>
    <row r="73" spans="2:23" x14ac:dyDescent="0.15">
      <c r="B73" s="2032">
        <v>10361</v>
      </c>
      <c r="C73" s="2032" t="s">
        <v>1430</v>
      </c>
      <c r="D73" s="2032" t="s">
        <v>1431</v>
      </c>
      <c r="E73" s="2032" t="s">
        <v>94</v>
      </c>
      <c r="F73" s="1288" t="s">
        <v>1300</v>
      </c>
      <c r="G73" s="1288" t="s">
        <v>1303</v>
      </c>
      <c r="H73" s="2033">
        <f>IFERROR(VLOOKUP($B73,'[3]1001'!$B$6:$G$5927,2,FALSE),0)</f>
        <v>0</v>
      </c>
      <c r="I73" s="2034">
        <f>IFERROR(VLOOKUP($B73,'[3]1001'!$B$6:$G$5927,4,FALSE),0)</f>
        <v>0</v>
      </c>
      <c r="J73" s="2033">
        <f t="shared" si="6"/>
        <v>0</v>
      </c>
      <c r="K73" s="2035">
        <f>IFERROR(VLOOKUP($B73,'[3]1002'!$B$6:$G$5921,2,FALSE),0)</f>
        <v>0</v>
      </c>
      <c r="L73" s="2036">
        <f>IFERROR(VLOOKUP($B73,'[3]1002'!$B$6:$G$5921,4,FALSE),0)</f>
        <v>0</v>
      </c>
      <c r="M73" s="1763">
        <f t="shared" si="7"/>
        <v>0</v>
      </c>
      <c r="N73" s="2033">
        <f>IFERROR(VLOOKUP($B73,'[3]1003'!$B$6:$G$5921,2,FALSE),0)</f>
        <v>0</v>
      </c>
      <c r="O73" s="2034">
        <f>IFERROR(VLOOKUP($B73,'[3]1003'!$B$6:$G$5921,4,FALSE),0)</f>
        <v>0</v>
      </c>
      <c r="P73" s="2033">
        <f t="shared" si="8"/>
        <v>0</v>
      </c>
      <c r="Q73" s="1763">
        <f>IFERROR(VLOOKUP($B73,'[3]1004'!$B$6:$G$5921,2,FALSE),0)</f>
        <v>0</v>
      </c>
      <c r="R73" s="2036">
        <f>IFERROR(VLOOKUP($B73,'[3]1004'!$B$6:$G$5921,4,FALSE),0)</f>
        <v>0</v>
      </c>
      <c r="S73" s="1763">
        <f t="shared" si="9"/>
        <v>0</v>
      </c>
      <c r="T73" s="2033">
        <f>IFERROR(VLOOKUP($B73,'[3]1006'!$B$6:$G$5921,2,FALSE),0)</f>
        <v>0</v>
      </c>
      <c r="U73" s="2034">
        <f>IFERROR(VLOOKUP($B73,'[3]1006'!$B$6:$G$5921,4,FALSE),0)</f>
        <v>0</v>
      </c>
      <c r="V73" s="2033">
        <f t="shared" si="10"/>
        <v>0</v>
      </c>
      <c r="W73" s="2033">
        <f t="shared" si="11"/>
        <v>0</v>
      </c>
    </row>
    <row r="74" spans="2:23" x14ac:dyDescent="0.15">
      <c r="B74" s="2032">
        <v>10362</v>
      </c>
      <c r="C74" s="2032" t="s">
        <v>1432</v>
      </c>
      <c r="D74" s="2037" t="s">
        <v>1433</v>
      </c>
      <c r="E74" s="2032" t="s">
        <v>94</v>
      </c>
      <c r="F74" s="1288" t="s">
        <v>1300</v>
      </c>
      <c r="G74" s="1288" t="s">
        <v>1303</v>
      </c>
      <c r="H74" s="2033">
        <f>IFERROR(VLOOKUP($B74,'[3]1001'!$B$6:$G$5927,2,FALSE),0)</f>
        <v>8127396.3700000001</v>
      </c>
      <c r="I74" s="2034">
        <f>IFERROR(VLOOKUP($B74,'[3]1001'!$B$6:$G$5927,4,FALSE),0)</f>
        <v>7</v>
      </c>
      <c r="J74" s="2033">
        <f t="shared" si="6"/>
        <v>1161056.6242857142</v>
      </c>
      <c r="K74" s="2035">
        <f>IFERROR(VLOOKUP($B74,'[3]1002'!$B$6:$G$5921,2,FALSE),0)</f>
        <v>0</v>
      </c>
      <c r="L74" s="2036">
        <f>IFERROR(VLOOKUP($B74,'[3]1002'!$B$6:$G$5921,4,FALSE),0)</f>
        <v>0</v>
      </c>
      <c r="M74" s="1763">
        <f t="shared" si="7"/>
        <v>0</v>
      </c>
      <c r="N74" s="2033">
        <f>IFERROR(VLOOKUP($B74,'[3]1003'!$B$6:$G$5921,2,FALSE),0)</f>
        <v>0</v>
      </c>
      <c r="O74" s="2034">
        <f>IFERROR(VLOOKUP($B74,'[3]1003'!$B$6:$G$5921,4,FALSE),0)</f>
        <v>0</v>
      </c>
      <c r="P74" s="2033">
        <f t="shared" si="8"/>
        <v>0</v>
      </c>
      <c r="Q74" s="1763">
        <f>IFERROR(VLOOKUP($B74,'[3]1004'!$B$6:$G$5921,2,FALSE),0)</f>
        <v>0</v>
      </c>
      <c r="R74" s="2036">
        <f>IFERROR(VLOOKUP($B74,'[3]1004'!$B$6:$G$5921,4,FALSE),0)</f>
        <v>0</v>
      </c>
      <c r="S74" s="1763">
        <f t="shared" si="9"/>
        <v>0</v>
      </c>
      <c r="T74" s="2033">
        <f>IFERROR(VLOOKUP($B74,'[3]1006'!$B$6:$G$5921,2,FALSE),0)</f>
        <v>0</v>
      </c>
      <c r="U74" s="2034">
        <f>IFERROR(VLOOKUP($B74,'[3]1006'!$B$6:$G$5921,4,FALSE),0)</f>
        <v>0</v>
      </c>
      <c r="V74" s="2033">
        <f t="shared" si="10"/>
        <v>0</v>
      </c>
      <c r="W74" s="2033">
        <f t="shared" si="11"/>
        <v>7</v>
      </c>
    </row>
    <row r="75" spans="2:23" x14ac:dyDescent="0.15">
      <c r="B75" s="2032">
        <v>10363</v>
      </c>
      <c r="C75" s="2032" t="s">
        <v>1434</v>
      </c>
      <c r="D75" s="2032" t="s">
        <v>1435</v>
      </c>
      <c r="E75" s="2032" t="s">
        <v>94</v>
      </c>
      <c r="F75" s="1288" t="s">
        <v>1300</v>
      </c>
      <c r="G75" s="1288" t="s">
        <v>1303</v>
      </c>
      <c r="H75" s="2033">
        <f>IFERROR(VLOOKUP($B75,'[3]1001'!$B$6:$G$5927,2,FALSE),0)</f>
        <v>0</v>
      </c>
      <c r="I75" s="2034">
        <f>IFERROR(VLOOKUP($B75,'[3]1001'!$B$6:$G$5927,4,FALSE),0)</f>
        <v>0</v>
      </c>
      <c r="J75" s="2033">
        <f t="shared" si="6"/>
        <v>0</v>
      </c>
      <c r="K75" s="2035">
        <f>IFERROR(VLOOKUP($B75,'[3]1002'!$B$6:$G$5921,2,FALSE),0)</f>
        <v>0</v>
      </c>
      <c r="L75" s="2036">
        <f>IFERROR(VLOOKUP($B75,'[3]1002'!$B$6:$G$5921,4,FALSE),0)</f>
        <v>0</v>
      </c>
      <c r="M75" s="1763">
        <f t="shared" si="7"/>
        <v>0</v>
      </c>
      <c r="N75" s="2033">
        <f>IFERROR(VLOOKUP($B75,'[3]1003'!$B$6:$G$5921,2,FALSE),0)</f>
        <v>0</v>
      </c>
      <c r="O75" s="2034">
        <f>IFERROR(VLOOKUP($B75,'[3]1003'!$B$6:$G$5921,4,FALSE),0)</f>
        <v>0</v>
      </c>
      <c r="P75" s="2033">
        <f t="shared" si="8"/>
        <v>0</v>
      </c>
      <c r="Q75" s="1763">
        <f>IFERROR(VLOOKUP($B75,'[3]1004'!$B$6:$G$5921,2,FALSE),0)</f>
        <v>0</v>
      </c>
      <c r="R75" s="2036">
        <f>IFERROR(VLOOKUP($B75,'[3]1004'!$B$6:$G$5921,4,FALSE),0)</f>
        <v>0</v>
      </c>
      <c r="S75" s="1763">
        <f t="shared" si="9"/>
        <v>0</v>
      </c>
      <c r="T75" s="2033">
        <f>IFERROR(VLOOKUP($B75,'[3]1006'!$B$6:$G$5921,2,FALSE),0)</f>
        <v>0</v>
      </c>
      <c r="U75" s="2034">
        <f>IFERROR(VLOOKUP($B75,'[3]1006'!$B$6:$G$5921,4,FALSE),0)</f>
        <v>0</v>
      </c>
      <c r="V75" s="2033">
        <f t="shared" si="10"/>
        <v>0</v>
      </c>
      <c r="W75" s="2033">
        <f t="shared" si="11"/>
        <v>0</v>
      </c>
    </row>
    <row r="76" spans="2:23" x14ac:dyDescent="0.15">
      <c r="B76" s="2032">
        <v>10364</v>
      </c>
      <c r="C76" s="2032" t="s">
        <v>1436</v>
      </c>
      <c r="D76" s="2032" t="s">
        <v>1437</v>
      </c>
      <c r="E76" s="2032" t="s">
        <v>94</v>
      </c>
      <c r="F76" s="1288" t="s">
        <v>1300</v>
      </c>
      <c r="G76" s="1288" t="s">
        <v>1303</v>
      </c>
      <c r="H76" s="2033">
        <f>IFERROR(VLOOKUP($B76,'[3]1001'!$B$6:$G$5927,2,FALSE),0)</f>
        <v>0</v>
      </c>
      <c r="I76" s="2034">
        <f>IFERROR(VLOOKUP($B76,'[3]1001'!$B$6:$G$5927,4,FALSE),0)</f>
        <v>0</v>
      </c>
      <c r="J76" s="2033">
        <f t="shared" si="6"/>
        <v>0</v>
      </c>
      <c r="K76" s="2035">
        <f>IFERROR(VLOOKUP($B76,'[3]1002'!$B$6:$G$5921,2,FALSE),0)</f>
        <v>0</v>
      </c>
      <c r="L76" s="2036">
        <f>IFERROR(VLOOKUP($B76,'[3]1002'!$B$6:$G$5921,4,FALSE),0)</f>
        <v>0</v>
      </c>
      <c r="M76" s="1763">
        <f t="shared" si="7"/>
        <v>0</v>
      </c>
      <c r="N76" s="2033">
        <f>IFERROR(VLOOKUP($B76,'[3]1003'!$B$6:$G$5921,2,FALSE),0)</f>
        <v>0</v>
      </c>
      <c r="O76" s="2034">
        <f>IFERROR(VLOOKUP($B76,'[3]1003'!$B$6:$G$5921,4,FALSE),0)</f>
        <v>0</v>
      </c>
      <c r="P76" s="2033">
        <f t="shared" si="8"/>
        <v>0</v>
      </c>
      <c r="Q76" s="1763">
        <f>IFERROR(VLOOKUP($B76,'[3]1004'!$B$6:$G$5921,2,FALSE),0)</f>
        <v>0</v>
      </c>
      <c r="R76" s="2036">
        <f>IFERROR(VLOOKUP($B76,'[3]1004'!$B$6:$G$5921,4,FALSE),0)</f>
        <v>0</v>
      </c>
      <c r="S76" s="1763">
        <f t="shared" si="9"/>
        <v>0</v>
      </c>
      <c r="T76" s="2033">
        <f>IFERROR(VLOOKUP($B76,'[3]1006'!$B$6:$G$5921,2,FALSE),0)</f>
        <v>0</v>
      </c>
      <c r="U76" s="2034">
        <f>IFERROR(VLOOKUP($B76,'[3]1006'!$B$6:$G$5921,4,FALSE),0)</f>
        <v>0</v>
      </c>
      <c r="V76" s="2033">
        <f t="shared" si="10"/>
        <v>0</v>
      </c>
      <c r="W76" s="2033">
        <f t="shared" si="11"/>
        <v>0</v>
      </c>
    </row>
    <row r="77" spans="2:23" x14ac:dyDescent="0.15">
      <c r="B77" s="2032">
        <v>10365</v>
      </c>
      <c r="C77" s="2032" t="s">
        <v>1438</v>
      </c>
      <c r="D77" s="2032" t="s">
        <v>1439</v>
      </c>
      <c r="E77" s="2032" t="s">
        <v>94</v>
      </c>
      <c r="F77" s="1288" t="s">
        <v>1300</v>
      </c>
      <c r="G77" s="1288" t="s">
        <v>1303</v>
      </c>
      <c r="H77" s="2033">
        <f>IFERROR(VLOOKUP($B77,'[3]1001'!$B$6:$G$5927,2,FALSE),0)</f>
        <v>0</v>
      </c>
      <c r="I77" s="2034">
        <f>IFERROR(VLOOKUP($B77,'[3]1001'!$B$6:$G$5927,4,FALSE),0)</f>
        <v>0</v>
      </c>
      <c r="J77" s="2033">
        <f t="shared" si="6"/>
        <v>0</v>
      </c>
      <c r="K77" s="2035">
        <f>IFERROR(VLOOKUP($B77,'[3]1002'!$B$6:$G$5921,2,FALSE),0)</f>
        <v>0</v>
      </c>
      <c r="L77" s="2036">
        <f>IFERROR(VLOOKUP($B77,'[3]1002'!$B$6:$G$5921,4,FALSE),0)</f>
        <v>0</v>
      </c>
      <c r="M77" s="1763">
        <f t="shared" si="7"/>
        <v>0</v>
      </c>
      <c r="N77" s="2033">
        <f>IFERROR(VLOOKUP($B77,'[3]1003'!$B$6:$G$5921,2,FALSE),0)</f>
        <v>0</v>
      </c>
      <c r="O77" s="2034">
        <f>IFERROR(VLOOKUP($B77,'[3]1003'!$B$6:$G$5921,4,FALSE),0)</f>
        <v>0</v>
      </c>
      <c r="P77" s="2033">
        <f t="shared" si="8"/>
        <v>0</v>
      </c>
      <c r="Q77" s="1763">
        <f>IFERROR(VLOOKUP($B77,'[3]1004'!$B$6:$G$5921,2,FALSE),0)</f>
        <v>0</v>
      </c>
      <c r="R77" s="2036">
        <f>IFERROR(VLOOKUP($B77,'[3]1004'!$B$6:$G$5921,4,FALSE),0)</f>
        <v>0</v>
      </c>
      <c r="S77" s="1763">
        <f t="shared" si="9"/>
        <v>0</v>
      </c>
      <c r="T77" s="2033">
        <f>IFERROR(VLOOKUP($B77,'[3]1006'!$B$6:$G$5921,2,FALSE),0)</f>
        <v>0</v>
      </c>
      <c r="U77" s="2034">
        <f>IFERROR(VLOOKUP($B77,'[3]1006'!$B$6:$G$5921,4,FALSE),0)</f>
        <v>0</v>
      </c>
      <c r="V77" s="2033">
        <f t="shared" si="10"/>
        <v>0</v>
      </c>
      <c r="W77" s="2033">
        <f t="shared" si="11"/>
        <v>0</v>
      </c>
    </row>
    <row r="78" spans="2:23" x14ac:dyDescent="0.15">
      <c r="B78" s="2032">
        <v>10369</v>
      </c>
      <c r="C78" s="2032" t="s">
        <v>1440</v>
      </c>
      <c r="D78" s="2032" t="s">
        <v>1441</v>
      </c>
      <c r="E78" s="2032" t="s">
        <v>94</v>
      </c>
      <c r="F78" s="1288" t="s">
        <v>1325</v>
      </c>
      <c r="G78" s="1288" t="s">
        <v>1303</v>
      </c>
      <c r="H78" s="2033">
        <f>IFERROR(VLOOKUP($B78,'[3]1001'!$B$6:$G$5927,2,FALSE),0)</f>
        <v>0</v>
      </c>
      <c r="I78" s="2034">
        <f>IFERROR(VLOOKUP($B78,'[3]1001'!$B$6:$G$5927,4,FALSE),0)</f>
        <v>0</v>
      </c>
      <c r="J78" s="2033">
        <f t="shared" si="6"/>
        <v>0</v>
      </c>
      <c r="K78" s="2035">
        <f>IFERROR(VLOOKUP($B78,'[3]1002'!$B$6:$G$5921,2,FALSE),0)</f>
        <v>0</v>
      </c>
      <c r="L78" s="2036">
        <f>IFERROR(VLOOKUP($B78,'[3]1002'!$B$6:$G$5921,4,FALSE),0)</f>
        <v>0</v>
      </c>
      <c r="M78" s="1763">
        <f t="shared" si="7"/>
        <v>0</v>
      </c>
      <c r="N78" s="2033">
        <f>IFERROR(VLOOKUP($B78,'[3]1003'!$B$6:$G$5921,2,FALSE),0)</f>
        <v>0</v>
      </c>
      <c r="O78" s="2034">
        <f>IFERROR(VLOOKUP($B78,'[3]1003'!$B$6:$G$5921,4,FALSE),0)</f>
        <v>0</v>
      </c>
      <c r="P78" s="2033">
        <f t="shared" si="8"/>
        <v>0</v>
      </c>
      <c r="Q78" s="1763">
        <f>IFERROR(VLOOKUP($B78,'[3]1004'!$B$6:$G$5921,2,FALSE),0)</f>
        <v>0</v>
      </c>
      <c r="R78" s="2036">
        <f>IFERROR(VLOOKUP($B78,'[3]1004'!$B$6:$G$5921,4,FALSE),0)</f>
        <v>0</v>
      </c>
      <c r="S78" s="1763">
        <f t="shared" si="9"/>
        <v>0</v>
      </c>
      <c r="T78" s="2033">
        <f>IFERROR(VLOOKUP($B78,'[3]1006'!$B$6:$G$5921,2,FALSE),0)</f>
        <v>0</v>
      </c>
      <c r="U78" s="2034">
        <f>IFERROR(VLOOKUP($B78,'[3]1006'!$B$6:$G$5921,4,FALSE),0)</f>
        <v>0</v>
      </c>
      <c r="V78" s="2033">
        <f t="shared" si="10"/>
        <v>0</v>
      </c>
      <c r="W78" s="2033">
        <f t="shared" si="11"/>
        <v>0</v>
      </c>
    </row>
    <row r="79" spans="2:23" x14ac:dyDescent="0.15">
      <c r="B79" s="2032">
        <v>10370</v>
      </c>
      <c r="C79" s="2032" t="s">
        <v>1442</v>
      </c>
      <c r="D79" s="2037" t="s">
        <v>1443</v>
      </c>
      <c r="E79" s="2032" t="s">
        <v>94</v>
      </c>
      <c r="F79" s="1288" t="s">
        <v>1305</v>
      </c>
      <c r="G79" s="1288" t="s">
        <v>1303</v>
      </c>
      <c r="H79" s="2033">
        <f>IFERROR(VLOOKUP($B79,'[3]1001'!$B$6:$G$5927,2,FALSE),0)</f>
        <v>0</v>
      </c>
      <c r="I79" s="2034">
        <f>IFERROR(VLOOKUP($B79,'[3]1001'!$B$6:$G$5927,4,FALSE),0)</f>
        <v>0</v>
      </c>
      <c r="J79" s="2033">
        <f t="shared" si="6"/>
        <v>0</v>
      </c>
      <c r="K79" s="2035">
        <f>IFERROR(VLOOKUP($B79,'[3]1002'!$B$6:$G$5921,2,FALSE),0)</f>
        <v>0</v>
      </c>
      <c r="L79" s="2036">
        <f>IFERROR(VLOOKUP($B79,'[3]1002'!$B$6:$G$5921,4,FALSE),0)</f>
        <v>0</v>
      </c>
      <c r="M79" s="1763">
        <f t="shared" si="7"/>
        <v>0</v>
      </c>
      <c r="N79" s="2033">
        <f>IFERROR(VLOOKUP($B79,'[3]1003'!$B$6:$G$5921,2,FALSE),0)</f>
        <v>443477.64</v>
      </c>
      <c r="O79" s="2034">
        <f>IFERROR(VLOOKUP($B79,'[3]1003'!$B$6:$G$5921,4,FALSE),0)</f>
        <v>2</v>
      </c>
      <c r="P79" s="2033">
        <f t="shared" si="8"/>
        <v>221738.82</v>
      </c>
      <c r="Q79" s="1763">
        <f>IFERROR(VLOOKUP($B79,'[3]1004'!$B$6:$G$5921,2,FALSE),0)</f>
        <v>0</v>
      </c>
      <c r="R79" s="2036">
        <f>IFERROR(VLOOKUP($B79,'[3]1004'!$B$6:$G$5921,4,FALSE),0)</f>
        <v>0</v>
      </c>
      <c r="S79" s="1763">
        <f t="shared" si="9"/>
        <v>0</v>
      </c>
      <c r="T79" s="2033">
        <f>IFERROR(VLOOKUP($B79,'[3]1006'!$B$6:$G$5921,2,FALSE),0)</f>
        <v>0</v>
      </c>
      <c r="U79" s="2034">
        <f>IFERROR(VLOOKUP($B79,'[3]1006'!$B$6:$G$5921,4,FALSE),0)</f>
        <v>0</v>
      </c>
      <c r="V79" s="2033">
        <f t="shared" si="10"/>
        <v>0</v>
      </c>
      <c r="W79" s="2033">
        <f t="shared" si="11"/>
        <v>2</v>
      </c>
    </row>
    <row r="80" spans="2:23" x14ac:dyDescent="0.15">
      <c r="B80" s="2032">
        <v>10371</v>
      </c>
      <c r="C80" s="2032" t="s">
        <v>1444</v>
      </c>
      <c r="D80" s="2032" t="s">
        <v>2463</v>
      </c>
      <c r="E80" s="2032" t="s">
        <v>94</v>
      </c>
      <c r="F80" s="1288" t="s">
        <v>1300</v>
      </c>
      <c r="G80" s="1288" t="s">
        <v>1303</v>
      </c>
      <c r="H80" s="2033">
        <f>IFERROR(VLOOKUP($B80,'[3]1001'!$B$6:$G$5927,2,FALSE),0)</f>
        <v>0</v>
      </c>
      <c r="I80" s="2034">
        <f>IFERROR(VLOOKUP($B80,'[3]1001'!$B$6:$G$5927,4,FALSE),0)</f>
        <v>0</v>
      </c>
      <c r="J80" s="2033">
        <f t="shared" si="6"/>
        <v>0</v>
      </c>
      <c r="K80" s="2035">
        <f>IFERROR(VLOOKUP($B80,'[3]1002'!$B$6:$G$5921,2,FALSE),0)</f>
        <v>101881.05</v>
      </c>
      <c r="L80" s="2036">
        <f>IFERROR(VLOOKUP($B80,'[3]1002'!$B$6:$G$5921,4,FALSE),0)</f>
        <v>1</v>
      </c>
      <c r="M80" s="1763">
        <f t="shared" si="7"/>
        <v>101881.05</v>
      </c>
      <c r="N80" s="2033">
        <f>IFERROR(VLOOKUP($B80,'[3]1003'!$B$6:$G$5921,2,FALSE),0)</f>
        <v>0</v>
      </c>
      <c r="O80" s="2034">
        <f>IFERROR(VLOOKUP($B80,'[3]1003'!$B$6:$G$5921,4,FALSE),0)</f>
        <v>0</v>
      </c>
      <c r="P80" s="2033">
        <f t="shared" si="8"/>
        <v>0</v>
      </c>
      <c r="Q80" s="1763">
        <f>IFERROR(VLOOKUP($B80,'[3]1004'!$B$6:$G$5921,2,FALSE),0)</f>
        <v>0</v>
      </c>
      <c r="R80" s="2036">
        <f>IFERROR(VLOOKUP($B80,'[3]1004'!$B$6:$G$5921,4,FALSE),0)</f>
        <v>0</v>
      </c>
      <c r="S80" s="1763">
        <f t="shared" si="9"/>
        <v>0</v>
      </c>
      <c r="T80" s="2033">
        <f>IFERROR(VLOOKUP($B80,'[3]1006'!$B$6:$G$5921,2,FALSE),0)</f>
        <v>0</v>
      </c>
      <c r="U80" s="2034">
        <f>IFERROR(VLOOKUP($B80,'[3]1006'!$B$6:$G$5921,4,FALSE),0)</f>
        <v>0</v>
      </c>
      <c r="V80" s="2033">
        <f t="shared" si="10"/>
        <v>0</v>
      </c>
      <c r="W80" s="2033">
        <f t="shared" si="11"/>
        <v>1</v>
      </c>
    </row>
    <row r="81" spans="2:23" x14ac:dyDescent="0.15">
      <c r="B81" s="2032">
        <v>10374</v>
      </c>
      <c r="C81" s="2032" t="s">
        <v>1445</v>
      </c>
      <c r="D81" s="2032" t="s">
        <v>1446</v>
      </c>
      <c r="E81" s="2032" t="s">
        <v>94</v>
      </c>
      <c r="F81" s="1288" t="s">
        <v>1300</v>
      </c>
      <c r="G81" s="1288" t="s">
        <v>1303</v>
      </c>
      <c r="H81" s="2033">
        <f>IFERROR(VLOOKUP($B81,'[3]1001'!$B$6:$G$5927,2,FALSE),0)</f>
        <v>0</v>
      </c>
      <c r="I81" s="2034">
        <f>IFERROR(VLOOKUP($B81,'[3]1001'!$B$6:$G$5927,4,FALSE),0)</f>
        <v>0</v>
      </c>
      <c r="J81" s="2033">
        <f t="shared" si="6"/>
        <v>0</v>
      </c>
      <c r="K81" s="2035">
        <f>IFERROR(VLOOKUP($B81,'[3]1002'!$B$6:$G$5921,2,FALSE),0)</f>
        <v>0</v>
      </c>
      <c r="L81" s="2036">
        <f>IFERROR(VLOOKUP($B81,'[3]1002'!$B$6:$G$5921,4,FALSE),0)</f>
        <v>0</v>
      </c>
      <c r="M81" s="1763">
        <f t="shared" si="7"/>
        <v>0</v>
      </c>
      <c r="N81" s="2033">
        <f>IFERROR(VLOOKUP($B81,'[3]1003'!$B$6:$G$5921,2,FALSE),0)</f>
        <v>0</v>
      </c>
      <c r="O81" s="2034">
        <f>IFERROR(VLOOKUP($B81,'[3]1003'!$B$6:$G$5921,4,FALSE),0)</f>
        <v>0</v>
      </c>
      <c r="P81" s="2033">
        <f t="shared" si="8"/>
        <v>0</v>
      </c>
      <c r="Q81" s="1763">
        <f>IFERROR(VLOOKUP($B81,'[3]1004'!$B$6:$G$5921,2,FALSE),0)</f>
        <v>0</v>
      </c>
      <c r="R81" s="2036">
        <f>IFERROR(VLOOKUP($B81,'[3]1004'!$B$6:$G$5921,4,FALSE),0)</f>
        <v>0</v>
      </c>
      <c r="S81" s="1763">
        <f t="shared" si="9"/>
        <v>0</v>
      </c>
      <c r="T81" s="2033">
        <f>IFERROR(VLOOKUP($B81,'[3]1006'!$B$6:$G$5921,2,FALSE),0)</f>
        <v>0</v>
      </c>
      <c r="U81" s="2034">
        <f>IFERROR(VLOOKUP($B81,'[3]1006'!$B$6:$G$5921,4,FALSE),0)</f>
        <v>0</v>
      </c>
      <c r="V81" s="2033">
        <f t="shared" si="10"/>
        <v>0</v>
      </c>
      <c r="W81" s="2033">
        <f t="shared" si="11"/>
        <v>0</v>
      </c>
    </row>
    <row r="82" spans="2:23" x14ac:dyDescent="0.15">
      <c r="B82" s="2032">
        <v>10376</v>
      </c>
      <c r="C82" s="2032" t="s">
        <v>1447</v>
      </c>
      <c r="D82" s="2032" t="s">
        <v>1448</v>
      </c>
      <c r="E82" s="2032" t="s">
        <v>94</v>
      </c>
      <c r="F82" s="1288" t="s">
        <v>1300</v>
      </c>
      <c r="G82" s="1288" t="s">
        <v>1303</v>
      </c>
      <c r="H82" s="2033">
        <f>IFERROR(VLOOKUP($B82,'[3]1001'!$B$6:$G$5927,2,FALSE),0)</f>
        <v>0</v>
      </c>
      <c r="I82" s="2034">
        <f>IFERROR(VLOOKUP($B82,'[3]1001'!$B$6:$G$5927,4,FALSE),0)</f>
        <v>0</v>
      </c>
      <c r="J82" s="2033">
        <f t="shared" si="6"/>
        <v>0</v>
      </c>
      <c r="K82" s="2035">
        <f>IFERROR(VLOOKUP($B82,'[3]1002'!$B$6:$G$5921,2,FALSE),0)</f>
        <v>0</v>
      </c>
      <c r="L82" s="2036">
        <f>IFERROR(VLOOKUP($B82,'[3]1002'!$B$6:$G$5921,4,FALSE),0)</f>
        <v>0</v>
      </c>
      <c r="M82" s="1763">
        <f t="shared" si="7"/>
        <v>0</v>
      </c>
      <c r="N82" s="2033">
        <f>IFERROR(VLOOKUP($B82,'[3]1003'!$B$6:$G$5921,2,FALSE),0)</f>
        <v>0</v>
      </c>
      <c r="O82" s="2034">
        <f>IFERROR(VLOOKUP($B82,'[3]1003'!$B$6:$G$5921,4,FALSE),0)</f>
        <v>0</v>
      </c>
      <c r="P82" s="2033">
        <f t="shared" si="8"/>
        <v>0</v>
      </c>
      <c r="Q82" s="1763">
        <f>IFERROR(VLOOKUP($B82,'[3]1004'!$B$6:$G$5921,2,FALSE),0)</f>
        <v>0</v>
      </c>
      <c r="R82" s="2036">
        <f>IFERROR(VLOOKUP($B82,'[3]1004'!$B$6:$G$5921,4,FALSE),0)</f>
        <v>0</v>
      </c>
      <c r="S82" s="1763">
        <f t="shared" si="9"/>
        <v>0</v>
      </c>
      <c r="T82" s="2033">
        <f>IFERROR(VLOOKUP($B82,'[3]1006'!$B$6:$G$5921,2,FALSE),0)</f>
        <v>0</v>
      </c>
      <c r="U82" s="2034">
        <f>IFERROR(VLOOKUP($B82,'[3]1006'!$B$6:$G$5921,4,FALSE),0)</f>
        <v>0</v>
      </c>
      <c r="V82" s="2033">
        <f t="shared" si="10"/>
        <v>0</v>
      </c>
      <c r="W82" s="2033">
        <f t="shared" si="11"/>
        <v>0</v>
      </c>
    </row>
    <row r="83" spans="2:23" x14ac:dyDescent="0.15">
      <c r="B83" s="2032">
        <v>10378</v>
      </c>
      <c r="C83" s="2032" t="s">
        <v>1449</v>
      </c>
      <c r="D83" s="2037" t="s">
        <v>1450</v>
      </c>
      <c r="E83" s="2032" t="s">
        <v>94</v>
      </c>
      <c r="F83" s="1288" t="s">
        <v>1300</v>
      </c>
      <c r="G83" s="1288" t="s">
        <v>1303</v>
      </c>
      <c r="H83" s="2033">
        <f>IFERROR(VLOOKUP($B83,'[3]1001'!$B$6:$G$5927,2,FALSE),0)</f>
        <v>0</v>
      </c>
      <c r="I83" s="2034">
        <f>IFERROR(VLOOKUP($B83,'[3]1001'!$B$6:$G$5927,4,FALSE),0)</f>
        <v>0</v>
      </c>
      <c r="J83" s="2033">
        <f t="shared" si="6"/>
        <v>0</v>
      </c>
      <c r="K83" s="2035">
        <f>IFERROR(VLOOKUP($B83,'[3]1002'!$B$6:$G$5921,2,FALSE),0)</f>
        <v>198482.01</v>
      </c>
      <c r="L83" s="2036">
        <f>IFERROR(VLOOKUP($B83,'[3]1002'!$B$6:$G$5921,4,FALSE),0)</f>
        <v>4</v>
      </c>
      <c r="M83" s="1763">
        <f t="shared" si="7"/>
        <v>49620.502500000002</v>
      </c>
      <c r="N83" s="2033">
        <f>IFERROR(VLOOKUP($B83,'[3]1003'!$B$6:$G$5921,2,FALSE),0)</f>
        <v>268479.74</v>
      </c>
      <c r="O83" s="2034">
        <f>IFERROR(VLOOKUP($B83,'[3]1003'!$B$6:$G$5921,4,FALSE),0)</f>
        <v>4</v>
      </c>
      <c r="P83" s="2033">
        <f t="shared" si="8"/>
        <v>67119.934999999998</v>
      </c>
      <c r="Q83" s="1763">
        <f>IFERROR(VLOOKUP($B83,'[3]1004'!$B$6:$G$5921,2,FALSE),0)</f>
        <v>0</v>
      </c>
      <c r="R83" s="2036">
        <f>IFERROR(VLOOKUP($B83,'[3]1004'!$B$6:$G$5921,4,FALSE),0)</f>
        <v>0</v>
      </c>
      <c r="S83" s="1763">
        <f t="shared" si="9"/>
        <v>0</v>
      </c>
      <c r="T83" s="2033">
        <f>IFERROR(VLOOKUP($B83,'[3]1006'!$B$6:$G$5921,2,FALSE),0)</f>
        <v>0</v>
      </c>
      <c r="U83" s="2034">
        <f>IFERROR(VLOOKUP($B83,'[3]1006'!$B$6:$G$5921,4,FALSE),0)</f>
        <v>0</v>
      </c>
      <c r="V83" s="2033">
        <f t="shared" si="10"/>
        <v>0</v>
      </c>
      <c r="W83" s="2033">
        <f t="shared" si="11"/>
        <v>8</v>
      </c>
    </row>
    <row r="84" spans="2:23" x14ac:dyDescent="0.15">
      <c r="B84" s="2032">
        <v>10379</v>
      </c>
      <c r="C84" s="2032" t="s">
        <v>1451</v>
      </c>
      <c r="D84" s="2037" t="s">
        <v>1452</v>
      </c>
      <c r="E84" s="2032" t="s">
        <v>94</v>
      </c>
      <c r="F84" s="1288" t="s">
        <v>1300</v>
      </c>
      <c r="G84" s="1288" t="s">
        <v>1303</v>
      </c>
      <c r="H84" s="2033">
        <f>IFERROR(VLOOKUP($B84,'[3]1001'!$B$6:$G$5927,2,FALSE),0)</f>
        <v>0</v>
      </c>
      <c r="I84" s="2034">
        <f>IFERROR(VLOOKUP($B84,'[3]1001'!$B$6:$G$5927,4,FALSE),0)</f>
        <v>0</v>
      </c>
      <c r="J84" s="2033">
        <f t="shared" si="6"/>
        <v>0</v>
      </c>
      <c r="K84" s="2035">
        <f>IFERROR(VLOOKUP($B84,'[3]1002'!$B$6:$G$5921,2,FALSE),0)</f>
        <v>199080.63</v>
      </c>
      <c r="L84" s="2036">
        <f>IFERROR(VLOOKUP($B84,'[3]1002'!$B$6:$G$5921,4,FALSE),0)</f>
        <v>1</v>
      </c>
      <c r="M84" s="1763">
        <f t="shared" si="7"/>
        <v>199080.63</v>
      </c>
      <c r="N84" s="2033">
        <f>IFERROR(VLOOKUP($B84,'[3]1003'!$B$6:$G$5921,2,FALSE),0)</f>
        <v>0</v>
      </c>
      <c r="O84" s="2034">
        <f>IFERROR(VLOOKUP($B84,'[3]1003'!$B$6:$G$5921,4,FALSE),0)</f>
        <v>0</v>
      </c>
      <c r="P84" s="2033">
        <f t="shared" si="8"/>
        <v>0</v>
      </c>
      <c r="Q84" s="1763">
        <f>IFERROR(VLOOKUP($B84,'[3]1004'!$B$6:$G$5921,2,FALSE),0)</f>
        <v>0</v>
      </c>
      <c r="R84" s="2036">
        <f>IFERROR(VLOOKUP($B84,'[3]1004'!$B$6:$G$5921,4,FALSE),0)</f>
        <v>0</v>
      </c>
      <c r="S84" s="1763">
        <f t="shared" si="9"/>
        <v>0</v>
      </c>
      <c r="T84" s="2033">
        <f>IFERROR(VLOOKUP($B84,'[3]1006'!$B$6:$G$5921,2,FALSE),0)</f>
        <v>0</v>
      </c>
      <c r="U84" s="2034">
        <f>IFERROR(VLOOKUP($B84,'[3]1006'!$B$6:$G$5921,4,FALSE),0)</f>
        <v>0</v>
      </c>
      <c r="V84" s="2033">
        <f t="shared" si="10"/>
        <v>0</v>
      </c>
      <c r="W84" s="2033">
        <f t="shared" si="11"/>
        <v>1</v>
      </c>
    </row>
    <row r="85" spans="2:23" x14ac:dyDescent="0.15">
      <c r="B85" s="2032">
        <v>65409</v>
      </c>
      <c r="C85" s="2032" t="s">
        <v>1453</v>
      </c>
      <c r="D85" s="2032" t="s">
        <v>1454</v>
      </c>
      <c r="E85" s="2032" t="s">
        <v>94</v>
      </c>
      <c r="F85" s="870" t="s">
        <v>1346</v>
      </c>
      <c r="G85" s="1288" t="s">
        <v>1303</v>
      </c>
      <c r="H85" s="2033">
        <f>IFERROR(VLOOKUP($B85,'[3]1001'!$B$6:$G$5927,2,FALSE),0)</f>
        <v>0</v>
      </c>
      <c r="I85" s="2034">
        <f>IFERROR(VLOOKUP($B85,'[3]1001'!$B$6:$G$5927,4,FALSE),0)</f>
        <v>0</v>
      </c>
      <c r="J85" s="2033">
        <f t="shared" si="6"/>
        <v>0</v>
      </c>
      <c r="K85" s="2035">
        <f>IFERROR(VLOOKUP($B85,'[3]1002'!$B$6:$G$5921,2,FALSE),0)</f>
        <v>0</v>
      </c>
      <c r="L85" s="2036">
        <f>IFERROR(VLOOKUP($B85,'[3]1002'!$B$6:$G$5921,4,FALSE),0)</f>
        <v>0</v>
      </c>
      <c r="M85" s="1763">
        <f t="shared" si="7"/>
        <v>0</v>
      </c>
      <c r="N85" s="2033">
        <f>IFERROR(VLOOKUP($B85,'[3]1003'!$B$6:$G$5921,2,FALSE),0)</f>
        <v>0</v>
      </c>
      <c r="O85" s="2034">
        <f>IFERROR(VLOOKUP($B85,'[3]1003'!$B$6:$G$5921,4,FALSE),0)</f>
        <v>0</v>
      </c>
      <c r="P85" s="2033">
        <f t="shared" si="8"/>
        <v>0</v>
      </c>
      <c r="Q85" s="1763">
        <f>IFERROR(VLOOKUP($B85,'[3]1004'!$B$6:$G$5921,2,FALSE),0)</f>
        <v>0</v>
      </c>
      <c r="R85" s="2036">
        <f>IFERROR(VLOOKUP($B85,'[3]1004'!$B$6:$G$5921,4,FALSE),0)</f>
        <v>0</v>
      </c>
      <c r="S85" s="1763">
        <f t="shared" si="9"/>
        <v>0</v>
      </c>
      <c r="T85" s="2033">
        <f>IFERROR(VLOOKUP($B85,'[3]1006'!$B$6:$G$5921,2,FALSE),0)</f>
        <v>0</v>
      </c>
      <c r="U85" s="2034">
        <f>IFERROR(VLOOKUP($B85,'[3]1006'!$B$6:$G$5921,4,FALSE),0)</f>
        <v>0</v>
      </c>
      <c r="V85" s="2033">
        <f t="shared" si="10"/>
        <v>0</v>
      </c>
      <c r="W85" s="2033">
        <f t="shared" si="11"/>
        <v>0</v>
      </c>
    </row>
    <row r="86" spans="2:23" x14ac:dyDescent="0.15">
      <c r="B86" s="2032">
        <v>62825</v>
      </c>
      <c r="C86" s="2032" t="s">
        <v>1455</v>
      </c>
      <c r="D86" s="2032" t="s">
        <v>1455</v>
      </c>
      <c r="E86" s="2032" t="s">
        <v>94</v>
      </c>
      <c r="F86" s="2039" t="s">
        <v>1337</v>
      </c>
      <c r="G86" s="2039" t="s">
        <v>1303</v>
      </c>
      <c r="H86" s="2033">
        <f>IFERROR(VLOOKUP($B86,'[3]1001'!$B$6:$G$5927,2,FALSE),0)</f>
        <v>0</v>
      </c>
      <c r="I86" s="2034">
        <f>IFERROR(VLOOKUP($B86,'[3]1001'!$B$6:$G$5927,4,FALSE),0)</f>
        <v>0</v>
      </c>
      <c r="J86" s="2033">
        <f t="shared" si="6"/>
        <v>0</v>
      </c>
      <c r="K86" s="2035">
        <f>IFERROR(VLOOKUP($B86,'[3]1002'!$B$6:$G$5921,2,FALSE),0)</f>
        <v>0</v>
      </c>
      <c r="L86" s="2036">
        <f>IFERROR(VLOOKUP($B86,'[3]1002'!$B$6:$G$5921,4,FALSE),0)</f>
        <v>0</v>
      </c>
      <c r="M86" s="1763">
        <f t="shared" si="7"/>
        <v>0</v>
      </c>
      <c r="N86" s="2033">
        <f>IFERROR(VLOOKUP($B86,'[3]1003'!$B$6:$G$5921,2,FALSE),0)</f>
        <v>0</v>
      </c>
      <c r="O86" s="2034">
        <f>IFERROR(VLOOKUP($B86,'[3]1003'!$B$6:$G$5921,4,FALSE),0)</f>
        <v>0</v>
      </c>
      <c r="P86" s="2033">
        <f t="shared" si="8"/>
        <v>0</v>
      </c>
      <c r="Q86" s="1763">
        <f>IFERROR(VLOOKUP($B86,'[3]1004'!$B$6:$G$5921,2,FALSE),0)</f>
        <v>0</v>
      </c>
      <c r="R86" s="2036">
        <f>IFERROR(VLOOKUP($B86,'[3]1004'!$B$6:$G$5921,4,FALSE),0)</f>
        <v>0</v>
      </c>
      <c r="S86" s="1763">
        <f t="shared" si="9"/>
        <v>0</v>
      </c>
      <c r="T86" s="2033">
        <f>IFERROR(VLOOKUP($B86,'[3]1006'!$B$6:$G$5921,2,FALSE),0)</f>
        <v>0</v>
      </c>
      <c r="U86" s="2034">
        <f>IFERROR(VLOOKUP($B86,'[3]1006'!$B$6:$G$5921,4,FALSE),0)</f>
        <v>0</v>
      </c>
      <c r="V86" s="2033">
        <f t="shared" si="10"/>
        <v>0</v>
      </c>
      <c r="W86" s="2033">
        <f t="shared" si="11"/>
        <v>0</v>
      </c>
    </row>
    <row r="87" spans="2:23" x14ac:dyDescent="0.15">
      <c r="B87" s="2032">
        <v>62802</v>
      </c>
      <c r="C87" s="2032" t="s">
        <v>1456</v>
      </c>
      <c r="D87" s="2032" t="s">
        <v>1457</v>
      </c>
      <c r="E87" s="2032" t="s">
        <v>94</v>
      </c>
      <c r="F87" s="2039" t="s">
        <v>1337</v>
      </c>
      <c r="G87" s="2039" t="s">
        <v>1303</v>
      </c>
      <c r="H87" s="2033">
        <f>IFERROR(VLOOKUP($B87,'[3]1001'!$B$6:$G$5927,2,FALSE),0)</f>
        <v>0</v>
      </c>
      <c r="I87" s="2034">
        <f>IFERROR(VLOOKUP($B87,'[3]1001'!$B$6:$G$5927,4,FALSE),0)</f>
        <v>0</v>
      </c>
      <c r="J87" s="2033">
        <f t="shared" si="6"/>
        <v>0</v>
      </c>
      <c r="K87" s="2035">
        <f>IFERROR(VLOOKUP($B87,'[3]1002'!$B$6:$G$5921,2,FALSE),0)</f>
        <v>0</v>
      </c>
      <c r="L87" s="2036">
        <f>IFERROR(VLOOKUP($B87,'[3]1002'!$B$6:$G$5921,4,FALSE),0)</f>
        <v>0</v>
      </c>
      <c r="M87" s="1763">
        <f t="shared" si="7"/>
        <v>0</v>
      </c>
      <c r="N87" s="2033">
        <f>IFERROR(VLOOKUP($B87,'[3]1003'!$B$6:$G$5921,2,FALSE),0)</f>
        <v>0</v>
      </c>
      <c r="O87" s="2034">
        <f>IFERROR(VLOOKUP($B87,'[3]1003'!$B$6:$G$5921,4,FALSE),0)</f>
        <v>0</v>
      </c>
      <c r="P87" s="2033">
        <f t="shared" si="8"/>
        <v>0</v>
      </c>
      <c r="Q87" s="1763">
        <f>IFERROR(VLOOKUP($B87,'[3]1004'!$B$6:$G$5921,2,FALSE),0)</f>
        <v>0</v>
      </c>
      <c r="R87" s="2036">
        <f>IFERROR(VLOOKUP($B87,'[3]1004'!$B$6:$G$5921,4,FALSE),0)</f>
        <v>0</v>
      </c>
      <c r="S87" s="1763">
        <f t="shared" si="9"/>
        <v>0</v>
      </c>
      <c r="T87" s="2033">
        <f>IFERROR(VLOOKUP($B87,'[3]1006'!$B$6:$G$5921,2,FALSE),0)</f>
        <v>0</v>
      </c>
      <c r="U87" s="2034">
        <f>IFERROR(VLOOKUP($B87,'[3]1006'!$B$6:$G$5921,4,FALSE),0)</f>
        <v>0</v>
      </c>
      <c r="V87" s="2033">
        <f t="shared" si="10"/>
        <v>0</v>
      </c>
      <c r="W87" s="2033">
        <f t="shared" si="11"/>
        <v>0</v>
      </c>
    </row>
    <row r="88" spans="2:23" x14ac:dyDescent="0.15">
      <c r="B88" s="2032">
        <v>62803</v>
      </c>
      <c r="C88" s="2032" t="s">
        <v>1458</v>
      </c>
      <c r="D88" s="2032" t="s">
        <v>1459</v>
      </c>
      <c r="E88" s="2032" t="s">
        <v>94</v>
      </c>
      <c r="F88" s="2039" t="s">
        <v>1337</v>
      </c>
      <c r="G88" s="2039" t="s">
        <v>1303</v>
      </c>
      <c r="H88" s="2033">
        <f>IFERROR(VLOOKUP($B88,'[3]1001'!$B$6:$G$5927,2,FALSE),0)</f>
        <v>0</v>
      </c>
      <c r="I88" s="2034">
        <f>IFERROR(VLOOKUP($B88,'[3]1001'!$B$6:$G$5927,4,FALSE),0)</f>
        <v>0</v>
      </c>
      <c r="J88" s="2033">
        <f t="shared" si="6"/>
        <v>0</v>
      </c>
      <c r="K88" s="2035">
        <f>IFERROR(VLOOKUP($B88,'[3]1002'!$B$6:$G$5921,2,FALSE),0)</f>
        <v>0</v>
      </c>
      <c r="L88" s="2036">
        <f>IFERROR(VLOOKUP($B88,'[3]1002'!$B$6:$G$5921,4,FALSE),0)</f>
        <v>0</v>
      </c>
      <c r="M88" s="1763">
        <f t="shared" si="7"/>
        <v>0</v>
      </c>
      <c r="N88" s="2033">
        <f>IFERROR(VLOOKUP($B88,'[3]1003'!$B$6:$G$5921,2,FALSE),0)</f>
        <v>0</v>
      </c>
      <c r="O88" s="2034">
        <f>IFERROR(VLOOKUP($B88,'[3]1003'!$B$6:$G$5921,4,FALSE),0)</f>
        <v>0</v>
      </c>
      <c r="P88" s="2033">
        <f t="shared" si="8"/>
        <v>0</v>
      </c>
      <c r="Q88" s="1763">
        <f>IFERROR(VLOOKUP($B88,'[3]1004'!$B$6:$G$5921,2,FALSE),0)</f>
        <v>0</v>
      </c>
      <c r="R88" s="2036">
        <f>IFERROR(VLOOKUP($B88,'[3]1004'!$B$6:$G$5921,4,FALSE),0)</f>
        <v>0</v>
      </c>
      <c r="S88" s="1763">
        <f t="shared" si="9"/>
        <v>0</v>
      </c>
      <c r="T88" s="2033">
        <f>IFERROR(VLOOKUP($B88,'[3]1006'!$B$6:$G$5921,2,FALSE),0)</f>
        <v>0</v>
      </c>
      <c r="U88" s="2034">
        <f>IFERROR(VLOOKUP($B88,'[3]1006'!$B$6:$G$5921,4,FALSE),0)</f>
        <v>0</v>
      </c>
      <c r="V88" s="2033">
        <f t="shared" si="10"/>
        <v>0</v>
      </c>
      <c r="W88" s="2033">
        <f t="shared" si="11"/>
        <v>0</v>
      </c>
    </row>
    <row r="89" spans="2:23" x14ac:dyDescent="0.15">
      <c r="B89" s="2032">
        <v>41304</v>
      </c>
      <c r="C89" s="2032" t="s">
        <v>1460</v>
      </c>
      <c r="D89" s="2032" t="s">
        <v>1460</v>
      </c>
      <c r="E89" s="2032" t="s">
        <v>94</v>
      </c>
      <c r="F89" s="870" t="s">
        <v>1461</v>
      </c>
      <c r="G89" s="1288" t="s">
        <v>1303</v>
      </c>
      <c r="H89" s="2033">
        <f>IFERROR(VLOOKUP($B89,'[3]1001'!$B$6:$G$5927,2,FALSE),0)</f>
        <v>0</v>
      </c>
      <c r="I89" s="2034">
        <f>IFERROR(VLOOKUP($B89,'[3]1001'!$B$6:$G$5927,4,FALSE),0)</f>
        <v>0</v>
      </c>
      <c r="J89" s="2033">
        <f t="shared" si="6"/>
        <v>0</v>
      </c>
      <c r="K89" s="2035">
        <f>IFERROR(VLOOKUP($B89,'[3]1002'!$B$6:$G$5921,2,FALSE),0)</f>
        <v>0</v>
      </c>
      <c r="L89" s="2036">
        <f>IFERROR(VLOOKUP($B89,'[3]1002'!$B$6:$G$5921,4,FALSE),0)</f>
        <v>0</v>
      </c>
      <c r="M89" s="1763">
        <f t="shared" si="7"/>
        <v>0</v>
      </c>
      <c r="N89" s="2033">
        <f>IFERROR(VLOOKUP($B89,'[3]1003'!$B$6:$G$5921,2,FALSE),0)</f>
        <v>0</v>
      </c>
      <c r="O89" s="2034">
        <f>IFERROR(VLOOKUP($B89,'[3]1003'!$B$6:$G$5921,4,FALSE),0)</f>
        <v>0</v>
      </c>
      <c r="P89" s="2033">
        <f t="shared" si="8"/>
        <v>0</v>
      </c>
      <c r="Q89" s="1763">
        <f>IFERROR(VLOOKUP($B89,'[3]1004'!$B$6:$G$5921,2,FALSE),0)</f>
        <v>0</v>
      </c>
      <c r="R89" s="2036">
        <f>IFERROR(VLOOKUP($B89,'[3]1004'!$B$6:$G$5921,4,FALSE),0)</f>
        <v>0</v>
      </c>
      <c r="S89" s="1763">
        <f t="shared" si="9"/>
        <v>0</v>
      </c>
      <c r="T89" s="2033">
        <f>IFERROR(VLOOKUP($B89,'[3]1006'!$B$6:$G$5921,2,FALSE),0)</f>
        <v>222186</v>
      </c>
      <c r="U89" s="2034">
        <f>IFERROR(VLOOKUP($B89,'[3]1006'!$B$6:$G$5921,4,FALSE),0)</f>
        <v>1140</v>
      </c>
      <c r="V89" s="2033">
        <f t="shared" si="10"/>
        <v>194.9</v>
      </c>
      <c r="W89" s="2033">
        <f t="shared" si="11"/>
        <v>1140</v>
      </c>
    </row>
    <row r="90" spans="2:23" s="1660" customFormat="1" x14ac:dyDescent="0.15">
      <c r="B90" s="2053">
        <v>10723</v>
      </c>
      <c r="C90" s="2053" t="s">
        <v>1462</v>
      </c>
      <c r="D90" s="2053" t="s">
        <v>1463</v>
      </c>
      <c r="E90" s="2053" t="s">
        <v>94</v>
      </c>
      <c r="F90" s="2055" t="s">
        <v>1300</v>
      </c>
      <c r="G90" s="2055" t="s">
        <v>1296</v>
      </c>
      <c r="H90" s="2056">
        <f>IFERROR(VLOOKUP($B90,'[3]1001'!$B$6:$G$5927,2,FALSE),0)</f>
        <v>2241550.41</v>
      </c>
      <c r="I90" s="2057">
        <f>IFERROR(VLOOKUP($B90,'[3]1001'!$B$6:$G$5927,4,FALSE),0)</f>
        <v>2</v>
      </c>
      <c r="J90" s="2056">
        <f t="shared" si="6"/>
        <v>1120775.2050000001</v>
      </c>
      <c r="K90" s="2058">
        <f>IFERROR(VLOOKUP($B90,'[3]1002'!$B$6:$G$5921,2,FALSE),0)</f>
        <v>0</v>
      </c>
      <c r="L90" s="2057">
        <f>IFERROR(VLOOKUP($B90,'[3]1002'!$B$6:$G$5921,4,FALSE),0)</f>
        <v>0</v>
      </c>
      <c r="M90" s="2056">
        <f t="shared" si="7"/>
        <v>0</v>
      </c>
      <c r="N90" s="2056">
        <f>IFERROR(VLOOKUP($B90,'[3]1003'!$B$6:$G$5921,2,FALSE),0)</f>
        <v>0</v>
      </c>
      <c r="O90" s="2057">
        <f>IFERROR(VLOOKUP($B90,'[3]1003'!$B$6:$G$5921,4,FALSE),0)</f>
        <v>0</v>
      </c>
      <c r="P90" s="2056">
        <f t="shared" si="8"/>
        <v>0</v>
      </c>
      <c r="Q90" s="2056">
        <f>IFERROR(VLOOKUP($B90,'[3]1004'!$B$6:$G$5921,2,FALSE),0)</f>
        <v>0</v>
      </c>
      <c r="R90" s="2057">
        <f>IFERROR(VLOOKUP($B90,'[3]1004'!$B$6:$G$5921,4,FALSE),0)</f>
        <v>0</v>
      </c>
      <c r="S90" s="2056">
        <f t="shared" si="9"/>
        <v>0</v>
      </c>
      <c r="T90" s="2056">
        <f>IFERROR(VLOOKUP($B90,'[3]1006'!$B$6:$G$5921,2,FALSE),0)</f>
        <v>0</v>
      </c>
      <c r="U90" s="2057">
        <f>IFERROR(VLOOKUP($B90,'[3]1006'!$B$6:$G$5921,4,FALSE),0)</f>
        <v>0</v>
      </c>
      <c r="V90" s="2056">
        <f t="shared" si="10"/>
        <v>0</v>
      </c>
      <c r="W90" s="2056">
        <f t="shared" si="11"/>
        <v>2</v>
      </c>
    </row>
    <row r="91" spans="2:23" x14ac:dyDescent="0.15">
      <c r="B91" s="1288">
        <v>8866</v>
      </c>
      <c r="C91" s="2040" t="s">
        <v>1465</v>
      </c>
      <c r="D91" s="1288"/>
      <c r="E91" s="1288" t="s">
        <v>94</v>
      </c>
      <c r="F91" s="1288" t="s">
        <v>1300</v>
      </c>
      <c r="G91" s="1288" t="s">
        <v>1296</v>
      </c>
      <c r="H91" s="2033">
        <f>IFERROR(VLOOKUP($B91,'[3]1001'!$B$6:$G$5927,2,FALSE),0)</f>
        <v>0</v>
      </c>
      <c r="I91" s="2034">
        <f>IFERROR(VLOOKUP($B91,'[3]1001'!$B$6:$G$5927,4,FALSE),0)</f>
        <v>0</v>
      </c>
      <c r="J91" s="2033">
        <f t="shared" si="6"/>
        <v>0</v>
      </c>
      <c r="K91" s="2035">
        <f>IFERROR(VLOOKUP($B91,'[3]1002'!$B$6:$G$5921,2,FALSE),0)</f>
        <v>0</v>
      </c>
      <c r="L91" s="2036">
        <f>IFERROR(VLOOKUP($B91,'[3]1002'!$B$6:$G$5921,4,FALSE),0)</f>
        <v>0</v>
      </c>
      <c r="M91" s="1763">
        <f t="shared" si="7"/>
        <v>0</v>
      </c>
      <c r="N91" s="2033">
        <f>IFERROR(VLOOKUP($B91,'[3]1003'!$B$6:$G$5921,2,FALSE),0)</f>
        <v>0</v>
      </c>
      <c r="O91" s="2034">
        <f>IFERROR(VLOOKUP($B91,'[3]1003'!$B$6:$G$5921,4,FALSE),0)</f>
        <v>0</v>
      </c>
      <c r="P91" s="2033">
        <f t="shared" si="8"/>
        <v>0</v>
      </c>
      <c r="Q91" s="1763">
        <f>IFERROR(VLOOKUP($B91,'[3]1004'!$B$6:$G$5921,2,FALSE),0)</f>
        <v>0</v>
      </c>
      <c r="R91" s="2036">
        <f>IFERROR(VLOOKUP($B91,'[3]1004'!$B$6:$G$5921,4,FALSE),0)</f>
        <v>0</v>
      </c>
      <c r="S91" s="1763">
        <f t="shared" si="9"/>
        <v>0</v>
      </c>
      <c r="T91" s="2033">
        <f>IFERROR(VLOOKUP($B91,'[3]1006'!$B$6:$G$5921,2,FALSE),0)</f>
        <v>0</v>
      </c>
      <c r="U91" s="2034">
        <f>IFERROR(VLOOKUP($B91,'[3]1006'!$B$6:$G$5921,4,FALSE),0)</f>
        <v>0</v>
      </c>
      <c r="V91" s="2033">
        <f t="shared" si="10"/>
        <v>0</v>
      </c>
      <c r="W91" s="2033">
        <f t="shared" si="11"/>
        <v>0</v>
      </c>
    </row>
    <row r="92" spans="2:23" x14ac:dyDescent="0.15">
      <c r="B92" s="2032">
        <v>11482</v>
      </c>
      <c r="C92" s="1288" t="s">
        <v>1466</v>
      </c>
      <c r="D92" s="2032" t="s">
        <v>1466</v>
      </c>
      <c r="E92" s="2032" t="s">
        <v>94</v>
      </c>
      <c r="F92" s="1288" t="s">
        <v>1300</v>
      </c>
      <c r="G92" s="1288" t="s">
        <v>1296</v>
      </c>
      <c r="H92" s="2033">
        <f>IFERROR(VLOOKUP($B92,'[3]1001'!$B$6:$G$5927,2,FALSE),0)</f>
        <v>3925527.2</v>
      </c>
      <c r="I92" s="2034">
        <f>IFERROR(VLOOKUP($B92,'[3]1001'!$B$6:$G$5927,4,FALSE),0)</f>
        <v>8</v>
      </c>
      <c r="J92" s="2033">
        <f t="shared" si="6"/>
        <v>490690.9</v>
      </c>
      <c r="K92" s="2035">
        <f>IFERROR(VLOOKUP($B92,'[3]1002'!$B$6:$G$5921,2,FALSE),0)</f>
        <v>0</v>
      </c>
      <c r="L92" s="2036">
        <f>IFERROR(VLOOKUP($B92,'[3]1002'!$B$6:$G$5921,4,FALSE),0)</f>
        <v>0</v>
      </c>
      <c r="M92" s="1763">
        <f t="shared" si="7"/>
        <v>0</v>
      </c>
      <c r="N92" s="2033">
        <f>IFERROR(VLOOKUP($B92,'[3]1003'!$B$6:$G$5921,2,FALSE),0)</f>
        <v>490690.9</v>
      </c>
      <c r="O92" s="2034">
        <f>IFERROR(VLOOKUP($B92,'[3]1003'!$B$6:$G$5921,4,FALSE),0)</f>
        <v>1</v>
      </c>
      <c r="P92" s="2033">
        <f t="shared" si="8"/>
        <v>490690.9</v>
      </c>
      <c r="Q92" s="1763">
        <f>IFERROR(VLOOKUP($B92,'[3]1004'!$B$6:$G$5921,2,FALSE),0)</f>
        <v>981381.8</v>
      </c>
      <c r="R92" s="2036">
        <f>IFERROR(VLOOKUP($B92,'[3]1004'!$B$6:$G$5921,4,FALSE),0)</f>
        <v>2</v>
      </c>
      <c r="S92" s="1763">
        <f t="shared" si="9"/>
        <v>490690.9</v>
      </c>
      <c r="T92" s="2033">
        <f>IFERROR(VLOOKUP($B92,'[3]1006'!$B$6:$G$5921,2,FALSE),0)</f>
        <v>0</v>
      </c>
      <c r="U92" s="2034">
        <f>IFERROR(VLOOKUP($B92,'[3]1006'!$B$6:$G$5921,4,FALSE),0)</f>
        <v>0</v>
      </c>
      <c r="V92" s="2033">
        <f t="shared" si="10"/>
        <v>0</v>
      </c>
      <c r="W92" s="2033">
        <f t="shared" si="11"/>
        <v>11</v>
      </c>
    </row>
    <row r="93" spans="2:23" x14ac:dyDescent="0.15">
      <c r="B93" s="2032">
        <v>11644</v>
      </c>
      <c r="C93" s="2032" t="s">
        <v>1467</v>
      </c>
      <c r="D93" s="2032" t="s">
        <v>1467</v>
      </c>
      <c r="E93" s="2032" t="s">
        <v>94</v>
      </c>
      <c r="F93" s="1288" t="s">
        <v>1300</v>
      </c>
      <c r="G93" s="1288" t="s">
        <v>1296</v>
      </c>
      <c r="H93" s="2033">
        <f>IFERROR(VLOOKUP($B93,'[3]1001'!$B$6:$G$5927,2,FALSE),0)</f>
        <v>706158.92</v>
      </c>
      <c r="I93" s="2034">
        <f>IFERROR(VLOOKUP($B93,'[3]1001'!$B$6:$G$5927,4,FALSE),0)</f>
        <v>2</v>
      </c>
      <c r="J93" s="2033">
        <f t="shared" si="6"/>
        <v>353079.46</v>
      </c>
      <c r="K93" s="2035">
        <f>IFERROR(VLOOKUP($B93,'[3]1002'!$B$6:$G$5921,2,FALSE),0)</f>
        <v>0</v>
      </c>
      <c r="L93" s="2036">
        <f>IFERROR(VLOOKUP($B93,'[3]1002'!$B$6:$G$5921,4,FALSE),0)</f>
        <v>0</v>
      </c>
      <c r="M93" s="1763">
        <f t="shared" si="7"/>
        <v>0</v>
      </c>
      <c r="N93" s="2033">
        <f>IFERROR(VLOOKUP($B93,'[3]1003'!$B$6:$G$5921,2,FALSE),0)</f>
        <v>0</v>
      </c>
      <c r="O93" s="2034">
        <f>IFERROR(VLOOKUP($B93,'[3]1003'!$B$6:$G$5921,4,FALSE),0)</f>
        <v>0</v>
      </c>
      <c r="P93" s="2033">
        <f t="shared" si="8"/>
        <v>0</v>
      </c>
      <c r="Q93" s="1763">
        <f>IFERROR(VLOOKUP($B93,'[3]1004'!$B$6:$G$5921,2,FALSE),0)</f>
        <v>0</v>
      </c>
      <c r="R93" s="2036">
        <f>IFERROR(VLOOKUP($B93,'[3]1004'!$B$6:$G$5921,4,FALSE),0)</f>
        <v>0</v>
      </c>
      <c r="S93" s="1763">
        <f t="shared" si="9"/>
        <v>0</v>
      </c>
      <c r="T93" s="2033">
        <f>IFERROR(VLOOKUP($B93,'[3]1006'!$B$6:$G$5921,2,FALSE),0)</f>
        <v>0</v>
      </c>
      <c r="U93" s="2034">
        <f>IFERROR(VLOOKUP($B93,'[3]1006'!$B$6:$G$5921,4,FALSE),0)</f>
        <v>0</v>
      </c>
      <c r="V93" s="2033">
        <f t="shared" si="10"/>
        <v>0</v>
      </c>
      <c r="W93" s="2033">
        <f t="shared" si="11"/>
        <v>2</v>
      </c>
    </row>
    <row r="94" spans="2:23" x14ac:dyDescent="0.15">
      <c r="B94" s="2032">
        <v>11681</v>
      </c>
      <c r="C94" s="2032" t="s">
        <v>1468</v>
      </c>
      <c r="D94" s="2037" t="s">
        <v>1469</v>
      </c>
      <c r="E94" s="2032" t="s">
        <v>94</v>
      </c>
      <c r="F94" s="1288" t="s">
        <v>1300</v>
      </c>
      <c r="G94" s="1288" t="s">
        <v>1303</v>
      </c>
      <c r="H94" s="2033">
        <f>IFERROR(VLOOKUP($B94,'[3]1001'!$B$6:$G$5927,2,FALSE),0)</f>
        <v>0</v>
      </c>
      <c r="I94" s="2034">
        <f>IFERROR(VLOOKUP($B94,'[3]1001'!$B$6:$G$5927,4,FALSE),0)</f>
        <v>0</v>
      </c>
      <c r="J94" s="2033">
        <f t="shared" si="6"/>
        <v>0</v>
      </c>
      <c r="K94" s="2035">
        <f>IFERROR(VLOOKUP($B94,'[3]1002'!$B$6:$G$5921,2,FALSE),0)</f>
        <v>94722.96</v>
      </c>
      <c r="L94" s="2036">
        <f>IFERROR(VLOOKUP($B94,'[3]1002'!$B$6:$G$5921,4,FALSE),0)</f>
        <v>3</v>
      </c>
      <c r="M94" s="1763">
        <f t="shared" si="7"/>
        <v>31574.320000000003</v>
      </c>
      <c r="N94" s="2033">
        <f>IFERROR(VLOOKUP($B94,'[3]1003'!$B$6:$G$5921,2,FALSE),0)</f>
        <v>0</v>
      </c>
      <c r="O94" s="2034">
        <f>IFERROR(VLOOKUP($B94,'[3]1003'!$B$6:$G$5921,4,FALSE),0)</f>
        <v>0</v>
      </c>
      <c r="P94" s="2033">
        <f t="shared" si="8"/>
        <v>0</v>
      </c>
      <c r="Q94" s="1763">
        <f>IFERROR(VLOOKUP($B94,'[3]1004'!$B$6:$G$5921,2,FALSE),0)</f>
        <v>0</v>
      </c>
      <c r="R94" s="2036">
        <f>IFERROR(VLOOKUP($B94,'[3]1004'!$B$6:$G$5921,4,FALSE),0)</f>
        <v>0</v>
      </c>
      <c r="S94" s="1763">
        <f t="shared" si="9"/>
        <v>0</v>
      </c>
      <c r="T94" s="2033">
        <f>IFERROR(VLOOKUP($B94,'[3]1006'!$B$6:$G$5921,2,FALSE),0)</f>
        <v>31574.32</v>
      </c>
      <c r="U94" s="2034">
        <f>IFERROR(VLOOKUP($B94,'[3]1006'!$B$6:$G$5921,4,FALSE),0)</f>
        <v>1</v>
      </c>
      <c r="V94" s="2033">
        <f t="shared" si="10"/>
        <v>31574.32</v>
      </c>
      <c r="W94" s="2033">
        <f t="shared" si="11"/>
        <v>4</v>
      </c>
    </row>
    <row r="95" spans="2:23" x14ac:dyDescent="0.15">
      <c r="B95" s="2032">
        <v>11849</v>
      </c>
      <c r="C95" s="2032" t="s">
        <v>1470</v>
      </c>
      <c r="D95" s="2037" t="s">
        <v>1471</v>
      </c>
      <c r="E95" s="2032" t="s">
        <v>94</v>
      </c>
      <c r="F95" s="1288" t="s">
        <v>1300</v>
      </c>
      <c r="G95" s="1288" t="s">
        <v>1303</v>
      </c>
      <c r="H95" s="2033">
        <f>IFERROR(VLOOKUP($B95,'[3]1001'!$B$6:$G$5927,2,FALSE),0)</f>
        <v>0</v>
      </c>
      <c r="I95" s="2034">
        <f>IFERROR(VLOOKUP($B95,'[3]1001'!$B$6:$G$5927,4,FALSE),0)</f>
        <v>0</v>
      </c>
      <c r="J95" s="2033">
        <f t="shared" si="6"/>
        <v>0</v>
      </c>
      <c r="K95" s="2035">
        <f>IFERROR(VLOOKUP($B95,'[3]1002'!$B$6:$G$5921,2,FALSE),0)</f>
        <v>0</v>
      </c>
      <c r="L95" s="2036">
        <f>IFERROR(VLOOKUP($B95,'[3]1002'!$B$6:$G$5921,4,FALSE),0)</f>
        <v>0</v>
      </c>
      <c r="M95" s="1763">
        <f t="shared" si="7"/>
        <v>0</v>
      </c>
      <c r="N95" s="2033">
        <f>IFERROR(VLOOKUP($B95,'[3]1003'!$B$6:$G$5921,2,FALSE),0)</f>
        <v>0</v>
      </c>
      <c r="O95" s="2034">
        <f>IFERROR(VLOOKUP($B95,'[3]1003'!$B$6:$G$5921,4,FALSE),0)</f>
        <v>0</v>
      </c>
      <c r="P95" s="2033">
        <f t="shared" si="8"/>
        <v>0</v>
      </c>
      <c r="Q95" s="1763">
        <f>IFERROR(VLOOKUP($B95,'[3]1004'!$B$6:$G$5921,2,FALSE),0)</f>
        <v>0</v>
      </c>
      <c r="R95" s="2036">
        <f>IFERROR(VLOOKUP($B95,'[3]1004'!$B$6:$G$5921,4,FALSE),0)</f>
        <v>0</v>
      </c>
      <c r="S95" s="1763">
        <f t="shared" si="9"/>
        <v>0</v>
      </c>
      <c r="T95" s="2033">
        <f>IFERROR(VLOOKUP($B95,'[3]1006'!$B$6:$G$5921,2,FALSE),0)</f>
        <v>0</v>
      </c>
      <c r="U95" s="2034">
        <f>IFERROR(VLOOKUP($B95,'[3]1006'!$B$6:$G$5921,4,FALSE),0)</f>
        <v>0</v>
      </c>
      <c r="V95" s="2033">
        <f t="shared" si="10"/>
        <v>0</v>
      </c>
      <c r="W95" s="2033">
        <f t="shared" si="11"/>
        <v>0</v>
      </c>
    </row>
    <row r="96" spans="2:23" x14ac:dyDescent="0.15">
      <c r="B96" s="2032">
        <v>11873</v>
      </c>
      <c r="C96" s="2032" t="s">
        <v>1472</v>
      </c>
      <c r="D96" s="2038" t="s">
        <v>1473</v>
      </c>
      <c r="E96" s="2032" t="s">
        <v>94</v>
      </c>
      <c r="F96" s="1288" t="s">
        <v>1300</v>
      </c>
      <c r="G96" s="1288" t="s">
        <v>1303</v>
      </c>
      <c r="H96" s="2033">
        <f>IFERROR(VLOOKUP($B96,'[3]1001'!$B$6:$G$5927,2,FALSE),0)</f>
        <v>0</v>
      </c>
      <c r="I96" s="2034">
        <f>IFERROR(VLOOKUP($B96,'[3]1001'!$B$6:$G$5927,4,FALSE),0)</f>
        <v>0</v>
      </c>
      <c r="J96" s="2033">
        <f t="shared" si="6"/>
        <v>0</v>
      </c>
      <c r="K96" s="2035">
        <f>IFERROR(VLOOKUP($B96,'[3]1002'!$B$6:$G$5921,2,FALSE),0)</f>
        <v>0</v>
      </c>
      <c r="L96" s="2036">
        <f>IFERROR(VLOOKUP($B96,'[3]1002'!$B$6:$G$5921,4,FALSE),0)</f>
        <v>0</v>
      </c>
      <c r="M96" s="1763">
        <f t="shared" si="7"/>
        <v>0</v>
      </c>
      <c r="N96" s="2033">
        <f>IFERROR(VLOOKUP($B96,'[3]1003'!$B$6:$G$5921,2,FALSE),0)</f>
        <v>0</v>
      </c>
      <c r="O96" s="2034">
        <f>IFERROR(VLOOKUP($B96,'[3]1003'!$B$6:$G$5921,4,FALSE),0)</f>
        <v>0</v>
      </c>
      <c r="P96" s="2033">
        <f t="shared" si="8"/>
        <v>0</v>
      </c>
      <c r="Q96" s="1763">
        <f>IFERROR(VLOOKUP($B96,'[3]1004'!$B$6:$G$5921,2,FALSE),0)</f>
        <v>0</v>
      </c>
      <c r="R96" s="2036">
        <f>IFERROR(VLOOKUP($B96,'[3]1004'!$B$6:$G$5921,4,FALSE),0)</f>
        <v>0</v>
      </c>
      <c r="S96" s="1763">
        <f t="shared" si="9"/>
        <v>0</v>
      </c>
      <c r="T96" s="2033">
        <f>IFERROR(VLOOKUP($B96,'[3]1006'!$B$6:$G$5921,2,FALSE),0)</f>
        <v>219514.86</v>
      </c>
      <c r="U96" s="2034">
        <f>IFERROR(VLOOKUP($B96,'[3]1006'!$B$6:$G$5921,4,FALSE),0)</f>
        <v>1</v>
      </c>
      <c r="V96" s="2033">
        <f t="shared" si="10"/>
        <v>219514.86</v>
      </c>
      <c r="W96" s="2033">
        <f t="shared" si="11"/>
        <v>1</v>
      </c>
    </row>
    <row r="97" spans="2:23" x14ac:dyDescent="0.15">
      <c r="B97" s="2032">
        <v>11934</v>
      </c>
      <c r="C97" s="2032" t="s">
        <v>1475</v>
      </c>
      <c r="D97" s="2037" t="s">
        <v>1476</v>
      </c>
      <c r="E97" s="2032" t="s">
        <v>94</v>
      </c>
      <c r="F97" s="1288" t="s">
        <v>1325</v>
      </c>
      <c r="G97" s="1288" t="s">
        <v>1303</v>
      </c>
      <c r="H97" s="2033">
        <f>IFERROR(VLOOKUP($B97,'[3]1001'!$B$6:$G$5927,2,FALSE),0)</f>
        <v>0</v>
      </c>
      <c r="I97" s="2034">
        <f>IFERROR(VLOOKUP($B97,'[3]1001'!$B$6:$G$5927,4,FALSE),0)</f>
        <v>0</v>
      </c>
      <c r="J97" s="2033">
        <f t="shared" si="6"/>
        <v>0</v>
      </c>
      <c r="K97" s="2035">
        <f>IFERROR(VLOOKUP($B97,'[3]1002'!$B$6:$G$5921,2,FALSE),0)</f>
        <v>397670.09</v>
      </c>
      <c r="L97" s="2036">
        <f>IFERROR(VLOOKUP($B97,'[3]1002'!$B$6:$G$5921,4,FALSE),0)</f>
        <v>1</v>
      </c>
      <c r="M97" s="1763">
        <f t="shared" si="7"/>
        <v>397670.09</v>
      </c>
      <c r="N97" s="2033">
        <f>IFERROR(VLOOKUP($B97,'[3]1003'!$B$6:$G$5921,2,FALSE),0)</f>
        <v>0</v>
      </c>
      <c r="O97" s="2034">
        <f>IFERROR(VLOOKUP($B97,'[3]1003'!$B$6:$G$5921,4,FALSE),0)</f>
        <v>0</v>
      </c>
      <c r="P97" s="2033">
        <f t="shared" si="8"/>
        <v>0</v>
      </c>
      <c r="Q97" s="1763">
        <f>IFERROR(VLOOKUP($B97,'[3]1004'!$B$6:$G$5921,2,FALSE),0)</f>
        <v>407255.82</v>
      </c>
      <c r="R97" s="2036">
        <f>IFERROR(VLOOKUP($B97,'[3]1004'!$B$6:$G$5921,4,FALSE),0)</f>
        <v>1</v>
      </c>
      <c r="S97" s="1763">
        <f t="shared" si="9"/>
        <v>407255.82</v>
      </c>
      <c r="T97" s="2033">
        <f>IFERROR(VLOOKUP($B97,'[3]1006'!$B$6:$G$5921,2,FALSE),0)</f>
        <v>0</v>
      </c>
      <c r="U97" s="2034">
        <f>IFERROR(VLOOKUP($B97,'[3]1006'!$B$6:$G$5921,4,FALSE),0)</f>
        <v>0</v>
      </c>
      <c r="V97" s="2033">
        <f t="shared" si="10"/>
        <v>0</v>
      </c>
      <c r="W97" s="2033">
        <f t="shared" si="11"/>
        <v>2</v>
      </c>
    </row>
    <row r="98" spans="2:23" x14ac:dyDescent="0.15">
      <c r="B98" s="1288">
        <v>29865</v>
      </c>
      <c r="C98" s="1288" t="s">
        <v>1477</v>
      </c>
      <c r="D98" s="1288"/>
      <c r="E98" s="1288" t="s">
        <v>94</v>
      </c>
      <c r="F98" s="1288" t="s">
        <v>1325</v>
      </c>
      <c r="G98" s="1288" t="s">
        <v>1303</v>
      </c>
      <c r="H98" s="2033">
        <f>IFERROR(VLOOKUP($B98,'[3]1001'!$B$6:$G$5927,2,FALSE),0)</f>
        <v>0</v>
      </c>
      <c r="I98" s="2034">
        <f>IFERROR(VLOOKUP($B98,'[3]1001'!$B$6:$G$5927,4,FALSE),0)</f>
        <v>0</v>
      </c>
      <c r="J98" s="2033">
        <f t="shared" si="6"/>
        <v>0</v>
      </c>
      <c r="K98" s="2035">
        <f>IFERROR(VLOOKUP($B98,'[3]1002'!$B$6:$G$5921,2,FALSE),0)</f>
        <v>0</v>
      </c>
      <c r="L98" s="2036">
        <f>IFERROR(VLOOKUP($B98,'[3]1002'!$B$6:$G$5921,4,FALSE),0)</f>
        <v>0</v>
      </c>
      <c r="M98" s="1763">
        <f t="shared" si="7"/>
        <v>0</v>
      </c>
      <c r="N98" s="2033">
        <f>IFERROR(VLOOKUP($B98,'[3]1003'!$B$6:$G$5921,2,FALSE),0)</f>
        <v>0</v>
      </c>
      <c r="O98" s="2034">
        <f>IFERROR(VLOOKUP($B98,'[3]1003'!$B$6:$G$5921,4,FALSE),0)</f>
        <v>0</v>
      </c>
      <c r="P98" s="2033">
        <f t="shared" si="8"/>
        <v>0</v>
      </c>
      <c r="Q98" s="1763">
        <f>IFERROR(VLOOKUP($B98,'[3]1004'!$B$6:$G$5921,2,FALSE),0)</f>
        <v>0</v>
      </c>
      <c r="R98" s="2036">
        <f>IFERROR(VLOOKUP($B98,'[3]1004'!$B$6:$G$5921,4,FALSE),0)</f>
        <v>0</v>
      </c>
      <c r="S98" s="1763">
        <f t="shared" si="9"/>
        <v>0</v>
      </c>
      <c r="T98" s="2033">
        <f>IFERROR(VLOOKUP($B98,'[3]1006'!$B$6:$G$5921,2,FALSE),0)</f>
        <v>0</v>
      </c>
      <c r="U98" s="2034">
        <f>IFERROR(VLOOKUP($B98,'[3]1006'!$B$6:$G$5921,4,FALSE),0)</f>
        <v>0</v>
      </c>
      <c r="V98" s="2033">
        <f t="shared" si="10"/>
        <v>0</v>
      </c>
      <c r="W98" s="2033">
        <f t="shared" si="11"/>
        <v>0</v>
      </c>
    </row>
    <row r="99" spans="2:23" x14ac:dyDescent="0.15">
      <c r="B99" s="2032">
        <v>12634</v>
      </c>
      <c r="C99" s="2032" t="s">
        <v>1478</v>
      </c>
      <c r="D99" s="2032" t="s">
        <v>1479</v>
      </c>
      <c r="E99" s="2032" t="s">
        <v>94</v>
      </c>
      <c r="F99" s="1288" t="s">
        <v>1325</v>
      </c>
      <c r="G99" s="1288" t="s">
        <v>1303</v>
      </c>
      <c r="H99" s="2033">
        <f>IFERROR(VLOOKUP($B99,'[3]1001'!$B$6:$G$5927,2,FALSE),0)</f>
        <v>225142.2</v>
      </c>
      <c r="I99" s="2034">
        <f>IFERROR(VLOOKUP($B99,'[3]1001'!$B$6:$G$5927,4,FALSE),0)</f>
        <v>2</v>
      </c>
      <c r="J99" s="2033">
        <f t="shared" si="6"/>
        <v>112571.1</v>
      </c>
      <c r="K99" s="2035">
        <f>IFERROR(VLOOKUP($B99,'[3]1002'!$B$6:$G$5921,2,FALSE),0)</f>
        <v>0</v>
      </c>
      <c r="L99" s="2036">
        <f>IFERROR(VLOOKUP($B99,'[3]1002'!$B$6:$G$5921,4,FALSE),0)</f>
        <v>0</v>
      </c>
      <c r="M99" s="1763">
        <f t="shared" si="7"/>
        <v>0</v>
      </c>
      <c r="N99" s="2033">
        <f>IFERROR(VLOOKUP($B99,'[3]1003'!$B$6:$G$5921,2,FALSE),0)</f>
        <v>0</v>
      </c>
      <c r="O99" s="2034">
        <f>IFERROR(VLOOKUP($B99,'[3]1003'!$B$6:$G$5921,4,FALSE),0)</f>
        <v>0</v>
      </c>
      <c r="P99" s="2033">
        <f t="shared" si="8"/>
        <v>0</v>
      </c>
      <c r="Q99" s="1763">
        <f>IFERROR(VLOOKUP($B99,'[3]1004'!$B$6:$G$5921,2,FALSE),0)</f>
        <v>0</v>
      </c>
      <c r="R99" s="2036">
        <f>IFERROR(VLOOKUP($B99,'[3]1004'!$B$6:$G$5921,4,FALSE),0)</f>
        <v>0</v>
      </c>
      <c r="S99" s="1763">
        <f t="shared" si="9"/>
        <v>0</v>
      </c>
      <c r="T99" s="2033">
        <f>IFERROR(VLOOKUP($B99,'[3]1006'!$B$6:$G$5921,2,FALSE),0)</f>
        <v>0</v>
      </c>
      <c r="U99" s="2034">
        <f>IFERROR(VLOOKUP($B99,'[3]1006'!$B$6:$G$5921,4,FALSE),0)</f>
        <v>0</v>
      </c>
      <c r="V99" s="2033">
        <f t="shared" si="10"/>
        <v>0</v>
      </c>
      <c r="W99" s="2033">
        <f t="shared" si="11"/>
        <v>2</v>
      </c>
    </row>
    <row r="100" spans="2:23" x14ac:dyDescent="0.15">
      <c r="B100" s="2032">
        <v>12635</v>
      </c>
      <c r="C100" s="2032" t="s">
        <v>1480</v>
      </c>
      <c r="D100" s="2032" t="s">
        <v>1481</v>
      </c>
      <c r="E100" s="2032" t="s">
        <v>94</v>
      </c>
      <c r="F100" s="1288" t="s">
        <v>1300</v>
      </c>
      <c r="G100" s="1288" t="s">
        <v>1303</v>
      </c>
      <c r="H100" s="2033">
        <f>IFERROR(VLOOKUP($B100,'[3]1001'!$B$6:$G$5927,2,FALSE),0)</f>
        <v>0</v>
      </c>
      <c r="I100" s="2034">
        <f>IFERROR(VLOOKUP($B100,'[3]1001'!$B$6:$G$5927,4,FALSE),0)</f>
        <v>0</v>
      </c>
      <c r="J100" s="2033">
        <f t="shared" si="6"/>
        <v>0</v>
      </c>
      <c r="K100" s="2035">
        <f>IFERROR(VLOOKUP($B100,'[3]1002'!$B$6:$G$5921,2,FALSE),0)</f>
        <v>0</v>
      </c>
      <c r="L100" s="2036">
        <f>IFERROR(VLOOKUP($B100,'[3]1002'!$B$6:$G$5921,4,FALSE),0)</f>
        <v>0</v>
      </c>
      <c r="M100" s="1763">
        <f t="shared" si="7"/>
        <v>0</v>
      </c>
      <c r="N100" s="2033">
        <f>IFERROR(VLOOKUP($B100,'[3]1003'!$B$6:$G$5921,2,FALSE),0)</f>
        <v>474140.34</v>
      </c>
      <c r="O100" s="2034">
        <f>IFERROR(VLOOKUP($B100,'[3]1003'!$B$6:$G$5921,4,FALSE),0)</f>
        <v>2</v>
      </c>
      <c r="P100" s="2033">
        <f t="shared" si="8"/>
        <v>237070.17</v>
      </c>
      <c r="Q100" s="1763">
        <f>IFERROR(VLOOKUP($B100,'[3]1004'!$B$6:$G$5921,2,FALSE),0)</f>
        <v>0</v>
      </c>
      <c r="R100" s="2036">
        <f>IFERROR(VLOOKUP($B100,'[3]1004'!$B$6:$G$5921,4,FALSE),0)</f>
        <v>0</v>
      </c>
      <c r="S100" s="1763">
        <f t="shared" si="9"/>
        <v>0</v>
      </c>
      <c r="T100" s="2033">
        <f>IFERROR(VLOOKUP($B100,'[3]1006'!$B$6:$G$5921,2,FALSE),0)</f>
        <v>0</v>
      </c>
      <c r="U100" s="2034">
        <f>IFERROR(VLOOKUP($B100,'[3]1006'!$B$6:$G$5921,4,FALSE),0)</f>
        <v>0</v>
      </c>
      <c r="V100" s="2033">
        <f t="shared" si="10"/>
        <v>0</v>
      </c>
      <c r="W100" s="2033">
        <f t="shared" si="11"/>
        <v>2</v>
      </c>
    </row>
    <row r="101" spans="2:23" x14ac:dyDescent="0.15">
      <c r="B101" s="2032">
        <v>12636</v>
      </c>
      <c r="C101" s="2032" t="s">
        <v>1482</v>
      </c>
      <c r="D101" s="2032" t="s">
        <v>1483</v>
      </c>
      <c r="E101" s="2032" t="s">
        <v>94</v>
      </c>
      <c r="F101" s="1288" t="s">
        <v>1300</v>
      </c>
      <c r="G101" s="1288" t="s">
        <v>1303</v>
      </c>
      <c r="H101" s="2033">
        <f>IFERROR(VLOOKUP($B101,'[3]1001'!$B$6:$G$5927,2,FALSE),0)</f>
        <v>0</v>
      </c>
      <c r="I101" s="2034">
        <f>IFERROR(VLOOKUP($B101,'[3]1001'!$B$6:$G$5927,4,FALSE),0)</f>
        <v>0</v>
      </c>
      <c r="J101" s="2033">
        <f t="shared" si="6"/>
        <v>0</v>
      </c>
      <c r="K101" s="2035">
        <f>IFERROR(VLOOKUP($B101,'[3]1002'!$B$6:$G$5921,2,FALSE),0)</f>
        <v>0</v>
      </c>
      <c r="L101" s="2036">
        <f>IFERROR(VLOOKUP($B101,'[3]1002'!$B$6:$G$5921,4,FALSE),0)</f>
        <v>0</v>
      </c>
      <c r="M101" s="1763">
        <f t="shared" si="7"/>
        <v>0</v>
      </c>
      <c r="N101" s="2033">
        <f>IFERROR(VLOOKUP($B101,'[3]1003'!$B$6:$G$5921,2,FALSE),0)</f>
        <v>0</v>
      </c>
      <c r="O101" s="2034">
        <f>IFERROR(VLOOKUP($B101,'[3]1003'!$B$6:$G$5921,4,FALSE),0)</f>
        <v>0</v>
      </c>
      <c r="P101" s="2033">
        <f t="shared" si="8"/>
        <v>0</v>
      </c>
      <c r="Q101" s="1763">
        <f>IFERROR(VLOOKUP($B101,'[3]1004'!$B$6:$G$5921,2,FALSE),0)</f>
        <v>0</v>
      </c>
      <c r="R101" s="2036">
        <f>IFERROR(VLOOKUP($B101,'[3]1004'!$B$6:$G$5921,4,FALSE),0)</f>
        <v>0</v>
      </c>
      <c r="S101" s="1763">
        <f t="shared" si="9"/>
        <v>0</v>
      </c>
      <c r="T101" s="2033">
        <f>IFERROR(VLOOKUP($B101,'[3]1006'!$B$6:$G$5921,2,FALSE),0)</f>
        <v>0</v>
      </c>
      <c r="U101" s="2034">
        <f>IFERROR(VLOOKUP($B101,'[3]1006'!$B$6:$G$5921,4,FALSE),0)</f>
        <v>0</v>
      </c>
      <c r="V101" s="2033">
        <f t="shared" si="10"/>
        <v>0</v>
      </c>
      <c r="W101" s="2033">
        <f t="shared" si="11"/>
        <v>0</v>
      </c>
    </row>
    <row r="102" spans="2:23" x14ac:dyDescent="0.15">
      <c r="B102" s="2032">
        <v>12638</v>
      </c>
      <c r="C102" s="2032" t="s">
        <v>1484</v>
      </c>
      <c r="D102" s="2032" t="s">
        <v>1485</v>
      </c>
      <c r="E102" s="2032" t="s">
        <v>94</v>
      </c>
      <c r="F102" s="1288" t="s">
        <v>1300</v>
      </c>
      <c r="G102" s="1288" t="s">
        <v>1296</v>
      </c>
      <c r="H102" s="2033">
        <f>IFERROR(VLOOKUP($B102,'[3]1001'!$B$6:$G$5927,2,FALSE),0)</f>
        <v>0</v>
      </c>
      <c r="I102" s="2034">
        <f>IFERROR(VLOOKUP($B102,'[3]1001'!$B$6:$G$5927,4,FALSE),0)</f>
        <v>0</v>
      </c>
      <c r="J102" s="2033">
        <f t="shared" si="6"/>
        <v>0</v>
      </c>
      <c r="K102" s="2035">
        <f>IFERROR(VLOOKUP($B102,'[3]1002'!$B$6:$G$5921,2,FALSE),0)</f>
        <v>0</v>
      </c>
      <c r="L102" s="2036">
        <f>IFERROR(VLOOKUP($B102,'[3]1002'!$B$6:$G$5921,4,FALSE),0)</f>
        <v>0</v>
      </c>
      <c r="M102" s="1763">
        <f t="shared" si="7"/>
        <v>0</v>
      </c>
      <c r="N102" s="2033">
        <f>IFERROR(VLOOKUP($B102,'[3]1003'!$B$6:$G$5921,2,FALSE),0)</f>
        <v>0</v>
      </c>
      <c r="O102" s="2034">
        <f>IFERROR(VLOOKUP($B102,'[3]1003'!$B$6:$G$5921,4,FALSE),0)</f>
        <v>0</v>
      </c>
      <c r="P102" s="2033">
        <f t="shared" si="8"/>
        <v>0</v>
      </c>
      <c r="Q102" s="1763">
        <f>IFERROR(VLOOKUP($B102,'[3]1004'!$B$6:$G$5921,2,FALSE),0)</f>
        <v>0</v>
      </c>
      <c r="R102" s="2036">
        <f>IFERROR(VLOOKUP($B102,'[3]1004'!$B$6:$G$5921,4,FALSE),0)</f>
        <v>0</v>
      </c>
      <c r="S102" s="1763">
        <f t="shared" si="9"/>
        <v>0</v>
      </c>
      <c r="T102" s="2033">
        <f>IFERROR(VLOOKUP($B102,'[3]1006'!$B$6:$G$5921,2,FALSE),0)</f>
        <v>0</v>
      </c>
      <c r="U102" s="2034">
        <f>IFERROR(VLOOKUP($B102,'[3]1006'!$B$6:$G$5921,4,FALSE),0)</f>
        <v>0</v>
      </c>
      <c r="V102" s="2033">
        <f t="shared" si="10"/>
        <v>0</v>
      </c>
      <c r="W102" s="2033">
        <f t="shared" si="11"/>
        <v>0</v>
      </c>
    </row>
    <row r="103" spans="2:23" x14ac:dyDescent="0.15">
      <c r="B103" s="2032">
        <v>12639</v>
      </c>
      <c r="C103" s="2032" t="s">
        <v>1486</v>
      </c>
      <c r="D103" s="2032" t="s">
        <v>1487</v>
      </c>
      <c r="E103" s="2032" t="s">
        <v>94</v>
      </c>
      <c r="F103" s="1288" t="s">
        <v>1300</v>
      </c>
      <c r="G103" s="1288" t="s">
        <v>1303</v>
      </c>
      <c r="H103" s="2033">
        <f>IFERROR(VLOOKUP($B103,'[3]1001'!$B$6:$G$5927,2,FALSE),0)</f>
        <v>0</v>
      </c>
      <c r="I103" s="2034">
        <f>IFERROR(VLOOKUP($B103,'[3]1001'!$B$6:$G$5927,4,FALSE),0)</f>
        <v>0</v>
      </c>
      <c r="J103" s="2033">
        <f t="shared" si="6"/>
        <v>0</v>
      </c>
      <c r="K103" s="2035">
        <f>IFERROR(VLOOKUP($B103,'[3]1002'!$B$6:$G$5921,2,FALSE),0)</f>
        <v>370223.8</v>
      </c>
      <c r="L103" s="2036">
        <f>IFERROR(VLOOKUP($B103,'[3]1002'!$B$6:$G$5921,4,FALSE),0)</f>
        <v>1</v>
      </c>
      <c r="M103" s="1763">
        <f t="shared" si="7"/>
        <v>370223.8</v>
      </c>
      <c r="N103" s="2033">
        <f>IFERROR(VLOOKUP($B103,'[3]1003'!$B$6:$G$5921,2,FALSE),0)</f>
        <v>370223.8</v>
      </c>
      <c r="O103" s="2034">
        <f>IFERROR(VLOOKUP($B103,'[3]1003'!$B$6:$G$5921,4,FALSE),0)</f>
        <v>1</v>
      </c>
      <c r="P103" s="2033">
        <f t="shared" si="8"/>
        <v>370223.8</v>
      </c>
      <c r="Q103" s="1763">
        <f>IFERROR(VLOOKUP($B103,'[3]1004'!$B$6:$G$5921,2,FALSE),0)</f>
        <v>0</v>
      </c>
      <c r="R103" s="2036">
        <f>IFERROR(VLOOKUP($B103,'[3]1004'!$B$6:$G$5921,4,FALSE),0)</f>
        <v>0</v>
      </c>
      <c r="S103" s="1763">
        <f t="shared" si="9"/>
        <v>0</v>
      </c>
      <c r="T103" s="2033">
        <f>IFERROR(VLOOKUP($B103,'[3]1006'!$B$6:$G$5921,2,FALSE),0)</f>
        <v>0</v>
      </c>
      <c r="U103" s="2034">
        <f>IFERROR(VLOOKUP($B103,'[3]1006'!$B$6:$G$5921,4,FALSE),0)</f>
        <v>0</v>
      </c>
      <c r="V103" s="2033">
        <f t="shared" si="10"/>
        <v>0</v>
      </c>
      <c r="W103" s="2033">
        <f t="shared" si="11"/>
        <v>2</v>
      </c>
    </row>
    <row r="104" spans="2:23" x14ac:dyDescent="0.15">
      <c r="B104" s="2032">
        <v>12640</v>
      </c>
      <c r="C104" s="2032" t="s">
        <v>1488</v>
      </c>
      <c r="D104" s="2032" t="s">
        <v>1489</v>
      </c>
      <c r="E104" s="2032" t="s">
        <v>94</v>
      </c>
      <c r="F104" s="1288" t="s">
        <v>1300</v>
      </c>
      <c r="G104" s="1288" t="s">
        <v>1303</v>
      </c>
      <c r="H104" s="2033">
        <f>IFERROR(VLOOKUP($B104,'[3]1001'!$B$6:$G$5927,2,FALSE),0)</f>
        <v>0</v>
      </c>
      <c r="I104" s="2034">
        <f>IFERROR(VLOOKUP($B104,'[3]1001'!$B$6:$G$5927,4,FALSE),0)</f>
        <v>0</v>
      </c>
      <c r="J104" s="2033">
        <f t="shared" si="6"/>
        <v>0</v>
      </c>
      <c r="K104" s="2035">
        <f>IFERROR(VLOOKUP($B104,'[3]1002'!$B$6:$G$5921,2,FALSE),0)</f>
        <v>0</v>
      </c>
      <c r="L104" s="2036">
        <f>IFERROR(VLOOKUP($B104,'[3]1002'!$B$6:$G$5921,4,FALSE),0)</f>
        <v>0</v>
      </c>
      <c r="M104" s="1763">
        <f t="shared" si="7"/>
        <v>0</v>
      </c>
      <c r="N104" s="2033">
        <f>IFERROR(VLOOKUP($B104,'[3]1003'!$B$6:$G$5921,2,FALSE),0)</f>
        <v>0</v>
      </c>
      <c r="O104" s="2034">
        <f>IFERROR(VLOOKUP($B104,'[3]1003'!$B$6:$G$5921,4,FALSE),0)</f>
        <v>0</v>
      </c>
      <c r="P104" s="2033">
        <f t="shared" si="8"/>
        <v>0</v>
      </c>
      <c r="Q104" s="1763">
        <f>IFERROR(VLOOKUP($B104,'[3]1004'!$B$6:$G$5921,2,FALSE),0)</f>
        <v>0</v>
      </c>
      <c r="R104" s="2036">
        <f>IFERROR(VLOOKUP($B104,'[3]1004'!$B$6:$G$5921,4,FALSE),0)</f>
        <v>0</v>
      </c>
      <c r="S104" s="1763">
        <f t="shared" si="9"/>
        <v>0</v>
      </c>
      <c r="T104" s="2033">
        <f>IFERROR(VLOOKUP($B104,'[3]1006'!$B$6:$G$5921,2,FALSE),0)</f>
        <v>0</v>
      </c>
      <c r="U104" s="2034">
        <f>IFERROR(VLOOKUP($B104,'[3]1006'!$B$6:$G$5921,4,FALSE),0)</f>
        <v>0</v>
      </c>
      <c r="V104" s="2033">
        <f t="shared" si="10"/>
        <v>0</v>
      </c>
      <c r="W104" s="2033">
        <f t="shared" si="11"/>
        <v>0</v>
      </c>
    </row>
    <row r="105" spans="2:23" x14ac:dyDescent="0.15">
      <c r="B105" s="2032">
        <v>12806</v>
      </c>
      <c r="C105" s="2032" t="s">
        <v>1490</v>
      </c>
      <c r="D105" s="2032" t="s">
        <v>1491</v>
      </c>
      <c r="E105" s="2032" t="s">
        <v>94</v>
      </c>
      <c r="F105" s="1288" t="s">
        <v>1300</v>
      </c>
      <c r="G105" s="1288" t="s">
        <v>1303</v>
      </c>
      <c r="H105" s="2033">
        <f>IFERROR(VLOOKUP($B105,'[3]1001'!$B$6:$G$5927,2,FALSE),0)</f>
        <v>0</v>
      </c>
      <c r="I105" s="2034">
        <f>IFERROR(VLOOKUP($B105,'[3]1001'!$B$6:$G$5927,4,FALSE),0)</f>
        <v>0</v>
      </c>
      <c r="J105" s="2033">
        <f t="shared" si="6"/>
        <v>0</v>
      </c>
      <c r="K105" s="2035">
        <f>IFERROR(VLOOKUP($B105,'[3]1002'!$B$6:$G$5921,2,FALSE),0)</f>
        <v>0</v>
      </c>
      <c r="L105" s="2036">
        <f>IFERROR(VLOOKUP($B105,'[3]1002'!$B$6:$G$5921,4,FALSE),0)</f>
        <v>0</v>
      </c>
      <c r="M105" s="1763">
        <f t="shared" si="7"/>
        <v>0</v>
      </c>
      <c r="N105" s="2033">
        <f>IFERROR(VLOOKUP($B105,'[3]1003'!$B$6:$G$5921,2,FALSE),0)</f>
        <v>250029.6</v>
      </c>
      <c r="O105" s="2034">
        <f>IFERROR(VLOOKUP($B105,'[3]1003'!$B$6:$G$5921,4,FALSE),0)</f>
        <v>7</v>
      </c>
      <c r="P105" s="2033">
        <f t="shared" si="8"/>
        <v>35718.514285714286</v>
      </c>
      <c r="Q105" s="1763">
        <f>IFERROR(VLOOKUP($B105,'[3]1004'!$B$6:$G$5921,2,FALSE),0)</f>
        <v>0</v>
      </c>
      <c r="R105" s="2036">
        <f>IFERROR(VLOOKUP($B105,'[3]1004'!$B$6:$G$5921,4,FALSE),0)</f>
        <v>0</v>
      </c>
      <c r="S105" s="1763">
        <f t="shared" si="9"/>
        <v>0</v>
      </c>
      <c r="T105" s="2033">
        <f>IFERROR(VLOOKUP($B105,'[3]1006'!$B$6:$G$5921,2,FALSE),0)</f>
        <v>0</v>
      </c>
      <c r="U105" s="2034">
        <f>IFERROR(VLOOKUP($B105,'[3]1006'!$B$6:$G$5921,4,FALSE),0)</f>
        <v>0</v>
      </c>
      <c r="V105" s="2033">
        <f t="shared" si="10"/>
        <v>0</v>
      </c>
      <c r="W105" s="2033">
        <f t="shared" si="11"/>
        <v>7</v>
      </c>
    </row>
    <row r="106" spans="2:23" x14ac:dyDescent="0.15">
      <c r="B106" s="2032">
        <v>12820</v>
      </c>
      <c r="C106" s="2032" t="s">
        <v>1492</v>
      </c>
      <c r="D106" s="2037" t="s">
        <v>1492</v>
      </c>
      <c r="E106" s="2032" t="s">
        <v>94</v>
      </c>
      <c r="F106" s="1288" t="s">
        <v>1300</v>
      </c>
      <c r="G106" s="1288" t="s">
        <v>1296</v>
      </c>
      <c r="H106" s="2033">
        <f>IFERROR(VLOOKUP($B106,'[3]1001'!$B$6:$G$5927,2,FALSE),0)</f>
        <v>0</v>
      </c>
      <c r="I106" s="2034">
        <f>IFERROR(VLOOKUP($B106,'[3]1001'!$B$6:$G$5927,4,FALSE),0)</f>
        <v>0</v>
      </c>
      <c r="J106" s="2033">
        <f t="shared" si="6"/>
        <v>0</v>
      </c>
      <c r="K106" s="2035">
        <f>IFERROR(VLOOKUP($B106,'[3]1002'!$B$6:$G$5921,2,FALSE),0)</f>
        <v>0</v>
      </c>
      <c r="L106" s="2036">
        <f>IFERROR(VLOOKUP($B106,'[3]1002'!$B$6:$G$5921,4,FALSE),0)</f>
        <v>0</v>
      </c>
      <c r="M106" s="1763">
        <f t="shared" si="7"/>
        <v>0</v>
      </c>
      <c r="N106" s="2033">
        <f>IFERROR(VLOOKUP($B106,'[3]1003'!$B$6:$G$5921,2,FALSE),0)</f>
        <v>0</v>
      </c>
      <c r="O106" s="2034">
        <f>IFERROR(VLOOKUP($B106,'[3]1003'!$B$6:$G$5921,4,FALSE),0)</f>
        <v>0</v>
      </c>
      <c r="P106" s="2033">
        <f t="shared" si="8"/>
        <v>0</v>
      </c>
      <c r="Q106" s="1763">
        <f>IFERROR(VLOOKUP($B106,'[3]1004'!$B$6:$G$5921,2,FALSE),0)</f>
        <v>0</v>
      </c>
      <c r="R106" s="2036">
        <f>IFERROR(VLOOKUP($B106,'[3]1004'!$B$6:$G$5921,4,FALSE),0)</f>
        <v>0</v>
      </c>
      <c r="S106" s="1763">
        <f t="shared" si="9"/>
        <v>0</v>
      </c>
      <c r="T106" s="2033">
        <f>IFERROR(VLOOKUP($B106,'[3]1006'!$B$6:$G$5921,2,FALSE),0)</f>
        <v>0</v>
      </c>
      <c r="U106" s="2034">
        <f>IFERROR(VLOOKUP($B106,'[3]1006'!$B$6:$G$5921,4,FALSE),0)</f>
        <v>0</v>
      </c>
      <c r="V106" s="2033">
        <f t="shared" si="10"/>
        <v>0</v>
      </c>
      <c r="W106" s="2033">
        <f t="shared" si="11"/>
        <v>0</v>
      </c>
    </row>
    <row r="107" spans="2:23" x14ac:dyDescent="0.15">
      <c r="B107" s="2032">
        <v>12821</v>
      </c>
      <c r="C107" s="2032" t="s">
        <v>1494</v>
      </c>
      <c r="D107" s="2037" t="s">
        <v>1494</v>
      </c>
      <c r="E107" s="2032" t="s">
        <v>94</v>
      </c>
      <c r="F107" s="1288" t="s">
        <v>1300</v>
      </c>
      <c r="G107" s="1288" t="s">
        <v>1303</v>
      </c>
      <c r="H107" s="2033">
        <f>IFERROR(VLOOKUP($B107,'[3]1001'!$B$6:$G$5927,2,FALSE),0)</f>
        <v>0</v>
      </c>
      <c r="I107" s="2034">
        <f>IFERROR(VLOOKUP($B107,'[3]1001'!$B$6:$G$5927,4,FALSE),0)</f>
        <v>0</v>
      </c>
      <c r="J107" s="2033">
        <f t="shared" si="6"/>
        <v>0</v>
      </c>
      <c r="K107" s="2035">
        <f>IFERROR(VLOOKUP($B107,'[3]1002'!$B$6:$G$5921,2,FALSE),0)</f>
        <v>0</v>
      </c>
      <c r="L107" s="2036">
        <f>IFERROR(VLOOKUP($B107,'[3]1002'!$B$6:$G$5921,4,FALSE),0)</f>
        <v>0</v>
      </c>
      <c r="M107" s="1763">
        <f t="shared" si="7"/>
        <v>0</v>
      </c>
      <c r="N107" s="2033">
        <f>IFERROR(VLOOKUP($B107,'[3]1003'!$B$6:$G$5921,2,FALSE),0)</f>
        <v>0</v>
      </c>
      <c r="O107" s="2034">
        <f>IFERROR(VLOOKUP($B107,'[3]1003'!$B$6:$G$5921,4,FALSE),0)</f>
        <v>0</v>
      </c>
      <c r="P107" s="2033">
        <f t="shared" si="8"/>
        <v>0</v>
      </c>
      <c r="Q107" s="1763">
        <f>IFERROR(VLOOKUP($B107,'[3]1004'!$B$6:$G$5921,2,FALSE),0)</f>
        <v>0</v>
      </c>
      <c r="R107" s="2036">
        <f>IFERROR(VLOOKUP($B107,'[3]1004'!$B$6:$G$5921,4,FALSE),0)</f>
        <v>0</v>
      </c>
      <c r="S107" s="1763">
        <f t="shared" si="9"/>
        <v>0</v>
      </c>
      <c r="T107" s="2033">
        <f>IFERROR(VLOOKUP($B107,'[3]1006'!$B$6:$G$5921,2,FALSE),0)</f>
        <v>0</v>
      </c>
      <c r="U107" s="2034">
        <f>IFERROR(VLOOKUP($B107,'[3]1006'!$B$6:$G$5921,4,FALSE),0)</f>
        <v>0</v>
      </c>
      <c r="V107" s="2033">
        <f t="shared" si="10"/>
        <v>0</v>
      </c>
      <c r="W107" s="2033">
        <f t="shared" si="11"/>
        <v>0</v>
      </c>
    </row>
    <row r="108" spans="2:23" x14ac:dyDescent="0.15">
      <c r="B108" s="2032">
        <v>12822</v>
      </c>
      <c r="C108" s="2032" t="s">
        <v>1495</v>
      </c>
      <c r="D108" s="2037" t="s">
        <v>1495</v>
      </c>
      <c r="E108" s="2032" t="s">
        <v>94</v>
      </c>
      <c r="F108" s="1288" t="s">
        <v>1300</v>
      </c>
      <c r="G108" s="1288" t="s">
        <v>1303</v>
      </c>
      <c r="H108" s="2033">
        <f>IFERROR(VLOOKUP($B108,'[3]1001'!$B$6:$G$5927,2,FALSE),0)</f>
        <v>0</v>
      </c>
      <c r="I108" s="2034">
        <f>IFERROR(VLOOKUP($B108,'[3]1001'!$B$6:$G$5927,4,FALSE),0)</f>
        <v>0</v>
      </c>
      <c r="J108" s="2033">
        <f t="shared" si="6"/>
        <v>0</v>
      </c>
      <c r="K108" s="2035">
        <f>IFERROR(VLOOKUP($B108,'[3]1002'!$B$6:$G$5921,2,FALSE),0)</f>
        <v>0</v>
      </c>
      <c r="L108" s="2036">
        <f>IFERROR(VLOOKUP($B108,'[3]1002'!$B$6:$G$5921,4,FALSE),0)</f>
        <v>0</v>
      </c>
      <c r="M108" s="1763">
        <f t="shared" si="7"/>
        <v>0</v>
      </c>
      <c r="N108" s="2033">
        <f>IFERROR(VLOOKUP($B108,'[3]1003'!$B$6:$G$5921,2,FALSE),0)</f>
        <v>0</v>
      </c>
      <c r="O108" s="2034">
        <f>IFERROR(VLOOKUP($B108,'[3]1003'!$B$6:$G$5921,4,FALSE),0)</f>
        <v>0</v>
      </c>
      <c r="P108" s="2033">
        <f t="shared" si="8"/>
        <v>0</v>
      </c>
      <c r="Q108" s="1763">
        <f>IFERROR(VLOOKUP($B108,'[3]1004'!$B$6:$G$5921,2,FALSE),0)</f>
        <v>0</v>
      </c>
      <c r="R108" s="2036">
        <f>IFERROR(VLOOKUP($B108,'[3]1004'!$B$6:$G$5921,4,FALSE),0)</f>
        <v>0</v>
      </c>
      <c r="S108" s="1763">
        <f t="shared" si="9"/>
        <v>0</v>
      </c>
      <c r="T108" s="2033">
        <f>IFERROR(VLOOKUP($B108,'[3]1006'!$B$6:$G$5921,2,FALSE),0)</f>
        <v>0</v>
      </c>
      <c r="U108" s="2034">
        <f>IFERROR(VLOOKUP($B108,'[3]1006'!$B$6:$G$5921,4,FALSE),0)</f>
        <v>0</v>
      </c>
      <c r="V108" s="2033">
        <f t="shared" si="10"/>
        <v>0</v>
      </c>
      <c r="W108" s="2033">
        <f t="shared" si="11"/>
        <v>0</v>
      </c>
    </row>
    <row r="109" spans="2:23" x14ac:dyDescent="0.15">
      <c r="B109" s="2032">
        <v>12823</v>
      </c>
      <c r="C109" s="2032" t="s">
        <v>1496</v>
      </c>
      <c r="D109" s="2037" t="s">
        <v>1496</v>
      </c>
      <c r="E109" s="2032" t="s">
        <v>94</v>
      </c>
      <c r="F109" s="1288" t="s">
        <v>1300</v>
      </c>
      <c r="G109" s="1288" t="s">
        <v>1303</v>
      </c>
      <c r="H109" s="2033">
        <f>IFERROR(VLOOKUP($B109,'[3]1001'!$B$6:$G$5927,2,FALSE),0)</f>
        <v>84708</v>
      </c>
      <c r="I109" s="2034">
        <f>IFERROR(VLOOKUP($B109,'[3]1001'!$B$6:$G$5927,4,FALSE),0)</f>
        <v>10</v>
      </c>
      <c r="J109" s="2033">
        <f t="shared" si="6"/>
        <v>8470.7999999999993</v>
      </c>
      <c r="K109" s="2035">
        <f>IFERROR(VLOOKUP($B109,'[3]1002'!$B$6:$G$5921,2,FALSE),0)</f>
        <v>0</v>
      </c>
      <c r="L109" s="2036">
        <f>IFERROR(VLOOKUP($B109,'[3]1002'!$B$6:$G$5921,4,FALSE),0)</f>
        <v>0</v>
      </c>
      <c r="M109" s="1763">
        <f t="shared" si="7"/>
        <v>0</v>
      </c>
      <c r="N109" s="2033">
        <f>IFERROR(VLOOKUP($B109,'[3]1003'!$B$6:$G$5921,2,FALSE),0)</f>
        <v>0</v>
      </c>
      <c r="O109" s="2034">
        <f>IFERROR(VLOOKUP($B109,'[3]1003'!$B$6:$G$5921,4,FALSE),0)</f>
        <v>0</v>
      </c>
      <c r="P109" s="2033">
        <f t="shared" si="8"/>
        <v>0</v>
      </c>
      <c r="Q109" s="1763">
        <f>IFERROR(VLOOKUP($B109,'[3]1004'!$B$6:$G$5921,2,FALSE),0)</f>
        <v>0</v>
      </c>
      <c r="R109" s="2036">
        <f>IFERROR(VLOOKUP($B109,'[3]1004'!$B$6:$G$5921,4,FALSE),0)</f>
        <v>0</v>
      </c>
      <c r="S109" s="1763">
        <f t="shared" si="9"/>
        <v>0</v>
      </c>
      <c r="T109" s="2033">
        <f>IFERROR(VLOOKUP($B109,'[3]1006'!$B$6:$G$5921,2,FALSE),0)</f>
        <v>0</v>
      </c>
      <c r="U109" s="2034">
        <f>IFERROR(VLOOKUP($B109,'[3]1006'!$B$6:$G$5921,4,FALSE),0)</f>
        <v>0</v>
      </c>
      <c r="V109" s="2033">
        <f t="shared" si="10"/>
        <v>0</v>
      </c>
      <c r="W109" s="2033">
        <f t="shared" si="11"/>
        <v>10</v>
      </c>
    </row>
    <row r="110" spans="2:23" x14ac:dyDescent="0.15">
      <c r="B110" s="2032">
        <v>12824</v>
      </c>
      <c r="C110" s="2032" t="s">
        <v>1497</v>
      </c>
      <c r="D110" s="2037" t="s">
        <v>1497</v>
      </c>
      <c r="E110" s="2032" t="s">
        <v>94</v>
      </c>
      <c r="F110" s="1288" t="s">
        <v>1300</v>
      </c>
      <c r="G110" s="1288" t="s">
        <v>1303</v>
      </c>
      <c r="H110" s="2033">
        <f>IFERROR(VLOOKUP($B110,'[3]1001'!$B$6:$G$5927,2,FALSE),0)</f>
        <v>152474.4</v>
      </c>
      <c r="I110" s="2034">
        <f>IFERROR(VLOOKUP($B110,'[3]1001'!$B$6:$G$5927,4,FALSE),0)</f>
        <v>18</v>
      </c>
      <c r="J110" s="2033">
        <f t="shared" si="6"/>
        <v>8470.7999999999993</v>
      </c>
      <c r="K110" s="2035">
        <f>IFERROR(VLOOKUP($B110,'[3]1002'!$B$6:$G$5921,2,FALSE),0)</f>
        <v>0</v>
      </c>
      <c r="L110" s="2036">
        <f>IFERROR(VLOOKUP($B110,'[3]1002'!$B$6:$G$5921,4,FALSE),0)</f>
        <v>0</v>
      </c>
      <c r="M110" s="1763">
        <f t="shared" si="7"/>
        <v>0</v>
      </c>
      <c r="N110" s="2033">
        <f>IFERROR(VLOOKUP($B110,'[3]1003'!$B$6:$G$5921,2,FALSE),0)</f>
        <v>0</v>
      </c>
      <c r="O110" s="2034">
        <f>IFERROR(VLOOKUP($B110,'[3]1003'!$B$6:$G$5921,4,FALSE),0)</f>
        <v>0</v>
      </c>
      <c r="P110" s="2033">
        <f t="shared" si="8"/>
        <v>0</v>
      </c>
      <c r="Q110" s="1763">
        <f>IFERROR(VLOOKUP($B110,'[3]1004'!$B$6:$G$5921,2,FALSE),0)</f>
        <v>0</v>
      </c>
      <c r="R110" s="2036">
        <f>IFERROR(VLOOKUP($B110,'[3]1004'!$B$6:$G$5921,4,FALSE),0)</f>
        <v>0</v>
      </c>
      <c r="S110" s="1763">
        <f t="shared" si="9"/>
        <v>0</v>
      </c>
      <c r="T110" s="2033">
        <f>IFERROR(VLOOKUP($B110,'[3]1006'!$B$6:$G$5921,2,FALSE),0)</f>
        <v>0</v>
      </c>
      <c r="U110" s="2034">
        <f>IFERROR(VLOOKUP($B110,'[3]1006'!$B$6:$G$5921,4,FALSE),0)</f>
        <v>0</v>
      </c>
      <c r="V110" s="2033">
        <f t="shared" si="10"/>
        <v>0</v>
      </c>
      <c r="W110" s="2033">
        <f t="shared" si="11"/>
        <v>18</v>
      </c>
    </row>
    <row r="111" spans="2:23" x14ac:dyDescent="0.15">
      <c r="B111" s="2032">
        <v>12825</v>
      </c>
      <c r="C111" s="2032" t="s">
        <v>1498</v>
      </c>
      <c r="D111" s="2037" t="s">
        <v>1498</v>
      </c>
      <c r="E111" s="2032" t="s">
        <v>94</v>
      </c>
      <c r="F111" s="1288" t="s">
        <v>1300</v>
      </c>
      <c r="G111" s="1288" t="s">
        <v>1303</v>
      </c>
      <c r="H111" s="2033">
        <f>IFERROR(VLOOKUP($B111,'[3]1001'!$B$6:$G$5927,2,FALSE),0)</f>
        <v>67766.399999999994</v>
      </c>
      <c r="I111" s="2034">
        <f>IFERROR(VLOOKUP($B111,'[3]1001'!$B$6:$G$5927,4,FALSE),0)</f>
        <v>8</v>
      </c>
      <c r="J111" s="2033">
        <f t="shared" si="6"/>
        <v>8470.7999999999993</v>
      </c>
      <c r="K111" s="2035">
        <f>IFERROR(VLOOKUP($B111,'[3]1002'!$B$6:$G$5921,2,FALSE),0)</f>
        <v>0</v>
      </c>
      <c r="L111" s="2036">
        <f>IFERROR(VLOOKUP($B111,'[3]1002'!$B$6:$G$5921,4,FALSE),0)</f>
        <v>0</v>
      </c>
      <c r="M111" s="1763">
        <f t="shared" si="7"/>
        <v>0</v>
      </c>
      <c r="N111" s="2033">
        <f>IFERROR(VLOOKUP($B111,'[3]1003'!$B$6:$G$5921,2,FALSE),0)</f>
        <v>0</v>
      </c>
      <c r="O111" s="2034">
        <f>IFERROR(VLOOKUP($B111,'[3]1003'!$B$6:$G$5921,4,FALSE),0)</f>
        <v>0</v>
      </c>
      <c r="P111" s="2033">
        <f t="shared" si="8"/>
        <v>0</v>
      </c>
      <c r="Q111" s="1763">
        <f>IFERROR(VLOOKUP($B111,'[3]1004'!$B$6:$G$5921,2,FALSE),0)</f>
        <v>0</v>
      </c>
      <c r="R111" s="2036">
        <f>IFERROR(VLOOKUP($B111,'[3]1004'!$B$6:$G$5921,4,FALSE),0)</f>
        <v>0</v>
      </c>
      <c r="S111" s="1763">
        <f t="shared" si="9"/>
        <v>0</v>
      </c>
      <c r="T111" s="2033">
        <f>IFERROR(VLOOKUP($B111,'[3]1006'!$B$6:$G$5921,2,FALSE),0)</f>
        <v>0</v>
      </c>
      <c r="U111" s="2034">
        <f>IFERROR(VLOOKUP($B111,'[3]1006'!$B$6:$G$5921,4,FALSE),0)</f>
        <v>0</v>
      </c>
      <c r="V111" s="2033">
        <f t="shared" si="10"/>
        <v>0</v>
      </c>
      <c r="W111" s="2033">
        <f t="shared" si="11"/>
        <v>8</v>
      </c>
    </row>
    <row r="112" spans="2:23" x14ac:dyDescent="0.15">
      <c r="B112" s="2032">
        <v>12826</v>
      </c>
      <c r="C112" s="2032" t="s">
        <v>1499</v>
      </c>
      <c r="D112" s="2037" t="s">
        <v>1499</v>
      </c>
      <c r="E112" s="2032" t="s">
        <v>94</v>
      </c>
      <c r="F112" s="1288" t="s">
        <v>1300</v>
      </c>
      <c r="G112" s="1288" t="s">
        <v>1303</v>
      </c>
      <c r="H112" s="2033">
        <f>IFERROR(VLOOKUP($B112,'[3]1001'!$B$6:$G$5927,2,FALSE),0)</f>
        <v>0</v>
      </c>
      <c r="I112" s="2034">
        <f>IFERROR(VLOOKUP($B112,'[3]1001'!$B$6:$G$5927,4,FALSE),0)</f>
        <v>0</v>
      </c>
      <c r="J112" s="2033">
        <f t="shared" si="6"/>
        <v>0</v>
      </c>
      <c r="K112" s="2035">
        <f>IFERROR(VLOOKUP($B112,'[3]1002'!$B$6:$G$5921,2,FALSE),0)</f>
        <v>0</v>
      </c>
      <c r="L112" s="2036">
        <f>IFERROR(VLOOKUP($B112,'[3]1002'!$B$6:$G$5921,4,FALSE),0)</f>
        <v>0</v>
      </c>
      <c r="M112" s="1763">
        <f t="shared" si="7"/>
        <v>0</v>
      </c>
      <c r="N112" s="2033">
        <f>IFERROR(VLOOKUP($B112,'[3]1003'!$B$6:$G$5921,2,FALSE),0)</f>
        <v>0</v>
      </c>
      <c r="O112" s="2034">
        <f>IFERROR(VLOOKUP($B112,'[3]1003'!$B$6:$G$5921,4,FALSE),0)</f>
        <v>0</v>
      </c>
      <c r="P112" s="2033">
        <f t="shared" si="8"/>
        <v>0</v>
      </c>
      <c r="Q112" s="1763">
        <f>IFERROR(VLOOKUP($B112,'[3]1004'!$B$6:$G$5921,2,FALSE),0)</f>
        <v>0</v>
      </c>
      <c r="R112" s="2036">
        <f>IFERROR(VLOOKUP($B112,'[3]1004'!$B$6:$G$5921,4,FALSE),0)</f>
        <v>0</v>
      </c>
      <c r="S112" s="1763">
        <f t="shared" si="9"/>
        <v>0</v>
      </c>
      <c r="T112" s="2033">
        <f>IFERROR(VLOOKUP($B112,'[3]1006'!$B$6:$G$5921,2,FALSE),0)</f>
        <v>0</v>
      </c>
      <c r="U112" s="2034">
        <f>IFERROR(VLOOKUP($B112,'[3]1006'!$B$6:$G$5921,4,FALSE),0)</f>
        <v>0</v>
      </c>
      <c r="V112" s="2033">
        <f t="shared" si="10"/>
        <v>0</v>
      </c>
      <c r="W112" s="2033">
        <f t="shared" si="11"/>
        <v>0</v>
      </c>
    </row>
    <row r="113" spans="2:23" x14ac:dyDescent="0.15">
      <c r="B113" s="2032">
        <v>12827</v>
      </c>
      <c r="C113" s="2032" t="s">
        <v>1500</v>
      </c>
      <c r="D113" s="2037" t="s">
        <v>1500</v>
      </c>
      <c r="E113" s="2032" t="s">
        <v>94</v>
      </c>
      <c r="F113" s="1288" t="s">
        <v>1300</v>
      </c>
      <c r="G113" s="1288" t="s">
        <v>1303</v>
      </c>
      <c r="H113" s="2033">
        <f>IFERROR(VLOOKUP($B113,'[3]1001'!$B$6:$G$5927,2,FALSE),0)</f>
        <v>0</v>
      </c>
      <c r="I113" s="2034">
        <f>IFERROR(VLOOKUP($B113,'[3]1001'!$B$6:$G$5927,4,FALSE),0)</f>
        <v>0</v>
      </c>
      <c r="J113" s="2033">
        <f t="shared" si="6"/>
        <v>0</v>
      </c>
      <c r="K113" s="2035">
        <f>IFERROR(VLOOKUP($B113,'[3]1002'!$B$6:$G$5921,2,FALSE),0)</f>
        <v>0</v>
      </c>
      <c r="L113" s="2036">
        <f>IFERROR(VLOOKUP($B113,'[3]1002'!$B$6:$G$5921,4,FALSE),0)</f>
        <v>0</v>
      </c>
      <c r="M113" s="1763">
        <f t="shared" si="7"/>
        <v>0</v>
      </c>
      <c r="N113" s="2033">
        <f>IFERROR(VLOOKUP($B113,'[3]1003'!$B$6:$G$5921,2,FALSE),0)</f>
        <v>0</v>
      </c>
      <c r="O113" s="2034">
        <f>IFERROR(VLOOKUP($B113,'[3]1003'!$B$6:$G$5921,4,FALSE),0)</f>
        <v>0</v>
      </c>
      <c r="P113" s="2033">
        <f t="shared" si="8"/>
        <v>0</v>
      </c>
      <c r="Q113" s="1763">
        <f>IFERROR(VLOOKUP($B113,'[3]1004'!$B$6:$G$5921,2,FALSE),0)</f>
        <v>0</v>
      </c>
      <c r="R113" s="2036">
        <f>IFERROR(VLOOKUP($B113,'[3]1004'!$B$6:$G$5921,4,FALSE),0)</f>
        <v>0</v>
      </c>
      <c r="S113" s="1763">
        <f t="shared" si="9"/>
        <v>0</v>
      </c>
      <c r="T113" s="2033">
        <f>IFERROR(VLOOKUP($B113,'[3]1006'!$B$6:$G$5921,2,FALSE),0)</f>
        <v>0</v>
      </c>
      <c r="U113" s="2034">
        <f>IFERROR(VLOOKUP($B113,'[3]1006'!$B$6:$G$5921,4,FALSE),0)</f>
        <v>0</v>
      </c>
      <c r="V113" s="2033">
        <f t="shared" si="10"/>
        <v>0</v>
      </c>
      <c r="W113" s="2033">
        <f t="shared" si="11"/>
        <v>0</v>
      </c>
    </row>
    <row r="114" spans="2:23" x14ac:dyDescent="0.15">
      <c r="B114" s="2032">
        <v>12828</v>
      </c>
      <c r="C114" s="2032" t="s">
        <v>1492</v>
      </c>
      <c r="D114" s="2037" t="s">
        <v>1492</v>
      </c>
      <c r="E114" s="2032" t="s">
        <v>94</v>
      </c>
      <c r="F114" s="1288" t="s">
        <v>1325</v>
      </c>
      <c r="G114" s="1288" t="s">
        <v>1303</v>
      </c>
      <c r="H114" s="2033">
        <f>IFERROR(VLOOKUP($B114,'[3]1001'!$B$6:$G$5927,2,FALSE),0)</f>
        <v>0</v>
      </c>
      <c r="I114" s="2034">
        <f>IFERROR(VLOOKUP($B114,'[3]1001'!$B$6:$G$5927,4,FALSE),0)</f>
        <v>0</v>
      </c>
      <c r="J114" s="2033">
        <f t="shared" si="6"/>
        <v>0</v>
      </c>
      <c r="K114" s="2035">
        <f>IFERROR(VLOOKUP($B114,'[3]1002'!$B$6:$G$5921,2,FALSE),0)</f>
        <v>0</v>
      </c>
      <c r="L114" s="2036">
        <f>IFERROR(VLOOKUP($B114,'[3]1002'!$B$6:$G$5921,4,FALSE),0)</f>
        <v>0</v>
      </c>
      <c r="M114" s="1763">
        <f t="shared" si="7"/>
        <v>0</v>
      </c>
      <c r="N114" s="2033">
        <f>IFERROR(VLOOKUP($B114,'[3]1003'!$B$6:$G$5921,2,FALSE),0)</f>
        <v>0</v>
      </c>
      <c r="O114" s="2034">
        <f>IFERROR(VLOOKUP($B114,'[3]1003'!$B$6:$G$5921,4,FALSE),0)</f>
        <v>0</v>
      </c>
      <c r="P114" s="2033">
        <f t="shared" si="8"/>
        <v>0</v>
      </c>
      <c r="Q114" s="1763">
        <f>IFERROR(VLOOKUP($B114,'[3]1004'!$B$6:$G$5921,2,FALSE),0)</f>
        <v>0</v>
      </c>
      <c r="R114" s="2036">
        <f>IFERROR(VLOOKUP($B114,'[3]1004'!$B$6:$G$5921,4,FALSE),0)</f>
        <v>0</v>
      </c>
      <c r="S114" s="1763">
        <f t="shared" si="9"/>
        <v>0</v>
      </c>
      <c r="T114" s="2033">
        <f>IFERROR(VLOOKUP($B114,'[3]1006'!$B$6:$G$5921,2,FALSE),0)</f>
        <v>0</v>
      </c>
      <c r="U114" s="2034">
        <f>IFERROR(VLOOKUP($B114,'[3]1006'!$B$6:$G$5921,4,FALSE),0)</f>
        <v>0</v>
      </c>
      <c r="V114" s="2033">
        <f t="shared" si="10"/>
        <v>0</v>
      </c>
      <c r="W114" s="2033">
        <f t="shared" si="11"/>
        <v>0</v>
      </c>
    </row>
    <row r="115" spans="2:23" x14ac:dyDescent="0.15">
      <c r="B115" s="2032">
        <v>12829</v>
      </c>
      <c r="C115" s="2032" t="s">
        <v>1501</v>
      </c>
      <c r="D115" s="2037" t="s">
        <v>1501</v>
      </c>
      <c r="E115" s="2032" t="s">
        <v>94</v>
      </c>
      <c r="F115" s="1288" t="s">
        <v>1300</v>
      </c>
      <c r="G115" s="1288" t="s">
        <v>1303</v>
      </c>
      <c r="H115" s="2033">
        <f>IFERROR(VLOOKUP($B115,'[3]1001'!$B$6:$G$5927,2,FALSE),0)</f>
        <v>0</v>
      </c>
      <c r="I115" s="2034">
        <f>IFERROR(VLOOKUP($B115,'[3]1001'!$B$6:$G$5927,4,FALSE),0)</f>
        <v>0</v>
      </c>
      <c r="J115" s="2033">
        <f t="shared" si="6"/>
        <v>0</v>
      </c>
      <c r="K115" s="2035">
        <f>IFERROR(VLOOKUP($B115,'[3]1002'!$B$6:$G$5921,2,FALSE),0)</f>
        <v>0</v>
      </c>
      <c r="L115" s="2036">
        <f>IFERROR(VLOOKUP($B115,'[3]1002'!$B$6:$G$5921,4,FALSE),0)</f>
        <v>0</v>
      </c>
      <c r="M115" s="1763">
        <f t="shared" si="7"/>
        <v>0</v>
      </c>
      <c r="N115" s="2033">
        <f>IFERROR(VLOOKUP($B115,'[3]1003'!$B$6:$G$5921,2,FALSE),0)</f>
        <v>0</v>
      </c>
      <c r="O115" s="2034">
        <f>IFERROR(VLOOKUP($B115,'[3]1003'!$B$6:$G$5921,4,FALSE),0)</f>
        <v>0</v>
      </c>
      <c r="P115" s="2033">
        <f t="shared" si="8"/>
        <v>0</v>
      </c>
      <c r="Q115" s="1763">
        <f>IFERROR(VLOOKUP($B115,'[3]1004'!$B$6:$G$5921,2,FALSE),0)</f>
        <v>0</v>
      </c>
      <c r="R115" s="2036">
        <f>IFERROR(VLOOKUP($B115,'[3]1004'!$B$6:$G$5921,4,FALSE),0)</f>
        <v>0</v>
      </c>
      <c r="S115" s="1763">
        <f t="shared" si="9"/>
        <v>0</v>
      </c>
      <c r="T115" s="2033">
        <f>IFERROR(VLOOKUP($B115,'[3]1006'!$B$6:$G$5921,2,FALSE),0)</f>
        <v>0</v>
      </c>
      <c r="U115" s="2034">
        <f>IFERROR(VLOOKUP($B115,'[3]1006'!$B$6:$G$5921,4,FALSE),0)</f>
        <v>0</v>
      </c>
      <c r="V115" s="2033">
        <f t="shared" si="10"/>
        <v>0</v>
      </c>
      <c r="W115" s="2033">
        <f t="shared" si="11"/>
        <v>0</v>
      </c>
    </row>
    <row r="116" spans="2:23" x14ac:dyDescent="0.15">
      <c r="B116" s="2032">
        <v>12830</v>
      </c>
      <c r="C116" s="2032" t="s">
        <v>1502</v>
      </c>
      <c r="D116" s="2037" t="s">
        <v>1502</v>
      </c>
      <c r="E116" s="2032" t="s">
        <v>94</v>
      </c>
      <c r="F116" s="1288" t="s">
        <v>1300</v>
      </c>
      <c r="G116" s="1288" t="s">
        <v>1303</v>
      </c>
      <c r="H116" s="2033">
        <f>IFERROR(VLOOKUP($B116,'[3]1001'!$B$6:$G$5927,2,FALSE),0)</f>
        <v>0</v>
      </c>
      <c r="I116" s="2034">
        <f>IFERROR(VLOOKUP($B116,'[3]1001'!$B$6:$G$5927,4,FALSE),0)</f>
        <v>0</v>
      </c>
      <c r="J116" s="2033">
        <f t="shared" si="6"/>
        <v>0</v>
      </c>
      <c r="K116" s="2035">
        <f>IFERROR(VLOOKUP($B116,'[3]1002'!$B$6:$G$5921,2,FALSE),0)</f>
        <v>0</v>
      </c>
      <c r="L116" s="2036">
        <f>IFERROR(VLOOKUP($B116,'[3]1002'!$B$6:$G$5921,4,FALSE),0)</f>
        <v>0</v>
      </c>
      <c r="M116" s="1763">
        <f t="shared" si="7"/>
        <v>0</v>
      </c>
      <c r="N116" s="2033">
        <f>IFERROR(VLOOKUP($B116,'[3]1003'!$B$6:$G$5921,2,FALSE),0)</f>
        <v>0</v>
      </c>
      <c r="O116" s="2034">
        <f>IFERROR(VLOOKUP($B116,'[3]1003'!$B$6:$G$5921,4,FALSE),0)</f>
        <v>0</v>
      </c>
      <c r="P116" s="2033">
        <f t="shared" si="8"/>
        <v>0</v>
      </c>
      <c r="Q116" s="1763">
        <f>IFERROR(VLOOKUP($B116,'[3]1004'!$B$6:$G$5921,2,FALSE),0)</f>
        <v>0</v>
      </c>
      <c r="R116" s="2036">
        <f>IFERROR(VLOOKUP($B116,'[3]1004'!$B$6:$G$5921,4,FALSE),0)</f>
        <v>0</v>
      </c>
      <c r="S116" s="1763">
        <f t="shared" si="9"/>
        <v>0</v>
      </c>
      <c r="T116" s="2033">
        <f>IFERROR(VLOOKUP($B116,'[3]1006'!$B$6:$G$5921,2,FALSE),0)</f>
        <v>0</v>
      </c>
      <c r="U116" s="2034">
        <f>IFERROR(VLOOKUP($B116,'[3]1006'!$B$6:$G$5921,4,FALSE),0)</f>
        <v>0</v>
      </c>
      <c r="V116" s="2033">
        <f t="shared" si="10"/>
        <v>0</v>
      </c>
      <c r="W116" s="2033">
        <f t="shared" si="11"/>
        <v>0</v>
      </c>
    </row>
    <row r="117" spans="2:23" x14ac:dyDescent="0.15">
      <c r="B117" s="2032">
        <v>12831</v>
      </c>
      <c r="C117" s="2032" t="s">
        <v>1503</v>
      </c>
      <c r="D117" s="2037" t="s">
        <v>1503</v>
      </c>
      <c r="E117" s="2032" t="s">
        <v>94</v>
      </c>
      <c r="F117" s="1288" t="s">
        <v>1300</v>
      </c>
      <c r="G117" s="1288" t="s">
        <v>1303</v>
      </c>
      <c r="H117" s="2033">
        <f>IFERROR(VLOOKUP($B117,'[3]1001'!$B$6:$G$5927,2,FALSE),0)</f>
        <v>0</v>
      </c>
      <c r="I117" s="2034">
        <f>IFERROR(VLOOKUP($B117,'[3]1001'!$B$6:$G$5927,4,FALSE),0)</f>
        <v>0</v>
      </c>
      <c r="J117" s="2033">
        <f t="shared" si="6"/>
        <v>0</v>
      </c>
      <c r="K117" s="2035">
        <f>IFERROR(VLOOKUP($B117,'[3]1002'!$B$6:$G$5921,2,FALSE),0)</f>
        <v>0</v>
      </c>
      <c r="L117" s="2036">
        <f>IFERROR(VLOOKUP($B117,'[3]1002'!$B$6:$G$5921,4,FALSE),0)</f>
        <v>0</v>
      </c>
      <c r="M117" s="1763">
        <f t="shared" si="7"/>
        <v>0</v>
      </c>
      <c r="N117" s="2033">
        <f>IFERROR(VLOOKUP($B117,'[3]1003'!$B$6:$G$5921,2,FALSE),0)</f>
        <v>0</v>
      </c>
      <c r="O117" s="2034">
        <f>IFERROR(VLOOKUP($B117,'[3]1003'!$B$6:$G$5921,4,FALSE),0)</f>
        <v>0</v>
      </c>
      <c r="P117" s="2033">
        <f t="shared" si="8"/>
        <v>0</v>
      </c>
      <c r="Q117" s="1763">
        <f>IFERROR(VLOOKUP($B117,'[3]1004'!$B$6:$G$5921,2,FALSE),0)</f>
        <v>13500.8</v>
      </c>
      <c r="R117" s="2036">
        <f>IFERROR(VLOOKUP($B117,'[3]1004'!$B$6:$G$5921,4,FALSE),0)</f>
        <v>2</v>
      </c>
      <c r="S117" s="1763">
        <f t="shared" si="9"/>
        <v>6750.4</v>
      </c>
      <c r="T117" s="2033">
        <f>IFERROR(VLOOKUP($B117,'[3]1006'!$B$6:$G$5921,2,FALSE),0)</f>
        <v>0</v>
      </c>
      <c r="U117" s="2034">
        <f>IFERROR(VLOOKUP($B117,'[3]1006'!$B$6:$G$5921,4,FALSE),0)</f>
        <v>0</v>
      </c>
      <c r="V117" s="2033">
        <f t="shared" si="10"/>
        <v>0</v>
      </c>
      <c r="W117" s="2033">
        <f t="shared" si="11"/>
        <v>2</v>
      </c>
    </row>
    <row r="118" spans="2:23" x14ac:dyDescent="0.15">
      <c r="B118" s="2032">
        <v>12832</v>
      </c>
      <c r="C118" s="2032" t="s">
        <v>1496</v>
      </c>
      <c r="D118" s="2037" t="s">
        <v>1496</v>
      </c>
      <c r="E118" s="2032" t="s">
        <v>94</v>
      </c>
      <c r="F118" s="1288" t="s">
        <v>1300</v>
      </c>
      <c r="G118" s="1288" t="s">
        <v>1303</v>
      </c>
      <c r="H118" s="2033">
        <f>IFERROR(VLOOKUP($B118,'[3]1001'!$B$6:$G$5927,2,FALSE),0)</f>
        <v>0</v>
      </c>
      <c r="I118" s="2034">
        <f>IFERROR(VLOOKUP($B118,'[3]1001'!$B$6:$G$5927,4,FALSE),0)</f>
        <v>0</v>
      </c>
      <c r="J118" s="2033">
        <f t="shared" si="6"/>
        <v>0</v>
      </c>
      <c r="K118" s="2035">
        <f>IFERROR(VLOOKUP($B118,'[3]1002'!$B$6:$G$5921,2,FALSE),0)</f>
        <v>0</v>
      </c>
      <c r="L118" s="2036">
        <f>IFERROR(VLOOKUP($B118,'[3]1002'!$B$6:$G$5921,4,FALSE),0)</f>
        <v>0</v>
      </c>
      <c r="M118" s="1763">
        <f t="shared" si="7"/>
        <v>0</v>
      </c>
      <c r="N118" s="2033">
        <f>IFERROR(VLOOKUP($B118,'[3]1003'!$B$6:$G$5921,2,FALSE),0)</f>
        <v>0</v>
      </c>
      <c r="O118" s="2034">
        <f>IFERROR(VLOOKUP($B118,'[3]1003'!$B$6:$G$5921,4,FALSE),0)</f>
        <v>0</v>
      </c>
      <c r="P118" s="2033">
        <f t="shared" si="8"/>
        <v>0</v>
      </c>
      <c r="Q118" s="1763">
        <f>IFERROR(VLOOKUP($B118,'[3]1004'!$B$6:$G$5921,2,FALSE),0)</f>
        <v>0</v>
      </c>
      <c r="R118" s="2036">
        <f>IFERROR(VLOOKUP($B118,'[3]1004'!$B$6:$G$5921,4,FALSE),0)</f>
        <v>0</v>
      </c>
      <c r="S118" s="1763">
        <f t="shared" si="9"/>
        <v>0</v>
      </c>
      <c r="T118" s="2033">
        <f>IFERROR(VLOOKUP($B118,'[3]1006'!$B$6:$G$5921,2,FALSE),0)</f>
        <v>0</v>
      </c>
      <c r="U118" s="2034">
        <f>IFERROR(VLOOKUP($B118,'[3]1006'!$B$6:$G$5921,4,FALSE),0)</f>
        <v>0</v>
      </c>
      <c r="V118" s="2033">
        <f t="shared" si="10"/>
        <v>0</v>
      </c>
      <c r="W118" s="2033">
        <f t="shared" si="11"/>
        <v>0</v>
      </c>
    </row>
    <row r="119" spans="2:23" x14ac:dyDescent="0.15">
      <c r="B119" s="2032">
        <v>12833</v>
      </c>
      <c r="C119" s="2032" t="s">
        <v>1504</v>
      </c>
      <c r="D119" s="2037" t="s">
        <v>1504</v>
      </c>
      <c r="E119" s="2032" t="s">
        <v>94</v>
      </c>
      <c r="F119" s="1288" t="s">
        <v>1300</v>
      </c>
      <c r="G119" s="1288" t="s">
        <v>1303</v>
      </c>
      <c r="H119" s="2033">
        <f>IFERROR(VLOOKUP($B119,'[3]1001'!$B$6:$G$5927,2,FALSE),0)</f>
        <v>0</v>
      </c>
      <c r="I119" s="2034">
        <f>IFERROR(VLOOKUP($B119,'[3]1001'!$B$6:$G$5927,4,FALSE),0)</f>
        <v>0</v>
      </c>
      <c r="J119" s="2033">
        <f t="shared" si="6"/>
        <v>0</v>
      </c>
      <c r="K119" s="2035">
        <f>IFERROR(VLOOKUP($B119,'[3]1002'!$B$6:$G$5921,2,FALSE),0)</f>
        <v>0</v>
      </c>
      <c r="L119" s="2036">
        <f>IFERROR(VLOOKUP($B119,'[3]1002'!$B$6:$G$5921,4,FALSE),0)</f>
        <v>0</v>
      </c>
      <c r="M119" s="1763">
        <f t="shared" si="7"/>
        <v>0</v>
      </c>
      <c r="N119" s="2033">
        <f>IFERROR(VLOOKUP($B119,'[3]1003'!$B$6:$G$5921,2,FALSE),0)</f>
        <v>0</v>
      </c>
      <c r="O119" s="2034">
        <f>IFERROR(VLOOKUP($B119,'[3]1003'!$B$6:$G$5921,4,FALSE),0)</f>
        <v>0</v>
      </c>
      <c r="P119" s="2033">
        <f t="shared" si="8"/>
        <v>0</v>
      </c>
      <c r="Q119" s="1763">
        <f>IFERROR(VLOOKUP($B119,'[3]1004'!$B$6:$G$5921,2,FALSE),0)</f>
        <v>0</v>
      </c>
      <c r="R119" s="2036">
        <f>IFERROR(VLOOKUP($B119,'[3]1004'!$B$6:$G$5921,4,FALSE),0)</f>
        <v>0</v>
      </c>
      <c r="S119" s="1763">
        <f t="shared" si="9"/>
        <v>0</v>
      </c>
      <c r="T119" s="2033">
        <f>IFERROR(VLOOKUP($B119,'[3]1006'!$B$6:$G$5921,2,FALSE),0)</f>
        <v>0</v>
      </c>
      <c r="U119" s="2034">
        <f>IFERROR(VLOOKUP($B119,'[3]1006'!$B$6:$G$5921,4,FALSE),0)</f>
        <v>0</v>
      </c>
      <c r="V119" s="2033">
        <f t="shared" si="10"/>
        <v>0</v>
      </c>
      <c r="W119" s="2033">
        <f t="shared" si="11"/>
        <v>0</v>
      </c>
    </row>
    <row r="120" spans="2:23" x14ac:dyDescent="0.15">
      <c r="B120" s="2032">
        <v>12834</v>
      </c>
      <c r="C120" s="2032" t="s">
        <v>1505</v>
      </c>
      <c r="D120" s="2037" t="s">
        <v>1505</v>
      </c>
      <c r="E120" s="2032" t="s">
        <v>94</v>
      </c>
      <c r="F120" s="1288" t="s">
        <v>1300</v>
      </c>
      <c r="G120" s="1288" t="s">
        <v>1303</v>
      </c>
      <c r="H120" s="2033">
        <f>IFERROR(VLOOKUP($B120,'[3]1001'!$B$6:$G$5927,2,FALSE),0)</f>
        <v>83620.800000000003</v>
      </c>
      <c r="I120" s="2034">
        <f>IFERROR(VLOOKUP($B120,'[3]1001'!$B$6:$G$5927,4,FALSE),0)</f>
        <v>8</v>
      </c>
      <c r="J120" s="2033">
        <f t="shared" si="6"/>
        <v>10452.6</v>
      </c>
      <c r="K120" s="2035">
        <f>IFERROR(VLOOKUP($B120,'[3]1002'!$B$6:$G$5921,2,FALSE),0)</f>
        <v>0</v>
      </c>
      <c r="L120" s="2036">
        <f>IFERROR(VLOOKUP($B120,'[3]1002'!$B$6:$G$5921,4,FALSE),0)</f>
        <v>0</v>
      </c>
      <c r="M120" s="1763">
        <f t="shared" si="7"/>
        <v>0</v>
      </c>
      <c r="N120" s="2033">
        <f>IFERROR(VLOOKUP($B120,'[3]1003'!$B$6:$G$5921,2,FALSE),0)</f>
        <v>0</v>
      </c>
      <c r="O120" s="2034">
        <f>IFERROR(VLOOKUP($B120,'[3]1003'!$B$6:$G$5921,4,FALSE),0)</f>
        <v>0</v>
      </c>
      <c r="P120" s="2033">
        <f t="shared" si="8"/>
        <v>0</v>
      </c>
      <c r="Q120" s="1763">
        <f>IFERROR(VLOOKUP($B120,'[3]1004'!$B$6:$G$5921,2,FALSE),0)</f>
        <v>0</v>
      </c>
      <c r="R120" s="2036">
        <f>IFERROR(VLOOKUP($B120,'[3]1004'!$B$6:$G$5921,4,FALSE),0)</f>
        <v>0</v>
      </c>
      <c r="S120" s="1763">
        <f t="shared" si="9"/>
        <v>0</v>
      </c>
      <c r="T120" s="2033">
        <f>IFERROR(VLOOKUP($B120,'[3]1006'!$B$6:$G$5921,2,FALSE),0)</f>
        <v>0</v>
      </c>
      <c r="U120" s="2034">
        <f>IFERROR(VLOOKUP($B120,'[3]1006'!$B$6:$G$5921,4,FALSE),0)</f>
        <v>0</v>
      </c>
      <c r="V120" s="2033">
        <f t="shared" si="10"/>
        <v>0</v>
      </c>
      <c r="W120" s="2033">
        <f t="shared" si="11"/>
        <v>8</v>
      </c>
    </row>
    <row r="121" spans="2:23" x14ac:dyDescent="0.15">
      <c r="B121" s="2032">
        <v>12835</v>
      </c>
      <c r="C121" s="2032" t="s">
        <v>1497</v>
      </c>
      <c r="D121" s="2037" t="s">
        <v>1497</v>
      </c>
      <c r="E121" s="2032" t="s">
        <v>94</v>
      </c>
      <c r="F121" s="1288" t="s">
        <v>1300</v>
      </c>
      <c r="G121" s="1288" t="s">
        <v>1303</v>
      </c>
      <c r="H121" s="2033">
        <f>IFERROR(VLOOKUP($B121,'[3]1001'!$B$6:$G$5927,2,FALSE),0)</f>
        <v>52128</v>
      </c>
      <c r="I121" s="2034">
        <f>IFERROR(VLOOKUP($B121,'[3]1001'!$B$6:$G$5927,4,FALSE),0)</f>
        <v>5</v>
      </c>
      <c r="J121" s="2033">
        <f t="shared" si="6"/>
        <v>10425.6</v>
      </c>
      <c r="K121" s="2035">
        <f>IFERROR(VLOOKUP($B121,'[3]1002'!$B$6:$G$5921,2,FALSE),0)</f>
        <v>0</v>
      </c>
      <c r="L121" s="2036">
        <f>IFERROR(VLOOKUP($B121,'[3]1002'!$B$6:$G$5921,4,FALSE),0)</f>
        <v>0</v>
      </c>
      <c r="M121" s="1763">
        <f t="shared" si="7"/>
        <v>0</v>
      </c>
      <c r="N121" s="2033">
        <f>IFERROR(VLOOKUP($B121,'[3]1003'!$B$6:$G$5921,2,FALSE),0)</f>
        <v>0</v>
      </c>
      <c r="O121" s="2034">
        <f>IFERROR(VLOOKUP($B121,'[3]1003'!$B$6:$G$5921,4,FALSE),0)</f>
        <v>0</v>
      </c>
      <c r="P121" s="2033">
        <f t="shared" si="8"/>
        <v>0</v>
      </c>
      <c r="Q121" s="1763">
        <f>IFERROR(VLOOKUP($B121,'[3]1004'!$B$6:$G$5921,2,FALSE),0)</f>
        <v>0</v>
      </c>
      <c r="R121" s="2036">
        <f>IFERROR(VLOOKUP($B121,'[3]1004'!$B$6:$G$5921,4,FALSE),0)</f>
        <v>0</v>
      </c>
      <c r="S121" s="1763">
        <f t="shared" si="9"/>
        <v>0</v>
      </c>
      <c r="T121" s="2033">
        <f>IFERROR(VLOOKUP($B121,'[3]1006'!$B$6:$G$5921,2,FALSE),0)</f>
        <v>0</v>
      </c>
      <c r="U121" s="2034">
        <f>IFERROR(VLOOKUP($B121,'[3]1006'!$B$6:$G$5921,4,FALSE),0)</f>
        <v>0</v>
      </c>
      <c r="V121" s="2033">
        <f t="shared" si="10"/>
        <v>0</v>
      </c>
      <c r="W121" s="2033">
        <f t="shared" si="11"/>
        <v>5</v>
      </c>
    </row>
    <row r="122" spans="2:23" x14ac:dyDescent="0.15">
      <c r="B122" s="1288">
        <v>12836</v>
      </c>
      <c r="C122" s="1288" t="s">
        <v>1506</v>
      </c>
      <c r="D122" s="2040"/>
      <c r="E122" s="1288" t="s">
        <v>94</v>
      </c>
      <c r="F122" s="1288" t="s">
        <v>1300</v>
      </c>
      <c r="G122" s="1288" t="s">
        <v>1303</v>
      </c>
      <c r="H122" s="2033">
        <f>IFERROR(VLOOKUP($B122,'[3]1001'!$B$6:$G$5927,2,FALSE),0)</f>
        <v>0</v>
      </c>
      <c r="I122" s="2034">
        <f>IFERROR(VLOOKUP($B122,'[3]1001'!$B$6:$G$5927,4,FALSE),0)</f>
        <v>0</v>
      </c>
      <c r="J122" s="2033">
        <f t="shared" si="6"/>
        <v>0</v>
      </c>
      <c r="K122" s="2035">
        <f>IFERROR(VLOOKUP($B122,'[3]1002'!$B$6:$G$5921,2,FALSE),0)</f>
        <v>0</v>
      </c>
      <c r="L122" s="2036">
        <f>IFERROR(VLOOKUP($B122,'[3]1002'!$B$6:$G$5921,4,FALSE),0)</f>
        <v>0</v>
      </c>
      <c r="M122" s="1763">
        <f t="shared" si="7"/>
        <v>0</v>
      </c>
      <c r="N122" s="2033">
        <f>IFERROR(VLOOKUP($B122,'[3]1003'!$B$6:$G$5921,2,FALSE),0)</f>
        <v>0</v>
      </c>
      <c r="O122" s="2034">
        <f>IFERROR(VLOOKUP($B122,'[3]1003'!$B$6:$G$5921,4,FALSE),0)</f>
        <v>0</v>
      </c>
      <c r="P122" s="2033">
        <f t="shared" si="8"/>
        <v>0</v>
      </c>
      <c r="Q122" s="1763">
        <f>IFERROR(VLOOKUP($B122,'[3]1004'!$B$6:$G$5921,2,FALSE),0)</f>
        <v>0</v>
      </c>
      <c r="R122" s="2036">
        <f>IFERROR(VLOOKUP($B122,'[3]1004'!$B$6:$G$5921,4,FALSE),0)</f>
        <v>0</v>
      </c>
      <c r="S122" s="1763">
        <f t="shared" si="9"/>
        <v>0</v>
      </c>
      <c r="T122" s="2033">
        <f>IFERROR(VLOOKUP($B122,'[3]1006'!$B$6:$G$5921,2,FALSE),0)</f>
        <v>0</v>
      </c>
      <c r="U122" s="2034">
        <f>IFERROR(VLOOKUP($B122,'[3]1006'!$B$6:$G$5921,4,FALSE),0)</f>
        <v>0</v>
      </c>
      <c r="V122" s="2033">
        <f t="shared" si="10"/>
        <v>0</v>
      </c>
      <c r="W122" s="2033">
        <f t="shared" si="11"/>
        <v>0</v>
      </c>
    </row>
    <row r="123" spans="2:23" x14ac:dyDescent="0.15">
      <c r="B123" s="1288">
        <v>12837</v>
      </c>
      <c r="C123" s="1288" t="s">
        <v>1507</v>
      </c>
      <c r="D123" s="2040"/>
      <c r="E123" s="1288" t="s">
        <v>94</v>
      </c>
      <c r="F123" s="1288" t="s">
        <v>1325</v>
      </c>
      <c r="G123" s="1288" t="s">
        <v>1303</v>
      </c>
      <c r="H123" s="2033">
        <f>IFERROR(VLOOKUP($B123,'[3]1001'!$B$6:$G$5927,2,FALSE),0)</f>
        <v>0</v>
      </c>
      <c r="I123" s="2034">
        <f>IFERROR(VLOOKUP($B123,'[3]1001'!$B$6:$G$5927,4,FALSE),0)</f>
        <v>0</v>
      </c>
      <c r="J123" s="2033">
        <f t="shared" si="6"/>
        <v>0</v>
      </c>
      <c r="K123" s="2035">
        <f>IFERROR(VLOOKUP($B123,'[3]1002'!$B$6:$G$5921,2,FALSE),0)</f>
        <v>0</v>
      </c>
      <c r="L123" s="2036">
        <f>IFERROR(VLOOKUP($B123,'[3]1002'!$B$6:$G$5921,4,FALSE),0)</f>
        <v>0</v>
      </c>
      <c r="M123" s="1763">
        <f t="shared" si="7"/>
        <v>0</v>
      </c>
      <c r="N123" s="2033">
        <f>IFERROR(VLOOKUP($B123,'[3]1003'!$B$6:$G$5921,2,FALSE),0)</f>
        <v>0</v>
      </c>
      <c r="O123" s="2034">
        <f>IFERROR(VLOOKUP($B123,'[3]1003'!$B$6:$G$5921,4,FALSE),0)</f>
        <v>0</v>
      </c>
      <c r="P123" s="2033">
        <f t="shared" si="8"/>
        <v>0</v>
      </c>
      <c r="Q123" s="1763">
        <f>IFERROR(VLOOKUP($B123,'[3]1004'!$B$6:$G$5921,2,FALSE),0)</f>
        <v>0</v>
      </c>
      <c r="R123" s="2036">
        <f>IFERROR(VLOOKUP($B123,'[3]1004'!$B$6:$G$5921,4,FALSE),0)</f>
        <v>0</v>
      </c>
      <c r="S123" s="1763">
        <f t="shared" si="9"/>
        <v>0</v>
      </c>
      <c r="T123" s="2033">
        <f>IFERROR(VLOOKUP($B123,'[3]1006'!$B$6:$G$5921,2,FALSE),0)</f>
        <v>0</v>
      </c>
      <c r="U123" s="2034">
        <f>IFERROR(VLOOKUP($B123,'[3]1006'!$B$6:$G$5921,4,FALSE),0)</f>
        <v>0</v>
      </c>
      <c r="V123" s="2033">
        <f t="shared" si="10"/>
        <v>0</v>
      </c>
      <c r="W123" s="2033">
        <f t="shared" si="11"/>
        <v>0</v>
      </c>
    </row>
    <row r="124" spans="2:23" x14ac:dyDescent="0.15">
      <c r="B124" s="1288">
        <v>12838</v>
      </c>
      <c r="C124" s="1288" t="s">
        <v>1508</v>
      </c>
      <c r="D124" s="2040"/>
      <c r="E124" s="1288" t="s">
        <v>94</v>
      </c>
      <c r="F124" s="1288" t="s">
        <v>1300</v>
      </c>
      <c r="G124" s="1288" t="s">
        <v>1303</v>
      </c>
      <c r="H124" s="2033">
        <f>IFERROR(VLOOKUP($B124,'[3]1001'!$B$6:$G$5927,2,FALSE),0)</f>
        <v>0</v>
      </c>
      <c r="I124" s="2034">
        <f>IFERROR(VLOOKUP($B124,'[3]1001'!$B$6:$G$5927,4,FALSE),0)</f>
        <v>0</v>
      </c>
      <c r="J124" s="2033">
        <f t="shared" si="6"/>
        <v>0</v>
      </c>
      <c r="K124" s="2035">
        <f>IFERROR(VLOOKUP($B124,'[3]1002'!$B$6:$G$5921,2,FALSE),0)</f>
        <v>0</v>
      </c>
      <c r="L124" s="2036">
        <f>IFERROR(VLOOKUP($B124,'[3]1002'!$B$6:$G$5921,4,FALSE),0)</f>
        <v>0</v>
      </c>
      <c r="M124" s="1763">
        <f t="shared" si="7"/>
        <v>0</v>
      </c>
      <c r="N124" s="2033">
        <f>IFERROR(VLOOKUP($B124,'[3]1003'!$B$6:$G$5921,2,FALSE),0)</f>
        <v>0</v>
      </c>
      <c r="O124" s="2034">
        <f>IFERROR(VLOOKUP($B124,'[3]1003'!$B$6:$G$5921,4,FALSE),0)</f>
        <v>0</v>
      </c>
      <c r="P124" s="2033">
        <f t="shared" si="8"/>
        <v>0</v>
      </c>
      <c r="Q124" s="1763">
        <f>IFERROR(VLOOKUP($B124,'[3]1004'!$B$6:$G$5921,2,FALSE),0)</f>
        <v>0</v>
      </c>
      <c r="R124" s="2036">
        <f>IFERROR(VLOOKUP($B124,'[3]1004'!$B$6:$G$5921,4,FALSE),0)</f>
        <v>0</v>
      </c>
      <c r="S124" s="1763">
        <f t="shared" si="9"/>
        <v>0</v>
      </c>
      <c r="T124" s="2033">
        <f>IFERROR(VLOOKUP($B124,'[3]1006'!$B$6:$G$5921,2,FALSE),0)</f>
        <v>0</v>
      </c>
      <c r="U124" s="2034">
        <f>IFERROR(VLOOKUP($B124,'[3]1006'!$B$6:$G$5921,4,FALSE),0)</f>
        <v>0</v>
      </c>
      <c r="V124" s="2033">
        <f t="shared" si="10"/>
        <v>0</v>
      </c>
      <c r="W124" s="2033">
        <f t="shared" si="11"/>
        <v>0</v>
      </c>
    </row>
    <row r="125" spans="2:23" x14ac:dyDescent="0.15">
      <c r="B125" s="2032">
        <v>12839</v>
      </c>
      <c r="C125" s="2032" t="s">
        <v>1509</v>
      </c>
      <c r="D125" s="2037" t="s">
        <v>1509</v>
      </c>
      <c r="E125" s="2032" t="s">
        <v>94</v>
      </c>
      <c r="F125" s="1288" t="s">
        <v>1300</v>
      </c>
      <c r="G125" s="1288" t="s">
        <v>1303</v>
      </c>
      <c r="H125" s="2033">
        <f>IFERROR(VLOOKUP($B125,'[3]1001'!$B$6:$G$5927,2,FALSE),0)</f>
        <v>0</v>
      </c>
      <c r="I125" s="2034">
        <f>IFERROR(VLOOKUP($B125,'[3]1001'!$B$6:$G$5927,4,FALSE),0)</f>
        <v>0</v>
      </c>
      <c r="J125" s="2033">
        <f t="shared" si="6"/>
        <v>0</v>
      </c>
      <c r="K125" s="2035">
        <f>IFERROR(VLOOKUP($B125,'[3]1002'!$B$6:$G$5921,2,FALSE),0)</f>
        <v>0</v>
      </c>
      <c r="L125" s="2036">
        <f>IFERROR(VLOOKUP($B125,'[3]1002'!$B$6:$G$5921,4,FALSE),0)</f>
        <v>0</v>
      </c>
      <c r="M125" s="1763">
        <f t="shared" si="7"/>
        <v>0</v>
      </c>
      <c r="N125" s="2033">
        <f>IFERROR(VLOOKUP($B125,'[3]1003'!$B$6:$G$5921,2,FALSE),0)</f>
        <v>0</v>
      </c>
      <c r="O125" s="2034">
        <f>IFERROR(VLOOKUP($B125,'[3]1003'!$B$6:$G$5921,4,FALSE),0)</f>
        <v>0</v>
      </c>
      <c r="P125" s="2033">
        <f t="shared" si="8"/>
        <v>0</v>
      </c>
      <c r="Q125" s="1763">
        <f>IFERROR(VLOOKUP($B125,'[3]1004'!$B$6:$G$5921,2,FALSE),0)</f>
        <v>0</v>
      </c>
      <c r="R125" s="2036">
        <f>IFERROR(VLOOKUP($B125,'[3]1004'!$B$6:$G$5921,4,FALSE),0)</f>
        <v>0</v>
      </c>
      <c r="S125" s="1763">
        <f t="shared" si="9"/>
        <v>0</v>
      </c>
      <c r="T125" s="2033">
        <f>IFERROR(VLOOKUP($B125,'[3]1006'!$B$6:$G$5921,2,FALSE),0)</f>
        <v>0</v>
      </c>
      <c r="U125" s="2034">
        <f>IFERROR(VLOOKUP($B125,'[3]1006'!$B$6:$G$5921,4,FALSE),0)</f>
        <v>0</v>
      </c>
      <c r="V125" s="2033">
        <f t="shared" si="10"/>
        <v>0</v>
      </c>
      <c r="W125" s="2033">
        <f t="shared" si="11"/>
        <v>0</v>
      </c>
    </row>
    <row r="126" spans="2:23" x14ac:dyDescent="0.15">
      <c r="B126" s="2032">
        <v>12840</v>
      </c>
      <c r="C126" s="2032" t="s">
        <v>1510</v>
      </c>
      <c r="D126" s="2037" t="s">
        <v>1510</v>
      </c>
      <c r="E126" s="2032" t="s">
        <v>94</v>
      </c>
      <c r="F126" s="1288" t="s">
        <v>1325</v>
      </c>
      <c r="G126" s="1288" t="s">
        <v>1303</v>
      </c>
      <c r="H126" s="2033">
        <f>IFERROR(VLOOKUP($B126,'[3]1001'!$B$6:$G$5927,2,FALSE),0)</f>
        <v>135532.79999999999</v>
      </c>
      <c r="I126" s="2034">
        <f>IFERROR(VLOOKUP($B126,'[3]1001'!$B$6:$G$5927,4,FALSE),0)</f>
        <v>16</v>
      </c>
      <c r="J126" s="2033">
        <f t="shared" si="6"/>
        <v>8470.7999999999993</v>
      </c>
      <c r="K126" s="2035">
        <f>IFERROR(VLOOKUP($B126,'[3]1002'!$B$6:$G$5921,2,FALSE),0)</f>
        <v>0</v>
      </c>
      <c r="L126" s="2036">
        <f>IFERROR(VLOOKUP($B126,'[3]1002'!$B$6:$G$5921,4,FALSE),0)</f>
        <v>0</v>
      </c>
      <c r="M126" s="1763">
        <f t="shared" si="7"/>
        <v>0</v>
      </c>
      <c r="N126" s="2033">
        <f>IFERROR(VLOOKUP($B126,'[3]1003'!$B$6:$G$5921,2,FALSE),0)</f>
        <v>0</v>
      </c>
      <c r="O126" s="2034">
        <f>IFERROR(VLOOKUP($B126,'[3]1003'!$B$6:$G$5921,4,FALSE),0)</f>
        <v>0</v>
      </c>
      <c r="P126" s="2033">
        <f t="shared" si="8"/>
        <v>0</v>
      </c>
      <c r="Q126" s="1763">
        <f>IFERROR(VLOOKUP($B126,'[3]1004'!$B$6:$G$5921,2,FALSE),0)</f>
        <v>0</v>
      </c>
      <c r="R126" s="2036">
        <f>IFERROR(VLOOKUP($B126,'[3]1004'!$B$6:$G$5921,4,FALSE),0)</f>
        <v>0</v>
      </c>
      <c r="S126" s="1763">
        <f t="shared" si="9"/>
        <v>0</v>
      </c>
      <c r="T126" s="2033">
        <f>IFERROR(VLOOKUP($B126,'[3]1006'!$B$6:$G$5921,2,FALSE),0)</f>
        <v>16941.599999999999</v>
      </c>
      <c r="U126" s="2034">
        <f>IFERROR(VLOOKUP($B126,'[3]1006'!$B$6:$G$5921,4,FALSE),0)</f>
        <v>2</v>
      </c>
      <c r="V126" s="2033">
        <f t="shared" si="10"/>
        <v>8470.7999999999993</v>
      </c>
      <c r="W126" s="2033">
        <f t="shared" si="11"/>
        <v>18</v>
      </c>
    </row>
    <row r="127" spans="2:23" x14ac:dyDescent="0.15">
      <c r="B127" s="1288">
        <v>12850</v>
      </c>
      <c r="C127" s="1288" t="s">
        <v>1511</v>
      </c>
      <c r="D127" s="2040"/>
      <c r="E127" s="1288" t="s">
        <v>94</v>
      </c>
      <c r="F127" s="1288" t="s">
        <v>1512</v>
      </c>
      <c r="G127" s="1288" t="s">
        <v>1296</v>
      </c>
      <c r="H127" s="2033">
        <f>IFERROR(VLOOKUP($B127,'[3]1001'!$B$6:$G$5927,2,FALSE),0)</f>
        <v>0</v>
      </c>
      <c r="I127" s="2034">
        <f>IFERROR(VLOOKUP($B127,'[3]1001'!$B$6:$G$5927,4,FALSE),0)</f>
        <v>0</v>
      </c>
      <c r="J127" s="2033">
        <f t="shared" si="6"/>
        <v>0</v>
      </c>
      <c r="K127" s="2035">
        <f>IFERROR(VLOOKUP($B127,'[3]1002'!$B$6:$G$5921,2,FALSE),0)</f>
        <v>0</v>
      </c>
      <c r="L127" s="2036">
        <f>IFERROR(VLOOKUP($B127,'[3]1002'!$B$6:$G$5921,4,FALSE),0)</f>
        <v>0</v>
      </c>
      <c r="M127" s="1763">
        <f t="shared" si="7"/>
        <v>0</v>
      </c>
      <c r="N127" s="2033">
        <f>IFERROR(VLOOKUP($B127,'[3]1003'!$B$6:$G$5921,2,FALSE),0)</f>
        <v>0</v>
      </c>
      <c r="O127" s="2034">
        <f>IFERROR(VLOOKUP($B127,'[3]1003'!$B$6:$G$5921,4,FALSE),0)</f>
        <v>0</v>
      </c>
      <c r="P127" s="2033">
        <f t="shared" si="8"/>
        <v>0</v>
      </c>
      <c r="Q127" s="1763">
        <f>IFERROR(VLOOKUP($B127,'[3]1004'!$B$6:$G$5921,2,FALSE),0)</f>
        <v>0</v>
      </c>
      <c r="R127" s="2036">
        <f>IFERROR(VLOOKUP($B127,'[3]1004'!$B$6:$G$5921,4,FALSE),0)</f>
        <v>0</v>
      </c>
      <c r="S127" s="1763">
        <f t="shared" si="9"/>
        <v>0</v>
      </c>
      <c r="T127" s="2033">
        <f>IFERROR(VLOOKUP($B127,'[3]1006'!$B$6:$G$5921,2,FALSE),0)</f>
        <v>0</v>
      </c>
      <c r="U127" s="2034">
        <f>IFERROR(VLOOKUP($B127,'[3]1006'!$B$6:$G$5921,4,FALSE),0)</f>
        <v>0</v>
      </c>
      <c r="V127" s="2033">
        <f t="shared" si="10"/>
        <v>0</v>
      </c>
      <c r="W127" s="2033">
        <f t="shared" si="11"/>
        <v>0</v>
      </c>
    </row>
    <row r="128" spans="2:23" x14ac:dyDescent="0.15">
      <c r="B128" s="1288">
        <v>12853</v>
      </c>
      <c r="C128" s="1288" t="s">
        <v>1513</v>
      </c>
      <c r="D128" s="2040"/>
      <c r="E128" s="1288" t="s">
        <v>94</v>
      </c>
      <c r="F128" s="1288" t="s">
        <v>1300</v>
      </c>
      <c r="G128" s="1288" t="s">
        <v>1303</v>
      </c>
      <c r="H128" s="2033">
        <f>IFERROR(VLOOKUP($B128,'[3]1001'!$B$6:$G$5927,2,FALSE),0)</f>
        <v>0</v>
      </c>
      <c r="I128" s="2034">
        <f>IFERROR(VLOOKUP($B128,'[3]1001'!$B$6:$G$5927,4,FALSE),0)</f>
        <v>0</v>
      </c>
      <c r="J128" s="2033">
        <f t="shared" si="6"/>
        <v>0</v>
      </c>
      <c r="K128" s="2035">
        <f>IFERROR(VLOOKUP($B128,'[3]1002'!$B$6:$G$5921,2,FALSE),0)</f>
        <v>0</v>
      </c>
      <c r="L128" s="2036">
        <f>IFERROR(VLOOKUP($B128,'[3]1002'!$B$6:$G$5921,4,FALSE),0)</f>
        <v>0</v>
      </c>
      <c r="M128" s="1763">
        <f t="shared" si="7"/>
        <v>0</v>
      </c>
      <c r="N128" s="2033">
        <f>IFERROR(VLOOKUP($B128,'[3]1003'!$B$6:$G$5921,2,FALSE),0)</f>
        <v>0</v>
      </c>
      <c r="O128" s="2034">
        <f>IFERROR(VLOOKUP($B128,'[3]1003'!$B$6:$G$5921,4,FALSE),0)</f>
        <v>0</v>
      </c>
      <c r="P128" s="2033">
        <f t="shared" si="8"/>
        <v>0</v>
      </c>
      <c r="Q128" s="1763">
        <f>IFERROR(VLOOKUP($B128,'[3]1004'!$B$6:$G$5921,2,FALSE),0)</f>
        <v>0</v>
      </c>
      <c r="R128" s="2036">
        <f>IFERROR(VLOOKUP($B128,'[3]1004'!$B$6:$G$5921,4,FALSE),0)</f>
        <v>0</v>
      </c>
      <c r="S128" s="1763">
        <f t="shared" si="9"/>
        <v>0</v>
      </c>
      <c r="T128" s="2033">
        <f>IFERROR(VLOOKUP($B128,'[3]1006'!$B$6:$G$5921,2,FALSE),0)</f>
        <v>0</v>
      </c>
      <c r="U128" s="2034">
        <f>IFERROR(VLOOKUP($B128,'[3]1006'!$B$6:$G$5921,4,FALSE),0)</f>
        <v>0</v>
      </c>
      <c r="V128" s="2033">
        <f t="shared" si="10"/>
        <v>0</v>
      </c>
      <c r="W128" s="2033">
        <f t="shared" si="11"/>
        <v>0</v>
      </c>
    </row>
    <row r="129" spans="2:23" x14ac:dyDescent="0.15">
      <c r="B129" s="1288">
        <v>12854</v>
      </c>
      <c r="C129" s="1288" t="s">
        <v>1514</v>
      </c>
      <c r="D129" s="2040"/>
      <c r="E129" s="1288" t="s">
        <v>94</v>
      </c>
      <c r="F129" s="1288" t="s">
        <v>1300</v>
      </c>
      <c r="G129" s="1288" t="s">
        <v>1303</v>
      </c>
      <c r="H129" s="2033">
        <f>IFERROR(VLOOKUP($B129,'[3]1001'!$B$6:$G$5927,2,FALSE),0)</f>
        <v>0</v>
      </c>
      <c r="I129" s="2034">
        <f>IFERROR(VLOOKUP($B129,'[3]1001'!$B$6:$G$5927,4,FALSE),0)</f>
        <v>0</v>
      </c>
      <c r="J129" s="2033">
        <f t="shared" si="6"/>
        <v>0</v>
      </c>
      <c r="K129" s="2035">
        <f>IFERROR(VLOOKUP($B129,'[3]1002'!$B$6:$G$5921,2,FALSE),0)</f>
        <v>0</v>
      </c>
      <c r="L129" s="2036">
        <f>IFERROR(VLOOKUP($B129,'[3]1002'!$B$6:$G$5921,4,FALSE),0)</f>
        <v>0</v>
      </c>
      <c r="M129" s="1763">
        <f t="shared" si="7"/>
        <v>0</v>
      </c>
      <c r="N129" s="2033">
        <f>IFERROR(VLOOKUP($B129,'[3]1003'!$B$6:$G$5921,2,FALSE),0)</f>
        <v>0</v>
      </c>
      <c r="O129" s="2034">
        <f>IFERROR(VLOOKUP($B129,'[3]1003'!$B$6:$G$5921,4,FALSE),0)</f>
        <v>0</v>
      </c>
      <c r="P129" s="2033">
        <f t="shared" si="8"/>
        <v>0</v>
      </c>
      <c r="Q129" s="1763">
        <f>IFERROR(VLOOKUP($B129,'[3]1004'!$B$6:$G$5921,2,FALSE),0)</f>
        <v>0</v>
      </c>
      <c r="R129" s="2036">
        <f>IFERROR(VLOOKUP($B129,'[3]1004'!$B$6:$G$5921,4,FALSE),0)</f>
        <v>0</v>
      </c>
      <c r="S129" s="1763">
        <f t="shared" si="9"/>
        <v>0</v>
      </c>
      <c r="T129" s="2033">
        <f>IFERROR(VLOOKUP($B129,'[3]1006'!$B$6:$G$5921,2,FALSE),0)</f>
        <v>0</v>
      </c>
      <c r="U129" s="2034">
        <f>IFERROR(VLOOKUP($B129,'[3]1006'!$B$6:$G$5921,4,FALSE),0)</f>
        <v>0</v>
      </c>
      <c r="V129" s="2033">
        <f t="shared" si="10"/>
        <v>0</v>
      </c>
      <c r="W129" s="2033">
        <f t="shared" si="11"/>
        <v>0</v>
      </c>
    </row>
    <row r="130" spans="2:23" x14ac:dyDescent="0.15">
      <c r="B130" s="2032">
        <v>12855</v>
      </c>
      <c r="C130" s="2032" t="s">
        <v>1515</v>
      </c>
      <c r="D130" s="2037" t="s">
        <v>1515</v>
      </c>
      <c r="E130" s="2032" t="s">
        <v>94</v>
      </c>
      <c r="F130" s="1288" t="s">
        <v>1300</v>
      </c>
      <c r="G130" s="1288" t="s">
        <v>1303</v>
      </c>
      <c r="H130" s="2033">
        <f>IFERROR(VLOOKUP($B130,'[3]1001'!$B$6:$G$5927,2,FALSE),0)</f>
        <v>0</v>
      </c>
      <c r="I130" s="2034">
        <f>IFERROR(VLOOKUP($B130,'[3]1001'!$B$6:$G$5927,4,FALSE),0)</f>
        <v>0</v>
      </c>
      <c r="J130" s="2033">
        <f t="shared" si="6"/>
        <v>0</v>
      </c>
      <c r="K130" s="2035">
        <f>IFERROR(VLOOKUP($B130,'[3]1002'!$B$6:$G$5921,2,FALSE),0)</f>
        <v>0</v>
      </c>
      <c r="L130" s="2036">
        <f>IFERROR(VLOOKUP($B130,'[3]1002'!$B$6:$G$5921,4,FALSE),0)</f>
        <v>0</v>
      </c>
      <c r="M130" s="1763">
        <f t="shared" si="7"/>
        <v>0</v>
      </c>
      <c r="N130" s="2033">
        <f>IFERROR(VLOOKUP($B130,'[3]1003'!$B$6:$G$5921,2,FALSE),0)</f>
        <v>0</v>
      </c>
      <c r="O130" s="2034">
        <f>IFERROR(VLOOKUP($B130,'[3]1003'!$B$6:$G$5921,4,FALSE),0)</f>
        <v>0</v>
      </c>
      <c r="P130" s="2033">
        <f t="shared" si="8"/>
        <v>0</v>
      </c>
      <c r="Q130" s="1763">
        <f>IFERROR(VLOOKUP($B130,'[3]1004'!$B$6:$G$5921,2,FALSE),0)</f>
        <v>0</v>
      </c>
      <c r="R130" s="2036">
        <f>IFERROR(VLOOKUP($B130,'[3]1004'!$B$6:$G$5921,4,FALSE),0)</f>
        <v>0</v>
      </c>
      <c r="S130" s="1763">
        <f t="shared" si="9"/>
        <v>0</v>
      </c>
      <c r="T130" s="2033">
        <f>IFERROR(VLOOKUP($B130,'[3]1006'!$B$6:$G$5921,2,FALSE),0)</f>
        <v>0</v>
      </c>
      <c r="U130" s="2034">
        <f>IFERROR(VLOOKUP($B130,'[3]1006'!$B$6:$G$5921,4,FALSE),0)</f>
        <v>0</v>
      </c>
      <c r="V130" s="2033">
        <f t="shared" si="10"/>
        <v>0</v>
      </c>
      <c r="W130" s="2033">
        <f t="shared" si="11"/>
        <v>0</v>
      </c>
    </row>
    <row r="131" spans="2:23" x14ac:dyDescent="0.15">
      <c r="B131" s="1288">
        <v>12856</v>
      </c>
      <c r="C131" s="1288" t="s">
        <v>1516</v>
      </c>
      <c r="D131" s="2040"/>
      <c r="E131" s="1288" t="s">
        <v>94</v>
      </c>
      <c r="F131" s="1288" t="s">
        <v>1517</v>
      </c>
      <c r="G131" s="1288" t="s">
        <v>1303</v>
      </c>
      <c r="H131" s="2033">
        <f>IFERROR(VLOOKUP($B131,'[3]1001'!$B$6:$G$5927,2,FALSE),0)</f>
        <v>0</v>
      </c>
      <c r="I131" s="2034">
        <f>IFERROR(VLOOKUP($B131,'[3]1001'!$B$6:$G$5927,4,FALSE),0)</f>
        <v>0</v>
      </c>
      <c r="J131" s="2033">
        <f t="shared" si="6"/>
        <v>0</v>
      </c>
      <c r="K131" s="2035">
        <f>IFERROR(VLOOKUP($B131,'[3]1002'!$B$6:$G$5921,2,FALSE),0)</f>
        <v>0</v>
      </c>
      <c r="L131" s="2036">
        <f>IFERROR(VLOOKUP($B131,'[3]1002'!$B$6:$G$5921,4,FALSE),0)</f>
        <v>0</v>
      </c>
      <c r="M131" s="1763">
        <f t="shared" si="7"/>
        <v>0</v>
      </c>
      <c r="N131" s="2033">
        <f>IFERROR(VLOOKUP($B131,'[3]1003'!$B$6:$G$5921,2,FALSE),0)</f>
        <v>0</v>
      </c>
      <c r="O131" s="2034">
        <f>IFERROR(VLOOKUP($B131,'[3]1003'!$B$6:$G$5921,4,FALSE),0)</f>
        <v>0</v>
      </c>
      <c r="P131" s="2033">
        <f t="shared" si="8"/>
        <v>0</v>
      </c>
      <c r="Q131" s="1763">
        <f>IFERROR(VLOOKUP($B131,'[3]1004'!$B$6:$G$5921,2,FALSE),0)</f>
        <v>0</v>
      </c>
      <c r="R131" s="2036">
        <f>IFERROR(VLOOKUP($B131,'[3]1004'!$B$6:$G$5921,4,FALSE),0)</f>
        <v>0</v>
      </c>
      <c r="S131" s="1763">
        <f t="shared" si="9"/>
        <v>0</v>
      </c>
      <c r="T131" s="2033">
        <f>IFERROR(VLOOKUP($B131,'[3]1006'!$B$6:$G$5921,2,FALSE),0)</f>
        <v>0</v>
      </c>
      <c r="U131" s="2034">
        <f>IFERROR(VLOOKUP($B131,'[3]1006'!$B$6:$G$5921,4,FALSE),0)</f>
        <v>0</v>
      </c>
      <c r="V131" s="2033">
        <f t="shared" si="10"/>
        <v>0</v>
      </c>
      <c r="W131" s="2033">
        <f t="shared" si="11"/>
        <v>0</v>
      </c>
    </row>
    <row r="132" spans="2:23" x14ac:dyDescent="0.15">
      <c r="B132" s="2032">
        <v>12927</v>
      </c>
      <c r="C132" s="2032" t="s">
        <v>1518</v>
      </c>
      <c r="D132" s="2032" t="s">
        <v>1519</v>
      </c>
      <c r="E132" s="2032" t="s">
        <v>94</v>
      </c>
      <c r="F132" s="1288" t="s">
        <v>1300</v>
      </c>
      <c r="G132" s="1288" t="s">
        <v>1296</v>
      </c>
      <c r="H132" s="2033">
        <f>IFERROR(VLOOKUP($B132,'[3]1001'!$B$6:$G$5927,2,FALSE),0)</f>
        <v>0</v>
      </c>
      <c r="I132" s="2034">
        <f>IFERROR(VLOOKUP($B132,'[3]1001'!$B$6:$G$5927,4,FALSE),0)</f>
        <v>0</v>
      </c>
      <c r="J132" s="2033">
        <f t="shared" si="6"/>
        <v>0</v>
      </c>
      <c r="K132" s="2035">
        <f>IFERROR(VLOOKUP($B132,'[3]1002'!$B$6:$G$5921,2,FALSE),0)</f>
        <v>0</v>
      </c>
      <c r="L132" s="2036">
        <f>IFERROR(VLOOKUP($B132,'[3]1002'!$B$6:$G$5921,4,FALSE),0)</f>
        <v>0</v>
      </c>
      <c r="M132" s="1763">
        <f t="shared" si="7"/>
        <v>0</v>
      </c>
      <c r="N132" s="2033">
        <f>IFERROR(VLOOKUP($B132,'[3]1003'!$B$6:$G$5921,2,FALSE),0)</f>
        <v>0</v>
      </c>
      <c r="O132" s="2034">
        <f>IFERROR(VLOOKUP($B132,'[3]1003'!$B$6:$G$5921,4,FALSE),0)</f>
        <v>0</v>
      </c>
      <c r="P132" s="2033">
        <f t="shared" si="8"/>
        <v>0</v>
      </c>
      <c r="Q132" s="1763">
        <f>IFERROR(VLOOKUP($B132,'[3]1004'!$B$6:$G$5921,2,FALSE),0)</f>
        <v>0</v>
      </c>
      <c r="R132" s="2036">
        <f>IFERROR(VLOOKUP($B132,'[3]1004'!$B$6:$G$5921,4,FALSE),0)</f>
        <v>0</v>
      </c>
      <c r="S132" s="1763">
        <f t="shared" si="9"/>
        <v>0</v>
      </c>
      <c r="T132" s="2033">
        <f>IFERROR(VLOOKUP($B132,'[3]1006'!$B$6:$G$5921,2,FALSE),0)</f>
        <v>0</v>
      </c>
      <c r="U132" s="2034">
        <f>IFERROR(VLOOKUP($B132,'[3]1006'!$B$6:$G$5921,4,FALSE),0)</f>
        <v>0</v>
      </c>
      <c r="V132" s="2033">
        <f t="shared" si="10"/>
        <v>0</v>
      </c>
      <c r="W132" s="2033">
        <f t="shared" si="11"/>
        <v>0</v>
      </c>
    </row>
    <row r="133" spans="2:23" x14ac:dyDescent="0.15">
      <c r="B133" s="2032">
        <v>13177</v>
      </c>
      <c r="C133" s="2032" t="s">
        <v>1520</v>
      </c>
      <c r="D133" s="2032" t="s">
        <v>1521</v>
      </c>
      <c r="E133" s="2032" t="s">
        <v>94</v>
      </c>
      <c r="F133" s="1288" t="s">
        <v>1300</v>
      </c>
      <c r="G133" s="1288" t="s">
        <v>1303</v>
      </c>
      <c r="H133" s="2033">
        <f>IFERROR(VLOOKUP($B133,'[3]1001'!$B$6:$G$5927,2,FALSE),0)</f>
        <v>0</v>
      </c>
      <c r="I133" s="2034">
        <f>IFERROR(VLOOKUP($B133,'[3]1001'!$B$6:$G$5927,4,FALSE),0)</f>
        <v>0</v>
      </c>
      <c r="J133" s="2033">
        <f t="shared" si="6"/>
        <v>0</v>
      </c>
      <c r="K133" s="2035">
        <f>IFERROR(VLOOKUP($B133,'[3]1002'!$B$6:$G$5921,2,FALSE),0)</f>
        <v>0</v>
      </c>
      <c r="L133" s="2036">
        <f>IFERROR(VLOOKUP($B133,'[3]1002'!$B$6:$G$5921,4,FALSE),0)</f>
        <v>0</v>
      </c>
      <c r="M133" s="1763">
        <f t="shared" si="7"/>
        <v>0</v>
      </c>
      <c r="N133" s="2033">
        <f>IFERROR(VLOOKUP($B133,'[3]1003'!$B$6:$G$5921,2,FALSE),0)</f>
        <v>0</v>
      </c>
      <c r="O133" s="2034">
        <f>IFERROR(VLOOKUP($B133,'[3]1003'!$B$6:$G$5921,4,FALSE),0)</f>
        <v>0</v>
      </c>
      <c r="P133" s="2033">
        <f t="shared" si="8"/>
        <v>0</v>
      </c>
      <c r="Q133" s="1763">
        <f>IFERROR(VLOOKUP($B133,'[3]1004'!$B$6:$G$5921,2,FALSE),0)</f>
        <v>0</v>
      </c>
      <c r="R133" s="2036">
        <f>IFERROR(VLOOKUP($B133,'[3]1004'!$B$6:$G$5921,4,FALSE),0)</f>
        <v>0</v>
      </c>
      <c r="S133" s="1763">
        <f t="shared" si="9"/>
        <v>0</v>
      </c>
      <c r="T133" s="2033">
        <f>IFERROR(VLOOKUP($B133,'[3]1006'!$B$6:$G$5921,2,FALSE),0)</f>
        <v>0</v>
      </c>
      <c r="U133" s="2034">
        <f>IFERROR(VLOOKUP($B133,'[3]1006'!$B$6:$G$5921,4,FALSE),0)</f>
        <v>0</v>
      </c>
      <c r="V133" s="2033">
        <f t="shared" si="10"/>
        <v>0</v>
      </c>
      <c r="W133" s="2033">
        <f t="shared" si="11"/>
        <v>0</v>
      </c>
    </row>
    <row r="134" spans="2:23" x14ac:dyDescent="0.15">
      <c r="B134" s="2032">
        <v>13340</v>
      </c>
      <c r="C134" s="2032" t="s">
        <v>1522</v>
      </c>
      <c r="D134" s="2032" t="s">
        <v>1523</v>
      </c>
      <c r="E134" s="2032" t="s">
        <v>94</v>
      </c>
      <c r="F134" s="1288" t="s">
        <v>1300</v>
      </c>
      <c r="G134" s="1288" t="s">
        <v>1303</v>
      </c>
      <c r="H134" s="2033">
        <f>IFERROR(VLOOKUP($B134,'[3]1001'!$B$6:$G$5927,2,FALSE),0)</f>
        <v>0</v>
      </c>
      <c r="I134" s="2034">
        <f>IFERROR(VLOOKUP($B134,'[3]1001'!$B$6:$G$5927,4,FALSE),0)</f>
        <v>0</v>
      </c>
      <c r="J134" s="2033">
        <f t="shared" ref="J134:J197" si="12">IF(H134=0,0,H134/I134)</f>
        <v>0</v>
      </c>
      <c r="K134" s="2035">
        <f>IFERROR(VLOOKUP($B134,'[3]1002'!$B$6:$G$5921,2,FALSE),0)</f>
        <v>0</v>
      </c>
      <c r="L134" s="2036">
        <f>IFERROR(VLOOKUP($B134,'[3]1002'!$B$6:$G$5921,4,FALSE),0)</f>
        <v>0</v>
      </c>
      <c r="M134" s="1763">
        <f t="shared" ref="M134:M197" si="13">IF(K134=0,0,K134/L134)</f>
        <v>0</v>
      </c>
      <c r="N134" s="2033">
        <f>IFERROR(VLOOKUP($B134,'[3]1003'!$B$6:$G$5921,2,FALSE),0)</f>
        <v>0</v>
      </c>
      <c r="O134" s="2034">
        <f>IFERROR(VLOOKUP($B134,'[3]1003'!$B$6:$G$5921,4,FALSE),0)</f>
        <v>0</v>
      </c>
      <c r="P134" s="2033">
        <f t="shared" ref="P134:P197" si="14">IF(N134=0,0,N134/O134)</f>
        <v>0</v>
      </c>
      <c r="Q134" s="1763">
        <f>IFERROR(VLOOKUP($B134,'[3]1004'!$B$6:$G$5921,2,FALSE),0)</f>
        <v>0</v>
      </c>
      <c r="R134" s="2036">
        <f>IFERROR(VLOOKUP($B134,'[3]1004'!$B$6:$G$5921,4,FALSE),0)</f>
        <v>0</v>
      </c>
      <c r="S134" s="1763">
        <f t="shared" ref="S134:S197" si="15">IF(Q134=0,0,Q134/R134)</f>
        <v>0</v>
      </c>
      <c r="T134" s="2033">
        <f>IFERROR(VLOOKUP($B134,'[3]1006'!$B$6:$G$5921,2,FALSE),0)</f>
        <v>0</v>
      </c>
      <c r="U134" s="2034">
        <f>IFERROR(VLOOKUP($B134,'[3]1006'!$B$6:$G$5921,4,FALSE),0)</f>
        <v>0</v>
      </c>
      <c r="V134" s="2033">
        <f t="shared" ref="V134:V197" si="16">IF(T134=0,0,T134/U134)</f>
        <v>0</v>
      </c>
      <c r="W134" s="2033">
        <f t="shared" ref="W134:W197" si="17">U134+R134+O134+L134+I134</f>
        <v>0</v>
      </c>
    </row>
    <row r="135" spans="2:23" x14ac:dyDescent="0.15">
      <c r="B135" s="2032">
        <v>13341</v>
      </c>
      <c r="C135" s="2032" t="s">
        <v>1524</v>
      </c>
      <c r="D135" s="2032" t="s">
        <v>1525</v>
      </c>
      <c r="E135" s="2032" t="s">
        <v>94</v>
      </c>
      <c r="F135" s="1288" t="s">
        <v>1305</v>
      </c>
      <c r="G135" s="1288" t="s">
        <v>1303</v>
      </c>
      <c r="H135" s="2033">
        <f>IFERROR(VLOOKUP($B135,'[3]1001'!$B$6:$G$5927,2,FALSE),0)</f>
        <v>0</v>
      </c>
      <c r="I135" s="2034">
        <f>IFERROR(VLOOKUP($B135,'[3]1001'!$B$6:$G$5927,4,FALSE),0)</f>
        <v>0</v>
      </c>
      <c r="J135" s="2033">
        <f t="shared" si="12"/>
        <v>0</v>
      </c>
      <c r="K135" s="2035">
        <f>IFERROR(VLOOKUP($B135,'[3]1002'!$B$6:$G$5921,2,FALSE),0)</f>
        <v>0</v>
      </c>
      <c r="L135" s="2036">
        <f>IFERROR(VLOOKUP($B135,'[3]1002'!$B$6:$G$5921,4,FALSE),0)</f>
        <v>0</v>
      </c>
      <c r="M135" s="1763">
        <f t="shared" si="13"/>
        <v>0</v>
      </c>
      <c r="N135" s="2033">
        <f>IFERROR(VLOOKUP($B135,'[3]1003'!$B$6:$G$5921,2,FALSE),0)</f>
        <v>0</v>
      </c>
      <c r="O135" s="2034">
        <f>IFERROR(VLOOKUP($B135,'[3]1003'!$B$6:$G$5921,4,FALSE),0)</f>
        <v>0</v>
      </c>
      <c r="P135" s="2033">
        <f t="shared" si="14"/>
        <v>0</v>
      </c>
      <c r="Q135" s="1763">
        <f>IFERROR(VLOOKUP($B135,'[3]1004'!$B$6:$G$5921,2,FALSE),0)</f>
        <v>0</v>
      </c>
      <c r="R135" s="2036">
        <f>IFERROR(VLOOKUP($B135,'[3]1004'!$B$6:$G$5921,4,FALSE),0)</f>
        <v>0</v>
      </c>
      <c r="S135" s="1763">
        <f t="shared" si="15"/>
        <v>0</v>
      </c>
      <c r="T135" s="2033">
        <f>IFERROR(VLOOKUP($B135,'[3]1006'!$B$6:$G$5921,2,FALSE),0)</f>
        <v>0</v>
      </c>
      <c r="U135" s="2034">
        <f>IFERROR(VLOOKUP($B135,'[3]1006'!$B$6:$G$5921,4,FALSE),0)</f>
        <v>0</v>
      </c>
      <c r="V135" s="2033">
        <f t="shared" si="16"/>
        <v>0</v>
      </c>
      <c r="W135" s="2033">
        <f t="shared" si="17"/>
        <v>0</v>
      </c>
    </row>
    <row r="136" spans="2:23" x14ac:dyDescent="0.15">
      <c r="B136" s="2032">
        <v>13465</v>
      </c>
      <c r="C136" s="2032" t="s">
        <v>1526</v>
      </c>
      <c r="D136" s="2032" t="s">
        <v>1527</v>
      </c>
      <c r="E136" s="2032" t="s">
        <v>94</v>
      </c>
      <c r="F136" s="1288" t="s">
        <v>1300</v>
      </c>
      <c r="G136" s="1288" t="s">
        <v>1303</v>
      </c>
      <c r="H136" s="2033">
        <f>IFERROR(VLOOKUP($B136,'[3]1001'!$B$6:$G$5927,2,FALSE),0)</f>
        <v>179115.18</v>
      </c>
      <c r="I136" s="2034">
        <f>IFERROR(VLOOKUP($B136,'[3]1001'!$B$6:$G$5927,4,FALSE),0)</f>
        <v>5</v>
      </c>
      <c r="J136" s="2033">
        <f t="shared" si="12"/>
        <v>35823.036</v>
      </c>
      <c r="K136" s="2035">
        <f>IFERROR(VLOOKUP($B136,'[3]1002'!$B$6:$G$5921,2,FALSE),0)</f>
        <v>105485.83</v>
      </c>
      <c r="L136" s="2036">
        <f>IFERROR(VLOOKUP($B136,'[3]1002'!$B$6:$G$5921,4,FALSE),0)</f>
        <v>2</v>
      </c>
      <c r="M136" s="1763">
        <f t="shared" si="13"/>
        <v>52742.915000000001</v>
      </c>
      <c r="N136" s="2033">
        <f>IFERROR(VLOOKUP($B136,'[3]1003'!$B$6:$G$5921,2,FALSE),0)</f>
        <v>71589.78</v>
      </c>
      <c r="O136" s="2034">
        <f>IFERROR(VLOOKUP($B136,'[3]1003'!$B$6:$G$5921,4,FALSE),0)</f>
        <v>2</v>
      </c>
      <c r="P136" s="2033">
        <f t="shared" si="14"/>
        <v>35794.89</v>
      </c>
      <c r="Q136" s="1763">
        <f>IFERROR(VLOOKUP($B136,'[3]1004'!$B$6:$G$5921,2,FALSE),0)</f>
        <v>0</v>
      </c>
      <c r="R136" s="2036">
        <f>IFERROR(VLOOKUP($B136,'[3]1004'!$B$6:$G$5921,4,FALSE),0)</f>
        <v>0</v>
      </c>
      <c r="S136" s="1763">
        <f t="shared" si="15"/>
        <v>0</v>
      </c>
      <c r="T136" s="2033">
        <f>IFERROR(VLOOKUP($B136,'[3]1006'!$B$6:$G$5921,2,FALSE),0)</f>
        <v>0</v>
      </c>
      <c r="U136" s="2034">
        <f>IFERROR(VLOOKUP($B136,'[3]1006'!$B$6:$G$5921,4,FALSE),0)</f>
        <v>0</v>
      </c>
      <c r="V136" s="2033">
        <f t="shared" si="16"/>
        <v>0</v>
      </c>
      <c r="W136" s="2033">
        <f t="shared" si="17"/>
        <v>9</v>
      </c>
    </row>
    <row r="137" spans="2:23" x14ac:dyDescent="0.15">
      <c r="B137" s="2032">
        <v>13466</v>
      </c>
      <c r="C137" s="2032" t="s">
        <v>1528</v>
      </c>
      <c r="D137" s="2032" t="s">
        <v>1529</v>
      </c>
      <c r="E137" s="2032" t="s">
        <v>94</v>
      </c>
      <c r="F137" s="1288" t="s">
        <v>1300</v>
      </c>
      <c r="G137" s="1288" t="s">
        <v>1303</v>
      </c>
      <c r="H137" s="2033">
        <f>IFERROR(VLOOKUP($B137,'[3]1001'!$B$6:$G$5927,2,FALSE),0)</f>
        <v>201649.97</v>
      </c>
      <c r="I137" s="2034">
        <f>IFERROR(VLOOKUP($B137,'[3]1001'!$B$6:$G$5927,4,FALSE),0)</f>
        <v>3</v>
      </c>
      <c r="J137" s="2033">
        <f t="shared" si="12"/>
        <v>67216.656666666662</v>
      </c>
      <c r="K137" s="2035">
        <f>IFERROR(VLOOKUP($B137,'[3]1002'!$B$6:$G$5921,2,FALSE),0)</f>
        <v>0</v>
      </c>
      <c r="L137" s="2036">
        <f>IFERROR(VLOOKUP($B137,'[3]1002'!$B$6:$G$5921,4,FALSE),0)</f>
        <v>0</v>
      </c>
      <c r="M137" s="1763">
        <f t="shared" si="13"/>
        <v>0</v>
      </c>
      <c r="N137" s="2033">
        <f>IFERROR(VLOOKUP($B137,'[3]1003'!$B$6:$G$5921,2,FALSE),0)</f>
        <v>187050.77</v>
      </c>
      <c r="O137" s="2034">
        <f>IFERROR(VLOOKUP($B137,'[3]1003'!$B$6:$G$5921,4,FALSE),0)</f>
        <v>3</v>
      </c>
      <c r="P137" s="2033">
        <f t="shared" si="14"/>
        <v>62350.256666666661</v>
      </c>
      <c r="Q137" s="1763">
        <f>IFERROR(VLOOKUP($B137,'[3]1004'!$B$6:$G$5921,2,FALSE),0)</f>
        <v>0</v>
      </c>
      <c r="R137" s="2036">
        <f>IFERROR(VLOOKUP($B137,'[3]1004'!$B$6:$G$5921,4,FALSE),0)</f>
        <v>0</v>
      </c>
      <c r="S137" s="1763">
        <f t="shared" si="15"/>
        <v>0</v>
      </c>
      <c r="T137" s="2033">
        <f>IFERROR(VLOOKUP($B137,'[3]1006'!$B$6:$G$5921,2,FALSE),0)</f>
        <v>0</v>
      </c>
      <c r="U137" s="2034">
        <f>IFERROR(VLOOKUP($B137,'[3]1006'!$B$6:$G$5921,4,FALSE),0)</f>
        <v>0</v>
      </c>
      <c r="V137" s="2033">
        <f t="shared" si="16"/>
        <v>0</v>
      </c>
      <c r="W137" s="2033">
        <f t="shared" si="17"/>
        <v>6</v>
      </c>
    </row>
    <row r="138" spans="2:23" x14ac:dyDescent="0.15">
      <c r="B138" s="2032">
        <v>13467</v>
      </c>
      <c r="C138" s="2032" t="s">
        <v>1530</v>
      </c>
      <c r="D138" s="2032" t="s">
        <v>1531</v>
      </c>
      <c r="E138" s="2032" t="s">
        <v>94</v>
      </c>
      <c r="F138" s="1288" t="s">
        <v>1300</v>
      </c>
      <c r="G138" s="1288" t="s">
        <v>1303</v>
      </c>
      <c r="H138" s="2033">
        <f>IFERROR(VLOOKUP($B138,'[3]1001'!$B$6:$G$5927,2,FALSE),0)</f>
        <v>0</v>
      </c>
      <c r="I138" s="2034">
        <f>IFERROR(VLOOKUP($B138,'[3]1001'!$B$6:$G$5927,4,FALSE),0)</f>
        <v>0</v>
      </c>
      <c r="J138" s="2033">
        <f t="shared" si="12"/>
        <v>0</v>
      </c>
      <c r="K138" s="2035">
        <f>IFERROR(VLOOKUP($B138,'[3]1002'!$B$6:$G$5921,2,FALSE),0)</f>
        <v>544552.19999999995</v>
      </c>
      <c r="L138" s="2036">
        <f>IFERROR(VLOOKUP($B138,'[3]1002'!$B$6:$G$5921,4,FALSE),0)</f>
        <v>27</v>
      </c>
      <c r="M138" s="1763">
        <f t="shared" si="13"/>
        <v>20168.599999999999</v>
      </c>
      <c r="N138" s="2033">
        <f>IFERROR(VLOOKUP($B138,'[3]1003'!$B$6:$G$5921,2,FALSE),0)</f>
        <v>408890.32</v>
      </c>
      <c r="O138" s="2034">
        <f>IFERROR(VLOOKUP($B138,'[3]1003'!$B$6:$G$5921,4,FALSE),0)</f>
        <v>18</v>
      </c>
      <c r="P138" s="2033">
        <f t="shared" si="14"/>
        <v>22716.128888888888</v>
      </c>
      <c r="Q138" s="1763">
        <f>IFERROR(VLOOKUP($B138,'[3]1004'!$B$6:$G$5921,2,FALSE),0)</f>
        <v>136296.76999999999</v>
      </c>
      <c r="R138" s="2036">
        <f>IFERROR(VLOOKUP($B138,'[3]1004'!$B$6:$G$5921,4,FALSE),0)</f>
        <v>6</v>
      </c>
      <c r="S138" s="1763">
        <f t="shared" si="15"/>
        <v>22716.12833333333</v>
      </c>
      <c r="T138" s="2033">
        <f>IFERROR(VLOOKUP($B138,'[3]1006'!$B$6:$G$5921,2,FALSE),0)</f>
        <v>90864.52</v>
      </c>
      <c r="U138" s="2034">
        <f>IFERROR(VLOOKUP($B138,'[3]1006'!$B$6:$G$5921,4,FALSE),0)</f>
        <v>4</v>
      </c>
      <c r="V138" s="2033">
        <f t="shared" si="16"/>
        <v>22716.13</v>
      </c>
      <c r="W138" s="2033">
        <f t="shared" si="17"/>
        <v>55</v>
      </c>
    </row>
    <row r="139" spans="2:23" x14ac:dyDescent="0.15">
      <c r="B139" s="2032">
        <v>13468</v>
      </c>
      <c r="C139" s="2032" t="s">
        <v>1532</v>
      </c>
      <c r="D139" s="2032" t="s">
        <v>1533</v>
      </c>
      <c r="E139" s="2032" t="s">
        <v>94</v>
      </c>
      <c r="F139" s="1288" t="s">
        <v>1300</v>
      </c>
      <c r="G139" s="1288" t="s">
        <v>1303</v>
      </c>
      <c r="H139" s="2033">
        <f>IFERROR(VLOOKUP($B139,'[3]1001'!$B$6:$G$5927,2,FALSE),0)</f>
        <v>0</v>
      </c>
      <c r="I139" s="2034">
        <f>IFERROR(VLOOKUP($B139,'[3]1001'!$B$6:$G$5927,4,FALSE),0)</f>
        <v>0</v>
      </c>
      <c r="J139" s="2033">
        <f t="shared" si="12"/>
        <v>0</v>
      </c>
      <c r="K139" s="2035">
        <f>IFERROR(VLOOKUP($B139,'[3]1002'!$B$6:$G$5921,2,FALSE),0)</f>
        <v>0</v>
      </c>
      <c r="L139" s="2036">
        <f>IFERROR(VLOOKUP($B139,'[3]1002'!$B$6:$G$5921,4,FALSE),0)</f>
        <v>0</v>
      </c>
      <c r="M139" s="1763">
        <f t="shared" si="13"/>
        <v>0</v>
      </c>
      <c r="N139" s="2033">
        <f>IFERROR(VLOOKUP($B139,'[3]1003'!$B$6:$G$5921,2,FALSE),0)</f>
        <v>0</v>
      </c>
      <c r="O139" s="2034">
        <f>IFERROR(VLOOKUP($B139,'[3]1003'!$B$6:$G$5921,4,FALSE),0)</f>
        <v>0</v>
      </c>
      <c r="P139" s="2033">
        <f t="shared" si="14"/>
        <v>0</v>
      </c>
      <c r="Q139" s="1763">
        <f>IFERROR(VLOOKUP($B139,'[3]1004'!$B$6:$G$5921,2,FALSE),0)</f>
        <v>0</v>
      </c>
      <c r="R139" s="2036">
        <f>IFERROR(VLOOKUP($B139,'[3]1004'!$B$6:$G$5921,4,FALSE),0)</f>
        <v>0</v>
      </c>
      <c r="S139" s="1763">
        <f t="shared" si="15"/>
        <v>0</v>
      </c>
      <c r="T139" s="2033">
        <f>IFERROR(VLOOKUP($B139,'[3]1006'!$B$6:$G$5921,2,FALSE),0)</f>
        <v>17452.060000000001</v>
      </c>
      <c r="U139" s="2034">
        <f>IFERROR(VLOOKUP($B139,'[3]1006'!$B$6:$G$5921,4,FALSE),0)</f>
        <v>1</v>
      </c>
      <c r="V139" s="2033">
        <f t="shared" si="16"/>
        <v>17452.060000000001</v>
      </c>
      <c r="W139" s="2033">
        <f t="shared" si="17"/>
        <v>1</v>
      </c>
    </row>
    <row r="140" spans="2:23" x14ac:dyDescent="0.15">
      <c r="B140" s="2032">
        <v>13470</v>
      </c>
      <c r="C140" s="2032" t="s">
        <v>1534</v>
      </c>
      <c r="D140" s="2032" t="s">
        <v>1535</v>
      </c>
      <c r="E140" s="2032" t="s">
        <v>94</v>
      </c>
      <c r="F140" s="1288" t="s">
        <v>1300</v>
      </c>
      <c r="G140" s="1288" t="s">
        <v>1303</v>
      </c>
      <c r="H140" s="2033">
        <f>IFERROR(VLOOKUP($B140,'[3]1001'!$B$6:$G$5927,2,FALSE),0)</f>
        <v>0</v>
      </c>
      <c r="I140" s="2034">
        <f>IFERROR(VLOOKUP($B140,'[3]1001'!$B$6:$G$5927,4,FALSE),0)</f>
        <v>0</v>
      </c>
      <c r="J140" s="2033">
        <f t="shared" si="12"/>
        <v>0</v>
      </c>
      <c r="K140" s="2035">
        <f>IFERROR(VLOOKUP($B140,'[3]1002'!$B$6:$G$5921,2,FALSE),0)</f>
        <v>639731.02</v>
      </c>
      <c r="L140" s="2036">
        <f>IFERROR(VLOOKUP($B140,'[3]1002'!$B$6:$G$5921,4,FALSE),0)</f>
        <v>9</v>
      </c>
      <c r="M140" s="1763">
        <f t="shared" si="13"/>
        <v>71081.224444444451</v>
      </c>
      <c r="N140" s="2033">
        <f>IFERROR(VLOOKUP($B140,'[3]1003'!$B$6:$G$5921,2,FALSE),0)</f>
        <v>140159.1</v>
      </c>
      <c r="O140" s="2034">
        <f>IFERROR(VLOOKUP($B140,'[3]1003'!$B$6:$G$5921,4,FALSE),0)</f>
        <v>2</v>
      </c>
      <c r="P140" s="2033">
        <f t="shared" si="14"/>
        <v>70079.55</v>
      </c>
      <c r="Q140" s="1763">
        <f>IFERROR(VLOOKUP($B140,'[3]1004'!$B$6:$G$5921,2,FALSE),0)</f>
        <v>0</v>
      </c>
      <c r="R140" s="2036">
        <f>IFERROR(VLOOKUP($B140,'[3]1004'!$B$6:$G$5921,4,FALSE),0)</f>
        <v>0</v>
      </c>
      <c r="S140" s="1763">
        <f t="shared" si="15"/>
        <v>0</v>
      </c>
      <c r="T140" s="2033">
        <f>IFERROR(VLOOKUP($B140,'[3]1006'!$B$6:$G$5921,2,FALSE),0)</f>
        <v>0</v>
      </c>
      <c r="U140" s="2034">
        <f>IFERROR(VLOOKUP($B140,'[3]1006'!$B$6:$G$5921,4,FALSE),0)</f>
        <v>0</v>
      </c>
      <c r="V140" s="2033">
        <f t="shared" si="16"/>
        <v>0</v>
      </c>
      <c r="W140" s="2033">
        <f t="shared" si="17"/>
        <v>11</v>
      </c>
    </row>
    <row r="141" spans="2:23" x14ac:dyDescent="0.15">
      <c r="B141" s="2032">
        <v>13471</v>
      </c>
      <c r="C141" s="2032" t="s">
        <v>1536</v>
      </c>
      <c r="D141" s="2032" t="s">
        <v>1537</v>
      </c>
      <c r="E141" s="2032" t="s">
        <v>94</v>
      </c>
      <c r="F141" s="1288" t="s">
        <v>1300</v>
      </c>
      <c r="G141" s="1288" t="s">
        <v>1303</v>
      </c>
      <c r="H141" s="2033">
        <f>IFERROR(VLOOKUP($B141,'[3]1001'!$B$6:$G$5927,2,FALSE),0)</f>
        <v>0</v>
      </c>
      <c r="I141" s="2034">
        <f>IFERROR(VLOOKUP($B141,'[3]1001'!$B$6:$G$5927,4,FALSE),0)</f>
        <v>0</v>
      </c>
      <c r="J141" s="2033">
        <f t="shared" si="12"/>
        <v>0</v>
      </c>
      <c r="K141" s="2035">
        <f>IFERROR(VLOOKUP($B141,'[3]1002'!$B$6:$G$5921,2,FALSE),0)</f>
        <v>0</v>
      </c>
      <c r="L141" s="2036">
        <f>IFERROR(VLOOKUP($B141,'[3]1002'!$B$6:$G$5921,4,FALSE),0)</f>
        <v>0</v>
      </c>
      <c r="M141" s="1763">
        <f t="shared" si="13"/>
        <v>0</v>
      </c>
      <c r="N141" s="2033">
        <f>IFERROR(VLOOKUP($B141,'[3]1003'!$B$6:$G$5921,2,FALSE),0)</f>
        <v>0</v>
      </c>
      <c r="O141" s="2034">
        <f>IFERROR(VLOOKUP($B141,'[3]1003'!$B$6:$G$5921,4,FALSE),0)</f>
        <v>0</v>
      </c>
      <c r="P141" s="2033">
        <f t="shared" si="14"/>
        <v>0</v>
      </c>
      <c r="Q141" s="1763">
        <f>IFERROR(VLOOKUP($B141,'[3]1004'!$B$6:$G$5921,2,FALSE),0)</f>
        <v>0</v>
      </c>
      <c r="R141" s="2036">
        <f>IFERROR(VLOOKUP($B141,'[3]1004'!$B$6:$G$5921,4,FALSE),0)</f>
        <v>0</v>
      </c>
      <c r="S141" s="1763">
        <f t="shared" si="15"/>
        <v>0</v>
      </c>
      <c r="T141" s="2033">
        <f>IFERROR(VLOOKUP($B141,'[3]1006'!$B$6:$G$5921,2,FALSE),0)</f>
        <v>14199.17</v>
      </c>
      <c r="U141" s="2034">
        <f>IFERROR(VLOOKUP($B141,'[3]1006'!$B$6:$G$5921,4,FALSE),0)</f>
        <v>1</v>
      </c>
      <c r="V141" s="2033">
        <f t="shared" si="16"/>
        <v>14199.17</v>
      </c>
      <c r="W141" s="2033">
        <f t="shared" si="17"/>
        <v>1</v>
      </c>
    </row>
    <row r="142" spans="2:23" x14ac:dyDescent="0.15">
      <c r="B142" s="2032">
        <v>13472</v>
      </c>
      <c r="C142" s="2032" t="s">
        <v>1538</v>
      </c>
      <c r="D142" s="2032" t="s">
        <v>1539</v>
      </c>
      <c r="E142" s="2032" t="s">
        <v>94</v>
      </c>
      <c r="F142" s="1288" t="s">
        <v>1300</v>
      </c>
      <c r="G142" s="1288" t="s">
        <v>1303</v>
      </c>
      <c r="H142" s="2033">
        <f>IFERROR(VLOOKUP($B142,'[3]1001'!$B$6:$G$5927,2,FALSE),0)</f>
        <v>0</v>
      </c>
      <c r="I142" s="2034">
        <f>IFERROR(VLOOKUP($B142,'[3]1001'!$B$6:$G$5927,4,FALSE),0)</f>
        <v>0</v>
      </c>
      <c r="J142" s="2033">
        <f t="shared" si="12"/>
        <v>0</v>
      </c>
      <c r="K142" s="2035">
        <f>IFERROR(VLOOKUP($B142,'[3]1002'!$B$6:$G$5921,2,FALSE),0)</f>
        <v>3071.38</v>
      </c>
      <c r="L142" s="2036">
        <f>IFERROR(VLOOKUP($B142,'[3]1002'!$B$6:$G$5921,4,FALSE),0)</f>
        <v>1</v>
      </c>
      <c r="M142" s="1763">
        <f t="shared" si="13"/>
        <v>3071.38</v>
      </c>
      <c r="N142" s="2033">
        <f>IFERROR(VLOOKUP($B142,'[3]1003'!$B$6:$G$5921,2,FALSE),0)</f>
        <v>34503.68</v>
      </c>
      <c r="O142" s="2034">
        <f>IFERROR(VLOOKUP($B142,'[3]1003'!$B$6:$G$5921,4,FALSE),0)</f>
        <v>8</v>
      </c>
      <c r="P142" s="2033">
        <f t="shared" si="14"/>
        <v>4312.96</v>
      </c>
      <c r="Q142" s="1763">
        <f>IFERROR(VLOOKUP($B142,'[3]1004'!$B$6:$G$5921,2,FALSE),0)</f>
        <v>21564.799999999999</v>
      </c>
      <c r="R142" s="2036">
        <f>IFERROR(VLOOKUP($B142,'[3]1004'!$B$6:$G$5921,4,FALSE),0)</f>
        <v>5</v>
      </c>
      <c r="S142" s="1763">
        <f t="shared" si="15"/>
        <v>4312.96</v>
      </c>
      <c r="T142" s="2033">
        <f>IFERROR(VLOOKUP($B142,'[3]1006'!$B$6:$G$5921,2,FALSE),0)</f>
        <v>12938.88</v>
      </c>
      <c r="U142" s="2034">
        <f>IFERROR(VLOOKUP($B142,'[3]1006'!$B$6:$G$5921,4,FALSE),0)</f>
        <v>3</v>
      </c>
      <c r="V142" s="2033">
        <f t="shared" si="16"/>
        <v>4312.96</v>
      </c>
      <c r="W142" s="2033">
        <f t="shared" si="17"/>
        <v>17</v>
      </c>
    </row>
    <row r="143" spans="2:23" x14ac:dyDescent="0.15">
      <c r="B143" s="2032">
        <v>13491</v>
      </c>
      <c r="C143" s="2032" t="s">
        <v>1540</v>
      </c>
      <c r="D143" s="2032" t="s">
        <v>1541</v>
      </c>
      <c r="E143" s="2032" t="s">
        <v>94</v>
      </c>
      <c r="F143" s="1288" t="s">
        <v>1300</v>
      </c>
      <c r="G143" s="1288" t="s">
        <v>1303</v>
      </c>
      <c r="H143" s="2033">
        <f>IFERROR(VLOOKUP($B143,'[3]1001'!$B$6:$G$5927,2,FALSE),0)</f>
        <v>0</v>
      </c>
      <c r="I143" s="2034">
        <f>IFERROR(VLOOKUP($B143,'[3]1001'!$B$6:$G$5927,4,FALSE),0)</f>
        <v>0</v>
      </c>
      <c r="J143" s="2033">
        <f t="shared" si="12"/>
        <v>0</v>
      </c>
      <c r="K143" s="2035">
        <f>IFERROR(VLOOKUP($B143,'[3]1002'!$B$6:$G$5921,2,FALSE),0)</f>
        <v>99927.26</v>
      </c>
      <c r="L143" s="2036">
        <f>IFERROR(VLOOKUP($B143,'[3]1002'!$B$6:$G$5921,4,FALSE),0)</f>
        <v>2</v>
      </c>
      <c r="M143" s="1763">
        <f t="shared" si="13"/>
        <v>49963.63</v>
      </c>
      <c r="N143" s="2033">
        <f>IFERROR(VLOOKUP($B143,'[3]1003'!$B$6:$G$5921,2,FALSE),0)</f>
        <v>0</v>
      </c>
      <c r="O143" s="2034">
        <f>IFERROR(VLOOKUP($B143,'[3]1003'!$B$6:$G$5921,4,FALSE),0)</f>
        <v>0</v>
      </c>
      <c r="P143" s="2033">
        <f t="shared" si="14"/>
        <v>0</v>
      </c>
      <c r="Q143" s="1763">
        <f>IFERROR(VLOOKUP($B143,'[3]1004'!$B$6:$G$5921,2,FALSE),0)</f>
        <v>0</v>
      </c>
      <c r="R143" s="2036">
        <f>IFERROR(VLOOKUP($B143,'[3]1004'!$B$6:$G$5921,4,FALSE),0)</f>
        <v>0</v>
      </c>
      <c r="S143" s="1763">
        <f t="shared" si="15"/>
        <v>0</v>
      </c>
      <c r="T143" s="2033">
        <f>IFERROR(VLOOKUP($B143,'[3]1006'!$B$6:$G$5921,2,FALSE),0)</f>
        <v>0</v>
      </c>
      <c r="U143" s="2034">
        <f>IFERROR(VLOOKUP($B143,'[3]1006'!$B$6:$G$5921,4,FALSE),0)</f>
        <v>0</v>
      </c>
      <c r="V143" s="2033">
        <f t="shared" si="16"/>
        <v>0</v>
      </c>
      <c r="W143" s="2033">
        <f t="shared" si="17"/>
        <v>2</v>
      </c>
    </row>
    <row r="144" spans="2:23" x14ac:dyDescent="0.15">
      <c r="B144" s="2032">
        <v>13599</v>
      </c>
      <c r="C144" s="2032" t="s">
        <v>1542</v>
      </c>
      <c r="D144" s="2038" t="s">
        <v>1543</v>
      </c>
      <c r="E144" s="2032" t="s">
        <v>94</v>
      </c>
      <c r="F144" s="1288" t="s">
        <v>1300</v>
      </c>
      <c r="G144" s="1288" t="s">
        <v>1303</v>
      </c>
      <c r="H144" s="2033">
        <f>IFERROR(VLOOKUP($B144,'[3]1001'!$B$6:$G$5927,2,FALSE),0)</f>
        <v>137929.07</v>
      </c>
      <c r="I144" s="2034">
        <f>IFERROR(VLOOKUP($B144,'[3]1001'!$B$6:$G$5927,4,FALSE),0)</f>
        <v>8</v>
      </c>
      <c r="J144" s="2033">
        <f t="shared" si="12"/>
        <v>17241.133750000001</v>
      </c>
      <c r="K144" s="2035">
        <f>IFERROR(VLOOKUP($B144,'[3]1002'!$B$6:$G$5921,2,FALSE),0)</f>
        <v>0</v>
      </c>
      <c r="L144" s="2036">
        <f>IFERROR(VLOOKUP($B144,'[3]1002'!$B$6:$G$5921,4,FALSE),0)</f>
        <v>0</v>
      </c>
      <c r="M144" s="1763">
        <f t="shared" si="13"/>
        <v>0</v>
      </c>
      <c r="N144" s="2033">
        <f>IFERROR(VLOOKUP($B144,'[3]1003'!$B$6:$G$5921,2,FALSE),0)</f>
        <v>0</v>
      </c>
      <c r="O144" s="2034">
        <f>IFERROR(VLOOKUP($B144,'[3]1003'!$B$6:$G$5921,4,FALSE),0)</f>
        <v>0</v>
      </c>
      <c r="P144" s="2033">
        <f t="shared" si="14"/>
        <v>0</v>
      </c>
      <c r="Q144" s="1763">
        <f>IFERROR(VLOOKUP($B144,'[3]1004'!$B$6:$G$5921,2,FALSE),0)</f>
        <v>0</v>
      </c>
      <c r="R144" s="2036">
        <f>IFERROR(VLOOKUP($B144,'[3]1004'!$B$6:$G$5921,4,FALSE),0)</f>
        <v>0</v>
      </c>
      <c r="S144" s="1763">
        <f t="shared" si="15"/>
        <v>0</v>
      </c>
      <c r="T144" s="2033">
        <f>IFERROR(VLOOKUP($B144,'[3]1006'!$B$6:$G$5921,2,FALSE),0)</f>
        <v>0</v>
      </c>
      <c r="U144" s="2034">
        <f>IFERROR(VLOOKUP($B144,'[3]1006'!$B$6:$G$5921,4,FALSE),0)</f>
        <v>0</v>
      </c>
      <c r="V144" s="2033">
        <f t="shared" si="16"/>
        <v>0</v>
      </c>
      <c r="W144" s="2033">
        <f t="shared" si="17"/>
        <v>8</v>
      </c>
    </row>
    <row r="145" spans="2:23" x14ac:dyDescent="0.15">
      <c r="B145" s="2032">
        <v>13600</v>
      </c>
      <c r="C145" s="2032" t="s">
        <v>1545</v>
      </c>
      <c r="D145" s="2038" t="s">
        <v>1545</v>
      </c>
      <c r="E145" s="2032" t="s">
        <v>94</v>
      </c>
      <c r="F145" s="1288" t="s">
        <v>1300</v>
      </c>
      <c r="G145" s="1288" t="s">
        <v>1303</v>
      </c>
      <c r="H145" s="2033">
        <f>IFERROR(VLOOKUP($B145,'[3]1001'!$B$6:$G$5927,2,FALSE),0)</f>
        <v>488894.2</v>
      </c>
      <c r="I145" s="2034">
        <f>IFERROR(VLOOKUP($B145,'[3]1001'!$B$6:$G$5927,4,FALSE),0)</f>
        <v>12</v>
      </c>
      <c r="J145" s="2033">
        <f t="shared" si="12"/>
        <v>40741.183333333334</v>
      </c>
      <c r="K145" s="2035">
        <f>IFERROR(VLOOKUP($B145,'[3]1002'!$B$6:$G$5921,2,FALSE),0)</f>
        <v>0</v>
      </c>
      <c r="L145" s="2036">
        <f>IFERROR(VLOOKUP($B145,'[3]1002'!$B$6:$G$5921,4,FALSE),0)</f>
        <v>0</v>
      </c>
      <c r="M145" s="1763">
        <f t="shared" si="13"/>
        <v>0</v>
      </c>
      <c r="N145" s="2033">
        <f>IFERROR(VLOOKUP($B145,'[3]1003'!$B$6:$G$5921,2,FALSE),0)</f>
        <v>0</v>
      </c>
      <c r="O145" s="2034">
        <f>IFERROR(VLOOKUP($B145,'[3]1003'!$B$6:$G$5921,4,FALSE),0)</f>
        <v>0</v>
      </c>
      <c r="P145" s="2033">
        <f t="shared" si="14"/>
        <v>0</v>
      </c>
      <c r="Q145" s="1763">
        <f>IFERROR(VLOOKUP($B145,'[3]1004'!$B$6:$G$5921,2,FALSE),0)</f>
        <v>0</v>
      </c>
      <c r="R145" s="2036">
        <f>IFERROR(VLOOKUP($B145,'[3]1004'!$B$6:$G$5921,4,FALSE),0)</f>
        <v>0</v>
      </c>
      <c r="S145" s="1763">
        <f t="shared" si="15"/>
        <v>0</v>
      </c>
      <c r="T145" s="2033">
        <f>IFERROR(VLOOKUP($B145,'[3]1006'!$B$6:$G$5921,2,FALSE),0)</f>
        <v>0</v>
      </c>
      <c r="U145" s="2034">
        <f>IFERROR(VLOOKUP($B145,'[3]1006'!$B$6:$G$5921,4,FALSE),0)</f>
        <v>0</v>
      </c>
      <c r="V145" s="2033">
        <f t="shared" si="16"/>
        <v>0</v>
      </c>
      <c r="W145" s="2033">
        <f t="shared" si="17"/>
        <v>12</v>
      </c>
    </row>
    <row r="146" spans="2:23" x14ac:dyDescent="0.15">
      <c r="B146" s="2032">
        <v>13601</v>
      </c>
      <c r="C146" s="2032" t="s">
        <v>1546</v>
      </c>
      <c r="D146" s="2038" t="s">
        <v>1546</v>
      </c>
      <c r="E146" s="2032" t="s">
        <v>94</v>
      </c>
      <c r="F146" s="1288" t="s">
        <v>1300</v>
      </c>
      <c r="G146" s="1288" t="s">
        <v>1303</v>
      </c>
      <c r="H146" s="2033">
        <f>IFERROR(VLOOKUP($B146,'[3]1001'!$B$6:$G$5927,2,FALSE),0)</f>
        <v>0</v>
      </c>
      <c r="I146" s="2034">
        <f>IFERROR(VLOOKUP($B146,'[3]1001'!$B$6:$G$5927,4,FALSE),0)</f>
        <v>0</v>
      </c>
      <c r="J146" s="2033">
        <f t="shared" si="12"/>
        <v>0</v>
      </c>
      <c r="K146" s="2035">
        <f>IFERROR(VLOOKUP($B146,'[3]1002'!$B$6:$G$5921,2,FALSE),0)</f>
        <v>0</v>
      </c>
      <c r="L146" s="2036">
        <f>IFERROR(VLOOKUP($B146,'[3]1002'!$B$6:$G$5921,4,FALSE),0)</f>
        <v>0</v>
      </c>
      <c r="M146" s="1763">
        <f t="shared" si="13"/>
        <v>0</v>
      </c>
      <c r="N146" s="2033">
        <f>IFERROR(VLOOKUP($B146,'[3]1003'!$B$6:$G$5921,2,FALSE),0)</f>
        <v>0</v>
      </c>
      <c r="O146" s="2034">
        <f>IFERROR(VLOOKUP($B146,'[3]1003'!$B$6:$G$5921,4,FALSE),0)</f>
        <v>0</v>
      </c>
      <c r="P146" s="2033">
        <f t="shared" si="14"/>
        <v>0</v>
      </c>
      <c r="Q146" s="1763">
        <f>IFERROR(VLOOKUP($B146,'[3]1004'!$B$6:$G$5921,2,FALSE),0)</f>
        <v>0</v>
      </c>
      <c r="R146" s="2036">
        <f>IFERROR(VLOOKUP($B146,'[3]1004'!$B$6:$G$5921,4,FALSE),0)</f>
        <v>0</v>
      </c>
      <c r="S146" s="1763">
        <f t="shared" si="15"/>
        <v>0</v>
      </c>
      <c r="T146" s="2033">
        <f>IFERROR(VLOOKUP($B146,'[3]1006'!$B$6:$G$5921,2,FALSE),0)</f>
        <v>0</v>
      </c>
      <c r="U146" s="2034">
        <f>IFERROR(VLOOKUP($B146,'[3]1006'!$B$6:$G$5921,4,FALSE),0)</f>
        <v>0</v>
      </c>
      <c r="V146" s="2033">
        <f t="shared" si="16"/>
        <v>0</v>
      </c>
      <c r="W146" s="2033">
        <f t="shared" si="17"/>
        <v>0</v>
      </c>
    </row>
    <row r="147" spans="2:23" x14ac:dyDescent="0.15">
      <c r="B147" s="2032">
        <v>13602</v>
      </c>
      <c r="C147" s="2032" t="s">
        <v>1547</v>
      </c>
      <c r="D147" s="2037" t="s">
        <v>1548</v>
      </c>
      <c r="E147" s="2032" t="s">
        <v>94</v>
      </c>
      <c r="F147" s="1288" t="s">
        <v>1300</v>
      </c>
      <c r="G147" s="1288" t="s">
        <v>1303</v>
      </c>
      <c r="H147" s="2033">
        <f>IFERROR(VLOOKUP($B147,'[3]1001'!$B$6:$G$5927,2,FALSE),0)</f>
        <v>86712.75</v>
      </c>
      <c r="I147" s="2034">
        <f>IFERROR(VLOOKUP($B147,'[3]1001'!$B$6:$G$5927,4,FALSE),0)</f>
        <v>9</v>
      </c>
      <c r="J147" s="2033">
        <f t="shared" si="12"/>
        <v>9634.75</v>
      </c>
      <c r="K147" s="2035">
        <f>IFERROR(VLOOKUP($B147,'[3]1002'!$B$6:$G$5921,2,FALSE),0)</f>
        <v>0</v>
      </c>
      <c r="L147" s="2036">
        <f>IFERROR(VLOOKUP($B147,'[3]1002'!$B$6:$G$5921,4,FALSE),0)</f>
        <v>0</v>
      </c>
      <c r="M147" s="1763">
        <f t="shared" si="13"/>
        <v>0</v>
      </c>
      <c r="N147" s="2033">
        <f>IFERROR(VLOOKUP($B147,'[3]1003'!$B$6:$G$5921,2,FALSE),0)</f>
        <v>0</v>
      </c>
      <c r="O147" s="2034">
        <f>IFERROR(VLOOKUP($B147,'[3]1003'!$B$6:$G$5921,4,FALSE),0)</f>
        <v>0</v>
      </c>
      <c r="P147" s="2033">
        <f t="shared" si="14"/>
        <v>0</v>
      </c>
      <c r="Q147" s="1763">
        <f>IFERROR(VLOOKUP($B147,'[3]1004'!$B$6:$G$5921,2,FALSE),0)</f>
        <v>0</v>
      </c>
      <c r="R147" s="2036">
        <f>IFERROR(VLOOKUP($B147,'[3]1004'!$B$6:$G$5921,4,FALSE),0)</f>
        <v>0</v>
      </c>
      <c r="S147" s="1763">
        <f t="shared" si="15"/>
        <v>0</v>
      </c>
      <c r="T147" s="2033">
        <f>IFERROR(VLOOKUP($B147,'[3]1006'!$B$6:$G$5921,2,FALSE),0)</f>
        <v>0</v>
      </c>
      <c r="U147" s="2034">
        <f>IFERROR(VLOOKUP($B147,'[3]1006'!$B$6:$G$5921,4,FALSE),0)</f>
        <v>0</v>
      </c>
      <c r="V147" s="2033">
        <f t="shared" si="16"/>
        <v>0</v>
      </c>
      <c r="W147" s="2033">
        <f t="shared" si="17"/>
        <v>9</v>
      </c>
    </row>
    <row r="148" spans="2:23" x14ac:dyDescent="0.15">
      <c r="B148" s="2032">
        <v>13603</v>
      </c>
      <c r="C148" s="2032" t="s">
        <v>1549</v>
      </c>
      <c r="D148" s="2038" t="s">
        <v>1550</v>
      </c>
      <c r="E148" s="2032" t="s">
        <v>94</v>
      </c>
      <c r="F148" s="1288" t="s">
        <v>1300</v>
      </c>
      <c r="G148" s="1288" t="s">
        <v>1303</v>
      </c>
      <c r="H148" s="2033">
        <f>IFERROR(VLOOKUP($B148,'[3]1001'!$B$6:$G$5927,2,FALSE),0)</f>
        <v>130829.77</v>
      </c>
      <c r="I148" s="2034">
        <f>IFERROR(VLOOKUP($B148,'[3]1001'!$B$6:$G$5927,4,FALSE),0)</f>
        <v>12</v>
      </c>
      <c r="J148" s="2033">
        <f t="shared" si="12"/>
        <v>10902.480833333333</v>
      </c>
      <c r="K148" s="2035">
        <f>IFERROR(VLOOKUP($B148,'[3]1002'!$B$6:$G$5921,2,FALSE),0)</f>
        <v>0</v>
      </c>
      <c r="L148" s="2036">
        <f>IFERROR(VLOOKUP($B148,'[3]1002'!$B$6:$G$5921,4,FALSE),0)</f>
        <v>0</v>
      </c>
      <c r="M148" s="1763">
        <f t="shared" si="13"/>
        <v>0</v>
      </c>
      <c r="N148" s="2033">
        <f>IFERROR(VLOOKUP($B148,'[3]1003'!$B$6:$G$5921,2,FALSE),0)</f>
        <v>0</v>
      </c>
      <c r="O148" s="2034">
        <f>IFERROR(VLOOKUP($B148,'[3]1003'!$B$6:$G$5921,4,FALSE),0)</f>
        <v>0</v>
      </c>
      <c r="P148" s="2033">
        <f t="shared" si="14"/>
        <v>0</v>
      </c>
      <c r="Q148" s="1763">
        <f>IFERROR(VLOOKUP($B148,'[3]1004'!$B$6:$G$5921,2,FALSE),0)</f>
        <v>0</v>
      </c>
      <c r="R148" s="2036">
        <f>IFERROR(VLOOKUP($B148,'[3]1004'!$B$6:$G$5921,4,FALSE),0)</f>
        <v>0</v>
      </c>
      <c r="S148" s="1763">
        <f t="shared" si="15"/>
        <v>0</v>
      </c>
      <c r="T148" s="2033">
        <f>IFERROR(VLOOKUP($B148,'[3]1006'!$B$6:$G$5921,2,FALSE),0)</f>
        <v>0</v>
      </c>
      <c r="U148" s="2034">
        <f>IFERROR(VLOOKUP($B148,'[3]1006'!$B$6:$G$5921,4,FALSE),0)</f>
        <v>0</v>
      </c>
      <c r="V148" s="2033">
        <f t="shared" si="16"/>
        <v>0</v>
      </c>
      <c r="W148" s="2033">
        <f t="shared" si="17"/>
        <v>12</v>
      </c>
    </row>
    <row r="149" spans="2:23" x14ac:dyDescent="0.15">
      <c r="B149" s="2032">
        <v>13604</v>
      </c>
      <c r="C149" s="2032" t="s">
        <v>1551</v>
      </c>
      <c r="D149" s="2038" t="s">
        <v>1552</v>
      </c>
      <c r="E149" s="2032" t="s">
        <v>94</v>
      </c>
      <c r="F149" s="1288" t="s">
        <v>1300</v>
      </c>
      <c r="G149" s="1288" t="s">
        <v>1303</v>
      </c>
      <c r="H149" s="2033">
        <f>IFERROR(VLOOKUP($B149,'[3]1001'!$B$6:$G$5927,2,FALSE),0)</f>
        <v>812815.5</v>
      </c>
      <c r="I149" s="2034">
        <f>IFERROR(VLOOKUP($B149,'[3]1001'!$B$6:$G$5927,4,FALSE),0)</f>
        <v>150</v>
      </c>
      <c r="J149" s="2033">
        <f t="shared" si="12"/>
        <v>5418.77</v>
      </c>
      <c r="K149" s="2035">
        <f>IFERROR(VLOOKUP($B149,'[3]1002'!$B$6:$G$5921,2,FALSE),0)</f>
        <v>0</v>
      </c>
      <c r="L149" s="2036">
        <f>IFERROR(VLOOKUP($B149,'[3]1002'!$B$6:$G$5921,4,FALSE),0)</f>
        <v>0</v>
      </c>
      <c r="M149" s="1763">
        <f t="shared" si="13"/>
        <v>0</v>
      </c>
      <c r="N149" s="2033">
        <f>IFERROR(VLOOKUP($B149,'[3]1003'!$B$6:$G$5921,2,FALSE),0)</f>
        <v>0</v>
      </c>
      <c r="O149" s="2034">
        <f>IFERROR(VLOOKUP($B149,'[3]1003'!$B$6:$G$5921,4,FALSE),0)</f>
        <v>0</v>
      </c>
      <c r="P149" s="2033">
        <f t="shared" si="14"/>
        <v>0</v>
      </c>
      <c r="Q149" s="1763">
        <f>IFERROR(VLOOKUP($B149,'[3]1004'!$B$6:$G$5921,2,FALSE),0)</f>
        <v>0</v>
      </c>
      <c r="R149" s="2036">
        <f>IFERROR(VLOOKUP($B149,'[3]1004'!$B$6:$G$5921,4,FALSE),0)</f>
        <v>0</v>
      </c>
      <c r="S149" s="1763">
        <f t="shared" si="15"/>
        <v>0</v>
      </c>
      <c r="T149" s="2033">
        <f>IFERROR(VLOOKUP($B149,'[3]1006'!$B$6:$G$5921,2,FALSE),0)</f>
        <v>0</v>
      </c>
      <c r="U149" s="2034">
        <f>IFERROR(VLOOKUP($B149,'[3]1006'!$B$6:$G$5921,4,FALSE),0)</f>
        <v>0</v>
      </c>
      <c r="V149" s="2033">
        <f t="shared" si="16"/>
        <v>0</v>
      </c>
      <c r="W149" s="2033">
        <f t="shared" si="17"/>
        <v>150</v>
      </c>
    </row>
    <row r="150" spans="2:23" x14ac:dyDescent="0.15">
      <c r="B150" s="2032">
        <v>13606</v>
      </c>
      <c r="C150" s="2032" t="s">
        <v>1553</v>
      </c>
      <c r="D150" s="2038" t="s">
        <v>1554</v>
      </c>
      <c r="E150" s="2032" t="s">
        <v>94</v>
      </c>
      <c r="F150" s="1288" t="s">
        <v>1300</v>
      </c>
      <c r="G150" s="1288" t="s">
        <v>1303</v>
      </c>
      <c r="H150" s="2033">
        <f>IFERROR(VLOOKUP($B150,'[3]1001'!$B$6:$G$5927,2,FALSE),0)</f>
        <v>0</v>
      </c>
      <c r="I150" s="2034">
        <f>IFERROR(VLOOKUP($B150,'[3]1001'!$B$6:$G$5927,4,FALSE),0)</f>
        <v>0</v>
      </c>
      <c r="J150" s="2033">
        <f t="shared" si="12"/>
        <v>0</v>
      </c>
      <c r="K150" s="2035">
        <f>IFERROR(VLOOKUP($B150,'[3]1002'!$B$6:$G$5921,2,FALSE),0)</f>
        <v>0</v>
      </c>
      <c r="L150" s="2036">
        <f>IFERROR(VLOOKUP($B150,'[3]1002'!$B$6:$G$5921,4,FALSE),0)</f>
        <v>0</v>
      </c>
      <c r="M150" s="1763">
        <f t="shared" si="13"/>
        <v>0</v>
      </c>
      <c r="N150" s="2033">
        <f>IFERROR(VLOOKUP($B150,'[3]1003'!$B$6:$G$5921,2,FALSE),0)</f>
        <v>20294.599999999999</v>
      </c>
      <c r="O150" s="2034">
        <f>IFERROR(VLOOKUP($B150,'[3]1003'!$B$6:$G$5921,4,FALSE),0)</f>
        <v>47</v>
      </c>
      <c r="P150" s="2033">
        <f t="shared" si="14"/>
        <v>431.79999999999995</v>
      </c>
      <c r="Q150" s="1763">
        <f>IFERROR(VLOOKUP($B150,'[3]1004'!$B$6:$G$5921,2,FALSE),0)</f>
        <v>0</v>
      </c>
      <c r="R150" s="2036">
        <f>IFERROR(VLOOKUP($B150,'[3]1004'!$B$6:$G$5921,4,FALSE),0)</f>
        <v>0</v>
      </c>
      <c r="S150" s="1763">
        <f t="shared" si="15"/>
        <v>0</v>
      </c>
      <c r="T150" s="2033">
        <f>IFERROR(VLOOKUP($B150,'[3]1006'!$B$6:$G$5921,2,FALSE),0)</f>
        <v>0</v>
      </c>
      <c r="U150" s="2034">
        <f>IFERROR(VLOOKUP($B150,'[3]1006'!$B$6:$G$5921,4,FALSE),0)</f>
        <v>0</v>
      </c>
      <c r="V150" s="2033">
        <f t="shared" si="16"/>
        <v>0</v>
      </c>
      <c r="W150" s="2033">
        <f t="shared" si="17"/>
        <v>47</v>
      </c>
    </row>
    <row r="151" spans="2:23" x14ac:dyDescent="0.15">
      <c r="B151" s="2032">
        <v>13608</v>
      </c>
      <c r="C151" s="2032" t="s">
        <v>1555</v>
      </c>
      <c r="D151" s="2038" t="s">
        <v>1556</v>
      </c>
      <c r="E151" s="2032" t="s">
        <v>94</v>
      </c>
      <c r="F151" s="1288" t="s">
        <v>1300</v>
      </c>
      <c r="G151" s="1288" t="s">
        <v>1303</v>
      </c>
      <c r="H151" s="2033">
        <f>IFERROR(VLOOKUP($B151,'[3]1001'!$B$6:$G$5927,2,FALSE),0)</f>
        <v>70391.100000000006</v>
      </c>
      <c r="I151" s="2034">
        <f>IFERROR(VLOOKUP($B151,'[3]1001'!$B$6:$G$5927,4,FALSE),0)</f>
        <v>135</v>
      </c>
      <c r="J151" s="2033">
        <f t="shared" si="12"/>
        <v>521.41555555555556</v>
      </c>
      <c r="K151" s="2035">
        <f>IFERROR(VLOOKUP($B151,'[3]1002'!$B$6:$G$5921,2,FALSE),0)</f>
        <v>0</v>
      </c>
      <c r="L151" s="2036">
        <f>IFERROR(VLOOKUP($B151,'[3]1002'!$B$6:$G$5921,4,FALSE),0)</f>
        <v>0</v>
      </c>
      <c r="M151" s="1763">
        <f t="shared" si="13"/>
        <v>0</v>
      </c>
      <c r="N151" s="2033">
        <f>IFERROR(VLOOKUP($B151,'[3]1003'!$B$6:$G$5921,2,FALSE),0)</f>
        <v>0</v>
      </c>
      <c r="O151" s="2034">
        <f>IFERROR(VLOOKUP($B151,'[3]1003'!$B$6:$G$5921,4,FALSE),0)</f>
        <v>0</v>
      </c>
      <c r="P151" s="2033">
        <f t="shared" si="14"/>
        <v>0</v>
      </c>
      <c r="Q151" s="1763">
        <f>IFERROR(VLOOKUP($B151,'[3]1004'!$B$6:$G$5921,2,FALSE),0)</f>
        <v>0</v>
      </c>
      <c r="R151" s="2036">
        <f>IFERROR(VLOOKUP($B151,'[3]1004'!$B$6:$G$5921,4,FALSE),0)</f>
        <v>0</v>
      </c>
      <c r="S151" s="1763">
        <f t="shared" si="15"/>
        <v>0</v>
      </c>
      <c r="T151" s="2033">
        <f>IFERROR(VLOOKUP($B151,'[3]1006'!$B$6:$G$5921,2,FALSE),0)</f>
        <v>0</v>
      </c>
      <c r="U151" s="2034">
        <f>IFERROR(VLOOKUP($B151,'[3]1006'!$B$6:$G$5921,4,FALSE),0)</f>
        <v>0</v>
      </c>
      <c r="V151" s="2033">
        <f t="shared" si="16"/>
        <v>0</v>
      </c>
      <c r="W151" s="2033">
        <f t="shared" si="17"/>
        <v>135</v>
      </c>
    </row>
    <row r="152" spans="2:23" x14ac:dyDescent="0.15">
      <c r="B152" s="2032">
        <v>13611</v>
      </c>
      <c r="C152" s="2032" t="s">
        <v>1557</v>
      </c>
      <c r="D152" s="2038" t="s">
        <v>1558</v>
      </c>
      <c r="E152" s="2032" t="s">
        <v>94</v>
      </c>
      <c r="F152" s="1288" t="s">
        <v>1300</v>
      </c>
      <c r="G152" s="1288" t="s">
        <v>1303</v>
      </c>
      <c r="H152" s="2033">
        <f>IFERROR(VLOOKUP($B152,'[3]1001'!$B$6:$G$5927,2,FALSE),0)</f>
        <v>144521.28</v>
      </c>
      <c r="I152" s="2034">
        <f>IFERROR(VLOOKUP($B152,'[3]1001'!$B$6:$G$5927,4,FALSE),0)</f>
        <v>15</v>
      </c>
      <c r="J152" s="2033">
        <f t="shared" si="12"/>
        <v>9634.7520000000004</v>
      </c>
      <c r="K152" s="2035">
        <f>IFERROR(VLOOKUP($B152,'[3]1002'!$B$6:$G$5921,2,FALSE),0)</f>
        <v>0</v>
      </c>
      <c r="L152" s="2036">
        <f>IFERROR(VLOOKUP($B152,'[3]1002'!$B$6:$G$5921,4,FALSE),0)</f>
        <v>0</v>
      </c>
      <c r="M152" s="1763">
        <f t="shared" si="13"/>
        <v>0</v>
      </c>
      <c r="N152" s="2033">
        <f>IFERROR(VLOOKUP($B152,'[3]1003'!$B$6:$G$5921,2,FALSE),0)</f>
        <v>0</v>
      </c>
      <c r="O152" s="2034">
        <f>IFERROR(VLOOKUP($B152,'[3]1003'!$B$6:$G$5921,4,FALSE),0)</f>
        <v>0</v>
      </c>
      <c r="P152" s="2033">
        <f t="shared" si="14"/>
        <v>0</v>
      </c>
      <c r="Q152" s="1763">
        <f>IFERROR(VLOOKUP($B152,'[3]1004'!$B$6:$G$5921,2,FALSE),0)</f>
        <v>0</v>
      </c>
      <c r="R152" s="2036">
        <f>IFERROR(VLOOKUP($B152,'[3]1004'!$B$6:$G$5921,4,FALSE),0)</f>
        <v>0</v>
      </c>
      <c r="S152" s="1763">
        <f t="shared" si="15"/>
        <v>0</v>
      </c>
      <c r="T152" s="2033">
        <f>IFERROR(VLOOKUP($B152,'[3]1006'!$B$6:$G$5921,2,FALSE),0)</f>
        <v>0</v>
      </c>
      <c r="U152" s="2034">
        <f>IFERROR(VLOOKUP($B152,'[3]1006'!$B$6:$G$5921,4,FALSE),0)</f>
        <v>0</v>
      </c>
      <c r="V152" s="2033">
        <f t="shared" si="16"/>
        <v>0</v>
      </c>
      <c r="W152" s="2033">
        <f t="shared" si="17"/>
        <v>15</v>
      </c>
    </row>
    <row r="153" spans="2:23" x14ac:dyDescent="0.15">
      <c r="B153" s="2032">
        <v>13650</v>
      </c>
      <c r="C153" s="2032" t="s">
        <v>1559</v>
      </c>
      <c r="D153" s="2032" t="s">
        <v>1560</v>
      </c>
      <c r="E153" s="2032" t="s">
        <v>94</v>
      </c>
      <c r="F153" s="1288" t="s">
        <v>1561</v>
      </c>
      <c r="G153" s="1288" t="s">
        <v>1303</v>
      </c>
      <c r="H153" s="2033">
        <f>IFERROR(VLOOKUP($B153,'[3]1001'!$B$6:$G$5927,2,FALSE),0)</f>
        <v>0</v>
      </c>
      <c r="I153" s="2034">
        <f>IFERROR(VLOOKUP($B153,'[3]1001'!$B$6:$G$5927,4,FALSE),0)</f>
        <v>0</v>
      </c>
      <c r="J153" s="2033">
        <f t="shared" si="12"/>
        <v>0</v>
      </c>
      <c r="K153" s="2035">
        <f>IFERROR(VLOOKUP($B153,'[3]1002'!$B$6:$G$5921,2,FALSE),0)</f>
        <v>0</v>
      </c>
      <c r="L153" s="2036">
        <f>IFERROR(VLOOKUP($B153,'[3]1002'!$B$6:$G$5921,4,FALSE),0)</f>
        <v>0</v>
      </c>
      <c r="M153" s="1763">
        <f t="shared" si="13"/>
        <v>0</v>
      </c>
      <c r="N153" s="2033">
        <f>IFERROR(VLOOKUP($B153,'[3]1003'!$B$6:$G$5921,2,FALSE),0)</f>
        <v>0</v>
      </c>
      <c r="O153" s="2034">
        <f>IFERROR(VLOOKUP($B153,'[3]1003'!$B$6:$G$5921,4,FALSE),0)</f>
        <v>0</v>
      </c>
      <c r="P153" s="2033">
        <f t="shared" si="14"/>
        <v>0</v>
      </c>
      <c r="Q153" s="1763">
        <f>IFERROR(VLOOKUP($B153,'[3]1004'!$B$6:$G$5921,2,FALSE),0)</f>
        <v>0</v>
      </c>
      <c r="R153" s="2036">
        <f>IFERROR(VLOOKUP($B153,'[3]1004'!$B$6:$G$5921,4,FALSE),0)</f>
        <v>0</v>
      </c>
      <c r="S153" s="1763">
        <f t="shared" si="15"/>
        <v>0</v>
      </c>
      <c r="T153" s="2033">
        <f>IFERROR(VLOOKUP($B153,'[3]1006'!$B$6:$G$5921,2,FALSE),0)</f>
        <v>0</v>
      </c>
      <c r="U153" s="2034">
        <f>IFERROR(VLOOKUP($B153,'[3]1006'!$B$6:$G$5921,4,FALSE),0)</f>
        <v>0</v>
      </c>
      <c r="V153" s="2033">
        <f t="shared" si="16"/>
        <v>0</v>
      </c>
      <c r="W153" s="2033">
        <f t="shared" si="17"/>
        <v>0</v>
      </c>
    </row>
    <row r="154" spans="2:23" x14ac:dyDescent="0.15">
      <c r="B154" s="2032">
        <v>13651</v>
      </c>
      <c r="C154" s="2032" t="s">
        <v>1562</v>
      </c>
      <c r="D154" s="2032" t="s">
        <v>1563</v>
      </c>
      <c r="E154" s="2032" t="s">
        <v>94</v>
      </c>
      <c r="F154" s="1288" t="s">
        <v>1300</v>
      </c>
      <c r="G154" s="1288" t="s">
        <v>1303</v>
      </c>
      <c r="H154" s="2033">
        <f>IFERROR(VLOOKUP($B154,'[3]1001'!$B$6:$G$5927,2,FALSE),0)</f>
        <v>0</v>
      </c>
      <c r="I154" s="2034">
        <f>IFERROR(VLOOKUP($B154,'[3]1001'!$B$6:$G$5927,4,FALSE),0)</f>
        <v>0</v>
      </c>
      <c r="J154" s="2033">
        <f t="shared" si="12"/>
        <v>0</v>
      </c>
      <c r="K154" s="2035">
        <f>IFERROR(VLOOKUP($B154,'[3]1002'!$B$6:$G$5921,2,FALSE),0)</f>
        <v>0</v>
      </c>
      <c r="L154" s="2036">
        <f>IFERROR(VLOOKUP($B154,'[3]1002'!$B$6:$G$5921,4,FALSE),0)</f>
        <v>0</v>
      </c>
      <c r="M154" s="1763">
        <f t="shared" si="13"/>
        <v>0</v>
      </c>
      <c r="N154" s="2033">
        <f>IFERROR(VLOOKUP($B154,'[3]1003'!$B$6:$G$5921,2,FALSE),0)</f>
        <v>0</v>
      </c>
      <c r="O154" s="2034">
        <f>IFERROR(VLOOKUP($B154,'[3]1003'!$B$6:$G$5921,4,FALSE),0)</f>
        <v>0</v>
      </c>
      <c r="P154" s="2033">
        <f t="shared" si="14"/>
        <v>0</v>
      </c>
      <c r="Q154" s="1763">
        <f>IFERROR(VLOOKUP($B154,'[3]1004'!$B$6:$G$5921,2,FALSE),0)</f>
        <v>0</v>
      </c>
      <c r="R154" s="2036">
        <f>IFERROR(VLOOKUP($B154,'[3]1004'!$B$6:$G$5921,4,FALSE),0)</f>
        <v>0</v>
      </c>
      <c r="S154" s="1763">
        <f t="shared" si="15"/>
        <v>0</v>
      </c>
      <c r="T154" s="2033">
        <f>IFERROR(VLOOKUP($B154,'[3]1006'!$B$6:$G$5921,2,FALSE),0)</f>
        <v>0</v>
      </c>
      <c r="U154" s="2034">
        <f>IFERROR(VLOOKUP($B154,'[3]1006'!$B$6:$G$5921,4,FALSE),0)</f>
        <v>0</v>
      </c>
      <c r="V154" s="2033">
        <f t="shared" si="16"/>
        <v>0</v>
      </c>
      <c r="W154" s="2033">
        <f t="shared" si="17"/>
        <v>0</v>
      </c>
    </row>
    <row r="155" spans="2:23" x14ac:dyDescent="0.15">
      <c r="B155" s="2032">
        <v>13652</v>
      </c>
      <c r="C155" s="2032" t="s">
        <v>1564</v>
      </c>
      <c r="D155" s="2032" t="s">
        <v>1565</v>
      </c>
      <c r="E155" s="2032" t="s">
        <v>94</v>
      </c>
      <c r="F155" s="1288" t="s">
        <v>1300</v>
      </c>
      <c r="G155" s="1288" t="s">
        <v>1303</v>
      </c>
      <c r="H155" s="2033">
        <f>IFERROR(VLOOKUP($B155,'[3]1001'!$B$6:$G$5927,2,FALSE),0)</f>
        <v>0</v>
      </c>
      <c r="I155" s="2034">
        <f>IFERROR(VLOOKUP($B155,'[3]1001'!$B$6:$G$5927,4,FALSE),0)</f>
        <v>0</v>
      </c>
      <c r="J155" s="2033">
        <f t="shared" si="12"/>
        <v>0</v>
      </c>
      <c r="K155" s="2035">
        <f>IFERROR(VLOOKUP($B155,'[3]1002'!$B$6:$G$5921,2,FALSE),0)</f>
        <v>0</v>
      </c>
      <c r="L155" s="2036">
        <f>IFERROR(VLOOKUP($B155,'[3]1002'!$B$6:$G$5921,4,FALSE),0)</f>
        <v>0</v>
      </c>
      <c r="M155" s="1763">
        <f t="shared" si="13"/>
        <v>0</v>
      </c>
      <c r="N155" s="2033">
        <f>IFERROR(VLOOKUP($B155,'[3]1003'!$B$6:$G$5921,2,FALSE),0)</f>
        <v>0</v>
      </c>
      <c r="O155" s="2034">
        <f>IFERROR(VLOOKUP($B155,'[3]1003'!$B$6:$G$5921,4,FALSE),0)</f>
        <v>0</v>
      </c>
      <c r="P155" s="2033">
        <f t="shared" si="14"/>
        <v>0</v>
      </c>
      <c r="Q155" s="1763">
        <f>IFERROR(VLOOKUP($B155,'[3]1004'!$B$6:$G$5921,2,FALSE),0)</f>
        <v>0</v>
      </c>
      <c r="R155" s="2036">
        <f>IFERROR(VLOOKUP($B155,'[3]1004'!$B$6:$G$5921,4,FALSE),0)</f>
        <v>0</v>
      </c>
      <c r="S155" s="1763">
        <f t="shared" si="15"/>
        <v>0</v>
      </c>
      <c r="T155" s="2033">
        <f>IFERROR(VLOOKUP($B155,'[3]1006'!$B$6:$G$5921,2,FALSE),0)</f>
        <v>0</v>
      </c>
      <c r="U155" s="2034">
        <f>IFERROR(VLOOKUP($B155,'[3]1006'!$B$6:$G$5921,4,FALSE),0)</f>
        <v>0</v>
      </c>
      <c r="V155" s="2033">
        <f t="shared" si="16"/>
        <v>0</v>
      </c>
      <c r="W155" s="2033">
        <f t="shared" si="17"/>
        <v>0</v>
      </c>
    </row>
    <row r="156" spans="2:23" x14ac:dyDescent="0.15">
      <c r="B156" s="2032">
        <v>13653</v>
      </c>
      <c r="C156" s="2032" t="s">
        <v>1566</v>
      </c>
      <c r="D156" s="2032" t="s">
        <v>1567</v>
      </c>
      <c r="E156" s="2032" t="s">
        <v>94</v>
      </c>
      <c r="F156" s="1288" t="s">
        <v>1300</v>
      </c>
      <c r="G156" s="1288" t="s">
        <v>1303</v>
      </c>
      <c r="H156" s="2033">
        <f>IFERROR(VLOOKUP($B156,'[3]1001'!$B$6:$G$5927,2,FALSE),0)</f>
        <v>0</v>
      </c>
      <c r="I156" s="2034">
        <f>IFERROR(VLOOKUP($B156,'[3]1001'!$B$6:$G$5927,4,FALSE),0)</f>
        <v>0</v>
      </c>
      <c r="J156" s="2033">
        <f t="shared" si="12"/>
        <v>0</v>
      </c>
      <c r="K156" s="2035">
        <f>IFERROR(VLOOKUP($B156,'[3]1002'!$B$6:$G$5921,2,FALSE),0)</f>
        <v>0</v>
      </c>
      <c r="L156" s="2036">
        <f>IFERROR(VLOOKUP($B156,'[3]1002'!$B$6:$G$5921,4,FALSE),0)</f>
        <v>0</v>
      </c>
      <c r="M156" s="1763">
        <f t="shared" si="13"/>
        <v>0</v>
      </c>
      <c r="N156" s="2033">
        <f>IFERROR(VLOOKUP($B156,'[3]1003'!$B$6:$G$5921,2,FALSE),0)</f>
        <v>0</v>
      </c>
      <c r="O156" s="2034">
        <f>IFERROR(VLOOKUP($B156,'[3]1003'!$B$6:$G$5921,4,FALSE),0)</f>
        <v>0</v>
      </c>
      <c r="P156" s="2033">
        <f t="shared" si="14"/>
        <v>0</v>
      </c>
      <c r="Q156" s="1763">
        <f>IFERROR(VLOOKUP($B156,'[3]1004'!$B$6:$G$5921,2,FALSE),0)</f>
        <v>0</v>
      </c>
      <c r="R156" s="2036">
        <f>IFERROR(VLOOKUP($B156,'[3]1004'!$B$6:$G$5921,4,FALSE),0)</f>
        <v>0</v>
      </c>
      <c r="S156" s="1763">
        <f t="shared" si="15"/>
        <v>0</v>
      </c>
      <c r="T156" s="2033">
        <f>IFERROR(VLOOKUP($B156,'[3]1006'!$B$6:$G$5921,2,FALSE),0)</f>
        <v>0</v>
      </c>
      <c r="U156" s="2034">
        <f>IFERROR(VLOOKUP($B156,'[3]1006'!$B$6:$G$5921,4,FALSE),0)</f>
        <v>0</v>
      </c>
      <c r="V156" s="2033">
        <f t="shared" si="16"/>
        <v>0</v>
      </c>
      <c r="W156" s="2033">
        <f t="shared" si="17"/>
        <v>0</v>
      </c>
    </row>
    <row r="157" spans="2:23" x14ac:dyDescent="0.15">
      <c r="B157" s="2032">
        <v>13859</v>
      </c>
      <c r="C157" s="2032" t="s">
        <v>1568</v>
      </c>
      <c r="D157" s="2032" t="s">
        <v>1569</v>
      </c>
      <c r="E157" s="2032" t="s">
        <v>94</v>
      </c>
      <c r="F157" s="1288" t="s">
        <v>1300</v>
      </c>
      <c r="G157" s="1288" t="s">
        <v>1296</v>
      </c>
      <c r="H157" s="2033">
        <f>IFERROR(VLOOKUP($B157,'[3]1001'!$B$6:$G$5927,2,FALSE),0)</f>
        <v>0</v>
      </c>
      <c r="I157" s="2034">
        <f>IFERROR(VLOOKUP($B157,'[3]1001'!$B$6:$G$5927,4,FALSE),0)</f>
        <v>0</v>
      </c>
      <c r="J157" s="2033">
        <f t="shared" si="12"/>
        <v>0</v>
      </c>
      <c r="K157" s="2035">
        <f>IFERROR(VLOOKUP($B157,'[3]1002'!$B$6:$G$5921,2,FALSE),0)</f>
        <v>0</v>
      </c>
      <c r="L157" s="2036">
        <f>IFERROR(VLOOKUP($B157,'[3]1002'!$B$6:$G$5921,4,FALSE),0)</f>
        <v>0</v>
      </c>
      <c r="M157" s="1763">
        <f t="shared" si="13"/>
        <v>0</v>
      </c>
      <c r="N157" s="2033">
        <f>IFERROR(VLOOKUP($B157,'[3]1003'!$B$6:$G$5921,2,FALSE),0)</f>
        <v>0</v>
      </c>
      <c r="O157" s="2034">
        <f>IFERROR(VLOOKUP($B157,'[3]1003'!$B$6:$G$5921,4,FALSE),0)</f>
        <v>0</v>
      </c>
      <c r="P157" s="2033">
        <f t="shared" si="14"/>
        <v>0</v>
      </c>
      <c r="Q157" s="1763">
        <f>IFERROR(VLOOKUP($B157,'[3]1004'!$B$6:$G$5921,2,FALSE),0)</f>
        <v>0</v>
      </c>
      <c r="R157" s="2036">
        <f>IFERROR(VLOOKUP($B157,'[3]1004'!$B$6:$G$5921,4,FALSE),0)</f>
        <v>0</v>
      </c>
      <c r="S157" s="1763">
        <f t="shared" si="15"/>
        <v>0</v>
      </c>
      <c r="T157" s="2033">
        <f>IFERROR(VLOOKUP($B157,'[3]1006'!$B$6:$G$5921,2,FALSE),0)</f>
        <v>0</v>
      </c>
      <c r="U157" s="2034">
        <f>IFERROR(VLOOKUP($B157,'[3]1006'!$B$6:$G$5921,4,FALSE),0)</f>
        <v>0</v>
      </c>
      <c r="V157" s="2033">
        <f t="shared" si="16"/>
        <v>0</v>
      </c>
      <c r="W157" s="2033">
        <f t="shared" si="17"/>
        <v>0</v>
      </c>
    </row>
    <row r="158" spans="2:23" x14ac:dyDescent="0.15">
      <c r="B158" s="2032">
        <v>13860</v>
      </c>
      <c r="C158" s="2032" t="s">
        <v>1571</v>
      </c>
      <c r="D158" s="2032" t="s">
        <v>1572</v>
      </c>
      <c r="E158" s="2032" t="s">
        <v>94</v>
      </c>
      <c r="F158" s="1288" t="s">
        <v>1295</v>
      </c>
      <c r="G158" s="1288" t="s">
        <v>1303</v>
      </c>
      <c r="H158" s="2033">
        <f>IFERROR(VLOOKUP($B158,'[3]1001'!$B$6:$G$5927,2,FALSE),0)</f>
        <v>1502212.73</v>
      </c>
      <c r="I158" s="2034">
        <f>IFERROR(VLOOKUP($B158,'[3]1001'!$B$6:$G$5927,4,FALSE),0)</f>
        <v>1</v>
      </c>
      <c r="J158" s="2033">
        <f t="shared" si="12"/>
        <v>1502212.73</v>
      </c>
      <c r="K158" s="2035">
        <f>IFERROR(VLOOKUP($B158,'[3]1002'!$B$6:$G$5921,2,FALSE),0)</f>
        <v>1502212.72</v>
      </c>
      <c r="L158" s="2036">
        <f>IFERROR(VLOOKUP($B158,'[3]1002'!$B$6:$G$5921,4,FALSE),0)</f>
        <v>1</v>
      </c>
      <c r="M158" s="1763">
        <f t="shared" si="13"/>
        <v>1502212.72</v>
      </c>
      <c r="N158" s="2033">
        <f>IFERROR(VLOOKUP($B158,'[3]1003'!$B$6:$G$5921,2,FALSE),0)</f>
        <v>0</v>
      </c>
      <c r="O158" s="2034">
        <f>IFERROR(VLOOKUP($B158,'[3]1003'!$B$6:$G$5921,4,FALSE),0)</f>
        <v>0</v>
      </c>
      <c r="P158" s="2033">
        <f t="shared" si="14"/>
        <v>0</v>
      </c>
      <c r="Q158" s="1763">
        <f>IFERROR(VLOOKUP($B158,'[3]1004'!$B$6:$G$5921,2,FALSE),0)</f>
        <v>0</v>
      </c>
      <c r="R158" s="2036">
        <f>IFERROR(VLOOKUP($B158,'[3]1004'!$B$6:$G$5921,4,FALSE),0)</f>
        <v>0</v>
      </c>
      <c r="S158" s="1763">
        <f t="shared" si="15"/>
        <v>0</v>
      </c>
      <c r="T158" s="2033">
        <f>IFERROR(VLOOKUP($B158,'[3]1006'!$B$6:$G$5921,2,FALSE),0)</f>
        <v>0</v>
      </c>
      <c r="U158" s="2034">
        <f>IFERROR(VLOOKUP($B158,'[3]1006'!$B$6:$G$5921,4,FALSE),0)</f>
        <v>0</v>
      </c>
      <c r="V158" s="2033">
        <f t="shared" si="16"/>
        <v>0</v>
      </c>
      <c r="W158" s="2033">
        <f t="shared" si="17"/>
        <v>2</v>
      </c>
    </row>
    <row r="159" spans="2:23" x14ac:dyDescent="0.15">
      <c r="B159" s="2032">
        <v>13909</v>
      </c>
      <c r="C159" s="2032" t="s">
        <v>1573</v>
      </c>
      <c r="D159" s="2032" t="s">
        <v>1574</v>
      </c>
      <c r="E159" s="2032" t="s">
        <v>94</v>
      </c>
      <c r="F159" s="1288" t="s">
        <v>1300</v>
      </c>
      <c r="G159" s="1288" t="s">
        <v>1296</v>
      </c>
      <c r="H159" s="2033">
        <f>IFERROR(VLOOKUP($B159,'[3]1001'!$B$6:$G$5927,2,FALSE),0)</f>
        <v>0</v>
      </c>
      <c r="I159" s="2034">
        <f>IFERROR(VLOOKUP($B159,'[3]1001'!$B$6:$G$5927,4,FALSE),0)</f>
        <v>0</v>
      </c>
      <c r="J159" s="2033">
        <f t="shared" si="12"/>
        <v>0</v>
      </c>
      <c r="K159" s="2035">
        <f>IFERROR(VLOOKUP($B159,'[3]1002'!$B$6:$G$5921,2,FALSE),0)</f>
        <v>6793.94</v>
      </c>
      <c r="L159" s="2036">
        <f>IFERROR(VLOOKUP($B159,'[3]1002'!$B$6:$G$5921,4,FALSE),0)</f>
        <v>2</v>
      </c>
      <c r="M159" s="1763">
        <f t="shared" si="13"/>
        <v>3396.97</v>
      </c>
      <c r="N159" s="2033">
        <f>IFERROR(VLOOKUP($B159,'[3]1003'!$B$6:$G$5921,2,FALSE),0)</f>
        <v>222034.46</v>
      </c>
      <c r="O159" s="2034">
        <f>IFERROR(VLOOKUP($B159,'[3]1003'!$B$6:$G$5921,4,FALSE),0)</f>
        <v>61</v>
      </c>
      <c r="P159" s="2033">
        <f t="shared" si="14"/>
        <v>3639.9091803278689</v>
      </c>
      <c r="Q159" s="1763">
        <f>IFERROR(VLOOKUP($B159,'[3]1004'!$B$6:$G$5921,2,FALSE),0)</f>
        <v>116850</v>
      </c>
      <c r="R159" s="2036">
        <f>IFERROR(VLOOKUP($B159,'[3]1004'!$B$6:$G$5921,4,FALSE),0)</f>
        <v>30</v>
      </c>
      <c r="S159" s="1763">
        <f t="shared" si="15"/>
        <v>3895</v>
      </c>
      <c r="T159" s="2033">
        <f>IFERROR(VLOOKUP($B159,'[3]1006'!$B$6:$G$5921,2,FALSE),0)</f>
        <v>8684.25</v>
      </c>
      <c r="U159" s="2034">
        <f>IFERROR(VLOOKUP($B159,'[3]1006'!$B$6:$G$5921,4,FALSE),0)</f>
        <v>5</v>
      </c>
      <c r="V159" s="2033">
        <f t="shared" si="16"/>
        <v>1736.85</v>
      </c>
      <c r="W159" s="2033">
        <f t="shared" si="17"/>
        <v>98</v>
      </c>
    </row>
    <row r="160" spans="2:23" x14ac:dyDescent="0.15">
      <c r="B160" s="2032">
        <v>13913</v>
      </c>
      <c r="C160" s="2032" t="s">
        <v>1575</v>
      </c>
      <c r="D160" s="2037" t="s">
        <v>1576</v>
      </c>
      <c r="E160" s="2032" t="s">
        <v>94</v>
      </c>
      <c r="F160" s="1288" t="s">
        <v>1300</v>
      </c>
      <c r="G160" s="1288" t="s">
        <v>1296</v>
      </c>
      <c r="H160" s="2033">
        <f>IFERROR(VLOOKUP($B160,'[3]1001'!$B$6:$G$5927,2,FALSE),0)</f>
        <v>11676.32</v>
      </c>
      <c r="I160" s="2034">
        <f>IFERROR(VLOOKUP($B160,'[3]1001'!$B$6:$G$5927,4,FALSE),0)</f>
        <v>2</v>
      </c>
      <c r="J160" s="2033">
        <f t="shared" si="12"/>
        <v>5838.16</v>
      </c>
      <c r="K160" s="2035">
        <f>IFERROR(VLOOKUP($B160,'[3]1002'!$B$6:$G$5921,2,FALSE),0)</f>
        <v>0</v>
      </c>
      <c r="L160" s="2036">
        <f>IFERROR(VLOOKUP($B160,'[3]1002'!$B$6:$G$5921,4,FALSE),0)</f>
        <v>0</v>
      </c>
      <c r="M160" s="1763">
        <f t="shared" si="13"/>
        <v>0</v>
      </c>
      <c r="N160" s="2033">
        <f>IFERROR(VLOOKUP($B160,'[3]1003'!$B$6:$G$5921,2,FALSE),0)</f>
        <v>0</v>
      </c>
      <c r="O160" s="2034">
        <f>IFERROR(VLOOKUP($B160,'[3]1003'!$B$6:$G$5921,4,FALSE),0)</f>
        <v>0</v>
      </c>
      <c r="P160" s="2033">
        <f t="shared" si="14"/>
        <v>0</v>
      </c>
      <c r="Q160" s="1763">
        <f>IFERROR(VLOOKUP($B160,'[3]1004'!$B$6:$G$5921,2,FALSE),0)</f>
        <v>0</v>
      </c>
      <c r="R160" s="2036">
        <f>IFERROR(VLOOKUP($B160,'[3]1004'!$B$6:$G$5921,4,FALSE),0)</f>
        <v>0</v>
      </c>
      <c r="S160" s="1763">
        <f t="shared" si="15"/>
        <v>0</v>
      </c>
      <c r="T160" s="2033">
        <f>IFERROR(VLOOKUP($B160,'[3]1006'!$B$6:$G$5921,2,FALSE),0)</f>
        <v>0</v>
      </c>
      <c r="U160" s="2034">
        <f>IFERROR(VLOOKUP($B160,'[3]1006'!$B$6:$G$5921,4,FALSE),0)</f>
        <v>0</v>
      </c>
      <c r="V160" s="2033">
        <f t="shared" si="16"/>
        <v>0</v>
      </c>
      <c r="W160" s="2033">
        <f t="shared" si="17"/>
        <v>2</v>
      </c>
    </row>
    <row r="161" spans="2:23" x14ac:dyDescent="0.15">
      <c r="B161" s="2032">
        <v>13918</v>
      </c>
      <c r="C161" s="2032" t="s">
        <v>1577</v>
      </c>
      <c r="D161" s="2032" t="s">
        <v>1577</v>
      </c>
      <c r="E161" s="2032" t="s">
        <v>94</v>
      </c>
      <c r="F161" s="1288" t="s">
        <v>1300</v>
      </c>
      <c r="G161" s="1288" t="s">
        <v>1303</v>
      </c>
      <c r="H161" s="2033">
        <f>IFERROR(VLOOKUP($B161,'[3]1001'!$B$6:$G$5927,2,FALSE),0)</f>
        <v>0</v>
      </c>
      <c r="I161" s="2034">
        <f>IFERROR(VLOOKUP($B161,'[3]1001'!$B$6:$G$5927,4,FALSE),0)</f>
        <v>0</v>
      </c>
      <c r="J161" s="2033">
        <f t="shared" si="12"/>
        <v>0</v>
      </c>
      <c r="K161" s="2035">
        <f>IFERROR(VLOOKUP($B161,'[3]1002'!$B$6:$G$5921,2,FALSE),0)</f>
        <v>2553.16</v>
      </c>
      <c r="L161" s="2036">
        <f>IFERROR(VLOOKUP($B161,'[3]1002'!$B$6:$G$5921,4,FALSE),0)</f>
        <v>1</v>
      </c>
      <c r="M161" s="1763">
        <f t="shared" si="13"/>
        <v>2553.16</v>
      </c>
      <c r="N161" s="2033">
        <f>IFERROR(VLOOKUP($B161,'[3]1003'!$B$6:$G$5921,2,FALSE),0)</f>
        <v>0</v>
      </c>
      <c r="O161" s="2034">
        <f>IFERROR(VLOOKUP($B161,'[3]1003'!$B$6:$G$5921,4,FALSE),0)</f>
        <v>0</v>
      </c>
      <c r="P161" s="2033">
        <f t="shared" si="14"/>
        <v>0</v>
      </c>
      <c r="Q161" s="1763">
        <f>IFERROR(VLOOKUP($B161,'[3]1004'!$B$6:$G$5921,2,FALSE),0)</f>
        <v>0</v>
      </c>
      <c r="R161" s="2036">
        <f>IFERROR(VLOOKUP($B161,'[3]1004'!$B$6:$G$5921,4,FALSE),0)</f>
        <v>0</v>
      </c>
      <c r="S161" s="1763">
        <f t="shared" si="15"/>
        <v>0</v>
      </c>
      <c r="T161" s="2033">
        <f>IFERROR(VLOOKUP($B161,'[3]1006'!$B$6:$G$5921,2,FALSE),0)</f>
        <v>0</v>
      </c>
      <c r="U161" s="2034">
        <f>IFERROR(VLOOKUP($B161,'[3]1006'!$B$6:$G$5921,4,FALSE),0)</f>
        <v>0</v>
      </c>
      <c r="V161" s="2033">
        <f t="shared" si="16"/>
        <v>0</v>
      </c>
      <c r="W161" s="2033">
        <f t="shared" si="17"/>
        <v>1</v>
      </c>
    </row>
    <row r="162" spans="2:23" x14ac:dyDescent="0.15">
      <c r="B162" s="2032">
        <v>13940</v>
      </c>
      <c r="C162" s="2032" t="s">
        <v>1578</v>
      </c>
      <c r="D162" s="2037" t="s">
        <v>1579</v>
      </c>
      <c r="E162" s="2032" t="s">
        <v>94</v>
      </c>
      <c r="F162" s="1288" t="s">
        <v>1300</v>
      </c>
      <c r="G162" s="1288" t="s">
        <v>1303</v>
      </c>
      <c r="H162" s="2033">
        <f>IFERROR(VLOOKUP($B162,'[3]1001'!$B$6:$G$5927,2,FALSE),0)</f>
        <v>0</v>
      </c>
      <c r="I162" s="2034">
        <f>IFERROR(VLOOKUP($B162,'[3]1001'!$B$6:$G$5927,4,FALSE),0)</f>
        <v>0</v>
      </c>
      <c r="J162" s="2033">
        <f t="shared" si="12"/>
        <v>0</v>
      </c>
      <c r="K162" s="2035">
        <f>IFERROR(VLOOKUP($B162,'[3]1002'!$B$6:$G$5921,2,FALSE),0)</f>
        <v>0</v>
      </c>
      <c r="L162" s="2036">
        <f>IFERROR(VLOOKUP($B162,'[3]1002'!$B$6:$G$5921,4,FALSE),0)</f>
        <v>0</v>
      </c>
      <c r="M162" s="1763">
        <f t="shared" si="13"/>
        <v>0</v>
      </c>
      <c r="N162" s="2033">
        <f>IFERROR(VLOOKUP($B162,'[3]1003'!$B$6:$G$5921,2,FALSE),0)</f>
        <v>764997.09</v>
      </c>
      <c r="O162" s="2034">
        <f>IFERROR(VLOOKUP($B162,'[3]1003'!$B$6:$G$5921,4,FALSE),0)</f>
        <v>1</v>
      </c>
      <c r="P162" s="2033">
        <f t="shared" si="14"/>
        <v>764997.09</v>
      </c>
      <c r="Q162" s="1763">
        <f>IFERROR(VLOOKUP($B162,'[3]1004'!$B$6:$G$5921,2,FALSE),0)</f>
        <v>0</v>
      </c>
      <c r="R162" s="2036">
        <f>IFERROR(VLOOKUP($B162,'[3]1004'!$B$6:$G$5921,4,FALSE),0)</f>
        <v>0</v>
      </c>
      <c r="S162" s="1763">
        <f t="shared" si="15"/>
        <v>0</v>
      </c>
      <c r="T162" s="2033">
        <f>IFERROR(VLOOKUP($B162,'[3]1006'!$B$6:$G$5921,2,FALSE),0)</f>
        <v>0</v>
      </c>
      <c r="U162" s="2034">
        <f>IFERROR(VLOOKUP($B162,'[3]1006'!$B$6:$G$5921,4,FALSE),0)</f>
        <v>0</v>
      </c>
      <c r="V162" s="2033">
        <f t="shared" si="16"/>
        <v>0</v>
      </c>
      <c r="W162" s="2033">
        <f t="shared" si="17"/>
        <v>1</v>
      </c>
    </row>
    <row r="163" spans="2:23" x14ac:dyDescent="0.15">
      <c r="B163" s="2032">
        <v>13942</v>
      </c>
      <c r="C163" s="2032" t="s">
        <v>1580</v>
      </c>
      <c r="D163" s="2037" t="s">
        <v>1581</v>
      </c>
      <c r="E163" s="2032" t="s">
        <v>94</v>
      </c>
      <c r="F163" s="1288" t="s">
        <v>1300</v>
      </c>
      <c r="G163" s="1288" t="s">
        <v>1303</v>
      </c>
      <c r="H163" s="2033">
        <f>IFERROR(VLOOKUP($B163,'[3]1001'!$B$6:$G$5927,2,FALSE),0)</f>
        <v>246265.65</v>
      </c>
      <c r="I163" s="2034">
        <f>IFERROR(VLOOKUP($B163,'[3]1001'!$B$6:$G$5927,4,FALSE),0)</f>
        <v>1</v>
      </c>
      <c r="J163" s="2033">
        <f t="shared" si="12"/>
        <v>246265.65</v>
      </c>
      <c r="K163" s="2035">
        <f>IFERROR(VLOOKUP($B163,'[3]1002'!$B$6:$G$5921,2,FALSE),0)</f>
        <v>0</v>
      </c>
      <c r="L163" s="2036">
        <f>IFERROR(VLOOKUP($B163,'[3]1002'!$B$6:$G$5921,4,FALSE),0)</f>
        <v>0</v>
      </c>
      <c r="M163" s="1763">
        <f t="shared" si="13"/>
        <v>0</v>
      </c>
      <c r="N163" s="2033">
        <f>IFERROR(VLOOKUP($B163,'[3]1003'!$B$6:$G$5921,2,FALSE),0)</f>
        <v>0</v>
      </c>
      <c r="O163" s="2034">
        <f>IFERROR(VLOOKUP($B163,'[3]1003'!$B$6:$G$5921,4,FALSE),0)</f>
        <v>0</v>
      </c>
      <c r="P163" s="2033">
        <f t="shared" si="14"/>
        <v>0</v>
      </c>
      <c r="Q163" s="1763">
        <f>IFERROR(VLOOKUP($B163,'[3]1004'!$B$6:$G$5921,2,FALSE),0)</f>
        <v>246265.65</v>
      </c>
      <c r="R163" s="2036">
        <f>IFERROR(VLOOKUP($B163,'[3]1004'!$B$6:$G$5921,4,FALSE),0)</f>
        <v>1</v>
      </c>
      <c r="S163" s="1763">
        <f t="shared" si="15"/>
        <v>246265.65</v>
      </c>
      <c r="T163" s="2033">
        <f>IFERROR(VLOOKUP($B163,'[3]1006'!$B$6:$G$5921,2,FALSE),0)</f>
        <v>0</v>
      </c>
      <c r="U163" s="2034">
        <f>IFERROR(VLOOKUP($B163,'[3]1006'!$B$6:$G$5921,4,FALSE),0)</f>
        <v>0</v>
      </c>
      <c r="V163" s="2033">
        <f t="shared" si="16"/>
        <v>0</v>
      </c>
      <c r="W163" s="2033">
        <f t="shared" si="17"/>
        <v>2</v>
      </c>
    </row>
    <row r="164" spans="2:23" x14ac:dyDescent="0.15">
      <c r="B164" s="2032">
        <v>13943</v>
      </c>
      <c r="C164" s="2032" t="s">
        <v>1582</v>
      </c>
      <c r="D164" s="2037" t="s">
        <v>1583</v>
      </c>
      <c r="E164" s="2032" t="s">
        <v>94</v>
      </c>
      <c r="F164" s="1288" t="s">
        <v>1300</v>
      </c>
      <c r="G164" s="1288" t="s">
        <v>1303</v>
      </c>
      <c r="H164" s="2033">
        <f>IFERROR(VLOOKUP($B164,'[3]1001'!$B$6:$G$5927,2,FALSE),0)</f>
        <v>0</v>
      </c>
      <c r="I164" s="2034">
        <f>IFERROR(VLOOKUP($B164,'[3]1001'!$B$6:$G$5927,4,FALSE),0)</f>
        <v>0</v>
      </c>
      <c r="J164" s="2033">
        <f t="shared" si="12"/>
        <v>0</v>
      </c>
      <c r="K164" s="2035">
        <f>IFERROR(VLOOKUP($B164,'[3]1002'!$B$6:$G$5921,2,FALSE),0)</f>
        <v>0</v>
      </c>
      <c r="L164" s="2036">
        <f>IFERROR(VLOOKUP($B164,'[3]1002'!$B$6:$G$5921,4,FALSE),0)</f>
        <v>0</v>
      </c>
      <c r="M164" s="1763">
        <f t="shared" si="13"/>
        <v>0</v>
      </c>
      <c r="N164" s="2033">
        <f>IFERROR(VLOOKUP($B164,'[3]1003'!$B$6:$G$5921,2,FALSE),0)</f>
        <v>2843664.53</v>
      </c>
      <c r="O164" s="2034">
        <f>IFERROR(VLOOKUP($B164,'[3]1003'!$B$6:$G$5921,4,FALSE),0)</f>
        <v>1</v>
      </c>
      <c r="P164" s="2033">
        <f t="shared" si="14"/>
        <v>2843664.53</v>
      </c>
      <c r="Q164" s="1763">
        <f>IFERROR(VLOOKUP($B164,'[3]1004'!$B$6:$G$5921,2,FALSE),0)</f>
        <v>0</v>
      </c>
      <c r="R164" s="2036">
        <f>IFERROR(VLOOKUP($B164,'[3]1004'!$B$6:$G$5921,4,FALSE),0)</f>
        <v>0</v>
      </c>
      <c r="S164" s="1763">
        <f t="shared" si="15"/>
        <v>0</v>
      </c>
      <c r="T164" s="2033">
        <f>IFERROR(VLOOKUP($B164,'[3]1006'!$B$6:$G$5921,2,FALSE),0)</f>
        <v>0</v>
      </c>
      <c r="U164" s="2034">
        <f>IFERROR(VLOOKUP($B164,'[3]1006'!$B$6:$G$5921,4,FALSE),0)</f>
        <v>0</v>
      </c>
      <c r="V164" s="2033">
        <f t="shared" si="16"/>
        <v>0</v>
      </c>
      <c r="W164" s="2033">
        <f t="shared" si="17"/>
        <v>1</v>
      </c>
    </row>
    <row r="165" spans="2:23" x14ac:dyDescent="0.15">
      <c r="B165" s="2032">
        <v>13944</v>
      </c>
      <c r="C165" s="2032" t="s">
        <v>1584</v>
      </c>
      <c r="D165" s="2037" t="s">
        <v>1585</v>
      </c>
      <c r="E165" s="2032" t="s">
        <v>94</v>
      </c>
      <c r="F165" s="1288" t="s">
        <v>1300</v>
      </c>
      <c r="G165" s="1288" t="s">
        <v>1303</v>
      </c>
      <c r="H165" s="2033">
        <f>IFERROR(VLOOKUP($B165,'[3]1001'!$B$6:$G$5927,2,FALSE),0)</f>
        <v>0</v>
      </c>
      <c r="I165" s="2034">
        <f>IFERROR(VLOOKUP($B165,'[3]1001'!$B$6:$G$5927,4,FALSE),0)</f>
        <v>0</v>
      </c>
      <c r="J165" s="2033">
        <f t="shared" si="12"/>
        <v>0</v>
      </c>
      <c r="K165" s="2035">
        <f>IFERROR(VLOOKUP($B165,'[3]1002'!$B$6:$G$5921,2,FALSE),0)</f>
        <v>7948609.0899999999</v>
      </c>
      <c r="L165" s="2036">
        <f>IFERROR(VLOOKUP($B165,'[3]1002'!$B$6:$G$5921,4,FALSE),0)</f>
        <v>4</v>
      </c>
      <c r="M165" s="1763">
        <f t="shared" si="13"/>
        <v>1987152.2725</v>
      </c>
      <c r="N165" s="2033">
        <f>IFERROR(VLOOKUP($B165,'[3]1003'!$B$6:$G$5921,2,FALSE),0)</f>
        <v>6480169.3499999996</v>
      </c>
      <c r="O165" s="2034">
        <f>IFERROR(VLOOKUP($B165,'[3]1003'!$B$6:$G$5921,4,FALSE),0)</f>
        <v>3</v>
      </c>
      <c r="P165" s="2033">
        <f t="shared" si="14"/>
        <v>2160056.4499999997</v>
      </c>
      <c r="Q165" s="1763">
        <f>IFERROR(VLOOKUP($B165,'[3]1004'!$B$6:$G$5921,2,FALSE),0)</f>
        <v>11904201.539999999</v>
      </c>
      <c r="R165" s="2036">
        <f>IFERROR(VLOOKUP($B165,'[3]1004'!$B$6:$G$5921,4,FALSE),0)</f>
        <v>6</v>
      </c>
      <c r="S165" s="1763">
        <f t="shared" si="15"/>
        <v>1984033.5899999999</v>
      </c>
      <c r="T165" s="2033">
        <f>IFERROR(VLOOKUP($B165,'[3]1006'!$B$6:$G$5921,2,FALSE),0)</f>
        <v>3065048.7</v>
      </c>
      <c r="U165" s="2034">
        <f>IFERROR(VLOOKUP($B165,'[3]1006'!$B$6:$G$5921,4,FALSE),0)</f>
        <v>3</v>
      </c>
      <c r="V165" s="2033">
        <f t="shared" si="16"/>
        <v>1021682.9</v>
      </c>
      <c r="W165" s="2033">
        <f t="shared" si="17"/>
        <v>16</v>
      </c>
    </row>
    <row r="166" spans="2:23" x14ac:dyDescent="0.15">
      <c r="B166" s="2032">
        <v>13945</v>
      </c>
      <c r="C166" s="2032" t="s">
        <v>1586</v>
      </c>
      <c r="D166" s="2037" t="s">
        <v>1587</v>
      </c>
      <c r="E166" s="2032" t="s">
        <v>94</v>
      </c>
      <c r="F166" s="1288" t="s">
        <v>1300</v>
      </c>
      <c r="G166" s="1288" t="s">
        <v>1303</v>
      </c>
      <c r="H166" s="2033">
        <f>IFERROR(VLOOKUP($B166,'[3]1001'!$B$6:$G$5927,2,FALSE),0)</f>
        <v>0</v>
      </c>
      <c r="I166" s="2034">
        <f>IFERROR(VLOOKUP($B166,'[3]1001'!$B$6:$G$5927,4,FALSE),0)</f>
        <v>0</v>
      </c>
      <c r="J166" s="2033">
        <f t="shared" si="12"/>
        <v>0</v>
      </c>
      <c r="K166" s="2035">
        <f>IFERROR(VLOOKUP($B166,'[3]1002'!$B$6:$G$5921,2,FALSE),0)</f>
        <v>0</v>
      </c>
      <c r="L166" s="2036">
        <f>IFERROR(VLOOKUP($B166,'[3]1002'!$B$6:$G$5921,4,FALSE),0)</f>
        <v>0</v>
      </c>
      <c r="M166" s="1763">
        <f t="shared" si="13"/>
        <v>0</v>
      </c>
      <c r="N166" s="2033">
        <f>IFERROR(VLOOKUP($B166,'[3]1003'!$B$6:$G$5921,2,FALSE),0)</f>
        <v>3114444.21</v>
      </c>
      <c r="O166" s="2034">
        <f>IFERROR(VLOOKUP($B166,'[3]1003'!$B$6:$G$5921,4,FALSE),0)</f>
        <v>3</v>
      </c>
      <c r="P166" s="2033">
        <f t="shared" si="14"/>
        <v>1038148.07</v>
      </c>
      <c r="Q166" s="1763">
        <f>IFERROR(VLOOKUP($B166,'[3]1004'!$B$6:$G$5921,2,FALSE),0)</f>
        <v>1078414.46</v>
      </c>
      <c r="R166" s="2036">
        <f>IFERROR(VLOOKUP($B166,'[3]1004'!$B$6:$G$5921,4,FALSE),0)</f>
        <v>1</v>
      </c>
      <c r="S166" s="1763">
        <f t="shared" si="15"/>
        <v>1078414.46</v>
      </c>
      <c r="T166" s="2033">
        <f>IFERROR(VLOOKUP($B166,'[3]1006'!$B$6:$G$5921,2,FALSE),0)</f>
        <v>0</v>
      </c>
      <c r="U166" s="2034">
        <f>IFERROR(VLOOKUP($B166,'[3]1006'!$B$6:$G$5921,4,FALSE),0)</f>
        <v>0</v>
      </c>
      <c r="V166" s="2033">
        <f t="shared" si="16"/>
        <v>0</v>
      </c>
      <c r="W166" s="2033">
        <f t="shared" si="17"/>
        <v>4</v>
      </c>
    </row>
    <row r="167" spans="2:23" x14ac:dyDescent="0.15">
      <c r="B167" s="2032">
        <v>13946</v>
      </c>
      <c r="C167" s="2032" t="s">
        <v>1588</v>
      </c>
      <c r="D167" s="2037" t="s">
        <v>1589</v>
      </c>
      <c r="E167" s="2032" t="s">
        <v>94</v>
      </c>
      <c r="F167" s="1288" t="s">
        <v>1300</v>
      </c>
      <c r="G167" s="1288" t="s">
        <v>1303</v>
      </c>
      <c r="H167" s="2033">
        <f>IFERROR(VLOOKUP($B167,'[3]1001'!$B$6:$G$5927,2,FALSE),0)</f>
        <v>0</v>
      </c>
      <c r="I167" s="2034">
        <f>IFERROR(VLOOKUP($B167,'[3]1001'!$B$6:$G$5927,4,FALSE),0)</f>
        <v>0</v>
      </c>
      <c r="J167" s="2033">
        <f t="shared" si="12"/>
        <v>0</v>
      </c>
      <c r="K167" s="2035">
        <f>IFERROR(VLOOKUP($B167,'[3]1002'!$B$6:$G$5921,2,FALSE),0)</f>
        <v>669715.12</v>
      </c>
      <c r="L167" s="2036">
        <f>IFERROR(VLOOKUP($B167,'[3]1002'!$B$6:$G$5921,4,FALSE),0)</f>
        <v>2</v>
      </c>
      <c r="M167" s="1763">
        <f t="shared" si="13"/>
        <v>334857.56</v>
      </c>
      <c r="N167" s="2033">
        <f>IFERROR(VLOOKUP($B167,'[3]1003'!$B$6:$G$5921,2,FALSE),0)</f>
        <v>0</v>
      </c>
      <c r="O167" s="2034">
        <f>IFERROR(VLOOKUP($B167,'[3]1003'!$B$6:$G$5921,4,FALSE),0)</f>
        <v>0</v>
      </c>
      <c r="P167" s="2033">
        <f t="shared" si="14"/>
        <v>0</v>
      </c>
      <c r="Q167" s="1763">
        <f>IFERROR(VLOOKUP($B167,'[3]1004'!$B$6:$G$5921,2,FALSE),0)</f>
        <v>0</v>
      </c>
      <c r="R167" s="2036">
        <f>IFERROR(VLOOKUP($B167,'[3]1004'!$B$6:$G$5921,4,FALSE),0)</f>
        <v>0</v>
      </c>
      <c r="S167" s="1763">
        <f t="shared" si="15"/>
        <v>0</v>
      </c>
      <c r="T167" s="2033">
        <f>IFERROR(VLOOKUP($B167,'[3]1006'!$B$6:$G$5921,2,FALSE),0)</f>
        <v>0</v>
      </c>
      <c r="U167" s="2034">
        <f>IFERROR(VLOOKUP($B167,'[3]1006'!$B$6:$G$5921,4,FALSE),0)</f>
        <v>0</v>
      </c>
      <c r="V167" s="2033">
        <f t="shared" si="16"/>
        <v>0</v>
      </c>
      <c r="W167" s="2033">
        <f t="shared" si="17"/>
        <v>2</v>
      </c>
    </row>
    <row r="168" spans="2:23" x14ac:dyDescent="0.15">
      <c r="B168" s="2032">
        <v>13948</v>
      </c>
      <c r="C168" s="2032" t="s">
        <v>1578</v>
      </c>
      <c r="D168" s="2037" t="s">
        <v>1590</v>
      </c>
      <c r="E168" s="2032" t="s">
        <v>94</v>
      </c>
      <c r="F168" s="1288" t="s">
        <v>1300</v>
      </c>
      <c r="G168" s="1288" t="s">
        <v>1303</v>
      </c>
      <c r="H168" s="2033">
        <f>IFERROR(VLOOKUP($B168,'[3]1001'!$B$6:$G$5927,2,FALSE),0)</f>
        <v>0</v>
      </c>
      <c r="I168" s="2034">
        <f>IFERROR(VLOOKUP($B168,'[3]1001'!$B$6:$G$5927,4,FALSE),0)</f>
        <v>0</v>
      </c>
      <c r="J168" s="2033">
        <f t="shared" si="12"/>
        <v>0</v>
      </c>
      <c r="K168" s="2035">
        <f>IFERROR(VLOOKUP($B168,'[3]1002'!$B$6:$G$5921,2,FALSE),0)</f>
        <v>0</v>
      </c>
      <c r="L168" s="2036">
        <f>IFERROR(VLOOKUP($B168,'[3]1002'!$B$6:$G$5921,4,FALSE),0)</f>
        <v>0</v>
      </c>
      <c r="M168" s="1763">
        <f t="shared" si="13"/>
        <v>0</v>
      </c>
      <c r="N168" s="2033">
        <f>IFERROR(VLOOKUP($B168,'[3]1003'!$B$6:$G$5921,2,FALSE),0)</f>
        <v>0</v>
      </c>
      <c r="O168" s="2034">
        <f>IFERROR(VLOOKUP($B168,'[3]1003'!$B$6:$G$5921,4,FALSE),0)</f>
        <v>0</v>
      </c>
      <c r="P168" s="2033">
        <f t="shared" si="14"/>
        <v>0</v>
      </c>
      <c r="Q168" s="1763">
        <f>IFERROR(VLOOKUP($B168,'[3]1004'!$B$6:$G$5921,2,FALSE),0)</f>
        <v>0</v>
      </c>
      <c r="R168" s="2036">
        <f>IFERROR(VLOOKUP($B168,'[3]1004'!$B$6:$G$5921,4,FALSE),0)</f>
        <v>0</v>
      </c>
      <c r="S168" s="1763">
        <f t="shared" si="15"/>
        <v>0</v>
      </c>
      <c r="T168" s="2033">
        <f>IFERROR(VLOOKUP($B168,'[3]1006'!$B$6:$G$5921,2,FALSE),0)</f>
        <v>455476.29</v>
      </c>
      <c r="U168" s="2034">
        <f>IFERROR(VLOOKUP($B168,'[3]1006'!$B$6:$G$5921,4,FALSE),0)</f>
        <v>1</v>
      </c>
      <c r="V168" s="2033">
        <f t="shared" si="16"/>
        <v>455476.29</v>
      </c>
      <c r="W168" s="2033">
        <f t="shared" si="17"/>
        <v>1</v>
      </c>
    </row>
    <row r="169" spans="2:23" x14ac:dyDescent="0.15">
      <c r="B169" s="2032">
        <v>13949</v>
      </c>
      <c r="C169" s="2032" t="s">
        <v>1591</v>
      </c>
      <c r="D169" s="2037" t="s">
        <v>1592</v>
      </c>
      <c r="E169" s="2032" t="s">
        <v>94</v>
      </c>
      <c r="F169" s="1288" t="s">
        <v>1300</v>
      </c>
      <c r="G169" s="1288" t="s">
        <v>1303</v>
      </c>
      <c r="H169" s="2033">
        <f>IFERROR(VLOOKUP($B169,'[3]1001'!$B$6:$G$5927,2,FALSE),0)</f>
        <v>0</v>
      </c>
      <c r="I169" s="2034">
        <f>IFERROR(VLOOKUP($B169,'[3]1001'!$B$6:$G$5927,4,FALSE),0)</f>
        <v>0</v>
      </c>
      <c r="J169" s="2033">
        <f t="shared" si="12"/>
        <v>0</v>
      </c>
      <c r="K169" s="2035">
        <f>IFERROR(VLOOKUP($B169,'[3]1002'!$B$6:$G$5921,2,FALSE),0)</f>
        <v>3802283.33</v>
      </c>
      <c r="L169" s="2036">
        <f>IFERROR(VLOOKUP($B169,'[3]1002'!$B$6:$G$5921,4,FALSE),0)</f>
        <v>2</v>
      </c>
      <c r="M169" s="1763">
        <f t="shared" si="13"/>
        <v>1901141.665</v>
      </c>
      <c r="N169" s="2033">
        <f>IFERROR(VLOOKUP($B169,'[3]1003'!$B$6:$G$5921,2,FALSE),0)</f>
        <v>1901141.67</v>
      </c>
      <c r="O169" s="2034">
        <f>IFERROR(VLOOKUP($B169,'[3]1003'!$B$6:$G$5921,4,FALSE),0)</f>
        <v>1</v>
      </c>
      <c r="P169" s="2033">
        <f t="shared" si="14"/>
        <v>1901141.67</v>
      </c>
      <c r="Q169" s="1763">
        <f>IFERROR(VLOOKUP($B169,'[3]1004'!$B$6:$G$5921,2,FALSE),0)</f>
        <v>3802283.33</v>
      </c>
      <c r="R169" s="2036">
        <f>IFERROR(VLOOKUP($B169,'[3]1004'!$B$6:$G$5921,4,FALSE),0)</f>
        <v>2</v>
      </c>
      <c r="S169" s="1763">
        <f t="shared" si="15"/>
        <v>1901141.665</v>
      </c>
      <c r="T169" s="2033">
        <f>IFERROR(VLOOKUP($B169,'[3]1006'!$B$6:$G$5921,2,FALSE),0)</f>
        <v>1920511.9</v>
      </c>
      <c r="U169" s="2034">
        <f>IFERROR(VLOOKUP($B169,'[3]1006'!$B$6:$G$5921,4,FALSE),0)</f>
        <v>1</v>
      </c>
      <c r="V169" s="2033">
        <f t="shared" si="16"/>
        <v>1920511.9</v>
      </c>
      <c r="W169" s="2033">
        <f t="shared" si="17"/>
        <v>6</v>
      </c>
    </row>
    <row r="170" spans="2:23" x14ac:dyDescent="0.15">
      <c r="B170" s="2032">
        <v>13950</v>
      </c>
      <c r="C170" s="2032" t="s">
        <v>1593</v>
      </c>
      <c r="D170" s="2037" t="s">
        <v>1594</v>
      </c>
      <c r="E170" s="2032" t="s">
        <v>94</v>
      </c>
      <c r="F170" s="1288" t="s">
        <v>1300</v>
      </c>
      <c r="G170" s="1288" t="s">
        <v>1303</v>
      </c>
      <c r="H170" s="2033">
        <f>IFERROR(VLOOKUP($B170,'[3]1001'!$B$6:$G$5927,2,FALSE),0)</f>
        <v>0</v>
      </c>
      <c r="I170" s="2034">
        <f>IFERROR(VLOOKUP($B170,'[3]1001'!$B$6:$G$5927,4,FALSE),0)</f>
        <v>0</v>
      </c>
      <c r="J170" s="2033">
        <f t="shared" si="12"/>
        <v>0</v>
      </c>
      <c r="K170" s="2035">
        <f>IFERROR(VLOOKUP($B170,'[3]1002'!$B$6:$G$5921,2,FALSE),0)</f>
        <v>0</v>
      </c>
      <c r="L170" s="2036">
        <f>IFERROR(VLOOKUP($B170,'[3]1002'!$B$6:$G$5921,4,FALSE),0)</f>
        <v>0</v>
      </c>
      <c r="M170" s="1763">
        <f t="shared" si="13"/>
        <v>0</v>
      </c>
      <c r="N170" s="2033">
        <f>IFERROR(VLOOKUP($B170,'[3]1003'!$B$6:$G$5921,2,FALSE),0)</f>
        <v>0</v>
      </c>
      <c r="O170" s="2034">
        <f>IFERROR(VLOOKUP($B170,'[3]1003'!$B$6:$G$5921,4,FALSE),0)</f>
        <v>0</v>
      </c>
      <c r="P170" s="2033">
        <f t="shared" si="14"/>
        <v>0</v>
      </c>
      <c r="Q170" s="1763">
        <f>IFERROR(VLOOKUP($B170,'[3]1004'!$B$6:$G$5921,2,FALSE),0)</f>
        <v>0</v>
      </c>
      <c r="R170" s="2036">
        <f>IFERROR(VLOOKUP($B170,'[3]1004'!$B$6:$G$5921,4,FALSE),0)</f>
        <v>0</v>
      </c>
      <c r="S170" s="1763">
        <f t="shared" si="15"/>
        <v>0</v>
      </c>
      <c r="T170" s="2033">
        <f>IFERROR(VLOOKUP($B170,'[3]1006'!$B$6:$G$5921,2,FALSE),0)</f>
        <v>0</v>
      </c>
      <c r="U170" s="2034">
        <f>IFERROR(VLOOKUP($B170,'[3]1006'!$B$6:$G$5921,4,FALSE),0)</f>
        <v>0</v>
      </c>
      <c r="V170" s="2033">
        <f t="shared" si="16"/>
        <v>0</v>
      </c>
      <c r="W170" s="2033">
        <f t="shared" si="17"/>
        <v>0</v>
      </c>
    </row>
    <row r="171" spans="2:23" x14ac:dyDescent="0.15">
      <c r="B171" s="2032">
        <v>13951</v>
      </c>
      <c r="C171" s="2032" t="s">
        <v>1595</v>
      </c>
      <c r="D171" s="2037" t="s">
        <v>1596</v>
      </c>
      <c r="E171" s="2032" t="s">
        <v>94</v>
      </c>
      <c r="F171" s="1288" t="s">
        <v>1300</v>
      </c>
      <c r="G171" s="1288" t="s">
        <v>1303</v>
      </c>
      <c r="H171" s="2033">
        <f>IFERROR(VLOOKUP($B171,'[3]1001'!$B$6:$G$5927,2,FALSE),0)</f>
        <v>5288166.1100000003</v>
      </c>
      <c r="I171" s="2034">
        <f>IFERROR(VLOOKUP($B171,'[3]1001'!$B$6:$G$5927,4,FALSE),0)</f>
        <v>8</v>
      </c>
      <c r="J171" s="2033">
        <f t="shared" si="12"/>
        <v>661020.76375000004</v>
      </c>
      <c r="K171" s="2035">
        <f>IFERROR(VLOOKUP($B171,'[3]1002'!$B$6:$G$5921,2,FALSE),0)</f>
        <v>3305103.81</v>
      </c>
      <c r="L171" s="2036">
        <f>IFERROR(VLOOKUP($B171,'[3]1002'!$B$6:$G$5921,4,FALSE),0)</f>
        <v>5</v>
      </c>
      <c r="M171" s="1763">
        <f t="shared" si="13"/>
        <v>661020.76199999999</v>
      </c>
      <c r="N171" s="2033">
        <f>IFERROR(VLOOKUP($B171,'[3]1003'!$B$6:$G$5921,2,FALSE),0)</f>
        <v>5944742.4500000002</v>
      </c>
      <c r="O171" s="2034">
        <f>IFERROR(VLOOKUP($B171,'[3]1003'!$B$6:$G$5921,4,FALSE),0)</f>
        <v>9</v>
      </c>
      <c r="P171" s="2033">
        <f t="shared" si="14"/>
        <v>660526.93888888892</v>
      </c>
      <c r="Q171" s="1763">
        <f>IFERROR(VLOOKUP($B171,'[3]1004'!$B$6:$G$5921,2,FALSE),0)</f>
        <v>0</v>
      </c>
      <c r="R171" s="2036">
        <f>IFERROR(VLOOKUP($B171,'[3]1004'!$B$6:$G$5921,4,FALSE),0)</f>
        <v>0</v>
      </c>
      <c r="S171" s="1763">
        <f t="shared" si="15"/>
        <v>0</v>
      </c>
      <c r="T171" s="2033">
        <f>IFERROR(VLOOKUP($B171,'[3]1006'!$B$6:$G$5921,2,FALSE),0)</f>
        <v>0</v>
      </c>
      <c r="U171" s="2034">
        <f>IFERROR(VLOOKUP($B171,'[3]1006'!$B$6:$G$5921,4,FALSE),0)</f>
        <v>0</v>
      </c>
      <c r="V171" s="2033">
        <f t="shared" si="16"/>
        <v>0</v>
      </c>
      <c r="W171" s="2033">
        <f t="shared" si="17"/>
        <v>22</v>
      </c>
    </row>
    <row r="172" spans="2:23" x14ac:dyDescent="0.15">
      <c r="B172" s="2032">
        <v>13952</v>
      </c>
      <c r="C172" s="2032" t="s">
        <v>1597</v>
      </c>
      <c r="D172" s="2037" t="s">
        <v>1598</v>
      </c>
      <c r="E172" s="2032" t="s">
        <v>94</v>
      </c>
      <c r="F172" s="1288" t="s">
        <v>1300</v>
      </c>
      <c r="G172" s="1288" t="s">
        <v>1303</v>
      </c>
      <c r="H172" s="2033">
        <f>IFERROR(VLOOKUP($B172,'[3]1001'!$B$6:$G$5927,2,FALSE),0)</f>
        <v>1343021.45</v>
      </c>
      <c r="I172" s="2034">
        <f>IFERROR(VLOOKUP($B172,'[3]1001'!$B$6:$G$5927,4,FALSE),0)</f>
        <v>2</v>
      </c>
      <c r="J172" s="2033">
        <f t="shared" si="12"/>
        <v>671510.72499999998</v>
      </c>
      <c r="K172" s="2035">
        <f>IFERROR(VLOOKUP($B172,'[3]1002'!$B$6:$G$5921,2,FALSE),0)</f>
        <v>671510.73</v>
      </c>
      <c r="L172" s="2036">
        <f>IFERROR(VLOOKUP($B172,'[3]1002'!$B$6:$G$5921,4,FALSE),0)</f>
        <v>1</v>
      </c>
      <c r="M172" s="1763">
        <f t="shared" si="13"/>
        <v>671510.73</v>
      </c>
      <c r="N172" s="2033">
        <f>IFERROR(VLOOKUP($B172,'[3]1003'!$B$6:$G$5921,2,FALSE),0)</f>
        <v>2004968.09</v>
      </c>
      <c r="O172" s="2034">
        <f>IFERROR(VLOOKUP($B172,'[3]1003'!$B$6:$G$5921,4,FALSE),0)</f>
        <v>3</v>
      </c>
      <c r="P172" s="2033">
        <f t="shared" si="14"/>
        <v>668322.69666666666</v>
      </c>
      <c r="Q172" s="1763">
        <f>IFERROR(VLOOKUP($B172,'[3]1004'!$B$6:$G$5921,2,FALSE),0)</f>
        <v>3987853.52</v>
      </c>
      <c r="R172" s="2036">
        <f>IFERROR(VLOOKUP($B172,'[3]1004'!$B$6:$G$5921,4,FALSE),0)</f>
        <v>6</v>
      </c>
      <c r="S172" s="1763">
        <f t="shared" si="15"/>
        <v>664642.2533333333</v>
      </c>
      <c r="T172" s="2033">
        <f>IFERROR(VLOOKUP($B172,'[3]1006'!$B$6:$G$5921,2,FALSE),0)</f>
        <v>0</v>
      </c>
      <c r="U172" s="2034">
        <f>IFERROR(VLOOKUP($B172,'[3]1006'!$B$6:$G$5921,4,FALSE),0)</f>
        <v>0</v>
      </c>
      <c r="V172" s="2033">
        <f t="shared" si="16"/>
        <v>0</v>
      </c>
      <c r="W172" s="2033">
        <f t="shared" si="17"/>
        <v>12</v>
      </c>
    </row>
    <row r="173" spans="2:23" x14ac:dyDescent="0.15">
      <c r="B173" s="2032">
        <v>13955</v>
      </c>
      <c r="C173" s="2032" t="s">
        <v>1599</v>
      </c>
      <c r="D173" s="2037" t="s">
        <v>1600</v>
      </c>
      <c r="E173" s="2032" t="s">
        <v>94</v>
      </c>
      <c r="F173" s="1288" t="s">
        <v>1300</v>
      </c>
      <c r="G173" s="1288" t="s">
        <v>1303</v>
      </c>
      <c r="H173" s="2033">
        <f>IFERROR(VLOOKUP($B173,'[3]1001'!$B$6:$G$5927,2,FALSE),0)</f>
        <v>0</v>
      </c>
      <c r="I173" s="2034">
        <f>IFERROR(VLOOKUP($B173,'[3]1001'!$B$6:$G$5927,4,FALSE),0)</f>
        <v>0</v>
      </c>
      <c r="J173" s="2033">
        <f t="shared" si="12"/>
        <v>0</v>
      </c>
      <c r="K173" s="2035">
        <f>IFERROR(VLOOKUP($B173,'[3]1002'!$B$6:$G$5921,2,FALSE),0)</f>
        <v>1234428.72</v>
      </c>
      <c r="L173" s="2036">
        <f>IFERROR(VLOOKUP($B173,'[3]1002'!$B$6:$G$5921,4,FALSE),0)</f>
        <v>1</v>
      </c>
      <c r="M173" s="1763">
        <f t="shared" si="13"/>
        <v>1234428.72</v>
      </c>
      <c r="N173" s="2033">
        <f>IFERROR(VLOOKUP($B173,'[3]1003'!$B$6:$G$5921,2,FALSE),0)</f>
        <v>0</v>
      </c>
      <c r="O173" s="2034">
        <f>IFERROR(VLOOKUP($B173,'[3]1003'!$B$6:$G$5921,4,FALSE),0)</f>
        <v>0</v>
      </c>
      <c r="P173" s="2033">
        <f t="shared" si="14"/>
        <v>0</v>
      </c>
      <c r="Q173" s="1763">
        <f>IFERROR(VLOOKUP($B173,'[3]1004'!$B$6:$G$5921,2,FALSE),0)</f>
        <v>0</v>
      </c>
      <c r="R173" s="2036">
        <f>IFERROR(VLOOKUP($B173,'[3]1004'!$B$6:$G$5921,4,FALSE),0)</f>
        <v>0</v>
      </c>
      <c r="S173" s="1763">
        <f t="shared" si="15"/>
        <v>0</v>
      </c>
      <c r="T173" s="2033">
        <f>IFERROR(VLOOKUP($B173,'[3]1006'!$B$6:$G$5921,2,FALSE),0)</f>
        <v>1208478.93</v>
      </c>
      <c r="U173" s="2034">
        <f>IFERROR(VLOOKUP($B173,'[3]1006'!$B$6:$G$5921,4,FALSE),0)</f>
        <v>1</v>
      </c>
      <c r="V173" s="2033">
        <f t="shared" si="16"/>
        <v>1208478.93</v>
      </c>
      <c r="W173" s="2033">
        <f t="shared" si="17"/>
        <v>2</v>
      </c>
    </row>
    <row r="174" spans="2:23" x14ac:dyDescent="0.15">
      <c r="B174" s="2032">
        <v>13956</v>
      </c>
      <c r="C174" s="2032" t="s">
        <v>1601</v>
      </c>
      <c r="D174" s="2037" t="s">
        <v>1602</v>
      </c>
      <c r="E174" s="2032" t="s">
        <v>94</v>
      </c>
      <c r="F174" s="1288" t="s">
        <v>1300</v>
      </c>
      <c r="G174" s="1288" t="s">
        <v>1303</v>
      </c>
      <c r="H174" s="2033">
        <f>IFERROR(VLOOKUP($B174,'[3]1001'!$B$6:$G$5927,2,FALSE),0)</f>
        <v>0</v>
      </c>
      <c r="I174" s="2034">
        <f>IFERROR(VLOOKUP($B174,'[3]1001'!$B$6:$G$5927,4,FALSE),0)</f>
        <v>0</v>
      </c>
      <c r="J174" s="2033">
        <f t="shared" si="12"/>
        <v>0</v>
      </c>
      <c r="K174" s="2035">
        <f>IFERROR(VLOOKUP($B174,'[3]1002'!$B$6:$G$5921,2,FALSE),0)</f>
        <v>0</v>
      </c>
      <c r="L174" s="2036">
        <f>IFERROR(VLOOKUP($B174,'[3]1002'!$B$6:$G$5921,4,FALSE),0)</f>
        <v>0</v>
      </c>
      <c r="M174" s="1763">
        <f t="shared" si="13"/>
        <v>0</v>
      </c>
      <c r="N174" s="2033">
        <f>IFERROR(VLOOKUP($B174,'[3]1003'!$B$6:$G$5921,2,FALSE),0)</f>
        <v>6873840.5300000003</v>
      </c>
      <c r="O174" s="2034">
        <f>IFERROR(VLOOKUP($B174,'[3]1003'!$B$6:$G$5921,4,FALSE),0)</f>
        <v>9</v>
      </c>
      <c r="P174" s="2033">
        <f t="shared" si="14"/>
        <v>763760.05888888892</v>
      </c>
      <c r="Q174" s="1763">
        <f>IFERROR(VLOOKUP($B174,'[3]1004'!$B$6:$G$5921,2,FALSE),0)</f>
        <v>0</v>
      </c>
      <c r="R174" s="2036">
        <f>IFERROR(VLOOKUP($B174,'[3]1004'!$B$6:$G$5921,4,FALSE),0)</f>
        <v>0</v>
      </c>
      <c r="S174" s="1763">
        <f t="shared" si="15"/>
        <v>0</v>
      </c>
      <c r="T174" s="2033">
        <f>IFERROR(VLOOKUP($B174,'[3]1006'!$B$6:$G$5921,2,FALSE),0)</f>
        <v>0</v>
      </c>
      <c r="U174" s="2034">
        <f>IFERROR(VLOOKUP($B174,'[3]1006'!$B$6:$G$5921,4,FALSE),0)</f>
        <v>0</v>
      </c>
      <c r="V174" s="2033">
        <f t="shared" si="16"/>
        <v>0</v>
      </c>
      <c r="W174" s="2033">
        <f t="shared" si="17"/>
        <v>9</v>
      </c>
    </row>
    <row r="175" spans="2:23" x14ac:dyDescent="0.15">
      <c r="B175" s="2032">
        <v>13957</v>
      </c>
      <c r="C175" s="2032" t="s">
        <v>1603</v>
      </c>
      <c r="D175" s="2037" t="s">
        <v>1604</v>
      </c>
      <c r="E175" s="2032" t="s">
        <v>94</v>
      </c>
      <c r="F175" s="1288" t="s">
        <v>1300</v>
      </c>
      <c r="G175" s="1288" t="s">
        <v>1303</v>
      </c>
      <c r="H175" s="2033">
        <f>IFERROR(VLOOKUP($B175,'[3]1001'!$B$6:$G$5927,2,FALSE),0)</f>
        <v>6462149.1799999997</v>
      </c>
      <c r="I175" s="2034">
        <f>IFERROR(VLOOKUP($B175,'[3]1001'!$B$6:$G$5927,4,FALSE),0)</f>
        <v>4</v>
      </c>
      <c r="J175" s="2033">
        <f t="shared" si="12"/>
        <v>1615537.2949999999</v>
      </c>
      <c r="K175" s="2035">
        <f>IFERROR(VLOOKUP($B175,'[3]1002'!$B$6:$G$5921,2,FALSE),0)</f>
        <v>5489528.5700000003</v>
      </c>
      <c r="L175" s="2036">
        <f>IFERROR(VLOOKUP($B175,'[3]1002'!$B$6:$G$5921,4,FALSE),0)</f>
        <v>4</v>
      </c>
      <c r="M175" s="1763">
        <f t="shared" si="13"/>
        <v>1372382.1425000001</v>
      </c>
      <c r="N175" s="2033">
        <f>IFERROR(VLOOKUP($B175,'[3]1003'!$B$6:$G$5921,2,FALSE),0)</f>
        <v>4114422.2</v>
      </c>
      <c r="O175" s="2034">
        <f>IFERROR(VLOOKUP($B175,'[3]1003'!$B$6:$G$5921,4,FALSE),0)</f>
        <v>3</v>
      </c>
      <c r="P175" s="2033">
        <f t="shared" si="14"/>
        <v>1371474.0666666667</v>
      </c>
      <c r="Q175" s="1763">
        <f>IFERROR(VLOOKUP($B175,'[3]1004'!$B$6:$G$5921,2,FALSE),0)</f>
        <v>3184356.11</v>
      </c>
      <c r="R175" s="2036">
        <f>IFERROR(VLOOKUP($B175,'[3]1004'!$B$6:$G$5921,4,FALSE),0)</f>
        <v>2</v>
      </c>
      <c r="S175" s="1763">
        <f t="shared" si="15"/>
        <v>1592178.0549999999</v>
      </c>
      <c r="T175" s="2033">
        <f>IFERROR(VLOOKUP($B175,'[3]1006'!$B$6:$G$5921,2,FALSE),0)</f>
        <v>1411371.64</v>
      </c>
      <c r="U175" s="2034">
        <f>IFERROR(VLOOKUP($B175,'[3]1006'!$B$6:$G$5921,4,FALSE),0)</f>
        <v>1</v>
      </c>
      <c r="V175" s="2033">
        <f t="shared" si="16"/>
        <v>1411371.64</v>
      </c>
      <c r="W175" s="2033">
        <f t="shared" si="17"/>
        <v>14</v>
      </c>
    </row>
    <row r="176" spans="2:23" x14ac:dyDescent="0.15">
      <c r="B176" s="2032">
        <v>13958</v>
      </c>
      <c r="C176" s="2032" t="s">
        <v>1605</v>
      </c>
      <c r="D176" s="2037" t="s">
        <v>1606</v>
      </c>
      <c r="E176" s="2032" t="s">
        <v>94</v>
      </c>
      <c r="F176" s="1288" t="s">
        <v>1300</v>
      </c>
      <c r="G176" s="1288" t="s">
        <v>1303</v>
      </c>
      <c r="H176" s="2033">
        <f>IFERROR(VLOOKUP($B176,'[3]1001'!$B$6:$G$5927,2,FALSE),0)</f>
        <v>0</v>
      </c>
      <c r="I176" s="2034">
        <f>IFERROR(VLOOKUP($B176,'[3]1001'!$B$6:$G$5927,4,FALSE),0)</f>
        <v>0</v>
      </c>
      <c r="J176" s="2033">
        <f t="shared" si="12"/>
        <v>0</v>
      </c>
      <c r="K176" s="2035">
        <f>IFERROR(VLOOKUP($B176,'[3]1002'!$B$6:$G$5921,2,FALSE),0)</f>
        <v>2128432.06</v>
      </c>
      <c r="L176" s="2036">
        <f>IFERROR(VLOOKUP($B176,'[3]1002'!$B$6:$G$5921,4,FALSE),0)</f>
        <v>7</v>
      </c>
      <c r="M176" s="1763">
        <f t="shared" si="13"/>
        <v>304061.72285714286</v>
      </c>
      <c r="N176" s="2033">
        <f>IFERROR(VLOOKUP($B176,'[3]1003'!$B$6:$G$5921,2,FALSE),0)</f>
        <v>750681.99</v>
      </c>
      <c r="O176" s="2034">
        <f>IFERROR(VLOOKUP($B176,'[3]1003'!$B$6:$G$5921,4,FALSE),0)</f>
        <v>2</v>
      </c>
      <c r="P176" s="2033">
        <f t="shared" si="14"/>
        <v>375340.995</v>
      </c>
      <c r="Q176" s="1763">
        <f>IFERROR(VLOOKUP($B176,'[3]1004'!$B$6:$G$5921,2,FALSE),0)</f>
        <v>0</v>
      </c>
      <c r="R176" s="2036">
        <f>IFERROR(VLOOKUP($B176,'[3]1004'!$B$6:$G$5921,4,FALSE),0)</f>
        <v>0</v>
      </c>
      <c r="S176" s="1763">
        <f t="shared" si="15"/>
        <v>0</v>
      </c>
      <c r="T176" s="2033">
        <f>IFERROR(VLOOKUP($B176,'[3]1006'!$B$6:$G$5921,2,FALSE),0)</f>
        <v>0</v>
      </c>
      <c r="U176" s="2034">
        <f>IFERROR(VLOOKUP($B176,'[3]1006'!$B$6:$G$5921,4,FALSE),0)</f>
        <v>0</v>
      </c>
      <c r="V176" s="2033">
        <f t="shared" si="16"/>
        <v>0</v>
      </c>
      <c r="W176" s="2033">
        <f t="shared" si="17"/>
        <v>9</v>
      </c>
    </row>
    <row r="177" spans="2:23" x14ac:dyDescent="0.15">
      <c r="B177" s="2032">
        <v>13959</v>
      </c>
      <c r="C177" s="2032" t="s">
        <v>1607</v>
      </c>
      <c r="D177" s="2037" t="s">
        <v>1608</v>
      </c>
      <c r="E177" s="2032" t="s">
        <v>94</v>
      </c>
      <c r="F177" s="1288" t="s">
        <v>1300</v>
      </c>
      <c r="G177" s="1288" t="s">
        <v>1303</v>
      </c>
      <c r="H177" s="2033">
        <f>IFERROR(VLOOKUP($B177,'[3]1001'!$B$6:$G$5927,2,FALSE),0)</f>
        <v>0</v>
      </c>
      <c r="I177" s="2034">
        <f>IFERROR(VLOOKUP($B177,'[3]1001'!$B$6:$G$5927,4,FALSE),0)</f>
        <v>0</v>
      </c>
      <c r="J177" s="2033">
        <f t="shared" si="12"/>
        <v>0</v>
      </c>
      <c r="K177" s="2035">
        <f>IFERROR(VLOOKUP($B177,'[3]1002'!$B$6:$G$5921,2,FALSE),0)</f>
        <v>1472754.55</v>
      </c>
      <c r="L177" s="2036">
        <f>IFERROR(VLOOKUP($B177,'[3]1002'!$B$6:$G$5921,4,FALSE),0)</f>
        <v>5</v>
      </c>
      <c r="M177" s="1763">
        <f t="shared" si="13"/>
        <v>294550.91000000003</v>
      </c>
      <c r="N177" s="2033">
        <f>IFERROR(VLOOKUP($B177,'[3]1003'!$B$6:$G$5921,2,FALSE),0)</f>
        <v>834130.91</v>
      </c>
      <c r="O177" s="2034">
        <f>IFERROR(VLOOKUP($B177,'[3]1003'!$B$6:$G$5921,4,FALSE),0)</f>
        <v>2</v>
      </c>
      <c r="P177" s="2033">
        <f t="shared" si="14"/>
        <v>417065.45500000002</v>
      </c>
      <c r="Q177" s="1763">
        <f>IFERROR(VLOOKUP($B177,'[3]1004'!$B$6:$G$5921,2,FALSE),0)</f>
        <v>0</v>
      </c>
      <c r="R177" s="2036">
        <f>IFERROR(VLOOKUP($B177,'[3]1004'!$B$6:$G$5921,4,FALSE),0)</f>
        <v>0</v>
      </c>
      <c r="S177" s="1763">
        <f t="shared" si="15"/>
        <v>0</v>
      </c>
      <c r="T177" s="2033">
        <f>IFERROR(VLOOKUP($B177,'[3]1006'!$B$6:$G$5921,2,FALSE),0)</f>
        <v>0</v>
      </c>
      <c r="U177" s="2034">
        <f>IFERROR(VLOOKUP($B177,'[3]1006'!$B$6:$G$5921,4,FALSE),0)</f>
        <v>0</v>
      </c>
      <c r="V177" s="2033">
        <f t="shared" si="16"/>
        <v>0</v>
      </c>
      <c r="W177" s="2033">
        <f t="shared" si="17"/>
        <v>7</v>
      </c>
    </row>
    <row r="178" spans="2:23" x14ac:dyDescent="0.15">
      <c r="B178" s="2032">
        <v>13960</v>
      </c>
      <c r="C178" s="2032" t="s">
        <v>1609</v>
      </c>
      <c r="D178" s="2037" t="s">
        <v>1610</v>
      </c>
      <c r="E178" s="2032" t="s">
        <v>94</v>
      </c>
      <c r="F178" s="1288" t="s">
        <v>1300</v>
      </c>
      <c r="G178" s="1288" t="s">
        <v>1303</v>
      </c>
      <c r="H178" s="2033">
        <f>IFERROR(VLOOKUP($B178,'[3]1001'!$B$6:$G$5927,2,FALSE),0)</f>
        <v>0</v>
      </c>
      <c r="I178" s="2034">
        <f>IFERROR(VLOOKUP($B178,'[3]1001'!$B$6:$G$5927,4,FALSE),0)</f>
        <v>0</v>
      </c>
      <c r="J178" s="2033">
        <f t="shared" si="12"/>
        <v>0</v>
      </c>
      <c r="K178" s="2035">
        <f>IFERROR(VLOOKUP($B178,'[3]1002'!$B$6:$G$5921,2,FALSE),0)</f>
        <v>0</v>
      </c>
      <c r="L178" s="2036">
        <f>IFERROR(VLOOKUP($B178,'[3]1002'!$B$6:$G$5921,4,FALSE),0)</f>
        <v>0</v>
      </c>
      <c r="M178" s="1763">
        <f t="shared" si="13"/>
        <v>0</v>
      </c>
      <c r="N178" s="2033">
        <f>IFERROR(VLOOKUP($B178,'[3]1003'!$B$6:$G$5921,2,FALSE),0)</f>
        <v>0</v>
      </c>
      <c r="O178" s="2034">
        <f>IFERROR(VLOOKUP($B178,'[3]1003'!$B$6:$G$5921,4,FALSE),0)</f>
        <v>0</v>
      </c>
      <c r="P178" s="2033">
        <f t="shared" si="14"/>
        <v>0</v>
      </c>
      <c r="Q178" s="1763">
        <f>IFERROR(VLOOKUP($B178,'[3]1004'!$B$6:$G$5921,2,FALSE),0)</f>
        <v>0</v>
      </c>
      <c r="R178" s="2036">
        <f>IFERROR(VLOOKUP($B178,'[3]1004'!$B$6:$G$5921,4,FALSE),0)</f>
        <v>0</v>
      </c>
      <c r="S178" s="1763">
        <f t="shared" si="15"/>
        <v>0</v>
      </c>
      <c r="T178" s="2033">
        <f>IFERROR(VLOOKUP($B178,'[3]1006'!$B$6:$G$5921,2,FALSE),0)</f>
        <v>0</v>
      </c>
      <c r="U178" s="2034">
        <f>IFERROR(VLOOKUP($B178,'[3]1006'!$B$6:$G$5921,4,FALSE),0)</f>
        <v>0</v>
      </c>
      <c r="V178" s="2033">
        <f t="shared" si="16"/>
        <v>0</v>
      </c>
      <c r="W178" s="2033">
        <f t="shared" si="17"/>
        <v>0</v>
      </c>
    </row>
    <row r="179" spans="2:23" x14ac:dyDescent="0.15">
      <c r="B179" s="2032">
        <v>13961</v>
      </c>
      <c r="C179" s="2032" t="s">
        <v>1588</v>
      </c>
      <c r="D179" s="2037" t="s">
        <v>1600</v>
      </c>
      <c r="E179" s="2032" t="s">
        <v>94</v>
      </c>
      <c r="F179" s="1288" t="s">
        <v>1300</v>
      </c>
      <c r="G179" s="1288" t="s">
        <v>1303</v>
      </c>
      <c r="H179" s="2033">
        <f>IFERROR(VLOOKUP($B179,'[3]1001'!$B$6:$G$5927,2,FALSE),0)</f>
        <v>0</v>
      </c>
      <c r="I179" s="2034">
        <f>IFERROR(VLOOKUP($B179,'[3]1001'!$B$6:$G$5927,4,FALSE),0)</f>
        <v>0</v>
      </c>
      <c r="J179" s="2033">
        <f t="shared" si="12"/>
        <v>0</v>
      </c>
      <c r="K179" s="2035">
        <f>IFERROR(VLOOKUP($B179,'[3]1002'!$B$6:$G$5921,2,FALSE),0)</f>
        <v>650154.06999999995</v>
      </c>
      <c r="L179" s="2036">
        <f>IFERROR(VLOOKUP($B179,'[3]1002'!$B$6:$G$5921,4,FALSE),0)</f>
        <v>2</v>
      </c>
      <c r="M179" s="1763">
        <f t="shared" si="13"/>
        <v>325077.03499999997</v>
      </c>
      <c r="N179" s="2033">
        <f>IFERROR(VLOOKUP($B179,'[3]1003'!$B$6:$G$5921,2,FALSE),0)</f>
        <v>1144334.01</v>
      </c>
      <c r="O179" s="2034">
        <f>IFERROR(VLOOKUP($B179,'[3]1003'!$B$6:$G$5921,4,FALSE),0)</f>
        <v>3</v>
      </c>
      <c r="P179" s="2033">
        <f t="shared" si="14"/>
        <v>381444.67</v>
      </c>
      <c r="Q179" s="1763">
        <f>IFERROR(VLOOKUP($B179,'[3]1004'!$B$6:$G$5921,2,FALSE),0)</f>
        <v>0</v>
      </c>
      <c r="R179" s="2036">
        <f>IFERROR(VLOOKUP($B179,'[3]1004'!$B$6:$G$5921,4,FALSE),0)</f>
        <v>0</v>
      </c>
      <c r="S179" s="1763">
        <f t="shared" si="15"/>
        <v>0</v>
      </c>
      <c r="T179" s="2033">
        <f>IFERROR(VLOOKUP($B179,'[3]1006'!$B$6:$G$5921,2,FALSE),0)</f>
        <v>0</v>
      </c>
      <c r="U179" s="2034">
        <f>IFERROR(VLOOKUP($B179,'[3]1006'!$B$6:$G$5921,4,FALSE),0)</f>
        <v>0</v>
      </c>
      <c r="V179" s="2033">
        <f t="shared" si="16"/>
        <v>0</v>
      </c>
      <c r="W179" s="2033">
        <f t="shared" si="17"/>
        <v>5</v>
      </c>
    </row>
    <row r="180" spans="2:23" x14ac:dyDescent="0.15">
      <c r="B180" s="2032">
        <v>13963</v>
      </c>
      <c r="C180" s="2032" t="s">
        <v>1611</v>
      </c>
      <c r="D180" s="2037" t="s">
        <v>1612</v>
      </c>
      <c r="E180" s="2032" t="s">
        <v>94</v>
      </c>
      <c r="F180" s="1288" t="s">
        <v>1300</v>
      </c>
      <c r="G180" s="1288" t="s">
        <v>1303</v>
      </c>
      <c r="H180" s="2033">
        <f>IFERROR(VLOOKUP($B180,'[3]1001'!$B$6:$G$5927,2,FALSE),0)</f>
        <v>0</v>
      </c>
      <c r="I180" s="2034">
        <f>IFERROR(VLOOKUP($B180,'[3]1001'!$B$6:$G$5927,4,FALSE),0)</f>
        <v>0</v>
      </c>
      <c r="J180" s="2033">
        <f t="shared" si="12"/>
        <v>0</v>
      </c>
      <c r="K180" s="2035">
        <f>IFERROR(VLOOKUP($B180,'[3]1002'!$B$6:$G$5921,2,FALSE),0)</f>
        <v>4283401.0199999996</v>
      </c>
      <c r="L180" s="2036">
        <f>IFERROR(VLOOKUP($B180,'[3]1002'!$B$6:$G$5921,4,FALSE),0)</f>
        <v>3</v>
      </c>
      <c r="M180" s="1763">
        <f t="shared" si="13"/>
        <v>1427800.3399999999</v>
      </c>
      <c r="N180" s="2033">
        <f>IFERROR(VLOOKUP($B180,'[3]1003'!$B$6:$G$5921,2,FALSE),0)</f>
        <v>0</v>
      </c>
      <c r="O180" s="2034">
        <f>IFERROR(VLOOKUP($B180,'[3]1003'!$B$6:$G$5921,4,FALSE),0)</f>
        <v>0</v>
      </c>
      <c r="P180" s="2033">
        <f t="shared" si="14"/>
        <v>0</v>
      </c>
      <c r="Q180" s="1763">
        <f>IFERROR(VLOOKUP($B180,'[3]1004'!$B$6:$G$5921,2,FALSE),0)</f>
        <v>0</v>
      </c>
      <c r="R180" s="2036">
        <f>IFERROR(VLOOKUP($B180,'[3]1004'!$B$6:$G$5921,4,FALSE),0)</f>
        <v>0</v>
      </c>
      <c r="S180" s="1763">
        <f t="shared" si="15"/>
        <v>0</v>
      </c>
      <c r="T180" s="2033">
        <f>IFERROR(VLOOKUP($B180,'[3]1006'!$B$6:$G$5921,2,FALSE),0)</f>
        <v>0</v>
      </c>
      <c r="U180" s="2034">
        <f>IFERROR(VLOOKUP($B180,'[3]1006'!$B$6:$G$5921,4,FALSE),0)</f>
        <v>0</v>
      </c>
      <c r="V180" s="2033">
        <f t="shared" si="16"/>
        <v>0</v>
      </c>
      <c r="W180" s="2033">
        <f t="shared" si="17"/>
        <v>3</v>
      </c>
    </row>
    <row r="181" spans="2:23" x14ac:dyDescent="0.15">
      <c r="B181" s="2032">
        <v>13967</v>
      </c>
      <c r="C181" s="2032" t="s">
        <v>1613</v>
      </c>
      <c r="D181" s="2037" t="s">
        <v>1614</v>
      </c>
      <c r="E181" s="2032" t="s">
        <v>94</v>
      </c>
      <c r="F181" s="1288" t="s">
        <v>1300</v>
      </c>
      <c r="G181" s="1288" t="s">
        <v>1303</v>
      </c>
      <c r="H181" s="2033">
        <f>IFERROR(VLOOKUP($B181,'[3]1001'!$B$6:$G$5927,2,FALSE),0)</f>
        <v>0</v>
      </c>
      <c r="I181" s="2034">
        <f>IFERROR(VLOOKUP($B181,'[3]1001'!$B$6:$G$5927,4,FALSE),0)</f>
        <v>0</v>
      </c>
      <c r="J181" s="2033">
        <f t="shared" si="12"/>
        <v>0</v>
      </c>
      <c r="K181" s="2035">
        <f>IFERROR(VLOOKUP($B181,'[3]1002'!$B$6:$G$5921,2,FALSE),0)</f>
        <v>0</v>
      </c>
      <c r="L181" s="2036">
        <f>IFERROR(VLOOKUP($B181,'[3]1002'!$B$6:$G$5921,4,FALSE),0)</f>
        <v>0</v>
      </c>
      <c r="M181" s="1763">
        <f t="shared" si="13"/>
        <v>0</v>
      </c>
      <c r="N181" s="2033">
        <f>IFERROR(VLOOKUP($B181,'[3]1003'!$B$6:$G$5921,2,FALSE),0)</f>
        <v>3903567.56</v>
      </c>
      <c r="O181" s="2034">
        <f>IFERROR(VLOOKUP($B181,'[3]1003'!$B$6:$G$5921,4,FALSE),0)</f>
        <v>3</v>
      </c>
      <c r="P181" s="2033">
        <f t="shared" si="14"/>
        <v>1301189.1866666668</v>
      </c>
      <c r="Q181" s="1763">
        <f>IFERROR(VLOOKUP($B181,'[3]1004'!$B$6:$G$5921,2,FALSE),0)</f>
        <v>0</v>
      </c>
      <c r="R181" s="2036">
        <f>IFERROR(VLOOKUP($B181,'[3]1004'!$B$6:$G$5921,4,FALSE),0)</f>
        <v>0</v>
      </c>
      <c r="S181" s="1763">
        <f t="shared" si="15"/>
        <v>0</v>
      </c>
      <c r="T181" s="2033">
        <f>IFERROR(VLOOKUP($B181,'[3]1006'!$B$6:$G$5921,2,FALSE),0)</f>
        <v>0</v>
      </c>
      <c r="U181" s="2034">
        <f>IFERROR(VLOOKUP($B181,'[3]1006'!$B$6:$G$5921,4,FALSE),0)</f>
        <v>0</v>
      </c>
      <c r="V181" s="2033">
        <f t="shared" si="16"/>
        <v>0</v>
      </c>
      <c r="W181" s="2033">
        <f t="shared" si="17"/>
        <v>3</v>
      </c>
    </row>
    <row r="182" spans="2:23" x14ac:dyDescent="0.15">
      <c r="B182" s="2032">
        <v>13968</v>
      </c>
      <c r="C182" s="2032" t="s">
        <v>1615</v>
      </c>
      <c r="D182" s="2037" t="s">
        <v>1616</v>
      </c>
      <c r="E182" s="2032" t="s">
        <v>94</v>
      </c>
      <c r="F182" s="1288" t="s">
        <v>1300</v>
      </c>
      <c r="G182" s="1288" t="s">
        <v>1303</v>
      </c>
      <c r="H182" s="2033">
        <f>IFERROR(VLOOKUP($B182,'[3]1001'!$B$6:$G$5927,2,FALSE),0)</f>
        <v>0</v>
      </c>
      <c r="I182" s="2034">
        <f>IFERROR(VLOOKUP($B182,'[3]1001'!$B$6:$G$5927,4,FALSE),0)</f>
        <v>0</v>
      </c>
      <c r="J182" s="2033">
        <f t="shared" si="12"/>
        <v>0</v>
      </c>
      <c r="K182" s="2035">
        <f>IFERROR(VLOOKUP($B182,'[3]1002'!$B$6:$G$5921,2,FALSE),0)</f>
        <v>0</v>
      </c>
      <c r="L182" s="2036">
        <f>IFERROR(VLOOKUP($B182,'[3]1002'!$B$6:$G$5921,4,FALSE),0)</f>
        <v>0</v>
      </c>
      <c r="M182" s="1763">
        <f t="shared" si="13"/>
        <v>0</v>
      </c>
      <c r="N182" s="2033">
        <f>IFERROR(VLOOKUP($B182,'[3]1003'!$B$6:$G$5921,2,FALSE),0)</f>
        <v>0</v>
      </c>
      <c r="O182" s="2034">
        <f>IFERROR(VLOOKUP($B182,'[3]1003'!$B$6:$G$5921,4,FALSE),0)</f>
        <v>0</v>
      </c>
      <c r="P182" s="2033">
        <f t="shared" si="14"/>
        <v>0</v>
      </c>
      <c r="Q182" s="1763">
        <f>IFERROR(VLOOKUP($B182,'[3]1004'!$B$6:$G$5921,2,FALSE),0)</f>
        <v>0</v>
      </c>
      <c r="R182" s="2036">
        <f>IFERROR(VLOOKUP($B182,'[3]1004'!$B$6:$G$5921,4,FALSE),0)</f>
        <v>0</v>
      </c>
      <c r="S182" s="1763">
        <f t="shared" si="15"/>
        <v>0</v>
      </c>
      <c r="T182" s="2033">
        <f>IFERROR(VLOOKUP($B182,'[3]1006'!$B$6:$G$5921,2,FALSE),0)</f>
        <v>0</v>
      </c>
      <c r="U182" s="2034">
        <f>IFERROR(VLOOKUP($B182,'[3]1006'!$B$6:$G$5921,4,FALSE),0)</f>
        <v>0</v>
      </c>
      <c r="V182" s="2033">
        <f t="shared" si="16"/>
        <v>0</v>
      </c>
      <c r="W182" s="2033">
        <f t="shared" si="17"/>
        <v>0</v>
      </c>
    </row>
    <row r="183" spans="2:23" x14ac:dyDescent="0.15">
      <c r="B183" s="2032">
        <v>13969</v>
      </c>
      <c r="C183" s="2032" t="s">
        <v>1617</v>
      </c>
      <c r="D183" s="2037" t="s">
        <v>1618</v>
      </c>
      <c r="E183" s="2032" t="s">
        <v>94</v>
      </c>
      <c r="F183" s="1288" t="s">
        <v>1300</v>
      </c>
      <c r="G183" s="1288" t="s">
        <v>1303</v>
      </c>
      <c r="H183" s="2033">
        <f>IFERROR(VLOOKUP($B183,'[3]1001'!$B$6:$G$5927,2,FALSE),0)</f>
        <v>0</v>
      </c>
      <c r="I183" s="2034">
        <f>IFERROR(VLOOKUP($B183,'[3]1001'!$B$6:$G$5927,4,FALSE),0)</f>
        <v>0</v>
      </c>
      <c r="J183" s="2033">
        <f t="shared" si="12"/>
        <v>0</v>
      </c>
      <c r="K183" s="2035">
        <f>IFERROR(VLOOKUP($B183,'[3]1002'!$B$6:$G$5921,2,FALSE),0)</f>
        <v>0</v>
      </c>
      <c r="L183" s="2036">
        <f>IFERROR(VLOOKUP($B183,'[3]1002'!$B$6:$G$5921,4,FALSE),0)</f>
        <v>0</v>
      </c>
      <c r="M183" s="1763">
        <f t="shared" si="13"/>
        <v>0</v>
      </c>
      <c r="N183" s="2033">
        <f>IFERROR(VLOOKUP($B183,'[3]1003'!$B$6:$G$5921,2,FALSE),0)</f>
        <v>0</v>
      </c>
      <c r="O183" s="2034">
        <f>IFERROR(VLOOKUP($B183,'[3]1003'!$B$6:$G$5921,4,FALSE),0)</f>
        <v>0</v>
      </c>
      <c r="P183" s="2033">
        <f t="shared" si="14"/>
        <v>0</v>
      </c>
      <c r="Q183" s="1763">
        <f>IFERROR(VLOOKUP($B183,'[3]1004'!$B$6:$G$5921,2,FALSE),0)</f>
        <v>0</v>
      </c>
      <c r="R183" s="2036">
        <f>IFERROR(VLOOKUP($B183,'[3]1004'!$B$6:$G$5921,4,FALSE),0)</f>
        <v>0</v>
      </c>
      <c r="S183" s="1763">
        <f t="shared" si="15"/>
        <v>0</v>
      </c>
      <c r="T183" s="2033">
        <f>IFERROR(VLOOKUP($B183,'[3]1006'!$B$6:$G$5921,2,FALSE),0)</f>
        <v>0</v>
      </c>
      <c r="U183" s="2034">
        <f>IFERROR(VLOOKUP($B183,'[3]1006'!$B$6:$G$5921,4,FALSE),0)</f>
        <v>0</v>
      </c>
      <c r="V183" s="2033">
        <f t="shared" si="16"/>
        <v>0</v>
      </c>
      <c r="W183" s="2033">
        <f t="shared" si="17"/>
        <v>0</v>
      </c>
    </row>
    <row r="184" spans="2:23" x14ac:dyDescent="0.15">
      <c r="B184" s="2032">
        <v>13970</v>
      </c>
      <c r="C184" s="2032" t="s">
        <v>1619</v>
      </c>
      <c r="D184" s="2037" t="s">
        <v>1620</v>
      </c>
      <c r="E184" s="2032" t="s">
        <v>94</v>
      </c>
      <c r="F184" s="1288" t="s">
        <v>1300</v>
      </c>
      <c r="G184" s="1288" t="s">
        <v>1303</v>
      </c>
      <c r="H184" s="2033">
        <f>IFERROR(VLOOKUP($B184,'[3]1001'!$B$6:$G$5927,2,FALSE),0)</f>
        <v>0</v>
      </c>
      <c r="I184" s="2034">
        <f>IFERROR(VLOOKUP($B184,'[3]1001'!$B$6:$G$5927,4,FALSE),0)</f>
        <v>0</v>
      </c>
      <c r="J184" s="2033">
        <f t="shared" si="12"/>
        <v>0</v>
      </c>
      <c r="K184" s="2035">
        <f>IFERROR(VLOOKUP($B184,'[3]1002'!$B$6:$G$5921,2,FALSE),0)</f>
        <v>0</v>
      </c>
      <c r="L184" s="2036">
        <f>IFERROR(VLOOKUP($B184,'[3]1002'!$B$6:$G$5921,4,FALSE),0)</f>
        <v>0</v>
      </c>
      <c r="M184" s="1763">
        <f t="shared" si="13"/>
        <v>0</v>
      </c>
      <c r="N184" s="2033">
        <f>IFERROR(VLOOKUP($B184,'[3]1003'!$B$6:$G$5921,2,FALSE),0)</f>
        <v>0</v>
      </c>
      <c r="O184" s="2034">
        <f>IFERROR(VLOOKUP($B184,'[3]1003'!$B$6:$G$5921,4,FALSE),0)</f>
        <v>0</v>
      </c>
      <c r="P184" s="2033">
        <f t="shared" si="14"/>
        <v>0</v>
      </c>
      <c r="Q184" s="1763">
        <f>IFERROR(VLOOKUP($B184,'[3]1004'!$B$6:$G$5921,2,FALSE),0)</f>
        <v>0</v>
      </c>
      <c r="R184" s="2036">
        <f>IFERROR(VLOOKUP($B184,'[3]1004'!$B$6:$G$5921,4,FALSE),0)</f>
        <v>0</v>
      </c>
      <c r="S184" s="1763">
        <f t="shared" si="15"/>
        <v>0</v>
      </c>
      <c r="T184" s="2033">
        <f>IFERROR(VLOOKUP($B184,'[3]1006'!$B$6:$G$5921,2,FALSE),0)</f>
        <v>0</v>
      </c>
      <c r="U184" s="2034">
        <f>IFERROR(VLOOKUP($B184,'[3]1006'!$B$6:$G$5921,4,FALSE),0)</f>
        <v>0</v>
      </c>
      <c r="V184" s="2033">
        <f t="shared" si="16"/>
        <v>0</v>
      </c>
      <c r="W184" s="2033">
        <f t="shared" si="17"/>
        <v>0</v>
      </c>
    </row>
    <row r="185" spans="2:23" x14ac:dyDescent="0.15">
      <c r="B185" s="2032">
        <v>13971</v>
      </c>
      <c r="C185" s="2032" t="s">
        <v>1621</v>
      </c>
      <c r="D185" s="2037" t="s">
        <v>1622</v>
      </c>
      <c r="E185" s="2032" t="s">
        <v>94</v>
      </c>
      <c r="F185" s="1288" t="s">
        <v>1300</v>
      </c>
      <c r="G185" s="1288" t="s">
        <v>1303</v>
      </c>
      <c r="H185" s="2033">
        <f>IFERROR(VLOOKUP($B185,'[3]1001'!$B$6:$G$5927,2,FALSE),0)</f>
        <v>0</v>
      </c>
      <c r="I185" s="2034">
        <f>IFERROR(VLOOKUP($B185,'[3]1001'!$B$6:$G$5927,4,FALSE),0)</f>
        <v>0</v>
      </c>
      <c r="J185" s="2033">
        <f t="shared" si="12"/>
        <v>0</v>
      </c>
      <c r="K185" s="2035">
        <f>IFERROR(VLOOKUP($B185,'[3]1002'!$B$6:$G$5921,2,FALSE),0)</f>
        <v>562838.02</v>
      </c>
      <c r="L185" s="2036">
        <f>IFERROR(VLOOKUP($B185,'[3]1002'!$B$6:$G$5921,4,FALSE),0)</f>
        <v>2</v>
      </c>
      <c r="M185" s="1763">
        <f t="shared" si="13"/>
        <v>281419.01</v>
      </c>
      <c r="N185" s="2033">
        <f>IFERROR(VLOOKUP($B185,'[3]1003'!$B$6:$G$5921,2,FALSE),0)</f>
        <v>536750.57999999996</v>
      </c>
      <c r="O185" s="2034">
        <f>IFERROR(VLOOKUP($B185,'[3]1003'!$B$6:$G$5921,4,FALSE),0)</f>
        <v>2</v>
      </c>
      <c r="P185" s="2033">
        <f t="shared" si="14"/>
        <v>268375.28999999998</v>
      </c>
      <c r="Q185" s="1763">
        <f>IFERROR(VLOOKUP($B185,'[3]1004'!$B$6:$G$5921,2,FALSE),0)</f>
        <v>530228.72</v>
      </c>
      <c r="R185" s="2036">
        <f>IFERROR(VLOOKUP($B185,'[3]1004'!$B$6:$G$5921,4,FALSE),0)</f>
        <v>2</v>
      </c>
      <c r="S185" s="1763">
        <f t="shared" si="15"/>
        <v>265114.36</v>
      </c>
      <c r="T185" s="2033">
        <f>IFERROR(VLOOKUP($B185,'[3]1006'!$B$6:$G$5921,2,FALSE),0)</f>
        <v>0</v>
      </c>
      <c r="U185" s="2034">
        <f>IFERROR(VLOOKUP($B185,'[3]1006'!$B$6:$G$5921,4,FALSE),0)</f>
        <v>0</v>
      </c>
      <c r="V185" s="2033">
        <f t="shared" si="16"/>
        <v>0</v>
      </c>
      <c r="W185" s="2033">
        <f t="shared" si="17"/>
        <v>6</v>
      </c>
    </row>
    <row r="186" spans="2:23" x14ac:dyDescent="0.15">
      <c r="B186" s="2032">
        <v>13973</v>
      </c>
      <c r="C186" s="2032" t="s">
        <v>1623</v>
      </c>
      <c r="D186" s="2037" t="s">
        <v>1624</v>
      </c>
      <c r="E186" s="2032" t="s">
        <v>94</v>
      </c>
      <c r="F186" s="1288" t="s">
        <v>1300</v>
      </c>
      <c r="G186" s="1288" t="s">
        <v>1303</v>
      </c>
      <c r="H186" s="2033">
        <f>IFERROR(VLOOKUP($B186,'[3]1001'!$B$6:$G$5927,2,FALSE),0)</f>
        <v>2079026.91</v>
      </c>
      <c r="I186" s="2034">
        <f>IFERROR(VLOOKUP($B186,'[3]1001'!$B$6:$G$5927,4,FALSE),0)</f>
        <v>1</v>
      </c>
      <c r="J186" s="2033">
        <f t="shared" si="12"/>
        <v>2079026.91</v>
      </c>
      <c r="K186" s="2035">
        <f>IFERROR(VLOOKUP($B186,'[3]1002'!$B$6:$G$5921,2,FALSE),0)</f>
        <v>0</v>
      </c>
      <c r="L186" s="2036">
        <f>IFERROR(VLOOKUP($B186,'[3]1002'!$B$6:$G$5921,4,FALSE),0)</f>
        <v>0</v>
      </c>
      <c r="M186" s="1763">
        <f t="shared" si="13"/>
        <v>0</v>
      </c>
      <c r="N186" s="2033">
        <f>IFERROR(VLOOKUP($B186,'[3]1003'!$B$6:$G$5921,2,FALSE),0)</f>
        <v>0</v>
      </c>
      <c r="O186" s="2034">
        <f>IFERROR(VLOOKUP($B186,'[3]1003'!$B$6:$G$5921,4,FALSE),0)</f>
        <v>0</v>
      </c>
      <c r="P186" s="2033">
        <f t="shared" si="14"/>
        <v>0</v>
      </c>
      <c r="Q186" s="1763">
        <f>IFERROR(VLOOKUP($B186,'[3]1004'!$B$6:$G$5921,2,FALSE),0)</f>
        <v>0</v>
      </c>
      <c r="R186" s="2036">
        <f>IFERROR(VLOOKUP($B186,'[3]1004'!$B$6:$G$5921,4,FALSE),0)</f>
        <v>0</v>
      </c>
      <c r="S186" s="1763">
        <f t="shared" si="15"/>
        <v>0</v>
      </c>
      <c r="T186" s="2033">
        <f>IFERROR(VLOOKUP($B186,'[3]1006'!$B$6:$G$5921,2,FALSE),0)</f>
        <v>3180219.4</v>
      </c>
      <c r="U186" s="2034">
        <f>IFERROR(VLOOKUP($B186,'[3]1006'!$B$6:$G$5921,4,FALSE),0)</f>
        <v>2</v>
      </c>
      <c r="V186" s="2033">
        <f t="shared" si="16"/>
        <v>1590109.7</v>
      </c>
      <c r="W186" s="2033">
        <f t="shared" si="17"/>
        <v>3</v>
      </c>
    </row>
    <row r="187" spans="2:23" x14ac:dyDescent="0.15">
      <c r="B187" s="2032">
        <v>13974</v>
      </c>
      <c r="C187" s="2032" t="s">
        <v>1625</v>
      </c>
      <c r="D187" s="2037" t="s">
        <v>1626</v>
      </c>
      <c r="E187" s="2032" t="s">
        <v>94</v>
      </c>
      <c r="F187" s="1288" t="s">
        <v>1300</v>
      </c>
      <c r="G187" s="1288" t="s">
        <v>1303</v>
      </c>
      <c r="H187" s="2033">
        <f>IFERROR(VLOOKUP($B187,'[3]1001'!$B$6:$G$5927,2,FALSE),0)</f>
        <v>0</v>
      </c>
      <c r="I187" s="2034">
        <f>IFERROR(VLOOKUP($B187,'[3]1001'!$B$6:$G$5927,4,FALSE),0)</f>
        <v>0</v>
      </c>
      <c r="J187" s="2033">
        <f t="shared" si="12"/>
        <v>0</v>
      </c>
      <c r="K187" s="2035">
        <f>IFERROR(VLOOKUP($B187,'[3]1002'!$B$6:$G$5921,2,FALSE),0)</f>
        <v>0</v>
      </c>
      <c r="L187" s="2036">
        <f>IFERROR(VLOOKUP($B187,'[3]1002'!$B$6:$G$5921,4,FALSE),0)</f>
        <v>0</v>
      </c>
      <c r="M187" s="1763">
        <f t="shared" si="13"/>
        <v>0</v>
      </c>
      <c r="N187" s="2033">
        <f>IFERROR(VLOOKUP($B187,'[3]1003'!$B$6:$G$5921,2,FALSE),0)</f>
        <v>0</v>
      </c>
      <c r="O187" s="2034">
        <f>IFERROR(VLOOKUP($B187,'[3]1003'!$B$6:$G$5921,4,FALSE),0)</f>
        <v>0</v>
      </c>
      <c r="P187" s="2033">
        <f t="shared" si="14"/>
        <v>0</v>
      </c>
      <c r="Q187" s="1763">
        <f>IFERROR(VLOOKUP($B187,'[3]1004'!$B$6:$G$5921,2,FALSE),0)</f>
        <v>128867.52</v>
      </c>
      <c r="R187" s="2036">
        <f>IFERROR(VLOOKUP($B187,'[3]1004'!$B$6:$G$5921,4,FALSE),0)</f>
        <v>1</v>
      </c>
      <c r="S187" s="1763">
        <f t="shared" si="15"/>
        <v>128867.52</v>
      </c>
      <c r="T187" s="2033">
        <f>IFERROR(VLOOKUP($B187,'[3]1006'!$B$6:$G$5921,2,FALSE),0)</f>
        <v>0</v>
      </c>
      <c r="U187" s="2034">
        <f>IFERROR(VLOOKUP($B187,'[3]1006'!$B$6:$G$5921,4,FALSE),0)</f>
        <v>0</v>
      </c>
      <c r="V187" s="2033">
        <f t="shared" si="16"/>
        <v>0</v>
      </c>
      <c r="W187" s="2033">
        <f t="shared" si="17"/>
        <v>1</v>
      </c>
    </row>
    <row r="188" spans="2:23" x14ac:dyDescent="0.15">
      <c r="B188" s="2032">
        <v>13975</v>
      </c>
      <c r="C188" s="2032" t="s">
        <v>1611</v>
      </c>
      <c r="D188" s="2037" t="s">
        <v>1627</v>
      </c>
      <c r="E188" s="2032" t="s">
        <v>94</v>
      </c>
      <c r="F188" s="1288" t="s">
        <v>1300</v>
      </c>
      <c r="G188" s="1288" t="s">
        <v>1303</v>
      </c>
      <c r="H188" s="2033">
        <f>IFERROR(VLOOKUP($B188,'[3]1001'!$B$6:$G$5927,2,FALSE),0)</f>
        <v>0</v>
      </c>
      <c r="I188" s="2034">
        <f>IFERROR(VLOOKUP($B188,'[3]1001'!$B$6:$G$5927,4,FALSE),0)</f>
        <v>0</v>
      </c>
      <c r="J188" s="2033">
        <f t="shared" si="12"/>
        <v>0</v>
      </c>
      <c r="K188" s="2035">
        <f>IFERROR(VLOOKUP($B188,'[3]1002'!$B$6:$G$5921,2,FALSE),0)</f>
        <v>1501068.31</v>
      </c>
      <c r="L188" s="2036">
        <f>IFERROR(VLOOKUP($B188,'[3]1002'!$B$6:$G$5921,4,FALSE),0)</f>
        <v>1</v>
      </c>
      <c r="M188" s="1763">
        <f t="shared" si="13"/>
        <v>1501068.31</v>
      </c>
      <c r="N188" s="2033">
        <f>IFERROR(VLOOKUP($B188,'[3]1003'!$B$6:$G$5921,2,FALSE),0)</f>
        <v>0</v>
      </c>
      <c r="O188" s="2034">
        <f>IFERROR(VLOOKUP($B188,'[3]1003'!$B$6:$G$5921,4,FALSE),0)</f>
        <v>0</v>
      </c>
      <c r="P188" s="2033">
        <f t="shared" si="14"/>
        <v>0</v>
      </c>
      <c r="Q188" s="1763">
        <f>IFERROR(VLOOKUP($B188,'[3]1004'!$B$6:$G$5921,2,FALSE),0)</f>
        <v>0</v>
      </c>
      <c r="R188" s="2036">
        <f>IFERROR(VLOOKUP($B188,'[3]1004'!$B$6:$G$5921,4,FALSE),0)</f>
        <v>0</v>
      </c>
      <c r="S188" s="1763">
        <f t="shared" si="15"/>
        <v>0</v>
      </c>
      <c r="T188" s="2033">
        <f>IFERROR(VLOOKUP($B188,'[3]1006'!$B$6:$G$5921,2,FALSE),0)</f>
        <v>0</v>
      </c>
      <c r="U188" s="2034">
        <f>IFERROR(VLOOKUP($B188,'[3]1006'!$B$6:$G$5921,4,FALSE),0)</f>
        <v>0</v>
      </c>
      <c r="V188" s="2033">
        <f t="shared" si="16"/>
        <v>0</v>
      </c>
      <c r="W188" s="2033">
        <f t="shared" si="17"/>
        <v>1</v>
      </c>
    </row>
    <row r="189" spans="2:23" x14ac:dyDescent="0.15">
      <c r="B189" s="2032">
        <v>14049</v>
      </c>
      <c r="C189" s="2032" t="s">
        <v>1628</v>
      </c>
      <c r="D189" s="2037" t="s">
        <v>1629</v>
      </c>
      <c r="E189" s="2032" t="s">
        <v>94</v>
      </c>
      <c r="F189" s="1288" t="s">
        <v>1630</v>
      </c>
      <c r="G189" s="1288" t="s">
        <v>1303</v>
      </c>
      <c r="H189" s="2033">
        <f>IFERROR(VLOOKUP($B189,'[3]1001'!$B$6:$G$5927,2,FALSE),0)</f>
        <v>0</v>
      </c>
      <c r="I189" s="2034">
        <f>IFERROR(VLOOKUP($B189,'[3]1001'!$B$6:$G$5927,4,FALSE),0)</f>
        <v>0</v>
      </c>
      <c r="J189" s="2033">
        <f t="shared" si="12"/>
        <v>0</v>
      </c>
      <c r="K189" s="2035">
        <f>IFERROR(VLOOKUP($B189,'[3]1002'!$B$6:$G$5921,2,FALSE),0)</f>
        <v>0</v>
      </c>
      <c r="L189" s="2036">
        <f>IFERROR(VLOOKUP($B189,'[3]1002'!$B$6:$G$5921,4,FALSE),0)</f>
        <v>0</v>
      </c>
      <c r="M189" s="1763">
        <f t="shared" si="13"/>
        <v>0</v>
      </c>
      <c r="N189" s="2033">
        <f>IFERROR(VLOOKUP($B189,'[3]1003'!$B$6:$G$5921,2,FALSE),0)</f>
        <v>6336704.7400000002</v>
      </c>
      <c r="O189" s="2034">
        <f>IFERROR(VLOOKUP($B189,'[3]1003'!$B$6:$G$5921,4,FALSE),0)</f>
        <v>3</v>
      </c>
      <c r="P189" s="2033">
        <f t="shared" si="14"/>
        <v>2112234.9133333336</v>
      </c>
      <c r="Q189" s="1763">
        <f>IFERROR(VLOOKUP($B189,'[3]1004'!$B$6:$G$5921,2,FALSE),0)</f>
        <v>8448939.6500000004</v>
      </c>
      <c r="R189" s="2036">
        <f>IFERROR(VLOOKUP($B189,'[3]1004'!$B$6:$G$5921,4,FALSE),0)</f>
        <v>4</v>
      </c>
      <c r="S189" s="1763">
        <f t="shared" si="15"/>
        <v>2112234.9125000001</v>
      </c>
      <c r="T189" s="2033">
        <f>IFERROR(VLOOKUP($B189,'[3]1006'!$B$6:$G$5921,2,FALSE),0)</f>
        <v>0</v>
      </c>
      <c r="U189" s="2034">
        <f>IFERROR(VLOOKUP($B189,'[3]1006'!$B$6:$G$5921,4,FALSE),0)</f>
        <v>0</v>
      </c>
      <c r="V189" s="2033">
        <f t="shared" si="16"/>
        <v>0</v>
      </c>
      <c r="W189" s="2033">
        <f t="shared" si="17"/>
        <v>7</v>
      </c>
    </row>
    <row r="190" spans="2:23" x14ac:dyDescent="0.15">
      <c r="B190" s="2032">
        <v>14051</v>
      </c>
      <c r="C190" s="2032" t="s">
        <v>1631</v>
      </c>
      <c r="D190" s="2037" t="s">
        <v>1632</v>
      </c>
      <c r="E190" s="2032" t="s">
        <v>94</v>
      </c>
      <c r="F190" s="1288" t="s">
        <v>1300</v>
      </c>
      <c r="G190" s="1288" t="s">
        <v>1303</v>
      </c>
      <c r="H190" s="2033">
        <f>IFERROR(VLOOKUP($B190,'[3]1001'!$B$6:$G$5927,2,FALSE),0)</f>
        <v>0</v>
      </c>
      <c r="I190" s="2034">
        <f>IFERROR(VLOOKUP($B190,'[3]1001'!$B$6:$G$5927,4,FALSE),0)</f>
        <v>0</v>
      </c>
      <c r="J190" s="2033">
        <f t="shared" si="12"/>
        <v>0</v>
      </c>
      <c r="K190" s="2035">
        <f>IFERROR(VLOOKUP($B190,'[3]1002'!$B$6:$G$5921,2,FALSE),0)</f>
        <v>0</v>
      </c>
      <c r="L190" s="2036">
        <f>IFERROR(VLOOKUP($B190,'[3]1002'!$B$6:$G$5921,4,FALSE),0)</f>
        <v>0</v>
      </c>
      <c r="M190" s="1763">
        <f t="shared" si="13"/>
        <v>0</v>
      </c>
      <c r="N190" s="2033">
        <f>IFERROR(VLOOKUP($B190,'[3]1003'!$B$6:$G$5921,2,FALSE),0)</f>
        <v>0</v>
      </c>
      <c r="O190" s="2034">
        <f>IFERROR(VLOOKUP($B190,'[3]1003'!$B$6:$G$5921,4,FALSE),0)</f>
        <v>0</v>
      </c>
      <c r="P190" s="2033">
        <f t="shared" si="14"/>
        <v>0</v>
      </c>
      <c r="Q190" s="1763">
        <f>IFERROR(VLOOKUP($B190,'[3]1004'!$B$6:$G$5921,2,FALSE),0)</f>
        <v>0</v>
      </c>
      <c r="R190" s="2036">
        <f>IFERROR(VLOOKUP($B190,'[3]1004'!$B$6:$G$5921,4,FALSE),0)</f>
        <v>0</v>
      </c>
      <c r="S190" s="1763">
        <f t="shared" si="15"/>
        <v>0</v>
      </c>
      <c r="T190" s="2033">
        <f>IFERROR(VLOOKUP($B190,'[3]1006'!$B$6:$G$5921,2,FALSE),0)</f>
        <v>0</v>
      </c>
      <c r="U190" s="2034">
        <f>IFERROR(VLOOKUP($B190,'[3]1006'!$B$6:$G$5921,4,FALSE),0)</f>
        <v>0</v>
      </c>
      <c r="V190" s="2033">
        <f t="shared" si="16"/>
        <v>0</v>
      </c>
      <c r="W190" s="2033">
        <f t="shared" si="17"/>
        <v>0</v>
      </c>
    </row>
    <row r="191" spans="2:23" x14ac:dyDescent="0.15">
      <c r="B191" s="2032">
        <v>14052</v>
      </c>
      <c r="C191" s="2032" t="s">
        <v>1633</v>
      </c>
      <c r="D191" s="2037" t="s">
        <v>1634</v>
      </c>
      <c r="E191" s="2032" t="s">
        <v>94</v>
      </c>
      <c r="F191" s="1288" t="s">
        <v>1300</v>
      </c>
      <c r="G191" s="1288" t="s">
        <v>1303</v>
      </c>
      <c r="H191" s="2033">
        <f>IFERROR(VLOOKUP($B191,'[3]1001'!$B$6:$G$5927,2,FALSE),0)</f>
        <v>211888.74</v>
      </c>
      <c r="I191" s="2034">
        <f>IFERROR(VLOOKUP($B191,'[3]1001'!$B$6:$G$5927,4,FALSE),0)</f>
        <v>1</v>
      </c>
      <c r="J191" s="2033">
        <f t="shared" si="12"/>
        <v>211888.74</v>
      </c>
      <c r="K191" s="2035">
        <f>IFERROR(VLOOKUP($B191,'[3]1002'!$B$6:$G$5921,2,FALSE),0)</f>
        <v>0</v>
      </c>
      <c r="L191" s="2036">
        <f>IFERROR(VLOOKUP($B191,'[3]1002'!$B$6:$G$5921,4,FALSE),0)</f>
        <v>0</v>
      </c>
      <c r="M191" s="1763">
        <f t="shared" si="13"/>
        <v>0</v>
      </c>
      <c r="N191" s="2033">
        <f>IFERROR(VLOOKUP($B191,'[3]1003'!$B$6:$G$5921,2,FALSE),0)</f>
        <v>211888.74</v>
      </c>
      <c r="O191" s="2034">
        <f>IFERROR(VLOOKUP($B191,'[3]1003'!$B$6:$G$5921,4,FALSE),0)</f>
        <v>1</v>
      </c>
      <c r="P191" s="2033">
        <f t="shared" si="14"/>
        <v>211888.74</v>
      </c>
      <c r="Q191" s="1763">
        <f>IFERROR(VLOOKUP($B191,'[3]1004'!$B$6:$G$5921,2,FALSE),0)</f>
        <v>211888.74</v>
      </c>
      <c r="R191" s="2036">
        <f>IFERROR(VLOOKUP($B191,'[3]1004'!$B$6:$G$5921,4,FALSE),0)</f>
        <v>1</v>
      </c>
      <c r="S191" s="1763">
        <f t="shared" si="15"/>
        <v>211888.74</v>
      </c>
      <c r="T191" s="2033">
        <f>IFERROR(VLOOKUP($B191,'[3]1006'!$B$6:$G$5921,2,FALSE),0)</f>
        <v>0</v>
      </c>
      <c r="U191" s="2034">
        <f>IFERROR(VLOOKUP($B191,'[3]1006'!$B$6:$G$5921,4,FALSE),0)</f>
        <v>0</v>
      </c>
      <c r="V191" s="2033">
        <f t="shared" si="16"/>
        <v>0</v>
      </c>
      <c r="W191" s="2033">
        <f t="shared" si="17"/>
        <v>3</v>
      </c>
    </row>
    <row r="192" spans="2:23" x14ac:dyDescent="0.15">
      <c r="B192" s="2032">
        <v>14193</v>
      </c>
      <c r="C192" s="2032" t="s">
        <v>1635</v>
      </c>
      <c r="D192" s="2037" t="s">
        <v>1636</v>
      </c>
      <c r="E192" s="2032" t="s">
        <v>94</v>
      </c>
      <c r="F192" s="1288" t="s">
        <v>1300</v>
      </c>
      <c r="G192" s="1288" t="s">
        <v>1296</v>
      </c>
      <c r="H192" s="2033">
        <f>IFERROR(VLOOKUP($B192,'[3]1001'!$B$6:$G$5927,2,FALSE),0)</f>
        <v>0</v>
      </c>
      <c r="I192" s="2034">
        <f>IFERROR(VLOOKUP($B192,'[3]1001'!$B$6:$G$5927,4,FALSE),0)</f>
        <v>0</v>
      </c>
      <c r="J192" s="2033">
        <f t="shared" si="12"/>
        <v>0</v>
      </c>
      <c r="K192" s="2035">
        <f>IFERROR(VLOOKUP($B192,'[3]1002'!$B$6:$G$5921,2,FALSE),0)</f>
        <v>0</v>
      </c>
      <c r="L192" s="2036">
        <f>IFERROR(VLOOKUP($B192,'[3]1002'!$B$6:$G$5921,4,FALSE),0)</f>
        <v>0</v>
      </c>
      <c r="M192" s="1763">
        <f t="shared" si="13"/>
        <v>0</v>
      </c>
      <c r="N192" s="2033">
        <f>IFERROR(VLOOKUP($B192,'[3]1003'!$B$6:$G$5921,2,FALSE),0)</f>
        <v>19723.2</v>
      </c>
      <c r="O192" s="2034">
        <f>IFERROR(VLOOKUP($B192,'[3]1003'!$B$6:$G$5921,4,FALSE),0)</f>
        <v>12</v>
      </c>
      <c r="P192" s="2033">
        <f t="shared" si="14"/>
        <v>1643.6000000000001</v>
      </c>
      <c r="Q192" s="1763">
        <f>IFERROR(VLOOKUP($B192,'[3]1004'!$B$6:$G$5921,2,FALSE),0)</f>
        <v>0</v>
      </c>
      <c r="R192" s="2036">
        <f>IFERROR(VLOOKUP($B192,'[3]1004'!$B$6:$G$5921,4,FALSE),0)</f>
        <v>0</v>
      </c>
      <c r="S192" s="1763">
        <f t="shared" si="15"/>
        <v>0</v>
      </c>
      <c r="T192" s="2033">
        <f>IFERROR(VLOOKUP($B192,'[3]1006'!$B$6:$G$5921,2,FALSE),0)</f>
        <v>0</v>
      </c>
      <c r="U192" s="2034">
        <f>IFERROR(VLOOKUP($B192,'[3]1006'!$B$6:$G$5921,4,FALSE),0)</f>
        <v>0</v>
      </c>
      <c r="V192" s="2033">
        <f t="shared" si="16"/>
        <v>0</v>
      </c>
      <c r="W192" s="2033">
        <f t="shared" si="17"/>
        <v>12</v>
      </c>
    </row>
    <row r="193" spans="2:23" x14ac:dyDescent="0.15">
      <c r="B193" s="2032">
        <v>14195</v>
      </c>
      <c r="C193" s="2032" t="s">
        <v>1637</v>
      </c>
      <c r="D193" s="2037" t="s">
        <v>1638</v>
      </c>
      <c r="E193" s="2032" t="s">
        <v>94</v>
      </c>
      <c r="F193" s="1288" t="s">
        <v>1300</v>
      </c>
      <c r="G193" s="1288" t="s">
        <v>1296</v>
      </c>
      <c r="H193" s="2033">
        <f>IFERROR(VLOOKUP($B193,'[3]1001'!$B$6:$G$5927,2,FALSE),0)</f>
        <v>0</v>
      </c>
      <c r="I193" s="2034">
        <f>IFERROR(VLOOKUP($B193,'[3]1001'!$B$6:$G$5927,4,FALSE),0)</f>
        <v>0</v>
      </c>
      <c r="J193" s="2033">
        <f t="shared" si="12"/>
        <v>0</v>
      </c>
      <c r="K193" s="2035">
        <f>IFERROR(VLOOKUP($B193,'[3]1002'!$B$6:$G$5921,2,FALSE),0)</f>
        <v>0</v>
      </c>
      <c r="L193" s="2036">
        <f>IFERROR(VLOOKUP($B193,'[3]1002'!$B$6:$G$5921,4,FALSE),0)</f>
        <v>0</v>
      </c>
      <c r="M193" s="1763">
        <f t="shared" si="13"/>
        <v>0</v>
      </c>
      <c r="N193" s="2033">
        <f>IFERROR(VLOOKUP($B193,'[3]1003'!$B$6:$G$5921,2,FALSE),0)</f>
        <v>50419.68</v>
      </c>
      <c r="O193" s="2034">
        <f>IFERROR(VLOOKUP($B193,'[3]1003'!$B$6:$G$5921,4,FALSE),0)</f>
        <v>6</v>
      </c>
      <c r="P193" s="2033">
        <f t="shared" si="14"/>
        <v>8403.2800000000007</v>
      </c>
      <c r="Q193" s="1763">
        <f>IFERROR(VLOOKUP($B193,'[3]1004'!$B$6:$G$5921,2,FALSE),0)</f>
        <v>0</v>
      </c>
      <c r="R193" s="2036">
        <f>IFERROR(VLOOKUP($B193,'[3]1004'!$B$6:$G$5921,4,FALSE),0)</f>
        <v>0</v>
      </c>
      <c r="S193" s="1763">
        <f t="shared" si="15"/>
        <v>0</v>
      </c>
      <c r="T193" s="2033">
        <f>IFERROR(VLOOKUP($B193,'[3]1006'!$B$6:$G$5921,2,FALSE),0)</f>
        <v>0</v>
      </c>
      <c r="U193" s="2034">
        <f>IFERROR(VLOOKUP($B193,'[3]1006'!$B$6:$G$5921,4,FALSE),0)</f>
        <v>0</v>
      </c>
      <c r="V193" s="2033">
        <f t="shared" si="16"/>
        <v>0</v>
      </c>
      <c r="W193" s="2033">
        <f t="shared" si="17"/>
        <v>6</v>
      </c>
    </row>
    <row r="194" spans="2:23" x14ac:dyDescent="0.15">
      <c r="B194" s="2032">
        <v>14326</v>
      </c>
      <c r="C194" s="2032" t="s">
        <v>1639</v>
      </c>
      <c r="D194" s="2038" t="s">
        <v>1640</v>
      </c>
      <c r="E194" s="2032" t="s">
        <v>94</v>
      </c>
      <c r="F194" s="1288" t="s">
        <v>1325</v>
      </c>
      <c r="G194" s="1288" t="s">
        <v>1296</v>
      </c>
      <c r="H194" s="2033">
        <f>IFERROR(VLOOKUP($B194,'[3]1001'!$B$6:$G$5927,2,FALSE),0)</f>
        <v>0</v>
      </c>
      <c r="I194" s="2034">
        <f>IFERROR(VLOOKUP($B194,'[3]1001'!$B$6:$G$5927,4,FALSE),0)</f>
        <v>0</v>
      </c>
      <c r="J194" s="2033">
        <f t="shared" si="12"/>
        <v>0</v>
      </c>
      <c r="K194" s="2035">
        <f>IFERROR(VLOOKUP($B194,'[3]1002'!$B$6:$G$5921,2,FALSE),0)</f>
        <v>123595.56</v>
      </c>
      <c r="L194" s="2036">
        <f>IFERROR(VLOOKUP($B194,'[3]1002'!$B$6:$G$5921,4,FALSE),0)</f>
        <v>1</v>
      </c>
      <c r="M194" s="1763">
        <f t="shared" si="13"/>
        <v>123595.56</v>
      </c>
      <c r="N194" s="2033">
        <f>IFERROR(VLOOKUP($B194,'[3]1003'!$B$6:$G$5921,2,FALSE),0)</f>
        <v>123595.56</v>
      </c>
      <c r="O194" s="2034">
        <f>IFERROR(VLOOKUP($B194,'[3]1003'!$B$6:$G$5921,4,FALSE),0)</f>
        <v>1</v>
      </c>
      <c r="P194" s="2033">
        <f t="shared" si="14"/>
        <v>123595.56</v>
      </c>
      <c r="Q194" s="1763">
        <f>IFERROR(VLOOKUP($B194,'[3]1004'!$B$6:$G$5921,2,FALSE),0)</f>
        <v>0</v>
      </c>
      <c r="R194" s="2036">
        <f>IFERROR(VLOOKUP($B194,'[3]1004'!$B$6:$G$5921,4,FALSE),0)</f>
        <v>0</v>
      </c>
      <c r="S194" s="1763">
        <f t="shared" si="15"/>
        <v>0</v>
      </c>
      <c r="T194" s="2033">
        <f>IFERROR(VLOOKUP($B194,'[3]1006'!$B$6:$G$5921,2,FALSE),0)</f>
        <v>0</v>
      </c>
      <c r="U194" s="2034">
        <f>IFERROR(VLOOKUP($B194,'[3]1006'!$B$6:$G$5921,4,FALSE),0)</f>
        <v>0</v>
      </c>
      <c r="V194" s="2033">
        <f t="shared" si="16"/>
        <v>0</v>
      </c>
      <c r="W194" s="2033">
        <f t="shared" si="17"/>
        <v>2</v>
      </c>
    </row>
    <row r="195" spans="2:23" x14ac:dyDescent="0.15">
      <c r="B195" s="2032">
        <v>14327</v>
      </c>
      <c r="C195" s="2032" t="s">
        <v>1641</v>
      </c>
      <c r="D195" s="2037" t="s">
        <v>1642</v>
      </c>
      <c r="E195" s="2032" t="s">
        <v>94</v>
      </c>
      <c r="F195" s="1288" t="s">
        <v>1300</v>
      </c>
      <c r="G195" s="1288" t="s">
        <v>1303</v>
      </c>
      <c r="H195" s="2033">
        <f>IFERROR(VLOOKUP($B195,'[3]1001'!$B$6:$G$5927,2,FALSE),0)</f>
        <v>0</v>
      </c>
      <c r="I195" s="2034">
        <f>IFERROR(VLOOKUP($B195,'[3]1001'!$B$6:$G$5927,4,FALSE),0)</f>
        <v>0</v>
      </c>
      <c r="J195" s="2033">
        <f t="shared" si="12"/>
        <v>0</v>
      </c>
      <c r="K195" s="2035">
        <f>IFERROR(VLOOKUP($B195,'[3]1002'!$B$6:$G$5921,2,FALSE),0)</f>
        <v>0</v>
      </c>
      <c r="L195" s="2036">
        <f>IFERROR(VLOOKUP($B195,'[3]1002'!$B$6:$G$5921,4,FALSE),0)</f>
        <v>0</v>
      </c>
      <c r="M195" s="1763">
        <f t="shared" si="13"/>
        <v>0</v>
      </c>
      <c r="N195" s="2033">
        <f>IFERROR(VLOOKUP($B195,'[3]1003'!$B$6:$G$5921,2,FALSE),0)</f>
        <v>72775.59</v>
      </c>
      <c r="O195" s="2034">
        <f>IFERROR(VLOOKUP($B195,'[3]1003'!$B$6:$G$5921,4,FALSE),0)</f>
        <v>2</v>
      </c>
      <c r="P195" s="2033">
        <f t="shared" si="14"/>
        <v>36387.794999999998</v>
      </c>
      <c r="Q195" s="1763">
        <f>IFERROR(VLOOKUP($B195,'[3]1004'!$B$6:$G$5921,2,FALSE),0)</f>
        <v>115807.11</v>
      </c>
      <c r="R195" s="2036">
        <f>IFERROR(VLOOKUP($B195,'[3]1004'!$B$6:$G$5921,4,FALSE),0)</f>
        <v>3</v>
      </c>
      <c r="S195" s="1763">
        <f t="shared" si="15"/>
        <v>38602.370000000003</v>
      </c>
      <c r="T195" s="2033">
        <f>IFERROR(VLOOKUP($B195,'[3]1006'!$B$6:$G$5921,2,FALSE),0)</f>
        <v>0</v>
      </c>
      <c r="U195" s="2034">
        <f>IFERROR(VLOOKUP($B195,'[3]1006'!$B$6:$G$5921,4,FALSE),0)</f>
        <v>0</v>
      </c>
      <c r="V195" s="2033">
        <f t="shared" si="16"/>
        <v>0</v>
      </c>
      <c r="W195" s="2033">
        <f t="shared" si="17"/>
        <v>5</v>
      </c>
    </row>
    <row r="196" spans="2:23" x14ac:dyDescent="0.15">
      <c r="B196" s="2032">
        <v>14328</v>
      </c>
      <c r="C196" s="2032" t="s">
        <v>1643</v>
      </c>
      <c r="D196" s="2037" t="s">
        <v>1644</v>
      </c>
      <c r="E196" s="2032" t="s">
        <v>94</v>
      </c>
      <c r="F196" s="1288" t="s">
        <v>1300</v>
      </c>
      <c r="G196" s="1288" t="s">
        <v>1303</v>
      </c>
      <c r="H196" s="2033">
        <f>IFERROR(VLOOKUP($B196,'[3]1001'!$B$6:$G$5927,2,FALSE),0)</f>
        <v>0</v>
      </c>
      <c r="I196" s="2034">
        <f>IFERROR(VLOOKUP($B196,'[3]1001'!$B$6:$G$5927,4,FALSE),0)</f>
        <v>0</v>
      </c>
      <c r="J196" s="2033">
        <f t="shared" si="12"/>
        <v>0</v>
      </c>
      <c r="K196" s="2035">
        <f>IFERROR(VLOOKUP($B196,'[3]1002'!$B$6:$G$5921,2,FALSE),0)</f>
        <v>0</v>
      </c>
      <c r="L196" s="2036">
        <f>IFERROR(VLOOKUP($B196,'[3]1002'!$B$6:$G$5921,4,FALSE),0)</f>
        <v>0</v>
      </c>
      <c r="M196" s="1763">
        <f t="shared" si="13"/>
        <v>0</v>
      </c>
      <c r="N196" s="2033">
        <f>IFERROR(VLOOKUP($B196,'[3]1003'!$B$6:$G$5921,2,FALSE),0)</f>
        <v>140058.39000000001</v>
      </c>
      <c r="O196" s="2034">
        <f>IFERROR(VLOOKUP($B196,'[3]1003'!$B$6:$G$5921,4,FALSE),0)</f>
        <v>6</v>
      </c>
      <c r="P196" s="2033">
        <f t="shared" si="14"/>
        <v>23343.065000000002</v>
      </c>
      <c r="Q196" s="1763">
        <f>IFERROR(VLOOKUP($B196,'[3]1004'!$B$6:$G$5921,2,FALSE),0)</f>
        <v>0</v>
      </c>
      <c r="R196" s="2036">
        <f>IFERROR(VLOOKUP($B196,'[3]1004'!$B$6:$G$5921,4,FALSE),0)</f>
        <v>0</v>
      </c>
      <c r="S196" s="1763">
        <f t="shared" si="15"/>
        <v>0</v>
      </c>
      <c r="T196" s="2033">
        <f>IFERROR(VLOOKUP($B196,'[3]1006'!$B$6:$G$5921,2,FALSE),0)</f>
        <v>0</v>
      </c>
      <c r="U196" s="2034">
        <f>IFERROR(VLOOKUP($B196,'[3]1006'!$B$6:$G$5921,4,FALSE),0)</f>
        <v>0</v>
      </c>
      <c r="V196" s="2033">
        <f t="shared" si="16"/>
        <v>0</v>
      </c>
      <c r="W196" s="2033">
        <f t="shared" si="17"/>
        <v>6</v>
      </c>
    </row>
    <row r="197" spans="2:23" x14ac:dyDescent="0.15">
      <c r="B197" s="2032">
        <v>14331</v>
      </c>
      <c r="C197" s="2032" t="s">
        <v>1645</v>
      </c>
      <c r="D197" s="2037" t="s">
        <v>1646</v>
      </c>
      <c r="E197" s="2032" t="s">
        <v>94</v>
      </c>
      <c r="F197" s="1288" t="s">
        <v>1300</v>
      </c>
      <c r="G197" s="1288" t="s">
        <v>1303</v>
      </c>
      <c r="H197" s="2033">
        <f>IFERROR(VLOOKUP($B197,'[3]1001'!$B$6:$G$5927,2,FALSE),0)</f>
        <v>0</v>
      </c>
      <c r="I197" s="2034">
        <f>IFERROR(VLOOKUP($B197,'[3]1001'!$B$6:$G$5927,4,FALSE),0)</f>
        <v>0</v>
      </c>
      <c r="J197" s="2033">
        <f t="shared" si="12"/>
        <v>0</v>
      </c>
      <c r="K197" s="2035">
        <f>IFERROR(VLOOKUP($B197,'[3]1002'!$B$6:$G$5921,2,FALSE),0)</f>
        <v>54077.599999999999</v>
      </c>
      <c r="L197" s="2036">
        <f>IFERROR(VLOOKUP($B197,'[3]1002'!$B$6:$G$5921,4,FALSE),0)</f>
        <v>2</v>
      </c>
      <c r="M197" s="1763">
        <f t="shared" si="13"/>
        <v>27038.799999999999</v>
      </c>
      <c r="N197" s="2033">
        <f>IFERROR(VLOOKUP($B197,'[3]1003'!$B$6:$G$5921,2,FALSE),0)</f>
        <v>0</v>
      </c>
      <c r="O197" s="2034">
        <f>IFERROR(VLOOKUP($B197,'[3]1003'!$B$6:$G$5921,4,FALSE),0)</f>
        <v>0</v>
      </c>
      <c r="P197" s="2033">
        <f t="shared" si="14"/>
        <v>0</v>
      </c>
      <c r="Q197" s="1763">
        <f>IFERROR(VLOOKUP($B197,'[3]1004'!$B$6:$G$5921,2,FALSE),0)</f>
        <v>0</v>
      </c>
      <c r="R197" s="2036">
        <f>IFERROR(VLOOKUP($B197,'[3]1004'!$B$6:$G$5921,4,FALSE),0)</f>
        <v>0</v>
      </c>
      <c r="S197" s="1763">
        <f t="shared" si="15"/>
        <v>0</v>
      </c>
      <c r="T197" s="2033">
        <f>IFERROR(VLOOKUP($B197,'[3]1006'!$B$6:$G$5921,2,FALSE),0)</f>
        <v>24934.2</v>
      </c>
      <c r="U197" s="2034">
        <f>IFERROR(VLOOKUP($B197,'[3]1006'!$B$6:$G$5921,4,FALSE),0)</f>
        <v>1</v>
      </c>
      <c r="V197" s="2033">
        <f t="shared" si="16"/>
        <v>24934.2</v>
      </c>
      <c r="W197" s="2033">
        <f t="shared" si="17"/>
        <v>3</v>
      </c>
    </row>
    <row r="198" spans="2:23" x14ac:dyDescent="0.15">
      <c r="B198" s="2032">
        <v>14333</v>
      </c>
      <c r="C198" s="2032" t="s">
        <v>1647</v>
      </c>
      <c r="D198" s="2037" t="s">
        <v>1648</v>
      </c>
      <c r="E198" s="2032" t="s">
        <v>94</v>
      </c>
      <c r="F198" s="1288" t="s">
        <v>1300</v>
      </c>
      <c r="G198" s="1288" t="s">
        <v>1303</v>
      </c>
      <c r="H198" s="2033">
        <f>IFERROR(VLOOKUP($B198,'[3]1001'!$B$6:$G$5927,2,FALSE),0)</f>
        <v>0</v>
      </c>
      <c r="I198" s="2034">
        <f>IFERROR(VLOOKUP($B198,'[3]1001'!$B$6:$G$5927,4,FALSE),0)</f>
        <v>0</v>
      </c>
      <c r="J198" s="2033">
        <f t="shared" ref="J198:J261" si="18">IF(H198=0,0,H198/I198)</f>
        <v>0</v>
      </c>
      <c r="K198" s="2035">
        <f>IFERROR(VLOOKUP($B198,'[3]1002'!$B$6:$G$5921,2,FALSE),0)</f>
        <v>133293.10999999999</v>
      </c>
      <c r="L198" s="2036">
        <f>IFERROR(VLOOKUP($B198,'[3]1002'!$B$6:$G$5921,4,FALSE),0)</f>
        <v>1</v>
      </c>
      <c r="M198" s="1763">
        <f t="shared" ref="M198:M261" si="19">IF(K198=0,0,K198/L198)</f>
        <v>133293.10999999999</v>
      </c>
      <c r="N198" s="2033">
        <f>IFERROR(VLOOKUP($B198,'[3]1003'!$B$6:$G$5921,2,FALSE),0)</f>
        <v>0</v>
      </c>
      <c r="O198" s="2034">
        <f>IFERROR(VLOOKUP($B198,'[3]1003'!$B$6:$G$5921,4,FALSE),0)</f>
        <v>0</v>
      </c>
      <c r="P198" s="2033">
        <f t="shared" ref="P198:P261" si="20">IF(N198=0,0,N198/O198)</f>
        <v>0</v>
      </c>
      <c r="Q198" s="1763">
        <f>IFERROR(VLOOKUP($B198,'[3]1004'!$B$6:$G$5921,2,FALSE),0)</f>
        <v>0</v>
      </c>
      <c r="R198" s="2036">
        <f>IFERROR(VLOOKUP($B198,'[3]1004'!$B$6:$G$5921,4,FALSE),0)</f>
        <v>0</v>
      </c>
      <c r="S198" s="1763">
        <f t="shared" ref="S198:S261" si="21">IF(Q198=0,0,Q198/R198)</f>
        <v>0</v>
      </c>
      <c r="T198" s="2033">
        <f>IFERROR(VLOOKUP($B198,'[3]1006'!$B$6:$G$5921,2,FALSE),0)</f>
        <v>133293.10999999999</v>
      </c>
      <c r="U198" s="2034">
        <f>IFERROR(VLOOKUP($B198,'[3]1006'!$B$6:$G$5921,4,FALSE),0)</f>
        <v>1</v>
      </c>
      <c r="V198" s="2033">
        <f t="shared" ref="V198:V261" si="22">IF(T198=0,0,T198/U198)</f>
        <v>133293.10999999999</v>
      </c>
      <c r="W198" s="2033">
        <f t="shared" ref="W198:W261" si="23">U198+R198+O198+L198+I198</f>
        <v>2</v>
      </c>
    </row>
    <row r="199" spans="2:23" x14ac:dyDescent="0.15">
      <c r="B199" s="2032">
        <v>14335</v>
      </c>
      <c r="C199" s="2032" t="s">
        <v>1649</v>
      </c>
      <c r="D199" s="2037" t="s">
        <v>1650</v>
      </c>
      <c r="E199" s="2032" t="s">
        <v>94</v>
      </c>
      <c r="F199" s="1288" t="s">
        <v>1300</v>
      </c>
      <c r="G199" s="1288" t="s">
        <v>1303</v>
      </c>
      <c r="H199" s="2033">
        <f>IFERROR(VLOOKUP($B199,'[3]1001'!$B$6:$G$5927,2,FALSE),0)</f>
        <v>0</v>
      </c>
      <c r="I199" s="2034">
        <f>IFERROR(VLOOKUP($B199,'[3]1001'!$B$6:$G$5927,4,FALSE),0)</f>
        <v>0</v>
      </c>
      <c r="J199" s="2033">
        <f t="shared" si="18"/>
        <v>0</v>
      </c>
      <c r="K199" s="2035">
        <f>IFERROR(VLOOKUP($B199,'[3]1002'!$B$6:$G$5921,2,FALSE),0)</f>
        <v>45135.35</v>
      </c>
      <c r="L199" s="2036">
        <f>IFERROR(VLOOKUP($B199,'[3]1002'!$B$6:$G$5921,4,FALSE),0)</f>
        <v>1</v>
      </c>
      <c r="M199" s="1763">
        <f t="shared" si="19"/>
        <v>45135.35</v>
      </c>
      <c r="N199" s="2033">
        <f>IFERROR(VLOOKUP($B199,'[3]1003'!$B$6:$G$5921,2,FALSE),0)</f>
        <v>0</v>
      </c>
      <c r="O199" s="2034">
        <f>IFERROR(VLOOKUP($B199,'[3]1003'!$B$6:$G$5921,4,FALSE),0)</f>
        <v>0</v>
      </c>
      <c r="P199" s="2033">
        <f t="shared" si="20"/>
        <v>0</v>
      </c>
      <c r="Q199" s="1763">
        <f>IFERROR(VLOOKUP($B199,'[3]1004'!$B$6:$G$5921,2,FALSE),0)</f>
        <v>0</v>
      </c>
      <c r="R199" s="2036">
        <f>IFERROR(VLOOKUP($B199,'[3]1004'!$B$6:$G$5921,4,FALSE),0)</f>
        <v>0</v>
      </c>
      <c r="S199" s="1763">
        <f t="shared" si="21"/>
        <v>0</v>
      </c>
      <c r="T199" s="2033">
        <f>IFERROR(VLOOKUP($B199,'[3]1006'!$B$6:$G$5921,2,FALSE),0)</f>
        <v>0</v>
      </c>
      <c r="U199" s="2034">
        <f>IFERROR(VLOOKUP($B199,'[3]1006'!$B$6:$G$5921,4,FALSE),0)</f>
        <v>0</v>
      </c>
      <c r="V199" s="2033">
        <f t="shared" si="22"/>
        <v>0</v>
      </c>
      <c r="W199" s="2033">
        <f t="shared" si="23"/>
        <v>1</v>
      </c>
    </row>
    <row r="200" spans="2:23" x14ac:dyDescent="0.15">
      <c r="B200" s="2032">
        <v>14377</v>
      </c>
      <c r="C200" s="2032" t="s">
        <v>1651</v>
      </c>
      <c r="D200" s="2037" t="s">
        <v>1652</v>
      </c>
      <c r="E200" s="2032" t="s">
        <v>94</v>
      </c>
      <c r="F200" s="1288" t="s">
        <v>1630</v>
      </c>
      <c r="G200" s="1288" t="s">
        <v>1303</v>
      </c>
      <c r="H200" s="2033">
        <f>IFERROR(VLOOKUP($B200,'[3]1001'!$B$6:$G$5927,2,FALSE),0)</f>
        <v>0</v>
      </c>
      <c r="I200" s="2034">
        <f>IFERROR(VLOOKUP($B200,'[3]1001'!$B$6:$G$5927,4,FALSE),0)</f>
        <v>0</v>
      </c>
      <c r="J200" s="2033">
        <f t="shared" si="18"/>
        <v>0</v>
      </c>
      <c r="K200" s="2035">
        <f>IFERROR(VLOOKUP($B200,'[3]1002'!$B$6:$G$5921,2,FALSE),0)</f>
        <v>38644.86</v>
      </c>
      <c r="L200" s="2036">
        <f>IFERROR(VLOOKUP($B200,'[3]1002'!$B$6:$G$5921,4,FALSE),0)</f>
        <v>1</v>
      </c>
      <c r="M200" s="1763">
        <f t="shared" si="19"/>
        <v>38644.86</v>
      </c>
      <c r="N200" s="2033">
        <f>IFERROR(VLOOKUP($B200,'[3]1003'!$B$6:$G$5921,2,FALSE),0)</f>
        <v>178587.97</v>
      </c>
      <c r="O200" s="2034">
        <f>IFERROR(VLOOKUP($B200,'[3]1003'!$B$6:$G$5921,4,FALSE),0)</f>
        <v>3</v>
      </c>
      <c r="P200" s="2033">
        <f t="shared" si="20"/>
        <v>59529.323333333334</v>
      </c>
      <c r="Q200" s="1763">
        <f>IFERROR(VLOOKUP($B200,'[3]1004'!$B$6:$G$5921,2,FALSE),0)</f>
        <v>0</v>
      </c>
      <c r="R200" s="2036">
        <f>IFERROR(VLOOKUP($B200,'[3]1004'!$B$6:$G$5921,4,FALSE),0)</f>
        <v>0</v>
      </c>
      <c r="S200" s="1763">
        <f t="shared" si="21"/>
        <v>0</v>
      </c>
      <c r="T200" s="2033">
        <f>IFERROR(VLOOKUP($B200,'[3]1006'!$B$6:$G$5921,2,FALSE),0)</f>
        <v>0</v>
      </c>
      <c r="U200" s="2034">
        <f>IFERROR(VLOOKUP($B200,'[3]1006'!$B$6:$G$5921,4,FALSE),0)</f>
        <v>0</v>
      </c>
      <c r="V200" s="2033">
        <f t="shared" si="22"/>
        <v>0</v>
      </c>
      <c r="W200" s="2033">
        <f t="shared" si="23"/>
        <v>4</v>
      </c>
    </row>
    <row r="201" spans="2:23" x14ac:dyDescent="0.15">
      <c r="B201" s="2032">
        <v>14378</v>
      </c>
      <c r="C201" s="2032" t="s">
        <v>1653</v>
      </c>
      <c r="D201" s="2037" t="s">
        <v>1654</v>
      </c>
      <c r="E201" s="2032" t="s">
        <v>94</v>
      </c>
      <c r="F201" s="1288" t="s">
        <v>1300</v>
      </c>
      <c r="G201" s="1288" t="s">
        <v>1303</v>
      </c>
      <c r="H201" s="2033">
        <f>IFERROR(VLOOKUP($B201,'[3]1001'!$B$6:$G$5927,2,FALSE),0)</f>
        <v>0</v>
      </c>
      <c r="I201" s="2034">
        <f>IFERROR(VLOOKUP($B201,'[3]1001'!$B$6:$G$5927,4,FALSE),0)</f>
        <v>0</v>
      </c>
      <c r="J201" s="2033">
        <f t="shared" si="18"/>
        <v>0</v>
      </c>
      <c r="K201" s="2035">
        <f>IFERROR(VLOOKUP($B201,'[3]1002'!$B$6:$G$5921,2,FALSE),0)</f>
        <v>0</v>
      </c>
      <c r="L201" s="2036">
        <f>IFERROR(VLOOKUP($B201,'[3]1002'!$B$6:$G$5921,4,FALSE),0)</f>
        <v>0</v>
      </c>
      <c r="M201" s="1763">
        <f t="shared" si="19"/>
        <v>0</v>
      </c>
      <c r="N201" s="2033">
        <f>IFERROR(VLOOKUP($B201,'[3]1003'!$B$6:$G$5921,2,FALSE),0)</f>
        <v>28298.43</v>
      </c>
      <c r="O201" s="2034">
        <f>IFERROR(VLOOKUP($B201,'[3]1003'!$B$6:$G$5921,4,FALSE),0)</f>
        <v>1</v>
      </c>
      <c r="P201" s="2033">
        <f t="shared" si="20"/>
        <v>28298.43</v>
      </c>
      <c r="Q201" s="1763">
        <f>IFERROR(VLOOKUP($B201,'[3]1004'!$B$6:$G$5921,2,FALSE),0)</f>
        <v>0</v>
      </c>
      <c r="R201" s="2036">
        <f>IFERROR(VLOOKUP($B201,'[3]1004'!$B$6:$G$5921,4,FALSE),0)</f>
        <v>0</v>
      </c>
      <c r="S201" s="1763">
        <f t="shared" si="21"/>
        <v>0</v>
      </c>
      <c r="T201" s="2033">
        <f>IFERROR(VLOOKUP($B201,'[3]1006'!$B$6:$G$5921,2,FALSE),0)</f>
        <v>0</v>
      </c>
      <c r="U201" s="2034">
        <f>IFERROR(VLOOKUP($B201,'[3]1006'!$B$6:$G$5921,4,FALSE),0)</f>
        <v>0</v>
      </c>
      <c r="V201" s="2033">
        <f t="shared" si="22"/>
        <v>0</v>
      </c>
      <c r="W201" s="2033">
        <f t="shared" si="23"/>
        <v>1</v>
      </c>
    </row>
    <row r="202" spans="2:23" x14ac:dyDescent="0.15">
      <c r="B202" s="2032">
        <v>62805</v>
      </c>
      <c r="C202" s="2032" t="s">
        <v>1655</v>
      </c>
      <c r="D202" s="2032" t="s">
        <v>1656</v>
      </c>
      <c r="E202" s="2032" t="s">
        <v>94</v>
      </c>
      <c r="F202" s="870" t="s">
        <v>1346</v>
      </c>
      <c r="G202" s="1288" t="s">
        <v>1303</v>
      </c>
      <c r="H202" s="2033">
        <f>IFERROR(VLOOKUP($B202,'[3]1001'!$B$6:$G$5927,2,FALSE),0)</f>
        <v>0</v>
      </c>
      <c r="I202" s="2034">
        <f>IFERROR(VLOOKUP($B202,'[3]1001'!$B$6:$G$5927,4,FALSE),0)</f>
        <v>0</v>
      </c>
      <c r="J202" s="2033">
        <f t="shared" si="18"/>
        <v>0</v>
      </c>
      <c r="K202" s="2035">
        <f>IFERROR(VLOOKUP($B202,'[3]1002'!$B$6:$G$5921,2,FALSE),0)</f>
        <v>0</v>
      </c>
      <c r="L202" s="2036">
        <f>IFERROR(VLOOKUP($B202,'[3]1002'!$B$6:$G$5921,4,FALSE),0)</f>
        <v>0</v>
      </c>
      <c r="M202" s="1763">
        <f t="shared" si="19"/>
        <v>0</v>
      </c>
      <c r="N202" s="2033">
        <f>IFERROR(VLOOKUP($B202,'[3]1003'!$B$6:$G$5921,2,FALSE),0)</f>
        <v>0</v>
      </c>
      <c r="O202" s="2034">
        <f>IFERROR(VLOOKUP($B202,'[3]1003'!$B$6:$G$5921,4,FALSE),0)</f>
        <v>0</v>
      </c>
      <c r="P202" s="2033">
        <f t="shared" si="20"/>
        <v>0</v>
      </c>
      <c r="Q202" s="1763">
        <f>IFERROR(VLOOKUP($B202,'[3]1004'!$B$6:$G$5921,2,FALSE),0)</f>
        <v>0</v>
      </c>
      <c r="R202" s="2036">
        <f>IFERROR(VLOOKUP($B202,'[3]1004'!$B$6:$G$5921,4,FALSE),0)</f>
        <v>0</v>
      </c>
      <c r="S202" s="1763">
        <f t="shared" si="21"/>
        <v>0</v>
      </c>
      <c r="T202" s="2033">
        <f>IFERROR(VLOOKUP($B202,'[3]1006'!$B$6:$G$5921,2,FALSE),0)</f>
        <v>0</v>
      </c>
      <c r="U202" s="2034">
        <f>IFERROR(VLOOKUP($B202,'[3]1006'!$B$6:$G$5921,4,FALSE),0)</f>
        <v>0</v>
      </c>
      <c r="V202" s="2033">
        <f t="shared" si="22"/>
        <v>0</v>
      </c>
      <c r="W202" s="2033">
        <f t="shared" si="23"/>
        <v>0</v>
      </c>
    </row>
    <row r="203" spans="2:23" x14ac:dyDescent="0.15">
      <c r="B203" s="2032">
        <v>14399</v>
      </c>
      <c r="C203" s="2032" t="s">
        <v>1657</v>
      </c>
      <c r="D203" s="2032" t="s">
        <v>1658</v>
      </c>
      <c r="E203" s="2032" t="s">
        <v>94</v>
      </c>
      <c r="F203" s="1288" t="s">
        <v>1300</v>
      </c>
      <c r="G203" s="1288" t="s">
        <v>1303</v>
      </c>
      <c r="H203" s="2033">
        <f>IFERROR(VLOOKUP($B203,'[3]1001'!$B$6:$G$5927,2,FALSE),0)</f>
        <v>0</v>
      </c>
      <c r="I203" s="2034">
        <f>IFERROR(VLOOKUP($B203,'[3]1001'!$B$6:$G$5927,4,FALSE),0)</f>
        <v>0</v>
      </c>
      <c r="J203" s="2033">
        <f t="shared" si="18"/>
        <v>0</v>
      </c>
      <c r="K203" s="2035">
        <f>IFERROR(VLOOKUP($B203,'[3]1002'!$B$6:$G$5921,2,FALSE),0)</f>
        <v>456595.58</v>
      </c>
      <c r="L203" s="2036">
        <f>IFERROR(VLOOKUP($B203,'[3]1002'!$B$6:$G$5921,4,FALSE),0)</f>
        <v>7</v>
      </c>
      <c r="M203" s="1763">
        <f t="shared" si="19"/>
        <v>65227.94</v>
      </c>
      <c r="N203" s="2033">
        <f>IFERROR(VLOOKUP($B203,'[3]1003'!$B$6:$G$5921,2,FALSE),0)</f>
        <v>717507.34</v>
      </c>
      <c r="O203" s="2034">
        <f>IFERROR(VLOOKUP($B203,'[3]1003'!$B$6:$G$5921,4,FALSE),0)</f>
        <v>11</v>
      </c>
      <c r="P203" s="2033">
        <f t="shared" si="20"/>
        <v>65227.939999999995</v>
      </c>
      <c r="Q203" s="1763">
        <f>IFERROR(VLOOKUP($B203,'[3]1004'!$B$6:$G$5921,2,FALSE),0)</f>
        <v>0</v>
      </c>
      <c r="R203" s="2036">
        <f>IFERROR(VLOOKUP($B203,'[3]1004'!$B$6:$G$5921,4,FALSE),0)</f>
        <v>0</v>
      </c>
      <c r="S203" s="1763">
        <f t="shared" si="21"/>
        <v>0</v>
      </c>
      <c r="T203" s="2033">
        <f>IFERROR(VLOOKUP($B203,'[3]1006'!$B$6:$G$5921,2,FALSE),0)</f>
        <v>0</v>
      </c>
      <c r="U203" s="2034">
        <f>IFERROR(VLOOKUP($B203,'[3]1006'!$B$6:$G$5921,4,FALSE),0)</f>
        <v>0</v>
      </c>
      <c r="V203" s="2033">
        <f t="shared" si="22"/>
        <v>0</v>
      </c>
      <c r="W203" s="2033">
        <f t="shared" si="23"/>
        <v>18</v>
      </c>
    </row>
    <row r="204" spans="2:23" x14ac:dyDescent="0.15">
      <c r="B204" s="2032">
        <v>14400</v>
      </c>
      <c r="C204" s="2032" t="s">
        <v>1659</v>
      </c>
      <c r="D204" s="2032" t="s">
        <v>1660</v>
      </c>
      <c r="E204" s="2032" t="s">
        <v>94</v>
      </c>
      <c r="F204" s="1288" t="s">
        <v>1300</v>
      </c>
      <c r="G204" s="1288" t="s">
        <v>1303</v>
      </c>
      <c r="H204" s="2033">
        <f>IFERROR(VLOOKUP($B204,'[3]1001'!$B$6:$G$5927,2,FALSE),0)</f>
        <v>0</v>
      </c>
      <c r="I204" s="2034">
        <f>IFERROR(VLOOKUP($B204,'[3]1001'!$B$6:$G$5927,4,FALSE),0)</f>
        <v>0</v>
      </c>
      <c r="J204" s="2033">
        <f t="shared" si="18"/>
        <v>0</v>
      </c>
      <c r="K204" s="2035">
        <f>IFERROR(VLOOKUP($B204,'[3]1002'!$B$6:$G$5921,2,FALSE),0)</f>
        <v>0</v>
      </c>
      <c r="L204" s="2036">
        <f>IFERROR(VLOOKUP($B204,'[3]1002'!$B$6:$G$5921,4,FALSE),0)</f>
        <v>0</v>
      </c>
      <c r="M204" s="1763">
        <f t="shared" si="19"/>
        <v>0</v>
      </c>
      <c r="N204" s="2033">
        <f>IFERROR(VLOOKUP($B204,'[3]1003'!$B$6:$G$5921,2,FALSE),0)</f>
        <v>0</v>
      </c>
      <c r="O204" s="2034">
        <f>IFERROR(VLOOKUP($B204,'[3]1003'!$B$6:$G$5921,4,FALSE),0)</f>
        <v>0</v>
      </c>
      <c r="P204" s="2033">
        <f t="shared" si="20"/>
        <v>0</v>
      </c>
      <c r="Q204" s="1763">
        <f>IFERROR(VLOOKUP($B204,'[3]1004'!$B$6:$G$5921,2,FALSE),0)</f>
        <v>0</v>
      </c>
      <c r="R204" s="2036">
        <f>IFERROR(VLOOKUP($B204,'[3]1004'!$B$6:$G$5921,4,FALSE),0)</f>
        <v>0</v>
      </c>
      <c r="S204" s="1763">
        <f t="shared" si="21"/>
        <v>0</v>
      </c>
      <c r="T204" s="2033">
        <f>IFERROR(VLOOKUP($B204,'[3]1006'!$B$6:$G$5921,2,FALSE),0)</f>
        <v>0</v>
      </c>
      <c r="U204" s="2034">
        <f>IFERROR(VLOOKUP($B204,'[3]1006'!$B$6:$G$5921,4,FALSE),0)</f>
        <v>0</v>
      </c>
      <c r="V204" s="2033">
        <f t="shared" si="22"/>
        <v>0</v>
      </c>
      <c r="W204" s="2033">
        <f t="shared" si="23"/>
        <v>0</v>
      </c>
    </row>
    <row r="205" spans="2:23" x14ac:dyDescent="0.15">
      <c r="B205" s="1288">
        <v>14401</v>
      </c>
      <c r="C205" s="1288" t="s">
        <v>1661</v>
      </c>
      <c r="D205" s="1288" t="s">
        <v>1662</v>
      </c>
      <c r="E205" s="1288" t="s">
        <v>94</v>
      </c>
      <c r="F205" s="1288" t="s">
        <v>1300</v>
      </c>
      <c r="G205" s="1288" t="s">
        <v>1303</v>
      </c>
      <c r="H205" s="2033">
        <f>IFERROR(VLOOKUP($B205,'[3]1001'!$B$6:$G$5927,2,FALSE),0)</f>
        <v>0</v>
      </c>
      <c r="I205" s="2034">
        <f>IFERROR(VLOOKUP($B205,'[3]1001'!$B$6:$G$5927,4,FALSE),0)</f>
        <v>0</v>
      </c>
      <c r="J205" s="2033">
        <f t="shared" si="18"/>
        <v>0</v>
      </c>
      <c r="K205" s="2035">
        <f>IFERROR(VLOOKUP($B205,'[3]1002'!$B$6:$G$5921,2,FALSE),0)</f>
        <v>46685.67</v>
      </c>
      <c r="L205" s="2036">
        <f>IFERROR(VLOOKUP($B205,'[3]1002'!$B$6:$G$5921,4,FALSE),0)</f>
        <v>1</v>
      </c>
      <c r="M205" s="1763">
        <f t="shared" si="19"/>
        <v>46685.67</v>
      </c>
      <c r="N205" s="2033">
        <f>IFERROR(VLOOKUP($B205,'[3]1003'!$B$6:$G$5921,2,FALSE),0)</f>
        <v>3856596.1</v>
      </c>
      <c r="O205" s="2034">
        <f>IFERROR(VLOOKUP($B205,'[3]1003'!$B$6:$G$5921,4,FALSE),0)</f>
        <v>35</v>
      </c>
      <c r="P205" s="2033">
        <f t="shared" si="20"/>
        <v>110188.46</v>
      </c>
      <c r="Q205" s="1763">
        <f>IFERROR(VLOOKUP($B205,'[3]1004'!$B$6:$G$5921,2,FALSE),0)</f>
        <v>0</v>
      </c>
      <c r="R205" s="2036">
        <f>IFERROR(VLOOKUP($B205,'[3]1004'!$B$6:$G$5921,4,FALSE),0)</f>
        <v>0</v>
      </c>
      <c r="S205" s="1763">
        <f t="shared" si="21"/>
        <v>0</v>
      </c>
      <c r="T205" s="2033">
        <f>IFERROR(VLOOKUP($B205,'[3]1006'!$B$6:$G$5921,2,FALSE),0)</f>
        <v>0</v>
      </c>
      <c r="U205" s="2034">
        <f>IFERROR(VLOOKUP($B205,'[3]1006'!$B$6:$G$5921,4,FALSE),0)</f>
        <v>0</v>
      </c>
      <c r="V205" s="2033">
        <f t="shared" si="22"/>
        <v>0</v>
      </c>
      <c r="W205" s="2033">
        <f t="shared" si="23"/>
        <v>36</v>
      </c>
    </row>
    <row r="206" spans="2:23" x14ac:dyDescent="0.15">
      <c r="B206" s="2032">
        <v>14406</v>
      </c>
      <c r="C206" s="2032" t="s">
        <v>1663</v>
      </c>
      <c r="D206" s="2032" t="s">
        <v>1664</v>
      </c>
      <c r="E206" s="2032" t="s">
        <v>94</v>
      </c>
      <c r="F206" s="1288" t="s">
        <v>1300</v>
      </c>
      <c r="G206" s="1288" t="s">
        <v>1296</v>
      </c>
      <c r="H206" s="2033">
        <f>IFERROR(VLOOKUP($B206,'[3]1001'!$B$6:$G$5927,2,FALSE),0)</f>
        <v>785471.4</v>
      </c>
      <c r="I206" s="2034">
        <f>IFERROR(VLOOKUP($B206,'[3]1001'!$B$6:$G$5927,4,FALSE),0)</f>
        <v>6</v>
      </c>
      <c r="J206" s="2033">
        <f t="shared" si="18"/>
        <v>130911.90000000001</v>
      </c>
      <c r="K206" s="2035">
        <f>IFERROR(VLOOKUP($B206,'[3]1002'!$B$6:$G$5921,2,FALSE),0)</f>
        <v>0</v>
      </c>
      <c r="L206" s="2036">
        <f>IFERROR(VLOOKUP($B206,'[3]1002'!$B$6:$G$5921,4,FALSE),0)</f>
        <v>0</v>
      </c>
      <c r="M206" s="1763">
        <f t="shared" si="19"/>
        <v>0</v>
      </c>
      <c r="N206" s="2033">
        <f>IFERROR(VLOOKUP($B206,'[3]1003'!$B$6:$G$5921,2,FALSE),0)</f>
        <v>0</v>
      </c>
      <c r="O206" s="2034">
        <f>IFERROR(VLOOKUP($B206,'[3]1003'!$B$6:$G$5921,4,FALSE),0)</f>
        <v>0</v>
      </c>
      <c r="P206" s="2033">
        <f t="shared" si="20"/>
        <v>0</v>
      </c>
      <c r="Q206" s="1763">
        <f>IFERROR(VLOOKUP($B206,'[3]1004'!$B$6:$G$5921,2,FALSE),0)</f>
        <v>0</v>
      </c>
      <c r="R206" s="2036">
        <f>IFERROR(VLOOKUP($B206,'[3]1004'!$B$6:$G$5921,4,FALSE),0)</f>
        <v>0</v>
      </c>
      <c r="S206" s="1763">
        <f t="shared" si="21"/>
        <v>0</v>
      </c>
      <c r="T206" s="2033">
        <f>IFERROR(VLOOKUP($B206,'[3]1006'!$B$6:$G$5921,2,FALSE),0)</f>
        <v>248503.24</v>
      </c>
      <c r="U206" s="2034">
        <f>IFERROR(VLOOKUP($B206,'[3]1006'!$B$6:$G$5921,4,FALSE),0)</f>
        <v>4</v>
      </c>
      <c r="V206" s="2033">
        <f t="shared" si="22"/>
        <v>62125.81</v>
      </c>
      <c r="W206" s="2033">
        <f t="shared" si="23"/>
        <v>10</v>
      </c>
    </row>
    <row r="207" spans="2:23" x14ac:dyDescent="0.15">
      <c r="B207" s="2032">
        <v>12463</v>
      </c>
      <c r="C207" s="2032" t="s">
        <v>1665</v>
      </c>
      <c r="D207" s="2032" t="s">
        <v>1666</v>
      </c>
      <c r="E207" s="2032" t="s">
        <v>94</v>
      </c>
      <c r="F207" s="870" t="s">
        <v>1300</v>
      </c>
      <c r="G207" s="1288" t="s">
        <v>1303</v>
      </c>
      <c r="H207" s="2033">
        <f>IFERROR(VLOOKUP($B207,'[3]1001'!$B$6:$G$5927,2,FALSE),0)</f>
        <v>0</v>
      </c>
      <c r="I207" s="2034">
        <f>IFERROR(VLOOKUP($B207,'[3]1001'!$B$6:$G$5927,4,FALSE),0)</f>
        <v>0</v>
      </c>
      <c r="J207" s="2033">
        <f t="shared" si="18"/>
        <v>0</v>
      </c>
      <c r="K207" s="2035">
        <f>IFERROR(VLOOKUP($B207,'[3]1002'!$B$6:$G$5921,2,FALSE),0)</f>
        <v>0</v>
      </c>
      <c r="L207" s="2036">
        <f>IFERROR(VLOOKUP($B207,'[3]1002'!$B$6:$G$5921,4,FALSE),0)</f>
        <v>0</v>
      </c>
      <c r="M207" s="1763">
        <f t="shared" si="19"/>
        <v>0</v>
      </c>
      <c r="N207" s="2033">
        <f>IFERROR(VLOOKUP($B207,'[3]1003'!$B$6:$G$5921,2,FALSE),0)</f>
        <v>0</v>
      </c>
      <c r="O207" s="2034">
        <f>IFERROR(VLOOKUP($B207,'[3]1003'!$B$6:$G$5921,4,FALSE),0)</f>
        <v>0</v>
      </c>
      <c r="P207" s="2033">
        <f t="shared" si="20"/>
        <v>0</v>
      </c>
      <c r="Q207" s="1763">
        <f>IFERROR(VLOOKUP($B207,'[3]1004'!$B$6:$G$5921,2,FALSE),0)</f>
        <v>0</v>
      </c>
      <c r="R207" s="2036">
        <f>IFERROR(VLOOKUP($B207,'[3]1004'!$B$6:$G$5921,4,FALSE),0)</f>
        <v>0</v>
      </c>
      <c r="S207" s="1763">
        <f t="shared" si="21"/>
        <v>0</v>
      </c>
      <c r="T207" s="2033">
        <f>IFERROR(VLOOKUP($B207,'[3]1006'!$B$6:$G$5921,2,FALSE),0)</f>
        <v>0</v>
      </c>
      <c r="U207" s="2034">
        <f>IFERROR(VLOOKUP($B207,'[3]1006'!$B$6:$G$5921,4,FALSE),0)</f>
        <v>0</v>
      </c>
      <c r="V207" s="2033">
        <f t="shared" si="22"/>
        <v>0</v>
      </c>
      <c r="W207" s="2033">
        <f t="shared" si="23"/>
        <v>0</v>
      </c>
    </row>
    <row r="208" spans="2:23" x14ac:dyDescent="0.15">
      <c r="B208" s="2032">
        <v>14639</v>
      </c>
      <c r="C208" s="2032" t="s">
        <v>1667</v>
      </c>
      <c r="D208" s="2032" t="s">
        <v>1667</v>
      </c>
      <c r="E208" s="2032" t="s">
        <v>94</v>
      </c>
      <c r="F208" s="1288" t="s">
        <v>1300</v>
      </c>
      <c r="G208" s="1288" t="s">
        <v>1296</v>
      </c>
      <c r="H208" s="2033">
        <f>IFERROR(VLOOKUP($B208,'[3]1001'!$B$6:$G$5927,2,FALSE),0)</f>
        <v>2018414.29</v>
      </c>
      <c r="I208" s="2034">
        <f>IFERROR(VLOOKUP($B208,'[3]1001'!$B$6:$G$5927,4,FALSE),0)</f>
        <v>4</v>
      </c>
      <c r="J208" s="2033">
        <f t="shared" si="18"/>
        <v>504603.57250000001</v>
      </c>
      <c r="K208" s="2035">
        <f>IFERROR(VLOOKUP($B208,'[3]1002'!$B$6:$G$5921,2,FALSE),0)</f>
        <v>0</v>
      </c>
      <c r="L208" s="2036">
        <f>IFERROR(VLOOKUP($B208,'[3]1002'!$B$6:$G$5921,4,FALSE),0)</f>
        <v>0</v>
      </c>
      <c r="M208" s="1763">
        <f t="shared" si="19"/>
        <v>0</v>
      </c>
      <c r="N208" s="2033">
        <f>IFERROR(VLOOKUP($B208,'[3]1003'!$B$6:$G$5921,2,FALSE),0)</f>
        <v>4538105.3600000003</v>
      </c>
      <c r="O208" s="2034">
        <f>IFERROR(VLOOKUP($B208,'[3]1003'!$B$6:$G$5921,4,FALSE),0)</f>
        <v>9</v>
      </c>
      <c r="P208" s="2033">
        <f t="shared" si="20"/>
        <v>504233.92888888891</v>
      </c>
      <c r="Q208" s="1763">
        <f>IFERROR(VLOOKUP($B208,'[3]1004'!$B$6:$G$5921,2,FALSE),0)</f>
        <v>0</v>
      </c>
      <c r="R208" s="2036">
        <f>IFERROR(VLOOKUP($B208,'[3]1004'!$B$6:$G$5921,4,FALSE),0)</f>
        <v>0</v>
      </c>
      <c r="S208" s="1763">
        <f t="shared" si="21"/>
        <v>0</v>
      </c>
      <c r="T208" s="2033">
        <f>IFERROR(VLOOKUP($B208,'[3]1006'!$B$6:$G$5921,2,FALSE),0)</f>
        <v>1649515</v>
      </c>
      <c r="U208" s="2034">
        <f>IFERROR(VLOOKUP($B208,'[3]1006'!$B$6:$G$5921,4,FALSE),0)</f>
        <v>3</v>
      </c>
      <c r="V208" s="2033">
        <f t="shared" si="22"/>
        <v>549838.33333333337</v>
      </c>
      <c r="W208" s="2033">
        <f t="shared" si="23"/>
        <v>16</v>
      </c>
    </row>
    <row r="209" spans="2:23" x14ac:dyDescent="0.15">
      <c r="B209" s="2032">
        <v>14640</v>
      </c>
      <c r="C209" s="2032" t="s">
        <v>1668</v>
      </c>
      <c r="D209" s="2032" t="s">
        <v>1668</v>
      </c>
      <c r="E209" s="2032" t="s">
        <v>94</v>
      </c>
      <c r="F209" s="1288" t="s">
        <v>1300</v>
      </c>
      <c r="G209" s="1288" t="s">
        <v>1296</v>
      </c>
      <c r="H209" s="2033">
        <f>IFERROR(VLOOKUP($B209,'[3]1001'!$B$6:$G$5927,2,FALSE),0)</f>
        <v>5937110.8399999999</v>
      </c>
      <c r="I209" s="2034">
        <f>IFERROR(VLOOKUP($B209,'[3]1001'!$B$6:$G$5927,4,FALSE),0)</f>
        <v>8</v>
      </c>
      <c r="J209" s="2033">
        <f t="shared" si="18"/>
        <v>742138.85499999998</v>
      </c>
      <c r="K209" s="2035">
        <f>IFERROR(VLOOKUP($B209,'[3]1002'!$B$6:$G$5921,2,FALSE),0)</f>
        <v>0</v>
      </c>
      <c r="L209" s="2036">
        <f>IFERROR(VLOOKUP($B209,'[3]1002'!$B$6:$G$5921,4,FALSE),0)</f>
        <v>0</v>
      </c>
      <c r="M209" s="1763">
        <f t="shared" si="19"/>
        <v>0</v>
      </c>
      <c r="N209" s="2033">
        <f>IFERROR(VLOOKUP($B209,'[3]1003'!$B$6:$G$5921,2,FALSE),0)</f>
        <v>743072.92</v>
      </c>
      <c r="O209" s="2034">
        <f>IFERROR(VLOOKUP($B209,'[3]1003'!$B$6:$G$5921,4,FALSE),0)</f>
        <v>1</v>
      </c>
      <c r="P209" s="2033">
        <f t="shared" si="20"/>
        <v>743072.92</v>
      </c>
      <c r="Q209" s="1763">
        <f>IFERROR(VLOOKUP($B209,'[3]1004'!$B$6:$G$5921,2,FALSE),0)</f>
        <v>2226416.56</v>
      </c>
      <c r="R209" s="2036">
        <f>IFERROR(VLOOKUP($B209,'[3]1004'!$B$6:$G$5921,4,FALSE),0)</f>
        <v>3</v>
      </c>
      <c r="S209" s="1763">
        <f t="shared" si="21"/>
        <v>742138.85333333339</v>
      </c>
      <c r="T209" s="2033">
        <f>IFERROR(VLOOKUP($B209,'[3]1006'!$B$6:$G$5921,2,FALSE),0)</f>
        <v>0</v>
      </c>
      <c r="U209" s="2034">
        <f>IFERROR(VLOOKUP($B209,'[3]1006'!$B$6:$G$5921,4,FALSE),0)</f>
        <v>0</v>
      </c>
      <c r="V209" s="2033">
        <f t="shared" si="22"/>
        <v>0</v>
      </c>
      <c r="W209" s="2033">
        <f t="shared" si="23"/>
        <v>12</v>
      </c>
    </row>
    <row r="210" spans="2:23" x14ac:dyDescent="0.15">
      <c r="B210" s="2032">
        <v>14672</v>
      </c>
      <c r="C210" s="2032" t="s">
        <v>1669</v>
      </c>
      <c r="D210" s="2032" t="s">
        <v>1670</v>
      </c>
      <c r="E210" s="2032" t="s">
        <v>94</v>
      </c>
      <c r="F210" s="1288" t="s">
        <v>1300</v>
      </c>
      <c r="G210" s="1288" t="s">
        <v>1303</v>
      </c>
      <c r="H210" s="2033">
        <f>IFERROR(VLOOKUP($B210,'[3]1001'!$B$6:$G$5927,2,FALSE),0)</f>
        <v>0</v>
      </c>
      <c r="I210" s="2034">
        <f>IFERROR(VLOOKUP($B210,'[3]1001'!$B$6:$G$5927,4,FALSE),0)</f>
        <v>0</v>
      </c>
      <c r="J210" s="2033">
        <f t="shared" si="18"/>
        <v>0</v>
      </c>
      <c r="K210" s="2035">
        <f>IFERROR(VLOOKUP($B210,'[3]1002'!$B$6:$G$5921,2,FALSE),0)</f>
        <v>0</v>
      </c>
      <c r="L210" s="2036">
        <f>IFERROR(VLOOKUP($B210,'[3]1002'!$B$6:$G$5921,4,FALSE),0)</f>
        <v>0</v>
      </c>
      <c r="M210" s="1763">
        <f t="shared" si="19"/>
        <v>0</v>
      </c>
      <c r="N210" s="2033">
        <f>IFERROR(VLOOKUP($B210,'[3]1003'!$B$6:$G$5921,2,FALSE),0)</f>
        <v>0</v>
      </c>
      <c r="O210" s="2034">
        <f>IFERROR(VLOOKUP($B210,'[3]1003'!$B$6:$G$5921,4,FALSE),0)</f>
        <v>0</v>
      </c>
      <c r="P210" s="2033">
        <f t="shared" si="20"/>
        <v>0</v>
      </c>
      <c r="Q210" s="1763">
        <f>IFERROR(VLOOKUP($B210,'[3]1004'!$B$6:$G$5921,2,FALSE),0)</f>
        <v>0</v>
      </c>
      <c r="R210" s="2036">
        <f>IFERROR(VLOOKUP($B210,'[3]1004'!$B$6:$G$5921,4,FALSE),0)</f>
        <v>0</v>
      </c>
      <c r="S210" s="1763">
        <f t="shared" si="21"/>
        <v>0</v>
      </c>
      <c r="T210" s="2033">
        <f>IFERROR(VLOOKUP($B210,'[3]1006'!$B$6:$G$5921,2,FALSE),0)</f>
        <v>0</v>
      </c>
      <c r="U210" s="2034">
        <f>IFERROR(VLOOKUP($B210,'[3]1006'!$B$6:$G$5921,4,FALSE),0)</f>
        <v>0</v>
      </c>
      <c r="V210" s="2033">
        <f t="shared" si="22"/>
        <v>0</v>
      </c>
      <c r="W210" s="2033">
        <f t="shared" si="23"/>
        <v>0</v>
      </c>
    </row>
    <row r="211" spans="2:23" x14ac:dyDescent="0.15">
      <c r="B211" s="2032">
        <v>14673</v>
      </c>
      <c r="C211" s="2032" t="s">
        <v>1671</v>
      </c>
      <c r="D211" s="2032" t="s">
        <v>1672</v>
      </c>
      <c r="E211" s="2032" t="s">
        <v>94</v>
      </c>
      <c r="F211" s="1288" t="s">
        <v>1295</v>
      </c>
      <c r="G211" s="1288" t="s">
        <v>1303</v>
      </c>
      <c r="H211" s="2033">
        <f>IFERROR(VLOOKUP($B211,'[3]1001'!$B$6:$G$5927,2,FALSE),0)</f>
        <v>0</v>
      </c>
      <c r="I211" s="2034">
        <f>IFERROR(VLOOKUP($B211,'[3]1001'!$B$6:$G$5927,4,FALSE),0)</f>
        <v>0</v>
      </c>
      <c r="J211" s="2033">
        <f t="shared" si="18"/>
        <v>0</v>
      </c>
      <c r="K211" s="2035">
        <f>IFERROR(VLOOKUP($B211,'[3]1002'!$B$6:$G$5921,2,FALSE),0)</f>
        <v>199695.75</v>
      </c>
      <c r="L211" s="2036">
        <f>IFERROR(VLOOKUP($B211,'[3]1002'!$B$6:$G$5921,4,FALSE),0)</f>
        <v>1</v>
      </c>
      <c r="M211" s="1763">
        <f t="shared" si="19"/>
        <v>199695.75</v>
      </c>
      <c r="N211" s="2033">
        <f>IFERROR(VLOOKUP($B211,'[3]1003'!$B$6:$G$5921,2,FALSE),0)</f>
        <v>0</v>
      </c>
      <c r="O211" s="2034">
        <f>IFERROR(VLOOKUP($B211,'[3]1003'!$B$6:$G$5921,4,FALSE),0)</f>
        <v>0</v>
      </c>
      <c r="P211" s="2033">
        <f t="shared" si="20"/>
        <v>0</v>
      </c>
      <c r="Q211" s="1763">
        <f>IFERROR(VLOOKUP($B211,'[3]1004'!$B$6:$G$5921,2,FALSE),0)</f>
        <v>0</v>
      </c>
      <c r="R211" s="2036">
        <f>IFERROR(VLOOKUP($B211,'[3]1004'!$B$6:$G$5921,4,FALSE),0)</f>
        <v>0</v>
      </c>
      <c r="S211" s="1763">
        <f t="shared" si="21"/>
        <v>0</v>
      </c>
      <c r="T211" s="2033">
        <f>IFERROR(VLOOKUP($B211,'[3]1006'!$B$6:$G$5921,2,FALSE),0)</f>
        <v>0</v>
      </c>
      <c r="U211" s="2034">
        <f>IFERROR(VLOOKUP($B211,'[3]1006'!$B$6:$G$5921,4,FALSE),0)</f>
        <v>0</v>
      </c>
      <c r="V211" s="2033">
        <f t="shared" si="22"/>
        <v>0</v>
      </c>
      <c r="W211" s="2033">
        <f t="shared" si="23"/>
        <v>1</v>
      </c>
    </row>
    <row r="212" spans="2:23" x14ac:dyDescent="0.15">
      <c r="B212" s="2032">
        <v>14674</v>
      </c>
      <c r="C212" s="2032" t="s">
        <v>1673</v>
      </c>
      <c r="D212" s="2032" t="s">
        <v>1674</v>
      </c>
      <c r="E212" s="2032" t="s">
        <v>94</v>
      </c>
      <c r="F212" s="1288" t="s">
        <v>1295</v>
      </c>
      <c r="G212" s="1288" t="s">
        <v>1303</v>
      </c>
      <c r="H212" s="2033">
        <f>IFERROR(VLOOKUP($B212,'[3]1001'!$B$6:$G$5927,2,FALSE),0)</f>
        <v>538938.6</v>
      </c>
      <c r="I212" s="2034">
        <f>IFERROR(VLOOKUP($B212,'[3]1001'!$B$6:$G$5927,4,FALSE),0)</f>
        <v>3</v>
      </c>
      <c r="J212" s="2033">
        <f t="shared" si="18"/>
        <v>179646.19999999998</v>
      </c>
      <c r="K212" s="2035">
        <f>IFERROR(VLOOKUP($B212,'[3]1002'!$B$6:$G$5921,2,FALSE),0)</f>
        <v>0</v>
      </c>
      <c r="L212" s="2036">
        <f>IFERROR(VLOOKUP($B212,'[3]1002'!$B$6:$G$5921,4,FALSE),0)</f>
        <v>0</v>
      </c>
      <c r="M212" s="1763">
        <f t="shared" si="19"/>
        <v>0</v>
      </c>
      <c r="N212" s="2033">
        <f>IFERROR(VLOOKUP($B212,'[3]1003'!$B$6:$G$5921,2,FALSE),0)</f>
        <v>0</v>
      </c>
      <c r="O212" s="2034">
        <f>IFERROR(VLOOKUP($B212,'[3]1003'!$B$6:$G$5921,4,FALSE),0)</f>
        <v>0</v>
      </c>
      <c r="P212" s="2033">
        <f t="shared" si="20"/>
        <v>0</v>
      </c>
      <c r="Q212" s="1763">
        <f>IFERROR(VLOOKUP($B212,'[3]1004'!$B$6:$G$5921,2,FALSE),0)</f>
        <v>0</v>
      </c>
      <c r="R212" s="2036">
        <f>IFERROR(VLOOKUP($B212,'[3]1004'!$B$6:$G$5921,4,FALSE),0)</f>
        <v>0</v>
      </c>
      <c r="S212" s="1763">
        <f t="shared" si="21"/>
        <v>0</v>
      </c>
      <c r="T212" s="2033">
        <f>IFERROR(VLOOKUP($B212,'[3]1006'!$B$6:$G$5921,2,FALSE),0)</f>
        <v>0</v>
      </c>
      <c r="U212" s="2034">
        <f>IFERROR(VLOOKUP($B212,'[3]1006'!$B$6:$G$5921,4,FALSE),0)</f>
        <v>0</v>
      </c>
      <c r="V212" s="2033">
        <f t="shared" si="22"/>
        <v>0</v>
      </c>
      <c r="W212" s="2033">
        <f t="shared" si="23"/>
        <v>3</v>
      </c>
    </row>
    <row r="213" spans="2:23" x14ac:dyDescent="0.15">
      <c r="B213" s="2032">
        <v>14675</v>
      </c>
      <c r="C213" s="2032" t="s">
        <v>1675</v>
      </c>
      <c r="D213" s="2032" t="s">
        <v>1676</v>
      </c>
      <c r="E213" s="2032" t="s">
        <v>94</v>
      </c>
      <c r="F213" s="1288" t="s">
        <v>1295</v>
      </c>
      <c r="G213" s="1288" t="s">
        <v>1303</v>
      </c>
      <c r="H213" s="2033">
        <f>IFERROR(VLOOKUP($B213,'[3]1001'!$B$6:$G$5927,2,FALSE),0)</f>
        <v>0</v>
      </c>
      <c r="I213" s="2034">
        <f>IFERROR(VLOOKUP($B213,'[3]1001'!$B$6:$G$5927,4,FALSE),0)</f>
        <v>0</v>
      </c>
      <c r="J213" s="2033">
        <f t="shared" si="18"/>
        <v>0</v>
      </c>
      <c r="K213" s="2035">
        <f>IFERROR(VLOOKUP($B213,'[3]1002'!$B$6:$G$5921,2,FALSE),0)</f>
        <v>341657.2</v>
      </c>
      <c r="L213" s="2036">
        <f>IFERROR(VLOOKUP($B213,'[3]1002'!$B$6:$G$5921,4,FALSE),0)</f>
        <v>2</v>
      </c>
      <c r="M213" s="1763">
        <f t="shared" si="19"/>
        <v>170828.6</v>
      </c>
      <c r="N213" s="2033">
        <f>IFERROR(VLOOKUP($B213,'[3]1003'!$B$6:$G$5921,2,FALSE),0)</f>
        <v>0</v>
      </c>
      <c r="O213" s="2034">
        <f>IFERROR(VLOOKUP($B213,'[3]1003'!$B$6:$G$5921,4,FALSE),0)</f>
        <v>0</v>
      </c>
      <c r="P213" s="2033">
        <f t="shared" si="20"/>
        <v>0</v>
      </c>
      <c r="Q213" s="1763">
        <f>IFERROR(VLOOKUP($B213,'[3]1004'!$B$6:$G$5921,2,FALSE),0)</f>
        <v>0</v>
      </c>
      <c r="R213" s="2036">
        <f>IFERROR(VLOOKUP($B213,'[3]1004'!$B$6:$G$5921,4,FALSE),0)</f>
        <v>0</v>
      </c>
      <c r="S213" s="1763">
        <f t="shared" si="21"/>
        <v>0</v>
      </c>
      <c r="T213" s="2033">
        <f>IFERROR(VLOOKUP($B213,'[3]1006'!$B$6:$G$5921,2,FALSE),0)</f>
        <v>170828.6</v>
      </c>
      <c r="U213" s="2034">
        <f>IFERROR(VLOOKUP($B213,'[3]1006'!$B$6:$G$5921,4,FALSE),0)</f>
        <v>1</v>
      </c>
      <c r="V213" s="2033">
        <f t="shared" si="22"/>
        <v>170828.6</v>
      </c>
      <c r="W213" s="2033">
        <f t="shared" si="23"/>
        <v>3</v>
      </c>
    </row>
    <row r="214" spans="2:23" x14ac:dyDescent="0.15">
      <c r="B214" s="2032">
        <v>14676</v>
      </c>
      <c r="C214" s="2032" t="s">
        <v>1677</v>
      </c>
      <c r="D214" s="2032" t="s">
        <v>1678</v>
      </c>
      <c r="E214" s="2032" t="s">
        <v>94</v>
      </c>
      <c r="F214" s="1288" t="s">
        <v>1300</v>
      </c>
      <c r="G214" s="1288" t="s">
        <v>1303</v>
      </c>
      <c r="H214" s="2033">
        <f>IFERROR(VLOOKUP($B214,'[3]1001'!$B$6:$G$5927,2,FALSE),0)</f>
        <v>0</v>
      </c>
      <c r="I214" s="2034">
        <f>IFERROR(VLOOKUP($B214,'[3]1001'!$B$6:$G$5927,4,FALSE),0)</f>
        <v>0</v>
      </c>
      <c r="J214" s="2033">
        <f t="shared" si="18"/>
        <v>0</v>
      </c>
      <c r="K214" s="2035">
        <f>IFERROR(VLOOKUP($B214,'[3]1002'!$B$6:$G$5921,2,FALSE),0)</f>
        <v>0</v>
      </c>
      <c r="L214" s="2036">
        <f>IFERROR(VLOOKUP($B214,'[3]1002'!$B$6:$G$5921,4,FALSE),0)</f>
        <v>0</v>
      </c>
      <c r="M214" s="1763">
        <f t="shared" si="19"/>
        <v>0</v>
      </c>
      <c r="N214" s="2033">
        <f>IFERROR(VLOOKUP($B214,'[3]1003'!$B$6:$G$5921,2,FALSE),0)</f>
        <v>0</v>
      </c>
      <c r="O214" s="2034">
        <f>IFERROR(VLOOKUP($B214,'[3]1003'!$B$6:$G$5921,4,FALSE),0)</f>
        <v>0</v>
      </c>
      <c r="P214" s="2033">
        <f t="shared" si="20"/>
        <v>0</v>
      </c>
      <c r="Q214" s="1763">
        <f>IFERROR(VLOOKUP($B214,'[3]1004'!$B$6:$G$5921,2,FALSE),0)</f>
        <v>0</v>
      </c>
      <c r="R214" s="2036">
        <f>IFERROR(VLOOKUP($B214,'[3]1004'!$B$6:$G$5921,4,FALSE),0)</f>
        <v>0</v>
      </c>
      <c r="S214" s="1763">
        <f t="shared" si="21"/>
        <v>0</v>
      </c>
      <c r="T214" s="2033">
        <f>IFERROR(VLOOKUP($B214,'[3]1006'!$B$6:$G$5921,2,FALSE),0)</f>
        <v>0</v>
      </c>
      <c r="U214" s="2034">
        <f>IFERROR(VLOOKUP($B214,'[3]1006'!$B$6:$G$5921,4,FALSE),0)</f>
        <v>0</v>
      </c>
      <c r="V214" s="2033">
        <f t="shared" si="22"/>
        <v>0</v>
      </c>
      <c r="W214" s="2033">
        <f t="shared" si="23"/>
        <v>0</v>
      </c>
    </row>
    <row r="215" spans="2:23" x14ac:dyDescent="0.15">
      <c r="B215" s="2032">
        <v>14677</v>
      </c>
      <c r="C215" s="2032" t="s">
        <v>1679</v>
      </c>
      <c r="D215" s="2032" t="s">
        <v>1680</v>
      </c>
      <c r="E215" s="2032" t="s">
        <v>94</v>
      </c>
      <c r="F215" s="1288" t="s">
        <v>1295</v>
      </c>
      <c r="G215" s="1288" t="s">
        <v>1303</v>
      </c>
      <c r="H215" s="2033">
        <f>IFERROR(VLOOKUP($B215,'[3]1001'!$B$6:$G$5927,2,FALSE),0)</f>
        <v>0</v>
      </c>
      <c r="I215" s="2034">
        <f>IFERROR(VLOOKUP($B215,'[3]1001'!$B$6:$G$5927,4,FALSE),0)</f>
        <v>0</v>
      </c>
      <c r="J215" s="2033">
        <f t="shared" si="18"/>
        <v>0</v>
      </c>
      <c r="K215" s="2035">
        <f>IFERROR(VLOOKUP($B215,'[3]1002'!$B$6:$G$5921,2,FALSE),0)</f>
        <v>0</v>
      </c>
      <c r="L215" s="2036">
        <f>IFERROR(VLOOKUP($B215,'[3]1002'!$B$6:$G$5921,4,FALSE),0)</f>
        <v>0</v>
      </c>
      <c r="M215" s="1763">
        <f t="shared" si="19"/>
        <v>0</v>
      </c>
      <c r="N215" s="2033">
        <f>IFERROR(VLOOKUP($B215,'[3]1003'!$B$6:$G$5921,2,FALSE),0)</f>
        <v>0</v>
      </c>
      <c r="O215" s="2034">
        <f>IFERROR(VLOOKUP($B215,'[3]1003'!$B$6:$G$5921,4,FALSE),0)</f>
        <v>0</v>
      </c>
      <c r="P215" s="2033">
        <f t="shared" si="20"/>
        <v>0</v>
      </c>
      <c r="Q215" s="1763">
        <f>IFERROR(VLOOKUP($B215,'[3]1004'!$B$6:$G$5921,2,FALSE),0)</f>
        <v>0</v>
      </c>
      <c r="R215" s="2036">
        <f>IFERROR(VLOOKUP($B215,'[3]1004'!$B$6:$G$5921,4,FALSE),0)</f>
        <v>0</v>
      </c>
      <c r="S215" s="1763">
        <f t="shared" si="21"/>
        <v>0</v>
      </c>
      <c r="T215" s="2033">
        <f>IFERROR(VLOOKUP($B215,'[3]1006'!$B$6:$G$5921,2,FALSE),0)</f>
        <v>0</v>
      </c>
      <c r="U215" s="2034">
        <f>IFERROR(VLOOKUP($B215,'[3]1006'!$B$6:$G$5921,4,FALSE),0)</f>
        <v>0</v>
      </c>
      <c r="V215" s="2033">
        <f t="shared" si="22"/>
        <v>0</v>
      </c>
      <c r="W215" s="2033">
        <f t="shared" si="23"/>
        <v>0</v>
      </c>
    </row>
    <row r="216" spans="2:23" x14ac:dyDescent="0.15">
      <c r="B216" s="2032">
        <v>14678</v>
      </c>
      <c r="C216" s="2032" t="s">
        <v>1681</v>
      </c>
      <c r="D216" s="2032" t="s">
        <v>1682</v>
      </c>
      <c r="E216" s="2032" t="s">
        <v>94</v>
      </c>
      <c r="F216" s="1288" t="s">
        <v>1295</v>
      </c>
      <c r="G216" s="1288" t="s">
        <v>1303</v>
      </c>
      <c r="H216" s="2033">
        <f>IFERROR(VLOOKUP($B216,'[3]1001'!$B$6:$G$5927,2,FALSE),0)</f>
        <v>0</v>
      </c>
      <c r="I216" s="2034">
        <f>IFERROR(VLOOKUP($B216,'[3]1001'!$B$6:$G$5927,4,FALSE),0)</f>
        <v>0</v>
      </c>
      <c r="J216" s="2033">
        <f t="shared" si="18"/>
        <v>0</v>
      </c>
      <c r="K216" s="2035">
        <f>IFERROR(VLOOKUP($B216,'[3]1002'!$B$6:$G$5921,2,FALSE),0)</f>
        <v>0</v>
      </c>
      <c r="L216" s="2036">
        <f>IFERROR(VLOOKUP($B216,'[3]1002'!$B$6:$G$5921,4,FALSE),0)</f>
        <v>0</v>
      </c>
      <c r="M216" s="1763">
        <f t="shared" si="19"/>
        <v>0</v>
      </c>
      <c r="N216" s="2033">
        <f>IFERROR(VLOOKUP($B216,'[3]1003'!$B$6:$G$5921,2,FALSE),0)</f>
        <v>0</v>
      </c>
      <c r="O216" s="2034">
        <f>IFERROR(VLOOKUP($B216,'[3]1003'!$B$6:$G$5921,4,FALSE),0)</f>
        <v>0</v>
      </c>
      <c r="P216" s="2033">
        <f t="shared" si="20"/>
        <v>0</v>
      </c>
      <c r="Q216" s="1763">
        <f>IFERROR(VLOOKUP($B216,'[3]1004'!$B$6:$G$5921,2,FALSE),0)</f>
        <v>0</v>
      </c>
      <c r="R216" s="2036">
        <f>IFERROR(VLOOKUP($B216,'[3]1004'!$B$6:$G$5921,4,FALSE),0)</f>
        <v>0</v>
      </c>
      <c r="S216" s="1763">
        <f t="shared" si="21"/>
        <v>0</v>
      </c>
      <c r="T216" s="2033">
        <f>IFERROR(VLOOKUP($B216,'[3]1006'!$B$6:$G$5921,2,FALSE),0)</f>
        <v>0</v>
      </c>
      <c r="U216" s="2034">
        <f>IFERROR(VLOOKUP($B216,'[3]1006'!$B$6:$G$5921,4,FALSE),0)</f>
        <v>0</v>
      </c>
      <c r="V216" s="2033">
        <f t="shared" si="22"/>
        <v>0</v>
      </c>
      <c r="W216" s="2033">
        <f t="shared" si="23"/>
        <v>0</v>
      </c>
    </row>
    <row r="217" spans="2:23" x14ac:dyDescent="0.15">
      <c r="B217" s="2032">
        <v>14679</v>
      </c>
      <c r="C217" s="2032" t="s">
        <v>1683</v>
      </c>
      <c r="D217" s="2032" t="s">
        <v>1684</v>
      </c>
      <c r="E217" s="2032" t="s">
        <v>94</v>
      </c>
      <c r="F217" s="1288" t="s">
        <v>1295</v>
      </c>
      <c r="G217" s="1288" t="s">
        <v>1303</v>
      </c>
      <c r="H217" s="2033">
        <f>IFERROR(VLOOKUP($B217,'[3]1001'!$B$6:$G$5927,2,FALSE),0)</f>
        <v>0</v>
      </c>
      <c r="I217" s="2034">
        <f>IFERROR(VLOOKUP($B217,'[3]1001'!$B$6:$G$5927,4,FALSE),0)</f>
        <v>0</v>
      </c>
      <c r="J217" s="2033">
        <f t="shared" si="18"/>
        <v>0</v>
      </c>
      <c r="K217" s="2035">
        <f>IFERROR(VLOOKUP($B217,'[3]1002'!$B$6:$G$5921,2,FALSE),0)</f>
        <v>0</v>
      </c>
      <c r="L217" s="2036">
        <f>IFERROR(VLOOKUP($B217,'[3]1002'!$B$6:$G$5921,4,FALSE),0)</f>
        <v>0</v>
      </c>
      <c r="M217" s="1763">
        <f t="shared" si="19"/>
        <v>0</v>
      </c>
      <c r="N217" s="2033">
        <f>IFERROR(VLOOKUP($B217,'[3]1003'!$B$6:$G$5921,2,FALSE),0)</f>
        <v>0</v>
      </c>
      <c r="O217" s="2034">
        <f>IFERROR(VLOOKUP($B217,'[3]1003'!$B$6:$G$5921,4,FALSE),0)</f>
        <v>0</v>
      </c>
      <c r="P217" s="2033">
        <f t="shared" si="20"/>
        <v>0</v>
      </c>
      <c r="Q217" s="1763">
        <f>IFERROR(VLOOKUP($B217,'[3]1004'!$B$6:$G$5921,2,FALSE),0)</f>
        <v>0</v>
      </c>
      <c r="R217" s="2036">
        <f>IFERROR(VLOOKUP($B217,'[3]1004'!$B$6:$G$5921,4,FALSE),0)</f>
        <v>0</v>
      </c>
      <c r="S217" s="1763">
        <f t="shared" si="21"/>
        <v>0</v>
      </c>
      <c r="T217" s="2033">
        <f>IFERROR(VLOOKUP($B217,'[3]1006'!$B$6:$G$5921,2,FALSE),0)</f>
        <v>0</v>
      </c>
      <c r="U217" s="2034">
        <f>IFERROR(VLOOKUP($B217,'[3]1006'!$B$6:$G$5921,4,FALSE),0)</f>
        <v>0</v>
      </c>
      <c r="V217" s="2033">
        <f t="shared" si="22"/>
        <v>0</v>
      </c>
      <c r="W217" s="2033">
        <f t="shared" si="23"/>
        <v>0</v>
      </c>
    </row>
    <row r="218" spans="2:23" x14ac:dyDescent="0.15">
      <c r="B218" s="1288">
        <v>14680</v>
      </c>
      <c r="C218" s="1288" t="s">
        <v>1685</v>
      </c>
      <c r="D218" s="1288"/>
      <c r="E218" s="1288" t="s">
        <v>94</v>
      </c>
      <c r="F218" s="1288" t="s">
        <v>1295</v>
      </c>
      <c r="G218" s="1288" t="s">
        <v>1303</v>
      </c>
      <c r="H218" s="2033">
        <f>IFERROR(VLOOKUP($B218,'[3]1001'!$B$6:$G$5927,2,FALSE),0)</f>
        <v>0</v>
      </c>
      <c r="I218" s="2034">
        <f>IFERROR(VLOOKUP($B218,'[3]1001'!$B$6:$G$5927,4,FALSE),0)</f>
        <v>0</v>
      </c>
      <c r="J218" s="2033">
        <f t="shared" si="18"/>
        <v>0</v>
      </c>
      <c r="K218" s="2035">
        <f>IFERROR(VLOOKUP($B218,'[3]1002'!$B$6:$G$5921,2,FALSE),0)</f>
        <v>0</v>
      </c>
      <c r="L218" s="2036">
        <f>IFERROR(VLOOKUP($B218,'[3]1002'!$B$6:$G$5921,4,FALSE),0)</f>
        <v>0</v>
      </c>
      <c r="M218" s="1763">
        <f t="shared" si="19"/>
        <v>0</v>
      </c>
      <c r="N218" s="2033">
        <f>IFERROR(VLOOKUP($B218,'[3]1003'!$B$6:$G$5921,2,FALSE),0)</f>
        <v>0</v>
      </c>
      <c r="O218" s="2034">
        <f>IFERROR(VLOOKUP($B218,'[3]1003'!$B$6:$G$5921,4,FALSE),0)</f>
        <v>0</v>
      </c>
      <c r="P218" s="2033">
        <f t="shared" si="20"/>
        <v>0</v>
      </c>
      <c r="Q218" s="1763">
        <f>IFERROR(VLOOKUP($B218,'[3]1004'!$B$6:$G$5921,2,FALSE),0)</f>
        <v>0</v>
      </c>
      <c r="R218" s="2036">
        <f>IFERROR(VLOOKUP($B218,'[3]1004'!$B$6:$G$5921,4,FALSE),0)</f>
        <v>0</v>
      </c>
      <c r="S218" s="1763">
        <f t="shared" si="21"/>
        <v>0</v>
      </c>
      <c r="T218" s="2033">
        <f>IFERROR(VLOOKUP($B218,'[3]1006'!$B$6:$G$5921,2,FALSE),0)</f>
        <v>0</v>
      </c>
      <c r="U218" s="2034">
        <f>IFERROR(VLOOKUP($B218,'[3]1006'!$B$6:$G$5921,4,FALSE),0)</f>
        <v>0</v>
      </c>
      <c r="V218" s="2033">
        <f t="shared" si="22"/>
        <v>0</v>
      </c>
      <c r="W218" s="2033">
        <f t="shared" si="23"/>
        <v>0</v>
      </c>
    </row>
    <row r="219" spans="2:23" x14ac:dyDescent="0.15">
      <c r="B219" s="2032">
        <v>14681</v>
      </c>
      <c r="C219" s="2032" t="s">
        <v>1686</v>
      </c>
      <c r="D219" s="2032" t="s">
        <v>1687</v>
      </c>
      <c r="E219" s="2032" t="s">
        <v>94</v>
      </c>
      <c r="F219" s="1288" t="s">
        <v>1295</v>
      </c>
      <c r="G219" s="1288" t="s">
        <v>1303</v>
      </c>
      <c r="H219" s="2033">
        <f>IFERROR(VLOOKUP($B219,'[3]1001'!$B$6:$G$5927,2,FALSE),0)</f>
        <v>0</v>
      </c>
      <c r="I219" s="2034">
        <f>IFERROR(VLOOKUP($B219,'[3]1001'!$B$6:$G$5927,4,FALSE),0)</f>
        <v>0</v>
      </c>
      <c r="J219" s="2033">
        <f t="shared" si="18"/>
        <v>0</v>
      </c>
      <c r="K219" s="2035">
        <f>IFERROR(VLOOKUP($B219,'[3]1002'!$B$6:$G$5921,2,FALSE),0)</f>
        <v>0</v>
      </c>
      <c r="L219" s="2036">
        <f>IFERROR(VLOOKUP($B219,'[3]1002'!$B$6:$G$5921,4,FALSE),0)</f>
        <v>0</v>
      </c>
      <c r="M219" s="1763">
        <f t="shared" si="19"/>
        <v>0</v>
      </c>
      <c r="N219" s="2033">
        <f>IFERROR(VLOOKUP($B219,'[3]1003'!$B$6:$G$5921,2,FALSE),0)</f>
        <v>0</v>
      </c>
      <c r="O219" s="2034">
        <f>IFERROR(VLOOKUP($B219,'[3]1003'!$B$6:$G$5921,4,FALSE),0)</f>
        <v>0</v>
      </c>
      <c r="P219" s="2033">
        <f t="shared" si="20"/>
        <v>0</v>
      </c>
      <c r="Q219" s="1763">
        <f>IFERROR(VLOOKUP($B219,'[3]1004'!$B$6:$G$5921,2,FALSE),0)</f>
        <v>0</v>
      </c>
      <c r="R219" s="2036">
        <f>IFERROR(VLOOKUP($B219,'[3]1004'!$B$6:$G$5921,4,FALSE),0)</f>
        <v>0</v>
      </c>
      <c r="S219" s="1763">
        <f t="shared" si="21"/>
        <v>0</v>
      </c>
      <c r="T219" s="2033">
        <f>IFERROR(VLOOKUP($B219,'[3]1006'!$B$6:$G$5921,2,FALSE),0)</f>
        <v>0</v>
      </c>
      <c r="U219" s="2034">
        <f>IFERROR(VLOOKUP($B219,'[3]1006'!$B$6:$G$5921,4,FALSE),0)</f>
        <v>0</v>
      </c>
      <c r="V219" s="2033">
        <f t="shared" si="22"/>
        <v>0</v>
      </c>
      <c r="W219" s="2033">
        <f t="shared" si="23"/>
        <v>0</v>
      </c>
    </row>
    <row r="220" spans="2:23" x14ac:dyDescent="0.15">
      <c r="B220" s="2032">
        <v>14682</v>
      </c>
      <c r="C220" s="2032" t="s">
        <v>1688</v>
      </c>
      <c r="D220" s="2032" t="s">
        <v>1689</v>
      </c>
      <c r="E220" s="2032" t="s">
        <v>94</v>
      </c>
      <c r="F220" s="1288" t="s">
        <v>1300</v>
      </c>
      <c r="G220" s="1288" t="s">
        <v>1303</v>
      </c>
      <c r="H220" s="2033">
        <f>IFERROR(VLOOKUP($B220,'[3]1001'!$B$6:$G$5927,2,FALSE),0)</f>
        <v>0</v>
      </c>
      <c r="I220" s="2034">
        <f>IFERROR(VLOOKUP($B220,'[3]1001'!$B$6:$G$5927,4,FALSE),0)</f>
        <v>0</v>
      </c>
      <c r="J220" s="2033">
        <f t="shared" si="18"/>
        <v>0</v>
      </c>
      <c r="K220" s="2035">
        <f>IFERROR(VLOOKUP($B220,'[3]1002'!$B$6:$G$5921,2,FALSE),0)</f>
        <v>0</v>
      </c>
      <c r="L220" s="2036">
        <f>IFERROR(VLOOKUP($B220,'[3]1002'!$B$6:$G$5921,4,FALSE),0)</f>
        <v>0</v>
      </c>
      <c r="M220" s="1763">
        <f t="shared" si="19"/>
        <v>0</v>
      </c>
      <c r="N220" s="2033">
        <f>IFERROR(VLOOKUP($B220,'[3]1003'!$B$6:$G$5921,2,FALSE),0)</f>
        <v>0</v>
      </c>
      <c r="O220" s="2034">
        <f>IFERROR(VLOOKUP($B220,'[3]1003'!$B$6:$G$5921,4,FALSE),0)</f>
        <v>0</v>
      </c>
      <c r="P220" s="2033">
        <f t="shared" si="20"/>
        <v>0</v>
      </c>
      <c r="Q220" s="1763">
        <f>IFERROR(VLOOKUP($B220,'[3]1004'!$B$6:$G$5921,2,FALSE),0)</f>
        <v>0</v>
      </c>
      <c r="R220" s="2036">
        <f>IFERROR(VLOOKUP($B220,'[3]1004'!$B$6:$G$5921,4,FALSE),0)</f>
        <v>0</v>
      </c>
      <c r="S220" s="1763">
        <f t="shared" si="21"/>
        <v>0</v>
      </c>
      <c r="T220" s="2033">
        <f>IFERROR(VLOOKUP($B220,'[3]1006'!$B$6:$G$5921,2,FALSE),0)</f>
        <v>0</v>
      </c>
      <c r="U220" s="2034">
        <f>IFERROR(VLOOKUP($B220,'[3]1006'!$B$6:$G$5921,4,FALSE),0)</f>
        <v>0</v>
      </c>
      <c r="V220" s="2033">
        <f t="shared" si="22"/>
        <v>0</v>
      </c>
      <c r="W220" s="2033">
        <f t="shared" si="23"/>
        <v>0</v>
      </c>
    </row>
    <row r="221" spans="2:23" x14ac:dyDescent="0.15">
      <c r="B221" s="1288">
        <v>14683</v>
      </c>
      <c r="C221" s="1288" t="s">
        <v>1690</v>
      </c>
      <c r="D221" s="1288"/>
      <c r="E221" s="1288" t="s">
        <v>94</v>
      </c>
      <c r="F221" s="1288" t="s">
        <v>1295</v>
      </c>
      <c r="G221" s="1288" t="s">
        <v>1303</v>
      </c>
      <c r="H221" s="2033">
        <f>IFERROR(VLOOKUP($B221,'[3]1001'!$B$6:$G$5927,2,FALSE),0)</f>
        <v>0</v>
      </c>
      <c r="I221" s="2034">
        <f>IFERROR(VLOOKUP($B221,'[3]1001'!$B$6:$G$5927,4,FALSE),0)</f>
        <v>0</v>
      </c>
      <c r="J221" s="2033">
        <f t="shared" si="18"/>
        <v>0</v>
      </c>
      <c r="K221" s="2035">
        <f>IFERROR(VLOOKUP($B221,'[3]1002'!$B$6:$G$5921,2,FALSE),0)</f>
        <v>0</v>
      </c>
      <c r="L221" s="2036">
        <f>IFERROR(VLOOKUP($B221,'[3]1002'!$B$6:$G$5921,4,FALSE),0)</f>
        <v>0</v>
      </c>
      <c r="M221" s="1763">
        <f t="shared" si="19"/>
        <v>0</v>
      </c>
      <c r="N221" s="2033">
        <f>IFERROR(VLOOKUP($B221,'[3]1003'!$B$6:$G$5921,2,FALSE),0)</f>
        <v>0</v>
      </c>
      <c r="O221" s="2034">
        <f>IFERROR(VLOOKUP($B221,'[3]1003'!$B$6:$G$5921,4,FALSE),0)</f>
        <v>0</v>
      </c>
      <c r="P221" s="2033">
        <f t="shared" si="20"/>
        <v>0</v>
      </c>
      <c r="Q221" s="1763">
        <f>IFERROR(VLOOKUP($B221,'[3]1004'!$B$6:$G$5921,2,FALSE),0)</f>
        <v>0</v>
      </c>
      <c r="R221" s="2036">
        <f>IFERROR(VLOOKUP($B221,'[3]1004'!$B$6:$G$5921,4,FALSE),0)</f>
        <v>0</v>
      </c>
      <c r="S221" s="1763">
        <f t="shared" si="21"/>
        <v>0</v>
      </c>
      <c r="T221" s="2033">
        <f>IFERROR(VLOOKUP($B221,'[3]1006'!$B$6:$G$5921,2,FALSE),0)</f>
        <v>0</v>
      </c>
      <c r="U221" s="2034">
        <f>IFERROR(VLOOKUP($B221,'[3]1006'!$B$6:$G$5921,4,FALSE),0)</f>
        <v>0</v>
      </c>
      <c r="V221" s="2033">
        <f t="shared" si="22"/>
        <v>0</v>
      </c>
      <c r="W221" s="2033">
        <f t="shared" si="23"/>
        <v>0</v>
      </c>
    </row>
    <row r="222" spans="2:23" x14ac:dyDescent="0.15">
      <c r="B222" s="2032">
        <v>15174</v>
      </c>
      <c r="C222" s="2032" t="s">
        <v>1691</v>
      </c>
      <c r="D222" s="2037" t="s">
        <v>1692</v>
      </c>
      <c r="E222" s="2032" t="s">
        <v>94</v>
      </c>
      <c r="F222" s="1288" t="s">
        <v>1300</v>
      </c>
      <c r="G222" s="1288" t="s">
        <v>1296</v>
      </c>
      <c r="H222" s="2033">
        <f>IFERROR(VLOOKUP($B222,'[3]1001'!$B$6:$G$5927,2,FALSE),0)</f>
        <v>966821.35</v>
      </c>
      <c r="I222" s="2034">
        <f>IFERROR(VLOOKUP($B222,'[3]1001'!$B$6:$G$5927,4,FALSE),0)</f>
        <v>1</v>
      </c>
      <c r="J222" s="2033">
        <f t="shared" si="18"/>
        <v>966821.35</v>
      </c>
      <c r="K222" s="2035">
        <f>IFERROR(VLOOKUP($B222,'[3]1002'!$B$6:$G$5921,2,FALSE),0)</f>
        <v>0</v>
      </c>
      <c r="L222" s="2036">
        <f>IFERROR(VLOOKUP($B222,'[3]1002'!$B$6:$G$5921,4,FALSE),0)</f>
        <v>0</v>
      </c>
      <c r="M222" s="1763">
        <f t="shared" si="19"/>
        <v>0</v>
      </c>
      <c r="N222" s="2033">
        <f>IFERROR(VLOOKUP($B222,'[3]1003'!$B$6:$G$5921,2,FALSE),0)</f>
        <v>813684.59</v>
      </c>
      <c r="O222" s="2034">
        <f>IFERROR(VLOOKUP($B222,'[3]1003'!$B$6:$G$5921,4,FALSE),0)</f>
        <v>1</v>
      </c>
      <c r="P222" s="2033">
        <f t="shared" si="20"/>
        <v>813684.59</v>
      </c>
      <c r="Q222" s="1763">
        <f>IFERROR(VLOOKUP($B222,'[3]1004'!$B$6:$G$5921,2,FALSE),0)</f>
        <v>0</v>
      </c>
      <c r="R222" s="2036">
        <f>IFERROR(VLOOKUP($B222,'[3]1004'!$B$6:$G$5921,4,FALSE),0)</f>
        <v>0</v>
      </c>
      <c r="S222" s="1763">
        <f t="shared" si="21"/>
        <v>0</v>
      </c>
      <c r="T222" s="2033">
        <f>IFERROR(VLOOKUP($B222,'[3]1006'!$B$6:$G$5921,2,FALSE),0)</f>
        <v>965198.48</v>
      </c>
      <c r="U222" s="2034">
        <f>IFERROR(VLOOKUP($B222,'[3]1006'!$B$6:$G$5921,4,FALSE),0)</f>
        <v>1</v>
      </c>
      <c r="V222" s="2033">
        <f t="shared" si="22"/>
        <v>965198.48</v>
      </c>
      <c r="W222" s="2033">
        <f t="shared" si="23"/>
        <v>3</v>
      </c>
    </row>
    <row r="223" spans="2:23" x14ac:dyDescent="0.15">
      <c r="B223" s="2032">
        <v>15176</v>
      </c>
      <c r="C223" s="2032" t="s">
        <v>1693</v>
      </c>
      <c r="D223" s="2037" t="s">
        <v>1694</v>
      </c>
      <c r="E223" s="2032" t="s">
        <v>94</v>
      </c>
      <c r="F223" s="1288" t="s">
        <v>1325</v>
      </c>
      <c r="G223" s="1288" t="s">
        <v>1303</v>
      </c>
      <c r="H223" s="2033">
        <f>IFERROR(VLOOKUP($B223,'[3]1001'!$B$6:$G$5927,2,FALSE),0)</f>
        <v>0</v>
      </c>
      <c r="I223" s="2034">
        <f>IFERROR(VLOOKUP($B223,'[3]1001'!$B$6:$G$5927,4,FALSE),0)</f>
        <v>0</v>
      </c>
      <c r="J223" s="2033">
        <f t="shared" si="18"/>
        <v>0</v>
      </c>
      <c r="K223" s="2035">
        <f>IFERROR(VLOOKUP($B223,'[3]1002'!$B$6:$G$5921,2,FALSE),0)</f>
        <v>0</v>
      </c>
      <c r="L223" s="2036">
        <f>IFERROR(VLOOKUP($B223,'[3]1002'!$B$6:$G$5921,4,FALSE),0)</f>
        <v>0</v>
      </c>
      <c r="M223" s="1763">
        <f t="shared" si="19"/>
        <v>0</v>
      </c>
      <c r="N223" s="2033">
        <f>IFERROR(VLOOKUP($B223,'[3]1003'!$B$6:$G$5921,2,FALSE),0)</f>
        <v>1981112.88</v>
      </c>
      <c r="O223" s="2034">
        <f>IFERROR(VLOOKUP($B223,'[3]1003'!$B$6:$G$5921,4,FALSE),0)</f>
        <v>1</v>
      </c>
      <c r="P223" s="2033">
        <f t="shared" si="20"/>
        <v>1981112.88</v>
      </c>
      <c r="Q223" s="1763">
        <f>IFERROR(VLOOKUP($B223,'[3]1004'!$B$6:$G$5921,2,FALSE),0)</f>
        <v>6137196.7000000002</v>
      </c>
      <c r="R223" s="2036">
        <f>IFERROR(VLOOKUP($B223,'[3]1004'!$B$6:$G$5921,4,FALSE),0)</f>
        <v>3</v>
      </c>
      <c r="S223" s="1763">
        <f t="shared" si="21"/>
        <v>2045732.2333333334</v>
      </c>
      <c r="T223" s="2033">
        <f>IFERROR(VLOOKUP($B223,'[3]1006'!$B$6:$G$5921,2,FALSE),0)</f>
        <v>0</v>
      </c>
      <c r="U223" s="2034">
        <f>IFERROR(VLOOKUP($B223,'[3]1006'!$B$6:$G$5921,4,FALSE),0)</f>
        <v>0</v>
      </c>
      <c r="V223" s="2033">
        <f t="shared" si="22"/>
        <v>0</v>
      </c>
      <c r="W223" s="2033">
        <f t="shared" si="23"/>
        <v>4</v>
      </c>
    </row>
    <row r="224" spans="2:23" x14ac:dyDescent="0.15">
      <c r="B224" s="2032">
        <v>65407</v>
      </c>
      <c r="C224" s="2032" t="s">
        <v>1695</v>
      </c>
      <c r="D224" s="2032" t="s">
        <v>1696</v>
      </c>
      <c r="E224" s="2032" t="s">
        <v>94</v>
      </c>
      <c r="F224" s="2039" t="s">
        <v>1337</v>
      </c>
      <c r="G224" s="2039" t="s">
        <v>1303</v>
      </c>
      <c r="H224" s="2033">
        <f>IFERROR(VLOOKUP($B224,'[3]1001'!$B$6:$G$5927,2,FALSE),0)</f>
        <v>0</v>
      </c>
      <c r="I224" s="2034">
        <f>IFERROR(VLOOKUP($B224,'[3]1001'!$B$6:$G$5927,4,FALSE),0)</f>
        <v>0</v>
      </c>
      <c r="J224" s="2033">
        <f t="shared" si="18"/>
        <v>0</v>
      </c>
      <c r="K224" s="2035">
        <f>IFERROR(VLOOKUP($B224,'[3]1002'!$B$6:$G$5921,2,FALSE),0)</f>
        <v>0</v>
      </c>
      <c r="L224" s="2036">
        <f>IFERROR(VLOOKUP($B224,'[3]1002'!$B$6:$G$5921,4,FALSE),0)</f>
        <v>0</v>
      </c>
      <c r="M224" s="1763">
        <f t="shared" si="19"/>
        <v>0</v>
      </c>
      <c r="N224" s="2033">
        <f>IFERROR(VLOOKUP($B224,'[3]1003'!$B$6:$G$5921,2,FALSE),0)</f>
        <v>0</v>
      </c>
      <c r="O224" s="2034">
        <f>IFERROR(VLOOKUP($B224,'[3]1003'!$B$6:$G$5921,4,FALSE),0)</f>
        <v>0</v>
      </c>
      <c r="P224" s="2033">
        <f t="shared" si="20"/>
        <v>0</v>
      </c>
      <c r="Q224" s="1763">
        <f>IFERROR(VLOOKUP($B224,'[3]1004'!$B$6:$G$5921,2,FALSE),0)</f>
        <v>0</v>
      </c>
      <c r="R224" s="2036">
        <f>IFERROR(VLOOKUP($B224,'[3]1004'!$B$6:$G$5921,4,FALSE),0)</f>
        <v>0</v>
      </c>
      <c r="S224" s="1763">
        <f t="shared" si="21"/>
        <v>0</v>
      </c>
      <c r="T224" s="2033">
        <f>IFERROR(VLOOKUP($B224,'[3]1006'!$B$6:$G$5921,2,FALSE),0)</f>
        <v>0</v>
      </c>
      <c r="U224" s="2034">
        <f>IFERROR(VLOOKUP($B224,'[3]1006'!$B$6:$G$5921,4,FALSE),0)</f>
        <v>0</v>
      </c>
      <c r="V224" s="2033">
        <f t="shared" si="22"/>
        <v>0</v>
      </c>
      <c r="W224" s="2033">
        <f t="shared" si="23"/>
        <v>0</v>
      </c>
    </row>
    <row r="225" spans="2:23" x14ac:dyDescent="0.15">
      <c r="B225" s="2032">
        <v>15655</v>
      </c>
      <c r="C225" s="2032" t="s">
        <v>1697</v>
      </c>
      <c r="D225" s="2032" t="s">
        <v>1698</v>
      </c>
      <c r="E225" s="2032" t="s">
        <v>94</v>
      </c>
      <c r="F225" s="1288" t="s">
        <v>1300</v>
      </c>
      <c r="G225" s="1288" t="s">
        <v>1296</v>
      </c>
      <c r="H225" s="2033">
        <f>IFERROR(VLOOKUP($B225,'[3]1001'!$B$6:$G$5927,2,FALSE),0)</f>
        <v>0</v>
      </c>
      <c r="I225" s="2034">
        <f>IFERROR(VLOOKUP($B225,'[3]1001'!$B$6:$G$5927,4,FALSE),0)</f>
        <v>0</v>
      </c>
      <c r="J225" s="2033">
        <f t="shared" si="18"/>
        <v>0</v>
      </c>
      <c r="K225" s="2035">
        <f>IFERROR(VLOOKUP($B225,'[3]1002'!$B$6:$G$5921,2,FALSE),0)</f>
        <v>0</v>
      </c>
      <c r="L225" s="2036">
        <f>IFERROR(VLOOKUP($B225,'[3]1002'!$B$6:$G$5921,4,FALSE),0)</f>
        <v>0</v>
      </c>
      <c r="M225" s="1763">
        <f t="shared" si="19"/>
        <v>0</v>
      </c>
      <c r="N225" s="2033">
        <f>IFERROR(VLOOKUP($B225,'[3]1003'!$B$6:$G$5921,2,FALSE),0)</f>
        <v>0</v>
      </c>
      <c r="O225" s="2034">
        <f>IFERROR(VLOOKUP($B225,'[3]1003'!$B$6:$G$5921,4,FALSE),0)</f>
        <v>0</v>
      </c>
      <c r="P225" s="2033">
        <f t="shared" si="20"/>
        <v>0</v>
      </c>
      <c r="Q225" s="1763">
        <f>IFERROR(VLOOKUP($B225,'[3]1004'!$B$6:$G$5921,2,FALSE),0)</f>
        <v>0</v>
      </c>
      <c r="R225" s="2036">
        <f>IFERROR(VLOOKUP($B225,'[3]1004'!$B$6:$G$5921,4,FALSE),0)</f>
        <v>0</v>
      </c>
      <c r="S225" s="1763">
        <f t="shared" si="21"/>
        <v>0</v>
      </c>
      <c r="T225" s="2033">
        <f>IFERROR(VLOOKUP($B225,'[3]1006'!$B$6:$G$5921,2,FALSE),0)</f>
        <v>0</v>
      </c>
      <c r="U225" s="2034">
        <f>IFERROR(VLOOKUP($B225,'[3]1006'!$B$6:$G$5921,4,FALSE),0)</f>
        <v>0</v>
      </c>
      <c r="V225" s="2033">
        <f t="shared" si="22"/>
        <v>0</v>
      </c>
      <c r="W225" s="2033">
        <f t="shared" si="23"/>
        <v>0</v>
      </c>
    </row>
    <row r="226" spans="2:23" x14ac:dyDescent="0.15">
      <c r="B226" s="2032">
        <v>15685</v>
      </c>
      <c r="C226" s="2032" t="s">
        <v>1699</v>
      </c>
      <c r="D226" s="2032" t="s">
        <v>1700</v>
      </c>
      <c r="E226" s="2032" t="s">
        <v>94</v>
      </c>
      <c r="F226" s="1288" t="s">
        <v>1300</v>
      </c>
      <c r="G226" s="1288" t="s">
        <v>1296</v>
      </c>
      <c r="H226" s="2033">
        <f>IFERROR(VLOOKUP($B226,'[3]1001'!$B$6:$G$5927,2,FALSE),0)</f>
        <v>0</v>
      </c>
      <c r="I226" s="2034">
        <f>IFERROR(VLOOKUP($B226,'[3]1001'!$B$6:$G$5927,4,FALSE),0)</f>
        <v>0</v>
      </c>
      <c r="J226" s="2033">
        <f t="shared" si="18"/>
        <v>0</v>
      </c>
      <c r="K226" s="2035">
        <f>IFERROR(VLOOKUP($B226,'[3]1002'!$B$6:$G$5921,2,FALSE),0)</f>
        <v>0</v>
      </c>
      <c r="L226" s="2036">
        <f>IFERROR(VLOOKUP($B226,'[3]1002'!$B$6:$G$5921,4,FALSE),0)</f>
        <v>0</v>
      </c>
      <c r="M226" s="1763">
        <f t="shared" si="19"/>
        <v>0</v>
      </c>
      <c r="N226" s="2033">
        <f>IFERROR(VLOOKUP($B226,'[3]1003'!$B$6:$G$5921,2,FALSE),0)</f>
        <v>0</v>
      </c>
      <c r="O226" s="2034">
        <f>IFERROR(VLOOKUP($B226,'[3]1003'!$B$6:$G$5921,4,FALSE),0)</f>
        <v>0</v>
      </c>
      <c r="P226" s="2033">
        <f t="shared" si="20"/>
        <v>0</v>
      </c>
      <c r="Q226" s="1763">
        <f>IFERROR(VLOOKUP($B226,'[3]1004'!$B$6:$G$5921,2,FALSE),0)</f>
        <v>0</v>
      </c>
      <c r="R226" s="2036">
        <f>IFERROR(VLOOKUP($B226,'[3]1004'!$B$6:$G$5921,4,FALSE),0)</f>
        <v>0</v>
      </c>
      <c r="S226" s="1763">
        <f t="shared" si="21"/>
        <v>0</v>
      </c>
      <c r="T226" s="2033">
        <f>IFERROR(VLOOKUP($B226,'[3]1006'!$B$6:$G$5921,2,FALSE),0)</f>
        <v>0</v>
      </c>
      <c r="U226" s="2034">
        <f>IFERROR(VLOOKUP($B226,'[3]1006'!$B$6:$G$5921,4,FALSE),0)</f>
        <v>0</v>
      </c>
      <c r="V226" s="2033">
        <f t="shared" si="22"/>
        <v>0</v>
      </c>
      <c r="W226" s="2033">
        <f t="shared" si="23"/>
        <v>0</v>
      </c>
    </row>
    <row r="227" spans="2:23" x14ac:dyDescent="0.15">
      <c r="B227" s="2032">
        <v>15704</v>
      </c>
      <c r="C227" s="2032" t="s">
        <v>1701</v>
      </c>
      <c r="D227" s="2032" t="s">
        <v>1702</v>
      </c>
      <c r="E227" s="2032" t="s">
        <v>94</v>
      </c>
      <c r="F227" s="1288" t="s">
        <v>1300</v>
      </c>
      <c r="G227" s="1288" t="s">
        <v>1296</v>
      </c>
      <c r="H227" s="2033">
        <f>IFERROR(VLOOKUP($B227,'[3]1001'!$B$6:$G$5927,2,FALSE),0)</f>
        <v>6200466.29</v>
      </c>
      <c r="I227" s="2034">
        <f>IFERROR(VLOOKUP($B227,'[3]1001'!$B$6:$G$5927,4,FALSE),0)</f>
        <v>4</v>
      </c>
      <c r="J227" s="2033">
        <f t="shared" si="18"/>
        <v>1550116.5725</v>
      </c>
      <c r="K227" s="2035">
        <f>IFERROR(VLOOKUP($B227,'[3]1002'!$B$6:$G$5921,2,FALSE),0)</f>
        <v>0</v>
      </c>
      <c r="L227" s="2036">
        <f>IFERROR(VLOOKUP($B227,'[3]1002'!$B$6:$G$5921,4,FALSE),0)</f>
        <v>0</v>
      </c>
      <c r="M227" s="1763">
        <f t="shared" si="19"/>
        <v>0</v>
      </c>
      <c r="N227" s="2033">
        <f>IFERROR(VLOOKUP($B227,'[3]1003'!$B$6:$G$5921,2,FALSE),0)</f>
        <v>0</v>
      </c>
      <c r="O227" s="2034">
        <f>IFERROR(VLOOKUP($B227,'[3]1003'!$B$6:$G$5921,4,FALSE),0)</f>
        <v>0</v>
      </c>
      <c r="P227" s="2033">
        <f t="shared" si="20"/>
        <v>0</v>
      </c>
      <c r="Q227" s="1763">
        <f>IFERROR(VLOOKUP($B227,'[3]1004'!$B$6:$G$5921,2,FALSE),0)</f>
        <v>4650349.72</v>
      </c>
      <c r="R227" s="2036">
        <f>IFERROR(VLOOKUP($B227,'[3]1004'!$B$6:$G$5921,4,FALSE),0)</f>
        <v>3</v>
      </c>
      <c r="S227" s="1763">
        <f t="shared" si="21"/>
        <v>1550116.5733333332</v>
      </c>
      <c r="T227" s="2033">
        <f>IFERROR(VLOOKUP($B227,'[3]1006'!$B$6:$G$5921,2,FALSE),0)</f>
        <v>0</v>
      </c>
      <c r="U227" s="2034">
        <f>IFERROR(VLOOKUP($B227,'[3]1006'!$B$6:$G$5921,4,FALSE),0)</f>
        <v>0</v>
      </c>
      <c r="V227" s="2033">
        <f t="shared" si="22"/>
        <v>0</v>
      </c>
      <c r="W227" s="2033">
        <f t="shared" si="23"/>
        <v>7</v>
      </c>
    </row>
    <row r="228" spans="2:23" x14ac:dyDescent="0.15">
      <c r="B228" s="2032">
        <v>15732</v>
      </c>
      <c r="C228" s="2032" t="s">
        <v>1703</v>
      </c>
      <c r="D228" s="2032" t="s">
        <v>1704</v>
      </c>
      <c r="E228" s="2032" t="s">
        <v>94</v>
      </c>
      <c r="F228" s="1288" t="s">
        <v>1300</v>
      </c>
      <c r="G228" s="1288" t="s">
        <v>1296</v>
      </c>
      <c r="H228" s="2033">
        <f>IFERROR(VLOOKUP($B228,'[3]1001'!$B$6:$G$5927,2,FALSE),0)</f>
        <v>3330432</v>
      </c>
      <c r="I228" s="2034">
        <f>IFERROR(VLOOKUP($B228,'[3]1001'!$B$6:$G$5927,4,FALSE),0)</f>
        <v>3</v>
      </c>
      <c r="J228" s="2033">
        <f t="shared" si="18"/>
        <v>1110144</v>
      </c>
      <c r="K228" s="2035">
        <f>IFERROR(VLOOKUP($B228,'[3]1002'!$B$6:$G$5921,2,FALSE),0)</f>
        <v>0</v>
      </c>
      <c r="L228" s="2036">
        <f>IFERROR(VLOOKUP($B228,'[3]1002'!$B$6:$G$5921,4,FALSE),0)</f>
        <v>0</v>
      </c>
      <c r="M228" s="1763">
        <f t="shared" si="19"/>
        <v>0</v>
      </c>
      <c r="N228" s="2033">
        <f>IFERROR(VLOOKUP($B228,'[3]1003'!$B$6:$G$5921,2,FALSE),0)</f>
        <v>1110144</v>
      </c>
      <c r="O228" s="2034">
        <f>IFERROR(VLOOKUP($B228,'[3]1003'!$B$6:$G$5921,4,FALSE),0)</f>
        <v>1</v>
      </c>
      <c r="P228" s="2033">
        <f t="shared" si="20"/>
        <v>1110144</v>
      </c>
      <c r="Q228" s="1763">
        <f>IFERROR(VLOOKUP($B228,'[3]1004'!$B$6:$G$5921,2,FALSE),0)</f>
        <v>0</v>
      </c>
      <c r="R228" s="2036">
        <f>IFERROR(VLOOKUP($B228,'[3]1004'!$B$6:$G$5921,4,FALSE),0)</f>
        <v>0</v>
      </c>
      <c r="S228" s="1763">
        <f t="shared" si="21"/>
        <v>0</v>
      </c>
      <c r="T228" s="2033">
        <f>IFERROR(VLOOKUP($B228,'[3]1006'!$B$6:$G$5921,2,FALSE),0)</f>
        <v>0</v>
      </c>
      <c r="U228" s="2034">
        <f>IFERROR(VLOOKUP($B228,'[3]1006'!$B$6:$G$5921,4,FALSE),0)</f>
        <v>0</v>
      </c>
      <c r="V228" s="2033">
        <f t="shared" si="22"/>
        <v>0</v>
      </c>
      <c r="W228" s="2033">
        <f t="shared" si="23"/>
        <v>4</v>
      </c>
    </row>
    <row r="229" spans="2:23" x14ac:dyDescent="0.15">
      <c r="B229" s="2032">
        <v>15733</v>
      </c>
      <c r="C229" s="2032" t="s">
        <v>1705</v>
      </c>
      <c r="D229" s="2032" t="s">
        <v>1706</v>
      </c>
      <c r="E229" s="2032" t="s">
        <v>94</v>
      </c>
      <c r="F229" s="1288" t="s">
        <v>1300</v>
      </c>
      <c r="G229" s="1288" t="s">
        <v>1296</v>
      </c>
      <c r="H229" s="2033">
        <f>IFERROR(VLOOKUP($B229,'[3]1001'!$B$6:$G$5927,2,FALSE),0)</f>
        <v>2363074</v>
      </c>
      <c r="I229" s="2034">
        <f>IFERROR(VLOOKUP($B229,'[3]1001'!$B$6:$G$5927,4,FALSE),0)</f>
        <v>2</v>
      </c>
      <c r="J229" s="2033">
        <f t="shared" si="18"/>
        <v>1181537</v>
      </c>
      <c r="K229" s="2035">
        <f>IFERROR(VLOOKUP($B229,'[3]1002'!$B$6:$G$5921,2,FALSE),0)</f>
        <v>0</v>
      </c>
      <c r="L229" s="2036">
        <f>IFERROR(VLOOKUP($B229,'[3]1002'!$B$6:$G$5921,4,FALSE),0)</f>
        <v>0</v>
      </c>
      <c r="M229" s="1763">
        <f t="shared" si="19"/>
        <v>0</v>
      </c>
      <c r="N229" s="2033">
        <f>IFERROR(VLOOKUP($B229,'[3]1003'!$B$6:$G$5921,2,FALSE),0)</f>
        <v>0</v>
      </c>
      <c r="O229" s="2034">
        <f>IFERROR(VLOOKUP($B229,'[3]1003'!$B$6:$G$5921,4,FALSE),0)</f>
        <v>0</v>
      </c>
      <c r="P229" s="2033">
        <f t="shared" si="20"/>
        <v>0</v>
      </c>
      <c r="Q229" s="1763">
        <f>IFERROR(VLOOKUP($B229,'[3]1004'!$B$6:$G$5921,2,FALSE),0)</f>
        <v>0</v>
      </c>
      <c r="R229" s="2036">
        <f>IFERROR(VLOOKUP($B229,'[3]1004'!$B$6:$G$5921,4,FALSE),0)</f>
        <v>0</v>
      </c>
      <c r="S229" s="1763">
        <f t="shared" si="21"/>
        <v>0</v>
      </c>
      <c r="T229" s="2033">
        <f>IFERROR(VLOOKUP($B229,'[3]1006'!$B$6:$G$5921,2,FALSE),0)</f>
        <v>0</v>
      </c>
      <c r="U229" s="2034">
        <f>IFERROR(VLOOKUP($B229,'[3]1006'!$B$6:$G$5921,4,FALSE),0)</f>
        <v>0</v>
      </c>
      <c r="V229" s="2033">
        <f t="shared" si="22"/>
        <v>0</v>
      </c>
      <c r="W229" s="2033">
        <f t="shared" si="23"/>
        <v>2</v>
      </c>
    </row>
    <row r="230" spans="2:23" x14ac:dyDescent="0.15">
      <c r="B230" s="2032">
        <v>15734</v>
      </c>
      <c r="C230" s="2032" t="s">
        <v>1707</v>
      </c>
      <c r="D230" s="2032" t="s">
        <v>1708</v>
      </c>
      <c r="E230" s="2032" t="s">
        <v>94</v>
      </c>
      <c r="F230" s="1288" t="s">
        <v>1300</v>
      </c>
      <c r="G230" s="1288" t="s">
        <v>1296</v>
      </c>
      <c r="H230" s="2033">
        <f>IFERROR(VLOOKUP($B230,'[3]1001'!$B$6:$G$5927,2,FALSE),0)</f>
        <v>1188000</v>
      </c>
      <c r="I230" s="2034">
        <f>IFERROR(VLOOKUP($B230,'[3]1001'!$B$6:$G$5927,4,FALSE),0)</f>
        <v>6</v>
      </c>
      <c r="J230" s="2033">
        <f t="shared" si="18"/>
        <v>198000</v>
      </c>
      <c r="K230" s="2035">
        <f>IFERROR(VLOOKUP($B230,'[3]1002'!$B$6:$G$5921,2,FALSE),0)</f>
        <v>0</v>
      </c>
      <c r="L230" s="2036">
        <f>IFERROR(VLOOKUP($B230,'[3]1002'!$B$6:$G$5921,4,FALSE),0)</f>
        <v>0</v>
      </c>
      <c r="M230" s="1763">
        <f t="shared" si="19"/>
        <v>0</v>
      </c>
      <c r="N230" s="2033">
        <f>IFERROR(VLOOKUP($B230,'[3]1003'!$B$6:$G$5921,2,FALSE),0)</f>
        <v>0</v>
      </c>
      <c r="O230" s="2034">
        <f>IFERROR(VLOOKUP($B230,'[3]1003'!$B$6:$G$5921,4,FALSE),0)</f>
        <v>0</v>
      </c>
      <c r="P230" s="2033">
        <f t="shared" si="20"/>
        <v>0</v>
      </c>
      <c r="Q230" s="1763">
        <f>IFERROR(VLOOKUP($B230,'[3]1004'!$B$6:$G$5921,2,FALSE),0)</f>
        <v>0</v>
      </c>
      <c r="R230" s="2036">
        <f>IFERROR(VLOOKUP($B230,'[3]1004'!$B$6:$G$5921,4,FALSE),0)</f>
        <v>0</v>
      </c>
      <c r="S230" s="1763">
        <f t="shared" si="21"/>
        <v>0</v>
      </c>
      <c r="T230" s="2033">
        <f>IFERROR(VLOOKUP($B230,'[3]1006'!$B$6:$G$5921,2,FALSE),0)</f>
        <v>0</v>
      </c>
      <c r="U230" s="2034">
        <f>IFERROR(VLOOKUP($B230,'[3]1006'!$B$6:$G$5921,4,FALSE),0)</f>
        <v>0</v>
      </c>
      <c r="V230" s="2033">
        <f t="shared" si="22"/>
        <v>0</v>
      </c>
      <c r="W230" s="2033">
        <f t="shared" si="23"/>
        <v>6</v>
      </c>
    </row>
    <row r="231" spans="2:23" x14ac:dyDescent="0.15">
      <c r="B231" s="2032">
        <v>18751</v>
      </c>
      <c r="C231" s="2032" t="s">
        <v>2464</v>
      </c>
      <c r="D231" s="2032" t="s">
        <v>2464</v>
      </c>
      <c r="E231" s="2032" t="s">
        <v>94</v>
      </c>
      <c r="F231" s="1288" t="s">
        <v>2465</v>
      </c>
      <c r="G231" s="1288" t="s">
        <v>1303</v>
      </c>
      <c r="H231" s="2033">
        <f>IFERROR(VLOOKUP($B231,'[3]1001'!$B$6:$G$5927,2,FALSE),0)</f>
        <v>0</v>
      </c>
      <c r="I231" s="2034">
        <f>IFERROR(VLOOKUP($B231,'[3]1001'!$B$6:$G$5927,4,FALSE),0)</f>
        <v>0</v>
      </c>
      <c r="J231" s="2033">
        <f t="shared" si="18"/>
        <v>0</v>
      </c>
      <c r="K231" s="2035">
        <f>IFERROR(VLOOKUP($B231,'[3]1002'!$B$6:$G$5921,2,FALSE),0)</f>
        <v>0</v>
      </c>
      <c r="L231" s="2036">
        <f>IFERROR(VLOOKUP($B231,'[3]1002'!$B$6:$G$5921,4,FALSE),0)</f>
        <v>0</v>
      </c>
      <c r="M231" s="1763">
        <f t="shared" si="19"/>
        <v>0</v>
      </c>
      <c r="N231" s="2033">
        <f>IFERROR(VLOOKUP($B231,'[3]1003'!$B$6:$G$5921,2,FALSE),0)</f>
        <v>0</v>
      </c>
      <c r="O231" s="2034">
        <f>IFERROR(VLOOKUP($B231,'[3]1003'!$B$6:$G$5921,4,FALSE),0)</f>
        <v>0</v>
      </c>
      <c r="P231" s="2033">
        <f t="shared" si="20"/>
        <v>0</v>
      </c>
      <c r="Q231" s="1763">
        <f>IFERROR(VLOOKUP($B231,'[3]1004'!$B$6:$G$5921,2,FALSE),0)</f>
        <v>0</v>
      </c>
      <c r="R231" s="2036">
        <f>IFERROR(VLOOKUP($B231,'[3]1004'!$B$6:$G$5921,4,FALSE),0)</f>
        <v>0</v>
      </c>
      <c r="S231" s="1763">
        <f t="shared" si="21"/>
        <v>0</v>
      </c>
      <c r="T231" s="2033">
        <f>IFERROR(VLOOKUP($B231,'[3]1006'!$B$6:$G$5921,2,FALSE),0)</f>
        <v>0</v>
      </c>
      <c r="U231" s="2034">
        <f>IFERROR(VLOOKUP($B231,'[3]1006'!$B$6:$G$5921,4,FALSE),0)</f>
        <v>0</v>
      </c>
      <c r="V231" s="2033">
        <f t="shared" si="22"/>
        <v>0</v>
      </c>
      <c r="W231" s="2033">
        <f t="shared" si="23"/>
        <v>0</v>
      </c>
    </row>
    <row r="232" spans="2:23" x14ac:dyDescent="0.15">
      <c r="B232" s="2032">
        <v>20702</v>
      </c>
      <c r="C232" s="2032" t="s">
        <v>2466</v>
      </c>
      <c r="D232" s="2032" t="s">
        <v>2466</v>
      </c>
      <c r="E232" s="2032" t="s">
        <v>94</v>
      </c>
      <c r="F232" s="1288" t="s">
        <v>1300</v>
      </c>
      <c r="G232" s="1288" t="s">
        <v>1296</v>
      </c>
      <c r="H232" s="2033">
        <f>IFERROR(VLOOKUP($B232,'[3]1001'!$B$6:$G$5927,2,FALSE),0)</f>
        <v>0</v>
      </c>
      <c r="I232" s="2034">
        <f>IFERROR(VLOOKUP($B232,'[3]1001'!$B$6:$G$5927,4,FALSE),0)</f>
        <v>0</v>
      </c>
      <c r="J232" s="2033">
        <f t="shared" si="18"/>
        <v>0</v>
      </c>
      <c r="K232" s="2035">
        <f>IFERROR(VLOOKUP($B232,'[3]1002'!$B$6:$G$5921,2,FALSE),0)</f>
        <v>0</v>
      </c>
      <c r="L232" s="2036">
        <f>IFERROR(VLOOKUP($B232,'[3]1002'!$B$6:$G$5921,4,FALSE),0)</f>
        <v>0</v>
      </c>
      <c r="M232" s="1763">
        <f t="shared" si="19"/>
        <v>0</v>
      </c>
      <c r="N232" s="2033">
        <f>IFERROR(VLOOKUP($B232,'[3]1003'!$B$6:$G$5921,2,FALSE),0)</f>
        <v>0</v>
      </c>
      <c r="O232" s="2034">
        <f>IFERROR(VLOOKUP($B232,'[3]1003'!$B$6:$G$5921,4,FALSE),0)</f>
        <v>0</v>
      </c>
      <c r="P232" s="2033">
        <f t="shared" si="20"/>
        <v>0</v>
      </c>
      <c r="Q232" s="1763">
        <f>IFERROR(VLOOKUP($B232,'[3]1004'!$B$6:$G$5921,2,FALSE),0)</f>
        <v>0</v>
      </c>
      <c r="R232" s="2036">
        <f>IFERROR(VLOOKUP($B232,'[3]1004'!$B$6:$G$5921,4,FALSE),0)</f>
        <v>0</v>
      </c>
      <c r="S232" s="1763">
        <f t="shared" si="21"/>
        <v>0</v>
      </c>
      <c r="T232" s="2033">
        <f>IFERROR(VLOOKUP($B232,'[3]1006'!$B$6:$G$5921,2,FALSE),0)</f>
        <v>0</v>
      </c>
      <c r="U232" s="2034">
        <f>IFERROR(VLOOKUP($B232,'[3]1006'!$B$6:$G$5921,4,FALSE),0)</f>
        <v>0</v>
      </c>
      <c r="V232" s="2033">
        <f t="shared" si="22"/>
        <v>0</v>
      </c>
      <c r="W232" s="2033">
        <f t="shared" si="23"/>
        <v>0</v>
      </c>
    </row>
    <row r="233" spans="2:23" x14ac:dyDescent="0.15">
      <c r="B233" s="1288">
        <v>23637</v>
      </c>
      <c r="C233" s="1288" t="s">
        <v>2467</v>
      </c>
      <c r="D233" s="1288"/>
      <c r="E233" s="1288" t="s">
        <v>94</v>
      </c>
      <c r="F233" s="1288" t="s">
        <v>1300</v>
      </c>
      <c r="G233" s="1288" t="s">
        <v>1303</v>
      </c>
      <c r="H233" s="2033">
        <f>IFERROR(VLOOKUP($B233,'[3]1001'!$B$6:$G$5927,2,FALSE),0)</f>
        <v>0</v>
      </c>
      <c r="I233" s="2034">
        <f>IFERROR(VLOOKUP($B233,'[3]1001'!$B$6:$G$5927,4,FALSE),0)</f>
        <v>0</v>
      </c>
      <c r="J233" s="2033">
        <f t="shared" si="18"/>
        <v>0</v>
      </c>
      <c r="K233" s="2035">
        <f>IFERROR(VLOOKUP($B233,'[3]1002'!$B$6:$G$5921,2,FALSE),0)</f>
        <v>0</v>
      </c>
      <c r="L233" s="2036">
        <f>IFERROR(VLOOKUP($B233,'[3]1002'!$B$6:$G$5921,4,FALSE),0)</f>
        <v>0</v>
      </c>
      <c r="M233" s="1763">
        <f t="shared" si="19"/>
        <v>0</v>
      </c>
      <c r="N233" s="2033">
        <f>IFERROR(VLOOKUP($B233,'[3]1003'!$B$6:$G$5921,2,FALSE),0)</f>
        <v>0</v>
      </c>
      <c r="O233" s="2034">
        <f>IFERROR(VLOOKUP($B233,'[3]1003'!$B$6:$G$5921,4,FALSE),0)</f>
        <v>0</v>
      </c>
      <c r="P233" s="2033">
        <f t="shared" si="20"/>
        <v>0</v>
      </c>
      <c r="Q233" s="1763">
        <f>IFERROR(VLOOKUP($B233,'[3]1004'!$B$6:$G$5921,2,FALSE),0)</f>
        <v>0</v>
      </c>
      <c r="R233" s="2036">
        <f>IFERROR(VLOOKUP($B233,'[3]1004'!$B$6:$G$5921,4,FALSE),0)</f>
        <v>0</v>
      </c>
      <c r="S233" s="1763">
        <f t="shared" si="21"/>
        <v>0</v>
      </c>
      <c r="T233" s="2033">
        <f>IFERROR(VLOOKUP($B233,'[3]1006'!$B$6:$G$5921,2,FALSE),0)</f>
        <v>0</v>
      </c>
      <c r="U233" s="2034">
        <f>IFERROR(VLOOKUP($B233,'[3]1006'!$B$6:$G$5921,4,FALSE),0)</f>
        <v>0</v>
      </c>
      <c r="V233" s="2033">
        <f t="shared" si="22"/>
        <v>0</v>
      </c>
      <c r="W233" s="2033">
        <f t="shared" si="23"/>
        <v>0</v>
      </c>
    </row>
    <row r="234" spans="2:23" x14ac:dyDescent="0.15">
      <c r="B234" s="1288">
        <v>23894</v>
      </c>
      <c r="C234" s="1288" t="s">
        <v>2468</v>
      </c>
      <c r="D234" s="1288"/>
      <c r="E234" s="1288" t="s">
        <v>94</v>
      </c>
      <c r="F234" s="1288" t="s">
        <v>1300</v>
      </c>
      <c r="G234" s="1288" t="s">
        <v>1303</v>
      </c>
      <c r="H234" s="2033">
        <f>IFERROR(VLOOKUP($B234,'[3]1001'!$B$6:$G$5927,2,FALSE),0)</f>
        <v>0</v>
      </c>
      <c r="I234" s="2034">
        <f>IFERROR(VLOOKUP($B234,'[3]1001'!$B$6:$G$5927,4,FALSE),0)</f>
        <v>0</v>
      </c>
      <c r="J234" s="2033">
        <f t="shared" si="18"/>
        <v>0</v>
      </c>
      <c r="K234" s="2035">
        <f>IFERROR(VLOOKUP($B234,'[3]1002'!$B$6:$G$5921,2,FALSE),0)</f>
        <v>0</v>
      </c>
      <c r="L234" s="2036">
        <f>IFERROR(VLOOKUP($B234,'[3]1002'!$B$6:$G$5921,4,FALSE),0)</f>
        <v>0</v>
      </c>
      <c r="M234" s="1763">
        <f t="shared" si="19"/>
        <v>0</v>
      </c>
      <c r="N234" s="2033">
        <f>IFERROR(VLOOKUP($B234,'[3]1003'!$B$6:$G$5921,2,FALSE),0)</f>
        <v>0</v>
      </c>
      <c r="O234" s="2034">
        <f>IFERROR(VLOOKUP($B234,'[3]1003'!$B$6:$G$5921,4,FALSE),0)</f>
        <v>0</v>
      </c>
      <c r="P234" s="2033">
        <f t="shared" si="20"/>
        <v>0</v>
      </c>
      <c r="Q234" s="1763">
        <f>IFERROR(VLOOKUP($B234,'[3]1004'!$B$6:$G$5921,2,FALSE),0)</f>
        <v>0</v>
      </c>
      <c r="R234" s="2036">
        <f>IFERROR(VLOOKUP($B234,'[3]1004'!$B$6:$G$5921,4,FALSE),0)</f>
        <v>0</v>
      </c>
      <c r="S234" s="1763">
        <f t="shared" si="21"/>
        <v>0</v>
      </c>
      <c r="T234" s="2033">
        <f>IFERROR(VLOOKUP($B234,'[3]1006'!$B$6:$G$5921,2,FALSE),0)</f>
        <v>0</v>
      </c>
      <c r="U234" s="2034">
        <f>IFERROR(VLOOKUP($B234,'[3]1006'!$B$6:$G$5921,4,FALSE),0)</f>
        <v>0</v>
      </c>
      <c r="V234" s="2033">
        <f t="shared" si="22"/>
        <v>0</v>
      </c>
      <c r="W234" s="2033">
        <f t="shared" si="23"/>
        <v>0</v>
      </c>
    </row>
    <row r="235" spans="2:23" x14ac:dyDescent="0.15">
      <c r="B235" s="1288">
        <v>23906</v>
      </c>
      <c r="C235" s="1288" t="s">
        <v>2469</v>
      </c>
      <c r="D235" s="1288"/>
      <c r="E235" s="1288" t="s">
        <v>94</v>
      </c>
      <c r="F235" s="1288" t="s">
        <v>1300</v>
      </c>
      <c r="G235" s="1288" t="s">
        <v>1296</v>
      </c>
      <c r="H235" s="2033">
        <f>IFERROR(VLOOKUP($B235,'[3]1001'!$B$6:$G$5927,2,FALSE),0)</f>
        <v>0</v>
      </c>
      <c r="I235" s="2034">
        <f>IFERROR(VLOOKUP($B235,'[3]1001'!$B$6:$G$5927,4,FALSE),0)</f>
        <v>0</v>
      </c>
      <c r="J235" s="2033">
        <f t="shared" si="18"/>
        <v>0</v>
      </c>
      <c r="K235" s="2035">
        <f>IFERROR(VLOOKUP($B235,'[3]1002'!$B$6:$G$5921,2,FALSE),0)</f>
        <v>0</v>
      </c>
      <c r="L235" s="2036">
        <f>IFERROR(VLOOKUP($B235,'[3]1002'!$B$6:$G$5921,4,FALSE),0)</f>
        <v>0</v>
      </c>
      <c r="M235" s="1763">
        <f t="shared" si="19"/>
        <v>0</v>
      </c>
      <c r="N235" s="2033">
        <f>IFERROR(VLOOKUP($B235,'[3]1003'!$B$6:$G$5921,2,FALSE),0)</f>
        <v>0</v>
      </c>
      <c r="O235" s="2034">
        <f>IFERROR(VLOOKUP($B235,'[3]1003'!$B$6:$G$5921,4,FALSE),0)</f>
        <v>0</v>
      </c>
      <c r="P235" s="2033">
        <f t="shared" si="20"/>
        <v>0</v>
      </c>
      <c r="Q235" s="1763">
        <f>IFERROR(VLOOKUP($B235,'[3]1004'!$B$6:$G$5921,2,FALSE),0)</f>
        <v>0</v>
      </c>
      <c r="R235" s="2036">
        <f>IFERROR(VLOOKUP($B235,'[3]1004'!$B$6:$G$5921,4,FALSE),0)</f>
        <v>0</v>
      </c>
      <c r="S235" s="1763">
        <f t="shared" si="21"/>
        <v>0</v>
      </c>
      <c r="T235" s="2033">
        <f>IFERROR(VLOOKUP($B235,'[3]1006'!$B$6:$G$5921,2,FALSE),0)</f>
        <v>0</v>
      </c>
      <c r="U235" s="2034">
        <f>IFERROR(VLOOKUP($B235,'[3]1006'!$B$6:$G$5921,4,FALSE),0)</f>
        <v>0</v>
      </c>
      <c r="V235" s="2033">
        <f t="shared" si="22"/>
        <v>0</v>
      </c>
      <c r="W235" s="2033">
        <f t="shared" si="23"/>
        <v>0</v>
      </c>
    </row>
    <row r="236" spans="2:23" x14ac:dyDescent="0.15">
      <c r="B236" s="1288">
        <v>23918</v>
      </c>
      <c r="C236" s="1288" t="s">
        <v>2470</v>
      </c>
      <c r="D236" s="1288"/>
      <c r="E236" s="1288" t="s">
        <v>94</v>
      </c>
      <c r="F236" s="1288" t="s">
        <v>1300</v>
      </c>
      <c r="G236" s="1288" t="s">
        <v>1303</v>
      </c>
      <c r="H236" s="2033">
        <f>IFERROR(VLOOKUP($B236,'[3]1001'!$B$6:$G$5927,2,FALSE),0)</f>
        <v>0</v>
      </c>
      <c r="I236" s="2034">
        <f>IFERROR(VLOOKUP($B236,'[3]1001'!$B$6:$G$5927,4,FALSE),0)</f>
        <v>0</v>
      </c>
      <c r="J236" s="2033">
        <f t="shared" si="18"/>
        <v>0</v>
      </c>
      <c r="K236" s="2035">
        <f>IFERROR(VLOOKUP($B236,'[3]1002'!$B$6:$G$5921,2,FALSE),0)</f>
        <v>0</v>
      </c>
      <c r="L236" s="2036">
        <f>IFERROR(VLOOKUP($B236,'[3]1002'!$B$6:$G$5921,4,FALSE),0)</f>
        <v>0</v>
      </c>
      <c r="M236" s="1763">
        <f t="shared" si="19"/>
        <v>0</v>
      </c>
      <c r="N236" s="2033">
        <f>IFERROR(VLOOKUP($B236,'[3]1003'!$B$6:$G$5921,2,FALSE),0)</f>
        <v>0</v>
      </c>
      <c r="O236" s="2034">
        <f>IFERROR(VLOOKUP($B236,'[3]1003'!$B$6:$G$5921,4,FALSE),0)</f>
        <v>0</v>
      </c>
      <c r="P236" s="2033">
        <f t="shared" si="20"/>
        <v>0</v>
      </c>
      <c r="Q236" s="1763">
        <f>IFERROR(VLOOKUP($B236,'[3]1004'!$B$6:$G$5921,2,FALSE),0)</f>
        <v>0</v>
      </c>
      <c r="R236" s="2036">
        <f>IFERROR(VLOOKUP($B236,'[3]1004'!$B$6:$G$5921,4,FALSE),0)</f>
        <v>0</v>
      </c>
      <c r="S236" s="1763">
        <f t="shared" si="21"/>
        <v>0</v>
      </c>
      <c r="T236" s="2033">
        <f>IFERROR(VLOOKUP($B236,'[3]1006'!$B$6:$G$5921,2,FALSE),0)</f>
        <v>0</v>
      </c>
      <c r="U236" s="2034">
        <f>IFERROR(VLOOKUP($B236,'[3]1006'!$B$6:$G$5921,4,FALSE),0)</f>
        <v>0</v>
      </c>
      <c r="V236" s="2033">
        <f t="shared" si="22"/>
        <v>0</v>
      </c>
      <c r="W236" s="2033">
        <f t="shared" si="23"/>
        <v>0</v>
      </c>
    </row>
    <row r="237" spans="2:23" x14ac:dyDescent="0.15">
      <c r="B237" s="1288">
        <v>24137</v>
      </c>
      <c r="C237" s="1288" t="s">
        <v>2471</v>
      </c>
      <c r="D237" s="1288"/>
      <c r="E237" s="1288" t="s">
        <v>94</v>
      </c>
      <c r="F237" s="1288" t="s">
        <v>1300</v>
      </c>
      <c r="G237" s="1288" t="s">
        <v>1296</v>
      </c>
      <c r="H237" s="2033">
        <f>IFERROR(VLOOKUP($B237,'[3]1001'!$B$6:$G$5927,2,FALSE),0)</f>
        <v>0</v>
      </c>
      <c r="I237" s="2034">
        <f>IFERROR(VLOOKUP($B237,'[3]1001'!$B$6:$G$5927,4,FALSE),0)</f>
        <v>0</v>
      </c>
      <c r="J237" s="2033">
        <f t="shared" si="18"/>
        <v>0</v>
      </c>
      <c r="K237" s="2035">
        <f>IFERROR(VLOOKUP($B237,'[3]1002'!$B$6:$G$5921,2,FALSE),0)</f>
        <v>0</v>
      </c>
      <c r="L237" s="2036">
        <f>IFERROR(VLOOKUP($B237,'[3]1002'!$B$6:$G$5921,4,FALSE),0)</f>
        <v>0</v>
      </c>
      <c r="M237" s="1763">
        <f t="shared" si="19"/>
        <v>0</v>
      </c>
      <c r="N237" s="2033">
        <f>IFERROR(VLOOKUP($B237,'[3]1003'!$B$6:$G$5921,2,FALSE),0)</f>
        <v>0</v>
      </c>
      <c r="O237" s="2034">
        <f>IFERROR(VLOOKUP($B237,'[3]1003'!$B$6:$G$5921,4,FALSE),0)</f>
        <v>0</v>
      </c>
      <c r="P237" s="2033">
        <f t="shared" si="20"/>
        <v>0</v>
      </c>
      <c r="Q237" s="1763">
        <f>IFERROR(VLOOKUP($B237,'[3]1004'!$B$6:$G$5921,2,FALSE),0)</f>
        <v>0</v>
      </c>
      <c r="R237" s="2036">
        <f>IFERROR(VLOOKUP($B237,'[3]1004'!$B$6:$G$5921,4,FALSE),0)</f>
        <v>0</v>
      </c>
      <c r="S237" s="1763">
        <f t="shared" si="21"/>
        <v>0</v>
      </c>
      <c r="T237" s="2033">
        <f>IFERROR(VLOOKUP($B237,'[3]1006'!$B$6:$G$5921,2,FALSE),0)</f>
        <v>0</v>
      </c>
      <c r="U237" s="2034">
        <f>IFERROR(VLOOKUP($B237,'[3]1006'!$B$6:$G$5921,4,FALSE),0)</f>
        <v>0</v>
      </c>
      <c r="V237" s="2033">
        <f t="shared" si="22"/>
        <v>0</v>
      </c>
      <c r="W237" s="2033">
        <f t="shared" si="23"/>
        <v>0</v>
      </c>
    </row>
    <row r="238" spans="2:23" x14ac:dyDescent="0.15">
      <c r="B238" s="1288">
        <v>24600</v>
      </c>
      <c r="C238" s="1288" t="s">
        <v>2472</v>
      </c>
      <c r="D238" s="1288"/>
      <c r="E238" s="1288" t="s">
        <v>94</v>
      </c>
      <c r="F238" s="1288" t="s">
        <v>1300</v>
      </c>
      <c r="G238" s="1288" t="s">
        <v>1303</v>
      </c>
      <c r="H238" s="2033">
        <f>IFERROR(VLOOKUP($B238,'[3]1001'!$B$6:$G$5927,2,FALSE),0)</f>
        <v>0</v>
      </c>
      <c r="I238" s="2034">
        <f>IFERROR(VLOOKUP($B238,'[3]1001'!$B$6:$G$5927,4,FALSE),0)</f>
        <v>0</v>
      </c>
      <c r="J238" s="2033">
        <f t="shared" si="18"/>
        <v>0</v>
      </c>
      <c r="K238" s="2035">
        <f>IFERROR(VLOOKUP($B238,'[3]1002'!$B$6:$G$5921,2,FALSE),0)</f>
        <v>0</v>
      </c>
      <c r="L238" s="2036">
        <f>IFERROR(VLOOKUP($B238,'[3]1002'!$B$6:$G$5921,4,FALSE),0)</f>
        <v>0</v>
      </c>
      <c r="M238" s="1763">
        <f t="shared" si="19"/>
        <v>0</v>
      </c>
      <c r="N238" s="2033">
        <f>IFERROR(VLOOKUP($B238,'[3]1003'!$B$6:$G$5921,2,FALSE),0)</f>
        <v>0</v>
      </c>
      <c r="O238" s="2034">
        <f>IFERROR(VLOOKUP($B238,'[3]1003'!$B$6:$G$5921,4,FALSE),0)</f>
        <v>0</v>
      </c>
      <c r="P238" s="2033">
        <f t="shared" si="20"/>
        <v>0</v>
      </c>
      <c r="Q238" s="1763">
        <f>IFERROR(VLOOKUP($B238,'[3]1004'!$B$6:$G$5921,2,FALSE),0)</f>
        <v>0</v>
      </c>
      <c r="R238" s="2036">
        <f>IFERROR(VLOOKUP($B238,'[3]1004'!$B$6:$G$5921,4,FALSE),0)</f>
        <v>0</v>
      </c>
      <c r="S238" s="1763">
        <f t="shared" si="21"/>
        <v>0</v>
      </c>
      <c r="T238" s="2033">
        <f>IFERROR(VLOOKUP($B238,'[3]1006'!$B$6:$G$5921,2,FALSE),0)</f>
        <v>0</v>
      </c>
      <c r="U238" s="2034">
        <f>IFERROR(VLOOKUP($B238,'[3]1006'!$B$6:$G$5921,4,FALSE),0)</f>
        <v>0</v>
      </c>
      <c r="V238" s="2033">
        <f t="shared" si="22"/>
        <v>0</v>
      </c>
      <c r="W238" s="2033">
        <f t="shared" si="23"/>
        <v>0</v>
      </c>
    </row>
    <row r="239" spans="2:23" x14ac:dyDescent="0.15">
      <c r="B239" s="1288">
        <v>25460</v>
      </c>
      <c r="C239" s="1288" t="s">
        <v>2473</v>
      </c>
      <c r="D239" s="1288"/>
      <c r="E239" s="1288" t="s">
        <v>94</v>
      </c>
      <c r="F239" s="1288" t="s">
        <v>1300</v>
      </c>
      <c r="G239" s="1288" t="s">
        <v>1303</v>
      </c>
      <c r="H239" s="2033">
        <f>IFERROR(VLOOKUP($B239,'[3]1001'!$B$6:$G$5927,2,FALSE),0)</f>
        <v>0</v>
      </c>
      <c r="I239" s="2034">
        <f>IFERROR(VLOOKUP($B239,'[3]1001'!$B$6:$G$5927,4,FALSE),0)</f>
        <v>0</v>
      </c>
      <c r="J239" s="2033">
        <f t="shared" si="18"/>
        <v>0</v>
      </c>
      <c r="K239" s="2035">
        <f>IFERROR(VLOOKUP($B239,'[3]1002'!$B$6:$G$5921,2,FALSE),0)</f>
        <v>0</v>
      </c>
      <c r="L239" s="2036">
        <f>IFERROR(VLOOKUP($B239,'[3]1002'!$B$6:$G$5921,4,FALSE),0)</f>
        <v>0</v>
      </c>
      <c r="M239" s="1763">
        <f t="shared" si="19"/>
        <v>0</v>
      </c>
      <c r="N239" s="2033">
        <f>IFERROR(VLOOKUP($B239,'[3]1003'!$B$6:$G$5921,2,FALSE),0)</f>
        <v>0</v>
      </c>
      <c r="O239" s="2034">
        <f>IFERROR(VLOOKUP($B239,'[3]1003'!$B$6:$G$5921,4,FALSE),0)</f>
        <v>0</v>
      </c>
      <c r="P239" s="2033">
        <f t="shared" si="20"/>
        <v>0</v>
      </c>
      <c r="Q239" s="1763">
        <f>IFERROR(VLOOKUP($B239,'[3]1004'!$B$6:$G$5921,2,FALSE),0)</f>
        <v>0</v>
      </c>
      <c r="R239" s="2036">
        <f>IFERROR(VLOOKUP($B239,'[3]1004'!$B$6:$G$5921,4,FALSE),0)</f>
        <v>0</v>
      </c>
      <c r="S239" s="1763">
        <f t="shared" si="21"/>
        <v>0</v>
      </c>
      <c r="T239" s="2033">
        <f>IFERROR(VLOOKUP($B239,'[3]1006'!$B$6:$G$5921,2,FALSE),0)</f>
        <v>0</v>
      </c>
      <c r="U239" s="2034">
        <f>IFERROR(VLOOKUP($B239,'[3]1006'!$B$6:$G$5921,4,FALSE),0)</f>
        <v>0</v>
      </c>
      <c r="V239" s="2033">
        <f t="shared" si="22"/>
        <v>0</v>
      </c>
      <c r="W239" s="2033">
        <f t="shared" si="23"/>
        <v>0</v>
      </c>
    </row>
    <row r="240" spans="2:23" x14ac:dyDescent="0.15">
      <c r="B240" s="1288">
        <v>27942</v>
      </c>
      <c r="C240" s="1288" t="s">
        <v>2474</v>
      </c>
      <c r="D240" s="1288"/>
      <c r="E240" s="1288" t="s">
        <v>94</v>
      </c>
      <c r="F240" s="1288" t="s">
        <v>1300</v>
      </c>
      <c r="G240" s="1288" t="s">
        <v>1296</v>
      </c>
      <c r="H240" s="2033">
        <f>IFERROR(VLOOKUP($B240,'[3]1001'!$B$6:$G$5927,2,FALSE),0)</f>
        <v>0</v>
      </c>
      <c r="I240" s="2034">
        <f>IFERROR(VLOOKUP($B240,'[3]1001'!$B$6:$G$5927,4,FALSE),0)</f>
        <v>0</v>
      </c>
      <c r="J240" s="2033">
        <f t="shared" si="18"/>
        <v>0</v>
      </c>
      <c r="K240" s="2035">
        <f>IFERROR(VLOOKUP($B240,'[3]1002'!$B$6:$G$5921,2,FALSE),0)</f>
        <v>0</v>
      </c>
      <c r="L240" s="2036">
        <f>IFERROR(VLOOKUP($B240,'[3]1002'!$B$6:$G$5921,4,FALSE),0)</f>
        <v>0</v>
      </c>
      <c r="M240" s="1763">
        <f t="shared" si="19"/>
        <v>0</v>
      </c>
      <c r="N240" s="2033">
        <f>IFERROR(VLOOKUP($B240,'[3]1003'!$B$6:$G$5921,2,FALSE),0)</f>
        <v>0</v>
      </c>
      <c r="O240" s="2034">
        <f>IFERROR(VLOOKUP($B240,'[3]1003'!$B$6:$G$5921,4,FALSE),0)</f>
        <v>0</v>
      </c>
      <c r="P240" s="2033">
        <f t="shared" si="20"/>
        <v>0</v>
      </c>
      <c r="Q240" s="1763">
        <f>IFERROR(VLOOKUP($B240,'[3]1004'!$B$6:$G$5921,2,FALSE),0)</f>
        <v>0</v>
      </c>
      <c r="R240" s="2036">
        <f>IFERROR(VLOOKUP($B240,'[3]1004'!$B$6:$G$5921,4,FALSE),0)</f>
        <v>0</v>
      </c>
      <c r="S240" s="1763">
        <f t="shared" si="21"/>
        <v>0</v>
      </c>
      <c r="T240" s="2033">
        <f>IFERROR(VLOOKUP($B240,'[3]1006'!$B$6:$G$5921,2,FALSE),0)</f>
        <v>0</v>
      </c>
      <c r="U240" s="2034">
        <f>IFERROR(VLOOKUP($B240,'[3]1006'!$B$6:$G$5921,4,FALSE),0)</f>
        <v>0</v>
      </c>
      <c r="V240" s="2033">
        <f t="shared" si="22"/>
        <v>0</v>
      </c>
      <c r="W240" s="2033">
        <f t="shared" si="23"/>
        <v>0</v>
      </c>
    </row>
    <row r="241" spans="2:23" x14ac:dyDescent="0.15">
      <c r="B241" s="1288">
        <v>28409</v>
      </c>
      <c r="C241" s="1288" t="s">
        <v>2475</v>
      </c>
      <c r="D241" s="1288"/>
      <c r="E241" s="1288" t="s">
        <v>94</v>
      </c>
      <c r="F241" s="1288" t="s">
        <v>1300</v>
      </c>
      <c r="G241" s="1288" t="s">
        <v>1296</v>
      </c>
      <c r="H241" s="2033">
        <f>IFERROR(VLOOKUP($B241,'[3]1001'!$B$6:$G$5927,2,FALSE),0)</f>
        <v>0</v>
      </c>
      <c r="I241" s="2034">
        <f>IFERROR(VLOOKUP($B241,'[3]1001'!$B$6:$G$5927,4,FALSE),0)</f>
        <v>0</v>
      </c>
      <c r="J241" s="2033">
        <f t="shared" si="18"/>
        <v>0</v>
      </c>
      <c r="K241" s="2035">
        <f>IFERROR(VLOOKUP($B241,'[3]1002'!$B$6:$G$5921,2,FALSE),0)</f>
        <v>0</v>
      </c>
      <c r="L241" s="2036">
        <f>IFERROR(VLOOKUP($B241,'[3]1002'!$B$6:$G$5921,4,FALSE),0)</f>
        <v>0</v>
      </c>
      <c r="M241" s="1763">
        <f t="shared" si="19"/>
        <v>0</v>
      </c>
      <c r="N241" s="2033">
        <f>IFERROR(VLOOKUP($B241,'[3]1003'!$B$6:$G$5921,2,FALSE),0)</f>
        <v>0</v>
      </c>
      <c r="O241" s="2034">
        <f>IFERROR(VLOOKUP($B241,'[3]1003'!$B$6:$G$5921,4,FALSE),0)</f>
        <v>0</v>
      </c>
      <c r="P241" s="2033">
        <f t="shared" si="20"/>
        <v>0</v>
      </c>
      <c r="Q241" s="1763">
        <f>IFERROR(VLOOKUP($B241,'[3]1004'!$B$6:$G$5921,2,FALSE),0)</f>
        <v>0</v>
      </c>
      <c r="R241" s="2036">
        <f>IFERROR(VLOOKUP($B241,'[3]1004'!$B$6:$G$5921,4,FALSE),0)</f>
        <v>0</v>
      </c>
      <c r="S241" s="1763">
        <f t="shared" si="21"/>
        <v>0</v>
      </c>
      <c r="T241" s="2033">
        <f>IFERROR(VLOOKUP($B241,'[3]1006'!$B$6:$G$5921,2,FALSE),0)</f>
        <v>0</v>
      </c>
      <c r="U241" s="2034">
        <f>IFERROR(VLOOKUP($B241,'[3]1006'!$B$6:$G$5921,4,FALSE),0)</f>
        <v>0</v>
      </c>
      <c r="V241" s="2033">
        <f t="shared" si="22"/>
        <v>0</v>
      </c>
      <c r="W241" s="2033">
        <f t="shared" si="23"/>
        <v>0</v>
      </c>
    </row>
    <row r="242" spans="2:23" x14ac:dyDescent="0.15">
      <c r="B242" s="1288">
        <v>28458</v>
      </c>
      <c r="C242" s="1288" t="s">
        <v>2476</v>
      </c>
      <c r="D242" s="1288"/>
      <c r="E242" s="1288" t="s">
        <v>94</v>
      </c>
      <c r="F242" s="1288" t="s">
        <v>1300</v>
      </c>
      <c r="G242" s="1288" t="s">
        <v>1296</v>
      </c>
      <c r="H242" s="2033">
        <f>IFERROR(VLOOKUP($B242,'[3]1001'!$B$6:$G$5927,2,FALSE),0)</f>
        <v>0</v>
      </c>
      <c r="I242" s="2034">
        <f>IFERROR(VLOOKUP($B242,'[3]1001'!$B$6:$G$5927,4,FALSE),0)</f>
        <v>0</v>
      </c>
      <c r="J242" s="2033">
        <f t="shared" si="18"/>
        <v>0</v>
      </c>
      <c r="K242" s="2035">
        <f>IFERROR(VLOOKUP($B242,'[3]1002'!$B$6:$G$5921,2,FALSE),0)</f>
        <v>0</v>
      </c>
      <c r="L242" s="2036">
        <f>IFERROR(VLOOKUP($B242,'[3]1002'!$B$6:$G$5921,4,FALSE),0)</f>
        <v>0</v>
      </c>
      <c r="M242" s="1763">
        <f t="shared" si="19"/>
        <v>0</v>
      </c>
      <c r="N242" s="2033">
        <f>IFERROR(VLOOKUP($B242,'[3]1003'!$B$6:$G$5921,2,FALSE),0)</f>
        <v>0</v>
      </c>
      <c r="O242" s="2034">
        <f>IFERROR(VLOOKUP($B242,'[3]1003'!$B$6:$G$5921,4,FALSE),0)</f>
        <v>0</v>
      </c>
      <c r="P242" s="2033">
        <f t="shared" si="20"/>
        <v>0</v>
      </c>
      <c r="Q242" s="1763">
        <f>IFERROR(VLOOKUP($B242,'[3]1004'!$B$6:$G$5921,2,FALSE),0)</f>
        <v>0</v>
      </c>
      <c r="R242" s="2036">
        <f>IFERROR(VLOOKUP($B242,'[3]1004'!$B$6:$G$5921,4,FALSE),0)</f>
        <v>0</v>
      </c>
      <c r="S242" s="1763">
        <f t="shared" si="21"/>
        <v>0</v>
      </c>
      <c r="T242" s="2033">
        <f>IFERROR(VLOOKUP($B242,'[3]1006'!$B$6:$G$5921,2,FALSE),0)</f>
        <v>0</v>
      </c>
      <c r="U242" s="2034">
        <f>IFERROR(VLOOKUP($B242,'[3]1006'!$B$6:$G$5921,4,FALSE),0)</f>
        <v>0</v>
      </c>
      <c r="V242" s="2033">
        <f t="shared" si="22"/>
        <v>0</v>
      </c>
      <c r="W242" s="2033">
        <f t="shared" si="23"/>
        <v>0</v>
      </c>
    </row>
    <row r="243" spans="2:23" x14ac:dyDescent="0.15">
      <c r="B243" s="2032">
        <v>29864</v>
      </c>
      <c r="C243" s="2032" t="s">
        <v>1709</v>
      </c>
      <c r="D243" s="2032" t="s">
        <v>1710</v>
      </c>
      <c r="E243" s="2032" t="s">
        <v>94</v>
      </c>
      <c r="F243" s="1288" t="s">
        <v>1300</v>
      </c>
      <c r="G243" s="1288" t="s">
        <v>1296</v>
      </c>
      <c r="H243" s="2033">
        <f>IFERROR(VLOOKUP($B243,'[3]1001'!$B$6:$G$5927,2,FALSE),0)</f>
        <v>0</v>
      </c>
      <c r="I243" s="2034">
        <f>IFERROR(VLOOKUP($B243,'[3]1001'!$B$6:$G$5927,4,FALSE),0)</f>
        <v>0</v>
      </c>
      <c r="J243" s="2033">
        <f t="shared" si="18"/>
        <v>0</v>
      </c>
      <c r="K243" s="2035">
        <f>IFERROR(VLOOKUP($B243,'[3]1002'!$B$6:$G$5921,2,FALSE),0)</f>
        <v>0</v>
      </c>
      <c r="L243" s="2036">
        <f>IFERROR(VLOOKUP($B243,'[3]1002'!$B$6:$G$5921,4,FALSE),0)</f>
        <v>0</v>
      </c>
      <c r="M243" s="1763">
        <f t="shared" si="19"/>
        <v>0</v>
      </c>
      <c r="N243" s="2033">
        <f>IFERROR(VLOOKUP($B243,'[3]1003'!$B$6:$G$5921,2,FALSE),0)</f>
        <v>3773716.08</v>
      </c>
      <c r="O243" s="2034">
        <f>IFERROR(VLOOKUP($B243,'[3]1003'!$B$6:$G$5921,4,FALSE),0)</f>
        <v>2</v>
      </c>
      <c r="P243" s="2033">
        <f t="shared" si="20"/>
        <v>1886858.04</v>
      </c>
      <c r="Q243" s="1763">
        <f>IFERROR(VLOOKUP($B243,'[3]1004'!$B$6:$G$5921,2,FALSE),0)</f>
        <v>0</v>
      </c>
      <c r="R243" s="2036">
        <f>IFERROR(VLOOKUP($B243,'[3]1004'!$B$6:$G$5921,4,FALSE),0)</f>
        <v>0</v>
      </c>
      <c r="S243" s="1763">
        <f t="shared" si="21"/>
        <v>0</v>
      </c>
      <c r="T243" s="2033">
        <f>IFERROR(VLOOKUP($B243,'[3]1006'!$B$6:$G$5921,2,FALSE),0)</f>
        <v>0</v>
      </c>
      <c r="U243" s="2034">
        <f>IFERROR(VLOOKUP($B243,'[3]1006'!$B$6:$G$5921,4,FALSE),0)</f>
        <v>0</v>
      </c>
      <c r="V243" s="2033">
        <f t="shared" si="22"/>
        <v>0</v>
      </c>
      <c r="W243" s="2033">
        <f t="shared" si="23"/>
        <v>2</v>
      </c>
    </row>
    <row r="244" spans="2:23" x14ac:dyDescent="0.15">
      <c r="B244" s="2032">
        <v>9747</v>
      </c>
      <c r="C244" s="2032" t="s">
        <v>1711</v>
      </c>
      <c r="D244" s="2032" t="s">
        <v>1696</v>
      </c>
      <c r="E244" s="2032" t="s">
        <v>94</v>
      </c>
      <c r="F244" s="870" t="s">
        <v>1300</v>
      </c>
      <c r="G244" s="1288" t="s">
        <v>1303</v>
      </c>
      <c r="H244" s="2033">
        <f>IFERROR(VLOOKUP($B244,'[3]1001'!$B$6:$G$5927,2,FALSE),0)</f>
        <v>0</v>
      </c>
      <c r="I244" s="2034">
        <f>IFERROR(VLOOKUP($B244,'[3]1001'!$B$6:$G$5927,4,FALSE),0)</f>
        <v>0</v>
      </c>
      <c r="J244" s="2033">
        <f t="shared" si="18"/>
        <v>0</v>
      </c>
      <c r="K244" s="2035">
        <f>IFERROR(VLOOKUP($B244,'[3]1002'!$B$6:$G$5921,2,FALSE),0)</f>
        <v>745107.06</v>
      </c>
      <c r="L244" s="2036">
        <f>IFERROR(VLOOKUP($B244,'[3]1002'!$B$6:$G$5921,4,FALSE),0)</f>
        <v>3120</v>
      </c>
      <c r="M244" s="1763">
        <f t="shared" si="19"/>
        <v>238.81636538461541</v>
      </c>
      <c r="N244" s="2033">
        <f>IFERROR(VLOOKUP($B244,'[3]1003'!$B$6:$G$5921,2,FALSE),0)</f>
        <v>0</v>
      </c>
      <c r="O244" s="2034">
        <f>IFERROR(VLOOKUP($B244,'[3]1003'!$B$6:$G$5921,4,FALSE),0)</f>
        <v>0</v>
      </c>
      <c r="P244" s="2033">
        <f t="shared" si="20"/>
        <v>0</v>
      </c>
      <c r="Q244" s="1763">
        <f>IFERROR(VLOOKUP($B244,'[3]1004'!$B$6:$G$5921,2,FALSE),0)</f>
        <v>0</v>
      </c>
      <c r="R244" s="2036">
        <f>IFERROR(VLOOKUP($B244,'[3]1004'!$B$6:$G$5921,4,FALSE),0)</f>
        <v>0</v>
      </c>
      <c r="S244" s="1763">
        <f t="shared" si="21"/>
        <v>0</v>
      </c>
      <c r="T244" s="2033">
        <f>IFERROR(VLOOKUP($B244,'[3]1006'!$B$6:$G$5921,2,FALSE),0)</f>
        <v>152842.47</v>
      </c>
      <c r="U244" s="2034">
        <f>IFERROR(VLOOKUP($B244,'[3]1006'!$B$6:$G$5921,4,FALSE),0)</f>
        <v>640</v>
      </c>
      <c r="V244" s="2033">
        <f t="shared" si="22"/>
        <v>238.81635937499999</v>
      </c>
      <c r="W244" s="2033">
        <f t="shared" si="23"/>
        <v>3760</v>
      </c>
    </row>
    <row r="245" spans="2:23" x14ac:dyDescent="0.15">
      <c r="B245" s="2032">
        <v>29867</v>
      </c>
      <c r="C245" s="2032" t="s">
        <v>1712</v>
      </c>
      <c r="D245" s="2037" t="s">
        <v>1713</v>
      </c>
      <c r="E245" s="2032" t="s">
        <v>94</v>
      </c>
      <c r="F245" s="1288" t="s">
        <v>1715</v>
      </c>
      <c r="G245" s="1288" t="s">
        <v>1303</v>
      </c>
      <c r="H245" s="2033">
        <f>IFERROR(VLOOKUP($B245,'[3]1001'!$B$6:$G$5927,2,FALSE),0)</f>
        <v>0</v>
      </c>
      <c r="I245" s="2034">
        <f>IFERROR(VLOOKUP($B245,'[3]1001'!$B$6:$G$5927,4,FALSE),0)</f>
        <v>0</v>
      </c>
      <c r="J245" s="2033">
        <f t="shared" si="18"/>
        <v>0</v>
      </c>
      <c r="K245" s="2035">
        <f>IFERROR(VLOOKUP($B245,'[3]1002'!$B$6:$G$5921,2,FALSE),0)</f>
        <v>588668.64</v>
      </c>
      <c r="L245" s="2036">
        <f>IFERROR(VLOOKUP($B245,'[3]1002'!$B$6:$G$5921,4,FALSE),0)</f>
        <v>4</v>
      </c>
      <c r="M245" s="1763">
        <f t="shared" si="19"/>
        <v>147167.16</v>
      </c>
      <c r="N245" s="2033">
        <f>IFERROR(VLOOKUP($B245,'[3]1003'!$B$6:$G$5921,2,FALSE),0)</f>
        <v>0</v>
      </c>
      <c r="O245" s="2034">
        <f>IFERROR(VLOOKUP($B245,'[3]1003'!$B$6:$G$5921,4,FALSE),0)</f>
        <v>0</v>
      </c>
      <c r="P245" s="2033">
        <f t="shared" si="20"/>
        <v>0</v>
      </c>
      <c r="Q245" s="1763">
        <f>IFERROR(VLOOKUP($B245,'[3]1004'!$B$6:$G$5921,2,FALSE),0)</f>
        <v>0</v>
      </c>
      <c r="R245" s="2036">
        <f>IFERROR(VLOOKUP($B245,'[3]1004'!$B$6:$G$5921,4,FALSE),0)</f>
        <v>0</v>
      </c>
      <c r="S245" s="1763">
        <f t="shared" si="21"/>
        <v>0</v>
      </c>
      <c r="T245" s="2033">
        <f>IFERROR(VLOOKUP($B245,'[3]1006'!$B$6:$G$5921,2,FALSE),0)</f>
        <v>0</v>
      </c>
      <c r="U245" s="2034">
        <f>IFERROR(VLOOKUP($B245,'[3]1006'!$B$6:$G$5921,4,FALSE),0)</f>
        <v>0</v>
      </c>
      <c r="V245" s="2033">
        <f t="shared" si="22"/>
        <v>0</v>
      </c>
      <c r="W245" s="2033">
        <f t="shared" si="23"/>
        <v>4</v>
      </c>
    </row>
    <row r="246" spans="2:23" x14ac:dyDescent="0.15">
      <c r="B246" s="1288">
        <v>29871</v>
      </c>
      <c r="C246" s="1288" t="s">
        <v>1716</v>
      </c>
      <c r="D246" s="2041"/>
      <c r="E246" s="1288" t="s">
        <v>94</v>
      </c>
      <c r="F246" s="1288" t="s">
        <v>1717</v>
      </c>
      <c r="G246" s="1288" t="s">
        <v>1303</v>
      </c>
      <c r="H246" s="2033">
        <f>IFERROR(VLOOKUP($B246,'[3]1001'!$B$6:$G$5927,2,FALSE),0)</f>
        <v>0</v>
      </c>
      <c r="I246" s="2034">
        <f>IFERROR(VLOOKUP($B246,'[3]1001'!$B$6:$G$5927,4,FALSE),0)</f>
        <v>0</v>
      </c>
      <c r="J246" s="2033">
        <f t="shared" si="18"/>
        <v>0</v>
      </c>
      <c r="K246" s="2035">
        <f>IFERROR(VLOOKUP($B246,'[3]1002'!$B$6:$G$5921,2,FALSE),0)</f>
        <v>0</v>
      </c>
      <c r="L246" s="2036">
        <f>IFERROR(VLOOKUP($B246,'[3]1002'!$B$6:$G$5921,4,FALSE),0)</f>
        <v>0</v>
      </c>
      <c r="M246" s="1763">
        <f t="shared" si="19"/>
        <v>0</v>
      </c>
      <c r="N246" s="2033">
        <f>IFERROR(VLOOKUP($B246,'[3]1003'!$B$6:$G$5921,2,FALSE),0)</f>
        <v>0</v>
      </c>
      <c r="O246" s="2034">
        <f>IFERROR(VLOOKUP($B246,'[3]1003'!$B$6:$G$5921,4,FALSE),0)</f>
        <v>0</v>
      </c>
      <c r="P246" s="2033">
        <f t="shared" si="20"/>
        <v>0</v>
      </c>
      <c r="Q246" s="1763">
        <f>IFERROR(VLOOKUP($B246,'[3]1004'!$B$6:$G$5921,2,FALSE),0)</f>
        <v>0</v>
      </c>
      <c r="R246" s="2036">
        <f>IFERROR(VLOOKUP($B246,'[3]1004'!$B$6:$G$5921,4,FALSE),0)</f>
        <v>0</v>
      </c>
      <c r="S246" s="1763">
        <f t="shared" si="21"/>
        <v>0</v>
      </c>
      <c r="T246" s="2033">
        <f>IFERROR(VLOOKUP($B246,'[3]1006'!$B$6:$G$5921,2,FALSE),0)</f>
        <v>0</v>
      </c>
      <c r="U246" s="2034">
        <f>IFERROR(VLOOKUP($B246,'[3]1006'!$B$6:$G$5921,4,FALSE),0)</f>
        <v>0</v>
      </c>
      <c r="V246" s="2033">
        <f t="shared" si="22"/>
        <v>0</v>
      </c>
      <c r="W246" s="2033">
        <f t="shared" si="23"/>
        <v>0</v>
      </c>
    </row>
    <row r="247" spans="2:23" x14ac:dyDescent="0.15">
      <c r="B247" s="1288">
        <v>29873</v>
      </c>
      <c r="C247" s="1288" t="s">
        <v>1718</v>
      </c>
      <c r="D247" s="1288"/>
      <c r="E247" s="1288" t="s">
        <v>94</v>
      </c>
      <c r="F247" s="1288" t="s">
        <v>1346</v>
      </c>
      <c r="G247" s="1288" t="s">
        <v>1303</v>
      </c>
      <c r="H247" s="2033">
        <f>IFERROR(VLOOKUP($B247,'[3]1001'!$B$6:$G$5927,2,FALSE),0)</f>
        <v>0</v>
      </c>
      <c r="I247" s="2034">
        <f>IFERROR(VLOOKUP($B247,'[3]1001'!$B$6:$G$5927,4,FALSE),0)</f>
        <v>0</v>
      </c>
      <c r="J247" s="2033">
        <f t="shared" si="18"/>
        <v>0</v>
      </c>
      <c r="K247" s="2035">
        <f>IFERROR(VLOOKUP($B247,'[3]1002'!$B$6:$G$5921,2,FALSE),0)</f>
        <v>0</v>
      </c>
      <c r="L247" s="2036">
        <f>IFERROR(VLOOKUP($B247,'[3]1002'!$B$6:$G$5921,4,FALSE),0)</f>
        <v>0</v>
      </c>
      <c r="M247" s="1763">
        <f t="shared" si="19"/>
        <v>0</v>
      </c>
      <c r="N247" s="2033">
        <f>IFERROR(VLOOKUP($B247,'[3]1003'!$B$6:$G$5921,2,FALSE),0)</f>
        <v>0</v>
      </c>
      <c r="O247" s="2034">
        <f>IFERROR(VLOOKUP($B247,'[3]1003'!$B$6:$G$5921,4,FALSE),0)</f>
        <v>0</v>
      </c>
      <c r="P247" s="2033">
        <f t="shared" si="20"/>
        <v>0</v>
      </c>
      <c r="Q247" s="1763">
        <f>IFERROR(VLOOKUP($B247,'[3]1004'!$B$6:$G$5921,2,FALSE),0)</f>
        <v>0</v>
      </c>
      <c r="R247" s="2036">
        <f>IFERROR(VLOOKUP($B247,'[3]1004'!$B$6:$G$5921,4,FALSE),0)</f>
        <v>0</v>
      </c>
      <c r="S247" s="1763">
        <f t="shared" si="21"/>
        <v>0</v>
      </c>
      <c r="T247" s="2033">
        <f>IFERROR(VLOOKUP($B247,'[3]1006'!$B$6:$G$5921,2,FALSE),0)</f>
        <v>0</v>
      </c>
      <c r="U247" s="2034">
        <f>IFERROR(VLOOKUP($B247,'[3]1006'!$B$6:$G$5921,4,FALSE),0)</f>
        <v>0</v>
      </c>
      <c r="V247" s="2033">
        <f t="shared" si="22"/>
        <v>0</v>
      </c>
      <c r="W247" s="2033">
        <f t="shared" si="23"/>
        <v>0</v>
      </c>
    </row>
    <row r="248" spans="2:23" x14ac:dyDescent="0.15">
      <c r="B248" s="2032">
        <v>29874</v>
      </c>
      <c r="C248" s="2032" t="s">
        <v>1720</v>
      </c>
      <c r="D248" s="2038" t="s">
        <v>1721</v>
      </c>
      <c r="E248" s="2032" t="s">
        <v>94</v>
      </c>
      <c r="F248" s="2039" t="s">
        <v>1300</v>
      </c>
      <c r="G248" s="1288" t="s">
        <v>1303</v>
      </c>
      <c r="H248" s="2033">
        <f>IFERROR(VLOOKUP($B248,'[3]1001'!$B$6:$G$5927,2,FALSE),0)</f>
        <v>0</v>
      </c>
      <c r="I248" s="2034">
        <f>IFERROR(VLOOKUP($B248,'[3]1001'!$B$6:$G$5927,4,FALSE),0)</f>
        <v>0</v>
      </c>
      <c r="J248" s="2033">
        <f t="shared" si="18"/>
        <v>0</v>
      </c>
      <c r="K248" s="2035">
        <f>IFERROR(VLOOKUP($B248,'[3]1002'!$B$6:$G$5921,2,FALSE),0)</f>
        <v>24662.720000000001</v>
      </c>
      <c r="L248" s="2036">
        <f>IFERROR(VLOOKUP($B248,'[3]1002'!$B$6:$G$5921,4,FALSE),0)</f>
        <v>17</v>
      </c>
      <c r="M248" s="1763">
        <f t="shared" si="19"/>
        <v>1450.7482352941176</v>
      </c>
      <c r="N248" s="2033">
        <f>IFERROR(VLOOKUP($B248,'[3]1003'!$B$6:$G$5921,2,FALSE),0)</f>
        <v>133118.25</v>
      </c>
      <c r="O248" s="2034">
        <f>IFERROR(VLOOKUP($B248,'[3]1003'!$B$6:$G$5921,4,FALSE),0)</f>
        <v>79</v>
      </c>
      <c r="P248" s="2033">
        <f t="shared" si="20"/>
        <v>1685.0411392405063</v>
      </c>
      <c r="Q248" s="1763">
        <f>IFERROR(VLOOKUP($B248,'[3]1004'!$B$6:$G$5921,2,FALSE),0)</f>
        <v>0</v>
      </c>
      <c r="R248" s="2036">
        <f>IFERROR(VLOOKUP($B248,'[3]1004'!$B$6:$G$5921,4,FALSE),0)</f>
        <v>0</v>
      </c>
      <c r="S248" s="1763">
        <f t="shared" si="21"/>
        <v>0</v>
      </c>
      <c r="T248" s="2033">
        <f>IFERROR(VLOOKUP($B248,'[3]1006'!$B$6:$G$5921,2,FALSE),0)</f>
        <v>0</v>
      </c>
      <c r="U248" s="2034">
        <f>IFERROR(VLOOKUP($B248,'[3]1006'!$B$6:$G$5921,4,FALSE),0)</f>
        <v>0</v>
      </c>
      <c r="V248" s="2033">
        <f t="shared" si="22"/>
        <v>0</v>
      </c>
      <c r="W248" s="2033">
        <f t="shared" si="23"/>
        <v>96</v>
      </c>
    </row>
    <row r="249" spans="2:23" x14ac:dyDescent="0.15">
      <c r="B249" s="2032">
        <v>29875</v>
      </c>
      <c r="C249" s="2032" t="s">
        <v>1722</v>
      </c>
      <c r="D249" s="2038" t="s">
        <v>1723</v>
      </c>
      <c r="E249" s="2032" t="s">
        <v>94</v>
      </c>
      <c r="F249" s="1288" t="s">
        <v>1325</v>
      </c>
      <c r="G249" s="1288" t="s">
        <v>1303</v>
      </c>
      <c r="H249" s="2033">
        <f>IFERROR(VLOOKUP($B249,'[3]1001'!$B$6:$G$5927,2,FALSE),0)</f>
        <v>0</v>
      </c>
      <c r="I249" s="2034">
        <f>IFERROR(VLOOKUP($B249,'[3]1001'!$B$6:$G$5927,4,FALSE),0)</f>
        <v>0</v>
      </c>
      <c r="J249" s="2033">
        <f t="shared" si="18"/>
        <v>0</v>
      </c>
      <c r="K249" s="2035">
        <f>IFERROR(VLOOKUP($B249,'[3]1002'!$B$6:$G$5921,2,FALSE),0)</f>
        <v>91261.08</v>
      </c>
      <c r="L249" s="2036">
        <f>IFERROR(VLOOKUP($B249,'[3]1002'!$B$6:$G$5921,4,FALSE),0)</f>
        <v>81</v>
      </c>
      <c r="M249" s="1763">
        <f t="shared" si="19"/>
        <v>1126.68</v>
      </c>
      <c r="N249" s="2033">
        <f>IFERROR(VLOOKUP($B249,'[3]1003'!$B$6:$G$5921,2,FALSE),0)</f>
        <v>0</v>
      </c>
      <c r="O249" s="2034">
        <f>IFERROR(VLOOKUP($B249,'[3]1003'!$B$6:$G$5921,4,FALSE),0)</f>
        <v>0</v>
      </c>
      <c r="P249" s="2033">
        <f t="shared" si="20"/>
        <v>0</v>
      </c>
      <c r="Q249" s="1763">
        <f>IFERROR(VLOOKUP($B249,'[3]1004'!$B$6:$G$5921,2,FALSE),0)</f>
        <v>0</v>
      </c>
      <c r="R249" s="2036">
        <f>IFERROR(VLOOKUP($B249,'[3]1004'!$B$6:$G$5921,4,FALSE),0)</f>
        <v>0</v>
      </c>
      <c r="S249" s="1763">
        <f t="shared" si="21"/>
        <v>0</v>
      </c>
      <c r="T249" s="2033">
        <f>IFERROR(VLOOKUP($B249,'[3]1006'!$B$6:$G$5921,2,FALSE),0)</f>
        <v>0</v>
      </c>
      <c r="U249" s="2034">
        <f>IFERROR(VLOOKUP($B249,'[3]1006'!$B$6:$G$5921,4,FALSE),0)</f>
        <v>0</v>
      </c>
      <c r="V249" s="2033">
        <f t="shared" si="22"/>
        <v>0</v>
      </c>
      <c r="W249" s="2033">
        <f t="shared" si="23"/>
        <v>81</v>
      </c>
    </row>
    <row r="250" spans="2:23" x14ac:dyDescent="0.15">
      <c r="B250" s="2032">
        <v>29878</v>
      </c>
      <c r="C250" s="2032" t="s">
        <v>1724</v>
      </c>
      <c r="D250" s="2038" t="s">
        <v>1725</v>
      </c>
      <c r="E250" s="2032" t="s">
        <v>94</v>
      </c>
      <c r="F250" s="2039" t="s">
        <v>1411</v>
      </c>
      <c r="G250" s="1288" t="s">
        <v>1303</v>
      </c>
      <c r="H250" s="2033">
        <f>IFERROR(VLOOKUP($B250,'[3]1001'!$B$6:$G$5927,2,FALSE),0)</f>
        <v>0</v>
      </c>
      <c r="I250" s="2034">
        <f>IFERROR(VLOOKUP($B250,'[3]1001'!$B$6:$G$5927,4,FALSE),0)</f>
        <v>0</v>
      </c>
      <c r="J250" s="2033">
        <f t="shared" si="18"/>
        <v>0</v>
      </c>
      <c r="K250" s="2035">
        <f>IFERROR(VLOOKUP($B250,'[3]1002'!$B$6:$G$5921,2,FALSE),0)</f>
        <v>51530.400000000001</v>
      </c>
      <c r="L250" s="2036">
        <f>IFERROR(VLOOKUP($B250,'[3]1002'!$B$6:$G$5921,4,FALSE),0)</f>
        <v>68</v>
      </c>
      <c r="M250" s="1763">
        <f t="shared" si="19"/>
        <v>757.80000000000007</v>
      </c>
      <c r="N250" s="2033">
        <f>IFERROR(VLOOKUP($B250,'[3]1003'!$B$6:$G$5921,2,FALSE),0)</f>
        <v>326447.55</v>
      </c>
      <c r="O250" s="2034">
        <f>IFERROR(VLOOKUP($B250,'[3]1003'!$B$6:$G$5921,4,FALSE),0)</f>
        <v>429</v>
      </c>
      <c r="P250" s="2033">
        <f t="shared" si="20"/>
        <v>760.94999999999993</v>
      </c>
      <c r="Q250" s="1763">
        <f>IFERROR(VLOOKUP($B250,'[3]1004'!$B$6:$G$5921,2,FALSE),0)</f>
        <v>0</v>
      </c>
      <c r="R250" s="2036">
        <f>IFERROR(VLOOKUP($B250,'[3]1004'!$B$6:$G$5921,4,FALSE),0)</f>
        <v>0</v>
      </c>
      <c r="S250" s="1763">
        <f t="shared" si="21"/>
        <v>0</v>
      </c>
      <c r="T250" s="2033">
        <f>IFERROR(VLOOKUP($B250,'[3]1006'!$B$6:$G$5921,2,FALSE),0)</f>
        <v>22664.55</v>
      </c>
      <c r="U250" s="2034">
        <f>IFERROR(VLOOKUP($B250,'[3]1006'!$B$6:$G$5921,4,FALSE),0)</f>
        <v>15</v>
      </c>
      <c r="V250" s="2033">
        <f t="shared" si="22"/>
        <v>1510.97</v>
      </c>
      <c r="W250" s="2033">
        <f t="shared" si="23"/>
        <v>512</v>
      </c>
    </row>
    <row r="251" spans="2:23" x14ac:dyDescent="0.15">
      <c r="B251" s="2032">
        <v>29880</v>
      </c>
      <c r="C251" s="2032" t="s">
        <v>1726</v>
      </c>
      <c r="D251" s="2037" t="s">
        <v>1727</v>
      </c>
      <c r="E251" s="2032" t="s">
        <v>94</v>
      </c>
      <c r="F251" s="1288" t="s">
        <v>1300</v>
      </c>
      <c r="G251" s="1288" t="s">
        <v>1303</v>
      </c>
      <c r="H251" s="2033">
        <f>IFERROR(VLOOKUP($B251,'[3]1001'!$B$6:$G$5927,2,FALSE),0)</f>
        <v>0</v>
      </c>
      <c r="I251" s="2034">
        <f>IFERROR(VLOOKUP($B251,'[3]1001'!$B$6:$G$5927,4,FALSE),0)</f>
        <v>0</v>
      </c>
      <c r="J251" s="2033">
        <f t="shared" si="18"/>
        <v>0</v>
      </c>
      <c r="K251" s="2035">
        <f>IFERROR(VLOOKUP($B251,'[3]1002'!$B$6:$G$5921,2,FALSE),0)</f>
        <v>0</v>
      </c>
      <c r="L251" s="2036">
        <f>IFERROR(VLOOKUP($B251,'[3]1002'!$B$6:$G$5921,4,FALSE),0)</f>
        <v>0</v>
      </c>
      <c r="M251" s="1763">
        <f t="shared" si="19"/>
        <v>0</v>
      </c>
      <c r="N251" s="2033">
        <f>IFERROR(VLOOKUP($B251,'[3]1003'!$B$6:$G$5921,2,FALSE),0)</f>
        <v>0</v>
      </c>
      <c r="O251" s="2034">
        <f>IFERROR(VLOOKUP($B251,'[3]1003'!$B$6:$G$5921,4,FALSE),0)</f>
        <v>0</v>
      </c>
      <c r="P251" s="2033">
        <f t="shared" si="20"/>
        <v>0</v>
      </c>
      <c r="Q251" s="1763">
        <f>IFERROR(VLOOKUP($B251,'[3]1004'!$B$6:$G$5921,2,FALSE),0)</f>
        <v>0</v>
      </c>
      <c r="R251" s="2036">
        <f>IFERROR(VLOOKUP($B251,'[3]1004'!$B$6:$G$5921,4,FALSE),0)</f>
        <v>0</v>
      </c>
      <c r="S251" s="1763">
        <f t="shared" si="21"/>
        <v>0</v>
      </c>
      <c r="T251" s="2033">
        <f>IFERROR(VLOOKUP($B251,'[3]1006'!$B$6:$G$5921,2,FALSE),0)</f>
        <v>220365.28</v>
      </c>
      <c r="U251" s="2034">
        <f>IFERROR(VLOOKUP($B251,'[3]1006'!$B$6:$G$5921,4,FALSE),0)</f>
        <v>1</v>
      </c>
      <c r="V251" s="2033">
        <f t="shared" si="22"/>
        <v>220365.28</v>
      </c>
      <c r="W251" s="2033">
        <f t="shared" si="23"/>
        <v>1</v>
      </c>
    </row>
    <row r="252" spans="2:23" x14ac:dyDescent="0.15">
      <c r="B252" s="2032">
        <v>29886</v>
      </c>
      <c r="C252" s="2032" t="s">
        <v>1728</v>
      </c>
      <c r="D252" s="2032" t="s">
        <v>1729</v>
      </c>
      <c r="E252" s="2032" t="s">
        <v>94</v>
      </c>
      <c r="F252" s="2039" t="s">
        <v>1717</v>
      </c>
      <c r="G252" s="1288" t="s">
        <v>1303</v>
      </c>
      <c r="H252" s="2033">
        <f>IFERROR(VLOOKUP($B252,'[3]1001'!$B$6:$G$5927,2,FALSE),0)</f>
        <v>0</v>
      </c>
      <c r="I252" s="2034">
        <f>IFERROR(VLOOKUP($B252,'[3]1001'!$B$6:$G$5927,4,FALSE),0)</f>
        <v>0</v>
      </c>
      <c r="J252" s="2033">
        <f t="shared" si="18"/>
        <v>0</v>
      </c>
      <c r="K252" s="2035">
        <f>IFERROR(VLOOKUP($B252,'[3]1002'!$B$6:$G$5921,2,FALSE),0)</f>
        <v>7860.65</v>
      </c>
      <c r="L252" s="2036">
        <f>IFERROR(VLOOKUP($B252,'[3]1002'!$B$6:$G$5921,4,FALSE),0)</f>
        <v>5</v>
      </c>
      <c r="M252" s="1763">
        <f t="shared" si="19"/>
        <v>1572.1299999999999</v>
      </c>
      <c r="N252" s="2033">
        <f>IFERROR(VLOOKUP($B252,'[3]1003'!$B$6:$G$5921,2,FALSE),0)</f>
        <v>18831.39</v>
      </c>
      <c r="O252" s="2034">
        <f>IFERROR(VLOOKUP($B252,'[3]1003'!$B$6:$G$5921,4,FALSE),0)</f>
        <v>12</v>
      </c>
      <c r="P252" s="2033">
        <f t="shared" si="20"/>
        <v>1569.2825</v>
      </c>
      <c r="Q252" s="1763">
        <f>IFERROR(VLOOKUP($B252,'[3]1004'!$B$6:$G$5921,2,FALSE),0)</f>
        <v>47078.28</v>
      </c>
      <c r="R252" s="2036">
        <f>IFERROR(VLOOKUP($B252,'[3]1004'!$B$6:$G$5921,4,FALSE),0)</f>
        <v>30</v>
      </c>
      <c r="S252" s="1763">
        <f t="shared" si="21"/>
        <v>1569.2760000000001</v>
      </c>
      <c r="T252" s="2033">
        <f>IFERROR(VLOOKUP($B252,'[3]1006'!$B$6:$G$5921,2,FALSE),0)</f>
        <v>14123.49</v>
      </c>
      <c r="U252" s="2034">
        <f>IFERROR(VLOOKUP($B252,'[3]1006'!$B$6:$G$5921,4,FALSE),0)</f>
        <v>9</v>
      </c>
      <c r="V252" s="2033">
        <f t="shared" si="22"/>
        <v>1569.2766666666666</v>
      </c>
      <c r="W252" s="2033">
        <f t="shared" si="23"/>
        <v>56</v>
      </c>
    </row>
    <row r="253" spans="2:23" x14ac:dyDescent="0.15">
      <c r="B253" s="1288">
        <v>29887</v>
      </c>
      <c r="C253" s="1288" t="s">
        <v>1730</v>
      </c>
      <c r="D253" s="2041"/>
      <c r="E253" s="1288" t="s">
        <v>94</v>
      </c>
      <c r="F253" s="1288" t="s">
        <v>1325</v>
      </c>
      <c r="G253" s="1288" t="s">
        <v>1303</v>
      </c>
      <c r="H253" s="2033">
        <f>IFERROR(VLOOKUP($B253,'[3]1001'!$B$6:$G$5927,2,FALSE),0)</f>
        <v>0</v>
      </c>
      <c r="I253" s="2034">
        <f>IFERROR(VLOOKUP($B253,'[3]1001'!$B$6:$G$5927,4,FALSE),0)</f>
        <v>0</v>
      </c>
      <c r="J253" s="2033">
        <f t="shared" si="18"/>
        <v>0</v>
      </c>
      <c r="K253" s="2035">
        <f>IFERROR(VLOOKUP($B253,'[3]1002'!$B$6:$G$5921,2,FALSE),0)</f>
        <v>0</v>
      </c>
      <c r="L253" s="2036">
        <f>IFERROR(VLOOKUP($B253,'[3]1002'!$B$6:$G$5921,4,FALSE),0)</f>
        <v>0</v>
      </c>
      <c r="M253" s="1763">
        <f t="shared" si="19"/>
        <v>0</v>
      </c>
      <c r="N253" s="2033">
        <f>IFERROR(VLOOKUP($B253,'[3]1003'!$B$6:$G$5921,2,FALSE),0)</f>
        <v>0</v>
      </c>
      <c r="O253" s="2034">
        <f>IFERROR(VLOOKUP($B253,'[3]1003'!$B$6:$G$5921,4,FALSE),0)</f>
        <v>0</v>
      </c>
      <c r="P253" s="2033">
        <f t="shared" si="20"/>
        <v>0</v>
      </c>
      <c r="Q253" s="1763">
        <f>IFERROR(VLOOKUP($B253,'[3]1004'!$B$6:$G$5921,2,FALSE),0)</f>
        <v>0</v>
      </c>
      <c r="R253" s="2036">
        <f>IFERROR(VLOOKUP($B253,'[3]1004'!$B$6:$G$5921,4,FALSE),0)</f>
        <v>0</v>
      </c>
      <c r="S253" s="1763">
        <f t="shared" si="21"/>
        <v>0</v>
      </c>
      <c r="T253" s="2033">
        <f>IFERROR(VLOOKUP($B253,'[3]1006'!$B$6:$G$5921,2,FALSE),0)</f>
        <v>0</v>
      </c>
      <c r="U253" s="2034">
        <f>IFERROR(VLOOKUP($B253,'[3]1006'!$B$6:$G$5921,4,FALSE),0)</f>
        <v>0</v>
      </c>
      <c r="V253" s="2033">
        <f t="shared" si="22"/>
        <v>0</v>
      </c>
      <c r="W253" s="2033">
        <f t="shared" si="23"/>
        <v>0</v>
      </c>
    </row>
    <row r="254" spans="2:23" x14ac:dyDescent="0.15">
      <c r="B254" s="2032">
        <v>29888</v>
      </c>
      <c r="C254" s="2032" t="s">
        <v>1731</v>
      </c>
      <c r="D254" s="2032" t="s">
        <v>1732</v>
      </c>
      <c r="E254" s="2032" t="s">
        <v>94</v>
      </c>
      <c r="F254" s="1288" t="s">
        <v>1300</v>
      </c>
      <c r="G254" s="1288" t="s">
        <v>1303</v>
      </c>
      <c r="H254" s="2033">
        <f>IFERROR(VLOOKUP($B254,'[3]1001'!$B$6:$G$5927,2,FALSE),0)</f>
        <v>0</v>
      </c>
      <c r="I254" s="2034">
        <f>IFERROR(VLOOKUP($B254,'[3]1001'!$B$6:$G$5927,4,FALSE),0)</f>
        <v>0</v>
      </c>
      <c r="J254" s="2033">
        <f t="shared" si="18"/>
        <v>0</v>
      </c>
      <c r="K254" s="2035">
        <f>IFERROR(VLOOKUP($B254,'[3]1002'!$B$6:$G$5921,2,FALSE),0)</f>
        <v>0</v>
      </c>
      <c r="L254" s="2036">
        <f>IFERROR(VLOOKUP($B254,'[3]1002'!$B$6:$G$5921,4,FALSE),0)</f>
        <v>0</v>
      </c>
      <c r="M254" s="1763">
        <f t="shared" si="19"/>
        <v>0</v>
      </c>
      <c r="N254" s="2033">
        <f>IFERROR(VLOOKUP($B254,'[3]1003'!$B$6:$G$5921,2,FALSE),0)</f>
        <v>96737.31</v>
      </c>
      <c r="O254" s="2034">
        <f>IFERROR(VLOOKUP($B254,'[3]1003'!$B$6:$G$5921,4,FALSE),0)</f>
        <v>23</v>
      </c>
      <c r="P254" s="2033">
        <f t="shared" si="20"/>
        <v>4205.97</v>
      </c>
      <c r="Q254" s="1763">
        <f>IFERROR(VLOOKUP($B254,'[3]1004'!$B$6:$G$5921,2,FALSE),0)</f>
        <v>8225.4500000000007</v>
      </c>
      <c r="R254" s="2036">
        <f>IFERROR(VLOOKUP($B254,'[3]1004'!$B$6:$G$5921,4,FALSE),0)</f>
        <v>2</v>
      </c>
      <c r="S254" s="1763">
        <f t="shared" si="21"/>
        <v>4112.7250000000004</v>
      </c>
      <c r="T254" s="2033">
        <f>IFERROR(VLOOKUP($B254,'[3]1006'!$B$6:$G$5921,2,FALSE),0)</f>
        <v>18991.72</v>
      </c>
      <c r="U254" s="2034">
        <f>IFERROR(VLOOKUP($B254,'[3]1006'!$B$6:$G$5921,4,FALSE),0)</f>
        <v>4</v>
      </c>
      <c r="V254" s="2033">
        <f t="shared" si="22"/>
        <v>4747.93</v>
      </c>
      <c r="W254" s="2033">
        <f t="shared" si="23"/>
        <v>29</v>
      </c>
    </row>
    <row r="255" spans="2:23" x14ac:dyDescent="0.15">
      <c r="B255" s="2032">
        <v>29889</v>
      </c>
      <c r="C255" s="2032" t="s">
        <v>1733</v>
      </c>
      <c r="D255" s="2037" t="s">
        <v>1734</v>
      </c>
      <c r="E255" s="2032" t="s">
        <v>94</v>
      </c>
      <c r="F255" s="1288" t="s">
        <v>1300</v>
      </c>
      <c r="G255" s="1288" t="s">
        <v>1303</v>
      </c>
      <c r="H255" s="2033">
        <f>IFERROR(VLOOKUP($B255,'[3]1001'!$B$6:$G$5927,2,FALSE),0)</f>
        <v>0</v>
      </c>
      <c r="I255" s="2034">
        <f>IFERROR(VLOOKUP($B255,'[3]1001'!$B$6:$G$5927,4,FALSE),0)</f>
        <v>0</v>
      </c>
      <c r="J255" s="2033">
        <f t="shared" si="18"/>
        <v>0</v>
      </c>
      <c r="K255" s="2035">
        <f>IFERROR(VLOOKUP($B255,'[3]1002'!$B$6:$G$5921,2,FALSE),0)</f>
        <v>0</v>
      </c>
      <c r="L255" s="2036">
        <f>IFERROR(VLOOKUP($B255,'[3]1002'!$B$6:$G$5921,4,FALSE),0)</f>
        <v>0</v>
      </c>
      <c r="M255" s="1763">
        <f t="shared" si="19"/>
        <v>0</v>
      </c>
      <c r="N255" s="2033">
        <f>IFERROR(VLOOKUP($B255,'[3]1003'!$B$6:$G$5921,2,FALSE),0)</f>
        <v>0</v>
      </c>
      <c r="O255" s="2034">
        <f>IFERROR(VLOOKUP($B255,'[3]1003'!$B$6:$G$5921,4,FALSE),0)</f>
        <v>0</v>
      </c>
      <c r="P255" s="2033">
        <f t="shared" si="20"/>
        <v>0</v>
      </c>
      <c r="Q255" s="1763">
        <f>IFERROR(VLOOKUP($B255,'[3]1004'!$B$6:$G$5921,2,FALSE),0)</f>
        <v>149056.51999999999</v>
      </c>
      <c r="R255" s="2036">
        <f>IFERROR(VLOOKUP($B255,'[3]1004'!$B$6:$G$5921,4,FALSE),0)</f>
        <v>2</v>
      </c>
      <c r="S255" s="1763">
        <f t="shared" si="21"/>
        <v>74528.259999999995</v>
      </c>
      <c r="T255" s="2033">
        <f>IFERROR(VLOOKUP($B255,'[3]1006'!$B$6:$G$5921,2,FALSE),0)</f>
        <v>41852.9</v>
      </c>
      <c r="U255" s="2034">
        <f>IFERROR(VLOOKUP($B255,'[3]1006'!$B$6:$G$5921,4,FALSE),0)</f>
        <v>1</v>
      </c>
      <c r="V255" s="2033">
        <f t="shared" si="22"/>
        <v>41852.9</v>
      </c>
      <c r="W255" s="2033">
        <f t="shared" si="23"/>
        <v>3</v>
      </c>
    </row>
    <row r="256" spans="2:23" x14ac:dyDescent="0.15">
      <c r="B256" s="2032">
        <v>29890</v>
      </c>
      <c r="C256" s="2032" t="s">
        <v>1735</v>
      </c>
      <c r="D256" s="2037" t="s">
        <v>1736</v>
      </c>
      <c r="E256" s="2032" t="s">
        <v>94</v>
      </c>
      <c r="F256" s="1288" t="s">
        <v>1300</v>
      </c>
      <c r="G256" s="1288" t="s">
        <v>1303</v>
      </c>
      <c r="H256" s="2033">
        <f>IFERROR(VLOOKUP($B256,'[3]1001'!$B$6:$G$5927,2,FALSE),0)</f>
        <v>0</v>
      </c>
      <c r="I256" s="2034">
        <f>IFERROR(VLOOKUP($B256,'[3]1001'!$B$6:$G$5927,4,FALSE),0)</f>
        <v>0</v>
      </c>
      <c r="J256" s="2033">
        <f t="shared" si="18"/>
        <v>0</v>
      </c>
      <c r="K256" s="2035">
        <f>IFERROR(VLOOKUP($B256,'[3]1002'!$B$6:$G$5921,2,FALSE),0)</f>
        <v>17443.47</v>
      </c>
      <c r="L256" s="2036">
        <f>IFERROR(VLOOKUP($B256,'[3]1002'!$B$6:$G$5921,4,FALSE),0)</f>
        <v>4</v>
      </c>
      <c r="M256" s="1763">
        <f t="shared" si="19"/>
        <v>4360.8675000000003</v>
      </c>
      <c r="N256" s="2033">
        <f>IFERROR(VLOOKUP($B256,'[3]1003'!$B$6:$G$5921,2,FALSE),0)</f>
        <v>82856.5</v>
      </c>
      <c r="O256" s="2034">
        <f>IFERROR(VLOOKUP($B256,'[3]1003'!$B$6:$G$5921,4,FALSE),0)</f>
        <v>19</v>
      </c>
      <c r="P256" s="2033">
        <f t="shared" si="20"/>
        <v>4360.8684210526317</v>
      </c>
      <c r="Q256" s="1763">
        <f>IFERROR(VLOOKUP($B256,'[3]1004'!$B$6:$G$5921,2,FALSE),0)</f>
        <v>13082.6</v>
      </c>
      <c r="R256" s="2036">
        <f>IFERROR(VLOOKUP($B256,'[3]1004'!$B$6:$G$5921,4,FALSE),0)</f>
        <v>3</v>
      </c>
      <c r="S256" s="1763">
        <f t="shared" si="21"/>
        <v>4360.8666666666668</v>
      </c>
      <c r="T256" s="2033">
        <f>IFERROR(VLOOKUP($B256,'[3]1006'!$B$6:$G$5921,2,FALSE),0)</f>
        <v>0</v>
      </c>
      <c r="U256" s="2034">
        <f>IFERROR(VLOOKUP($B256,'[3]1006'!$B$6:$G$5921,4,FALSE),0)</f>
        <v>0</v>
      </c>
      <c r="V256" s="2033">
        <f t="shared" si="22"/>
        <v>0</v>
      </c>
      <c r="W256" s="2033">
        <f t="shared" si="23"/>
        <v>26</v>
      </c>
    </row>
    <row r="257" spans="2:23" x14ac:dyDescent="0.15">
      <c r="B257" s="2032">
        <v>29892</v>
      </c>
      <c r="C257" s="2032" t="s">
        <v>1737</v>
      </c>
      <c r="D257" s="2037" t="s">
        <v>1738</v>
      </c>
      <c r="E257" s="2032" t="s">
        <v>94</v>
      </c>
      <c r="F257" s="1288" t="s">
        <v>1325</v>
      </c>
      <c r="G257" s="1288" t="s">
        <v>1303</v>
      </c>
      <c r="H257" s="2033">
        <f>IFERROR(VLOOKUP($B257,'[3]1001'!$B$6:$G$5927,2,FALSE),0)</f>
        <v>0</v>
      </c>
      <c r="I257" s="2034">
        <f>IFERROR(VLOOKUP($B257,'[3]1001'!$B$6:$G$5927,4,FALSE),0)</f>
        <v>0</v>
      </c>
      <c r="J257" s="2033">
        <f t="shared" si="18"/>
        <v>0</v>
      </c>
      <c r="K257" s="2035">
        <f>IFERROR(VLOOKUP($B257,'[3]1002'!$B$6:$G$5921,2,FALSE),0)</f>
        <v>113468.4</v>
      </c>
      <c r="L257" s="2036">
        <f>IFERROR(VLOOKUP($B257,'[3]1002'!$B$6:$G$5921,4,FALSE),0)</f>
        <v>3</v>
      </c>
      <c r="M257" s="1763">
        <f t="shared" si="19"/>
        <v>37822.799999999996</v>
      </c>
      <c r="N257" s="2033">
        <f>IFERROR(VLOOKUP($B257,'[3]1003'!$B$6:$G$5921,2,FALSE),0)</f>
        <v>0</v>
      </c>
      <c r="O257" s="2034">
        <f>IFERROR(VLOOKUP($B257,'[3]1003'!$B$6:$G$5921,4,FALSE),0)</f>
        <v>0</v>
      </c>
      <c r="P257" s="2033">
        <f t="shared" si="20"/>
        <v>0</v>
      </c>
      <c r="Q257" s="1763">
        <f>IFERROR(VLOOKUP($B257,'[3]1004'!$B$6:$G$5921,2,FALSE),0)</f>
        <v>0</v>
      </c>
      <c r="R257" s="2036">
        <f>IFERROR(VLOOKUP($B257,'[3]1004'!$B$6:$G$5921,4,FALSE),0)</f>
        <v>0</v>
      </c>
      <c r="S257" s="1763">
        <f t="shared" si="21"/>
        <v>0</v>
      </c>
      <c r="T257" s="2033">
        <f>IFERROR(VLOOKUP($B257,'[3]1006'!$B$6:$G$5921,2,FALSE),0)</f>
        <v>0</v>
      </c>
      <c r="U257" s="2034">
        <f>IFERROR(VLOOKUP($B257,'[3]1006'!$B$6:$G$5921,4,FALSE),0)</f>
        <v>0</v>
      </c>
      <c r="V257" s="2033">
        <f t="shared" si="22"/>
        <v>0</v>
      </c>
      <c r="W257" s="2033">
        <f t="shared" si="23"/>
        <v>3</v>
      </c>
    </row>
    <row r="258" spans="2:23" x14ac:dyDescent="0.15">
      <c r="B258" s="2032">
        <v>29895</v>
      </c>
      <c r="C258" s="2032" t="s">
        <v>1739</v>
      </c>
      <c r="D258" s="2032" t="s">
        <v>1740</v>
      </c>
      <c r="E258" s="2032" t="s">
        <v>94</v>
      </c>
      <c r="F258" s="1288" t="s">
        <v>1411</v>
      </c>
      <c r="G258" s="1288" t="s">
        <v>1303</v>
      </c>
      <c r="H258" s="2033">
        <f>IFERROR(VLOOKUP($B258,'[3]1001'!$B$6:$G$5927,2,FALSE),0)</f>
        <v>0</v>
      </c>
      <c r="I258" s="2034">
        <f>IFERROR(VLOOKUP($B258,'[3]1001'!$B$6:$G$5927,4,FALSE),0)</f>
        <v>0</v>
      </c>
      <c r="J258" s="2033">
        <f t="shared" si="18"/>
        <v>0</v>
      </c>
      <c r="K258" s="2035">
        <f>IFERROR(VLOOKUP($B258,'[3]1002'!$B$6:$G$5921,2,FALSE),0)</f>
        <v>0</v>
      </c>
      <c r="L258" s="2036">
        <f>IFERROR(VLOOKUP($B258,'[3]1002'!$B$6:$G$5921,4,FALSE),0)</f>
        <v>0</v>
      </c>
      <c r="M258" s="1763">
        <f t="shared" si="19"/>
        <v>0</v>
      </c>
      <c r="N258" s="2033">
        <f>IFERROR(VLOOKUP($B258,'[3]1003'!$B$6:$G$5921,2,FALSE),0)</f>
        <v>94805.759999999995</v>
      </c>
      <c r="O258" s="2034">
        <f>IFERROR(VLOOKUP($B258,'[3]1003'!$B$6:$G$5921,4,FALSE),0)</f>
        <v>7</v>
      </c>
      <c r="P258" s="2033">
        <f t="shared" si="20"/>
        <v>13543.679999999998</v>
      </c>
      <c r="Q258" s="1763">
        <f>IFERROR(VLOOKUP($B258,'[3]1004'!$B$6:$G$5921,2,FALSE),0)</f>
        <v>0</v>
      </c>
      <c r="R258" s="2036">
        <f>IFERROR(VLOOKUP($B258,'[3]1004'!$B$6:$G$5921,4,FALSE),0)</f>
        <v>0</v>
      </c>
      <c r="S258" s="1763">
        <f t="shared" si="21"/>
        <v>0</v>
      </c>
      <c r="T258" s="2033">
        <f>IFERROR(VLOOKUP($B258,'[3]1006'!$B$6:$G$5921,2,FALSE),0)</f>
        <v>0</v>
      </c>
      <c r="U258" s="2034">
        <f>IFERROR(VLOOKUP($B258,'[3]1006'!$B$6:$G$5921,4,FALSE),0)</f>
        <v>0</v>
      </c>
      <c r="V258" s="2033">
        <f t="shared" si="22"/>
        <v>0</v>
      </c>
      <c r="W258" s="2033">
        <f t="shared" si="23"/>
        <v>7</v>
      </c>
    </row>
    <row r="259" spans="2:23" x14ac:dyDescent="0.15">
      <c r="B259" s="2032">
        <v>29896</v>
      </c>
      <c r="C259" s="2032" t="s">
        <v>1741</v>
      </c>
      <c r="D259" s="2032" t="s">
        <v>1742</v>
      </c>
      <c r="E259" s="2032" t="s">
        <v>94</v>
      </c>
      <c r="F259" s="1288" t="s">
        <v>1300</v>
      </c>
      <c r="G259" s="1288" t="s">
        <v>1303</v>
      </c>
      <c r="H259" s="2033">
        <f>IFERROR(VLOOKUP($B259,'[3]1001'!$B$6:$G$5927,2,FALSE),0)</f>
        <v>0</v>
      </c>
      <c r="I259" s="2034">
        <f>IFERROR(VLOOKUP($B259,'[3]1001'!$B$6:$G$5927,4,FALSE),0)</f>
        <v>0</v>
      </c>
      <c r="J259" s="2033">
        <f t="shared" si="18"/>
        <v>0</v>
      </c>
      <c r="K259" s="2035">
        <f>IFERROR(VLOOKUP($B259,'[3]1002'!$B$6:$G$5921,2,FALSE),0)</f>
        <v>0</v>
      </c>
      <c r="L259" s="2036">
        <f>IFERROR(VLOOKUP($B259,'[3]1002'!$B$6:$G$5921,4,FALSE),0)</f>
        <v>0</v>
      </c>
      <c r="M259" s="1763">
        <f t="shared" si="19"/>
        <v>0</v>
      </c>
      <c r="N259" s="2033">
        <f>IFERROR(VLOOKUP($B259,'[3]1003'!$B$6:$G$5921,2,FALSE),0)</f>
        <v>92737.54</v>
      </c>
      <c r="O259" s="2034">
        <f>IFERROR(VLOOKUP($B259,'[3]1003'!$B$6:$G$5921,4,FALSE),0)</f>
        <v>1</v>
      </c>
      <c r="P259" s="2033">
        <f t="shared" si="20"/>
        <v>92737.54</v>
      </c>
      <c r="Q259" s="1763">
        <f>IFERROR(VLOOKUP($B259,'[3]1004'!$B$6:$G$5921,2,FALSE),0)</f>
        <v>0</v>
      </c>
      <c r="R259" s="2036">
        <f>IFERROR(VLOOKUP($B259,'[3]1004'!$B$6:$G$5921,4,FALSE),0)</f>
        <v>0</v>
      </c>
      <c r="S259" s="1763">
        <f t="shared" si="21"/>
        <v>0</v>
      </c>
      <c r="T259" s="2033">
        <f>IFERROR(VLOOKUP($B259,'[3]1006'!$B$6:$G$5921,2,FALSE),0)</f>
        <v>0</v>
      </c>
      <c r="U259" s="2034">
        <f>IFERROR(VLOOKUP($B259,'[3]1006'!$B$6:$G$5921,4,FALSE),0)</f>
        <v>0</v>
      </c>
      <c r="V259" s="2033">
        <f t="shared" si="22"/>
        <v>0</v>
      </c>
      <c r="W259" s="2033">
        <f t="shared" si="23"/>
        <v>1</v>
      </c>
    </row>
    <row r="260" spans="2:23" x14ac:dyDescent="0.15">
      <c r="B260" s="2032">
        <v>29897</v>
      </c>
      <c r="C260" s="2032" t="s">
        <v>1744</v>
      </c>
      <c r="D260" s="2037" t="s">
        <v>1745</v>
      </c>
      <c r="E260" s="2032" t="s">
        <v>94</v>
      </c>
      <c r="F260" s="1288" t="s">
        <v>1325</v>
      </c>
      <c r="G260" s="1288" t="s">
        <v>1303</v>
      </c>
      <c r="H260" s="2033">
        <f>IFERROR(VLOOKUP($B260,'[3]1001'!$B$6:$G$5927,2,FALSE),0)</f>
        <v>0</v>
      </c>
      <c r="I260" s="2034">
        <f>IFERROR(VLOOKUP($B260,'[3]1001'!$B$6:$G$5927,4,FALSE),0)</f>
        <v>0</v>
      </c>
      <c r="J260" s="2033">
        <f t="shared" si="18"/>
        <v>0</v>
      </c>
      <c r="K260" s="2035">
        <f>IFERROR(VLOOKUP($B260,'[3]1002'!$B$6:$G$5921,2,FALSE),0)</f>
        <v>0</v>
      </c>
      <c r="L260" s="2036">
        <f>IFERROR(VLOOKUP($B260,'[3]1002'!$B$6:$G$5921,4,FALSE),0)</f>
        <v>0</v>
      </c>
      <c r="M260" s="1763">
        <f t="shared" si="19"/>
        <v>0</v>
      </c>
      <c r="N260" s="2033">
        <f>IFERROR(VLOOKUP($B260,'[3]1003'!$B$6:$G$5921,2,FALSE),0)</f>
        <v>86139.88</v>
      </c>
      <c r="O260" s="2034">
        <f>IFERROR(VLOOKUP($B260,'[3]1003'!$B$6:$G$5921,4,FALSE),0)</f>
        <v>2</v>
      </c>
      <c r="P260" s="2033">
        <f t="shared" si="20"/>
        <v>43069.94</v>
      </c>
      <c r="Q260" s="1763">
        <f>IFERROR(VLOOKUP($B260,'[3]1004'!$B$6:$G$5921,2,FALSE),0)</f>
        <v>0</v>
      </c>
      <c r="R260" s="2036">
        <f>IFERROR(VLOOKUP($B260,'[3]1004'!$B$6:$G$5921,4,FALSE),0)</f>
        <v>0</v>
      </c>
      <c r="S260" s="1763">
        <f t="shared" si="21"/>
        <v>0</v>
      </c>
      <c r="T260" s="2033">
        <f>IFERROR(VLOOKUP($B260,'[3]1006'!$B$6:$G$5921,2,FALSE),0)</f>
        <v>0</v>
      </c>
      <c r="U260" s="2034">
        <f>IFERROR(VLOOKUP($B260,'[3]1006'!$B$6:$G$5921,4,FALSE),0)</f>
        <v>0</v>
      </c>
      <c r="V260" s="2033">
        <f t="shared" si="22"/>
        <v>0</v>
      </c>
      <c r="W260" s="2033">
        <f t="shared" si="23"/>
        <v>2</v>
      </c>
    </row>
    <row r="261" spans="2:23" ht="15" x14ac:dyDescent="0.2">
      <c r="B261" s="2042">
        <v>29899</v>
      </c>
      <c r="C261" s="1288" t="s">
        <v>1746</v>
      </c>
      <c r="D261" s="1288"/>
      <c r="E261" s="1288" t="s">
        <v>94</v>
      </c>
      <c r="F261" s="1288" t="s">
        <v>1300</v>
      </c>
      <c r="G261" s="1288" t="s">
        <v>1303</v>
      </c>
      <c r="H261" s="2033">
        <f>IFERROR(VLOOKUP($B261,'[3]1001'!$B$6:$G$5927,2,FALSE),0)</f>
        <v>0</v>
      </c>
      <c r="I261" s="2034">
        <f>IFERROR(VLOOKUP($B261,'[3]1001'!$B$6:$G$5927,4,FALSE),0)</f>
        <v>0</v>
      </c>
      <c r="J261" s="2033">
        <f t="shared" si="18"/>
        <v>0</v>
      </c>
      <c r="K261" s="2035">
        <f>IFERROR(VLOOKUP($B261,'[3]1002'!$B$6:$G$5921,2,FALSE),0)</f>
        <v>0</v>
      </c>
      <c r="L261" s="2036">
        <f>IFERROR(VLOOKUP($B261,'[3]1002'!$B$6:$G$5921,4,FALSE),0)</f>
        <v>0</v>
      </c>
      <c r="M261" s="1763">
        <f t="shared" si="19"/>
        <v>0</v>
      </c>
      <c r="N261" s="2033">
        <f>IFERROR(VLOOKUP($B261,'[3]1003'!$B$6:$G$5921,2,FALSE),0)</f>
        <v>0</v>
      </c>
      <c r="O261" s="2034">
        <f>IFERROR(VLOOKUP($B261,'[3]1003'!$B$6:$G$5921,4,FALSE),0)</f>
        <v>0</v>
      </c>
      <c r="P261" s="2033">
        <f t="shared" si="20"/>
        <v>0</v>
      </c>
      <c r="Q261" s="1763">
        <f>IFERROR(VLOOKUP($B261,'[3]1004'!$B$6:$G$5921,2,FALSE),0)</f>
        <v>0</v>
      </c>
      <c r="R261" s="2036">
        <f>IFERROR(VLOOKUP($B261,'[3]1004'!$B$6:$G$5921,4,FALSE),0)</f>
        <v>0</v>
      </c>
      <c r="S261" s="1763">
        <f t="shared" si="21"/>
        <v>0</v>
      </c>
      <c r="T261" s="2033">
        <f>IFERROR(VLOOKUP($B261,'[3]1006'!$B$6:$G$5921,2,FALSE),0)</f>
        <v>0</v>
      </c>
      <c r="U261" s="2034">
        <f>IFERROR(VLOOKUP($B261,'[3]1006'!$B$6:$G$5921,4,FALSE),0)</f>
        <v>0</v>
      </c>
      <c r="V261" s="2033">
        <f t="shared" si="22"/>
        <v>0</v>
      </c>
      <c r="W261" s="2033">
        <f t="shared" si="23"/>
        <v>0</v>
      </c>
    </row>
    <row r="262" spans="2:23" x14ac:dyDescent="0.15">
      <c r="B262" s="2032">
        <v>29900</v>
      </c>
      <c r="C262" s="2032" t="s">
        <v>1747</v>
      </c>
      <c r="D262" s="2032" t="s">
        <v>1748</v>
      </c>
      <c r="E262" s="2032" t="s">
        <v>94</v>
      </c>
      <c r="F262" s="1288" t="s">
        <v>1300</v>
      </c>
      <c r="G262" s="1288" t="s">
        <v>1303</v>
      </c>
      <c r="H262" s="2033">
        <f>IFERROR(VLOOKUP($B262,'[3]1001'!$B$6:$G$5927,2,FALSE),0)</f>
        <v>198778.02</v>
      </c>
      <c r="I262" s="2034">
        <f>IFERROR(VLOOKUP($B262,'[3]1001'!$B$6:$G$5927,4,FALSE),0)</f>
        <v>8</v>
      </c>
      <c r="J262" s="2033">
        <f t="shared" ref="J262:J325" si="24">IF(H262=0,0,H262/I262)</f>
        <v>24847.252499999999</v>
      </c>
      <c r="K262" s="2035">
        <f>IFERROR(VLOOKUP($B262,'[3]1002'!$B$6:$G$5921,2,FALSE),0)</f>
        <v>3914.26</v>
      </c>
      <c r="L262" s="2036">
        <f>IFERROR(VLOOKUP($B262,'[3]1002'!$B$6:$G$5921,4,FALSE),0)</f>
        <v>1</v>
      </c>
      <c r="M262" s="1763">
        <f t="shared" ref="M262:M325" si="25">IF(K262=0,0,K262/L262)</f>
        <v>3914.26</v>
      </c>
      <c r="N262" s="2033">
        <f>IFERROR(VLOOKUP($B262,'[3]1003'!$B$6:$G$5921,2,FALSE),0)</f>
        <v>24847.25</v>
      </c>
      <c r="O262" s="2034">
        <f>IFERROR(VLOOKUP($B262,'[3]1003'!$B$6:$G$5921,4,FALSE),0)</f>
        <v>1</v>
      </c>
      <c r="P262" s="2033">
        <f t="shared" ref="P262:P325" si="26">IF(N262=0,0,N262/O262)</f>
        <v>24847.25</v>
      </c>
      <c r="Q262" s="1763">
        <f>IFERROR(VLOOKUP($B262,'[3]1004'!$B$6:$G$5921,2,FALSE),0)</f>
        <v>11478.47</v>
      </c>
      <c r="R262" s="2036">
        <f>IFERROR(VLOOKUP($B262,'[3]1004'!$B$6:$G$5921,4,FALSE),0)</f>
        <v>3</v>
      </c>
      <c r="S262" s="1763">
        <f t="shared" ref="S262:S325" si="27">IF(Q262=0,0,Q262/R262)</f>
        <v>3826.1566666666663</v>
      </c>
      <c r="T262" s="2033">
        <f>IFERROR(VLOOKUP($B262,'[3]1006'!$B$6:$G$5921,2,FALSE),0)</f>
        <v>27766.080000000002</v>
      </c>
      <c r="U262" s="2034">
        <f>IFERROR(VLOOKUP($B262,'[3]1006'!$B$6:$G$5921,4,FALSE),0)</f>
        <v>6</v>
      </c>
      <c r="V262" s="2033">
        <f t="shared" ref="V262:V325" si="28">IF(T262=0,0,T262/U262)</f>
        <v>4627.68</v>
      </c>
      <c r="W262" s="2033">
        <f t="shared" ref="W262:W325" si="29">U262+R262+O262+L262+I262</f>
        <v>19</v>
      </c>
    </row>
    <row r="263" spans="2:23" x14ac:dyDescent="0.15">
      <c r="B263" s="1288">
        <v>29907</v>
      </c>
      <c r="C263" s="1288" t="s">
        <v>1749</v>
      </c>
      <c r="D263" s="1288"/>
      <c r="E263" s="1288" t="s">
        <v>94</v>
      </c>
      <c r="F263" s="1288" t="s">
        <v>1411</v>
      </c>
      <c r="G263" s="1288" t="s">
        <v>1303</v>
      </c>
      <c r="H263" s="2033">
        <f>IFERROR(VLOOKUP($B263,'[3]1001'!$B$6:$G$5927,2,FALSE),0)</f>
        <v>0</v>
      </c>
      <c r="I263" s="2034">
        <f>IFERROR(VLOOKUP($B263,'[3]1001'!$B$6:$G$5927,4,FALSE),0)</f>
        <v>0</v>
      </c>
      <c r="J263" s="2033">
        <f t="shared" si="24"/>
        <v>0</v>
      </c>
      <c r="K263" s="2035">
        <f>IFERROR(VLOOKUP($B263,'[3]1002'!$B$6:$G$5921,2,FALSE),0)</f>
        <v>0</v>
      </c>
      <c r="L263" s="2036">
        <f>IFERROR(VLOOKUP($B263,'[3]1002'!$B$6:$G$5921,4,FALSE),0)</f>
        <v>0</v>
      </c>
      <c r="M263" s="1763">
        <f t="shared" si="25"/>
        <v>0</v>
      </c>
      <c r="N263" s="2033">
        <f>IFERROR(VLOOKUP($B263,'[3]1003'!$B$6:$G$5921,2,FALSE),0)</f>
        <v>0</v>
      </c>
      <c r="O263" s="2034">
        <f>IFERROR(VLOOKUP($B263,'[3]1003'!$B$6:$G$5921,4,FALSE),0)</f>
        <v>0</v>
      </c>
      <c r="P263" s="2033">
        <f t="shared" si="26"/>
        <v>0</v>
      </c>
      <c r="Q263" s="1763">
        <f>IFERROR(VLOOKUP($B263,'[3]1004'!$B$6:$G$5921,2,FALSE),0)</f>
        <v>0</v>
      </c>
      <c r="R263" s="2036">
        <f>IFERROR(VLOOKUP($B263,'[3]1004'!$B$6:$G$5921,4,FALSE),0)</f>
        <v>0</v>
      </c>
      <c r="S263" s="1763">
        <f t="shared" si="27"/>
        <v>0</v>
      </c>
      <c r="T263" s="2033">
        <f>IFERROR(VLOOKUP($B263,'[3]1006'!$B$6:$G$5921,2,FALSE),0)</f>
        <v>0</v>
      </c>
      <c r="U263" s="2034">
        <f>IFERROR(VLOOKUP($B263,'[3]1006'!$B$6:$G$5921,4,FALSE),0)</f>
        <v>0</v>
      </c>
      <c r="V263" s="2033">
        <f t="shared" si="28"/>
        <v>0</v>
      </c>
      <c r="W263" s="2033">
        <f t="shared" si="29"/>
        <v>0</v>
      </c>
    </row>
    <row r="264" spans="2:23" x14ac:dyDescent="0.15">
      <c r="B264" s="2032">
        <v>29909</v>
      </c>
      <c r="C264" s="2032" t="s">
        <v>1750</v>
      </c>
      <c r="D264" s="2037" t="s">
        <v>1751</v>
      </c>
      <c r="E264" s="2032" t="s">
        <v>94</v>
      </c>
      <c r="F264" s="1288" t="s">
        <v>1300</v>
      </c>
      <c r="G264" s="1288" t="s">
        <v>1303</v>
      </c>
      <c r="H264" s="2033">
        <f>IFERROR(VLOOKUP($B264,'[3]1001'!$B$6:$G$5927,2,FALSE),0)</f>
        <v>0</v>
      </c>
      <c r="I264" s="2034">
        <f>IFERROR(VLOOKUP($B264,'[3]1001'!$B$6:$G$5927,4,FALSE),0)</f>
        <v>0</v>
      </c>
      <c r="J264" s="2033">
        <f t="shared" si="24"/>
        <v>0</v>
      </c>
      <c r="K264" s="2035">
        <f>IFERROR(VLOOKUP($B264,'[3]1002'!$B$6:$G$5921,2,FALSE),0)</f>
        <v>0</v>
      </c>
      <c r="L264" s="2036">
        <f>IFERROR(VLOOKUP($B264,'[3]1002'!$B$6:$G$5921,4,FALSE),0)</f>
        <v>0</v>
      </c>
      <c r="M264" s="1763">
        <f t="shared" si="25"/>
        <v>0</v>
      </c>
      <c r="N264" s="2033">
        <f>IFERROR(VLOOKUP($B264,'[3]1003'!$B$6:$G$5921,2,FALSE),0)</f>
        <v>44143.75</v>
      </c>
      <c r="O264" s="2034">
        <f>IFERROR(VLOOKUP($B264,'[3]1003'!$B$6:$G$5921,4,FALSE),0)</f>
        <v>5</v>
      </c>
      <c r="P264" s="2033">
        <f t="shared" si="26"/>
        <v>8828.75</v>
      </c>
      <c r="Q264" s="1763">
        <f>IFERROR(VLOOKUP($B264,'[3]1004'!$B$6:$G$5921,2,FALSE),0)</f>
        <v>0</v>
      </c>
      <c r="R264" s="2036">
        <f>IFERROR(VLOOKUP($B264,'[3]1004'!$B$6:$G$5921,4,FALSE),0)</f>
        <v>0</v>
      </c>
      <c r="S264" s="1763">
        <f t="shared" si="27"/>
        <v>0</v>
      </c>
      <c r="T264" s="2033">
        <f>IFERROR(VLOOKUP($B264,'[3]1006'!$B$6:$G$5921,2,FALSE),0)</f>
        <v>8828.75</v>
      </c>
      <c r="U264" s="2034">
        <f>IFERROR(VLOOKUP($B264,'[3]1006'!$B$6:$G$5921,4,FALSE),0)</f>
        <v>1</v>
      </c>
      <c r="V264" s="2033">
        <f t="shared" si="28"/>
        <v>8828.75</v>
      </c>
      <c r="W264" s="2033">
        <f t="shared" si="29"/>
        <v>6</v>
      </c>
    </row>
    <row r="265" spans="2:23" x14ac:dyDescent="0.15">
      <c r="B265" s="2032">
        <v>29910</v>
      </c>
      <c r="C265" s="2032" t="s">
        <v>1752</v>
      </c>
      <c r="D265" s="2038" t="s">
        <v>1753</v>
      </c>
      <c r="E265" s="2032" t="s">
        <v>94</v>
      </c>
      <c r="F265" s="1288" t="s">
        <v>1300</v>
      </c>
      <c r="G265" s="1288" t="s">
        <v>1303</v>
      </c>
      <c r="H265" s="2033">
        <f>IFERROR(VLOOKUP($B265,'[3]1001'!$B$6:$G$5927,2,FALSE),0)</f>
        <v>0</v>
      </c>
      <c r="I265" s="2034">
        <f>IFERROR(VLOOKUP($B265,'[3]1001'!$B$6:$G$5927,4,FALSE),0)</f>
        <v>0</v>
      </c>
      <c r="J265" s="2033">
        <f t="shared" si="24"/>
        <v>0</v>
      </c>
      <c r="K265" s="2035">
        <f>IFERROR(VLOOKUP($B265,'[3]1002'!$B$6:$G$5921,2,FALSE),0)</f>
        <v>0</v>
      </c>
      <c r="L265" s="2036">
        <f>IFERROR(VLOOKUP($B265,'[3]1002'!$B$6:$G$5921,4,FALSE),0)</f>
        <v>0</v>
      </c>
      <c r="M265" s="1763">
        <f t="shared" si="25"/>
        <v>0</v>
      </c>
      <c r="N265" s="2033">
        <f>IFERROR(VLOOKUP($B265,'[3]1003'!$B$6:$G$5921,2,FALSE),0)</f>
        <v>34138.620000000003</v>
      </c>
      <c r="O265" s="2034">
        <f>IFERROR(VLOOKUP($B265,'[3]1003'!$B$6:$G$5921,4,FALSE),0)</f>
        <v>1</v>
      </c>
      <c r="P265" s="2033">
        <f t="shared" si="26"/>
        <v>34138.620000000003</v>
      </c>
      <c r="Q265" s="1763">
        <f>IFERROR(VLOOKUP($B265,'[3]1004'!$B$6:$G$5921,2,FALSE),0)</f>
        <v>0</v>
      </c>
      <c r="R265" s="2036">
        <f>IFERROR(VLOOKUP($B265,'[3]1004'!$B$6:$G$5921,4,FALSE),0)</f>
        <v>0</v>
      </c>
      <c r="S265" s="1763">
        <f t="shared" si="27"/>
        <v>0</v>
      </c>
      <c r="T265" s="2033">
        <f>IFERROR(VLOOKUP($B265,'[3]1006'!$B$6:$G$5921,2,FALSE),0)</f>
        <v>0</v>
      </c>
      <c r="U265" s="2034">
        <f>IFERROR(VLOOKUP($B265,'[3]1006'!$B$6:$G$5921,4,FALSE),0)</f>
        <v>0</v>
      </c>
      <c r="V265" s="2033">
        <f t="shared" si="28"/>
        <v>0</v>
      </c>
      <c r="W265" s="2033">
        <f t="shared" si="29"/>
        <v>1</v>
      </c>
    </row>
    <row r="266" spans="2:23" x14ac:dyDescent="0.15">
      <c r="B266" s="1288">
        <v>29912</v>
      </c>
      <c r="C266" s="1288" t="s">
        <v>1754</v>
      </c>
      <c r="D266" s="1288"/>
      <c r="E266" s="1288" t="s">
        <v>94</v>
      </c>
      <c r="F266" s="1288" t="s">
        <v>1325</v>
      </c>
      <c r="G266" s="1288" t="s">
        <v>1303</v>
      </c>
      <c r="H266" s="2033">
        <f>IFERROR(VLOOKUP($B266,'[3]1001'!$B$6:$G$5927,2,FALSE),0)</f>
        <v>0</v>
      </c>
      <c r="I266" s="2034">
        <f>IFERROR(VLOOKUP($B266,'[3]1001'!$B$6:$G$5927,4,FALSE),0)</f>
        <v>0</v>
      </c>
      <c r="J266" s="2033">
        <f t="shared" si="24"/>
        <v>0</v>
      </c>
      <c r="K266" s="2035">
        <f>IFERROR(VLOOKUP($B266,'[3]1002'!$B$6:$G$5921,2,FALSE),0)</f>
        <v>0</v>
      </c>
      <c r="L266" s="2036">
        <f>IFERROR(VLOOKUP($B266,'[3]1002'!$B$6:$G$5921,4,FALSE),0)</f>
        <v>0</v>
      </c>
      <c r="M266" s="1763">
        <f t="shared" si="25"/>
        <v>0</v>
      </c>
      <c r="N266" s="2033">
        <f>IFERROR(VLOOKUP($B266,'[3]1003'!$B$6:$G$5921,2,FALSE),0)</f>
        <v>0</v>
      </c>
      <c r="O266" s="2034">
        <f>IFERROR(VLOOKUP($B266,'[3]1003'!$B$6:$G$5921,4,FALSE),0)</f>
        <v>0</v>
      </c>
      <c r="P266" s="2033">
        <f t="shared" si="26"/>
        <v>0</v>
      </c>
      <c r="Q266" s="1763">
        <f>IFERROR(VLOOKUP($B266,'[3]1004'!$B$6:$G$5921,2,FALSE),0)</f>
        <v>0</v>
      </c>
      <c r="R266" s="2036">
        <f>IFERROR(VLOOKUP($B266,'[3]1004'!$B$6:$G$5921,4,FALSE),0)</f>
        <v>0</v>
      </c>
      <c r="S266" s="1763">
        <f t="shared" si="27"/>
        <v>0</v>
      </c>
      <c r="T266" s="2033">
        <f>IFERROR(VLOOKUP($B266,'[3]1006'!$B$6:$G$5921,2,FALSE),0)</f>
        <v>0</v>
      </c>
      <c r="U266" s="2034">
        <f>IFERROR(VLOOKUP($B266,'[3]1006'!$B$6:$G$5921,4,FALSE),0)</f>
        <v>0</v>
      </c>
      <c r="V266" s="2033">
        <f t="shared" si="28"/>
        <v>0</v>
      </c>
      <c r="W266" s="2033">
        <f t="shared" si="29"/>
        <v>0</v>
      </c>
    </row>
    <row r="267" spans="2:23" x14ac:dyDescent="0.15">
      <c r="B267" s="2032">
        <v>29915</v>
      </c>
      <c r="C267" s="2032" t="s">
        <v>1755</v>
      </c>
      <c r="D267" s="2032" t="s">
        <v>1756</v>
      </c>
      <c r="E267" s="2032" t="s">
        <v>94</v>
      </c>
      <c r="F267" s="1288" t="s">
        <v>1300</v>
      </c>
      <c r="G267" s="1288" t="s">
        <v>1303</v>
      </c>
      <c r="H267" s="2033">
        <f>IFERROR(VLOOKUP($B267,'[3]1001'!$B$6:$G$5927,2,FALSE),0)</f>
        <v>0</v>
      </c>
      <c r="I267" s="2034">
        <f>IFERROR(VLOOKUP($B267,'[3]1001'!$B$6:$G$5927,4,FALSE),0)</f>
        <v>0</v>
      </c>
      <c r="J267" s="2033">
        <f t="shared" si="24"/>
        <v>0</v>
      </c>
      <c r="K267" s="2035">
        <f>IFERROR(VLOOKUP($B267,'[3]1002'!$B$6:$G$5921,2,FALSE),0)</f>
        <v>0</v>
      </c>
      <c r="L267" s="2036">
        <f>IFERROR(VLOOKUP($B267,'[3]1002'!$B$6:$G$5921,4,FALSE),0)</f>
        <v>0</v>
      </c>
      <c r="M267" s="1763">
        <f t="shared" si="25"/>
        <v>0</v>
      </c>
      <c r="N267" s="2033">
        <f>IFERROR(VLOOKUP($B267,'[3]1003'!$B$6:$G$5921,2,FALSE),0)</f>
        <v>0</v>
      </c>
      <c r="O267" s="2034">
        <f>IFERROR(VLOOKUP($B267,'[3]1003'!$B$6:$G$5921,4,FALSE),0)</f>
        <v>0</v>
      </c>
      <c r="P267" s="2033">
        <f t="shared" si="26"/>
        <v>0</v>
      </c>
      <c r="Q267" s="1763">
        <f>IFERROR(VLOOKUP($B267,'[3]1004'!$B$6:$G$5921,2,FALSE),0)</f>
        <v>27059.13</v>
      </c>
      <c r="R267" s="2036">
        <f>IFERROR(VLOOKUP($B267,'[3]1004'!$B$6:$G$5921,4,FALSE),0)</f>
        <v>3</v>
      </c>
      <c r="S267" s="1763">
        <f t="shared" si="27"/>
        <v>9019.7100000000009</v>
      </c>
      <c r="T267" s="2033">
        <f>IFERROR(VLOOKUP($B267,'[3]1006'!$B$6:$G$5921,2,FALSE),0)</f>
        <v>0</v>
      </c>
      <c r="U267" s="2034">
        <f>IFERROR(VLOOKUP($B267,'[3]1006'!$B$6:$G$5921,4,FALSE),0)</f>
        <v>0</v>
      </c>
      <c r="V267" s="2033">
        <f t="shared" si="28"/>
        <v>0</v>
      </c>
      <c r="W267" s="2033">
        <f t="shared" si="29"/>
        <v>3</v>
      </c>
    </row>
    <row r="268" spans="2:23" x14ac:dyDescent="0.15">
      <c r="B268" s="1288">
        <v>29917</v>
      </c>
      <c r="C268" s="1288" t="s">
        <v>1516</v>
      </c>
      <c r="D268" s="2040" t="s">
        <v>1516</v>
      </c>
      <c r="E268" s="1288" t="s">
        <v>94</v>
      </c>
      <c r="F268" s="1288" t="s">
        <v>1757</v>
      </c>
      <c r="G268" s="1288" t="s">
        <v>1303</v>
      </c>
      <c r="H268" s="2033">
        <f>IFERROR(VLOOKUP($B268,'[3]1001'!$B$6:$G$5927,2,FALSE),0)</f>
        <v>0</v>
      </c>
      <c r="I268" s="2034">
        <f>IFERROR(VLOOKUP($B268,'[3]1001'!$B$6:$G$5927,4,FALSE),0)</f>
        <v>0</v>
      </c>
      <c r="J268" s="2033">
        <f t="shared" si="24"/>
        <v>0</v>
      </c>
      <c r="K268" s="2035">
        <f>IFERROR(VLOOKUP($B268,'[3]1002'!$B$6:$G$5921,2,FALSE),0)</f>
        <v>0</v>
      </c>
      <c r="L268" s="2036">
        <f>IFERROR(VLOOKUP($B268,'[3]1002'!$B$6:$G$5921,4,FALSE),0)</f>
        <v>0</v>
      </c>
      <c r="M268" s="1763">
        <f t="shared" si="25"/>
        <v>0</v>
      </c>
      <c r="N268" s="2033">
        <f>IFERROR(VLOOKUP($B268,'[3]1003'!$B$6:$G$5921,2,FALSE),0)</f>
        <v>0</v>
      </c>
      <c r="O268" s="2034">
        <f>IFERROR(VLOOKUP($B268,'[3]1003'!$B$6:$G$5921,4,FALSE),0)</f>
        <v>0</v>
      </c>
      <c r="P268" s="2033">
        <f t="shared" si="26"/>
        <v>0</v>
      </c>
      <c r="Q268" s="1763">
        <f>IFERROR(VLOOKUP($B268,'[3]1004'!$B$6:$G$5921,2,FALSE),0)</f>
        <v>0</v>
      </c>
      <c r="R268" s="2036">
        <f>IFERROR(VLOOKUP($B268,'[3]1004'!$B$6:$G$5921,4,FALSE),0)</f>
        <v>0</v>
      </c>
      <c r="S268" s="1763">
        <f t="shared" si="27"/>
        <v>0</v>
      </c>
      <c r="T268" s="2033">
        <f>IFERROR(VLOOKUP($B268,'[3]1006'!$B$6:$G$5921,2,FALSE),0)</f>
        <v>0</v>
      </c>
      <c r="U268" s="2034">
        <f>IFERROR(VLOOKUP($B268,'[3]1006'!$B$6:$G$5921,4,FALSE),0)</f>
        <v>0</v>
      </c>
      <c r="V268" s="2033">
        <f t="shared" si="28"/>
        <v>0</v>
      </c>
      <c r="W268" s="2033">
        <f t="shared" si="29"/>
        <v>0</v>
      </c>
    </row>
    <row r="269" spans="2:23" x14ac:dyDescent="0.15">
      <c r="B269" s="1288">
        <v>29918</v>
      </c>
      <c r="C269" s="1288" t="s">
        <v>1758</v>
      </c>
      <c r="D269" s="1288"/>
      <c r="E269" s="1288" t="s">
        <v>94</v>
      </c>
      <c r="F269" s="1288" t="s">
        <v>1325</v>
      </c>
      <c r="G269" s="1288" t="s">
        <v>1303</v>
      </c>
      <c r="H269" s="2033">
        <f>IFERROR(VLOOKUP($B269,'[3]1001'!$B$6:$G$5927,2,FALSE),0)</f>
        <v>0</v>
      </c>
      <c r="I269" s="2034">
        <f>IFERROR(VLOOKUP($B269,'[3]1001'!$B$6:$G$5927,4,FALSE),0)</f>
        <v>0</v>
      </c>
      <c r="J269" s="2033">
        <f t="shared" si="24"/>
        <v>0</v>
      </c>
      <c r="K269" s="2035">
        <f>IFERROR(VLOOKUP($B269,'[3]1002'!$B$6:$G$5921,2,FALSE),0)</f>
        <v>0</v>
      </c>
      <c r="L269" s="2036">
        <f>IFERROR(VLOOKUP($B269,'[3]1002'!$B$6:$G$5921,4,FALSE),0)</f>
        <v>0</v>
      </c>
      <c r="M269" s="1763">
        <f t="shared" si="25"/>
        <v>0</v>
      </c>
      <c r="N269" s="2033">
        <f>IFERROR(VLOOKUP($B269,'[3]1003'!$B$6:$G$5921,2,FALSE),0)</f>
        <v>0</v>
      </c>
      <c r="O269" s="2034">
        <f>IFERROR(VLOOKUP($B269,'[3]1003'!$B$6:$G$5921,4,FALSE),0)</f>
        <v>0</v>
      </c>
      <c r="P269" s="2033">
        <f t="shared" si="26"/>
        <v>0</v>
      </c>
      <c r="Q269" s="1763">
        <f>IFERROR(VLOOKUP($B269,'[3]1004'!$B$6:$G$5921,2,FALSE),0)</f>
        <v>0</v>
      </c>
      <c r="R269" s="2036">
        <f>IFERROR(VLOOKUP($B269,'[3]1004'!$B$6:$G$5921,4,FALSE),0)</f>
        <v>0</v>
      </c>
      <c r="S269" s="1763">
        <f t="shared" si="27"/>
        <v>0</v>
      </c>
      <c r="T269" s="2033">
        <f>IFERROR(VLOOKUP($B269,'[3]1006'!$B$6:$G$5921,2,FALSE),0)</f>
        <v>0</v>
      </c>
      <c r="U269" s="2034">
        <f>IFERROR(VLOOKUP($B269,'[3]1006'!$B$6:$G$5921,4,FALSE),0)</f>
        <v>0</v>
      </c>
      <c r="V269" s="2033">
        <f t="shared" si="28"/>
        <v>0</v>
      </c>
      <c r="W269" s="2033">
        <f t="shared" si="29"/>
        <v>0</v>
      </c>
    </row>
    <row r="270" spans="2:23" x14ac:dyDescent="0.15">
      <c r="B270" s="2032">
        <v>29923</v>
      </c>
      <c r="C270" s="2032" t="s">
        <v>1759</v>
      </c>
      <c r="D270" s="2037" t="s">
        <v>1760</v>
      </c>
      <c r="E270" s="2032" t="s">
        <v>94</v>
      </c>
      <c r="F270" s="1288" t="s">
        <v>1300</v>
      </c>
      <c r="G270" s="1288" t="s">
        <v>1303</v>
      </c>
      <c r="H270" s="2033">
        <f>IFERROR(VLOOKUP($B270,'[3]1001'!$B$6:$G$5927,2,FALSE),0)</f>
        <v>0</v>
      </c>
      <c r="I270" s="2034">
        <f>IFERROR(VLOOKUP($B270,'[3]1001'!$B$6:$G$5927,4,FALSE),0)</f>
        <v>0</v>
      </c>
      <c r="J270" s="2033">
        <f t="shared" si="24"/>
        <v>0</v>
      </c>
      <c r="K270" s="2035">
        <f>IFERROR(VLOOKUP($B270,'[3]1002'!$B$6:$G$5921,2,FALSE),0)</f>
        <v>24093.93</v>
      </c>
      <c r="L270" s="2036">
        <f>IFERROR(VLOOKUP($B270,'[3]1002'!$B$6:$G$5921,4,FALSE),0)</f>
        <v>3</v>
      </c>
      <c r="M270" s="1763">
        <f t="shared" si="25"/>
        <v>8031.31</v>
      </c>
      <c r="N270" s="2033">
        <f>IFERROR(VLOOKUP($B270,'[3]1003'!$B$6:$G$5921,2,FALSE),0)</f>
        <v>0</v>
      </c>
      <c r="O270" s="2034">
        <f>IFERROR(VLOOKUP($B270,'[3]1003'!$B$6:$G$5921,4,FALSE),0)</f>
        <v>0</v>
      </c>
      <c r="P270" s="2033">
        <f t="shared" si="26"/>
        <v>0</v>
      </c>
      <c r="Q270" s="1763">
        <f>IFERROR(VLOOKUP($B270,'[3]1004'!$B$6:$G$5921,2,FALSE),0)</f>
        <v>0</v>
      </c>
      <c r="R270" s="2036">
        <f>IFERROR(VLOOKUP($B270,'[3]1004'!$B$6:$G$5921,4,FALSE),0)</f>
        <v>0</v>
      </c>
      <c r="S270" s="1763">
        <f t="shared" si="27"/>
        <v>0</v>
      </c>
      <c r="T270" s="2033">
        <f>IFERROR(VLOOKUP($B270,'[3]1006'!$B$6:$G$5921,2,FALSE),0)</f>
        <v>88344.38</v>
      </c>
      <c r="U270" s="2034">
        <f>IFERROR(VLOOKUP($B270,'[3]1006'!$B$6:$G$5921,4,FALSE),0)</f>
        <v>11</v>
      </c>
      <c r="V270" s="2033">
        <f t="shared" si="28"/>
        <v>8031.3072727272729</v>
      </c>
      <c r="W270" s="2033">
        <f t="shared" si="29"/>
        <v>14</v>
      </c>
    </row>
    <row r="271" spans="2:23" x14ac:dyDescent="0.15">
      <c r="B271" s="1288">
        <v>29926</v>
      </c>
      <c r="C271" s="1288" t="s">
        <v>1761</v>
      </c>
      <c r="D271" s="1288" t="s">
        <v>1762</v>
      </c>
      <c r="E271" s="1288" t="s">
        <v>94</v>
      </c>
      <c r="F271" s="2039" t="s">
        <v>1717</v>
      </c>
      <c r="G271" s="1288" t="s">
        <v>1303</v>
      </c>
      <c r="H271" s="2033">
        <f>IFERROR(VLOOKUP($B271,'[3]1001'!$B$6:$G$5927,2,FALSE),0)</f>
        <v>0</v>
      </c>
      <c r="I271" s="2034">
        <f>IFERROR(VLOOKUP($B271,'[3]1001'!$B$6:$G$5927,4,FALSE),0)</f>
        <v>0</v>
      </c>
      <c r="J271" s="2033">
        <f t="shared" si="24"/>
        <v>0</v>
      </c>
      <c r="K271" s="2035">
        <f>IFERROR(VLOOKUP($B271,'[3]1002'!$B$6:$G$5921,2,FALSE),0)</f>
        <v>0</v>
      </c>
      <c r="L271" s="2036">
        <f>IFERROR(VLOOKUP($B271,'[3]1002'!$B$6:$G$5921,4,FALSE),0)</f>
        <v>0</v>
      </c>
      <c r="M271" s="1763">
        <f t="shared" si="25"/>
        <v>0</v>
      </c>
      <c r="N271" s="2033">
        <f>IFERROR(VLOOKUP($B271,'[3]1003'!$B$6:$G$5921,2,FALSE),0)</f>
        <v>0</v>
      </c>
      <c r="O271" s="2034">
        <f>IFERROR(VLOOKUP($B271,'[3]1003'!$B$6:$G$5921,4,FALSE),0)</f>
        <v>0</v>
      </c>
      <c r="P271" s="2033">
        <f t="shared" si="26"/>
        <v>0</v>
      </c>
      <c r="Q271" s="1763">
        <f>IFERROR(VLOOKUP($B271,'[3]1004'!$B$6:$G$5921,2,FALSE),0)</f>
        <v>0</v>
      </c>
      <c r="R271" s="2036">
        <f>IFERROR(VLOOKUP($B271,'[3]1004'!$B$6:$G$5921,4,FALSE),0)</f>
        <v>0</v>
      </c>
      <c r="S271" s="1763">
        <f t="shared" si="27"/>
        <v>0</v>
      </c>
      <c r="T271" s="2033">
        <f>IFERROR(VLOOKUP($B271,'[3]1006'!$B$6:$G$5921,2,FALSE),0)</f>
        <v>0</v>
      </c>
      <c r="U271" s="2034">
        <f>IFERROR(VLOOKUP($B271,'[3]1006'!$B$6:$G$5921,4,FALSE),0)</f>
        <v>0</v>
      </c>
      <c r="V271" s="2033">
        <f t="shared" si="28"/>
        <v>0</v>
      </c>
      <c r="W271" s="2033">
        <f t="shared" si="29"/>
        <v>0</v>
      </c>
    </row>
    <row r="272" spans="2:23" s="1660" customFormat="1" x14ac:dyDescent="0.15">
      <c r="B272" s="2053">
        <v>29927</v>
      </c>
      <c r="C272" s="2053" t="s">
        <v>1763</v>
      </c>
      <c r="D272" s="2054" t="s">
        <v>1764</v>
      </c>
      <c r="E272" s="2053" t="s">
        <v>94</v>
      </c>
      <c r="F272" s="2055" t="s">
        <v>1325</v>
      </c>
      <c r="G272" s="2055" t="s">
        <v>1303</v>
      </c>
      <c r="H272" s="2056">
        <f>IFERROR(VLOOKUP($B272,'[3]1001'!$B$6:$G$5927,2,FALSE),0)</f>
        <v>0</v>
      </c>
      <c r="I272" s="2057">
        <f>IFERROR(VLOOKUP($B272,'[3]1001'!$B$6:$G$5927,4,FALSE),0)</f>
        <v>0</v>
      </c>
      <c r="J272" s="2056">
        <f t="shared" si="24"/>
        <v>0</v>
      </c>
      <c r="K272" s="2058">
        <f>IFERROR(VLOOKUP($B272,'[3]1002'!$B$6:$G$5921,2,FALSE),0)</f>
        <v>0</v>
      </c>
      <c r="L272" s="2057">
        <f>IFERROR(VLOOKUP($B272,'[3]1002'!$B$6:$G$5921,4,FALSE),0)</f>
        <v>0</v>
      </c>
      <c r="M272" s="2056">
        <f t="shared" si="25"/>
        <v>0</v>
      </c>
      <c r="N272" s="2056">
        <f>IFERROR(VLOOKUP($B272,'[3]1003'!$B$6:$G$5921,2,FALSE),0)</f>
        <v>13760.66</v>
      </c>
      <c r="O272" s="2057">
        <f>IFERROR(VLOOKUP($B272,'[3]1003'!$B$6:$G$5921,4,FALSE),0)</f>
        <v>1</v>
      </c>
      <c r="P272" s="2056">
        <f t="shared" si="26"/>
        <v>13760.66</v>
      </c>
      <c r="Q272" s="2056">
        <f>IFERROR(VLOOKUP($B272,'[3]1004'!$B$6:$G$5921,2,FALSE),0)</f>
        <v>0</v>
      </c>
      <c r="R272" s="2057">
        <f>IFERROR(VLOOKUP($B272,'[3]1004'!$B$6:$G$5921,4,FALSE),0)</f>
        <v>0</v>
      </c>
      <c r="S272" s="2056">
        <f t="shared" si="27"/>
        <v>0</v>
      </c>
      <c r="T272" s="2056">
        <f>IFERROR(VLOOKUP($B272,'[3]1006'!$B$6:$G$5921,2,FALSE),0)</f>
        <v>0</v>
      </c>
      <c r="U272" s="2057">
        <f>IFERROR(VLOOKUP($B272,'[3]1006'!$B$6:$G$5921,4,FALSE),0)</f>
        <v>0</v>
      </c>
      <c r="V272" s="2056">
        <f t="shared" si="28"/>
        <v>0</v>
      </c>
      <c r="W272" s="2033">
        <f t="shared" si="29"/>
        <v>1</v>
      </c>
    </row>
    <row r="273" spans="2:23" x14ac:dyDescent="0.15">
      <c r="B273" s="1288">
        <v>29929</v>
      </c>
      <c r="C273" s="1288" t="s">
        <v>1765</v>
      </c>
      <c r="D273" s="1288"/>
      <c r="E273" s="1288" t="s">
        <v>94</v>
      </c>
      <c r="F273" s="1288" t="s">
        <v>1300</v>
      </c>
      <c r="G273" s="1288" t="s">
        <v>1296</v>
      </c>
      <c r="H273" s="2033">
        <f>IFERROR(VLOOKUP($B273,'[3]1001'!$B$6:$G$5927,2,FALSE),0)</f>
        <v>0</v>
      </c>
      <c r="I273" s="2034">
        <f>IFERROR(VLOOKUP($B273,'[3]1001'!$B$6:$G$5927,4,FALSE),0)</f>
        <v>0</v>
      </c>
      <c r="J273" s="2033">
        <f t="shared" si="24"/>
        <v>0</v>
      </c>
      <c r="K273" s="2035">
        <f>IFERROR(VLOOKUP($B273,'[3]1002'!$B$6:$G$5921,2,FALSE),0)</f>
        <v>0</v>
      </c>
      <c r="L273" s="2036">
        <f>IFERROR(VLOOKUP($B273,'[3]1002'!$B$6:$G$5921,4,FALSE),0)</f>
        <v>0</v>
      </c>
      <c r="M273" s="1763">
        <f t="shared" si="25"/>
        <v>0</v>
      </c>
      <c r="N273" s="2033">
        <f>IFERROR(VLOOKUP($B273,'[3]1003'!$B$6:$G$5921,2,FALSE),0)</f>
        <v>0</v>
      </c>
      <c r="O273" s="2034">
        <f>IFERROR(VLOOKUP($B273,'[3]1003'!$B$6:$G$5921,4,FALSE),0)</f>
        <v>0</v>
      </c>
      <c r="P273" s="2033">
        <f t="shared" si="26"/>
        <v>0</v>
      </c>
      <c r="Q273" s="1763">
        <f>IFERROR(VLOOKUP($B273,'[3]1004'!$B$6:$G$5921,2,FALSE),0)</f>
        <v>0</v>
      </c>
      <c r="R273" s="2036">
        <f>IFERROR(VLOOKUP($B273,'[3]1004'!$B$6:$G$5921,4,FALSE),0)</f>
        <v>0</v>
      </c>
      <c r="S273" s="1763">
        <f t="shared" si="27"/>
        <v>0</v>
      </c>
      <c r="T273" s="2033">
        <f>IFERROR(VLOOKUP($B273,'[3]1006'!$B$6:$G$5921,2,FALSE),0)</f>
        <v>0</v>
      </c>
      <c r="U273" s="2034">
        <f>IFERROR(VLOOKUP($B273,'[3]1006'!$B$6:$G$5921,4,FALSE),0)</f>
        <v>0</v>
      </c>
      <c r="V273" s="2033">
        <f t="shared" si="28"/>
        <v>0</v>
      </c>
      <c r="W273" s="2033">
        <f t="shared" si="29"/>
        <v>0</v>
      </c>
    </row>
    <row r="274" spans="2:23" x14ac:dyDescent="0.15">
      <c r="B274" s="2032">
        <v>29933</v>
      </c>
      <c r="C274" s="2032" t="s">
        <v>1766</v>
      </c>
      <c r="D274" s="2032" t="s">
        <v>1767</v>
      </c>
      <c r="E274" s="2032" t="s">
        <v>94</v>
      </c>
      <c r="F274" s="1288" t="s">
        <v>1300</v>
      </c>
      <c r="G274" s="1288" t="s">
        <v>1303</v>
      </c>
      <c r="H274" s="2033">
        <f>IFERROR(VLOOKUP($B274,'[3]1001'!$B$6:$G$5927,2,FALSE),0)</f>
        <v>0</v>
      </c>
      <c r="I274" s="2034">
        <f>IFERROR(VLOOKUP($B274,'[3]1001'!$B$6:$G$5927,4,FALSE),0)</f>
        <v>0</v>
      </c>
      <c r="J274" s="2033">
        <f t="shared" si="24"/>
        <v>0</v>
      </c>
      <c r="K274" s="2035">
        <f>IFERROR(VLOOKUP($B274,'[3]1002'!$B$6:$G$5921,2,FALSE),0)</f>
        <v>0</v>
      </c>
      <c r="L274" s="2036">
        <f>IFERROR(VLOOKUP($B274,'[3]1002'!$B$6:$G$5921,4,FALSE),0)</f>
        <v>0</v>
      </c>
      <c r="M274" s="1763">
        <f t="shared" si="25"/>
        <v>0</v>
      </c>
      <c r="N274" s="2033">
        <f>IFERROR(VLOOKUP($B274,'[3]1003'!$B$6:$G$5921,2,FALSE),0)</f>
        <v>0</v>
      </c>
      <c r="O274" s="2034">
        <f>IFERROR(VLOOKUP($B274,'[3]1003'!$B$6:$G$5921,4,FALSE),0)</f>
        <v>0</v>
      </c>
      <c r="P274" s="2033">
        <f t="shared" si="26"/>
        <v>0</v>
      </c>
      <c r="Q274" s="1763">
        <f>IFERROR(VLOOKUP($B274,'[3]1004'!$B$6:$G$5921,2,FALSE),0)</f>
        <v>0</v>
      </c>
      <c r="R274" s="2036">
        <f>IFERROR(VLOOKUP($B274,'[3]1004'!$B$6:$G$5921,4,FALSE),0)</f>
        <v>0</v>
      </c>
      <c r="S274" s="1763">
        <f t="shared" si="27"/>
        <v>0</v>
      </c>
      <c r="T274" s="2033">
        <f>IFERROR(VLOOKUP($B274,'[3]1006'!$B$6:$G$5921,2,FALSE),0)</f>
        <v>8673.06</v>
      </c>
      <c r="U274" s="2034">
        <f>IFERROR(VLOOKUP($B274,'[3]1006'!$B$6:$G$5921,4,FALSE),0)</f>
        <v>2</v>
      </c>
      <c r="V274" s="2033">
        <f t="shared" si="28"/>
        <v>4336.53</v>
      </c>
      <c r="W274" s="2033">
        <f t="shared" si="29"/>
        <v>2</v>
      </c>
    </row>
    <row r="275" spans="2:23" x14ac:dyDescent="0.15">
      <c r="B275" s="1288">
        <v>29934</v>
      </c>
      <c r="C275" s="1288" t="s">
        <v>1768</v>
      </c>
      <c r="D275" s="2040" t="s">
        <v>1768</v>
      </c>
      <c r="E275" s="1288" t="s">
        <v>94</v>
      </c>
      <c r="F275" s="1288" t="s">
        <v>1300</v>
      </c>
      <c r="G275" s="1288" t="s">
        <v>1303</v>
      </c>
      <c r="H275" s="2033">
        <f>IFERROR(VLOOKUP($B275,'[3]1001'!$B$6:$G$5927,2,FALSE),0)</f>
        <v>0</v>
      </c>
      <c r="I275" s="2034">
        <f>IFERROR(VLOOKUP($B275,'[3]1001'!$B$6:$G$5927,4,FALSE),0)</f>
        <v>0</v>
      </c>
      <c r="J275" s="2033">
        <f t="shared" si="24"/>
        <v>0</v>
      </c>
      <c r="K275" s="2035">
        <f>IFERROR(VLOOKUP($B275,'[3]1002'!$B$6:$G$5921,2,FALSE),0)</f>
        <v>0</v>
      </c>
      <c r="L275" s="2036">
        <f>IFERROR(VLOOKUP($B275,'[3]1002'!$B$6:$G$5921,4,FALSE),0)</f>
        <v>0</v>
      </c>
      <c r="M275" s="1763">
        <f t="shared" si="25"/>
        <v>0</v>
      </c>
      <c r="N275" s="2033">
        <f>IFERROR(VLOOKUP($B275,'[3]1003'!$B$6:$G$5921,2,FALSE),0)</f>
        <v>0</v>
      </c>
      <c r="O275" s="2034">
        <f>IFERROR(VLOOKUP($B275,'[3]1003'!$B$6:$G$5921,4,FALSE),0)</f>
        <v>0</v>
      </c>
      <c r="P275" s="2033">
        <f t="shared" si="26"/>
        <v>0</v>
      </c>
      <c r="Q275" s="1763">
        <f>IFERROR(VLOOKUP($B275,'[3]1004'!$B$6:$G$5921,2,FALSE),0)</f>
        <v>0</v>
      </c>
      <c r="R275" s="2036">
        <f>IFERROR(VLOOKUP($B275,'[3]1004'!$B$6:$G$5921,4,FALSE),0)</f>
        <v>0</v>
      </c>
      <c r="S275" s="1763">
        <f t="shared" si="27"/>
        <v>0</v>
      </c>
      <c r="T275" s="2033">
        <f>IFERROR(VLOOKUP($B275,'[3]1006'!$B$6:$G$5921,2,FALSE),0)</f>
        <v>0</v>
      </c>
      <c r="U275" s="2034">
        <f>IFERROR(VLOOKUP($B275,'[3]1006'!$B$6:$G$5921,4,FALSE),0)</f>
        <v>0</v>
      </c>
      <c r="V275" s="2033">
        <f t="shared" si="28"/>
        <v>0</v>
      </c>
      <c r="W275" s="2033">
        <f t="shared" si="29"/>
        <v>0</v>
      </c>
    </row>
    <row r="276" spans="2:23" x14ac:dyDescent="0.15">
      <c r="B276" s="2032">
        <v>29936</v>
      </c>
      <c r="C276" s="2032" t="s">
        <v>1769</v>
      </c>
      <c r="D276" s="2037" t="s">
        <v>1769</v>
      </c>
      <c r="E276" s="2032" t="s">
        <v>94</v>
      </c>
      <c r="F276" s="1288" t="s">
        <v>1325</v>
      </c>
      <c r="G276" s="1288" t="s">
        <v>1303</v>
      </c>
      <c r="H276" s="2033">
        <f>IFERROR(VLOOKUP($B276,'[3]1001'!$B$6:$G$5927,2,FALSE),0)</f>
        <v>0</v>
      </c>
      <c r="I276" s="2034">
        <f>IFERROR(VLOOKUP($B276,'[3]1001'!$B$6:$G$5927,4,FALSE),0)</f>
        <v>0</v>
      </c>
      <c r="J276" s="2033">
        <f t="shared" si="24"/>
        <v>0</v>
      </c>
      <c r="K276" s="2035">
        <f>IFERROR(VLOOKUP($B276,'[3]1002'!$B$6:$G$5921,2,FALSE),0)</f>
        <v>0</v>
      </c>
      <c r="L276" s="2036">
        <f>IFERROR(VLOOKUP($B276,'[3]1002'!$B$6:$G$5921,4,FALSE),0)</f>
        <v>0</v>
      </c>
      <c r="M276" s="1763">
        <f t="shared" si="25"/>
        <v>0</v>
      </c>
      <c r="N276" s="2033">
        <f>IFERROR(VLOOKUP($B276,'[3]1003'!$B$6:$G$5921,2,FALSE),0)</f>
        <v>0</v>
      </c>
      <c r="O276" s="2034">
        <f>IFERROR(VLOOKUP($B276,'[3]1003'!$B$6:$G$5921,4,FALSE),0)</f>
        <v>0</v>
      </c>
      <c r="P276" s="2033">
        <f t="shared" si="26"/>
        <v>0</v>
      </c>
      <c r="Q276" s="1763">
        <f>IFERROR(VLOOKUP($B276,'[3]1004'!$B$6:$G$5921,2,FALSE),0)</f>
        <v>5734.5</v>
      </c>
      <c r="R276" s="2036">
        <f>IFERROR(VLOOKUP($B276,'[3]1004'!$B$6:$G$5921,4,FALSE),0)</f>
        <v>6</v>
      </c>
      <c r="S276" s="1763">
        <f t="shared" si="27"/>
        <v>955.75</v>
      </c>
      <c r="T276" s="2033">
        <f>IFERROR(VLOOKUP($B276,'[3]1006'!$B$6:$G$5921,2,FALSE),0)</f>
        <v>0</v>
      </c>
      <c r="U276" s="2034">
        <f>IFERROR(VLOOKUP($B276,'[3]1006'!$B$6:$G$5921,4,FALSE),0)</f>
        <v>0</v>
      </c>
      <c r="V276" s="2033">
        <f t="shared" si="28"/>
        <v>0</v>
      </c>
      <c r="W276" s="2033">
        <f t="shared" si="29"/>
        <v>6</v>
      </c>
    </row>
    <row r="277" spans="2:23" x14ac:dyDescent="0.15">
      <c r="B277" s="1288">
        <v>29939</v>
      </c>
      <c r="C277" s="1288" t="s">
        <v>1770</v>
      </c>
      <c r="D277" s="1288"/>
      <c r="E277" s="1288" t="s">
        <v>94</v>
      </c>
      <c r="F277" s="1288" t="s">
        <v>1325</v>
      </c>
      <c r="G277" s="1288" t="s">
        <v>1303</v>
      </c>
      <c r="H277" s="2033">
        <f>IFERROR(VLOOKUP($B277,'[3]1001'!$B$6:$G$5927,2,FALSE),0)</f>
        <v>0</v>
      </c>
      <c r="I277" s="2034">
        <f>IFERROR(VLOOKUP($B277,'[3]1001'!$B$6:$G$5927,4,FALSE),0)</f>
        <v>0</v>
      </c>
      <c r="J277" s="2033">
        <f t="shared" si="24"/>
        <v>0</v>
      </c>
      <c r="K277" s="2035">
        <f>IFERROR(VLOOKUP($B277,'[3]1002'!$B$6:$G$5921,2,FALSE),0)</f>
        <v>0</v>
      </c>
      <c r="L277" s="2036">
        <f>IFERROR(VLOOKUP($B277,'[3]1002'!$B$6:$G$5921,4,FALSE),0)</f>
        <v>0</v>
      </c>
      <c r="M277" s="1763">
        <f t="shared" si="25"/>
        <v>0</v>
      </c>
      <c r="N277" s="2033">
        <f>IFERROR(VLOOKUP($B277,'[3]1003'!$B$6:$G$5921,2,FALSE),0)</f>
        <v>0</v>
      </c>
      <c r="O277" s="2034">
        <f>IFERROR(VLOOKUP($B277,'[3]1003'!$B$6:$G$5921,4,FALSE),0)</f>
        <v>0</v>
      </c>
      <c r="P277" s="2033">
        <f t="shared" si="26"/>
        <v>0</v>
      </c>
      <c r="Q277" s="1763">
        <f>IFERROR(VLOOKUP($B277,'[3]1004'!$B$6:$G$5921,2,FALSE),0)</f>
        <v>0</v>
      </c>
      <c r="R277" s="2036">
        <f>IFERROR(VLOOKUP($B277,'[3]1004'!$B$6:$G$5921,4,FALSE),0)</f>
        <v>0</v>
      </c>
      <c r="S277" s="1763">
        <f t="shared" si="27"/>
        <v>0</v>
      </c>
      <c r="T277" s="2033">
        <f>IFERROR(VLOOKUP($B277,'[3]1006'!$B$6:$G$5921,2,FALSE),0)</f>
        <v>0</v>
      </c>
      <c r="U277" s="2034">
        <f>IFERROR(VLOOKUP($B277,'[3]1006'!$B$6:$G$5921,4,FALSE),0)</f>
        <v>0</v>
      </c>
      <c r="V277" s="2033">
        <f t="shared" si="28"/>
        <v>0</v>
      </c>
      <c r="W277" s="2033">
        <f t="shared" si="29"/>
        <v>0</v>
      </c>
    </row>
    <row r="278" spans="2:23" x14ac:dyDescent="0.15">
      <c r="B278" s="2032">
        <v>29942</v>
      </c>
      <c r="C278" s="2032" t="s">
        <v>1771</v>
      </c>
      <c r="D278" s="2037" t="s">
        <v>1772</v>
      </c>
      <c r="E278" s="2032" t="s">
        <v>94</v>
      </c>
      <c r="F278" s="1288" t="s">
        <v>1325</v>
      </c>
      <c r="G278" s="1288" t="s">
        <v>1303</v>
      </c>
      <c r="H278" s="2033">
        <f>IFERROR(VLOOKUP($B278,'[3]1001'!$B$6:$G$5927,2,FALSE),0)</f>
        <v>0</v>
      </c>
      <c r="I278" s="2034">
        <f>IFERROR(VLOOKUP($B278,'[3]1001'!$B$6:$G$5927,4,FALSE),0)</f>
        <v>0</v>
      </c>
      <c r="J278" s="2033">
        <f t="shared" si="24"/>
        <v>0</v>
      </c>
      <c r="K278" s="2035">
        <f>IFERROR(VLOOKUP($B278,'[3]1002'!$B$6:$G$5921,2,FALSE),0)</f>
        <v>0</v>
      </c>
      <c r="L278" s="2036">
        <f>IFERROR(VLOOKUP($B278,'[3]1002'!$B$6:$G$5921,4,FALSE),0)</f>
        <v>0</v>
      </c>
      <c r="M278" s="1763">
        <f t="shared" si="25"/>
        <v>0</v>
      </c>
      <c r="N278" s="2033">
        <f>IFERROR(VLOOKUP($B278,'[3]1003'!$B$6:$G$5921,2,FALSE),0)</f>
        <v>0</v>
      </c>
      <c r="O278" s="2034">
        <f>IFERROR(VLOOKUP($B278,'[3]1003'!$B$6:$G$5921,4,FALSE),0)</f>
        <v>0</v>
      </c>
      <c r="P278" s="2033">
        <f t="shared" si="26"/>
        <v>0</v>
      </c>
      <c r="Q278" s="1763">
        <f>IFERROR(VLOOKUP($B278,'[3]1004'!$B$6:$G$5921,2,FALSE),0)</f>
        <v>0</v>
      </c>
      <c r="R278" s="2036">
        <f>IFERROR(VLOOKUP($B278,'[3]1004'!$B$6:$G$5921,4,FALSE),0)</f>
        <v>0</v>
      </c>
      <c r="S278" s="1763">
        <f t="shared" si="27"/>
        <v>0</v>
      </c>
      <c r="T278" s="2033">
        <f>IFERROR(VLOOKUP($B278,'[3]1006'!$B$6:$G$5921,2,FALSE),0)</f>
        <v>227.18</v>
      </c>
      <c r="U278" s="2034">
        <f>IFERROR(VLOOKUP($B278,'[3]1006'!$B$6:$G$5921,4,FALSE),0)</f>
        <v>1</v>
      </c>
      <c r="V278" s="2033">
        <f t="shared" si="28"/>
        <v>227.18</v>
      </c>
      <c r="W278" s="2033">
        <f t="shared" si="29"/>
        <v>1</v>
      </c>
    </row>
    <row r="279" spans="2:23" x14ac:dyDescent="0.15">
      <c r="B279" s="2032">
        <v>31467</v>
      </c>
      <c r="C279" s="2032" t="s">
        <v>1773</v>
      </c>
      <c r="D279" s="2038" t="s">
        <v>1307</v>
      </c>
      <c r="E279" s="2032" t="s">
        <v>94</v>
      </c>
      <c r="F279" s="2039" t="s">
        <v>1300</v>
      </c>
      <c r="G279" s="1288" t="s">
        <v>1303</v>
      </c>
      <c r="H279" s="2033">
        <f>IFERROR(VLOOKUP($B279,'[3]1001'!$B$6:$G$5927,2,FALSE),0)</f>
        <v>0</v>
      </c>
      <c r="I279" s="2034">
        <f>IFERROR(VLOOKUP($B279,'[3]1001'!$B$6:$G$5927,4,FALSE),0)</f>
        <v>0</v>
      </c>
      <c r="J279" s="2033">
        <f t="shared" si="24"/>
        <v>0</v>
      </c>
      <c r="K279" s="2035">
        <f>IFERROR(VLOOKUP($B279,'[3]1002'!$B$6:$G$5921,2,FALSE),0)</f>
        <v>422280</v>
      </c>
      <c r="L279" s="2036">
        <f>IFERROR(VLOOKUP($B279,'[3]1002'!$B$6:$G$5921,4,FALSE),0)</f>
        <v>68</v>
      </c>
      <c r="M279" s="1763">
        <f t="shared" si="25"/>
        <v>6210</v>
      </c>
      <c r="N279" s="2033">
        <f>IFERROR(VLOOKUP($B279,'[3]1003'!$B$6:$G$5921,2,FALSE),0)</f>
        <v>0</v>
      </c>
      <c r="O279" s="2034">
        <f>IFERROR(VLOOKUP($B279,'[3]1003'!$B$6:$G$5921,4,FALSE),0)</f>
        <v>0</v>
      </c>
      <c r="P279" s="2033">
        <f t="shared" si="26"/>
        <v>0</v>
      </c>
      <c r="Q279" s="1763">
        <f>IFERROR(VLOOKUP($B279,'[3]1004'!$B$6:$G$5921,2,FALSE),0)</f>
        <v>0</v>
      </c>
      <c r="R279" s="2036">
        <f>IFERROR(VLOOKUP($B279,'[3]1004'!$B$6:$G$5921,4,FALSE),0)</f>
        <v>0</v>
      </c>
      <c r="S279" s="1763">
        <f t="shared" si="27"/>
        <v>0</v>
      </c>
      <c r="T279" s="2033">
        <f>IFERROR(VLOOKUP($B279,'[3]1006'!$B$6:$G$5921,2,FALSE),0)</f>
        <v>0</v>
      </c>
      <c r="U279" s="2034">
        <f>IFERROR(VLOOKUP($B279,'[3]1006'!$B$6:$G$5921,4,FALSE),0)</f>
        <v>0</v>
      </c>
      <c r="V279" s="2033">
        <f t="shared" si="28"/>
        <v>0</v>
      </c>
      <c r="W279" s="2033">
        <f t="shared" si="29"/>
        <v>68</v>
      </c>
    </row>
    <row r="280" spans="2:23" x14ac:dyDescent="0.15">
      <c r="B280" s="1288">
        <v>31468</v>
      </c>
      <c r="C280" s="1288" t="s">
        <v>1774</v>
      </c>
      <c r="D280" s="1288" t="e">
        <v>#N/A</v>
      </c>
      <c r="E280" s="1288" t="s">
        <v>94</v>
      </c>
      <c r="F280" s="1288" t="s">
        <v>1300</v>
      </c>
      <c r="G280" s="1288" t="s">
        <v>1303</v>
      </c>
      <c r="H280" s="2033">
        <f>IFERROR(VLOOKUP($B280,'[3]1001'!$B$6:$G$5927,2,FALSE),0)</f>
        <v>0</v>
      </c>
      <c r="I280" s="2034">
        <f>IFERROR(VLOOKUP($B280,'[3]1001'!$B$6:$G$5927,4,FALSE),0)</f>
        <v>0</v>
      </c>
      <c r="J280" s="2033">
        <f t="shared" si="24"/>
        <v>0</v>
      </c>
      <c r="K280" s="2035">
        <f>IFERROR(VLOOKUP($B280,'[3]1002'!$B$6:$G$5921,2,FALSE),0)</f>
        <v>0</v>
      </c>
      <c r="L280" s="2036">
        <f>IFERROR(VLOOKUP($B280,'[3]1002'!$B$6:$G$5921,4,FALSE),0)</f>
        <v>0</v>
      </c>
      <c r="M280" s="1763">
        <f t="shared" si="25"/>
        <v>0</v>
      </c>
      <c r="N280" s="2033">
        <f>IFERROR(VLOOKUP($B280,'[3]1003'!$B$6:$G$5921,2,FALSE),0)</f>
        <v>0</v>
      </c>
      <c r="O280" s="2034">
        <f>IFERROR(VLOOKUP($B280,'[3]1003'!$B$6:$G$5921,4,FALSE),0)</f>
        <v>0</v>
      </c>
      <c r="P280" s="2033">
        <f t="shared" si="26"/>
        <v>0</v>
      </c>
      <c r="Q280" s="1763">
        <f>IFERROR(VLOOKUP($B280,'[3]1004'!$B$6:$G$5921,2,FALSE),0)</f>
        <v>0</v>
      </c>
      <c r="R280" s="2036">
        <f>IFERROR(VLOOKUP($B280,'[3]1004'!$B$6:$G$5921,4,FALSE),0)</f>
        <v>0</v>
      </c>
      <c r="S280" s="1763">
        <f t="shared" si="27"/>
        <v>0</v>
      </c>
      <c r="T280" s="2033">
        <f>IFERROR(VLOOKUP($B280,'[3]1006'!$B$6:$G$5921,2,FALSE),0)</f>
        <v>0</v>
      </c>
      <c r="U280" s="2034">
        <f>IFERROR(VLOOKUP($B280,'[3]1006'!$B$6:$G$5921,4,FALSE),0)</f>
        <v>0</v>
      </c>
      <c r="V280" s="2033">
        <f t="shared" si="28"/>
        <v>0</v>
      </c>
      <c r="W280" s="2033">
        <f t="shared" si="29"/>
        <v>0</v>
      </c>
    </row>
    <row r="281" spans="2:23" x14ac:dyDescent="0.15">
      <c r="B281" s="2032">
        <v>9748</v>
      </c>
      <c r="C281" s="2032" t="s">
        <v>1775</v>
      </c>
      <c r="D281" s="2032" t="s">
        <v>1776</v>
      </c>
      <c r="E281" s="2032" t="s">
        <v>94</v>
      </c>
      <c r="F281" s="2039" t="s">
        <v>1337</v>
      </c>
      <c r="G281" s="2039" t="s">
        <v>1303</v>
      </c>
      <c r="H281" s="2033">
        <f>IFERROR(VLOOKUP($B281,'[3]1001'!$B$6:$G$5927,2,FALSE),0)</f>
        <v>0</v>
      </c>
      <c r="I281" s="2034">
        <f>IFERROR(VLOOKUP($B281,'[3]1001'!$B$6:$G$5927,4,FALSE),0)</f>
        <v>0</v>
      </c>
      <c r="J281" s="2033">
        <f t="shared" si="24"/>
        <v>0</v>
      </c>
      <c r="K281" s="2035">
        <f>IFERROR(VLOOKUP($B281,'[3]1002'!$B$6:$G$5921,2,FALSE),0)</f>
        <v>0</v>
      </c>
      <c r="L281" s="2036">
        <f>IFERROR(VLOOKUP($B281,'[3]1002'!$B$6:$G$5921,4,FALSE),0)</f>
        <v>0</v>
      </c>
      <c r="M281" s="1763">
        <f t="shared" si="25"/>
        <v>0</v>
      </c>
      <c r="N281" s="2033">
        <f>IFERROR(VLOOKUP($B281,'[3]1003'!$B$6:$G$5921,2,FALSE),0)</f>
        <v>0</v>
      </c>
      <c r="O281" s="2034">
        <f>IFERROR(VLOOKUP($B281,'[3]1003'!$B$6:$G$5921,4,FALSE),0)</f>
        <v>0</v>
      </c>
      <c r="P281" s="2033">
        <f t="shared" si="26"/>
        <v>0</v>
      </c>
      <c r="Q281" s="1763">
        <f>IFERROR(VLOOKUP($B281,'[3]1004'!$B$6:$G$5921,2,FALSE),0)</f>
        <v>0</v>
      </c>
      <c r="R281" s="2036">
        <f>IFERROR(VLOOKUP($B281,'[3]1004'!$B$6:$G$5921,4,FALSE),0)</f>
        <v>0</v>
      </c>
      <c r="S281" s="1763">
        <f t="shared" si="27"/>
        <v>0</v>
      </c>
      <c r="T281" s="2033">
        <f>IFERROR(VLOOKUP($B281,'[3]1006'!$B$6:$G$5921,2,FALSE),0)</f>
        <v>0</v>
      </c>
      <c r="U281" s="2034">
        <f>IFERROR(VLOOKUP($B281,'[3]1006'!$B$6:$G$5921,4,FALSE),0)</f>
        <v>0</v>
      </c>
      <c r="V281" s="2033">
        <f t="shared" si="28"/>
        <v>0</v>
      </c>
      <c r="W281" s="2033">
        <f t="shared" si="29"/>
        <v>0</v>
      </c>
    </row>
    <row r="282" spans="2:23" x14ac:dyDescent="0.15">
      <c r="B282" s="2032">
        <v>40319</v>
      </c>
      <c r="C282" s="2032" t="s">
        <v>1777</v>
      </c>
      <c r="D282" s="2032" t="s">
        <v>1778</v>
      </c>
      <c r="E282" s="2032" t="s">
        <v>94</v>
      </c>
      <c r="F282" s="2039" t="s">
        <v>1779</v>
      </c>
      <c r="G282" s="1288" t="s">
        <v>1303</v>
      </c>
      <c r="H282" s="2033">
        <f>IFERROR(VLOOKUP($B282,'[3]1001'!$B$6:$G$5927,2,FALSE),0)</f>
        <v>0</v>
      </c>
      <c r="I282" s="2034">
        <f>IFERROR(VLOOKUP($B282,'[3]1001'!$B$6:$G$5927,4,FALSE),0)</f>
        <v>0</v>
      </c>
      <c r="J282" s="2033">
        <f t="shared" si="24"/>
        <v>0</v>
      </c>
      <c r="K282" s="2035">
        <f>IFERROR(VLOOKUP($B282,'[3]1002'!$B$6:$G$5921,2,FALSE),0)</f>
        <v>0</v>
      </c>
      <c r="L282" s="2036">
        <f>IFERROR(VLOOKUP($B282,'[3]1002'!$B$6:$G$5921,4,FALSE),0)</f>
        <v>0</v>
      </c>
      <c r="M282" s="1763">
        <f t="shared" si="25"/>
        <v>0</v>
      </c>
      <c r="N282" s="2033">
        <f>IFERROR(VLOOKUP($B282,'[3]1003'!$B$6:$G$5921,2,FALSE),0)</f>
        <v>79786.720000000001</v>
      </c>
      <c r="O282" s="2034">
        <f>IFERROR(VLOOKUP($B282,'[3]1003'!$B$6:$G$5921,4,FALSE),0)</f>
        <v>6</v>
      </c>
      <c r="P282" s="2033">
        <f t="shared" si="26"/>
        <v>13297.786666666667</v>
      </c>
      <c r="Q282" s="1763">
        <f>IFERROR(VLOOKUP($B282,'[3]1004'!$B$6:$G$5921,2,FALSE),0)</f>
        <v>0</v>
      </c>
      <c r="R282" s="2036">
        <f>IFERROR(VLOOKUP($B282,'[3]1004'!$B$6:$G$5921,4,FALSE),0)</f>
        <v>0</v>
      </c>
      <c r="S282" s="1763">
        <f t="shared" si="27"/>
        <v>0</v>
      </c>
      <c r="T282" s="2033">
        <f>IFERROR(VLOOKUP($B282,'[3]1006'!$B$6:$G$5921,2,FALSE),0)</f>
        <v>0</v>
      </c>
      <c r="U282" s="2034">
        <f>IFERROR(VLOOKUP($B282,'[3]1006'!$B$6:$G$5921,4,FALSE),0)</f>
        <v>0</v>
      </c>
      <c r="V282" s="2033">
        <f t="shared" si="28"/>
        <v>0</v>
      </c>
      <c r="W282" s="2033">
        <f t="shared" si="29"/>
        <v>6</v>
      </c>
    </row>
    <row r="283" spans="2:23" x14ac:dyDescent="0.15">
      <c r="B283" s="2032">
        <v>40320</v>
      </c>
      <c r="C283" s="2032" t="s">
        <v>1780</v>
      </c>
      <c r="D283" s="2037" t="s">
        <v>1781</v>
      </c>
      <c r="E283" s="2032" t="s">
        <v>94</v>
      </c>
      <c r="F283" s="1288" t="s">
        <v>1300</v>
      </c>
      <c r="G283" s="1288" t="s">
        <v>1303</v>
      </c>
      <c r="H283" s="2033">
        <f>IFERROR(VLOOKUP($B283,'[3]1001'!$B$6:$G$5927,2,FALSE),0)</f>
        <v>139780.44</v>
      </c>
      <c r="I283" s="2034">
        <f>IFERROR(VLOOKUP($B283,'[3]1001'!$B$6:$G$5927,4,FALSE),0)</f>
        <v>6</v>
      </c>
      <c r="J283" s="2033">
        <f t="shared" si="24"/>
        <v>23296.74</v>
      </c>
      <c r="K283" s="2035">
        <f>IFERROR(VLOOKUP($B283,'[3]1002'!$B$6:$G$5921,2,FALSE),0)</f>
        <v>535167.36</v>
      </c>
      <c r="L283" s="2036">
        <f>IFERROR(VLOOKUP($B283,'[3]1002'!$B$6:$G$5921,4,FALSE),0)</f>
        <v>28</v>
      </c>
      <c r="M283" s="1763">
        <f t="shared" si="25"/>
        <v>19113.12</v>
      </c>
      <c r="N283" s="2033">
        <f>IFERROR(VLOOKUP($B283,'[3]1003'!$B$6:$G$5921,2,FALSE),0)</f>
        <v>8229905.2699999996</v>
      </c>
      <c r="O283" s="2034">
        <f>IFERROR(VLOOKUP($B283,'[3]1003'!$B$6:$G$5921,4,FALSE),0)</f>
        <v>336</v>
      </c>
      <c r="P283" s="2033">
        <f t="shared" si="26"/>
        <v>24493.765684523809</v>
      </c>
      <c r="Q283" s="1763">
        <f>IFERROR(VLOOKUP($B283,'[3]1004'!$B$6:$G$5921,2,FALSE),0)</f>
        <v>0</v>
      </c>
      <c r="R283" s="2036">
        <f>IFERROR(VLOOKUP($B283,'[3]1004'!$B$6:$G$5921,4,FALSE),0)</f>
        <v>0</v>
      </c>
      <c r="S283" s="1763">
        <f t="shared" si="27"/>
        <v>0</v>
      </c>
      <c r="T283" s="2033">
        <f>IFERROR(VLOOKUP($B283,'[3]1006'!$B$6:$G$5921,2,FALSE),0)</f>
        <v>0</v>
      </c>
      <c r="U283" s="2034">
        <f>IFERROR(VLOOKUP($B283,'[3]1006'!$B$6:$G$5921,4,FALSE),0)</f>
        <v>0</v>
      </c>
      <c r="V283" s="2033">
        <f t="shared" si="28"/>
        <v>0</v>
      </c>
      <c r="W283" s="2033">
        <f t="shared" si="29"/>
        <v>370</v>
      </c>
    </row>
    <row r="284" spans="2:23" x14ac:dyDescent="0.15">
      <c r="B284" s="2032">
        <v>40321</v>
      </c>
      <c r="C284" s="2032" t="s">
        <v>1782</v>
      </c>
      <c r="D284" s="2037" t="s">
        <v>1783</v>
      </c>
      <c r="E284" s="2032" t="s">
        <v>94</v>
      </c>
      <c r="F284" s="1288" t="s">
        <v>1305</v>
      </c>
      <c r="G284" s="1288" t="s">
        <v>1303</v>
      </c>
      <c r="H284" s="2033">
        <f>IFERROR(VLOOKUP($B284,'[3]1001'!$B$6:$G$5927,2,FALSE),0)</f>
        <v>431324.79</v>
      </c>
      <c r="I284" s="2034">
        <f>IFERROR(VLOOKUP($B284,'[3]1001'!$B$6:$G$5927,4,FALSE),0)</f>
        <v>13</v>
      </c>
      <c r="J284" s="2033">
        <f t="shared" si="24"/>
        <v>33178.83</v>
      </c>
      <c r="K284" s="2035">
        <f>IFERROR(VLOOKUP($B284,'[3]1002'!$B$6:$G$5921,2,FALSE),0)</f>
        <v>11037548.869999999</v>
      </c>
      <c r="L284" s="2036">
        <f>IFERROR(VLOOKUP($B284,'[3]1002'!$B$6:$G$5921,4,FALSE),0)</f>
        <v>400</v>
      </c>
      <c r="M284" s="1763">
        <f t="shared" si="25"/>
        <v>27593.872174999997</v>
      </c>
      <c r="N284" s="2033">
        <f>IFERROR(VLOOKUP($B284,'[3]1003'!$B$6:$G$5921,2,FALSE),0)</f>
        <v>24479061</v>
      </c>
      <c r="O284" s="2034">
        <f>IFERROR(VLOOKUP($B284,'[3]1003'!$B$6:$G$5921,4,FALSE),0)</f>
        <v>894</v>
      </c>
      <c r="P284" s="2033">
        <f t="shared" si="26"/>
        <v>27381.5</v>
      </c>
      <c r="Q284" s="1763">
        <f>IFERROR(VLOOKUP($B284,'[3]1004'!$B$6:$G$5921,2,FALSE),0)</f>
        <v>6643712.5300000003</v>
      </c>
      <c r="R284" s="2036">
        <f>IFERROR(VLOOKUP($B284,'[3]1004'!$B$6:$G$5921,4,FALSE),0)</f>
        <v>214</v>
      </c>
      <c r="S284" s="1763">
        <f t="shared" si="27"/>
        <v>31045.385654205609</v>
      </c>
      <c r="T284" s="2033">
        <f>IFERROR(VLOOKUP($B284,'[3]1006'!$B$6:$G$5921,2,FALSE),0)</f>
        <v>0</v>
      </c>
      <c r="U284" s="2034">
        <f>IFERROR(VLOOKUP($B284,'[3]1006'!$B$6:$G$5921,4,FALSE),0)</f>
        <v>0</v>
      </c>
      <c r="V284" s="2033">
        <f t="shared" si="28"/>
        <v>0</v>
      </c>
      <c r="W284" s="2033">
        <f t="shared" si="29"/>
        <v>1521</v>
      </c>
    </row>
    <row r="285" spans="2:23" x14ac:dyDescent="0.15">
      <c r="B285" s="2032">
        <v>40322</v>
      </c>
      <c r="C285" s="2032" t="s">
        <v>1784</v>
      </c>
      <c r="D285" s="2037" t="s">
        <v>1785</v>
      </c>
      <c r="E285" s="2032" t="s">
        <v>94</v>
      </c>
      <c r="F285" s="1288" t="s">
        <v>1305</v>
      </c>
      <c r="G285" s="1288" t="s">
        <v>1303</v>
      </c>
      <c r="H285" s="2033">
        <f>IFERROR(VLOOKUP($B285,'[3]1001'!$B$6:$G$5927,2,FALSE),0)</f>
        <v>0</v>
      </c>
      <c r="I285" s="2034">
        <f>IFERROR(VLOOKUP($B285,'[3]1001'!$B$6:$G$5927,4,FALSE),0)</f>
        <v>0</v>
      </c>
      <c r="J285" s="2033">
        <f t="shared" si="24"/>
        <v>0</v>
      </c>
      <c r="K285" s="2035">
        <f>IFERROR(VLOOKUP($B285,'[3]1002'!$B$6:$G$5921,2,FALSE),0)</f>
        <v>41127.68</v>
      </c>
      <c r="L285" s="2036">
        <f>IFERROR(VLOOKUP($B285,'[3]1002'!$B$6:$G$5921,4,FALSE),0)</f>
        <v>11</v>
      </c>
      <c r="M285" s="1763">
        <f t="shared" si="25"/>
        <v>3738.88</v>
      </c>
      <c r="N285" s="2033">
        <f>IFERROR(VLOOKUP($B285,'[3]1003'!$B$6:$G$5921,2,FALSE),0)</f>
        <v>0</v>
      </c>
      <c r="O285" s="2034">
        <f>IFERROR(VLOOKUP($B285,'[3]1003'!$B$6:$G$5921,4,FALSE),0)</f>
        <v>0</v>
      </c>
      <c r="P285" s="2033">
        <f t="shared" si="26"/>
        <v>0</v>
      </c>
      <c r="Q285" s="1763">
        <f>IFERROR(VLOOKUP($B285,'[3]1004'!$B$6:$G$5921,2,FALSE),0)</f>
        <v>0</v>
      </c>
      <c r="R285" s="2036">
        <f>IFERROR(VLOOKUP($B285,'[3]1004'!$B$6:$G$5921,4,FALSE),0)</f>
        <v>0</v>
      </c>
      <c r="S285" s="1763">
        <f t="shared" si="27"/>
        <v>0</v>
      </c>
      <c r="T285" s="2033">
        <f>IFERROR(VLOOKUP($B285,'[3]1006'!$B$6:$G$5921,2,FALSE),0)</f>
        <v>0</v>
      </c>
      <c r="U285" s="2034">
        <f>IFERROR(VLOOKUP($B285,'[3]1006'!$B$6:$G$5921,4,FALSE),0)</f>
        <v>0</v>
      </c>
      <c r="V285" s="2033">
        <f t="shared" si="28"/>
        <v>0</v>
      </c>
      <c r="W285" s="2033">
        <f t="shared" si="29"/>
        <v>11</v>
      </c>
    </row>
    <row r="286" spans="2:23" x14ac:dyDescent="0.15">
      <c r="B286" s="2032">
        <v>40323</v>
      </c>
      <c r="C286" s="2032" t="s">
        <v>1786</v>
      </c>
      <c r="D286" s="2037" t="s">
        <v>1787</v>
      </c>
      <c r="E286" s="2032" t="s">
        <v>94</v>
      </c>
      <c r="F286" s="1288" t="s">
        <v>1300</v>
      </c>
      <c r="G286" s="1288" t="s">
        <v>1303</v>
      </c>
      <c r="H286" s="2033">
        <f>IFERROR(VLOOKUP($B286,'[3]1001'!$B$6:$G$5927,2,FALSE),0)</f>
        <v>94852.92</v>
      </c>
      <c r="I286" s="2034">
        <f>IFERROR(VLOOKUP($B286,'[3]1001'!$B$6:$G$5927,4,FALSE),0)</f>
        <v>46</v>
      </c>
      <c r="J286" s="2033">
        <f t="shared" si="24"/>
        <v>2062.02</v>
      </c>
      <c r="K286" s="2035">
        <f>IFERROR(VLOOKUP($B286,'[3]1002'!$B$6:$G$5921,2,FALSE),0)</f>
        <v>0</v>
      </c>
      <c r="L286" s="2036">
        <f>IFERROR(VLOOKUP($B286,'[3]1002'!$B$6:$G$5921,4,FALSE),0)</f>
        <v>0</v>
      </c>
      <c r="M286" s="1763">
        <f t="shared" si="25"/>
        <v>0</v>
      </c>
      <c r="N286" s="2033">
        <f>IFERROR(VLOOKUP($B286,'[3]1003'!$B$6:$G$5921,2,FALSE),0)</f>
        <v>0</v>
      </c>
      <c r="O286" s="2034">
        <f>IFERROR(VLOOKUP($B286,'[3]1003'!$B$6:$G$5921,4,FALSE),0)</f>
        <v>0</v>
      </c>
      <c r="P286" s="2033">
        <f t="shared" si="26"/>
        <v>0</v>
      </c>
      <c r="Q286" s="1763">
        <f>IFERROR(VLOOKUP($B286,'[3]1004'!$B$6:$G$5921,2,FALSE),0)</f>
        <v>0</v>
      </c>
      <c r="R286" s="2036">
        <f>IFERROR(VLOOKUP($B286,'[3]1004'!$B$6:$G$5921,4,FALSE),0)</f>
        <v>0</v>
      </c>
      <c r="S286" s="1763">
        <f t="shared" si="27"/>
        <v>0</v>
      </c>
      <c r="T286" s="2033">
        <f>IFERROR(VLOOKUP($B286,'[3]1006'!$B$6:$G$5921,2,FALSE),0)</f>
        <v>0</v>
      </c>
      <c r="U286" s="2034">
        <f>IFERROR(VLOOKUP($B286,'[3]1006'!$B$6:$G$5921,4,FALSE),0)</f>
        <v>0</v>
      </c>
      <c r="V286" s="2033">
        <f t="shared" si="28"/>
        <v>0</v>
      </c>
      <c r="W286" s="2033">
        <f t="shared" si="29"/>
        <v>46</v>
      </c>
    </row>
    <row r="287" spans="2:23" x14ac:dyDescent="0.15">
      <c r="B287" s="2032">
        <v>40324</v>
      </c>
      <c r="C287" s="2032" t="s">
        <v>1788</v>
      </c>
      <c r="D287" s="2037" t="s">
        <v>1789</v>
      </c>
      <c r="E287" s="2032" t="s">
        <v>94</v>
      </c>
      <c r="F287" s="1288" t="s">
        <v>1300</v>
      </c>
      <c r="G287" s="1288" t="s">
        <v>1303</v>
      </c>
      <c r="H287" s="2033">
        <f>IFERROR(VLOOKUP($B287,'[3]1001'!$B$6:$G$5927,2,FALSE),0)</f>
        <v>0</v>
      </c>
      <c r="I287" s="2034">
        <f>IFERROR(VLOOKUP($B287,'[3]1001'!$B$6:$G$5927,4,FALSE),0)</f>
        <v>0</v>
      </c>
      <c r="J287" s="2033">
        <f t="shared" si="24"/>
        <v>0</v>
      </c>
      <c r="K287" s="2035">
        <f>IFERROR(VLOOKUP($B287,'[3]1002'!$B$6:$G$5921,2,FALSE),0)</f>
        <v>109490.12</v>
      </c>
      <c r="L287" s="2036">
        <f>IFERROR(VLOOKUP($B287,'[3]1002'!$B$6:$G$5921,4,FALSE),0)</f>
        <v>33</v>
      </c>
      <c r="M287" s="1763">
        <f t="shared" si="25"/>
        <v>3317.8824242424239</v>
      </c>
      <c r="N287" s="2033">
        <f>IFERROR(VLOOKUP($B287,'[3]1003'!$B$6:$G$5921,2,FALSE),0)</f>
        <v>126276.98</v>
      </c>
      <c r="O287" s="2034">
        <f>IFERROR(VLOOKUP($B287,'[3]1003'!$B$6:$G$5921,4,FALSE),0)</f>
        <v>41</v>
      </c>
      <c r="P287" s="2033">
        <f t="shared" si="26"/>
        <v>3079.9263414634147</v>
      </c>
      <c r="Q287" s="1763">
        <f>IFERROR(VLOOKUP($B287,'[3]1004'!$B$6:$G$5921,2,FALSE),0)</f>
        <v>0</v>
      </c>
      <c r="R287" s="2036">
        <f>IFERROR(VLOOKUP($B287,'[3]1004'!$B$6:$G$5921,4,FALSE),0)</f>
        <v>0</v>
      </c>
      <c r="S287" s="1763">
        <f t="shared" si="27"/>
        <v>0</v>
      </c>
      <c r="T287" s="2033">
        <f>IFERROR(VLOOKUP($B287,'[3]1006'!$B$6:$G$5921,2,FALSE),0)</f>
        <v>9953.64</v>
      </c>
      <c r="U287" s="2034">
        <f>IFERROR(VLOOKUP($B287,'[3]1006'!$B$6:$G$5921,4,FALSE),0)</f>
        <v>3</v>
      </c>
      <c r="V287" s="2033">
        <f t="shared" si="28"/>
        <v>3317.8799999999997</v>
      </c>
      <c r="W287" s="2033">
        <f t="shared" si="29"/>
        <v>77</v>
      </c>
    </row>
    <row r="288" spans="2:23" s="1722" customFormat="1" x14ac:dyDescent="0.15">
      <c r="B288" s="2108">
        <v>40327</v>
      </c>
      <c r="C288" s="2108" t="s">
        <v>1790</v>
      </c>
      <c r="D288" s="2109" t="s">
        <v>1791</v>
      </c>
      <c r="E288" s="2108" t="s">
        <v>94</v>
      </c>
      <c r="F288" s="2110" t="s">
        <v>1300</v>
      </c>
      <c r="G288" s="2110" t="s">
        <v>1303</v>
      </c>
      <c r="H288" s="2111">
        <f>IFERROR(VLOOKUP($B288,'[3]1001'!$B$6:$G$5927,2,FALSE),0)</f>
        <v>0</v>
      </c>
      <c r="I288" s="2112">
        <f>IFERROR(VLOOKUP($B288,'[3]1001'!$B$6:$G$5927,4,FALSE),0)</f>
        <v>0</v>
      </c>
      <c r="J288" s="2111">
        <f t="shared" si="24"/>
        <v>0</v>
      </c>
      <c r="K288" s="2113">
        <f>IFERROR(VLOOKUP($B288,'[3]1002'!$B$6:$G$5921,2,FALSE),0)</f>
        <v>0</v>
      </c>
      <c r="L288" s="2112">
        <f>IFERROR(VLOOKUP($B288,'[3]1002'!$B$6:$G$5921,4,FALSE),0)</f>
        <v>0</v>
      </c>
      <c r="M288" s="2111">
        <f t="shared" si="25"/>
        <v>0</v>
      </c>
      <c r="N288" s="2111">
        <f>IFERROR(VLOOKUP($B288,'[3]1003'!$B$6:$G$5921,2,FALSE),0)</f>
        <v>7624310.7199999997</v>
      </c>
      <c r="O288" s="2112">
        <f>IFERROR(VLOOKUP($B288,'[3]1003'!$B$6:$G$5921,4,FALSE),0)</f>
        <v>4</v>
      </c>
      <c r="P288" s="2111">
        <f t="shared" si="26"/>
        <v>1906077.68</v>
      </c>
      <c r="Q288" s="2111">
        <f>IFERROR(VLOOKUP($B288,'[3]1004'!$B$6:$G$5921,2,FALSE),0)</f>
        <v>7569271.5099999998</v>
      </c>
      <c r="R288" s="2112">
        <f>IFERROR(VLOOKUP($B288,'[3]1004'!$B$6:$G$5921,4,FALSE),0)</f>
        <v>4</v>
      </c>
      <c r="S288" s="2111">
        <f t="shared" si="27"/>
        <v>1892317.8774999999</v>
      </c>
      <c r="T288" s="2111">
        <f>IFERROR(VLOOKUP($B288,'[3]1006'!$B$6:$G$5921,2,FALSE),0)</f>
        <v>1827487.1</v>
      </c>
      <c r="U288" s="2112">
        <f>IFERROR(VLOOKUP($B288,'[3]1006'!$B$6:$G$5921,4,FALSE),0)</f>
        <v>1</v>
      </c>
      <c r="V288" s="2111">
        <f t="shared" si="28"/>
        <v>1827487.1</v>
      </c>
      <c r="W288" s="2033">
        <f t="shared" si="29"/>
        <v>9</v>
      </c>
    </row>
    <row r="289" spans="2:23" x14ac:dyDescent="0.15">
      <c r="B289" s="2032">
        <v>40328</v>
      </c>
      <c r="C289" s="2032" t="s">
        <v>1792</v>
      </c>
      <c r="D289" s="2037" t="s">
        <v>1793</v>
      </c>
      <c r="E289" s="2032" t="s">
        <v>94</v>
      </c>
      <c r="F289" s="1288" t="s">
        <v>1300</v>
      </c>
      <c r="G289" s="1288" t="s">
        <v>1303</v>
      </c>
      <c r="H289" s="2033">
        <f>IFERROR(VLOOKUP($B289,'[3]1001'!$B$6:$G$5927,2,FALSE),0)</f>
        <v>0</v>
      </c>
      <c r="I289" s="2034">
        <f>IFERROR(VLOOKUP($B289,'[3]1001'!$B$6:$G$5927,4,FALSE),0)</f>
        <v>0</v>
      </c>
      <c r="J289" s="2033">
        <f t="shared" si="24"/>
        <v>0</v>
      </c>
      <c r="K289" s="2035">
        <f>IFERROR(VLOOKUP($B289,'[3]1002'!$B$6:$G$5921,2,FALSE),0)</f>
        <v>502514.32</v>
      </c>
      <c r="L289" s="2036">
        <f>IFERROR(VLOOKUP($B289,'[3]1002'!$B$6:$G$5921,4,FALSE),0)</f>
        <v>1</v>
      </c>
      <c r="M289" s="1763">
        <f t="shared" si="25"/>
        <v>502514.32</v>
      </c>
      <c r="N289" s="2033">
        <f>IFERROR(VLOOKUP($B289,'[3]1003'!$B$6:$G$5921,2,FALSE),0)</f>
        <v>509119.24</v>
      </c>
      <c r="O289" s="2034">
        <f>IFERROR(VLOOKUP($B289,'[3]1003'!$B$6:$G$5921,4,FALSE),0)</f>
        <v>1</v>
      </c>
      <c r="P289" s="2033">
        <f t="shared" si="26"/>
        <v>509119.24</v>
      </c>
      <c r="Q289" s="1763">
        <f>IFERROR(VLOOKUP($B289,'[3]1004'!$B$6:$G$5921,2,FALSE),0)</f>
        <v>0</v>
      </c>
      <c r="R289" s="2036">
        <f>IFERROR(VLOOKUP($B289,'[3]1004'!$B$6:$G$5921,4,FALSE),0)</f>
        <v>0</v>
      </c>
      <c r="S289" s="1763">
        <f t="shared" si="27"/>
        <v>0</v>
      </c>
      <c r="T289" s="2033">
        <f>IFERROR(VLOOKUP($B289,'[3]1006'!$B$6:$G$5921,2,FALSE),0)</f>
        <v>0</v>
      </c>
      <c r="U289" s="2034">
        <f>IFERROR(VLOOKUP($B289,'[3]1006'!$B$6:$G$5921,4,FALSE),0)</f>
        <v>0</v>
      </c>
      <c r="V289" s="2033">
        <f t="shared" si="28"/>
        <v>0</v>
      </c>
      <c r="W289" s="2033">
        <f t="shared" si="29"/>
        <v>2</v>
      </c>
    </row>
    <row r="290" spans="2:23" x14ac:dyDescent="0.15">
      <c r="B290" s="2032">
        <v>40330</v>
      </c>
      <c r="C290" s="2032" t="s">
        <v>1794</v>
      </c>
      <c r="D290" s="2037" t="s">
        <v>1795</v>
      </c>
      <c r="E290" s="2032" t="s">
        <v>94</v>
      </c>
      <c r="F290" s="1288" t="s">
        <v>1300</v>
      </c>
      <c r="G290" s="1288" t="s">
        <v>1303</v>
      </c>
      <c r="H290" s="2033">
        <f>IFERROR(VLOOKUP($B290,'[3]1001'!$B$6:$G$5927,2,FALSE),0)</f>
        <v>0</v>
      </c>
      <c r="I290" s="2034">
        <f>IFERROR(VLOOKUP($B290,'[3]1001'!$B$6:$G$5927,4,FALSE),0)</f>
        <v>0</v>
      </c>
      <c r="J290" s="2033">
        <f t="shared" si="24"/>
        <v>0</v>
      </c>
      <c r="K290" s="2035">
        <f>IFERROR(VLOOKUP($B290,'[3]1002'!$B$6:$G$5921,2,FALSE),0)</f>
        <v>0</v>
      </c>
      <c r="L290" s="2036">
        <f>IFERROR(VLOOKUP($B290,'[3]1002'!$B$6:$G$5921,4,FALSE),0)</f>
        <v>0</v>
      </c>
      <c r="M290" s="1763">
        <f t="shared" si="25"/>
        <v>0</v>
      </c>
      <c r="N290" s="2033">
        <f>IFERROR(VLOOKUP($B290,'[3]1003'!$B$6:$G$5921,2,FALSE),0)</f>
        <v>425065.42</v>
      </c>
      <c r="O290" s="2034">
        <f>IFERROR(VLOOKUP($B290,'[3]1003'!$B$6:$G$5921,4,FALSE),0)</f>
        <v>2</v>
      </c>
      <c r="P290" s="2033">
        <f t="shared" si="26"/>
        <v>212532.71</v>
      </c>
      <c r="Q290" s="1763">
        <f>IFERROR(VLOOKUP($B290,'[3]1004'!$B$6:$G$5921,2,FALSE),0)</f>
        <v>0</v>
      </c>
      <c r="R290" s="2036">
        <f>IFERROR(VLOOKUP($B290,'[3]1004'!$B$6:$G$5921,4,FALSE),0)</f>
        <v>0</v>
      </c>
      <c r="S290" s="1763">
        <f t="shared" si="27"/>
        <v>0</v>
      </c>
      <c r="T290" s="2033">
        <f>IFERROR(VLOOKUP($B290,'[3]1006'!$B$6:$G$5921,2,FALSE),0)</f>
        <v>0</v>
      </c>
      <c r="U290" s="2034">
        <f>IFERROR(VLOOKUP($B290,'[3]1006'!$B$6:$G$5921,4,FALSE),0)</f>
        <v>0</v>
      </c>
      <c r="V290" s="2033">
        <f t="shared" si="28"/>
        <v>0</v>
      </c>
      <c r="W290" s="2033">
        <f t="shared" si="29"/>
        <v>2</v>
      </c>
    </row>
    <row r="291" spans="2:23" x14ac:dyDescent="0.15">
      <c r="B291" s="2032">
        <v>40331</v>
      </c>
      <c r="C291" s="2032" t="s">
        <v>1796</v>
      </c>
      <c r="D291" s="2037" t="s">
        <v>1797</v>
      </c>
      <c r="E291" s="2032" t="s">
        <v>94</v>
      </c>
      <c r="F291" s="1288" t="s">
        <v>1300</v>
      </c>
      <c r="G291" s="1288" t="s">
        <v>1303</v>
      </c>
      <c r="H291" s="2033">
        <f>IFERROR(VLOOKUP($B291,'[3]1001'!$B$6:$G$5927,2,FALSE),0)</f>
        <v>0</v>
      </c>
      <c r="I291" s="2034">
        <f>IFERROR(VLOOKUP($B291,'[3]1001'!$B$6:$G$5927,4,FALSE),0)</f>
        <v>0</v>
      </c>
      <c r="J291" s="2033">
        <f t="shared" si="24"/>
        <v>0</v>
      </c>
      <c r="K291" s="2035">
        <f>IFERROR(VLOOKUP($B291,'[3]1002'!$B$6:$G$5921,2,FALSE),0)</f>
        <v>11987.24</v>
      </c>
      <c r="L291" s="2036">
        <f>IFERROR(VLOOKUP($B291,'[3]1002'!$B$6:$G$5921,4,FALSE),0)</f>
        <v>2</v>
      </c>
      <c r="M291" s="1763">
        <f t="shared" si="25"/>
        <v>5993.62</v>
      </c>
      <c r="N291" s="2033">
        <f>IFERROR(VLOOKUP($B291,'[3]1003'!$B$6:$G$5921,2,FALSE),0)</f>
        <v>0</v>
      </c>
      <c r="O291" s="2034">
        <f>IFERROR(VLOOKUP($B291,'[3]1003'!$B$6:$G$5921,4,FALSE),0)</f>
        <v>0</v>
      </c>
      <c r="P291" s="2033">
        <f t="shared" si="26"/>
        <v>0</v>
      </c>
      <c r="Q291" s="1763">
        <f>IFERROR(VLOOKUP($B291,'[3]1004'!$B$6:$G$5921,2,FALSE),0)</f>
        <v>0</v>
      </c>
      <c r="R291" s="2036">
        <f>IFERROR(VLOOKUP($B291,'[3]1004'!$B$6:$G$5921,4,FALSE),0)</f>
        <v>0</v>
      </c>
      <c r="S291" s="1763">
        <f t="shared" si="27"/>
        <v>0</v>
      </c>
      <c r="T291" s="2033">
        <f>IFERROR(VLOOKUP($B291,'[3]1006'!$B$6:$G$5921,2,FALSE),0)</f>
        <v>0</v>
      </c>
      <c r="U291" s="2034">
        <f>IFERROR(VLOOKUP($B291,'[3]1006'!$B$6:$G$5921,4,FALSE),0)</f>
        <v>0</v>
      </c>
      <c r="V291" s="2033">
        <f t="shared" si="28"/>
        <v>0</v>
      </c>
      <c r="W291" s="2033">
        <f t="shared" si="29"/>
        <v>2</v>
      </c>
    </row>
    <row r="292" spans="2:23" x14ac:dyDescent="0.15">
      <c r="B292" s="2032">
        <v>40334</v>
      </c>
      <c r="C292" s="2032" t="s">
        <v>1798</v>
      </c>
      <c r="D292" s="2037" t="s">
        <v>1799</v>
      </c>
      <c r="E292" s="2032" t="s">
        <v>94</v>
      </c>
      <c r="F292" s="1288" t="s">
        <v>1300</v>
      </c>
      <c r="G292" s="1288" t="s">
        <v>1303</v>
      </c>
      <c r="H292" s="2033">
        <f>IFERROR(VLOOKUP($B292,'[3]1001'!$B$6:$G$5927,2,FALSE),0)</f>
        <v>0</v>
      </c>
      <c r="I292" s="2034">
        <f>IFERROR(VLOOKUP($B292,'[3]1001'!$B$6:$G$5927,4,FALSE),0)</f>
        <v>0</v>
      </c>
      <c r="J292" s="2033">
        <f t="shared" si="24"/>
        <v>0</v>
      </c>
      <c r="K292" s="2035">
        <f>IFERROR(VLOOKUP($B292,'[3]1002'!$B$6:$G$5921,2,FALSE),0)</f>
        <v>0</v>
      </c>
      <c r="L292" s="2036">
        <f>IFERROR(VLOOKUP($B292,'[3]1002'!$B$6:$G$5921,4,FALSE),0)</f>
        <v>0</v>
      </c>
      <c r="M292" s="1763">
        <f t="shared" si="25"/>
        <v>0</v>
      </c>
      <c r="N292" s="2033">
        <f>IFERROR(VLOOKUP($B292,'[3]1003'!$B$6:$G$5921,2,FALSE),0)</f>
        <v>33984.18</v>
      </c>
      <c r="O292" s="2034">
        <f>IFERROR(VLOOKUP($B292,'[3]1003'!$B$6:$G$5921,4,FALSE),0)</f>
        <v>1</v>
      </c>
      <c r="P292" s="2033">
        <f t="shared" si="26"/>
        <v>33984.18</v>
      </c>
      <c r="Q292" s="1763">
        <f>IFERROR(VLOOKUP($B292,'[3]1004'!$B$6:$G$5921,2,FALSE),0)</f>
        <v>101952.54</v>
      </c>
      <c r="R292" s="2036">
        <f>IFERROR(VLOOKUP($B292,'[3]1004'!$B$6:$G$5921,4,FALSE),0)</f>
        <v>3</v>
      </c>
      <c r="S292" s="1763">
        <f t="shared" si="27"/>
        <v>33984.18</v>
      </c>
      <c r="T292" s="2033">
        <f>IFERROR(VLOOKUP($B292,'[3]1006'!$B$6:$G$5921,2,FALSE),0)</f>
        <v>67968.36</v>
      </c>
      <c r="U292" s="2034">
        <f>IFERROR(VLOOKUP($B292,'[3]1006'!$B$6:$G$5921,4,FALSE),0)</f>
        <v>2</v>
      </c>
      <c r="V292" s="2033">
        <f t="shared" si="28"/>
        <v>33984.18</v>
      </c>
      <c r="W292" s="2033">
        <f t="shared" si="29"/>
        <v>6</v>
      </c>
    </row>
    <row r="293" spans="2:23" x14ac:dyDescent="0.15">
      <c r="B293" s="2032">
        <v>40335</v>
      </c>
      <c r="C293" s="2032" t="s">
        <v>1800</v>
      </c>
      <c r="D293" s="2032" t="s">
        <v>1801</v>
      </c>
      <c r="E293" s="2032" t="s">
        <v>94</v>
      </c>
      <c r="F293" s="1288" t="s">
        <v>1300</v>
      </c>
      <c r="G293" s="1288" t="s">
        <v>1303</v>
      </c>
      <c r="H293" s="2033">
        <f>IFERROR(VLOOKUP($B293,'[3]1001'!$B$6:$G$5927,2,FALSE),0)</f>
        <v>104111.66</v>
      </c>
      <c r="I293" s="2034">
        <f>IFERROR(VLOOKUP($B293,'[3]1001'!$B$6:$G$5927,4,FALSE),0)</f>
        <v>2</v>
      </c>
      <c r="J293" s="2033">
        <f t="shared" si="24"/>
        <v>52055.83</v>
      </c>
      <c r="K293" s="2035">
        <f>IFERROR(VLOOKUP($B293,'[3]1002'!$B$6:$G$5921,2,FALSE),0)</f>
        <v>0</v>
      </c>
      <c r="L293" s="2036">
        <f>IFERROR(VLOOKUP($B293,'[3]1002'!$B$6:$G$5921,4,FALSE),0)</f>
        <v>0</v>
      </c>
      <c r="M293" s="1763">
        <f t="shared" si="25"/>
        <v>0</v>
      </c>
      <c r="N293" s="2033">
        <f>IFERROR(VLOOKUP($B293,'[3]1003'!$B$6:$G$5921,2,FALSE),0)</f>
        <v>208223.35999999999</v>
      </c>
      <c r="O293" s="2034">
        <f>IFERROR(VLOOKUP($B293,'[3]1003'!$B$6:$G$5921,4,FALSE),0)</f>
        <v>4</v>
      </c>
      <c r="P293" s="2033">
        <f t="shared" si="26"/>
        <v>52055.839999999997</v>
      </c>
      <c r="Q293" s="1763">
        <f>IFERROR(VLOOKUP($B293,'[3]1004'!$B$6:$G$5921,2,FALSE),0)</f>
        <v>0</v>
      </c>
      <c r="R293" s="2036">
        <f>IFERROR(VLOOKUP($B293,'[3]1004'!$B$6:$G$5921,4,FALSE),0)</f>
        <v>0</v>
      </c>
      <c r="S293" s="1763">
        <f t="shared" si="27"/>
        <v>0</v>
      </c>
      <c r="T293" s="2033">
        <f>IFERROR(VLOOKUP($B293,'[3]1006'!$B$6:$G$5921,2,FALSE),0)</f>
        <v>260279.2</v>
      </c>
      <c r="U293" s="2034">
        <f>IFERROR(VLOOKUP($B293,'[3]1006'!$B$6:$G$5921,4,FALSE),0)</f>
        <v>5</v>
      </c>
      <c r="V293" s="2033">
        <f t="shared" si="28"/>
        <v>52055.840000000004</v>
      </c>
      <c r="W293" s="2033">
        <f t="shared" si="29"/>
        <v>11</v>
      </c>
    </row>
    <row r="294" spans="2:23" x14ac:dyDescent="0.15">
      <c r="B294" s="2032">
        <v>40338</v>
      </c>
      <c r="C294" s="2032" t="s">
        <v>1802</v>
      </c>
      <c r="D294" s="2032" t="s">
        <v>1803</v>
      </c>
      <c r="E294" s="2032" t="s">
        <v>94</v>
      </c>
      <c r="F294" s="1288" t="s">
        <v>1325</v>
      </c>
      <c r="G294" s="1288" t="s">
        <v>1303</v>
      </c>
      <c r="H294" s="2033">
        <f>IFERROR(VLOOKUP($B294,'[3]1001'!$B$6:$G$5927,2,FALSE),0)</f>
        <v>1059981.3500000001</v>
      </c>
      <c r="I294" s="2034">
        <f>IFERROR(VLOOKUP($B294,'[3]1001'!$B$6:$G$5927,4,FALSE),0)</f>
        <v>2</v>
      </c>
      <c r="J294" s="2033">
        <f t="shared" si="24"/>
        <v>529990.67500000005</v>
      </c>
      <c r="K294" s="2035">
        <f>IFERROR(VLOOKUP($B294,'[3]1002'!$B$6:$G$5921,2,FALSE),0)</f>
        <v>0</v>
      </c>
      <c r="L294" s="2036">
        <f>IFERROR(VLOOKUP($B294,'[3]1002'!$B$6:$G$5921,4,FALSE),0)</f>
        <v>0</v>
      </c>
      <c r="M294" s="1763">
        <f t="shared" si="25"/>
        <v>0</v>
      </c>
      <c r="N294" s="2033">
        <f>IFERROR(VLOOKUP($B294,'[3]1003'!$B$6:$G$5921,2,FALSE),0)</f>
        <v>0</v>
      </c>
      <c r="O294" s="2034">
        <f>IFERROR(VLOOKUP($B294,'[3]1003'!$B$6:$G$5921,4,FALSE),0)</f>
        <v>0</v>
      </c>
      <c r="P294" s="2033">
        <f t="shared" si="26"/>
        <v>0</v>
      </c>
      <c r="Q294" s="1763">
        <f>IFERROR(VLOOKUP($B294,'[3]1004'!$B$6:$G$5921,2,FALSE),0)</f>
        <v>0</v>
      </c>
      <c r="R294" s="2036">
        <f>IFERROR(VLOOKUP($B294,'[3]1004'!$B$6:$G$5921,4,FALSE),0)</f>
        <v>0</v>
      </c>
      <c r="S294" s="1763">
        <f t="shared" si="27"/>
        <v>0</v>
      </c>
      <c r="T294" s="2033">
        <f>IFERROR(VLOOKUP($B294,'[3]1006'!$B$6:$G$5921,2,FALSE),0)</f>
        <v>0</v>
      </c>
      <c r="U294" s="2034">
        <f>IFERROR(VLOOKUP($B294,'[3]1006'!$B$6:$G$5921,4,FALSE),0)</f>
        <v>0</v>
      </c>
      <c r="V294" s="2033">
        <f t="shared" si="28"/>
        <v>0</v>
      </c>
      <c r="W294" s="2033">
        <f t="shared" si="29"/>
        <v>2</v>
      </c>
    </row>
    <row r="295" spans="2:23" x14ac:dyDescent="0.15">
      <c r="B295" s="2032">
        <v>40339</v>
      </c>
      <c r="C295" s="2032" t="s">
        <v>1804</v>
      </c>
      <c r="D295" s="2037" t="s">
        <v>1805</v>
      </c>
      <c r="E295" s="2032" t="s">
        <v>94</v>
      </c>
      <c r="F295" s="1288" t="s">
        <v>1300</v>
      </c>
      <c r="G295" s="1288" t="s">
        <v>1303</v>
      </c>
      <c r="H295" s="2033">
        <f>IFERROR(VLOOKUP($B295,'[3]1001'!$B$6:$G$5927,2,FALSE),0)</f>
        <v>4397331.67</v>
      </c>
      <c r="I295" s="2034">
        <f>IFERROR(VLOOKUP($B295,'[3]1001'!$B$6:$G$5927,4,FALSE),0)</f>
        <v>8</v>
      </c>
      <c r="J295" s="2033">
        <f t="shared" si="24"/>
        <v>549666.45874999999</v>
      </c>
      <c r="K295" s="2035">
        <f>IFERROR(VLOOKUP($B295,'[3]1002'!$B$6:$G$5921,2,FALSE),0)</f>
        <v>1397075.33</v>
      </c>
      <c r="L295" s="2036">
        <f>IFERROR(VLOOKUP($B295,'[3]1002'!$B$6:$G$5921,4,FALSE),0)</f>
        <v>3</v>
      </c>
      <c r="M295" s="1763">
        <f t="shared" si="25"/>
        <v>465691.77666666667</v>
      </c>
      <c r="N295" s="2033">
        <f>IFERROR(VLOOKUP($B295,'[3]1003'!$B$6:$G$5921,2,FALSE),0)</f>
        <v>0</v>
      </c>
      <c r="O295" s="2034">
        <f>IFERROR(VLOOKUP($B295,'[3]1003'!$B$6:$G$5921,4,FALSE),0)</f>
        <v>0</v>
      </c>
      <c r="P295" s="2033">
        <f t="shared" si="26"/>
        <v>0</v>
      </c>
      <c r="Q295" s="1763">
        <f>IFERROR(VLOOKUP($B295,'[3]1004'!$B$6:$G$5921,2,FALSE),0)</f>
        <v>0</v>
      </c>
      <c r="R295" s="2036">
        <f>IFERROR(VLOOKUP($B295,'[3]1004'!$B$6:$G$5921,4,FALSE),0)</f>
        <v>0</v>
      </c>
      <c r="S295" s="1763">
        <f t="shared" si="27"/>
        <v>0</v>
      </c>
      <c r="T295" s="2033">
        <f>IFERROR(VLOOKUP($B295,'[3]1006'!$B$6:$G$5921,2,FALSE),0)</f>
        <v>1397075.33</v>
      </c>
      <c r="U295" s="2034">
        <f>IFERROR(VLOOKUP($B295,'[3]1006'!$B$6:$G$5921,4,FALSE),0)</f>
        <v>3</v>
      </c>
      <c r="V295" s="2033">
        <f t="shared" si="28"/>
        <v>465691.77666666667</v>
      </c>
      <c r="W295" s="2033">
        <f t="shared" si="29"/>
        <v>14</v>
      </c>
    </row>
    <row r="296" spans="2:23" x14ac:dyDescent="0.15">
      <c r="B296" s="2032">
        <v>40859</v>
      </c>
      <c r="C296" s="2032" t="s">
        <v>1806</v>
      </c>
      <c r="D296" s="2032" t="s">
        <v>1806</v>
      </c>
      <c r="E296" s="2032" t="s">
        <v>94</v>
      </c>
      <c r="F296" s="1288" t="s">
        <v>1295</v>
      </c>
      <c r="G296" s="1288" t="s">
        <v>1303</v>
      </c>
      <c r="H296" s="2033">
        <f>IFERROR(VLOOKUP($B296,'[3]1001'!$B$6:$G$5927,2,FALSE),0)</f>
        <v>0</v>
      </c>
      <c r="I296" s="2034">
        <f>IFERROR(VLOOKUP($B296,'[3]1001'!$B$6:$G$5927,4,FALSE),0)</f>
        <v>0</v>
      </c>
      <c r="J296" s="2033">
        <f t="shared" si="24"/>
        <v>0</v>
      </c>
      <c r="K296" s="2035">
        <f>IFERROR(VLOOKUP($B296,'[3]1002'!$B$6:$G$5921,2,FALSE),0)</f>
        <v>0</v>
      </c>
      <c r="L296" s="2036">
        <f>IFERROR(VLOOKUP($B296,'[3]1002'!$B$6:$G$5921,4,FALSE),0)</f>
        <v>0</v>
      </c>
      <c r="M296" s="1763">
        <f t="shared" si="25"/>
        <v>0</v>
      </c>
      <c r="N296" s="2033">
        <f>IFERROR(VLOOKUP($B296,'[3]1003'!$B$6:$G$5921,2,FALSE),0)</f>
        <v>0</v>
      </c>
      <c r="O296" s="2034">
        <f>IFERROR(VLOOKUP($B296,'[3]1003'!$B$6:$G$5921,4,FALSE),0)</f>
        <v>0</v>
      </c>
      <c r="P296" s="2033">
        <f t="shared" si="26"/>
        <v>0</v>
      </c>
      <c r="Q296" s="1763">
        <f>IFERROR(VLOOKUP($B296,'[3]1004'!$B$6:$G$5921,2,FALSE),0)</f>
        <v>0</v>
      </c>
      <c r="R296" s="2036">
        <f>IFERROR(VLOOKUP($B296,'[3]1004'!$B$6:$G$5921,4,FALSE),0)</f>
        <v>0</v>
      </c>
      <c r="S296" s="1763">
        <f t="shared" si="27"/>
        <v>0</v>
      </c>
      <c r="T296" s="2033">
        <f>IFERROR(VLOOKUP($B296,'[3]1006'!$B$6:$G$5921,2,FALSE),0)</f>
        <v>0</v>
      </c>
      <c r="U296" s="2034">
        <f>IFERROR(VLOOKUP($B296,'[3]1006'!$B$6:$G$5921,4,FALSE),0)</f>
        <v>0</v>
      </c>
      <c r="V296" s="2033">
        <f t="shared" si="28"/>
        <v>0</v>
      </c>
      <c r="W296" s="2033">
        <f t="shared" si="29"/>
        <v>0</v>
      </c>
    </row>
    <row r="297" spans="2:23" x14ac:dyDescent="0.15">
      <c r="B297" s="2032">
        <v>10169</v>
      </c>
      <c r="C297" s="2032" t="s">
        <v>1807</v>
      </c>
      <c r="D297" s="2032" t="s">
        <v>1807</v>
      </c>
      <c r="E297" s="2032" t="s">
        <v>94</v>
      </c>
      <c r="F297" s="870" t="s">
        <v>1411</v>
      </c>
      <c r="G297" s="1288" t="s">
        <v>1303</v>
      </c>
      <c r="H297" s="2033">
        <f>IFERROR(VLOOKUP($B297,'[3]1001'!$B$6:$G$5927,2,FALSE),0)</f>
        <v>0</v>
      </c>
      <c r="I297" s="2034">
        <f>IFERROR(VLOOKUP($B297,'[3]1001'!$B$6:$G$5927,4,FALSE),0)</f>
        <v>0</v>
      </c>
      <c r="J297" s="2033">
        <f t="shared" si="24"/>
        <v>0</v>
      </c>
      <c r="K297" s="2035">
        <f>IFERROR(VLOOKUP($B297,'[3]1002'!$B$6:$G$5921,2,FALSE),0)</f>
        <v>0</v>
      </c>
      <c r="L297" s="2036">
        <f>IFERROR(VLOOKUP($B297,'[3]1002'!$B$6:$G$5921,4,FALSE),0)</f>
        <v>0</v>
      </c>
      <c r="M297" s="1763">
        <f t="shared" si="25"/>
        <v>0</v>
      </c>
      <c r="N297" s="2033">
        <f>IFERROR(VLOOKUP($B297,'[3]1003'!$B$6:$G$5921,2,FALSE),0)</f>
        <v>0</v>
      </c>
      <c r="O297" s="2034">
        <f>IFERROR(VLOOKUP($B297,'[3]1003'!$B$6:$G$5921,4,FALSE),0)</f>
        <v>0</v>
      </c>
      <c r="P297" s="2033">
        <f t="shared" si="26"/>
        <v>0</v>
      </c>
      <c r="Q297" s="1763">
        <f>IFERROR(VLOOKUP($B297,'[3]1004'!$B$6:$G$5921,2,FALSE),0)</f>
        <v>0</v>
      </c>
      <c r="R297" s="2036">
        <f>IFERROR(VLOOKUP($B297,'[3]1004'!$B$6:$G$5921,4,FALSE),0)</f>
        <v>0</v>
      </c>
      <c r="S297" s="1763">
        <f t="shared" si="27"/>
        <v>0</v>
      </c>
      <c r="T297" s="2033">
        <f>IFERROR(VLOOKUP($B297,'[3]1006'!$B$6:$G$5921,2,FALSE),0)</f>
        <v>0</v>
      </c>
      <c r="U297" s="2034">
        <f>IFERROR(VLOOKUP($B297,'[3]1006'!$B$6:$G$5921,4,FALSE),0)</f>
        <v>0</v>
      </c>
      <c r="V297" s="2033">
        <f t="shared" si="28"/>
        <v>0</v>
      </c>
      <c r="W297" s="2033">
        <f t="shared" si="29"/>
        <v>0</v>
      </c>
    </row>
    <row r="298" spans="2:23" x14ac:dyDescent="0.15">
      <c r="B298" s="2032">
        <v>59667</v>
      </c>
      <c r="C298" s="2032" t="s">
        <v>1808</v>
      </c>
      <c r="D298" s="2032" t="s">
        <v>1809</v>
      </c>
      <c r="E298" s="2032" t="s">
        <v>94</v>
      </c>
      <c r="F298" s="870" t="s">
        <v>1810</v>
      </c>
      <c r="G298" s="1288" t="s">
        <v>1303</v>
      </c>
      <c r="H298" s="2033">
        <f>IFERROR(VLOOKUP($B298,'[3]1001'!$B$6:$G$5927,2,FALSE),0)</f>
        <v>0</v>
      </c>
      <c r="I298" s="2034">
        <f>IFERROR(VLOOKUP($B298,'[3]1001'!$B$6:$G$5927,4,FALSE),0)</f>
        <v>0</v>
      </c>
      <c r="J298" s="2033">
        <f t="shared" si="24"/>
        <v>0</v>
      </c>
      <c r="K298" s="2035">
        <f>IFERROR(VLOOKUP($B298,'[3]1002'!$B$6:$G$5921,2,FALSE),0)</f>
        <v>0</v>
      </c>
      <c r="L298" s="2036">
        <f>IFERROR(VLOOKUP($B298,'[3]1002'!$B$6:$G$5921,4,FALSE),0)</f>
        <v>0</v>
      </c>
      <c r="M298" s="1763">
        <f t="shared" si="25"/>
        <v>0</v>
      </c>
      <c r="N298" s="2033">
        <f>IFERROR(VLOOKUP($B298,'[3]1003'!$B$6:$G$5921,2,FALSE),0)</f>
        <v>0</v>
      </c>
      <c r="O298" s="2034">
        <f>IFERROR(VLOOKUP($B298,'[3]1003'!$B$6:$G$5921,4,FALSE),0)</f>
        <v>0</v>
      </c>
      <c r="P298" s="2033">
        <f t="shared" si="26"/>
        <v>0</v>
      </c>
      <c r="Q298" s="1763">
        <f>IFERROR(VLOOKUP($B298,'[3]1004'!$B$6:$G$5921,2,FALSE),0)</f>
        <v>0</v>
      </c>
      <c r="R298" s="2036">
        <f>IFERROR(VLOOKUP($B298,'[3]1004'!$B$6:$G$5921,4,FALSE),0)</f>
        <v>0</v>
      </c>
      <c r="S298" s="1763">
        <f t="shared" si="27"/>
        <v>0</v>
      </c>
      <c r="T298" s="2033">
        <f>IFERROR(VLOOKUP($B298,'[3]1006'!$B$6:$G$5921,2,FALSE),0)</f>
        <v>0</v>
      </c>
      <c r="U298" s="2034">
        <f>IFERROR(VLOOKUP($B298,'[3]1006'!$B$6:$G$5921,4,FALSE),0)</f>
        <v>0</v>
      </c>
      <c r="V298" s="2033">
        <f t="shared" si="28"/>
        <v>0</v>
      </c>
      <c r="W298" s="2033">
        <f t="shared" si="29"/>
        <v>0</v>
      </c>
    </row>
    <row r="299" spans="2:23" x14ac:dyDescent="0.15">
      <c r="B299" s="2032">
        <v>110534</v>
      </c>
      <c r="C299" s="2032" t="s">
        <v>1811</v>
      </c>
      <c r="D299" s="2032" t="s">
        <v>1811</v>
      </c>
      <c r="E299" s="2032" t="s">
        <v>94</v>
      </c>
      <c r="F299" s="870" t="s">
        <v>1810</v>
      </c>
      <c r="G299" s="1288" t="s">
        <v>1303</v>
      </c>
      <c r="H299" s="2033">
        <f>IFERROR(VLOOKUP($B299,'[3]1001'!$B$6:$G$5927,2,FALSE),0)</f>
        <v>0</v>
      </c>
      <c r="I299" s="2034">
        <f>IFERROR(VLOOKUP($B299,'[3]1001'!$B$6:$G$5927,4,FALSE),0)</f>
        <v>0</v>
      </c>
      <c r="J299" s="2033">
        <f t="shared" si="24"/>
        <v>0</v>
      </c>
      <c r="K299" s="2035">
        <f>IFERROR(VLOOKUP($B299,'[3]1002'!$B$6:$G$5921,2,FALSE),0)</f>
        <v>6114.6</v>
      </c>
      <c r="L299" s="2036">
        <f>IFERROR(VLOOKUP($B299,'[3]1002'!$B$6:$G$5921,4,FALSE),0)</f>
        <v>9</v>
      </c>
      <c r="M299" s="1763">
        <f t="shared" si="25"/>
        <v>679.40000000000009</v>
      </c>
      <c r="N299" s="2033">
        <f>IFERROR(VLOOKUP($B299,'[3]1003'!$B$6:$G$5921,2,FALSE),0)</f>
        <v>0</v>
      </c>
      <c r="O299" s="2034">
        <f>IFERROR(VLOOKUP($B299,'[3]1003'!$B$6:$G$5921,4,FALSE),0)</f>
        <v>0</v>
      </c>
      <c r="P299" s="2033">
        <f t="shared" si="26"/>
        <v>0</v>
      </c>
      <c r="Q299" s="1763">
        <f>IFERROR(VLOOKUP($B299,'[3]1004'!$B$6:$G$5921,2,FALSE),0)</f>
        <v>0</v>
      </c>
      <c r="R299" s="2036">
        <f>IFERROR(VLOOKUP($B299,'[3]1004'!$B$6:$G$5921,4,FALSE),0)</f>
        <v>0</v>
      </c>
      <c r="S299" s="1763">
        <f t="shared" si="27"/>
        <v>0</v>
      </c>
      <c r="T299" s="2033">
        <f>IFERROR(VLOOKUP($B299,'[3]1006'!$B$6:$G$5921,2,FALSE),0)</f>
        <v>0</v>
      </c>
      <c r="U299" s="2034">
        <f>IFERROR(VLOOKUP($B299,'[3]1006'!$B$6:$G$5921,4,FALSE),0)</f>
        <v>0</v>
      </c>
      <c r="V299" s="2033">
        <f t="shared" si="28"/>
        <v>0</v>
      </c>
      <c r="W299" s="2033">
        <f t="shared" si="29"/>
        <v>9</v>
      </c>
    </row>
    <row r="300" spans="2:23" x14ac:dyDescent="0.15">
      <c r="B300" s="2032">
        <v>10402</v>
      </c>
      <c r="C300" s="2032" t="s">
        <v>1812</v>
      </c>
      <c r="D300" s="2032" t="s">
        <v>1813</v>
      </c>
      <c r="E300" s="2032" t="s">
        <v>94</v>
      </c>
      <c r="F300" s="870" t="s">
        <v>1300</v>
      </c>
      <c r="G300" s="1288" t="s">
        <v>1303</v>
      </c>
      <c r="H300" s="2033">
        <f>IFERROR(VLOOKUP($B300,'[3]1001'!$B$6:$G$5927,2,FALSE),0)</f>
        <v>0</v>
      </c>
      <c r="I300" s="2034">
        <f>IFERROR(VLOOKUP($B300,'[3]1001'!$B$6:$G$5927,4,FALSE),0)</f>
        <v>0</v>
      </c>
      <c r="J300" s="2033">
        <f t="shared" si="24"/>
        <v>0</v>
      </c>
      <c r="K300" s="2035">
        <f>IFERROR(VLOOKUP($B300,'[3]1002'!$B$6:$G$5921,2,FALSE),0)</f>
        <v>2482767.4300000002</v>
      </c>
      <c r="L300" s="2036">
        <f>IFERROR(VLOOKUP($B300,'[3]1002'!$B$6:$G$5921,4,FALSE),0)</f>
        <v>101</v>
      </c>
      <c r="M300" s="1763">
        <f t="shared" si="25"/>
        <v>24581.855742574258</v>
      </c>
      <c r="N300" s="2033">
        <f>IFERROR(VLOOKUP($B300,'[3]1003'!$B$6:$G$5921,2,FALSE),0)</f>
        <v>0</v>
      </c>
      <c r="O300" s="2034">
        <f>IFERROR(VLOOKUP($B300,'[3]1003'!$B$6:$G$5921,4,FALSE),0)</f>
        <v>0</v>
      </c>
      <c r="P300" s="2033">
        <f t="shared" si="26"/>
        <v>0</v>
      </c>
      <c r="Q300" s="1763">
        <f>IFERROR(VLOOKUP($B300,'[3]1004'!$B$6:$G$5921,2,FALSE),0)</f>
        <v>310591.92</v>
      </c>
      <c r="R300" s="2036">
        <f>IFERROR(VLOOKUP($B300,'[3]1004'!$B$6:$G$5921,4,FALSE),0)</f>
        <v>12</v>
      </c>
      <c r="S300" s="1763">
        <f t="shared" si="27"/>
        <v>25882.66</v>
      </c>
      <c r="T300" s="2033">
        <f>IFERROR(VLOOKUP($B300,'[3]1006'!$B$6:$G$5921,2,FALSE),0)</f>
        <v>0</v>
      </c>
      <c r="U300" s="2034">
        <f>IFERROR(VLOOKUP($B300,'[3]1006'!$B$6:$G$5921,4,FALSE),0)</f>
        <v>0</v>
      </c>
      <c r="V300" s="2033">
        <f t="shared" si="28"/>
        <v>0</v>
      </c>
      <c r="W300" s="2033">
        <f t="shared" si="29"/>
        <v>113</v>
      </c>
    </row>
    <row r="301" spans="2:23" x14ac:dyDescent="0.15">
      <c r="B301" s="2032">
        <v>10416</v>
      </c>
      <c r="C301" s="2032" t="s">
        <v>1814</v>
      </c>
      <c r="D301" s="2032" t="s">
        <v>1815</v>
      </c>
      <c r="E301" s="2032" t="s">
        <v>94</v>
      </c>
      <c r="F301" s="870" t="s">
        <v>1325</v>
      </c>
      <c r="G301" s="1288" t="s">
        <v>1303</v>
      </c>
      <c r="H301" s="2033">
        <f>IFERROR(VLOOKUP($B301,'[3]1001'!$B$6:$G$5927,2,FALSE),0)</f>
        <v>0</v>
      </c>
      <c r="I301" s="2034">
        <f>IFERROR(VLOOKUP($B301,'[3]1001'!$B$6:$G$5927,4,FALSE),0)</f>
        <v>0</v>
      </c>
      <c r="J301" s="2033">
        <f t="shared" si="24"/>
        <v>0</v>
      </c>
      <c r="K301" s="2035">
        <f>IFERROR(VLOOKUP($B301,'[3]1002'!$B$6:$G$5921,2,FALSE),0)</f>
        <v>440680.43</v>
      </c>
      <c r="L301" s="2036">
        <f>IFERROR(VLOOKUP($B301,'[3]1002'!$B$6:$G$5921,4,FALSE),0)</f>
        <v>44</v>
      </c>
      <c r="M301" s="1763">
        <f t="shared" si="25"/>
        <v>10015.464318181817</v>
      </c>
      <c r="N301" s="2033">
        <f>IFERROR(VLOOKUP($B301,'[3]1003'!$B$6:$G$5921,2,FALSE),0)</f>
        <v>190291.05</v>
      </c>
      <c r="O301" s="2034">
        <f>IFERROR(VLOOKUP($B301,'[3]1003'!$B$6:$G$5921,4,FALSE),0)</f>
        <v>19</v>
      </c>
      <c r="P301" s="2033">
        <f t="shared" si="26"/>
        <v>10015.318421052631</v>
      </c>
      <c r="Q301" s="1763">
        <f>IFERROR(VLOOKUP($B301,'[3]1004'!$B$6:$G$5921,2,FALSE),0)</f>
        <v>0</v>
      </c>
      <c r="R301" s="2036">
        <f>IFERROR(VLOOKUP($B301,'[3]1004'!$B$6:$G$5921,4,FALSE),0)</f>
        <v>0</v>
      </c>
      <c r="S301" s="1763">
        <f t="shared" si="27"/>
        <v>0</v>
      </c>
      <c r="T301" s="2033">
        <f>IFERROR(VLOOKUP($B301,'[3]1006'!$B$6:$G$5921,2,FALSE),0)</f>
        <v>0</v>
      </c>
      <c r="U301" s="2034">
        <f>IFERROR(VLOOKUP($B301,'[3]1006'!$B$6:$G$5921,4,FALSE),0)</f>
        <v>0</v>
      </c>
      <c r="V301" s="2033">
        <f t="shared" si="28"/>
        <v>0</v>
      </c>
      <c r="W301" s="2033">
        <f t="shared" si="29"/>
        <v>63</v>
      </c>
    </row>
    <row r="302" spans="2:23" x14ac:dyDescent="0.15">
      <c r="B302" s="2032">
        <v>110533</v>
      </c>
      <c r="C302" s="2032" t="s">
        <v>1816</v>
      </c>
      <c r="D302" s="2032" t="s">
        <v>1817</v>
      </c>
      <c r="E302" s="2032" t="s">
        <v>94</v>
      </c>
      <c r="F302" s="870" t="s">
        <v>1810</v>
      </c>
      <c r="G302" s="1288" t="s">
        <v>1303</v>
      </c>
      <c r="H302" s="2033">
        <f>IFERROR(VLOOKUP($B302,'[3]1001'!$B$6:$G$5927,2,FALSE),0)</f>
        <v>0</v>
      </c>
      <c r="I302" s="2034">
        <f>IFERROR(VLOOKUP($B302,'[3]1001'!$B$6:$G$5927,4,FALSE),0)</f>
        <v>0</v>
      </c>
      <c r="J302" s="2033">
        <f t="shared" si="24"/>
        <v>0</v>
      </c>
      <c r="K302" s="2035">
        <f>IFERROR(VLOOKUP($B302,'[3]1002'!$B$6:$G$5921,2,FALSE),0)</f>
        <v>4466.28</v>
      </c>
      <c r="L302" s="2036">
        <f>IFERROR(VLOOKUP($B302,'[3]1002'!$B$6:$G$5921,4,FALSE),0)</f>
        <v>6</v>
      </c>
      <c r="M302" s="1763">
        <f t="shared" si="25"/>
        <v>744.38</v>
      </c>
      <c r="N302" s="2033">
        <f>IFERROR(VLOOKUP($B302,'[3]1003'!$B$6:$G$5921,2,FALSE),0)</f>
        <v>0</v>
      </c>
      <c r="O302" s="2034">
        <f>IFERROR(VLOOKUP($B302,'[3]1003'!$B$6:$G$5921,4,FALSE),0)</f>
        <v>0</v>
      </c>
      <c r="P302" s="2033">
        <f t="shared" si="26"/>
        <v>0</v>
      </c>
      <c r="Q302" s="1763">
        <f>IFERROR(VLOOKUP($B302,'[3]1004'!$B$6:$G$5921,2,FALSE),0)</f>
        <v>0</v>
      </c>
      <c r="R302" s="2036">
        <f>IFERROR(VLOOKUP($B302,'[3]1004'!$B$6:$G$5921,4,FALSE),0)</f>
        <v>0</v>
      </c>
      <c r="S302" s="1763">
        <f t="shared" si="27"/>
        <v>0</v>
      </c>
      <c r="T302" s="2033">
        <f>IFERROR(VLOOKUP($B302,'[3]1006'!$B$6:$G$5921,2,FALSE),0)</f>
        <v>0</v>
      </c>
      <c r="U302" s="2034">
        <f>IFERROR(VLOOKUP($B302,'[3]1006'!$B$6:$G$5921,4,FALSE),0)</f>
        <v>0</v>
      </c>
      <c r="V302" s="2033">
        <f t="shared" si="28"/>
        <v>0</v>
      </c>
      <c r="W302" s="2033">
        <f t="shared" si="29"/>
        <v>6</v>
      </c>
    </row>
    <row r="303" spans="2:23" x14ac:dyDescent="0.15">
      <c r="B303" s="2032">
        <v>41472</v>
      </c>
      <c r="C303" s="2032" t="s">
        <v>1818</v>
      </c>
      <c r="D303" s="2032" t="s">
        <v>1819</v>
      </c>
      <c r="E303" s="2032" t="s">
        <v>94</v>
      </c>
      <c r="F303" s="1288" t="s">
        <v>1300</v>
      </c>
      <c r="G303" s="1288" t="s">
        <v>1296</v>
      </c>
      <c r="H303" s="2033">
        <f>IFERROR(VLOOKUP($B303,'[3]1001'!$B$6:$G$5927,2,FALSE),0)</f>
        <v>0</v>
      </c>
      <c r="I303" s="2034">
        <f>IFERROR(VLOOKUP($B303,'[3]1001'!$B$6:$G$5927,4,FALSE),0)</f>
        <v>0</v>
      </c>
      <c r="J303" s="2033">
        <f t="shared" si="24"/>
        <v>0</v>
      </c>
      <c r="K303" s="2035">
        <f>IFERROR(VLOOKUP($B303,'[3]1002'!$B$6:$G$5921,2,FALSE),0)</f>
        <v>38874.92</v>
      </c>
      <c r="L303" s="2036">
        <f>IFERROR(VLOOKUP($B303,'[3]1002'!$B$6:$G$5921,4,FALSE),0)</f>
        <v>1</v>
      </c>
      <c r="M303" s="1763">
        <f t="shared" si="25"/>
        <v>38874.92</v>
      </c>
      <c r="N303" s="2033">
        <f>IFERROR(VLOOKUP($B303,'[3]1003'!$B$6:$G$5921,2,FALSE),0)</f>
        <v>78272.960000000006</v>
      </c>
      <c r="O303" s="2034">
        <f>IFERROR(VLOOKUP($B303,'[3]1003'!$B$6:$G$5921,4,FALSE),0)</f>
        <v>2</v>
      </c>
      <c r="P303" s="2033">
        <f t="shared" si="26"/>
        <v>39136.480000000003</v>
      </c>
      <c r="Q303" s="1763">
        <f>IFERROR(VLOOKUP($B303,'[3]1004'!$B$6:$G$5921,2,FALSE),0)</f>
        <v>0</v>
      </c>
      <c r="R303" s="2036">
        <f>IFERROR(VLOOKUP($B303,'[3]1004'!$B$6:$G$5921,4,FALSE),0)</f>
        <v>0</v>
      </c>
      <c r="S303" s="1763">
        <f t="shared" si="27"/>
        <v>0</v>
      </c>
      <c r="T303" s="2033">
        <f>IFERROR(VLOOKUP($B303,'[3]1006'!$B$6:$G$5921,2,FALSE),0)</f>
        <v>44296.56</v>
      </c>
      <c r="U303" s="2034">
        <f>IFERROR(VLOOKUP($B303,'[3]1006'!$B$6:$G$5921,4,FALSE),0)</f>
        <v>1</v>
      </c>
      <c r="V303" s="2033">
        <f t="shared" si="28"/>
        <v>44296.56</v>
      </c>
      <c r="W303" s="2033">
        <f t="shared" si="29"/>
        <v>4</v>
      </c>
    </row>
    <row r="304" spans="2:23" x14ac:dyDescent="0.15">
      <c r="B304" s="1288">
        <v>50510</v>
      </c>
      <c r="C304" s="1288" t="s">
        <v>1820</v>
      </c>
      <c r="D304" s="1288"/>
      <c r="E304" s="1288" t="s">
        <v>94</v>
      </c>
      <c r="F304" s="1288" t="s">
        <v>1300</v>
      </c>
      <c r="G304" s="1288" t="s">
        <v>1303</v>
      </c>
      <c r="H304" s="2033">
        <f>IFERROR(VLOOKUP($B304,'[3]1001'!$B$6:$G$5927,2,FALSE),0)</f>
        <v>0</v>
      </c>
      <c r="I304" s="2034">
        <f>IFERROR(VLOOKUP($B304,'[3]1001'!$B$6:$G$5927,4,FALSE),0)</f>
        <v>0</v>
      </c>
      <c r="J304" s="2033">
        <f t="shared" si="24"/>
        <v>0</v>
      </c>
      <c r="K304" s="2035">
        <f>IFERROR(VLOOKUP($B304,'[3]1002'!$B$6:$G$5921,2,FALSE),0)</f>
        <v>0</v>
      </c>
      <c r="L304" s="2036">
        <f>IFERROR(VLOOKUP($B304,'[3]1002'!$B$6:$G$5921,4,FALSE),0)</f>
        <v>0</v>
      </c>
      <c r="M304" s="1763">
        <f t="shared" si="25"/>
        <v>0</v>
      </c>
      <c r="N304" s="2033">
        <f>IFERROR(VLOOKUP($B304,'[3]1003'!$B$6:$G$5921,2,FALSE),0)</f>
        <v>0</v>
      </c>
      <c r="O304" s="2034">
        <f>IFERROR(VLOOKUP($B304,'[3]1003'!$B$6:$G$5921,4,FALSE),0)</f>
        <v>0</v>
      </c>
      <c r="P304" s="2033">
        <f t="shared" si="26"/>
        <v>0</v>
      </c>
      <c r="Q304" s="1763">
        <f>IFERROR(VLOOKUP($B304,'[3]1004'!$B$6:$G$5921,2,FALSE),0)</f>
        <v>0</v>
      </c>
      <c r="R304" s="2036">
        <f>IFERROR(VLOOKUP($B304,'[3]1004'!$B$6:$G$5921,4,FALSE),0)</f>
        <v>0</v>
      </c>
      <c r="S304" s="1763">
        <f t="shared" si="27"/>
        <v>0</v>
      </c>
      <c r="T304" s="2033">
        <f>IFERROR(VLOOKUP($B304,'[3]1006'!$B$6:$G$5921,2,FALSE),0)</f>
        <v>0</v>
      </c>
      <c r="U304" s="2034">
        <f>IFERROR(VLOOKUP($B304,'[3]1006'!$B$6:$G$5921,4,FALSE),0)</f>
        <v>0</v>
      </c>
      <c r="V304" s="2033">
        <f t="shared" si="28"/>
        <v>0</v>
      </c>
      <c r="W304" s="2033">
        <f t="shared" si="29"/>
        <v>0</v>
      </c>
    </row>
    <row r="305" spans="2:23" x14ac:dyDescent="0.15">
      <c r="B305" s="1288">
        <v>50511</v>
      </c>
      <c r="C305" s="1288" t="s">
        <v>1821</v>
      </c>
      <c r="D305" s="1288"/>
      <c r="E305" s="1288" t="s">
        <v>94</v>
      </c>
      <c r="F305" s="1288" t="s">
        <v>1300</v>
      </c>
      <c r="G305" s="1288" t="s">
        <v>1303</v>
      </c>
      <c r="H305" s="2033">
        <f>IFERROR(VLOOKUP($B305,'[3]1001'!$B$6:$G$5927,2,FALSE),0)</f>
        <v>0</v>
      </c>
      <c r="I305" s="2034">
        <f>IFERROR(VLOOKUP($B305,'[3]1001'!$B$6:$G$5927,4,FALSE),0)</f>
        <v>0</v>
      </c>
      <c r="J305" s="2033">
        <f t="shared" si="24"/>
        <v>0</v>
      </c>
      <c r="K305" s="2035">
        <f>IFERROR(VLOOKUP($B305,'[3]1002'!$B$6:$G$5921,2,FALSE),0)</f>
        <v>0</v>
      </c>
      <c r="L305" s="2036">
        <f>IFERROR(VLOOKUP($B305,'[3]1002'!$B$6:$G$5921,4,FALSE),0)</f>
        <v>0</v>
      </c>
      <c r="M305" s="1763">
        <f t="shared" si="25"/>
        <v>0</v>
      </c>
      <c r="N305" s="2033">
        <f>IFERROR(VLOOKUP($B305,'[3]1003'!$B$6:$G$5921,2,FALSE),0)</f>
        <v>0</v>
      </c>
      <c r="O305" s="2034">
        <f>IFERROR(VLOOKUP($B305,'[3]1003'!$B$6:$G$5921,4,FALSE),0)</f>
        <v>0</v>
      </c>
      <c r="P305" s="2033">
        <f t="shared" si="26"/>
        <v>0</v>
      </c>
      <c r="Q305" s="1763">
        <f>IFERROR(VLOOKUP($B305,'[3]1004'!$B$6:$G$5921,2,FALSE),0)</f>
        <v>0</v>
      </c>
      <c r="R305" s="2036">
        <f>IFERROR(VLOOKUP($B305,'[3]1004'!$B$6:$G$5921,4,FALSE),0)</f>
        <v>0</v>
      </c>
      <c r="S305" s="1763">
        <f t="shared" si="27"/>
        <v>0</v>
      </c>
      <c r="T305" s="2033">
        <f>IFERROR(VLOOKUP($B305,'[3]1006'!$B$6:$G$5921,2,FALSE),0)</f>
        <v>0</v>
      </c>
      <c r="U305" s="2034">
        <f>IFERROR(VLOOKUP($B305,'[3]1006'!$B$6:$G$5921,4,FALSE),0)</f>
        <v>0</v>
      </c>
      <c r="V305" s="2033">
        <f t="shared" si="28"/>
        <v>0</v>
      </c>
      <c r="W305" s="2033">
        <f t="shared" si="29"/>
        <v>0</v>
      </c>
    </row>
    <row r="306" spans="2:23" x14ac:dyDescent="0.15">
      <c r="B306" s="1288">
        <v>50512</v>
      </c>
      <c r="C306" s="1288" t="s">
        <v>1822</v>
      </c>
      <c r="D306" s="1288"/>
      <c r="E306" s="1288" t="s">
        <v>94</v>
      </c>
      <c r="F306" s="1288" t="s">
        <v>1300</v>
      </c>
      <c r="G306" s="1288" t="s">
        <v>1303</v>
      </c>
      <c r="H306" s="2033">
        <f>IFERROR(VLOOKUP($B306,'[3]1001'!$B$6:$G$5927,2,FALSE),0)</f>
        <v>0</v>
      </c>
      <c r="I306" s="2034">
        <f>IFERROR(VLOOKUP($B306,'[3]1001'!$B$6:$G$5927,4,FALSE),0)</f>
        <v>0</v>
      </c>
      <c r="J306" s="2033">
        <f t="shared" si="24"/>
        <v>0</v>
      </c>
      <c r="K306" s="2035">
        <f>IFERROR(VLOOKUP($B306,'[3]1002'!$B$6:$G$5921,2,FALSE),0)</f>
        <v>0</v>
      </c>
      <c r="L306" s="2036">
        <f>IFERROR(VLOOKUP($B306,'[3]1002'!$B$6:$G$5921,4,FALSE),0)</f>
        <v>0</v>
      </c>
      <c r="M306" s="1763">
        <f t="shared" si="25"/>
        <v>0</v>
      </c>
      <c r="N306" s="2033">
        <f>IFERROR(VLOOKUP($B306,'[3]1003'!$B$6:$G$5921,2,FALSE),0)</f>
        <v>0</v>
      </c>
      <c r="O306" s="2034">
        <f>IFERROR(VLOOKUP($B306,'[3]1003'!$B$6:$G$5921,4,FALSE),0)</f>
        <v>0</v>
      </c>
      <c r="P306" s="2033">
        <f t="shared" si="26"/>
        <v>0</v>
      </c>
      <c r="Q306" s="1763">
        <f>IFERROR(VLOOKUP($B306,'[3]1004'!$B$6:$G$5921,2,FALSE),0)</f>
        <v>0</v>
      </c>
      <c r="R306" s="2036">
        <f>IFERROR(VLOOKUP($B306,'[3]1004'!$B$6:$G$5921,4,FALSE),0)</f>
        <v>0</v>
      </c>
      <c r="S306" s="1763">
        <f t="shared" si="27"/>
        <v>0</v>
      </c>
      <c r="T306" s="2033">
        <f>IFERROR(VLOOKUP($B306,'[3]1006'!$B$6:$G$5921,2,FALSE),0)</f>
        <v>0</v>
      </c>
      <c r="U306" s="2034">
        <f>IFERROR(VLOOKUP($B306,'[3]1006'!$B$6:$G$5921,4,FALSE),0)</f>
        <v>0</v>
      </c>
      <c r="V306" s="2033">
        <f t="shared" si="28"/>
        <v>0</v>
      </c>
      <c r="W306" s="2033">
        <f t="shared" si="29"/>
        <v>0</v>
      </c>
    </row>
    <row r="307" spans="2:23" x14ac:dyDescent="0.15">
      <c r="B307" s="2032">
        <v>50513</v>
      </c>
      <c r="C307" s="2032" t="s">
        <v>1823</v>
      </c>
      <c r="D307" s="2032" t="s">
        <v>1824</v>
      </c>
      <c r="E307" s="2032" t="s">
        <v>94</v>
      </c>
      <c r="F307" s="1288" t="s">
        <v>1300</v>
      </c>
      <c r="G307" s="1288" t="s">
        <v>1303</v>
      </c>
      <c r="H307" s="2033">
        <f>IFERROR(VLOOKUP($B307,'[3]1001'!$B$6:$G$5927,2,FALSE),0)</f>
        <v>0</v>
      </c>
      <c r="I307" s="2034">
        <f>IFERROR(VLOOKUP($B307,'[3]1001'!$B$6:$G$5927,4,FALSE),0)</f>
        <v>0</v>
      </c>
      <c r="J307" s="2033">
        <f t="shared" si="24"/>
        <v>0</v>
      </c>
      <c r="K307" s="2035">
        <f>IFERROR(VLOOKUP($B307,'[3]1002'!$B$6:$G$5921,2,FALSE),0)</f>
        <v>2881479.95</v>
      </c>
      <c r="L307" s="2036">
        <f>IFERROR(VLOOKUP($B307,'[3]1002'!$B$6:$G$5921,4,FALSE),0)</f>
        <v>2</v>
      </c>
      <c r="M307" s="1763">
        <f t="shared" si="25"/>
        <v>1440739.9750000001</v>
      </c>
      <c r="N307" s="2033">
        <f>IFERROR(VLOOKUP($B307,'[3]1003'!$B$6:$G$5921,2,FALSE),0)</f>
        <v>1182253</v>
      </c>
      <c r="O307" s="2034">
        <f>IFERROR(VLOOKUP($B307,'[3]1003'!$B$6:$G$5921,4,FALSE),0)</f>
        <v>2</v>
      </c>
      <c r="P307" s="2033">
        <f t="shared" si="26"/>
        <v>591126.5</v>
      </c>
      <c r="Q307" s="1763">
        <f>IFERROR(VLOOKUP($B307,'[3]1004'!$B$6:$G$5921,2,FALSE),0)</f>
        <v>0</v>
      </c>
      <c r="R307" s="2036">
        <f>IFERROR(VLOOKUP($B307,'[3]1004'!$B$6:$G$5921,4,FALSE),0)</f>
        <v>0</v>
      </c>
      <c r="S307" s="1763">
        <f t="shared" si="27"/>
        <v>0</v>
      </c>
      <c r="T307" s="2033">
        <f>IFERROR(VLOOKUP($B307,'[3]1006'!$B$6:$G$5921,2,FALSE),0)</f>
        <v>0</v>
      </c>
      <c r="U307" s="2034">
        <f>IFERROR(VLOOKUP($B307,'[3]1006'!$B$6:$G$5921,4,FALSE),0)</f>
        <v>0</v>
      </c>
      <c r="V307" s="2033">
        <f t="shared" si="28"/>
        <v>0</v>
      </c>
      <c r="W307" s="2033">
        <f t="shared" si="29"/>
        <v>4</v>
      </c>
    </row>
    <row r="308" spans="2:23" x14ac:dyDescent="0.15">
      <c r="B308" s="2032">
        <v>50514</v>
      </c>
      <c r="C308" s="2032" t="s">
        <v>1825</v>
      </c>
      <c r="D308" s="2032" t="s">
        <v>1826</v>
      </c>
      <c r="E308" s="2032" t="s">
        <v>94</v>
      </c>
      <c r="F308" s="1288" t="s">
        <v>1300</v>
      </c>
      <c r="G308" s="1288" t="s">
        <v>1303</v>
      </c>
      <c r="H308" s="2033">
        <f>IFERROR(VLOOKUP($B308,'[3]1001'!$B$6:$G$5927,2,FALSE),0)</f>
        <v>0</v>
      </c>
      <c r="I308" s="2034">
        <f>IFERROR(VLOOKUP($B308,'[3]1001'!$B$6:$G$5927,4,FALSE),0)</f>
        <v>0</v>
      </c>
      <c r="J308" s="2033">
        <f t="shared" si="24"/>
        <v>0</v>
      </c>
      <c r="K308" s="2035">
        <f>IFERROR(VLOOKUP($B308,'[3]1002'!$B$6:$G$5921,2,FALSE),0)</f>
        <v>473706.07</v>
      </c>
      <c r="L308" s="2036">
        <f>IFERROR(VLOOKUP($B308,'[3]1002'!$B$6:$G$5921,4,FALSE),0)</f>
        <v>1</v>
      </c>
      <c r="M308" s="1763">
        <f t="shared" si="25"/>
        <v>473706.07</v>
      </c>
      <c r="N308" s="2033">
        <f>IFERROR(VLOOKUP($B308,'[3]1003'!$B$6:$G$5921,2,FALSE),0)</f>
        <v>0</v>
      </c>
      <c r="O308" s="2034">
        <f>IFERROR(VLOOKUP($B308,'[3]1003'!$B$6:$G$5921,4,FALSE),0)</f>
        <v>0</v>
      </c>
      <c r="P308" s="2033">
        <f t="shared" si="26"/>
        <v>0</v>
      </c>
      <c r="Q308" s="1763">
        <f>IFERROR(VLOOKUP($B308,'[3]1004'!$B$6:$G$5921,2,FALSE),0)</f>
        <v>0</v>
      </c>
      <c r="R308" s="2036">
        <f>IFERROR(VLOOKUP($B308,'[3]1004'!$B$6:$G$5921,4,FALSE),0)</f>
        <v>0</v>
      </c>
      <c r="S308" s="1763">
        <f t="shared" si="27"/>
        <v>0</v>
      </c>
      <c r="T308" s="2033">
        <f>IFERROR(VLOOKUP($B308,'[3]1006'!$B$6:$G$5921,2,FALSE),0)</f>
        <v>0</v>
      </c>
      <c r="U308" s="2034">
        <f>IFERROR(VLOOKUP($B308,'[3]1006'!$B$6:$G$5921,4,FALSE),0)</f>
        <v>0</v>
      </c>
      <c r="V308" s="2033">
        <f t="shared" si="28"/>
        <v>0</v>
      </c>
      <c r="W308" s="2033">
        <f t="shared" si="29"/>
        <v>1</v>
      </c>
    </row>
    <row r="309" spans="2:23" x14ac:dyDescent="0.15">
      <c r="B309" s="2032">
        <v>50515</v>
      </c>
      <c r="C309" s="2032" t="s">
        <v>1827</v>
      </c>
      <c r="D309" s="2032" t="s">
        <v>1828</v>
      </c>
      <c r="E309" s="2032" t="s">
        <v>94</v>
      </c>
      <c r="F309" s="1288" t="s">
        <v>1300</v>
      </c>
      <c r="G309" s="1288" t="s">
        <v>1303</v>
      </c>
      <c r="H309" s="2033">
        <f>IFERROR(VLOOKUP($B309,'[3]1001'!$B$6:$G$5927,2,FALSE),0)</f>
        <v>0</v>
      </c>
      <c r="I309" s="2034">
        <f>IFERROR(VLOOKUP($B309,'[3]1001'!$B$6:$G$5927,4,FALSE),0)</f>
        <v>0</v>
      </c>
      <c r="J309" s="2033">
        <f t="shared" si="24"/>
        <v>0</v>
      </c>
      <c r="K309" s="2035">
        <f>IFERROR(VLOOKUP($B309,'[3]1002'!$B$6:$G$5921,2,FALSE),0)</f>
        <v>0</v>
      </c>
      <c r="L309" s="2036">
        <f>IFERROR(VLOOKUP($B309,'[3]1002'!$B$6:$G$5921,4,FALSE),0)</f>
        <v>0</v>
      </c>
      <c r="M309" s="1763">
        <f t="shared" si="25"/>
        <v>0</v>
      </c>
      <c r="N309" s="2033">
        <f>IFERROR(VLOOKUP($B309,'[3]1003'!$B$6:$G$5921,2,FALSE),0)</f>
        <v>0</v>
      </c>
      <c r="O309" s="2034">
        <f>IFERROR(VLOOKUP($B309,'[3]1003'!$B$6:$G$5921,4,FALSE),0)</f>
        <v>0</v>
      </c>
      <c r="P309" s="2033">
        <f t="shared" si="26"/>
        <v>0</v>
      </c>
      <c r="Q309" s="1763">
        <f>IFERROR(VLOOKUP($B309,'[3]1004'!$B$6:$G$5921,2,FALSE),0)</f>
        <v>0</v>
      </c>
      <c r="R309" s="2036">
        <f>IFERROR(VLOOKUP($B309,'[3]1004'!$B$6:$G$5921,4,FALSE),0)</f>
        <v>0</v>
      </c>
      <c r="S309" s="1763">
        <f t="shared" si="27"/>
        <v>0</v>
      </c>
      <c r="T309" s="2033">
        <f>IFERROR(VLOOKUP($B309,'[3]1006'!$B$6:$G$5921,2,FALSE),0)</f>
        <v>0</v>
      </c>
      <c r="U309" s="2034">
        <f>IFERROR(VLOOKUP($B309,'[3]1006'!$B$6:$G$5921,4,FALSE),0)</f>
        <v>0</v>
      </c>
      <c r="V309" s="2033">
        <f t="shared" si="28"/>
        <v>0</v>
      </c>
      <c r="W309" s="2033">
        <f t="shared" si="29"/>
        <v>0</v>
      </c>
    </row>
    <row r="310" spans="2:23" x14ac:dyDescent="0.15">
      <c r="B310" s="2032">
        <v>50516</v>
      </c>
      <c r="C310" s="2032" t="s">
        <v>1829</v>
      </c>
      <c r="D310" s="2032" t="s">
        <v>1830</v>
      </c>
      <c r="E310" s="2032" t="s">
        <v>94</v>
      </c>
      <c r="F310" s="1288" t="s">
        <v>1300</v>
      </c>
      <c r="G310" s="1288" t="s">
        <v>1303</v>
      </c>
      <c r="H310" s="2033">
        <f>IFERROR(VLOOKUP($B310,'[3]1001'!$B$6:$G$5927,2,FALSE),0)</f>
        <v>0</v>
      </c>
      <c r="I310" s="2034">
        <f>IFERROR(VLOOKUP($B310,'[3]1001'!$B$6:$G$5927,4,FALSE),0)</f>
        <v>0</v>
      </c>
      <c r="J310" s="2033">
        <f t="shared" si="24"/>
        <v>0</v>
      </c>
      <c r="K310" s="2035">
        <f>IFERROR(VLOOKUP($B310,'[3]1002'!$B$6:$G$5921,2,FALSE),0)</f>
        <v>0</v>
      </c>
      <c r="L310" s="2036">
        <f>IFERROR(VLOOKUP($B310,'[3]1002'!$B$6:$G$5921,4,FALSE),0)</f>
        <v>0</v>
      </c>
      <c r="M310" s="1763">
        <f t="shared" si="25"/>
        <v>0</v>
      </c>
      <c r="N310" s="2033">
        <f>IFERROR(VLOOKUP($B310,'[3]1003'!$B$6:$G$5921,2,FALSE),0)</f>
        <v>0</v>
      </c>
      <c r="O310" s="2034">
        <f>IFERROR(VLOOKUP($B310,'[3]1003'!$B$6:$G$5921,4,FALSE),0)</f>
        <v>0</v>
      </c>
      <c r="P310" s="2033">
        <f t="shared" si="26"/>
        <v>0</v>
      </c>
      <c r="Q310" s="1763">
        <f>IFERROR(VLOOKUP($B310,'[3]1004'!$B$6:$G$5921,2,FALSE),0)</f>
        <v>0</v>
      </c>
      <c r="R310" s="2036">
        <f>IFERROR(VLOOKUP($B310,'[3]1004'!$B$6:$G$5921,4,FALSE),0)</f>
        <v>0</v>
      </c>
      <c r="S310" s="1763">
        <f t="shared" si="27"/>
        <v>0</v>
      </c>
      <c r="T310" s="2033">
        <f>IFERROR(VLOOKUP($B310,'[3]1006'!$B$6:$G$5921,2,FALSE),0)</f>
        <v>0</v>
      </c>
      <c r="U310" s="2034">
        <f>IFERROR(VLOOKUP($B310,'[3]1006'!$B$6:$G$5921,4,FALSE),0)</f>
        <v>0</v>
      </c>
      <c r="V310" s="2033">
        <f t="shared" si="28"/>
        <v>0</v>
      </c>
      <c r="W310" s="2033">
        <f t="shared" si="29"/>
        <v>0</v>
      </c>
    </row>
    <row r="311" spans="2:23" x14ac:dyDescent="0.15">
      <c r="B311" s="2032">
        <v>50517</v>
      </c>
      <c r="C311" s="2032" t="s">
        <v>1831</v>
      </c>
      <c r="D311" s="2032" t="s">
        <v>1832</v>
      </c>
      <c r="E311" s="2032" t="s">
        <v>94</v>
      </c>
      <c r="F311" s="1288" t="s">
        <v>1300</v>
      </c>
      <c r="G311" s="1288" t="s">
        <v>1303</v>
      </c>
      <c r="H311" s="2033">
        <f>IFERROR(VLOOKUP($B311,'[3]1001'!$B$6:$G$5927,2,FALSE),0)</f>
        <v>0</v>
      </c>
      <c r="I311" s="2034">
        <f>IFERROR(VLOOKUP($B311,'[3]1001'!$B$6:$G$5927,4,FALSE),0)</f>
        <v>0</v>
      </c>
      <c r="J311" s="2033">
        <f t="shared" si="24"/>
        <v>0</v>
      </c>
      <c r="K311" s="2035">
        <f>IFERROR(VLOOKUP($B311,'[3]1002'!$B$6:$G$5921,2,FALSE),0)</f>
        <v>0</v>
      </c>
      <c r="L311" s="2036">
        <f>IFERROR(VLOOKUP($B311,'[3]1002'!$B$6:$G$5921,4,FALSE),0)</f>
        <v>0</v>
      </c>
      <c r="M311" s="1763">
        <f t="shared" si="25"/>
        <v>0</v>
      </c>
      <c r="N311" s="2033">
        <f>IFERROR(VLOOKUP($B311,'[3]1003'!$B$6:$G$5921,2,FALSE),0)</f>
        <v>0</v>
      </c>
      <c r="O311" s="2034">
        <f>IFERROR(VLOOKUP($B311,'[3]1003'!$B$6:$G$5921,4,FALSE),0)</f>
        <v>0</v>
      </c>
      <c r="P311" s="2033">
        <f t="shared" si="26"/>
        <v>0</v>
      </c>
      <c r="Q311" s="1763">
        <f>IFERROR(VLOOKUP($B311,'[3]1004'!$B$6:$G$5921,2,FALSE),0)</f>
        <v>0</v>
      </c>
      <c r="R311" s="2036">
        <f>IFERROR(VLOOKUP($B311,'[3]1004'!$B$6:$G$5921,4,FALSE),0)</f>
        <v>0</v>
      </c>
      <c r="S311" s="1763">
        <f t="shared" si="27"/>
        <v>0</v>
      </c>
      <c r="T311" s="2033">
        <f>IFERROR(VLOOKUP($B311,'[3]1006'!$B$6:$G$5921,2,FALSE),0)</f>
        <v>0</v>
      </c>
      <c r="U311" s="2034">
        <f>IFERROR(VLOOKUP($B311,'[3]1006'!$B$6:$G$5921,4,FALSE),0)</f>
        <v>0</v>
      </c>
      <c r="V311" s="2033">
        <f t="shared" si="28"/>
        <v>0</v>
      </c>
      <c r="W311" s="2033">
        <f t="shared" si="29"/>
        <v>0</v>
      </c>
    </row>
    <row r="312" spans="2:23" x14ac:dyDescent="0.15">
      <c r="B312" s="2032">
        <v>50518</v>
      </c>
      <c r="C312" s="2032" t="s">
        <v>1833</v>
      </c>
      <c r="D312" s="2032" t="s">
        <v>1834</v>
      </c>
      <c r="E312" s="2032" t="s">
        <v>94</v>
      </c>
      <c r="F312" s="1288" t="s">
        <v>1300</v>
      </c>
      <c r="G312" s="1288" t="s">
        <v>1303</v>
      </c>
      <c r="H312" s="2033">
        <f>IFERROR(VLOOKUP($B312,'[3]1001'!$B$6:$G$5927,2,FALSE),0)</f>
        <v>0</v>
      </c>
      <c r="I312" s="2034">
        <f>IFERROR(VLOOKUP($B312,'[3]1001'!$B$6:$G$5927,4,FALSE),0)</f>
        <v>0</v>
      </c>
      <c r="J312" s="2033">
        <f t="shared" si="24"/>
        <v>0</v>
      </c>
      <c r="K312" s="2035">
        <f>IFERROR(VLOOKUP($B312,'[3]1002'!$B$6:$G$5921,2,FALSE),0)</f>
        <v>0</v>
      </c>
      <c r="L312" s="2036">
        <f>IFERROR(VLOOKUP($B312,'[3]1002'!$B$6:$G$5921,4,FALSE),0)</f>
        <v>0</v>
      </c>
      <c r="M312" s="1763">
        <f t="shared" si="25"/>
        <v>0</v>
      </c>
      <c r="N312" s="2033">
        <f>IFERROR(VLOOKUP($B312,'[3]1003'!$B$6:$G$5921,2,FALSE),0)</f>
        <v>0</v>
      </c>
      <c r="O312" s="2034">
        <f>IFERROR(VLOOKUP($B312,'[3]1003'!$B$6:$G$5921,4,FALSE),0)</f>
        <v>0</v>
      </c>
      <c r="P312" s="2033">
        <f t="shared" si="26"/>
        <v>0</v>
      </c>
      <c r="Q312" s="1763">
        <f>IFERROR(VLOOKUP($B312,'[3]1004'!$B$6:$G$5921,2,FALSE),0)</f>
        <v>0</v>
      </c>
      <c r="R312" s="2036">
        <f>IFERROR(VLOOKUP($B312,'[3]1004'!$B$6:$G$5921,4,FALSE),0)</f>
        <v>0</v>
      </c>
      <c r="S312" s="1763">
        <f t="shared" si="27"/>
        <v>0</v>
      </c>
      <c r="T312" s="2033">
        <f>IFERROR(VLOOKUP($B312,'[3]1006'!$B$6:$G$5921,2,FALSE),0)</f>
        <v>0</v>
      </c>
      <c r="U312" s="2034">
        <f>IFERROR(VLOOKUP($B312,'[3]1006'!$B$6:$G$5921,4,FALSE),0)</f>
        <v>0</v>
      </c>
      <c r="V312" s="2033">
        <f t="shared" si="28"/>
        <v>0</v>
      </c>
      <c r="W312" s="2033">
        <f t="shared" si="29"/>
        <v>0</v>
      </c>
    </row>
    <row r="313" spans="2:23" x14ac:dyDescent="0.15">
      <c r="B313" s="2032">
        <v>50519</v>
      </c>
      <c r="C313" s="2032" t="s">
        <v>1835</v>
      </c>
      <c r="D313" s="2032" t="s">
        <v>1836</v>
      </c>
      <c r="E313" s="2032" t="s">
        <v>94</v>
      </c>
      <c r="F313" s="1288" t="s">
        <v>1300</v>
      </c>
      <c r="G313" s="1288" t="s">
        <v>1303</v>
      </c>
      <c r="H313" s="2033">
        <f>IFERROR(VLOOKUP($B313,'[3]1001'!$B$6:$G$5927,2,FALSE),0)</f>
        <v>0</v>
      </c>
      <c r="I313" s="2034">
        <f>IFERROR(VLOOKUP($B313,'[3]1001'!$B$6:$G$5927,4,FALSE),0)</f>
        <v>0</v>
      </c>
      <c r="J313" s="2033">
        <f t="shared" si="24"/>
        <v>0</v>
      </c>
      <c r="K313" s="2035">
        <f>IFERROR(VLOOKUP($B313,'[3]1002'!$B$6:$G$5921,2,FALSE),0)</f>
        <v>3024091.25</v>
      </c>
      <c r="L313" s="2036">
        <f>IFERROR(VLOOKUP($B313,'[3]1002'!$B$6:$G$5921,4,FALSE),0)</f>
        <v>2</v>
      </c>
      <c r="M313" s="1763">
        <f t="shared" si="25"/>
        <v>1512045.625</v>
      </c>
      <c r="N313" s="2033">
        <f>IFERROR(VLOOKUP($B313,'[3]1003'!$B$6:$G$5921,2,FALSE),0)</f>
        <v>0</v>
      </c>
      <c r="O313" s="2034">
        <f>IFERROR(VLOOKUP($B313,'[3]1003'!$B$6:$G$5921,4,FALSE),0)</f>
        <v>0</v>
      </c>
      <c r="P313" s="2033">
        <f t="shared" si="26"/>
        <v>0</v>
      </c>
      <c r="Q313" s="1763">
        <f>IFERROR(VLOOKUP($B313,'[3]1004'!$B$6:$G$5921,2,FALSE),0)</f>
        <v>0</v>
      </c>
      <c r="R313" s="2036">
        <f>IFERROR(VLOOKUP($B313,'[3]1004'!$B$6:$G$5921,4,FALSE),0)</f>
        <v>0</v>
      </c>
      <c r="S313" s="1763">
        <f t="shared" si="27"/>
        <v>0</v>
      </c>
      <c r="T313" s="2033">
        <f>IFERROR(VLOOKUP($B313,'[3]1006'!$B$6:$G$5921,2,FALSE),0)</f>
        <v>0</v>
      </c>
      <c r="U313" s="2034">
        <f>IFERROR(VLOOKUP($B313,'[3]1006'!$B$6:$G$5921,4,FALSE),0)</f>
        <v>0</v>
      </c>
      <c r="V313" s="2033">
        <f t="shared" si="28"/>
        <v>0</v>
      </c>
      <c r="W313" s="2033">
        <f t="shared" si="29"/>
        <v>2</v>
      </c>
    </row>
    <row r="314" spans="2:23" x14ac:dyDescent="0.15">
      <c r="B314" s="2032">
        <v>50520</v>
      </c>
      <c r="C314" s="2032" t="s">
        <v>1837</v>
      </c>
      <c r="D314" s="2032" t="s">
        <v>1838</v>
      </c>
      <c r="E314" s="2032" t="s">
        <v>94</v>
      </c>
      <c r="F314" s="1288" t="s">
        <v>1300</v>
      </c>
      <c r="G314" s="1288" t="s">
        <v>1303</v>
      </c>
      <c r="H314" s="2033">
        <f>IFERROR(VLOOKUP($B314,'[3]1001'!$B$6:$G$5927,2,FALSE),0)</f>
        <v>0</v>
      </c>
      <c r="I314" s="2034">
        <f>IFERROR(VLOOKUP($B314,'[3]1001'!$B$6:$G$5927,4,FALSE),0)</f>
        <v>0</v>
      </c>
      <c r="J314" s="2033">
        <f t="shared" si="24"/>
        <v>0</v>
      </c>
      <c r="K314" s="2035">
        <f>IFERROR(VLOOKUP($B314,'[3]1002'!$B$6:$G$5921,2,FALSE),0)</f>
        <v>0</v>
      </c>
      <c r="L314" s="2036">
        <f>IFERROR(VLOOKUP($B314,'[3]1002'!$B$6:$G$5921,4,FALSE),0)</f>
        <v>0</v>
      </c>
      <c r="M314" s="1763">
        <f t="shared" si="25"/>
        <v>0</v>
      </c>
      <c r="N314" s="2033">
        <f>IFERROR(VLOOKUP($B314,'[3]1003'!$B$6:$G$5921,2,FALSE),0)</f>
        <v>0</v>
      </c>
      <c r="O314" s="2034">
        <f>IFERROR(VLOOKUP($B314,'[3]1003'!$B$6:$G$5921,4,FALSE),0)</f>
        <v>0</v>
      </c>
      <c r="P314" s="2033">
        <f t="shared" si="26"/>
        <v>0</v>
      </c>
      <c r="Q314" s="1763">
        <f>IFERROR(VLOOKUP($B314,'[3]1004'!$B$6:$G$5921,2,FALSE),0)</f>
        <v>0</v>
      </c>
      <c r="R314" s="2036">
        <f>IFERROR(VLOOKUP($B314,'[3]1004'!$B$6:$G$5921,4,FALSE),0)</f>
        <v>0</v>
      </c>
      <c r="S314" s="1763">
        <f t="shared" si="27"/>
        <v>0</v>
      </c>
      <c r="T314" s="2033">
        <f>IFERROR(VLOOKUP($B314,'[3]1006'!$B$6:$G$5921,2,FALSE),0)</f>
        <v>0</v>
      </c>
      <c r="U314" s="2034">
        <f>IFERROR(VLOOKUP($B314,'[3]1006'!$B$6:$G$5921,4,FALSE),0)</f>
        <v>0</v>
      </c>
      <c r="V314" s="2033">
        <f t="shared" si="28"/>
        <v>0</v>
      </c>
      <c r="W314" s="2033">
        <f t="shared" si="29"/>
        <v>0</v>
      </c>
    </row>
    <row r="315" spans="2:23" x14ac:dyDescent="0.15">
      <c r="B315" s="2032">
        <v>50521</v>
      </c>
      <c r="C315" s="2032" t="s">
        <v>1839</v>
      </c>
      <c r="D315" s="2032" t="s">
        <v>1840</v>
      </c>
      <c r="E315" s="2032" t="s">
        <v>94</v>
      </c>
      <c r="F315" s="1288" t="s">
        <v>1300</v>
      </c>
      <c r="G315" s="1288" t="s">
        <v>1303</v>
      </c>
      <c r="H315" s="2033">
        <f>IFERROR(VLOOKUP($B315,'[3]1001'!$B$6:$G$5927,2,FALSE),0)</f>
        <v>0</v>
      </c>
      <c r="I315" s="2034">
        <f>IFERROR(VLOOKUP($B315,'[3]1001'!$B$6:$G$5927,4,FALSE),0)</f>
        <v>0</v>
      </c>
      <c r="J315" s="2033">
        <f t="shared" si="24"/>
        <v>0</v>
      </c>
      <c r="K315" s="2035">
        <f>IFERROR(VLOOKUP($B315,'[3]1002'!$B$6:$G$5921,2,FALSE),0)</f>
        <v>0</v>
      </c>
      <c r="L315" s="2036">
        <f>IFERROR(VLOOKUP($B315,'[3]1002'!$B$6:$G$5921,4,FALSE),0)</f>
        <v>0</v>
      </c>
      <c r="M315" s="1763">
        <f t="shared" si="25"/>
        <v>0</v>
      </c>
      <c r="N315" s="2033">
        <f>IFERROR(VLOOKUP($B315,'[3]1003'!$B$6:$G$5921,2,FALSE),0)</f>
        <v>0</v>
      </c>
      <c r="O315" s="2034">
        <f>IFERROR(VLOOKUP($B315,'[3]1003'!$B$6:$G$5921,4,FALSE),0)</f>
        <v>0</v>
      </c>
      <c r="P315" s="2033">
        <f t="shared" si="26"/>
        <v>0</v>
      </c>
      <c r="Q315" s="1763">
        <f>IFERROR(VLOOKUP($B315,'[3]1004'!$B$6:$G$5921,2,FALSE),0)</f>
        <v>0</v>
      </c>
      <c r="R315" s="2036">
        <f>IFERROR(VLOOKUP($B315,'[3]1004'!$B$6:$G$5921,4,FALSE),0)</f>
        <v>0</v>
      </c>
      <c r="S315" s="1763">
        <f t="shared" si="27"/>
        <v>0</v>
      </c>
      <c r="T315" s="2033">
        <f>IFERROR(VLOOKUP($B315,'[3]1006'!$B$6:$G$5921,2,FALSE),0)</f>
        <v>0</v>
      </c>
      <c r="U315" s="2034">
        <f>IFERROR(VLOOKUP($B315,'[3]1006'!$B$6:$G$5921,4,FALSE),0)</f>
        <v>0</v>
      </c>
      <c r="V315" s="2033">
        <f t="shared" si="28"/>
        <v>0</v>
      </c>
      <c r="W315" s="2033">
        <f t="shared" si="29"/>
        <v>0</v>
      </c>
    </row>
    <row r="316" spans="2:23" x14ac:dyDescent="0.15">
      <c r="B316" s="2032">
        <v>52541</v>
      </c>
      <c r="C316" s="2032" t="s">
        <v>1841</v>
      </c>
      <c r="D316" s="2037" t="s">
        <v>1842</v>
      </c>
      <c r="E316" s="2032" t="s">
        <v>94</v>
      </c>
      <c r="F316" s="1288" t="s">
        <v>1300</v>
      </c>
      <c r="G316" s="1288" t="s">
        <v>1303</v>
      </c>
      <c r="H316" s="2033">
        <f>IFERROR(VLOOKUP($B316,'[3]1001'!$B$6:$G$5927,2,FALSE),0)</f>
        <v>2440299.96</v>
      </c>
      <c r="I316" s="2034">
        <f>IFERROR(VLOOKUP($B316,'[3]1001'!$B$6:$G$5927,4,FALSE),0)</f>
        <v>2</v>
      </c>
      <c r="J316" s="2033">
        <f t="shared" si="24"/>
        <v>1220149.98</v>
      </c>
      <c r="K316" s="2035">
        <f>IFERROR(VLOOKUP($B316,'[3]1002'!$B$6:$G$5921,2,FALSE),0)</f>
        <v>1068633.72</v>
      </c>
      <c r="L316" s="2036">
        <f>IFERROR(VLOOKUP($B316,'[3]1002'!$B$6:$G$5921,4,FALSE),0)</f>
        <v>1</v>
      </c>
      <c r="M316" s="1763">
        <f t="shared" si="25"/>
        <v>1068633.72</v>
      </c>
      <c r="N316" s="2033">
        <f>IFERROR(VLOOKUP($B316,'[3]1003'!$B$6:$G$5921,2,FALSE),0)</f>
        <v>1123603.3799999999</v>
      </c>
      <c r="O316" s="2034">
        <f>IFERROR(VLOOKUP($B316,'[3]1003'!$B$6:$G$5921,4,FALSE),0)</f>
        <v>1</v>
      </c>
      <c r="P316" s="2033">
        <f t="shared" si="26"/>
        <v>1123603.3799999999</v>
      </c>
      <c r="Q316" s="1763">
        <f>IFERROR(VLOOKUP($B316,'[3]1004'!$B$6:$G$5921,2,FALSE),0)</f>
        <v>0</v>
      </c>
      <c r="R316" s="2036">
        <f>IFERROR(VLOOKUP($B316,'[3]1004'!$B$6:$G$5921,4,FALSE),0)</f>
        <v>0</v>
      </c>
      <c r="S316" s="1763">
        <f t="shared" si="27"/>
        <v>0</v>
      </c>
      <c r="T316" s="2033">
        <f>IFERROR(VLOOKUP($B316,'[3]1006'!$B$6:$G$5921,2,FALSE),0)</f>
        <v>0</v>
      </c>
      <c r="U316" s="2034">
        <f>IFERROR(VLOOKUP($B316,'[3]1006'!$B$6:$G$5921,4,FALSE),0)</f>
        <v>0</v>
      </c>
      <c r="V316" s="2033">
        <f t="shared" si="28"/>
        <v>0</v>
      </c>
      <c r="W316" s="2033">
        <f t="shared" si="29"/>
        <v>4</v>
      </c>
    </row>
    <row r="317" spans="2:23" x14ac:dyDescent="0.15">
      <c r="B317" s="2032">
        <v>52542</v>
      </c>
      <c r="C317" s="2032" t="s">
        <v>1843</v>
      </c>
      <c r="D317" s="2037" t="s">
        <v>1844</v>
      </c>
      <c r="E317" s="2032" t="s">
        <v>94</v>
      </c>
      <c r="F317" s="1288" t="s">
        <v>1300</v>
      </c>
      <c r="G317" s="1288" t="s">
        <v>1303</v>
      </c>
      <c r="H317" s="2033">
        <f>IFERROR(VLOOKUP($B317,'[3]1001'!$B$6:$G$5927,2,FALSE),0)</f>
        <v>0</v>
      </c>
      <c r="I317" s="2034">
        <f>IFERROR(VLOOKUP($B317,'[3]1001'!$B$6:$G$5927,4,FALSE),0)</f>
        <v>0</v>
      </c>
      <c r="J317" s="2033">
        <f t="shared" si="24"/>
        <v>0</v>
      </c>
      <c r="K317" s="2035">
        <f>IFERROR(VLOOKUP($B317,'[3]1002'!$B$6:$G$5921,2,FALSE),0)</f>
        <v>0</v>
      </c>
      <c r="L317" s="2036">
        <f>IFERROR(VLOOKUP($B317,'[3]1002'!$B$6:$G$5921,4,FALSE),0)</f>
        <v>0</v>
      </c>
      <c r="M317" s="1763">
        <f t="shared" si="25"/>
        <v>0</v>
      </c>
      <c r="N317" s="2033">
        <f>IFERROR(VLOOKUP($B317,'[3]1003'!$B$6:$G$5921,2,FALSE),0)</f>
        <v>14139945.859999999</v>
      </c>
      <c r="O317" s="2034">
        <f>IFERROR(VLOOKUP($B317,'[3]1003'!$B$6:$G$5921,4,FALSE),0)</f>
        <v>10</v>
      </c>
      <c r="P317" s="2033">
        <f t="shared" si="26"/>
        <v>1413994.5859999999</v>
      </c>
      <c r="Q317" s="1763">
        <f>IFERROR(VLOOKUP($B317,'[3]1004'!$B$6:$G$5921,2,FALSE),0)</f>
        <v>0</v>
      </c>
      <c r="R317" s="2036">
        <f>IFERROR(VLOOKUP($B317,'[3]1004'!$B$6:$G$5921,4,FALSE),0)</f>
        <v>0</v>
      </c>
      <c r="S317" s="1763">
        <f t="shared" si="27"/>
        <v>0</v>
      </c>
      <c r="T317" s="2033">
        <f>IFERROR(VLOOKUP($B317,'[3]1006'!$B$6:$G$5921,2,FALSE),0)</f>
        <v>0</v>
      </c>
      <c r="U317" s="2034">
        <f>IFERROR(VLOOKUP($B317,'[3]1006'!$B$6:$G$5921,4,FALSE),0)</f>
        <v>0</v>
      </c>
      <c r="V317" s="2033">
        <f t="shared" si="28"/>
        <v>0</v>
      </c>
      <c r="W317" s="2033">
        <f t="shared" si="29"/>
        <v>10</v>
      </c>
    </row>
    <row r="318" spans="2:23" x14ac:dyDescent="0.15">
      <c r="B318" s="2032">
        <v>52543</v>
      </c>
      <c r="C318" s="2032" t="s">
        <v>1845</v>
      </c>
      <c r="D318" s="2037" t="s">
        <v>1846</v>
      </c>
      <c r="E318" s="2032" t="s">
        <v>94</v>
      </c>
      <c r="F318" s="1288" t="s">
        <v>1300</v>
      </c>
      <c r="G318" s="1288" t="s">
        <v>1303</v>
      </c>
      <c r="H318" s="2033">
        <f>IFERROR(VLOOKUP($B318,'[3]1001'!$B$6:$G$5927,2,FALSE),0)</f>
        <v>0</v>
      </c>
      <c r="I318" s="2034">
        <f>IFERROR(VLOOKUP($B318,'[3]1001'!$B$6:$G$5927,4,FALSE),0)</f>
        <v>0</v>
      </c>
      <c r="J318" s="2033">
        <f t="shared" si="24"/>
        <v>0</v>
      </c>
      <c r="K318" s="2035">
        <f>IFERROR(VLOOKUP($B318,'[3]1002'!$B$6:$G$5921,2,FALSE),0)</f>
        <v>0</v>
      </c>
      <c r="L318" s="2036">
        <f>IFERROR(VLOOKUP($B318,'[3]1002'!$B$6:$G$5921,4,FALSE),0)</f>
        <v>0</v>
      </c>
      <c r="M318" s="1763">
        <f t="shared" si="25"/>
        <v>0</v>
      </c>
      <c r="N318" s="2033">
        <f>IFERROR(VLOOKUP($B318,'[3]1003'!$B$6:$G$5921,2,FALSE),0)</f>
        <v>0</v>
      </c>
      <c r="O318" s="2034">
        <f>IFERROR(VLOOKUP($B318,'[3]1003'!$B$6:$G$5921,4,FALSE),0)</f>
        <v>0</v>
      </c>
      <c r="P318" s="2033">
        <f t="shared" si="26"/>
        <v>0</v>
      </c>
      <c r="Q318" s="1763">
        <f>IFERROR(VLOOKUP($B318,'[3]1004'!$B$6:$G$5921,2,FALSE),0)</f>
        <v>3727780.22</v>
      </c>
      <c r="R318" s="2036">
        <f>IFERROR(VLOOKUP($B318,'[3]1004'!$B$6:$G$5921,4,FALSE),0)</f>
        <v>2</v>
      </c>
      <c r="S318" s="1763">
        <f t="shared" si="27"/>
        <v>1863890.11</v>
      </c>
      <c r="T318" s="2033">
        <f>IFERROR(VLOOKUP($B318,'[3]1006'!$B$6:$G$5921,2,FALSE),0)</f>
        <v>0</v>
      </c>
      <c r="U318" s="2034">
        <f>IFERROR(VLOOKUP($B318,'[3]1006'!$B$6:$G$5921,4,FALSE),0)</f>
        <v>0</v>
      </c>
      <c r="V318" s="2033">
        <f t="shared" si="28"/>
        <v>0</v>
      </c>
      <c r="W318" s="2033">
        <f t="shared" si="29"/>
        <v>2</v>
      </c>
    </row>
    <row r="319" spans="2:23" x14ac:dyDescent="0.15">
      <c r="B319" s="2032">
        <v>52582</v>
      </c>
      <c r="C319" s="2032" t="s">
        <v>1847</v>
      </c>
      <c r="D319" s="2037" t="s">
        <v>1848</v>
      </c>
      <c r="E319" s="2032" t="s">
        <v>94</v>
      </c>
      <c r="F319" s="1288" t="s">
        <v>1300</v>
      </c>
      <c r="G319" s="1288" t="s">
        <v>1303</v>
      </c>
      <c r="H319" s="2033">
        <f>IFERROR(VLOOKUP($B319,'[3]1001'!$B$6:$G$5927,2,FALSE),0)</f>
        <v>3897831.03</v>
      </c>
      <c r="I319" s="2034">
        <f>IFERROR(VLOOKUP($B319,'[3]1001'!$B$6:$G$5927,4,FALSE),0)</f>
        <v>2</v>
      </c>
      <c r="J319" s="2033">
        <f t="shared" si="24"/>
        <v>1948915.5149999999</v>
      </c>
      <c r="K319" s="2035">
        <f>IFERROR(VLOOKUP($B319,'[3]1002'!$B$6:$G$5921,2,FALSE),0)</f>
        <v>6087955.0499999998</v>
      </c>
      <c r="L319" s="2036">
        <f>IFERROR(VLOOKUP($B319,'[3]1002'!$B$6:$G$5921,4,FALSE),0)</f>
        <v>3</v>
      </c>
      <c r="M319" s="1763">
        <f t="shared" si="25"/>
        <v>2029318.3499999999</v>
      </c>
      <c r="N319" s="2033">
        <f>IFERROR(VLOOKUP($B319,'[3]1003'!$B$6:$G$5921,2,FALSE),0)</f>
        <v>21562901.170000002</v>
      </c>
      <c r="O319" s="2034">
        <f>IFERROR(VLOOKUP($B319,'[3]1003'!$B$6:$G$5921,4,FALSE),0)</f>
        <v>11</v>
      </c>
      <c r="P319" s="2033">
        <f t="shared" si="26"/>
        <v>1960263.7427272729</v>
      </c>
      <c r="Q319" s="1763">
        <f>IFERROR(VLOOKUP($B319,'[3]1004'!$B$6:$G$5921,2,FALSE),0)</f>
        <v>3910252.2</v>
      </c>
      <c r="R319" s="2036">
        <f>IFERROR(VLOOKUP($B319,'[3]1004'!$B$6:$G$5921,4,FALSE),0)</f>
        <v>2</v>
      </c>
      <c r="S319" s="1763">
        <f t="shared" si="27"/>
        <v>1955126.1</v>
      </c>
      <c r="T319" s="2033">
        <f>IFERROR(VLOOKUP($B319,'[3]1006'!$B$6:$G$5921,2,FALSE),0)</f>
        <v>0</v>
      </c>
      <c r="U319" s="2034">
        <f>IFERROR(VLOOKUP($B319,'[3]1006'!$B$6:$G$5921,4,FALSE),0)</f>
        <v>0</v>
      </c>
      <c r="V319" s="2033">
        <f t="shared" si="28"/>
        <v>0</v>
      </c>
      <c r="W319" s="2033">
        <f t="shared" si="29"/>
        <v>18</v>
      </c>
    </row>
    <row r="320" spans="2:23" x14ac:dyDescent="0.15">
      <c r="B320" s="2032">
        <v>53303</v>
      </c>
      <c r="C320" s="2032" t="s">
        <v>1849</v>
      </c>
      <c r="D320" s="2037" t="s">
        <v>1850</v>
      </c>
      <c r="E320" s="2032" t="s">
        <v>94</v>
      </c>
      <c r="F320" s="1288" t="s">
        <v>1300</v>
      </c>
      <c r="G320" s="1288" t="s">
        <v>1303</v>
      </c>
      <c r="H320" s="2033">
        <f>IFERROR(VLOOKUP($B320,'[3]1001'!$B$6:$G$5927,2,FALSE),0)</f>
        <v>0</v>
      </c>
      <c r="I320" s="2034">
        <f>IFERROR(VLOOKUP($B320,'[3]1001'!$B$6:$G$5927,4,FALSE),0)</f>
        <v>0</v>
      </c>
      <c r="J320" s="2033">
        <f t="shared" si="24"/>
        <v>0</v>
      </c>
      <c r="K320" s="2035">
        <f>IFERROR(VLOOKUP($B320,'[3]1002'!$B$6:$G$5921,2,FALSE),0)</f>
        <v>88823.8</v>
      </c>
      <c r="L320" s="2036">
        <f>IFERROR(VLOOKUP($B320,'[3]1002'!$B$6:$G$5921,4,FALSE),0)</f>
        <v>26</v>
      </c>
      <c r="M320" s="1763">
        <f t="shared" si="25"/>
        <v>3416.3</v>
      </c>
      <c r="N320" s="2033">
        <f>IFERROR(VLOOKUP($B320,'[3]1003'!$B$6:$G$5921,2,FALSE),0)</f>
        <v>475758.54</v>
      </c>
      <c r="O320" s="2034">
        <f>IFERROR(VLOOKUP($B320,'[3]1003'!$B$6:$G$5921,4,FALSE),0)</f>
        <v>148</v>
      </c>
      <c r="P320" s="2033">
        <f t="shared" si="26"/>
        <v>3214.5847297297296</v>
      </c>
      <c r="Q320" s="1763">
        <f>IFERROR(VLOOKUP($B320,'[3]1004'!$B$6:$G$5921,2,FALSE),0)</f>
        <v>0</v>
      </c>
      <c r="R320" s="2036">
        <f>IFERROR(VLOOKUP($B320,'[3]1004'!$B$6:$G$5921,4,FALSE),0)</f>
        <v>0</v>
      </c>
      <c r="S320" s="1763">
        <f t="shared" si="27"/>
        <v>0</v>
      </c>
      <c r="T320" s="2033">
        <f>IFERROR(VLOOKUP($B320,'[3]1006'!$B$6:$G$5921,2,FALSE),0)</f>
        <v>40995.599999999999</v>
      </c>
      <c r="U320" s="2034">
        <f>IFERROR(VLOOKUP($B320,'[3]1006'!$B$6:$G$5921,4,FALSE),0)</f>
        <v>12</v>
      </c>
      <c r="V320" s="2033">
        <f t="shared" si="28"/>
        <v>3416.2999999999997</v>
      </c>
      <c r="W320" s="2033">
        <f t="shared" si="29"/>
        <v>186</v>
      </c>
    </row>
    <row r="321" spans="2:23" x14ac:dyDescent="0.15">
      <c r="B321" s="2032">
        <v>53304</v>
      </c>
      <c r="C321" s="2032" t="s">
        <v>1851</v>
      </c>
      <c r="D321" s="2037" t="s">
        <v>1852</v>
      </c>
      <c r="E321" s="2032" t="s">
        <v>94</v>
      </c>
      <c r="F321" s="1288" t="s">
        <v>1300</v>
      </c>
      <c r="G321" s="1288" t="s">
        <v>1303</v>
      </c>
      <c r="H321" s="2033">
        <f>IFERROR(VLOOKUP($B321,'[3]1001'!$B$6:$G$5927,2,FALSE),0)</f>
        <v>1214407.3500000001</v>
      </c>
      <c r="I321" s="2034">
        <f>IFERROR(VLOOKUP($B321,'[3]1001'!$B$6:$G$5927,4,FALSE),0)</f>
        <v>100</v>
      </c>
      <c r="J321" s="2033">
        <f t="shared" si="24"/>
        <v>12144.0735</v>
      </c>
      <c r="K321" s="2035">
        <f>IFERROR(VLOOKUP($B321,'[3]1002'!$B$6:$G$5921,2,FALSE),0)</f>
        <v>374873.04</v>
      </c>
      <c r="L321" s="2036">
        <f>IFERROR(VLOOKUP($B321,'[3]1002'!$B$6:$G$5921,4,FALSE),0)</f>
        <v>72</v>
      </c>
      <c r="M321" s="1763">
        <f t="shared" si="25"/>
        <v>5206.57</v>
      </c>
      <c r="N321" s="2033">
        <f>IFERROR(VLOOKUP($B321,'[3]1003'!$B$6:$G$5921,2,FALSE),0)</f>
        <v>1431596.69</v>
      </c>
      <c r="O321" s="2034">
        <f>IFERROR(VLOOKUP($B321,'[3]1003'!$B$6:$G$5921,4,FALSE),0)</f>
        <v>158</v>
      </c>
      <c r="P321" s="2033">
        <f t="shared" si="26"/>
        <v>9060.7385443037965</v>
      </c>
      <c r="Q321" s="1763">
        <f>IFERROR(VLOOKUP($B321,'[3]1004'!$B$6:$G$5921,2,FALSE),0)</f>
        <v>0</v>
      </c>
      <c r="R321" s="2036">
        <f>IFERROR(VLOOKUP($B321,'[3]1004'!$B$6:$G$5921,4,FALSE),0)</f>
        <v>0</v>
      </c>
      <c r="S321" s="1763">
        <f t="shared" si="27"/>
        <v>0</v>
      </c>
      <c r="T321" s="2033">
        <f>IFERROR(VLOOKUP($B321,'[3]1006'!$B$6:$G$5921,2,FALSE),0)</f>
        <v>267169.61</v>
      </c>
      <c r="U321" s="2034">
        <f>IFERROR(VLOOKUP($B321,'[3]1006'!$B$6:$G$5921,4,FALSE),0)</f>
        <v>22</v>
      </c>
      <c r="V321" s="2033">
        <f t="shared" si="28"/>
        <v>12144.073181818181</v>
      </c>
      <c r="W321" s="2033">
        <f t="shared" si="29"/>
        <v>352</v>
      </c>
    </row>
    <row r="322" spans="2:23" x14ac:dyDescent="0.15">
      <c r="B322" s="2032">
        <v>58981</v>
      </c>
      <c r="C322" s="2032" t="s">
        <v>1853</v>
      </c>
      <c r="D322" s="2037" t="s">
        <v>1854</v>
      </c>
      <c r="E322" s="2032" t="s">
        <v>94</v>
      </c>
      <c r="F322" s="1288" t="s">
        <v>1300</v>
      </c>
      <c r="G322" s="1288" t="s">
        <v>1303</v>
      </c>
      <c r="H322" s="2033">
        <f>IFERROR(VLOOKUP($B322,'[3]1001'!$B$6:$G$5927,2,FALSE),0)</f>
        <v>30808.44</v>
      </c>
      <c r="I322" s="2034">
        <f>IFERROR(VLOOKUP($B322,'[3]1001'!$B$6:$G$5927,4,FALSE),0)</f>
        <v>58</v>
      </c>
      <c r="J322" s="2033">
        <f t="shared" si="24"/>
        <v>531.17999999999995</v>
      </c>
      <c r="K322" s="2035">
        <f>IFERROR(VLOOKUP($B322,'[3]1002'!$B$6:$G$5921,2,FALSE),0)</f>
        <v>0</v>
      </c>
      <c r="L322" s="2036">
        <f>IFERROR(VLOOKUP($B322,'[3]1002'!$B$6:$G$5921,4,FALSE),0)</f>
        <v>0</v>
      </c>
      <c r="M322" s="1763">
        <f t="shared" si="25"/>
        <v>0</v>
      </c>
      <c r="N322" s="2033">
        <f>IFERROR(VLOOKUP($B322,'[3]1003'!$B$6:$G$5921,2,FALSE),0)</f>
        <v>0</v>
      </c>
      <c r="O322" s="2034">
        <f>IFERROR(VLOOKUP($B322,'[3]1003'!$B$6:$G$5921,4,FALSE),0)</f>
        <v>0</v>
      </c>
      <c r="P322" s="2033">
        <f t="shared" si="26"/>
        <v>0</v>
      </c>
      <c r="Q322" s="1763">
        <f>IFERROR(VLOOKUP($B322,'[3]1004'!$B$6:$G$5921,2,FALSE),0)</f>
        <v>0</v>
      </c>
      <c r="R322" s="2036">
        <f>IFERROR(VLOOKUP($B322,'[3]1004'!$B$6:$G$5921,4,FALSE),0)</f>
        <v>0</v>
      </c>
      <c r="S322" s="1763">
        <f t="shared" si="27"/>
        <v>0</v>
      </c>
      <c r="T322" s="2033">
        <f>IFERROR(VLOOKUP($B322,'[3]1006'!$B$6:$G$5921,2,FALSE),0)</f>
        <v>0</v>
      </c>
      <c r="U322" s="2034">
        <f>IFERROR(VLOOKUP($B322,'[3]1006'!$B$6:$G$5921,4,FALSE),0)</f>
        <v>0</v>
      </c>
      <c r="V322" s="2033">
        <f t="shared" si="28"/>
        <v>0</v>
      </c>
      <c r="W322" s="2033">
        <f t="shared" si="29"/>
        <v>58</v>
      </c>
    </row>
    <row r="323" spans="2:23" x14ac:dyDescent="0.15">
      <c r="B323" s="2032">
        <v>58982</v>
      </c>
      <c r="C323" s="2032" t="s">
        <v>1855</v>
      </c>
      <c r="D323" s="2037" t="s">
        <v>1856</v>
      </c>
      <c r="E323" s="2032" t="s">
        <v>94</v>
      </c>
      <c r="F323" s="1288" t="s">
        <v>1300</v>
      </c>
      <c r="G323" s="1288" t="s">
        <v>1303</v>
      </c>
      <c r="H323" s="2033">
        <f>IFERROR(VLOOKUP($B323,'[3]1001'!$B$6:$G$5927,2,FALSE),0)</f>
        <v>0</v>
      </c>
      <c r="I323" s="2034">
        <f>IFERROR(VLOOKUP($B323,'[3]1001'!$B$6:$G$5927,4,FALSE),0)</f>
        <v>0</v>
      </c>
      <c r="J323" s="2033">
        <f t="shared" si="24"/>
        <v>0</v>
      </c>
      <c r="K323" s="2035">
        <f>IFERROR(VLOOKUP($B323,'[3]1002'!$B$6:$G$5921,2,FALSE),0)</f>
        <v>0</v>
      </c>
      <c r="L323" s="2036">
        <f>IFERROR(VLOOKUP($B323,'[3]1002'!$B$6:$G$5921,4,FALSE),0)</f>
        <v>0</v>
      </c>
      <c r="M323" s="1763">
        <f t="shared" si="25"/>
        <v>0</v>
      </c>
      <c r="N323" s="2033">
        <f>IFERROR(VLOOKUP($B323,'[3]1003'!$B$6:$G$5921,2,FALSE),0)</f>
        <v>0</v>
      </c>
      <c r="O323" s="2034">
        <f>IFERROR(VLOOKUP($B323,'[3]1003'!$B$6:$G$5921,4,FALSE),0)</f>
        <v>0</v>
      </c>
      <c r="P323" s="2033">
        <f t="shared" si="26"/>
        <v>0</v>
      </c>
      <c r="Q323" s="1763">
        <f>IFERROR(VLOOKUP($B323,'[3]1004'!$B$6:$G$5921,2,FALSE),0)</f>
        <v>0</v>
      </c>
      <c r="R323" s="2036">
        <f>IFERROR(VLOOKUP($B323,'[3]1004'!$B$6:$G$5921,4,FALSE),0)</f>
        <v>0</v>
      </c>
      <c r="S323" s="1763">
        <f t="shared" si="27"/>
        <v>0</v>
      </c>
      <c r="T323" s="2033">
        <f>IFERROR(VLOOKUP($B323,'[3]1006'!$B$6:$G$5921,2,FALSE),0)</f>
        <v>0</v>
      </c>
      <c r="U323" s="2034">
        <f>IFERROR(VLOOKUP($B323,'[3]1006'!$B$6:$G$5921,4,FALSE),0)</f>
        <v>0</v>
      </c>
      <c r="V323" s="2033">
        <f t="shared" si="28"/>
        <v>0</v>
      </c>
      <c r="W323" s="2033">
        <f t="shared" si="29"/>
        <v>0</v>
      </c>
    </row>
    <row r="324" spans="2:23" x14ac:dyDescent="0.15">
      <c r="B324" s="2032">
        <v>58984</v>
      </c>
      <c r="C324" s="2032" t="s">
        <v>1857</v>
      </c>
      <c r="D324" s="2037" t="s">
        <v>1858</v>
      </c>
      <c r="E324" s="2032" t="s">
        <v>94</v>
      </c>
      <c r="F324" s="1288" t="s">
        <v>1300</v>
      </c>
      <c r="G324" s="1288" t="s">
        <v>1303</v>
      </c>
      <c r="H324" s="2033">
        <f>IFERROR(VLOOKUP($B324,'[3]1001'!$B$6:$G$5927,2,FALSE),0)</f>
        <v>65376</v>
      </c>
      <c r="I324" s="2034">
        <f>IFERROR(VLOOKUP($B324,'[3]1001'!$B$6:$G$5927,4,FALSE),0)</f>
        <v>80</v>
      </c>
      <c r="J324" s="2033">
        <f t="shared" si="24"/>
        <v>817.2</v>
      </c>
      <c r="K324" s="2035">
        <f>IFERROR(VLOOKUP($B324,'[3]1002'!$B$6:$G$5921,2,FALSE),0)</f>
        <v>0</v>
      </c>
      <c r="L324" s="2036">
        <f>IFERROR(VLOOKUP($B324,'[3]1002'!$B$6:$G$5921,4,FALSE),0)</f>
        <v>30</v>
      </c>
      <c r="M324" s="1763">
        <f t="shared" si="25"/>
        <v>0</v>
      </c>
      <c r="N324" s="2033">
        <f>IFERROR(VLOOKUP($B324,'[3]1003'!$B$6:$G$5921,2,FALSE),0)</f>
        <v>0</v>
      </c>
      <c r="O324" s="2034">
        <f>IFERROR(VLOOKUP($B324,'[3]1003'!$B$6:$G$5921,4,FALSE),0)</f>
        <v>0</v>
      </c>
      <c r="P324" s="2033">
        <f t="shared" si="26"/>
        <v>0</v>
      </c>
      <c r="Q324" s="1763">
        <f>IFERROR(VLOOKUP($B324,'[3]1004'!$B$6:$G$5921,2,FALSE),0)</f>
        <v>0</v>
      </c>
      <c r="R324" s="2036">
        <f>IFERROR(VLOOKUP($B324,'[3]1004'!$B$6:$G$5921,4,FALSE),0)</f>
        <v>0</v>
      </c>
      <c r="S324" s="1763">
        <f t="shared" si="27"/>
        <v>0</v>
      </c>
      <c r="T324" s="2033">
        <f>IFERROR(VLOOKUP($B324,'[3]1006'!$B$6:$G$5921,2,FALSE),0)</f>
        <v>0</v>
      </c>
      <c r="U324" s="2034">
        <f>IFERROR(VLOOKUP($B324,'[3]1006'!$B$6:$G$5921,4,FALSE),0)</f>
        <v>0</v>
      </c>
      <c r="V324" s="2033">
        <f t="shared" si="28"/>
        <v>0</v>
      </c>
      <c r="W324" s="2033">
        <f t="shared" si="29"/>
        <v>110</v>
      </c>
    </row>
    <row r="325" spans="2:23" x14ac:dyDescent="0.15">
      <c r="B325" s="2032">
        <v>58985</v>
      </c>
      <c r="C325" s="2032" t="s">
        <v>1859</v>
      </c>
      <c r="D325" s="2032" t="s">
        <v>1860</v>
      </c>
      <c r="E325" s="2032" t="s">
        <v>94</v>
      </c>
      <c r="F325" s="1288" t="s">
        <v>1300</v>
      </c>
      <c r="G325" s="1288" t="s">
        <v>1303</v>
      </c>
      <c r="H325" s="2033">
        <f>IFERROR(VLOOKUP($B325,'[3]1001'!$B$6:$G$5927,2,FALSE),0)</f>
        <v>122580</v>
      </c>
      <c r="I325" s="2034">
        <f>IFERROR(VLOOKUP($B325,'[3]1001'!$B$6:$G$5927,4,FALSE),0)</f>
        <v>100</v>
      </c>
      <c r="J325" s="2033">
        <f t="shared" si="24"/>
        <v>1225.8</v>
      </c>
      <c r="K325" s="2035">
        <f>IFERROR(VLOOKUP($B325,'[3]1002'!$B$6:$G$5921,2,FALSE),0)</f>
        <v>0</v>
      </c>
      <c r="L325" s="2036">
        <f>IFERROR(VLOOKUP($B325,'[3]1002'!$B$6:$G$5921,4,FALSE),0)</f>
        <v>10</v>
      </c>
      <c r="M325" s="1763">
        <f t="shared" si="25"/>
        <v>0</v>
      </c>
      <c r="N325" s="2033">
        <f>IFERROR(VLOOKUP($B325,'[3]1003'!$B$6:$G$5921,2,FALSE),0)</f>
        <v>0</v>
      </c>
      <c r="O325" s="2034">
        <f>IFERROR(VLOOKUP($B325,'[3]1003'!$B$6:$G$5921,4,FALSE),0)</f>
        <v>0</v>
      </c>
      <c r="P325" s="2033">
        <f t="shared" si="26"/>
        <v>0</v>
      </c>
      <c r="Q325" s="1763">
        <f>IFERROR(VLOOKUP($B325,'[3]1004'!$B$6:$G$5921,2,FALSE),0)</f>
        <v>0</v>
      </c>
      <c r="R325" s="2036">
        <f>IFERROR(VLOOKUP($B325,'[3]1004'!$B$6:$G$5921,4,FALSE),0)</f>
        <v>0</v>
      </c>
      <c r="S325" s="1763">
        <f t="shared" si="27"/>
        <v>0</v>
      </c>
      <c r="T325" s="2033">
        <f>IFERROR(VLOOKUP($B325,'[3]1006'!$B$6:$G$5921,2,FALSE),0)</f>
        <v>0</v>
      </c>
      <c r="U325" s="2034">
        <f>IFERROR(VLOOKUP($B325,'[3]1006'!$B$6:$G$5921,4,FALSE),0)</f>
        <v>0</v>
      </c>
      <c r="V325" s="2033">
        <f t="shared" si="28"/>
        <v>0</v>
      </c>
      <c r="W325" s="2033">
        <f t="shared" si="29"/>
        <v>110</v>
      </c>
    </row>
    <row r="326" spans="2:23" x14ac:dyDescent="0.15">
      <c r="B326" s="2032">
        <v>58986</v>
      </c>
      <c r="C326" s="2032" t="s">
        <v>1861</v>
      </c>
      <c r="D326" s="2037" t="s">
        <v>1862</v>
      </c>
      <c r="E326" s="2032" t="s">
        <v>94</v>
      </c>
      <c r="F326" s="1288" t="s">
        <v>1300</v>
      </c>
      <c r="G326" s="1288" t="s">
        <v>1303</v>
      </c>
      <c r="H326" s="2033">
        <f>IFERROR(VLOOKUP($B326,'[3]1001'!$B$6:$G$5927,2,FALSE),0)</f>
        <v>0</v>
      </c>
      <c r="I326" s="2034">
        <f>IFERROR(VLOOKUP($B326,'[3]1001'!$B$6:$G$5927,4,FALSE),0)</f>
        <v>0</v>
      </c>
      <c r="J326" s="2033">
        <f t="shared" ref="J326:J389" si="30">IF(H326=0,0,H326/I326)</f>
        <v>0</v>
      </c>
      <c r="K326" s="2035">
        <f>IFERROR(VLOOKUP($B326,'[3]1002'!$B$6:$G$5921,2,FALSE),0)</f>
        <v>0</v>
      </c>
      <c r="L326" s="2036">
        <f>IFERROR(VLOOKUP($B326,'[3]1002'!$B$6:$G$5921,4,FALSE),0)</f>
        <v>0</v>
      </c>
      <c r="M326" s="1763">
        <f t="shared" ref="M326:M389" si="31">IF(K326=0,0,K326/L326)</f>
        <v>0</v>
      </c>
      <c r="N326" s="2033">
        <f>IFERROR(VLOOKUP($B326,'[3]1003'!$B$6:$G$5921,2,FALSE),0)</f>
        <v>0</v>
      </c>
      <c r="O326" s="2034">
        <f>IFERROR(VLOOKUP($B326,'[3]1003'!$B$6:$G$5921,4,FALSE),0)</f>
        <v>0</v>
      </c>
      <c r="P326" s="2033">
        <f t="shared" ref="P326:P389" si="32">IF(N326=0,0,N326/O326)</f>
        <v>0</v>
      </c>
      <c r="Q326" s="1763">
        <f>IFERROR(VLOOKUP($B326,'[3]1004'!$B$6:$G$5921,2,FALSE),0)</f>
        <v>0</v>
      </c>
      <c r="R326" s="2036">
        <f>IFERROR(VLOOKUP($B326,'[3]1004'!$B$6:$G$5921,4,FALSE),0)</f>
        <v>0</v>
      </c>
      <c r="S326" s="1763">
        <f t="shared" ref="S326:S389" si="33">IF(Q326=0,0,Q326/R326)</f>
        <v>0</v>
      </c>
      <c r="T326" s="2033">
        <f>IFERROR(VLOOKUP($B326,'[3]1006'!$B$6:$G$5921,2,FALSE),0)</f>
        <v>0</v>
      </c>
      <c r="U326" s="2034">
        <f>IFERROR(VLOOKUP($B326,'[3]1006'!$B$6:$G$5921,4,FALSE),0)</f>
        <v>0</v>
      </c>
      <c r="V326" s="2033">
        <f t="shared" ref="V326:V389" si="34">IF(T326=0,0,T326/U326)</f>
        <v>0</v>
      </c>
      <c r="W326" s="2033">
        <f t="shared" ref="W326:W389" si="35">U326+R326+O326+L326+I326</f>
        <v>0</v>
      </c>
    </row>
    <row r="327" spans="2:23" x14ac:dyDescent="0.15">
      <c r="B327" s="2032">
        <v>58988</v>
      </c>
      <c r="C327" s="2032" t="s">
        <v>1863</v>
      </c>
      <c r="D327" s="2032" t="s">
        <v>1864</v>
      </c>
      <c r="E327" s="2032" t="s">
        <v>94</v>
      </c>
      <c r="F327" s="1288" t="s">
        <v>1300</v>
      </c>
      <c r="G327" s="1288" t="s">
        <v>1303</v>
      </c>
      <c r="H327" s="2033">
        <f>IFERROR(VLOOKUP($B327,'[3]1001'!$B$6:$G$5927,2,FALSE),0)</f>
        <v>203101.67</v>
      </c>
      <c r="I327" s="2034">
        <f>IFERROR(VLOOKUP($B327,'[3]1001'!$B$6:$G$5927,4,FALSE),0)</f>
        <v>251</v>
      </c>
      <c r="J327" s="2033">
        <f t="shared" si="30"/>
        <v>809.17000000000007</v>
      </c>
      <c r="K327" s="2035">
        <f>IFERROR(VLOOKUP($B327,'[3]1002'!$B$6:$G$5921,2,FALSE),0)</f>
        <v>125421.35</v>
      </c>
      <c r="L327" s="2036">
        <f>IFERROR(VLOOKUP($B327,'[3]1002'!$B$6:$G$5921,4,FALSE),0)</f>
        <v>155</v>
      </c>
      <c r="M327" s="1763">
        <f t="shared" si="31"/>
        <v>809.17000000000007</v>
      </c>
      <c r="N327" s="2033">
        <f>IFERROR(VLOOKUP($B327,'[3]1003'!$B$6:$G$5921,2,FALSE),0)</f>
        <v>0</v>
      </c>
      <c r="O327" s="2034">
        <f>IFERROR(VLOOKUP($B327,'[3]1003'!$B$6:$G$5921,4,FALSE),0)</f>
        <v>0</v>
      </c>
      <c r="P327" s="2033">
        <f t="shared" si="32"/>
        <v>0</v>
      </c>
      <c r="Q327" s="1763">
        <f>IFERROR(VLOOKUP($B327,'[3]1004'!$B$6:$G$5921,2,FALSE),0)</f>
        <v>0</v>
      </c>
      <c r="R327" s="2036">
        <f>IFERROR(VLOOKUP($B327,'[3]1004'!$B$6:$G$5921,4,FALSE),0)</f>
        <v>0</v>
      </c>
      <c r="S327" s="1763">
        <f t="shared" si="33"/>
        <v>0</v>
      </c>
      <c r="T327" s="2033">
        <f>IFERROR(VLOOKUP($B327,'[3]1006'!$B$6:$G$5921,2,FALSE),0)</f>
        <v>0</v>
      </c>
      <c r="U327" s="2034">
        <f>IFERROR(VLOOKUP($B327,'[3]1006'!$B$6:$G$5921,4,FALSE),0)</f>
        <v>0</v>
      </c>
      <c r="V327" s="2033">
        <f t="shared" si="34"/>
        <v>0</v>
      </c>
      <c r="W327" s="2033">
        <f t="shared" si="35"/>
        <v>406</v>
      </c>
    </row>
    <row r="328" spans="2:23" x14ac:dyDescent="0.15">
      <c r="B328" s="2032">
        <v>58989</v>
      </c>
      <c r="C328" s="2032" t="s">
        <v>1865</v>
      </c>
      <c r="D328" s="2032" t="s">
        <v>1866</v>
      </c>
      <c r="E328" s="2032" t="s">
        <v>94</v>
      </c>
      <c r="F328" s="1288" t="s">
        <v>1300</v>
      </c>
      <c r="G328" s="1288" t="s">
        <v>1303</v>
      </c>
      <c r="H328" s="2033">
        <f>IFERROR(VLOOKUP($B328,'[3]1001'!$B$6:$G$5927,2,FALSE),0)</f>
        <v>158134.72</v>
      </c>
      <c r="I328" s="2034">
        <f>IFERROR(VLOOKUP($B328,'[3]1001'!$B$6:$G$5927,4,FALSE),0)</f>
        <v>152</v>
      </c>
      <c r="J328" s="2033">
        <f t="shared" si="30"/>
        <v>1040.3599999999999</v>
      </c>
      <c r="K328" s="2035">
        <f>IFERROR(VLOOKUP($B328,'[3]1002'!$B$6:$G$5921,2,FALSE),0)</f>
        <v>0</v>
      </c>
      <c r="L328" s="2036">
        <f>IFERROR(VLOOKUP($B328,'[3]1002'!$B$6:$G$5921,4,FALSE),0)</f>
        <v>0</v>
      </c>
      <c r="M328" s="1763">
        <f t="shared" si="31"/>
        <v>0</v>
      </c>
      <c r="N328" s="2033">
        <f>IFERROR(VLOOKUP($B328,'[3]1003'!$B$6:$G$5921,2,FALSE),0)</f>
        <v>0</v>
      </c>
      <c r="O328" s="2034">
        <f>IFERROR(VLOOKUP($B328,'[3]1003'!$B$6:$G$5921,4,FALSE),0)</f>
        <v>0</v>
      </c>
      <c r="P328" s="2033">
        <f t="shared" si="32"/>
        <v>0</v>
      </c>
      <c r="Q328" s="1763">
        <f>IFERROR(VLOOKUP($B328,'[3]1004'!$B$6:$G$5921,2,FALSE),0)</f>
        <v>0</v>
      </c>
      <c r="R328" s="2036">
        <f>IFERROR(VLOOKUP($B328,'[3]1004'!$B$6:$G$5921,4,FALSE),0)</f>
        <v>0</v>
      </c>
      <c r="S328" s="1763">
        <f t="shared" si="33"/>
        <v>0</v>
      </c>
      <c r="T328" s="2033">
        <f>IFERROR(VLOOKUP($B328,'[3]1006'!$B$6:$G$5921,2,FALSE),0)</f>
        <v>0</v>
      </c>
      <c r="U328" s="2034">
        <f>IFERROR(VLOOKUP($B328,'[3]1006'!$B$6:$G$5921,4,FALSE),0)</f>
        <v>0</v>
      </c>
      <c r="V328" s="2033">
        <f t="shared" si="34"/>
        <v>0</v>
      </c>
      <c r="W328" s="2033">
        <f t="shared" si="35"/>
        <v>152</v>
      </c>
    </row>
    <row r="329" spans="2:23" x14ac:dyDescent="0.15">
      <c r="B329" s="2032">
        <v>59201</v>
      </c>
      <c r="C329" s="2032" t="s">
        <v>1867</v>
      </c>
      <c r="D329" s="2037" t="s">
        <v>1868</v>
      </c>
      <c r="E329" s="2032" t="s">
        <v>94</v>
      </c>
      <c r="F329" s="1288" t="s">
        <v>1300</v>
      </c>
      <c r="G329" s="1288" t="s">
        <v>1303</v>
      </c>
      <c r="H329" s="2033">
        <f>IFERROR(VLOOKUP($B329,'[3]1001'!$B$6:$G$5927,2,FALSE),0)</f>
        <v>8498.8799999999992</v>
      </c>
      <c r="I329" s="2034">
        <f>IFERROR(VLOOKUP($B329,'[3]1001'!$B$6:$G$5927,4,FALSE),0)</f>
        <v>16</v>
      </c>
      <c r="J329" s="2033">
        <f t="shared" si="30"/>
        <v>531.17999999999995</v>
      </c>
      <c r="K329" s="2035">
        <f>IFERROR(VLOOKUP($B329,'[3]1002'!$B$6:$G$5921,2,FALSE),0)</f>
        <v>0</v>
      </c>
      <c r="L329" s="2036">
        <f>IFERROR(VLOOKUP($B329,'[3]1002'!$B$6:$G$5921,4,FALSE),0)</f>
        <v>0</v>
      </c>
      <c r="M329" s="1763">
        <f t="shared" si="31"/>
        <v>0</v>
      </c>
      <c r="N329" s="2033">
        <f>IFERROR(VLOOKUP($B329,'[3]1003'!$B$6:$G$5921,2,FALSE),0)</f>
        <v>0</v>
      </c>
      <c r="O329" s="2034">
        <f>IFERROR(VLOOKUP($B329,'[3]1003'!$B$6:$G$5921,4,FALSE),0)</f>
        <v>0</v>
      </c>
      <c r="P329" s="2033">
        <f t="shared" si="32"/>
        <v>0</v>
      </c>
      <c r="Q329" s="1763">
        <f>IFERROR(VLOOKUP($B329,'[3]1004'!$B$6:$G$5921,2,FALSE),0)</f>
        <v>0</v>
      </c>
      <c r="R329" s="2036">
        <f>IFERROR(VLOOKUP($B329,'[3]1004'!$B$6:$G$5921,4,FALSE),0)</f>
        <v>0</v>
      </c>
      <c r="S329" s="1763">
        <f t="shared" si="33"/>
        <v>0</v>
      </c>
      <c r="T329" s="2033">
        <f>IFERROR(VLOOKUP($B329,'[3]1006'!$B$6:$G$5921,2,FALSE),0)</f>
        <v>0</v>
      </c>
      <c r="U329" s="2034">
        <f>IFERROR(VLOOKUP($B329,'[3]1006'!$B$6:$G$5921,4,FALSE),0)</f>
        <v>0</v>
      </c>
      <c r="V329" s="2033">
        <f t="shared" si="34"/>
        <v>0</v>
      </c>
      <c r="W329" s="2033">
        <f t="shared" si="35"/>
        <v>16</v>
      </c>
    </row>
    <row r="330" spans="2:23" x14ac:dyDescent="0.15">
      <c r="B330" s="2032">
        <v>59202</v>
      </c>
      <c r="C330" s="2032" t="s">
        <v>1869</v>
      </c>
      <c r="D330" s="2037" t="s">
        <v>1870</v>
      </c>
      <c r="E330" s="2032" t="s">
        <v>94</v>
      </c>
      <c r="F330" s="1288" t="s">
        <v>1300</v>
      </c>
      <c r="G330" s="1288" t="s">
        <v>1303</v>
      </c>
      <c r="H330" s="2033">
        <f>IFERROR(VLOOKUP($B330,'[3]1001'!$B$6:$G$5927,2,FALSE),0)</f>
        <v>0</v>
      </c>
      <c r="I330" s="2034">
        <f>IFERROR(VLOOKUP($B330,'[3]1001'!$B$6:$G$5927,4,FALSE),0)</f>
        <v>0</v>
      </c>
      <c r="J330" s="2033">
        <f t="shared" si="30"/>
        <v>0</v>
      </c>
      <c r="K330" s="2035">
        <f>IFERROR(VLOOKUP($B330,'[3]1002'!$B$6:$G$5921,2,FALSE),0)</f>
        <v>0</v>
      </c>
      <c r="L330" s="2036">
        <f>IFERROR(VLOOKUP($B330,'[3]1002'!$B$6:$G$5921,4,FALSE),0)</f>
        <v>0</v>
      </c>
      <c r="M330" s="1763">
        <f t="shared" si="31"/>
        <v>0</v>
      </c>
      <c r="N330" s="2033">
        <f>IFERROR(VLOOKUP($B330,'[3]1003'!$B$6:$G$5921,2,FALSE),0)</f>
        <v>0</v>
      </c>
      <c r="O330" s="2034">
        <f>IFERROR(VLOOKUP($B330,'[3]1003'!$B$6:$G$5921,4,FALSE),0)</f>
        <v>0</v>
      </c>
      <c r="P330" s="2033">
        <f t="shared" si="32"/>
        <v>0</v>
      </c>
      <c r="Q330" s="1763">
        <f>IFERROR(VLOOKUP($B330,'[3]1004'!$B$6:$G$5921,2,FALSE),0)</f>
        <v>0</v>
      </c>
      <c r="R330" s="2036">
        <f>IFERROR(VLOOKUP($B330,'[3]1004'!$B$6:$G$5921,4,FALSE),0)</f>
        <v>0</v>
      </c>
      <c r="S330" s="1763">
        <f t="shared" si="33"/>
        <v>0</v>
      </c>
      <c r="T330" s="2033">
        <f>IFERROR(VLOOKUP($B330,'[3]1006'!$B$6:$G$5921,2,FALSE),0)</f>
        <v>0</v>
      </c>
      <c r="U330" s="2034">
        <f>IFERROR(VLOOKUP($B330,'[3]1006'!$B$6:$G$5921,4,FALSE),0)</f>
        <v>0</v>
      </c>
      <c r="V330" s="2033">
        <f t="shared" si="34"/>
        <v>0</v>
      </c>
      <c r="W330" s="2033">
        <f t="shared" si="35"/>
        <v>0</v>
      </c>
    </row>
    <row r="331" spans="2:23" x14ac:dyDescent="0.15">
      <c r="B331" s="2032">
        <v>59203</v>
      </c>
      <c r="C331" s="2032" t="s">
        <v>1871</v>
      </c>
      <c r="D331" s="2037" t="s">
        <v>1872</v>
      </c>
      <c r="E331" s="2032" t="s">
        <v>94</v>
      </c>
      <c r="F331" s="1288" t="s">
        <v>1300</v>
      </c>
      <c r="G331" s="1288" t="s">
        <v>1303</v>
      </c>
      <c r="H331" s="2033">
        <f>IFERROR(VLOOKUP($B331,'[3]1001'!$B$6:$G$5927,2,FALSE),0)</f>
        <v>0</v>
      </c>
      <c r="I331" s="2034">
        <f>IFERROR(VLOOKUP($B331,'[3]1001'!$B$6:$G$5927,4,FALSE),0)</f>
        <v>0</v>
      </c>
      <c r="J331" s="2033">
        <f t="shared" si="30"/>
        <v>0</v>
      </c>
      <c r="K331" s="2035">
        <f>IFERROR(VLOOKUP($B331,'[3]1002'!$B$6:$G$5921,2,FALSE),0)</f>
        <v>0</v>
      </c>
      <c r="L331" s="2036">
        <f>IFERROR(VLOOKUP($B331,'[3]1002'!$B$6:$G$5921,4,FALSE),0)</f>
        <v>0</v>
      </c>
      <c r="M331" s="1763">
        <f t="shared" si="31"/>
        <v>0</v>
      </c>
      <c r="N331" s="2033">
        <f>IFERROR(VLOOKUP($B331,'[3]1003'!$B$6:$G$5921,2,FALSE),0)</f>
        <v>0</v>
      </c>
      <c r="O331" s="2034">
        <f>IFERROR(VLOOKUP($B331,'[3]1003'!$B$6:$G$5921,4,FALSE),0)</f>
        <v>0</v>
      </c>
      <c r="P331" s="2033">
        <f t="shared" si="32"/>
        <v>0</v>
      </c>
      <c r="Q331" s="1763">
        <f>IFERROR(VLOOKUP($B331,'[3]1004'!$B$6:$G$5921,2,FALSE),0)</f>
        <v>0</v>
      </c>
      <c r="R331" s="2036">
        <f>IFERROR(VLOOKUP($B331,'[3]1004'!$B$6:$G$5921,4,FALSE),0)</f>
        <v>0</v>
      </c>
      <c r="S331" s="1763">
        <f t="shared" si="33"/>
        <v>0</v>
      </c>
      <c r="T331" s="2033">
        <f>IFERROR(VLOOKUP($B331,'[3]1006'!$B$6:$G$5921,2,FALSE),0)</f>
        <v>0</v>
      </c>
      <c r="U331" s="2034">
        <f>IFERROR(VLOOKUP($B331,'[3]1006'!$B$6:$G$5921,4,FALSE),0)</f>
        <v>0</v>
      </c>
      <c r="V331" s="2033">
        <f t="shared" si="34"/>
        <v>0</v>
      </c>
      <c r="W331" s="2033">
        <f t="shared" si="35"/>
        <v>0</v>
      </c>
    </row>
    <row r="332" spans="2:23" x14ac:dyDescent="0.15">
      <c r="B332" s="2032">
        <v>59204</v>
      </c>
      <c r="C332" s="2032" t="s">
        <v>1873</v>
      </c>
      <c r="D332" s="2037" t="s">
        <v>1874</v>
      </c>
      <c r="E332" s="2032" t="s">
        <v>94</v>
      </c>
      <c r="F332" s="1288" t="s">
        <v>1300</v>
      </c>
      <c r="G332" s="1288" t="s">
        <v>1303</v>
      </c>
      <c r="H332" s="2033">
        <f>IFERROR(VLOOKUP($B332,'[3]1001'!$B$6:$G$5927,2,FALSE),0)</f>
        <v>61290</v>
      </c>
      <c r="I332" s="2034">
        <f>IFERROR(VLOOKUP($B332,'[3]1001'!$B$6:$G$5927,4,FALSE),0)</f>
        <v>50</v>
      </c>
      <c r="J332" s="2033">
        <f t="shared" si="30"/>
        <v>1225.8</v>
      </c>
      <c r="K332" s="2035">
        <f>IFERROR(VLOOKUP($B332,'[3]1002'!$B$6:$G$5921,2,FALSE),0)</f>
        <v>0</v>
      </c>
      <c r="L332" s="2036">
        <f>IFERROR(VLOOKUP($B332,'[3]1002'!$B$6:$G$5921,4,FALSE),0)</f>
        <v>0</v>
      </c>
      <c r="M332" s="1763">
        <f t="shared" si="31"/>
        <v>0</v>
      </c>
      <c r="N332" s="2033">
        <f>IFERROR(VLOOKUP($B332,'[3]1003'!$B$6:$G$5921,2,FALSE),0)</f>
        <v>0</v>
      </c>
      <c r="O332" s="2034">
        <f>IFERROR(VLOOKUP($B332,'[3]1003'!$B$6:$G$5921,4,FALSE),0)</f>
        <v>0</v>
      </c>
      <c r="P332" s="2033">
        <f t="shared" si="32"/>
        <v>0</v>
      </c>
      <c r="Q332" s="1763">
        <f>IFERROR(VLOOKUP($B332,'[3]1004'!$B$6:$G$5921,2,FALSE),0)</f>
        <v>0</v>
      </c>
      <c r="R332" s="2036">
        <f>IFERROR(VLOOKUP($B332,'[3]1004'!$B$6:$G$5921,4,FALSE),0)</f>
        <v>0</v>
      </c>
      <c r="S332" s="1763">
        <f t="shared" si="33"/>
        <v>0</v>
      </c>
      <c r="T332" s="2033">
        <f>IFERROR(VLOOKUP($B332,'[3]1006'!$B$6:$G$5921,2,FALSE),0)</f>
        <v>4903.2</v>
      </c>
      <c r="U332" s="2034">
        <f>IFERROR(VLOOKUP($B332,'[3]1006'!$B$6:$G$5921,4,FALSE),0)</f>
        <v>4</v>
      </c>
      <c r="V332" s="2033">
        <f t="shared" si="34"/>
        <v>1225.8</v>
      </c>
      <c r="W332" s="2033">
        <f t="shared" si="35"/>
        <v>54</v>
      </c>
    </row>
    <row r="333" spans="2:23" x14ac:dyDescent="0.15">
      <c r="B333" s="2032">
        <v>59205</v>
      </c>
      <c r="C333" s="2032" t="s">
        <v>1875</v>
      </c>
      <c r="D333" s="2037" t="s">
        <v>1876</v>
      </c>
      <c r="E333" s="2032" t="s">
        <v>94</v>
      </c>
      <c r="F333" s="1288" t="s">
        <v>1300</v>
      </c>
      <c r="G333" s="1288" t="s">
        <v>1303</v>
      </c>
      <c r="H333" s="2033">
        <f>IFERROR(VLOOKUP($B333,'[3]1001'!$B$6:$G$5927,2,FALSE),0)</f>
        <v>0</v>
      </c>
      <c r="I333" s="2034">
        <f>IFERROR(VLOOKUP($B333,'[3]1001'!$B$6:$G$5927,4,FALSE),0)</f>
        <v>0</v>
      </c>
      <c r="J333" s="2033">
        <f t="shared" si="30"/>
        <v>0</v>
      </c>
      <c r="K333" s="2035">
        <f>IFERROR(VLOOKUP($B333,'[3]1002'!$B$6:$G$5921,2,FALSE),0)</f>
        <v>0</v>
      </c>
      <c r="L333" s="2036">
        <f>IFERROR(VLOOKUP($B333,'[3]1002'!$B$6:$G$5921,4,FALSE),0)</f>
        <v>0</v>
      </c>
      <c r="M333" s="1763">
        <f t="shared" si="31"/>
        <v>0</v>
      </c>
      <c r="N333" s="2033">
        <f>IFERROR(VLOOKUP($B333,'[3]1003'!$B$6:$G$5921,2,FALSE),0)</f>
        <v>29500.92</v>
      </c>
      <c r="O333" s="2034">
        <f>IFERROR(VLOOKUP($B333,'[3]1003'!$B$6:$G$5921,4,FALSE),0)</f>
        <v>19</v>
      </c>
      <c r="P333" s="2033">
        <f t="shared" si="32"/>
        <v>1552.6799999999998</v>
      </c>
      <c r="Q333" s="1763">
        <f>IFERROR(VLOOKUP($B333,'[3]1004'!$B$6:$G$5921,2,FALSE),0)</f>
        <v>0</v>
      </c>
      <c r="R333" s="2036">
        <f>IFERROR(VLOOKUP($B333,'[3]1004'!$B$6:$G$5921,4,FALSE),0)</f>
        <v>0</v>
      </c>
      <c r="S333" s="1763">
        <f t="shared" si="33"/>
        <v>0</v>
      </c>
      <c r="T333" s="2033">
        <f>IFERROR(VLOOKUP($B333,'[3]1006'!$B$6:$G$5921,2,FALSE),0)</f>
        <v>0</v>
      </c>
      <c r="U333" s="2034">
        <f>IFERROR(VLOOKUP($B333,'[3]1006'!$B$6:$G$5921,4,FALSE),0)</f>
        <v>0</v>
      </c>
      <c r="V333" s="2033">
        <f t="shared" si="34"/>
        <v>0</v>
      </c>
      <c r="W333" s="2033">
        <f t="shared" si="35"/>
        <v>19</v>
      </c>
    </row>
    <row r="334" spans="2:23" x14ac:dyDescent="0.15">
      <c r="B334" s="2032">
        <v>59206</v>
      </c>
      <c r="C334" s="2032" t="s">
        <v>1877</v>
      </c>
      <c r="D334" s="2032" t="s">
        <v>1878</v>
      </c>
      <c r="E334" s="2032" t="s">
        <v>94</v>
      </c>
      <c r="F334" s="1288" t="s">
        <v>1300</v>
      </c>
      <c r="G334" s="1288" t="s">
        <v>1303</v>
      </c>
      <c r="H334" s="2033">
        <f>IFERROR(VLOOKUP($B334,'[3]1001'!$B$6:$G$5927,2,FALSE),0)</f>
        <v>210384.2</v>
      </c>
      <c r="I334" s="2034">
        <f>IFERROR(VLOOKUP($B334,'[3]1001'!$B$6:$G$5927,4,FALSE),0)</f>
        <v>260</v>
      </c>
      <c r="J334" s="2033">
        <f t="shared" si="30"/>
        <v>809.17000000000007</v>
      </c>
      <c r="K334" s="2035">
        <f>IFERROR(VLOOKUP($B334,'[3]1002'!$B$6:$G$5921,2,FALSE),0)</f>
        <v>103573.75999999999</v>
      </c>
      <c r="L334" s="2036">
        <f>IFERROR(VLOOKUP($B334,'[3]1002'!$B$6:$G$5921,4,FALSE),0)</f>
        <v>128</v>
      </c>
      <c r="M334" s="1763">
        <f t="shared" si="31"/>
        <v>809.17</v>
      </c>
      <c r="N334" s="2033">
        <f>IFERROR(VLOOKUP($B334,'[3]1003'!$B$6:$G$5921,2,FALSE),0)</f>
        <v>0</v>
      </c>
      <c r="O334" s="2034">
        <f>IFERROR(VLOOKUP($B334,'[3]1003'!$B$6:$G$5921,4,FALSE),0)</f>
        <v>0</v>
      </c>
      <c r="P334" s="2033">
        <f t="shared" si="32"/>
        <v>0</v>
      </c>
      <c r="Q334" s="1763">
        <f>IFERROR(VLOOKUP($B334,'[3]1004'!$B$6:$G$5921,2,FALSE),0)</f>
        <v>0</v>
      </c>
      <c r="R334" s="2036">
        <f>IFERROR(VLOOKUP($B334,'[3]1004'!$B$6:$G$5921,4,FALSE),0)</f>
        <v>0</v>
      </c>
      <c r="S334" s="1763">
        <f t="shared" si="33"/>
        <v>0</v>
      </c>
      <c r="T334" s="2033">
        <f>IFERROR(VLOOKUP($B334,'[3]1006'!$B$6:$G$5921,2,FALSE),0)</f>
        <v>0</v>
      </c>
      <c r="U334" s="2034">
        <f>IFERROR(VLOOKUP($B334,'[3]1006'!$B$6:$G$5921,4,FALSE),0)</f>
        <v>0</v>
      </c>
      <c r="V334" s="2033">
        <f t="shared" si="34"/>
        <v>0</v>
      </c>
      <c r="W334" s="2033">
        <f t="shared" si="35"/>
        <v>388</v>
      </c>
    </row>
    <row r="335" spans="2:23" x14ac:dyDescent="0.15">
      <c r="B335" s="2032">
        <v>59207</v>
      </c>
      <c r="C335" s="2032" t="s">
        <v>1879</v>
      </c>
      <c r="D335" s="2032" t="s">
        <v>1880</v>
      </c>
      <c r="E335" s="2032" t="s">
        <v>94</v>
      </c>
      <c r="F335" s="1288" t="s">
        <v>1300</v>
      </c>
      <c r="G335" s="1288" t="s">
        <v>1303</v>
      </c>
      <c r="H335" s="2033">
        <f>IFERROR(VLOOKUP($B335,'[3]1001'!$B$6:$G$5927,2,FALSE),0)</f>
        <v>29939.29</v>
      </c>
      <c r="I335" s="2034">
        <f>IFERROR(VLOOKUP($B335,'[3]1001'!$B$6:$G$5927,4,FALSE),0)</f>
        <v>37</v>
      </c>
      <c r="J335" s="2033">
        <f t="shared" si="30"/>
        <v>809.17000000000007</v>
      </c>
      <c r="K335" s="2035">
        <f>IFERROR(VLOOKUP($B335,'[3]1002'!$B$6:$G$5921,2,FALSE),0)</f>
        <v>0</v>
      </c>
      <c r="L335" s="2036">
        <f>IFERROR(VLOOKUP($B335,'[3]1002'!$B$6:$G$5921,4,FALSE),0)</f>
        <v>0</v>
      </c>
      <c r="M335" s="1763">
        <f t="shared" si="31"/>
        <v>0</v>
      </c>
      <c r="N335" s="2033">
        <f>IFERROR(VLOOKUP($B335,'[3]1003'!$B$6:$G$5921,2,FALSE),0)</f>
        <v>0</v>
      </c>
      <c r="O335" s="2034">
        <f>IFERROR(VLOOKUP($B335,'[3]1003'!$B$6:$G$5921,4,FALSE),0)</f>
        <v>0</v>
      </c>
      <c r="P335" s="2033">
        <f t="shared" si="32"/>
        <v>0</v>
      </c>
      <c r="Q335" s="1763">
        <f>IFERROR(VLOOKUP($B335,'[3]1004'!$B$6:$G$5921,2,FALSE),0)</f>
        <v>0</v>
      </c>
      <c r="R335" s="2036">
        <f>IFERROR(VLOOKUP($B335,'[3]1004'!$B$6:$G$5921,4,FALSE),0)</f>
        <v>0</v>
      </c>
      <c r="S335" s="1763">
        <f t="shared" si="33"/>
        <v>0</v>
      </c>
      <c r="T335" s="2033">
        <f>IFERROR(VLOOKUP($B335,'[3]1006'!$B$6:$G$5921,2,FALSE),0)</f>
        <v>0</v>
      </c>
      <c r="U335" s="2034">
        <f>IFERROR(VLOOKUP($B335,'[3]1006'!$B$6:$G$5921,4,FALSE),0)</f>
        <v>0</v>
      </c>
      <c r="V335" s="2033">
        <f t="shared" si="34"/>
        <v>0</v>
      </c>
      <c r="W335" s="2033">
        <f t="shared" si="35"/>
        <v>37</v>
      </c>
    </row>
    <row r="336" spans="2:23" x14ac:dyDescent="0.15">
      <c r="B336" s="2032">
        <v>10421</v>
      </c>
      <c r="C336" s="2032" t="s">
        <v>1881</v>
      </c>
      <c r="D336" s="2032" t="s">
        <v>1881</v>
      </c>
      <c r="E336" s="2032" t="s">
        <v>94</v>
      </c>
      <c r="F336" s="870" t="s">
        <v>1517</v>
      </c>
      <c r="G336" s="1288" t="s">
        <v>1303</v>
      </c>
      <c r="H336" s="2033">
        <f>IFERROR(VLOOKUP($B336,'[3]1001'!$B$6:$G$5927,2,FALSE),0)</f>
        <v>0</v>
      </c>
      <c r="I336" s="2034">
        <f>IFERROR(VLOOKUP($B336,'[3]1001'!$B$6:$G$5927,4,FALSE),0)</f>
        <v>0</v>
      </c>
      <c r="J336" s="2033">
        <f t="shared" si="30"/>
        <v>0</v>
      </c>
      <c r="K336" s="2035">
        <f>IFERROR(VLOOKUP($B336,'[3]1002'!$B$6:$G$5921,2,FALSE),0)</f>
        <v>200630.28</v>
      </c>
      <c r="L336" s="2036">
        <f>IFERROR(VLOOKUP($B336,'[3]1002'!$B$6:$G$5921,4,FALSE),0)</f>
        <v>37</v>
      </c>
      <c r="M336" s="1763">
        <f t="shared" si="31"/>
        <v>5422.44</v>
      </c>
      <c r="N336" s="2033">
        <f>IFERROR(VLOOKUP($B336,'[3]1003'!$B$6:$G$5921,2,FALSE),0)</f>
        <v>100813.71</v>
      </c>
      <c r="O336" s="2034">
        <f>IFERROR(VLOOKUP($B336,'[3]1003'!$B$6:$G$5921,4,FALSE),0)</f>
        <v>21</v>
      </c>
      <c r="P336" s="2033">
        <f t="shared" si="32"/>
        <v>4800.6528571428571</v>
      </c>
      <c r="Q336" s="1763">
        <f>IFERROR(VLOOKUP($B336,'[3]1004'!$B$6:$G$5921,2,FALSE),0)</f>
        <v>88650.2</v>
      </c>
      <c r="R336" s="2036">
        <f>IFERROR(VLOOKUP($B336,'[3]1004'!$B$6:$G$5921,4,FALSE),0)</f>
        <v>18</v>
      </c>
      <c r="S336" s="1763">
        <f t="shared" si="33"/>
        <v>4925.0111111111109</v>
      </c>
      <c r="T336" s="2033">
        <f>IFERROR(VLOOKUP($B336,'[3]1006'!$B$6:$G$5921,2,FALSE),0)</f>
        <v>0</v>
      </c>
      <c r="U336" s="2034">
        <f>IFERROR(VLOOKUP($B336,'[3]1006'!$B$6:$G$5921,4,FALSE),0)</f>
        <v>0</v>
      </c>
      <c r="V336" s="2033">
        <f t="shared" si="34"/>
        <v>0</v>
      </c>
      <c r="W336" s="2033">
        <f t="shared" si="35"/>
        <v>76</v>
      </c>
    </row>
    <row r="337" spans="2:23" x14ac:dyDescent="0.15">
      <c r="B337" s="2032">
        <v>40216</v>
      </c>
      <c r="C337" s="2032" t="s">
        <v>1882</v>
      </c>
      <c r="D337" s="2032" t="s">
        <v>1883</v>
      </c>
      <c r="E337" s="2032" t="s">
        <v>94</v>
      </c>
      <c r="F337" s="870" t="s">
        <v>1884</v>
      </c>
      <c r="G337" s="1288" t="s">
        <v>1303</v>
      </c>
      <c r="H337" s="2033">
        <f>IFERROR(VLOOKUP($B337,'[3]1001'!$B$6:$G$5927,2,FALSE),0)</f>
        <v>0</v>
      </c>
      <c r="I337" s="2034">
        <f>IFERROR(VLOOKUP($B337,'[3]1001'!$B$6:$G$5927,4,FALSE),0)</f>
        <v>0</v>
      </c>
      <c r="J337" s="2033">
        <f t="shared" si="30"/>
        <v>0</v>
      </c>
      <c r="K337" s="2035">
        <f>IFERROR(VLOOKUP($B337,'[3]1002'!$B$6:$G$5921,2,FALSE),0)</f>
        <v>419702.26</v>
      </c>
      <c r="L337" s="2036">
        <f>IFERROR(VLOOKUP($B337,'[3]1002'!$B$6:$G$5921,4,FALSE),0)</f>
        <v>57</v>
      </c>
      <c r="M337" s="1763">
        <f t="shared" si="31"/>
        <v>7363.1975438596492</v>
      </c>
      <c r="N337" s="2033">
        <f>IFERROR(VLOOKUP($B337,'[3]1003'!$B$6:$G$5921,2,FALSE),0)</f>
        <v>607767</v>
      </c>
      <c r="O337" s="2034">
        <f>IFERROR(VLOOKUP($B337,'[3]1003'!$B$6:$G$5921,4,FALSE),0)</f>
        <v>102</v>
      </c>
      <c r="P337" s="2033">
        <f t="shared" si="32"/>
        <v>5958.5</v>
      </c>
      <c r="Q337" s="1763">
        <f>IFERROR(VLOOKUP($B337,'[3]1004'!$B$6:$G$5921,2,FALSE),0)</f>
        <v>0</v>
      </c>
      <c r="R337" s="2036">
        <f>IFERROR(VLOOKUP($B337,'[3]1004'!$B$6:$G$5921,4,FALSE),0)</f>
        <v>0</v>
      </c>
      <c r="S337" s="1763">
        <f t="shared" si="33"/>
        <v>0</v>
      </c>
      <c r="T337" s="2033">
        <f>IFERROR(VLOOKUP($B337,'[3]1006'!$B$6:$G$5921,2,FALSE),0)</f>
        <v>0</v>
      </c>
      <c r="U337" s="2034">
        <f>IFERROR(VLOOKUP($B337,'[3]1006'!$B$6:$G$5921,4,FALSE),0)</f>
        <v>0</v>
      </c>
      <c r="V337" s="2033">
        <f t="shared" si="34"/>
        <v>0</v>
      </c>
      <c r="W337" s="2033">
        <f t="shared" si="35"/>
        <v>159</v>
      </c>
    </row>
    <row r="338" spans="2:23" x14ac:dyDescent="0.15">
      <c r="B338" s="2032">
        <v>10776</v>
      </c>
      <c r="C338" s="2032" t="s">
        <v>1885</v>
      </c>
      <c r="D338" s="2032" t="s">
        <v>1886</v>
      </c>
      <c r="E338" s="2032" t="s">
        <v>94</v>
      </c>
      <c r="F338" s="870" t="s">
        <v>1300</v>
      </c>
      <c r="G338" s="1288" t="s">
        <v>1303</v>
      </c>
      <c r="H338" s="2033">
        <f>IFERROR(VLOOKUP($B338,'[3]1001'!$B$6:$G$5927,2,FALSE),0)</f>
        <v>0</v>
      </c>
      <c r="I338" s="2034">
        <f>IFERROR(VLOOKUP($B338,'[3]1001'!$B$6:$G$5927,4,FALSE),0)</f>
        <v>0</v>
      </c>
      <c r="J338" s="2033">
        <f t="shared" si="30"/>
        <v>0</v>
      </c>
      <c r="K338" s="2035">
        <f>IFERROR(VLOOKUP($B338,'[3]1002'!$B$6:$G$5921,2,FALSE),0)</f>
        <v>50301.39</v>
      </c>
      <c r="L338" s="2036">
        <f>IFERROR(VLOOKUP($B338,'[3]1002'!$B$6:$G$5921,4,FALSE),0)</f>
        <v>3</v>
      </c>
      <c r="M338" s="1763">
        <f t="shared" si="31"/>
        <v>16767.13</v>
      </c>
      <c r="N338" s="2033">
        <f>IFERROR(VLOOKUP($B338,'[3]1003'!$B$6:$G$5921,2,FALSE),0)</f>
        <v>0</v>
      </c>
      <c r="O338" s="2034">
        <f>IFERROR(VLOOKUP($B338,'[3]1003'!$B$6:$G$5921,4,FALSE),0)</f>
        <v>0</v>
      </c>
      <c r="P338" s="2033">
        <f t="shared" si="32"/>
        <v>0</v>
      </c>
      <c r="Q338" s="1763">
        <f>IFERROR(VLOOKUP($B338,'[3]1004'!$B$6:$G$5921,2,FALSE),0)</f>
        <v>0</v>
      </c>
      <c r="R338" s="2036">
        <f>IFERROR(VLOOKUP($B338,'[3]1004'!$B$6:$G$5921,4,FALSE),0)</f>
        <v>0</v>
      </c>
      <c r="S338" s="1763">
        <f t="shared" si="33"/>
        <v>0</v>
      </c>
      <c r="T338" s="2033">
        <f>IFERROR(VLOOKUP($B338,'[3]1006'!$B$6:$G$5921,2,FALSE),0)</f>
        <v>0</v>
      </c>
      <c r="U338" s="2034">
        <f>IFERROR(VLOOKUP($B338,'[3]1006'!$B$6:$G$5921,4,FALSE),0)</f>
        <v>0</v>
      </c>
      <c r="V338" s="2033">
        <f t="shared" si="34"/>
        <v>0</v>
      </c>
      <c r="W338" s="2033">
        <f t="shared" si="35"/>
        <v>3</v>
      </c>
    </row>
    <row r="339" spans="2:23" x14ac:dyDescent="0.15">
      <c r="B339" s="2032">
        <v>59666</v>
      </c>
      <c r="C339" s="2032" t="s">
        <v>1887</v>
      </c>
      <c r="D339" s="2032" t="s">
        <v>1888</v>
      </c>
      <c r="E339" s="2032" t="s">
        <v>94</v>
      </c>
      <c r="F339" s="870" t="s">
        <v>1810</v>
      </c>
      <c r="G339" s="1288" t="s">
        <v>1303</v>
      </c>
      <c r="H339" s="2033">
        <f>IFERROR(VLOOKUP($B339,'[3]1001'!$B$6:$G$5927,2,FALSE),0)</f>
        <v>0</v>
      </c>
      <c r="I339" s="2034">
        <f>IFERROR(VLOOKUP($B339,'[3]1001'!$B$6:$G$5927,4,FALSE),0)</f>
        <v>0</v>
      </c>
      <c r="J339" s="2033">
        <f t="shared" si="30"/>
        <v>0</v>
      </c>
      <c r="K339" s="2035">
        <f>IFERROR(VLOOKUP($B339,'[3]1002'!$B$6:$G$5921,2,FALSE),0)</f>
        <v>0</v>
      </c>
      <c r="L339" s="2036">
        <f>IFERROR(VLOOKUP($B339,'[3]1002'!$B$6:$G$5921,4,FALSE),0)</f>
        <v>0</v>
      </c>
      <c r="M339" s="1763">
        <f t="shared" si="31"/>
        <v>0</v>
      </c>
      <c r="N339" s="2033">
        <f>IFERROR(VLOOKUP($B339,'[3]1003'!$B$6:$G$5921,2,FALSE),0)</f>
        <v>0</v>
      </c>
      <c r="O339" s="2034">
        <f>IFERROR(VLOOKUP($B339,'[3]1003'!$B$6:$G$5921,4,FALSE),0)</f>
        <v>0</v>
      </c>
      <c r="P339" s="2033">
        <f t="shared" si="32"/>
        <v>0</v>
      </c>
      <c r="Q339" s="1763">
        <f>IFERROR(VLOOKUP($B339,'[3]1004'!$B$6:$G$5921,2,FALSE),0)</f>
        <v>0</v>
      </c>
      <c r="R339" s="2036">
        <f>IFERROR(VLOOKUP($B339,'[3]1004'!$B$6:$G$5921,4,FALSE),0)</f>
        <v>0</v>
      </c>
      <c r="S339" s="1763">
        <f t="shared" si="33"/>
        <v>0</v>
      </c>
      <c r="T339" s="2033">
        <f>IFERROR(VLOOKUP($B339,'[3]1006'!$B$6:$G$5921,2,FALSE),0)</f>
        <v>0</v>
      </c>
      <c r="U339" s="2034">
        <f>IFERROR(VLOOKUP($B339,'[3]1006'!$B$6:$G$5921,4,FALSE),0)</f>
        <v>0</v>
      </c>
      <c r="V339" s="2033">
        <f t="shared" si="34"/>
        <v>0</v>
      </c>
      <c r="W339" s="2033">
        <f t="shared" si="35"/>
        <v>0</v>
      </c>
    </row>
    <row r="340" spans="2:23" x14ac:dyDescent="0.15">
      <c r="B340" s="2032">
        <v>65406</v>
      </c>
      <c r="C340" s="2032" t="s">
        <v>1889</v>
      </c>
      <c r="D340" s="2032" t="s">
        <v>1890</v>
      </c>
      <c r="E340" s="2032" t="s">
        <v>94</v>
      </c>
      <c r="F340" s="2039" t="s">
        <v>1337</v>
      </c>
      <c r="G340" s="2039" t="s">
        <v>1303</v>
      </c>
      <c r="H340" s="2033">
        <f>IFERROR(VLOOKUP($B340,'[3]1001'!$B$6:$G$5927,2,FALSE),0)</f>
        <v>0</v>
      </c>
      <c r="I340" s="2034">
        <f>IFERROR(VLOOKUP($B340,'[3]1001'!$B$6:$G$5927,4,FALSE),0)</f>
        <v>0</v>
      </c>
      <c r="J340" s="2033">
        <f t="shared" si="30"/>
        <v>0</v>
      </c>
      <c r="K340" s="2035">
        <f>IFERROR(VLOOKUP($B340,'[3]1002'!$B$6:$G$5921,2,FALSE),0)</f>
        <v>0</v>
      </c>
      <c r="L340" s="2036">
        <f>IFERROR(VLOOKUP($B340,'[3]1002'!$B$6:$G$5921,4,FALSE),0)</f>
        <v>0</v>
      </c>
      <c r="M340" s="1763">
        <f t="shared" si="31"/>
        <v>0</v>
      </c>
      <c r="N340" s="2033">
        <f>IFERROR(VLOOKUP($B340,'[3]1003'!$B$6:$G$5921,2,FALSE),0)</f>
        <v>0</v>
      </c>
      <c r="O340" s="2034">
        <f>IFERROR(VLOOKUP($B340,'[3]1003'!$B$6:$G$5921,4,FALSE),0)</f>
        <v>0</v>
      </c>
      <c r="P340" s="2033">
        <f t="shared" si="32"/>
        <v>0</v>
      </c>
      <c r="Q340" s="1763">
        <f>IFERROR(VLOOKUP($B340,'[3]1004'!$B$6:$G$5921,2,FALSE),0)</f>
        <v>0</v>
      </c>
      <c r="R340" s="2036">
        <f>IFERROR(VLOOKUP($B340,'[3]1004'!$B$6:$G$5921,4,FALSE),0)</f>
        <v>0</v>
      </c>
      <c r="S340" s="1763">
        <f t="shared" si="33"/>
        <v>0</v>
      </c>
      <c r="T340" s="2033">
        <f>IFERROR(VLOOKUP($B340,'[3]1006'!$B$6:$G$5921,2,FALSE),0)</f>
        <v>0</v>
      </c>
      <c r="U340" s="2034">
        <f>IFERROR(VLOOKUP($B340,'[3]1006'!$B$6:$G$5921,4,FALSE),0)</f>
        <v>0</v>
      </c>
      <c r="V340" s="2033">
        <f t="shared" si="34"/>
        <v>0</v>
      </c>
      <c r="W340" s="2033">
        <f t="shared" si="35"/>
        <v>0</v>
      </c>
    </row>
    <row r="341" spans="2:23" x14ac:dyDescent="0.15">
      <c r="B341" s="2032">
        <v>110874</v>
      </c>
      <c r="C341" s="2032" t="s">
        <v>1891</v>
      </c>
      <c r="D341" s="2032" t="s">
        <v>1891</v>
      </c>
      <c r="E341" s="2032" t="s">
        <v>94</v>
      </c>
      <c r="F341" s="870" t="s">
        <v>1892</v>
      </c>
      <c r="G341" s="1288" t="s">
        <v>1296</v>
      </c>
      <c r="H341" s="2033">
        <f>IFERROR(VLOOKUP($B341,'[3]1001'!$B$6:$G$5927,2,FALSE),0)</f>
        <v>0</v>
      </c>
      <c r="I341" s="2034">
        <f>IFERROR(VLOOKUP($B341,'[3]1001'!$B$6:$G$5927,4,FALSE),0)</f>
        <v>0</v>
      </c>
      <c r="J341" s="2033">
        <f t="shared" si="30"/>
        <v>0</v>
      </c>
      <c r="K341" s="2035">
        <f>IFERROR(VLOOKUP($B341,'[3]1002'!$B$6:$G$5921,2,FALSE),0)</f>
        <v>0</v>
      </c>
      <c r="L341" s="2036">
        <f>IFERROR(VLOOKUP($B341,'[3]1002'!$B$6:$G$5921,4,FALSE),0)</f>
        <v>0</v>
      </c>
      <c r="M341" s="1763">
        <f t="shared" si="31"/>
        <v>0</v>
      </c>
      <c r="N341" s="2033">
        <f>IFERROR(VLOOKUP($B341,'[3]1003'!$B$6:$G$5921,2,FALSE),0)</f>
        <v>0</v>
      </c>
      <c r="O341" s="2034">
        <f>IFERROR(VLOOKUP($B341,'[3]1003'!$B$6:$G$5921,4,FALSE),0)</f>
        <v>0</v>
      </c>
      <c r="P341" s="2033">
        <f t="shared" si="32"/>
        <v>0</v>
      </c>
      <c r="Q341" s="1763">
        <f>IFERROR(VLOOKUP($B341,'[3]1004'!$B$6:$G$5921,2,FALSE),0)</f>
        <v>0</v>
      </c>
      <c r="R341" s="2036">
        <f>IFERROR(VLOOKUP($B341,'[3]1004'!$B$6:$G$5921,4,FALSE),0)</f>
        <v>0</v>
      </c>
      <c r="S341" s="1763">
        <f t="shared" si="33"/>
        <v>0</v>
      </c>
      <c r="T341" s="2033">
        <f>IFERROR(VLOOKUP($B341,'[3]1006'!$B$6:$G$5921,2,FALSE),0)</f>
        <v>0</v>
      </c>
      <c r="U341" s="2034">
        <f>IFERROR(VLOOKUP($B341,'[3]1006'!$B$6:$G$5921,4,FALSE),0)</f>
        <v>0</v>
      </c>
      <c r="V341" s="2033">
        <f t="shared" si="34"/>
        <v>0</v>
      </c>
      <c r="W341" s="2033">
        <f t="shared" si="35"/>
        <v>0</v>
      </c>
    </row>
    <row r="342" spans="2:23" x14ac:dyDescent="0.15">
      <c r="B342" s="2032">
        <v>10569</v>
      </c>
      <c r="C342" s="2032" t="s">
        <v>1893</v>
      </c>
      <c r="D342" s="2032" t="s">
        <v>1894</v>
      </c>
      <c r="E342" s="2032" t="s">
        <v>94</v>
      </c>
      <c r="F342" s="2039" t="s">
        <v>1337</v>
      </c>
      <c r="G342" s="2039" t="s">
        <v>1303</v>
      </c>
      <c r="H342" s="2033">
        <f>IFERROR(VLOOKUP($B342,'[3]1001'!$B$6:$G$5927,2,FALSE),0)</f>
        <v>0</v>
      </c>
      <c r="I342" s="2034">
        <f>IFERROR(VLOOKUP($B342,'[3]1001'!$B$6:$G$5927,4,FALSE),0)</f>
        <v>0</v>
      </c>
      <c r="J342" s="2033">
        <f t="shared" si="30"/>
        <v>0</v>
      </c>
      <c r="K342" s="2035">
        <f>IFERROR(VLOOKUP($B342,'[3]1002'!$B$6:$G$5921,2,FALSE),0)</f>
        <v>0</v>
      </c>
      <c r="L342" s="2036">
        <f>IFERROR(VLOOKUP($B342,'[3]1002'!$B$6:$G$5921,4,FALSE),0)</f>
        <v>0</v>
      </c>
      <c r="M342" s="1763">
        <f t="shared" si="31"/>
        <v>0</v>
      </c>
      <c r="N342" s="2033">
        <f>IFERROR(VLOOKUP($B342,'[3]1003'!$B$6:$G$5921,2,FALSE),0)</f>
        <v>0</v>
      </c>
      <c r="O342" s="2034">
        <f>IFERROR(VLOOKUP($B342,'[3]1003'!$B$6:$G$5921,4,FALSE),0)</f>
        <v>0</v>
      </c>
      <c r="P342" s="2033">
        <f t="shared" si="32"/>
        <v>0</v>
      </c>
      <c r="Q342" s="1763">
        <f>IFERROR(VLOOKUP($B342,'[3]1004'!$B$6:$G$5921,2,FALSE),0)</f>
        <v>0</v>
      </c>
      <c r="R342" s="2036">
        <f>IFERROR(VLOOKUP($B342,'[3]1004'!$B$6:$G$5921,4,FALSE),0)</f>
        <v>0</v>
      </c>
      <c r="S342" s="1763">
        <f t="shared" si="33"/>
        <v>0</v>
      </c>
      <c r="T342" s="2033">
        <f>IFERROR(VLOOKUP($B342,'[3]1006'!$B$6:$G$5921,2,FALSE),0)</f>
        <v>0</v>
      </c>
      <c r="U342" s="2034">
        <f>IFERROR(VLOOKUP($B342,'[3]1006'!$B$6:$G$5921,4,FALSE),0)</f>
        <v>0</v>
      </c>
      <c r="V342" s="2033">
        <f t="shared" si="34"/>
        <v>0</v>
      </c>
      <c r="W342" s="2033">
        <f t="shared" si="35"/>
        <v>0</v>
      </c>
    </row>
    <row r="343" spans="2:23" x14ac:dyDescent="0.15">
      <c r="B343" s="2032">
        <v>10567</v>
      </c>
      <c r="C343" s="2032" t="s">
        <v>1895</v>
      </c>
      <c r="D343" s="2032" t="s">
        <v>1895</v>
      </c>
      <c r="E343" s="2032" t="s">
        <v>94</v>
      </c>
      <c r="F343" s="870" t="s">
        <v>1461</v>
      </c>
      <c r="G343" s="1288" t="s">
        <v>1303</v>
      </c>
      <c r="H343" s="2033">
        <f>IFERROR(VLOOKUP($B343,'[3]1001'!$B$6:$G$5927,2,FALSE),0)</f>
        <v>0</v>
      </c>
      <c r="I343" s="2034">
        <f>IFERROR(VLOOKUP($B343,'[3]1001'!$B$6:$G$5927,4,FALSE),0)</f>
        <v>0</v>
      </c>
      <c r="J343" s="2033">
        <f t="shared" si="30"/>
        <v>0</v>
      </c>
      <c r="K343" s="2035">
        <f>IFERROR(VLOOKUP($B343,'[3]1002'!$B$6:$G$5921,2,FALSE),0)</f>
        <v>1056832</v>
      </c>
      <c r="L343" s="2036">
        <f>IFERROR(VLOOKUP($B343,'[3]1002'!$B$6:$G$5921,4,FALSE),0)</f>
        <v>320</v>
      </c>
      <c r="M343" s="1763">
        <f t="shared" si="31"/>
        <v>3302.6</v>
      </c>
      <c r="N343" s="2033">
        <f>IFERROR(VLOOKUP($B343,'[3]1003'!$B$6:$G$5921,2,FALSE),0)</f>
        <v>0</v>
      </c>
      <c r="O343" s="2034">
        <f>IFERROR(VLOOKUP($B343,'[3]1003'!$B$6:$G$5921,4,FALSE),0)</f>
        <v>0</v>
      </c>
      <c r="P343" s="2033">
        <f t="shared" si="32"/>
        <v>0</v>
      </c>
      <c r="Q343" s="1763">
        <f>IFERROR(VLOOKUP($B343,'[3]1004'!$B$6:$G$5921,2,FALSE),0)</f>
        <v>0</v>
      </c>
      <c r="R343" s="2036">
        <f>IFERROR(VLOOKUP($B343,'[3]1004'!$B$6:$G$5921,4,FALSE),0)</f>
        <v>0</v>
      </c>
      <c r="S343" s="1763">
        <f t="shared" si="33"/>
        <v>0</v>
      </c>
      <c r="T343" s="2033">
        <f>IFERROR(VLOOKUP($B343,'[3]1006'!$B$6:$G$5921,2,FALSE),0)</f>
        <v>0</v>
      </c>
      <c r="U343" s="2034">
        <f>IFERROR(VLOOKUP($B343,'[3]1006'!$B$6:$G$5921,4,FALSE),0)</f>
        <v>0</v>
      </c>
      <c r="V343" s="2033">
        <f t="shared" si="34"/>
        <v>0</v>
      </c>
      <c r="W343" s="2033">
        <f t="shared" si="35"/>
        <v>320</v>
      </c>
    </row>
    <row r="344" spans="2:23" x14ac:dyDescent="0.15">
      <c r="B344" s="2032">
        <v>62804</v>
      </c>
      <c r="C344" s="2032" t="s">
        <v>1896</v>
      </c>
      <c r="D344" s="2032" t="s">
        <v>1897</v>
      </c>
      <c r="E344" s="2032" t="s">
        <v>94</v>
      </c>
      <c r="F344" s="870" t="s">
        <v>1346</v>
      </c>
      <c r="G344" s="1288" t="s">
        <v>1303</v>
      </c>
      <c r="H344" s="2033">
        <f>IFERROR(VLOOKUP($B344,'[3]1001'!$B$6:$G$5927,2,FALSE),0)</f>
        <v>0</v>
      </c>
      <c r="I344" s="2034">
        <f>IFERROR(VLOOKUP($B344,'[3]1001'!$B$6:$G$5927,4,FALSE),0)</f>
        <v>0</v>
      </c>
      <c r="J344" s="2033">
        <f t="shared" si="30"/>
        <v>0</v>
      </c>
      <c r="K344" s="2035">
        <f>IFERROR(VLOOKUP($B344,'[3]1002'!$B$6:$G$5921,2,FALSE),0)</f>
        <v>0</v>
      </c>
      <c r="L344" s="2036">
        <f>IFERROR(VLOOKUP($B344,'[3]1002'!$B$6:$G$5921,4,FALSE),0)</f>
        <v>0</v>
      </c>
      <c r="M344" s="1763">
        <f t="shared" si="31"/>
        <v>0</v>
      </c>
      <c r="N344" s="2033">
        <f>IFERROR(VLOOKUP($B344,'[3]1003'!$B$6:$G$5921,2,FALSE),0)</f>
        <v>0</v>
      </c>
      <c r="O344" s="2034">
        <f>IFERROR(VLOOKUP($B344,'[3]1003'!$B$6:$G$5921,4,FALSE),0)</f>
        <v>0</v>
      </c>
      <c r="P344" s="2033">
        <f t="shared" si="32"/>
        <v>0</v>
      </c>
      <c r="Q344" s="1763">
        <f>IFERROR(VLOOKUP($B344,'[3]1004'!$B$6:$G$5921,2,FALSE),0)</f>
        <v>0</v>
      </c>
      <c r="R344" s="2036">
        <f>IFERROR(VLOOKUP($B344,'[3]1004'!$B$6:$G$5921,4,FALSE),0)</f>
        <v>0</v>
      </c>
      <c r="S344" s="1763">
        <f t="shared" si="33"/>
        <v>0</v>
      </c>
      <c r="T344" s="2033">
        <f>IFERROR(VLOOKUP($B344,'[3]1006'!$B$6:$G$5921,2,FALSE),0)</f>
        <v>0</v>
      </c>
      <c r="U344" s="2034">
        <f>IFERROR(VLOOKUP($B344,'[3]1006'!$B$6:$G$5921,4,FALSE),0)</f>
        <v>0</v>
      </c>
      <c r="V344" s="2033">
        <f t="shared" si="34"/>
        <v>0</v>
      </c>
      <c r="W344" s="2033">
        <f t="shared" si="35"/>
        <v>0</v>
      </c>
    </row>
    <row r="345" spans="2:23" x14ac:dyDescent="0.15">
      <c r="B345" s="2032">
        <v>62827</v>
      </c>
      <c r="C345" s="2032" t="s">
        <v>1898</v>
      </c>
      <c r="D345" s="2032" t="s">
        <v>1899</v>
      </c>
      <c r="E345" s="2032" t="s">
        <v>94</v>
      </c>
      <c r="F345" s="2039" t="s">
        <v>1337</v>
      </c>
      <c r="G345" s="2039" t="s">
        <v>1303</v>
      </c>
      <c r="H345" s="2033">
        <f>IFERROR(VLOOKUP($B345,'[3]1001'!$B$6:$G$5927,2,FALSE),0)</f>
        <v>0</v>
      </c>
      <c r="I345" s="2034">
        <f>IFERROR(VLOOKUP($B345,'[3]1001'!$B$6:$G$5927,4,FALSE),0)</f>
        <v>0</v>
      </c>
      <c r="J345" s="2033">
        <f t="shared" si="30"/>
        <v>0</v>
      </c>
      <c r="K345" s="2035">
        <f>IFERROR(VLOOKUP($B345,'[3]1002'!$B$6:$G$5921,2,FALSE),0)</f>
        <v>0</v>
      </c>
      <c r="L345" s="2036">
        <f>IFERROR(VLOOKUP($B345,'[3]1002'!$B$6:$G$5921,4,FALSE),0)</f>
        <v>0</v>
      </c>
      <c r="M345" s="1763">
        <f t="shared" si="31"/>
        <v>0</v>
      </c>
      <c r="N345" s="2033">
        <f>IFERROR(VLOOKUP($B345,'[3]1003'!$B$6:$G$5921,2,FALSE),0)</f>
        <v>0</v>
      </c>
      <c r="O345" s="2034">
        <f>IFERROR(VLOOKUP($B345,'[3]1003'!$B$6:$G$5921,4,FALSE),0)</f>
        <v>0</v>
      </c>
      <c r="P345" s="2033">
        <f t="shared" si="32"/>
        <v>0</v>
      </c>
      <c r="Q345" s="1763">
        <f>IFERROR(VLOOKUP($B345,'[3]1004'!$B$6:$G$5921,2,FALSE),0)</f>
        <v>0</v>
      </c>
      <c r="R345" s="2036">
        <f>IFERROR(VLOOKUP($B345,'[3]1004'!$B$6:$G$5921,4,FALSE),0)</f>
        <v>0</v>
      </c>
      <c r="S345" s="1763">
        <f t="shared" si="33"/>
        <v>0</v>
      </c>
      <c r="T345" s="2033">
        <f>IFERROR(VLOOKUP($B345,'[3]1006'!$B$6:$G$5921,2,FALSE),0)</f>
        <v>0</v>
      </c>
      <c r="U345" s="2034">
        <f>IFERROR(VLOOKUP($B345,'[3]1006'!$B$6:$G$5921,4,FALSE),0)</f>
        <v>0</v>
      </c>
      <c r="V345" s="2033">
        <f t="shared" si="34"/>
        <v>0</v>
      </c>
      <c r="W345" s="2033">
        <f t="shared" si="35"/>
        <v>0</v>
      </c>
    </row>
    <row r="346" spans="2:23" x14ac:dyDescent="0.15">
      <c r="B346" s="2032">
        <v>41279</v>
      </c>
      <c r="C346" s="2032" t="s">
        <v>1900</v>
      </c>
      <c r="D346" s="2032" t="s">
        <v>1901</v>
      </c>
      <c r="E346" s="2032" t="s">
        <v>94</v>
      </c>
      <c r="F346" s="870" t="s">
        <v>1300</v>
      </c>
      <c r="G346" s="1288" t="s">
        <v>1303</v>
      </c>
      <c r="H346" s="2033">
        <f>IFERROR(VLOOKUP($B346,'[3]1001'!$B$6:$G$5927,2,FALSE),0)</f>
        <v>0</v>
      </c>
      <c r="I346" s="2034">
        <f>IFERROR(VLOOKUP($B346,'[3]1001'!$B$6:$G$5927,4,FALSE),0)</f>
        <v>0</v>
      </c>
      <c r="J346" s="2033">
        <f t="shared" si="30"/>
        <v>0</v>
      </c>
      <c r="K346" s="2035">
        <f>IFERROR(VLOOKUP($B346,'[3]1002'!$B$6:$G$5921,2,FALSE),0)</f>
        <v>0</v>
      </c>
      <c r="L346" s="2036">
        <f>IFERROR(VLOOKUP($B346,'[3]1002'!$B$6:$G$5921,4,FALSE),0)</f>
        <v>0</v>
      </c>
      <c r="M346" s="1763">
        <f t="shared" si="31"/>
        <v>0</v>
      </c>
      <c r="N346" s="2033">
        <f>IFERROR(VLOOKUP($B346,'[3]1003'!$B$6:$G$5921,2,FALSE),0)</f>
        <v>135517.29</v>
      </c>
      <c r="O346" s="2034">
        <f>IFERROR(VLOOKUP($B346,'[3]1003'!$B$6:$G$5921,4,FALSE),0)</f>
        <v>159</v>
      </c>
      <c r="P346" s="2033">
        <f t="shared" si="32"/>
        <v>852.31000000000006</v>
      </c>
      <c r="Q346" s="1763">
        <f>IFERROR(VLOOKUP($B346,'[3]1004'!$B$6:$G$5921,2,FALSE),0)</f>
        <v>0</v>
      </c>
      <c r="R346" s="2036">
        <f>IFERROR(VLOOKUP($B346,'[3]1004'!$B$6:$G$5921,4,FALSE),0)</f>
        <v>0</v>
      </c>
      <c r="S346" s="1763">
        <f t="shared" si="33"/>
        <v>0</v>
      </c>
      <c r="T346" s="2033">
        <f>IFERROR(VLOOKUP($B346,'[3]1006'!$B$6:$G$5921,2,FALSE),0)</f>
        <v>98680.04</v>
      </c>
      <c r="U346" s="2034">
        <f>IFERROR(VLOOKUP($B346,'[3]1006'!$B$6:$G$5921,4,FALSE),0)</f>
        <v>116</v>
      </c>
      <c r="V346" s="2033">
        <f t="shared" si="34"/>
        <v>850.68999999999994</v>
      </c>
      <c r="W346" s="2033">
        <f t="shared" si="35"/>
        <v>275</v>
      </c>
    </row>
    <row r="347" spans="2:23" x14ac:dyDescent="0.15">
      <c r="B347" s="2032">
        <v>41280</v>
      </c>
      <c r="C347" s="2032" t="s">
        <v>1902</v>
      </c>
      <c r="D347" s="2032" t="s">
        <v>1903</v>
      </c>
      <c r="E347" s="2032" t="s">
        <v>94</v>
      </c>
      <c r="F347" s="2039" t="s">
        <v>1337</v>
      </c>
      <c r="G347" s="2039" t="s">
        <v>1303</v>
      </c>
      <c r="H347" s="2033">
        <f>IFERROR(VLOOKUP($B347,'[3]1001'!$B$6:$G$5927,2,FALSE),0)</f>
        <v>0</v>
      </c>
      <c r="I347" s="2034">
        <f>IFERROR(VLOOKUP($B347,'[3]1001'!$B$6:$G$5927,4,FALSE),0)</f>
        <v>0</v>
      </c>
      <c r="J347" s="2033">
        <f t="shared" si="30"/>
        <v>0</v>
      </c>
      <c r="K347" s="2035">
        <f>IFERROR(VLOOKUP($B347,'[3]1002'!$B$6:$G$5921,2,FALSE),0)</f>
        <v>944496</v>
      </c>
      <c r="L347" s="2036">
        <f>IFERROR(VLOOKUP($B347,'[3]1002'!$B$6:$G$5921,4,FALSE),0)</f>
        <v>960</v>
      </c>
      <c r="M347" s="1763">
        <f t="shared" si="31"/>
        <v>983.85</v>
      </c>
      <c r="N347" s="2033">
        <f>IFERROR(VLOOKUP($B347,'[3]1003'!$B$6:$G$5921,2,FALSE),0)</f>
        <v>0</v>
      </c>
      <c r="O347" s="2034">
        <f>IFERROR(VLOOKUP($B347,'[3]1003'!$B$6:$G$5921,4,FALSE),0)</f>
        <v>0</v>
      </c>
      <c r="P347" s="2033">
        <f t="shared" si="32"/>
        <v>0</v>
      </c>
      <c r="Q347" s="1763">
        <f>IFERROR(VLOOKUP($B347,'[3]1004'!$B$6:$G$5921,2,FALSE),0)</f>
        <v>105403.65</v>
      </c>
      <c r="R347" s="2036">
        <f>IFERROR(VLOOKUP($B347,'[3]1004'!$B$6:$G$5921,4,FALSE),0)</f>
        <v>110</v>
      </c>
      <c r="S347" s="1763">
        <f t="shared" si="33"/>
        <v>958.21499999999992</v>
      </c>
      <c r="T347" s="2033">
        <f>IFERROR(VLOOKUP($B347,'[3]1006'!$B$6:$G$5921,2,FALSE),0)</f>
        <v>708372</v>
      </c>
      <c r="U347" s="2034">
        <f>IFERROR(VLOOKUP($B347,'[3]1006'!$B$6:$G$5921,4,FALSE),0)</f>
        <v>720</v>
      </c>
      <c r="V347" s="2033">
        <f t="shared" si="34"/>
        <v>983.85</v>
      </c>
      <c r="W347" s="2033">
        <f t="shared" si="35"/>
        <v>1790</v>
      </c>
    </row>
    <row r="348" spans="2:23" x14ac:dyDescent="0.15">
      <c r="B348" s="1288">
        <v>64683</v>
      </c>
      <c r="C348" s="1288" t="s">
        <v>1904</v>
      </c>
      <c r="D348" s="1288"/>
      <c r="E348" s="1288" t="s">
        <v>94</v>
      </c>
      <c r="F348" s="1288" t="s">
        <v>1300</v>
      </c>
      <c r="G348" s="1288" t="s">
        <v>1303</v>
      </c>
      <c r="H348" s="2033">
        <f>IFERROR(VLOOKUP($B348,'[3]1001'!$B$6:$G$5927,2,FALSE),0)</f>
        <v>0</v>
      </c>
      <c r="I348" s="2034">
        <f>IFERROR(VLOOKUP($B348,'[3]1001'!$B$6:$G$5927,4,FALSE),0)</f>
        <v>0</v>
      </c>
      <c r="J348" s="2033">
        <f t="shared" si="30"/>
        <v>0</v>
      </c>
      <c r="K348" s="2035">
        <f>IFERROR(VLOOKUP($B348,'[3]1002'!$B$6:$G$5921,2,FALSE),0)</f>
        <v>0</v>
      </c>
      <c r="L348" s="2036">
        <f>IFERROR(VLOOKUP($B348,'[3]1002'!$B$6:$G$5921,4,FALSE),0)</f>
        <v>0</v>
      </c>
      <c r="M348" s="1763">
        <f t="shared" si="31"/>
        <v>0</v>
      </c>
      <c r="N348" s="2033">
        <f>IFERROR(VLOOKUP($B348,'[3]1003'!$B$6:$G$5921,2,FALSE),0)</f>
        <v>0</v>
      </c>
      <c r="O348" s="2034">
        <f>IFERROR(VLOOKUP($B348,'[3]1003'!$B$6:$G$5921,4,FALSE),0)</f>
        <v>0</v>
      </c>
      <c r="P348" s="2033">
        <f t="shared" si="32"/>
        <v>0</v>
      </c>
      <c r="Q348" s="1763">
        <f>IFERROR(VLOOKUP($B348,'[3]1004'!$B$6:$G$5921,2,FALSE),0)</f>
        <v>0</v>
      </c>
      <c r="R348" s="2036">
        <f>IFERROR(VLOOKUP($B348,'[3]1004'!$B$6:$G$5921,4,FALSE),0)</f>
        <v>0</v>
      </c>
      <c r="S348" s="1763">
        <f t="shared" si="33"/>
        <v>0</v>
      </c>
      <c r="T348" s="2033">
        <f>IFERROR(VLOOKUP($B348,'[3]1006'!$B$6:$G$5921,2,FALSE),0)</f>
        <v>0</v>
      </c>
      <c r="U348" s="2034">
        <f>IFERROR(VLOOKUP($B348,'[3]1006'!$B$6:$G$5921,4,FALSE),0)</f>
        <v>0</v>
      </c>
      <c r="V348" s="2033">
        <f t="shared" si="34"/>
        <v>0</v>
      </c>
      <c r="W348" s="2033">
        <f t="shared" si="35"/>
        <v>0</v>
      </c>
    </row>
    <row r="349" spans="2:23" x14ac:dyDescent="0.15">
      <c r="B349" s="2032">
        <v>110497</v>
      </c>
      <c r="C349" s="2032" t="s">
        <v>1905</v>
      </c>
      <c r="D349" s="2032" t="s">
        <v>1906</v>
      </c>
      <c r="E349" s="2032" t="s">
        <v>94</v>
      </c>
      <c r="F349" s="2039" t="s">
        <v>1337</v>
      </c>
      <c r="G349" s="2039" t="s">
        <v>1303</v>
      </c>
      <c r="H349" s="2033">
        <f>IFERROR(VLOOKUP($B349,'[3]1001'!$B$6:$G$5927,2,FALSE),0)</f>
        <v>0</v>
      </c>
      <c r="I349" s="2034">
        <f>IFERROR(VLOOKUP($B349,'[3]1001'!$B$6:$G$5927,4,FALSE),0)</f>
        <v>0</v>
      </c>
      <c r="J349" s="2033">
        <f t="shared" si="30"/>
        <v>0</v>
      </c>
      <c r="K349" s="2035">
        <f>IFERROR(VLOOKUP($B349,'[3]1002'!$B$6:$G$5921,2,FALSE),0)</f>
        <v>0</v>
      </c>
      <c r="L349" s="2036">
        <f>IFERROR(VLOOKUP($B349,'[3]1002'!$B$6:$G$5921,4,FALSE),0)</f>
        <v>0</v>
      </c>
      <c r="M349" s="1763">
        <f t="shared" si="31"/>
        <v>0</v>
      </c>
      <c r="N349" s="2033">
        <f>IFERROR(VLOOKUP($B349,'[3]1003'!$B$6:$G$5921,2,FALSE),0)</f>
        <v>0</v>
      </c>
      <c r="O349" s="2034">
        <f>IFERROR(VLOOKUP($B349,'[3]1003'!$B$6:$G$5921,4,FALSE),0)</f>
        <v>0</v>
      </c>
      <c r="P349" s="2033">
        <f t="shared" si="32"/>
        <v>0</v>
      </c>
      <c r="Q349" s="1763">
        <f>IFERROR(VLOOKUP($B349,'[3]1004'!$B$6:$G$5921,2,FALSE),0)</f>
        <v>0</v>
      </c>
      <c r="R349" s="2036">
        <f>IFERROR(VLOOKUP($B349,'[3]1004'!$B$6:$G$5921,4,FALSE),0)</f>
        <v>0</v>
      </c>
      <c r="S349" s="1763">
        <f t="shared" si="33"/>
        <v>0</v>
      </c>
      <c r="T349" s="2033">
        <f>IFERROR(VLOOKUP($B349,'[3]1006'!$B$6:$G$5921,2,FALSE),0)</f>
        <v>0</v>
      </c>
      <c r="U349" s="2034">
        <f>IFERROR(VLOOKUP($B349,'[3]1006'!$B$6:$G$5921,4,FALSE),0)</f>
        <v>0</v>
      </c>
      <c r="V349" s="2033">
        <f t="shared" si="34"/>
        <v>0</v>
      </c>
      <c r="W349" s="2033">
        <f t="shared" si="35"/>
        <v>0</v>
      </c>
    </row>
    <row r="350" spans="2:23" x14ac:dyDescent="0.15">
      <c r="B350" s="2032">
        <v>41296</v>
      </c>
      <c r="C350" s="2032" t="s">
        <v>1907</v>
      </c>
      <c r="D350" s="2032" t="s">
        <v>1907</v>
      </c>
      <c r="E350" s="2032" t="s">
        <v>94</v>
      </c>
      <c r="F350" s="870" t="s">
        <v>1461</v>
      </c>
      <c r="G350" s="1288" t="s">
        <v>1303</v>
      </c>
      <c r="H350" s="2033">
        <f>IFERROR(VLOOKUP($B350,'[3]1001'!$B$6:$G$5927,2,FALSE),0)</f>
        <v>0</v>
      </c>
      <c r="I350" s="2034">
        <f>IFERROR(VLOOKUP($B350,'[3]1001'!$B$6:$G$5927,4,FALSE),0)</f>
        <v>0</v>
      </c>
      <c r="J350" s="2033">
        <f t="shared" si="30"/>
        <v>0</v>
      </c>
      <c r="K350" s="2035">
        <f>IFERROR(VLOOKUP($B350,'[3]1002'!$B$6:$G$5921,2,FALSE),0)</f>
        <v>592912</v>
      </c>
      <c r="L350" s="2036">
        <f>IFERROR(VLOOKUP($B350,'[3]1002'!$B$6:$G$5921,4,FALSE),0)</f>
        <v>1600</v>
      </c>
      <c r="M350" s="1763">
        <f t="shared" si="31"/>
        <v>370.57</v>
      </c>
      <c r="N350" s="2033">
        <f>IFERROR(VLOOKUP($B350,'[3]1003'!$B$6:$G$5921,2,FALSE),0)</f>
        <v>616749.84</v>
      </c>
      <c r="O350" s="2034">
        <f>IFERROR(VLOOKUP($B350,'[3]1003'!$B$6:$G$5921,4,FALSE),0)</f>
        <v>1659</v>
      </c>
      <c r="P350" s="2033">
        <f t="shared" si="32"/>
        <v>371.76</v>
      </c>
      <c r="Q350" s="1763">
        <f>IFERROR(VLOOKUP($B350,'[3]1004'!$B$6:$G$5921,2,FALSE),0)</f>
        <v>44611.199999999997</v>
      </c>
      <c r="R350" s="2036">
        <f>IFERROR(VLOOKUP($B350,'[3]1004'!$B$6:$G$5921,4,FALSE),0)</f>
        <v>120</v>
      </c>
      <c r="S350" s="1763">
        <f t="shared" si="33"/>
        <v>371.76</v>
      </c>
      <c r="T350" s="2033">
        <f>IFERROR(VLOOKUP($B350,'[3]1006'!$B$6:$G$5921,2,FALSE),0)</f>
        <v>0</v>
      </c>
      <c r="U350" s="2034">
        <f>IFERROR(VLOOKUP($B350,'[3]1006'!$B$6:$G$5921,4,FALSE),0)</f>
        <v>0</v>
      </c>
      <c r="V350" s="2033">
        <f t="shared" si="34"/>
        <v>0</v>
      </c>
      <c r="W350" s="2033">
        <f t="shared" si="35"/>
        <v>3379</v>
      </c>
    </row>
    <row r="351" spans="2:23" x14ac:dyDescent="0.15">
      <c r="B351" s="2032">
        <v>8551</v>
      </c>
      <c r="C351" s="2032" t="s">
        <v>1908</v>
      </c>
      <c r="D351" s="2032" t="s">
        <v>1908</v>
      </c>
      <c r="E351" s="2032" t="s">
        <v>94</v>
      </c>
      <c r="F351" s="2039" t="s">
        <v>1337</v>
      </c>
      <c r="G351" s="2039" t="s">
        <v>1303</v>
      </c>
      <c r="H351" s="2033">
        <f>IFERROR(VLOOKUP($B351,'[3]1001'!$B$6:$G$5927,2,FALSE),0)</f>
        <v>0</v>
      </c>
      <c r="I351" s="2034">
        <f>IFERROR(VLOOKUP($B351,'[3]1001'!$B$6:$G$5927,4,FALSE),0)</f>
        <v>0</v>
      </c>
      <c r="J351" s="2033">
        <f t="shared" si="30"/>
        <v>0</v>
      </c>
      <c r="K351" s="2035">
        <f>IFERROR(VLOOKUP($B351,'[3]1002'!$B$6:$G$5921,2,FALSE),0)</f>
        <v>571068.96</v>
      </c>
      <c r="L351" s="2036">
        <f>IFERROR(VLOOKUP($B351,'[3]1002'!$B$6:$G$5921,4,FALSE),0)</f>
        <v>28</v>
      </c>
      <c r="M351" s="1763">
        <f t="shared" si="31"/>
        <v>20395.32</v>
      </c>
      <c r="N351" s="2033">
        <f>IFERROR(VLOOKUP($B351,'[3]1003'!$B$6:$G$5921,2,FALSE),0)</f>
        <v>0</v>
      </c>
      <c r="O351" s="2034">
        <f>IFERROR(VLOOKUP($B351,'[3]1003'!$B$6:$G$5921,4,FALSE),0)</f>
        <v>0</v>
      </c>
      <c r="P351" s="2033">
        <f t="shared" si="32"/>
        <v>0</v>
      </c>
      <c r="Q351" s="1763">
        <f>IFERROR(VLOOKUP($B351,'[3]1004'!$B$6:$G$5921,2,FALSE),0)</f>
        <v>0</v>
      </c>
      <c r="R351" s="2036">
        <f>IFERROR(VLOOKUP($B351,'[3]1004'!$B$6:$G$5921,4,FALSE),0)</f>
        <v>0</v>
      </c>
      <c r="S351" s="1763">
        <f t="shared" si="33"/>
        <v>0</v>
      </c>
      <c r="T351" s="2033">
        <f>IFERROR(VLOOKUP($B351,'[3]1006'!$B$6:$G$5921,2,FALSE),0)</f>
        <v>0</v>
      </c>
      <c r="U351" s="2034">
        <f>IFERROR(VLOOKUP($B351,'[3]1006'!$B$6:$G$5921,4,FALSE),0)</f>
        <v>0</v>
      </c>
      <c r="V351" s="2033">
        <f t="shared" si="34"/>
        <v>0</v>
      </c>
      <c r="W351" s="2033">
        <f t="shared" si="35"/>
        <v>28</v>
      </c>
    </row>
    <row r="352" spans="2:23" x14ac:dyDescent="0.15">
      <c r="B352" s="2032">
        <v>62822</v>
      </c>
      <c r="C352" s="2032" t="s">
        <v>1909</v>
      </c>
      <c r="D352" s="2037" t="s">
        <v>1910</v>
      </c>
      <c r="E352" s="2032" t="s">
        <v>94</v>
      </c>
      <c r="F352" s="870" t="s">
        <v>1346</v>
      </c>
      <c r="G352" s="1288" t="s">
        <v>1303</v>
      </c>
      <c r="H352" s="2033">
        <f>IFERROR(VLOOKUP($B352,'[3]1001'!$B$6:$G$5927,2,FALSE),0)</f>
        <v>0</v>
      </c>
      <c r="I352" s="2034">
        <f>IFERROR(VLOOKUP($B352,'[3]1001'!$B$6:$G$5927,4,FALSE),0)</f>
        <v>0</v>
      </c>
      <c r="J352" s="2033">
        <f t="shared" si="30"/>
        <v>0</v>
      </c>
      <c r="K352" s="2035">
        <f>IFERROR(VLOOKUP($B352,'[3]1002'!$B$6:$G$5921,2,FALSE),0)</f>
        <v>0</v>
      </c>
      <c r="L352" s="2036">
        <f>IFERROR(VLOOKUP($B352,'[3]1002'!$B$6:$G$5921,4,FALSE),0)</f>
        <v>0</v>
      </c>
      <c r="M352" s="1763">
        <f t="shared" si="31"/>
        <v>0</v>
      </c>
      <c r="N352" s="2033">
        <f>IFERROR(VLOOKUP($B352,'[3]1003'!$B$6:$G$5921,2,FALSE),0)</f>
        <v>0</v>
      </c>
      <c r="O352" s="2034">
        <f>IFERROR(VLOOKUP($B352,'[3]1003'!$B$6:$G$5921,4,FALSE),0)</f>
        <v>0</v>
      </c>
      <c r="P352" s="2033">
        <f t="shared" si="32"/>
        <v>0</v>
      </c>
      <c r="Q352" s="1763">
        <f>IFERROR(VLOOKUP($B352,'[3]1004'!$B$6:$G$5921,2,FALSE),0)</f>
        <v>0</v>
      </c>
      <c r="R352" s="2036">
        <f>IFERROR(VLOOKUP($B352,'[3]1004'!$B$6:$G$5921,4,FALSE),0)</f>
        <v>0</v>
      </c>
      <c r="S352" s="1763">
        <f t="shared" si="33"/>
        <v>0</v>
      </c>
      <c r="T352" s="2033">
        <f>IFERROR(VLOOKUP($B352,'[3]1006'!$B$6:$G$5921,2,FALSE),0)</f>
        <v>0</v>
      </c>
      <c r="U352" s="2034">
        <f>IFERROR(VLOOKUP($B352,'[3]1006'!$B$6:$G$5921,4,FALSE),0)</f>
        <v>0</v>
      </c>
      <c r="V352" s="2033">
        <f t="shared" si="34"/>
        <v>0</v>
      </c>
      <c r="W352" s="2033">
        <f t="shared" si="35"/>
        <v>0</v>
      </c>
    </row>
    <row r="353" spans="2:23" x14ac:dyDescent="0.15">
      <c r="B353" s="2032">
        <v>14386</v>
      </c>
      <c r="C353" s="2032" t="s">
        <v>1911</v>
      </c>
      <c r="D353" s="2032" t="s">
        <v>1911</v>
      </c>
      <c r="E353" s="2032" t="s">
        <v>94</v>
      </c>
      <c r="F353" s="870" t="s">
        <v>1300</v>
      </c>
      <c r="G353" s="1288" t="s">
        <v>1303</v>
      </c>
      <c r="H353" s="2033">
        <f>IFERROR(VLOOKUP($B353,'[3]1001'!$B$6:$G$5927,2,FALSE),0)</f>
        <v>0</v>
      </c>
      <c r="I353" s="2034">
        <f>IFERROR(VLOOKUP($B353,'[3]1001'!$B$6:$G$5927,4,FALSE),0)</f>
        <v>0</v>
      </c>
      <c r="J353" s="2033">
        <f t="shared" si="30"/>
        <v>0</v>
      </c>
      <c r="K353" s="2035">
        <f>IFERROR(VLOOKUP($B353,'[3]1002'!$B$6:$G$5921,2,FALSE),0)</f>
        <v>0</v>
      </c>
      <c r="L353" s="2036">
        <f>IFERROR(VLOOKUP($B353,'[3]1002'!$B$6:$G$5921,4,FALSE),0)</f>
        <v>0</v>
      </c>
      <c r="M353" s="1763">
        <f t="shared" si="31"/>
        <v>0</v>
      </c>
      <c r="N353" s="2033">
        <f>IFERROR(VLOOKUP($B353,'[3]1003'!$B$6:$G$5921,2,FALSE),0)</f>
        <v>0</v>
      </c>
      <c r="O353" s="2034">
        <f>IFERROR(VLOOKUP($B353,'[3]1003'!$B$6:$G$5921,4,FALSE),0)</f>
        <v>0</v>
      </c>
      <c r="P353" s="2033">
        <f t="shared" si="32"/>
        <v>0</v>
      </c>
      <c r="Q353" s="1763">
        <f>IFERROR(VLOOKUP($B353,'[3]1004'!$B$6:$G$5921,2,FALSE),0)</f>
        <v>0</v>
      </c>
      <c r="R353" s="2036">
        <f>IFERROR(VLOOKUP($B353,'[3]1004'!$B$6:$G$5921,4,FALSE),0)</f>
        <v>0</v>
      </c>
      <c r="S353" s="1763">
        <f t="shared" si="33"/>
        <v>0</v>
      </c>
      <c r="T353" s="2033">
        <f>IFERROR(VLOOKUP($B353,'[3]1006'!$B$6:$G$5921,2,FALSE),0)</f>
        <v>0</v>
      </c>
      <c r="U353" s="2034">
        <f>IFERROR(VLOOKUP($B353,'[3]1006'!$B$6:$G$5921,4,FALSE),0)</f>
        <v>0</v>
      </c>
      <c r="V353" s="2033">
        <f t="shared" si="34"/>
        <v>0</v>
      </c>
      <c r="W353" s="2033">
        <f t="shared" si="35"/>
        <v>0</v>
      </c>
    </row>
    <row r="354" spans="2:23" x14ac:dyDescent="0.15">
      <c r="B354" s="2032">
        <v>41298</v>
      </c>
      <c r="C354" s="2032" t="s">
        <v>1912</v>
      </c>
      <c r="D354" s="2032" t="s">
        <v>1912</v>
      </c>
      <c r="E354" s="2032" t="s">
        <v>94</v>
      </c>
      <c r="F354" s="870" t="s">
        <v>1884</v>
      </c>
      <c r="G354" s="1288" t="s">
        <v>1303</v>
      </c>
      <c r="H354" s="2033">
        <f>IFERROR(VLOOKUP($B354,'[3]1001'!$B$6:$G$5927,2,FALSE),0)</f>
        <v>0</v>
      </c>
      <c r="I354" s="2034">
        <f>IFERROR(VLOOKUP($B354,'[3]1001'!$B$6:$G$5927,4,FALSE),0)</f>
        <v>0</v>
      </c>
      <c r="J354" s="2033">
        <f t="shared" si="30"/>
        <v>0</v>
      </c>
      <c r="K354" s="2035">
        <f>IFERROR(VLOOKUP($B354,'[3]1002'!$B$6:$G$5921,2,FALSE),0)</f>
        <v>345481.62</v>
      </c>
      <c r="L354" s="2036">
        <f>IFERROR(VLOOKUP($B354,'[3]1002'!$B$6:$G$5921,4,FALSE),0)</f>
        <v>568</v>
      </c>
      <c r="M354" s="1763">
        <f t="shared" si="31"/>
        <v>608.2422887323944</v>
      </c>
      <c r="N354" s="2033">
        <f>IFERROR(VLOOKUP($B354,'[3]1003'!$B$6:$G$5921,2,FALSE),0)</f>
        <v>152901.6</v>
      </c>
      <c r="O354" s="2034">
        <f>IFERROR(VLOOKUP($B354,'[3]1003'!$B$6:$G$5921,4,FALSE),0)</f>
        <v>240</v>
      </c>
      <c r="P354" s="2033">
        <f t="shared" si="32"/>
        <v>637.09</v>
      </c>
      <c r="Q354" s="1763">
        <f>IFERROR(VLOOKUP($B354,'[3]1004'!$B$6:$G$5921,2,FALSE),0)</f>
        <v>0</v>
      </c>
      <c r="R354" s="2036">
        <f>IFERROR(VLOOKUP($B354,'[3]1004'!$B$6:$G$5921,4,FALSE),0)</f>
        <v>0</v>
      </c>
      <c r="S354" s="1763">
        <f t="shared" si="33"/>
        <v>0</v>
      </c>
      <c r="T354" s="2033">
        <f>IFERROR(VLOOKUP($B354,'[3]1006'!$B$6:$G$5921,2,FALSE),0)</f>
        <v>0</v>
      </c>
      <c r="U354" s="2034">
        <f>IFERROR(VLOOKUP($B354,'[3]1006'!$B$6:$G$5921,4,FALSE),0)</f>
        <v>0</v>
      </c>
      <c r="V354" s="2033">
        <f t="shared" si="34"/>
        <v>0</v>
      </c>
      <c r="W354" s="2033">
        <f t="shared" si="35"/>
        <v>808</v>
      </c>
    </row>
    <row r="355" spans="2:23" x14ac:dyDescent="0.15">
      <c r="B355" s="2032">
        <v>14509</v>
      </c>
      <c r="C355" s="2032" t="s">
        <v>1913</v>
      </c>
      <c r="D355" s="2032" t="s">
        <v>1913</v>
      </c>
      <c r="E355" s="2032" t="s">
        <v>94</v>
      </c>
      <c r="F355" s="870" t="s">
        <v>1411</v>
      </c>
      <c r="G355" s="1288" t="s">
        <v>1303</v>
      </c>
      <c r="H355" s="2033">
        <f>IFERROR(VLOOKUP($B355,'[3]1001'!$B$6:$G$5927,2,FALSE),0)</f>
        <v>0</v>
      </c>
      <c r="I355" s="2034">
        <f>IFERROR(VLOOKUP($B355,'[3]1001'!$B$6:$G$5927,4,FALSE),0)</f>
        <v>0</v>
      </c>
      <c r="J355" s="2033">
        <f t="shared" si="30"/>
        <v>0</v>
      </c>
      <c r="K355" s="2035">
        <f>IFERROR(VLOOKUP($B355,'[3]1002'!$B$6:$G$5921,2,FALSE),0)</f>
        <v>0</v>
      </c>
      <c r="L355" s="2036">
        <f>IFERROR(VLOOKUP($B355,'[3]1002'!$B$6:$G$5921,4,FALSE),0)</f>
        <v>0</v>
      </c>
      <c r="M355" s="1763">
        <f t="shared" si="31"/>
        <v>0</v>
      </c>
      <c r="N355" s="2033">
        <f>IFERROR(VLOOKUP($B355,'[3]1003'!$B$6:$G$5921,2,FALSE),0)</f>
        <v>0</v>
      </c>
      <c r="O355" s="2034">
        <f>IFERROR(VLOOKUP($B355,'[3]1003'!$B$6:$G$5921,4,FALSE),0)</f>
        <v>0</v>
      </c>
      <c r="P355" s="2033">
        <f t="shared" si="32"/>
        <v>0</v>
      </c>
      <c r="Q355" s="1763">
        <f>IFERROR(VLOOKUP($B355,'[3]1004'!$B$6:$G$5921,2,FALSE),0)</f>
        <v>0</v>
      </c>
      <c r="R355" s="2036">
        <f>IFERROR(VLOOKUP($B355,'[3]1004'!$B$6:$G$5921,4,FALSE),0)</f>
        <v>0</v>
      </c>
      <c r="S355" s="1763">
        <f t="shared" si="33"/>
        <v>0</v>
      </c>
      <c r="T355" s="2033">
        <f>IFERROR(VLOOKUP($B355,'[3]1006'!$B$6:$G$5921,2,FALSE),0)</f>
        <v>0</v>
      </c>
      <c r="U355" s="2034">
        <f>IFERROR(VLOOKUP($B355,'[3]1006'!$B$6:$G$5921,4,FALSE),0)</f>
        <v>0</v>
      </c>
      <c r="V355" s="2033">
        <f t="shared" si="34"/>
        <v>0</v>
      </c>
      <c r="W355" s="2033">
        <f t="shared" si="35"/>
        <v>0</v>
      </c>
    </row>
    <row r="356" spans="2:23" x14ac:dyDescent="0.15">
      <c r="B356" s="2032">
        <v>67981</v>
      </c>
      <c r="C356" s="2032" t="s">
        <v>1914</v>
      </c>
      <c r="D356" s="2032" t="s">
        <v>1915</v>
      </c>
      <c r="E356" s="2032" t="s">
        <v>94</v>
      </c>
      <c r="F356" s="2039" t="s">
        <v>1300</v>
      </c>
      <c r="G356" s="1288" t="s">
        <v>1296</v>
      </c>
      <c r="H356" s="2033">
        <f>IFERROR(VLOOKUP($B356,'[3]1001'!$B$6:$G$5927,2,FALSE),0)</f>
        <v>25384.71</v>
      </c>
      <c r="I356" s="2034">
        <f>IFERROR(VLOOKUP($B356,'[3]1001'!$B$6:$G$5927,4,FALSE),0)</f>
        <v>3</v>
      </c>
      <c r="J356" s="2033">
        <f t="shared" si="30"/>
        <v>8461.57</v>
      </c>
      <c r="K356" s="2035">
        <f>IFERROR(VLOOKUP($B356,'[3]1002'!$B$6:$G$5921,2,FALSE),0)</f>
        <v>0</v>
      </c>
      <c r="L356" s="2036">
        <f>IFERROR(VLOOKUP($B356,'[3]1002'!$B$6:$G$5921,4,FALSE),0)</f>
        <v>0</v>
      </c>
      <c r="M356" s="1763">
        <f t="shared" si="31"/>
        <v>0</v>
      </c>
      <c r="N356" s="2033">
        <f>IFERROR(VLOOKUP($B356,'[3]1003'!$B$6:$G$5921,2,FALSE),0)</f>
        <v>0</v>
      </c>
      <c r="O356" s="2034">
        <f>IFERROR(VLOOKUP($B356,'[3]1003'!$B$6:$G$5921,4,FALSE),0)</f>
        <v>0</v>
      </c>
      <c r="P356" s="2033">
        <f t="shared" si="32"/>
        <v>0</v>
      </c>
      <c r="Q356" s="1763">
        <f>IFERROR(VLOOKUP($B356,'[3]1004'!$B$6:$G$5921,2,FALSE),0)</f>
        <v>0</v>
      </c>
      <c r="R356" s="2036">
        <f>IFERROR(VLOOKUP($B356,'[3]1004'!$B$6:$G$5921,4,FALSE),0)</f>
        <v>0</v>
      </c>
      <c r="S356" s="1763">
        <f t="shared" si="33"/>
        <v>0</v>
      </c>
      <c r="T356" s="2033">
        <f>IFERROR(VLOOKUP($B356,'[3]1006'!$B$6:$G$5921,2,FALSE),0)</f>
        <v>0</v>
      </c>
      <c r="U356" s="2034">
        <f>IFERROR(VLOOKUP($B356,'[3]1006'!$B$6:$G$5921,4,FALSE),0)</f>
        <v>0</v>
      </c>
      <c r="V356" s="2033">
        <f t="shared" si="34"/>
        <v>0</v>
      </c>
      <c r="W356" s="2033">
        <f t="shared" si="35"/>
        <v>3</v>
      </c>
    </row>
    <row r="357" spans="2:23" x14ac:dyDescent="0.15">
      <c r="B357" s="2032">
        <v>67982</v>
      </c>
      <c r="C357" s="2032" t="s">
        <v>1916</v>
      </c>
      <c r="D357" s="2032" t="s">
        <v>1917</v>
      </c>
      <c r="E357" s="2032" t="s">
        <v>94</v>
      </c>
      <c r="F357" s="2039" t="s">
        <v>1300</v>
      </c>
      <c r="G357" s="1288" t="s">
        <v>1303</v>
      </c>
      <c r="H357" s="2033">
        <f>IFERROR(VLOOKUP($B357,'[3]1001'!$B$6:$G$5927,2,FALSE),0)</f>
        <v>10168.549999999999</v>
      </c>
      <c r="I357" s="2034">
        <f>IFERROR(VLOOKUP($B357,'[3]1001'!$B$6:$G$5927,4,FALSE),0)</f>
        <v>1</v>
      </c>
      <c r="J357" s="2033">
        <f t="shared" si="30"/>
        <v>10168.549999999999</v>
      </c>
      <c r="K357" s="2035">
        <f>IFERROR(VLOOKUP($B357,'[3]1002'!$B$6:$G$5921,2,FALSE),0)</f>
        <v>0</v>
      </c>
      <c r="L357" s="2036">
        <f>IFERROR(VLOOKUP($B357,'[3]1002'!$B$6:$G$5921,4,FALSE),0)</f>
        <v>0</v>
      </c>
      <c r="M357" s="1763">
        <f t="shared" si="31"/>
        <v>0</v>
      </c>
      <c r="N357" s="2033">
        <f>IFERROR(VLOOKUP($B357,'[3]1003'!$B$6:$G$5921,2,FALSE),0)</f>
        <v>0</v>
      </c>
      <c r="O357" s="2034">
        <f>IFERROR(VLOOKUP($B357,'[3]1003'!$B$6:$G$5921,4,FALSE),0)</f>
        <v>0</v>
      </c>
      <c r="P357" s="2033">
        <f t="shared" si="32"/>
        <v>0</v>
      </c>
      <c r="Q357" s="1763">
        <f>IFERROR(VLOOKUP($B357,'[3]1004'!$B$6:$G$5921,2,FALSE),0)</f>
        <v>0</v>
      </c>
      <c r="R357" s="2036">
        <f>IFERROR(VLOOKUP($B357,'[3]1004'!$B$6:$G$5921,4,FALSE),0)</f>
        <v>0</v>
      </c>
      <c r="S357" s="1763">
        <f t="shared" si="33"/>
        <v>0</v>
      </c>
      <c r="T357" s="2033">
        <f>IFERROR(VLOOKUP($B357,'[3]1006'!$B$6:$G$5921,2,FALSE),0)</f>
        <v>0</v>
      </c>
      <c r="U357" s="2034">
        <f>IFERROR(VLOOKUP($B357,'[3]1006'!$B$6:$G$5921,4,FALSE),0)</f>
        <v>0</v>
      </c>
      <c r="V357" s="2033">
        <f t="shared" si="34"/>
        <v>0</v>
      </c>
      <c r="W357" s="2033">
        <f t="shared" si="35"/>
        <v>1</v>
      </c>
    </row>
    <row r="358" spans="2:23" x14ac:dyDescent="0.15">
      <c r="B358" s="2032">
        <v>67983</v>
      </c>
      <c r="C358" s="2032" t="s">
        <v>1918</v>
      </c>
      <c r="D358" s="2037" t="s">
        <v>1919</v>
      </c>
      <c r="E358" s="2032" t="s">
        <v>94</v>
      </c>
      <c r="F358" s="1288" t="s">
        <v>1300</v>
      </c>
      <c r="G358" s="1288" t="s">
        <v>1303</v>
      </c>
      <c r="H358" s="2033">
        <f>IFERROR(VLOOKUP($B358,'[3]1001'!$B$6:$G$5927,2,FALSE),0)</f>
        <v>44452.7</v>
      </c>
      <c r="I358" s="2034">
        <f>IFERROR(VLOOKUP($B358,'[3]1001'!$B$6:$G$5927,4,FALSE),0)</f>
        <v>1</v>
      </c>
      <c r="J358" s="2033">
        <f t="shared" si="30"/>
        <v>44452.7</v>
      </c>
      <c r="K358" s="2035">
        <f>IFERROR(VLOOKUP($B358,'[3]1002'!$B$6:$G$5921,2,FALSE),0)</f>
        <v>0</v>
      </c>
      <c r="L358" s="2036">
        <f>IFERROR(VLOOKUP($B358,'[3]1002'!$B$6:$G$5921,4,FALSE),0)</f>
        <v>0</v>
      </c>
      <c r="M358" s="1763">
        <f t="shared" si="31"/>
        <v>0</v>
      </c>
      <c r="N358" s="2033">
        <f>IFERROR(VLOOKUP($B358,'[3]1003'!$B$6:$G$5921,2,FALSE),0)</f>
        <v>42803.41</v>
      </c>
      <c r="O358" s="2034">
        <f>IFERROR(VLOOKUP($B358,'[3]1003'!$B$6:$G$5921,4,FALSE),0)</f>
        <v>1</v>
      </c>
      <c r="P358" s="2033">
        <f t="shared" si="32"/>
        <v>42803.41</v>
      </c>
      <c r="Q358" s="1763">
        <f>IFERROR(VLOOKUP($B358,'[3]1004'!$B$6:$G$5921,2,FALSE),0)</f>
        <v>86491.06</v>
      </c>
      <c r="R358" s="2036">
        <f>IFERROR(VLOOKUP($B358,'[3]1004'!$B$6:$G$5921,4,FALSE),0)</f>
        <v>2</v>
      </c>
      <c r="S358" s="1763">
        <f t="shared" si="33"/>
        <v>43245.53</v>
      </c>
      <c r="T358" s="2033">
        <f>IFERROR(VLOOKUP($B358,'[3]1006'!$B$6:$G$5921,2,FALSE),0)</f>
        <v>43245.53</v>
      </c>
      <c r="U358" s="2034">
        <f>IFERROR(VLOOKUP($B358,'[3]1006'!$B$6:$G$5921,4,FALSE),0)</f>
        <v>1</v>
      </c>
      <c r="V358" s="2033">
        <f t="shared" si="34"/>
        <v>43245.53</v>
      </c>
      <c r="W358" s="2033">
        <f t="shared" si="35"/>
        <v>5</v>
      </c>
    </row>
    <row r="359" spans="2:23" x14ac:dyDescent="0.15">
      <c r="B359" s="2032">
        <v>67984</v>
      </c>
      <c r="C359" s="2032" t="s">
        <v>1920</v>
      </c>
      <c r="D359" s="2037" t="s">
        <v>1921</v>
      </c>
      <c r="E359" s="2032" t="s">
        <v>94</v>
      </c>
      <c r="F359" s="1288" t="s">
        <v>1300</v>
      </c>
      <c r="G359" s="1288" t="s">
        <v>1303</v>
      </c>
      <c r="H359" s="2033">
        <f>IFERROR(VLOOKUP($B359,'[3]1001'!$B$6:$G$5927,2,FALSE),0)</f>
        <v>387221.3</v>
      </c>
      <c r="I359" s="2034">
        <f>IFERROR(VLOOKUP($B359,'[3]1001'!$B$6:$G$5927,4,FALSE),0)</f>
        <v>6</v>
      </c>
      <c r="J359" s="2033">
        <f t="shared" si="30"/>
        <v>64536.883333333331</v>
      </c>
      <c r="K359" s="2035">
        <f>IFERROR(VLOOKUP($B359,'[3]1002'!$B$6:$G$5921,2,FALSE),0)</f>
        <v>0</v>
      </c>
      <c r="L359" s="2036">
        <f>IFERROR(VLOOKUP($B359,'[3]1002'!$B$6:$G$5921,4,FALSE),0)</f>
        <v>0</v>
      </c>
      <c r="M359" s="1763">
        <f t="shared" si="31"/>
        <v>0</v>
      </c>
      <c r="N359" s="2033">
        <f>IFERROR(VLOOKUP($B359,'[3]1003'!$B$6:$G$5921,2,FALSE),0)</f>
        <v>0</v>
      </c>
      <c r="O359" s="2034">
        <f>IFERROR(VLOOKUP($B359,'[3]1003'!$B$6:$G$5921,4,FALSE),0)</f>
        <v>0</v>
      </c>
      <c r="P359" s="2033">
        <f t="shared" si="32"/>
        <v>0</v>
      </c>
      <c r="Q359" s="1763">
        <f>IFERROR(VLOOKUP($B359,'[3]1004'!$B$6:$G$5921,2,FALSE),0)</f>
        <v>161791.07</v>
      </c>
      <c r="R359" s="2036">
        <f>IFERROR(VLOOKUP($B359,'[3]1004'!$B$6:$G$5921,4,FALSE),0)</f>
        <v>3</v>
      </c>
      <c r="S359" s="1763">
        <f t="shared" si="33"/>
        <v>53930.356666666667</v>
      </c>
      <c r="T359" s="2033">
        <f>IFERROR(VLOOKUP($B359,'[3]1006'!$B$6:$G$5921,2,FALSE),0)</f>
        <v>153691.57999999999</v>
      </c>
      <c r="U359" s="2034">
        <f>IFERROR(VLOOKUP($B359,'[3]1006'!$B$6:$G$5921,4,FALSE),0)</f>
        <v>3</v>
      </c>
      <c r="V359" s="2033">
        <f t="shared" si="34"/>
        <v>51230.526666666665</v>
      </c>
      <c r="W359" s="2033">
        <f t="shared" si="35"/>
        <v>12</v>
      </c>
    </row>
    <row r="360" spans="2:23" x14ac:dyDescent="0.15">
      <c r="B360" s="2032">
        <v>67985</v>
      </c>
      <c r="C360" s="2032" t="s">
        <v>1922</v>
      </c>
      <c r="D360" s="2037" t="s">
        <v>1646</v>
      </c>
      <c r="E360" s="2032" t="s">
        <v>94</v>
      </c>
      <c r="F360" s="1288" t="s">
        <v>1300</v>
      </c>
      <c r="G360" s="1288" t="s">
        <v>1303</v>
      </c>
      <c r="H360" s="2033">
        <f>IFERROR(VLOOKUP($B360,'[3]1001'!$B$6:$G$5927,2,FALSE),0)</f>
        <v>0</v>
      </c>
      <c r="I360" s="2034">
        <f>IFERROR(VLOOKUP($B360,'[3]1001'!$B$6:$G$5927,4,FALSE),0)</f>
        <v>0</v>
      </c>
      <c r="J360" s="2033">
        <f t="shared" si="30"/>
        <v>0</v>
      </c>
      <c r="K360" s="2035">
        <f>IFERROR(VLOOKUP($B360,'[3]1002'!$B$6:$G$5921,2,FALSE),0)</f>
        <v>0</v>
      </c>
      <c r="L360" s="2036">
        <f>IFERROR(VLOOKUP($B360,'[3]1002'!$B$6:$G$5921,4,FALSE),0)</f>
        <v>0</v>
      </c>
      <c r="M360" s="1763">
        <f t="shared" si="31"/>
        <v>0</v>
      </c>
      <c r="N360" s="2033">
        <f>IFERROR(VLOOKUP($B360,'[3]1003'!$B$6:$G$5921,2,FALSE),0)</f>
        <v>0</v>
      </c>
      <c r="O360" s="2034">
        <f>IFERROR(VLOOKUP($B360,'[3]1003'!$B$6:$G$5921,4,FALSE),0)</f>
        <v>0</v>
      </c>
      <c r="P360" s="2033">
        <f t="shared" si="32"/>
        <v>0</v>
      </c>
      <c r="Q360" s="1763">
        <f>IFERROR(VLOOKUP($B360,'[3]1004'!$B$6:$G$5921,2,FALSE),0)</f>
        <v>0</v>
      </c>
      <c r="R360" s="2036">
        <f>IFERROR(VLOOKUP($B360,'[3]1004'!$B$6:$G$5921,4,FALSE),0)</f>
        <v>0</v>
      </c>
      <c r="S360" s="1763">
        <f t="shared" si="33"/>
        <v>0</v>
      </c>
      <c r="T360" s="2033">
        <f>IFERROR(VLOOKUP($B360,'[3]1006'!$B$6:$G$5921,2,FALSE),0)</f>
        <v>73708.679999999993</v>
      </c>
      <c r="U360" s="2034">
        <f>IFERROR(VLOOKUP($B360,'[3]1006'!$B$6:$G$5921,4,FALSE),0)</f>
        <v>3</v>
      </c>
      <c r="V360" s="2033">
        <f t="shared" si="34"/>
        <v>24569.559999999998</v>
      </c>
      <c r="W360" s="2033">
        <f t="shared" si="35"/>
        <v>3</v>
      </c>
    </row>
    <row r="361" spans="2:23" x14ac:dyDescent="0.15">
      <c r="B361" s="2032">
        <v>67986</v>
      </c>
      <c r="C361" s="2032" t="s">
        <v>1923</v>
      </c>
      <c r="D361" s="2037" t="s">
        <v>1924</v>
      </c>
      <c r="E361" s="2032" t="s">
        <v>94</v>
      </c>
      <c r="F361" s="1288" t="s">
        <v>1300</v>
      </c>
      <c r="G361" s="1288" t="s">
        <v>1303</v>
      </c>
      <c r="H361" s="2033">
        <f>IFERROR(VLOOKUP($B361,'[3]1001'!$B$6:$G$5927,2,FALSE),0)</f>
        <v>265039.03000000003</v>
      </c>
      <c r="I361" s="2034">
        <f>IFERROR(VLOOKUP($B361,'[3]1001'!$B$6:$G$5927,4,FALSE),0)</f>
        <v>8</v>
      </c>
      <c r="J361" s="2033">
        <f t="shared" si="30"/>
        <v>33129.878750000003</v>
      </c>
      <c r="K361" s="2035">
        <f>IFERROR(VLOOKUP($B361,'[3]1002'!$B$6:$G$5921,2,FALSE),0)</f>
        <v>0</v>
      </c>
      <c r="L361" s="2036">
        <f>IFERROR(VLOOKUP($B361,'[3]1002'!$B$6:$G$5921,4,FALSE),0)</f>
        <v>0</v>
      </c>
      <c r="M361" s="1763">
        <f t="shared" si="31"/>
        <v>0</v>
      </c>
      <c r="N361" s="2033">
        <f>IFERROR(VLOOKUP($B361,'[3]1003'!$B$6:$G$5921,2,FALSE),0)</f>
        <v>257849.09</v>
      </c>
      <c r="O361" s="2034">
        <f>IFERROR(VLOOKUP($B361,'[3]1003'!$B$6:$G$5921,4,FALSE),0)</f>
        <v>8</v>
      </c>
      <c r="P361" s="2033">
        <f t="shared" si="32"/>
        <v>32231.13625</v>
      </c>
      <c r="Q361" s="1763">
        <f>IFERROR(VLOOKUP($B361,'[3]1004'!$B$6:$G$5921,2,FALSE),0)</f>
        <v>130419.73</v>
      </c>
      <c r="R361" s="2036">
        <f>IFERROR(VLOOKUP($B361,'[3]1004'!$B$6:$G$5921,4,FALSE),0)</f>
        <v>4</v>
      </c>
      <c r="S361" s="1763">
        <f t="shared" si="33"/>
        <v>32604.932499999999</v>
      </c>
      <c r="T361" s="2033">
        <f>IFERROR(VLOOKUP($B361,'[3]1006'!$B$6:$G$5921,2,FALSE),0)</f>
        <v>191144.02</v>
      </c>
      <c r="U361" s="2034">
        <f>IFERROR(VLOOKUP($B361,'[3]1006'!$B$6:$G$5921,4,FALSE),0)</f>
        <v>6</v>
      </c>
      <c r="V361" s="2033">
        <f t="shared" si="34"/>
        <v>31857.336666666666</v>
      </c>
      <c r="W361" s="2033">
        <f t="shared" si="35"/>
        <v>26</v>
      </c>
    </row>
    <row r="362" spans="2:23" x14ac:dyDescent="0.15">
      <c r="B362" s="2032">
        <v>67987</v>
      </c>
      <c r="C362" s="2032" t="s">
        <v>1914</v>
      </c>
      <c r="D362" s="2032" t="s">
        <v>1925</v>
      </c>
      <c r="E362" s="2032" t="s">
        <v>94</v>
      </c>
      <c r="F362" s="2039" t="s">
        <v>1300</v>
      </c>
      <c r="G362" s="1288" t="s">
        <v>1303</v>
      </c>
      <c r="H362" s="2033">
        <f>IFERROR(VLOOKUP($B362,'[3]1001'!$B$6:$G$5927,2,FALSE),0)</f>
        <v>16923.14</v>
      </c>
      <c r="I362" s="2034">
        <f>IFERROR(VLOOKUP($B362,'[3]1001'!$B$6:$G$5927,4,FALSE),0)</f>
        <v>2</v>
      </c>
      <c r="J362" s="2033">
        <f t="shared" si="30"/>
        <v>8461.57</v>
      </c>
      <c r="K362" s="2035">
        <f>IFERROR(VLOOKUP($B362,'[3]1002'!$B$6:$G$5921,2,FALSE),0)</f>
        <v>0</v>
      </c>
      <c r="L362" s="2036">
        <f>IFERROR(VLOOKUP($B362,'[3]1002'!$B$6:$G$5921,4,FALSE),0)</f>
        <v>0</v>
      </c>
      <c r="M362" s="1763">
        <f t="shared" si="31"/>
        <v>0</v>
      </c>
      <c r="N362" s="2033">
        <f>IFERROR(VLOOKUP($B362,'[3]1003'!$B$6:$G$5921,2,FALSE),0)</f>
        <v>0</v>
      </c>
      <c r="O362" s="2034">
        <f>IFERROR(VLOOKUP($B362,'[3]1003'!$B$6:$G$5921,4,FALSE),0)</f>
        <v>0</v>
      </c>
      <c r="P362" s="2033">
        <f t="shared" si="32"/>
        <v>0</v>
      </c>
      <c r="Q362" s="1763">
        <f>IFERROR(VLOOKUP($B362,'[3]1004'!$B$6:$G$5921,2,FALSE),0)</f>
        <v>0</v>
      </c>
      <c r="R362" s="2036">
        <f>IFERROR(VLOOKUP($B362,'[3]1004'!$B$6:$G$5921,4,FALSE),0)</f>
        <v>0</v>
      </c>
      <c r="S362" s="1763">
        <f t="shared" si="33"/>
        <v>0</v>
      </c>
      <c r="T362" s="2033">
        <f>IFERROR(VLOOKUP($B362,'[3]1006'!$B$6:$G$5921,2,FALSE),0)</f>
        <v>0</v>
      </c>
      <c r="U362" s="2034">
        <f>IFERROR(VLOOKUP($B362,'[3]1006'!$B$6:$G$5921,4,FALSE),0)</f>
        <v>0</v>
      </c>
      <c r="V362" s="2033">
        <f t="shared" si="34"/>
        <v>0</v>
      </c>
      <c r="W362" s="2033">
        <f t="shared" si="35"/>
        <v>2</v>
      </c>
    </row>
    <row r="363" spans="2:23" x14ac:dyDescent="0.15">
      <c r="B363" s="2032">
        <v>68801</v>
      </c>
      <c r="C363" s="2032" t="s">
        <v>1926</v>
      </c>
      <c r="D363" s="2032" t="s">
        <v>1927</v>
      </c>
      <c r="E363" s="2032" t="s">
        <v>94</v>
      </c>
      <c r="F363" s="1288" t="s">
        <v>1325</v>
      </c>
      <c r="G363" s="1288" t="s">
        <v>1296</v>
      </c>
      <c r="H363" s="2033">
        <f>IFERROR(VLOOKUP($B363,'[3]1001'!$B$6:$G$5927,2,FALSE),0)</f>
        <v>917345.88</v>
      </c>
      <c r="I363" s="2034">
        <f>IFERROR(VLOOKUP($B363,'[3]1001'!$B$6:$G$5927,4,FALSE),0)</f>
        <v>2</v>
      </c>
      <c r="J363" s="2033">
        <f t="shared" si="30"/>
        <v>458672.94</v>
      </c>
      <c r="K363" s="2035">
        <f>IFERROR(VLOOKUP($B363,'[3]1002'!$B$6:$G$5921,2,FALSE),0)</f>
        <v>0</v>
      </c>
      <c r="L363" s="2036">
        <f>IFERROR(VLOOKUP($B363,'[3]1002'!$B$6:$G$5921,4,FALSE),0)</f>
        <v>0</v>
      </c>
      <c r="M363" s="1763">
        <f t="shared" si="31"/>
        <v>0</v>
      </c>
      <c r="N363" s="2033">
        <f>IFERROR(VLOOKUP($B363,'[3]1003'!$B$6:$G$5921,2,FALSE),0)</f>
        <v>0</v>
      </c>
      <c r="O363" s="2034">
        <f>IFERROR(VLOOKUP($B363,'[3]1003'!$B$6:$G$5921,4,FALSE),0)</f>
        <v>0</v>
      </c>
      <c r="P363" s="2033">
        <f t="shared" si="32"/>
        <v>0</v>
      </c>
      <c r="Q363" s="1763">
        <f>IFERROR(VLOOKUP($B363,'[3]1004'!$B$6:$G$5921,2,FALSE),0)</f>
        <v>0</v>
      </c>
      <c r="R363" s="2036">
        <f>IFERROR(VLOOKUP($B363,'[3]1004'!$B$6:$G$5921,4,FALSE),0)</f>
        <v>0</v>
      </c>
      <c r="S363" s="1763">
        <f t="shared" si="33"/>
        <v>0</v>
      </c>
      <c r="T363" s="2033">
        <f>IFERROR(VLOOKUP($B363,'[3]1006'!$B$6:$G$5921,2,FALSE),0)</f>
        <v>0</v>
      </c>
      <c r="U363" s="2034">
        <f>IFERROR(VLOOKUP($B363,'[3]1006'!$B$6:$G$5921,4,FALSE),0)</f>
        <v>0</v>
      </c>
      <c r="V363" s="2033">
        <f t="shared" si="34"/>
        <v>0</v>
      </c>
      <c r="W363" s="2033">
        <f t="shared" si="35"/>
        <v>2</v>
      </c>
    </row>
    <row r="364" spans="2:23" x14ac:dyDescent="0.15">
      <c r="B364" s="2032">
        <v>68802</v>
      </c>
      <c r="C364" s="2032" t="s">
        <v>1928</v>
      </c>
      <c r="D364" s="2032" t="s">
        <v>1929</v>
      </c>
      <c r="E364" s="2032" t="s">
        <v>94</v>
      </c>
      <c r="F364" s="1288" t="s">
        <v>1300</v>
      </c>
      <c r="G364" s="1288" t="s">
        <v>1303</v>
      </c>
      <c r="H364" s="2033">
        <f>IFERROR(VLOOKUP($B364,'[3]1001'!$B$6:$G$5927,2,FALSE),0)</f>
        <v>0</v>
      </c>
      <c r="I364" s="2034">
        <f>IFERROR(VLOOKUP($B364,'[3]1001'!$B$6:$G$5927,4,FALSE),0)</f>
        <v>0</v>
      </c>
      <c r="J364" s="2033">
        <f t="shared" si="30"/>
        <v>0</v>
      </c>
      <c r="K364" s="2035">
        <f>IFERROR(VLOOKUP($B364,'[3]1002'!$B$6:$G$5921,2,FALSE),0)</f>
        <v>0</v>
      </c>
      <c r="L364" s="2036">
        <f>IFERROR(VLOOKUP($B364,'[3]1002'!$B$6:$G$5921,4,FALSE),0)</f>
        <v>0</v>
      </c>
      <c r="M364" s="1763">
        <f t="shared" si="31"/>
        <v>0</v>
      </c>
      <c r="N364" s="2033">
        <f>IFERROR(VLOOKUP($B364,'[3]1003'!$B$6:$G$5921,2,FALSE),0)</f>
        <v>0</v>
      </c>
      <c r="O364" s="2034">
        <f>IFERROR(VLOOKUP($B364,'[3]1003'!$B$6:$G$5921,4,FALSE),0)</f>
        <v>0</v>
      </c>
      <c r="P364" s="2033">
        <f t="shared" si="32"/>
        <v>0</v>
      </c>
      <c r="Q364" s="1763">
        <f>IFERROR(VLOOKUP($B364,'[3]1004'!$B$6:$G$5921,2,FALSE),0)</f>
        <v>0</v>
      </c>
      <c r="R364" s="2036">
        <f>IFERROR(VLOOKUP($B364,'[3]1004'!$B$6:$G$5921,4,FALSE),0)</f>
        <v>0</v>
      </c>
      <c r="S364" s="1763">
        <f t="shared" si="33"/>
        <v>0</v>
      </c>
      <c r="T364" s="2033">
        <f>IFERROR(VLOOKUP($B364,'[3]1006'!$B$6:$G$5921,2,FALSE),0)</f>
        <v>0</v>
      </c>
      <c r="U364" s="2034">
        <f>IFERROR(VLOOKUP($B364,'[3]1006'!$B$6:$G$5921,4,FALSE),0)</f>
        <v>0</v>
      </c>
      <c r="V364" s="2033">
        <f t="shared" si="34"/>
        <v>0</v>
      </c>
      <c r="W364" s="2033">
        <f t="shared" si="35"/>
        <v>0</v>
      </c>
    </row>
    <row r="365" spans="2:23" x14ac:dyDescent="0.15">
      <c r="B365" s="2032">
        <v>69321</v>
      </c>
      <c r="C365" s="2032" t="s">
        <v>1930</v>
      </c>
      <c r="D365" s="2037" t="s">
        <v>1931</v>
      </c>
      <c r="E365" s="2032" t="s">
        <v>94</v>
      </c>
      <c r="F365" s="1288" t="s">
        <v>1300</v>
      </c>
      <c r="G365" s="1288" t="s">
        <v>1303</v>
      </c>
      <c r="H365" s="2033">
        <f>IFERROR(VLOOKUP($B365,'[3]1001'!$B$6:$G$5927,2,FALSE),0)</f>
        <v>391157.55</v>
      </c>
      <c r="I365" s="2034">
        <f>IFERROR(VLOOKUP($B365,'[3]1001'!$B$6:$G$5927,4,FALSE),0)</f>
        <v>1</v>
      </c>
      <c r="J365" s="2033">
        <f t="shared" si="30"/>
        <v>391157.55</v>
      </c>
      <c r="K365" s="2035">
        <f>IFERROR(VLOOKUP($B365,'[3]1002'!$B$6:$G$5921,2,FALSE),0)</f>
        <v>0</v>
      </c>
      <c r="L365" s="2036">
        <f>IFERROR(VLOOKUP($B365,'[3]1002'!$B$6:$G$5921,4,FALSE),0)</f>
        <v>0</v>
      </c>
      <c r="M365" s="1763">
        <f t="shared" si="31"/>
        <v>0</v>
      </c>
      <c r="N365" s="2033">
        <f>IFERROR(VLOOKUP($B365,'[3]1003'!$B$6:$G$5921,2,FALSE),0)</f>
        <v>454483.8</v>
      </c>
      <c r="O365" s="2034">
        <f>IFERROR(VLOOKUP($B365,'[3]1003'!$B$6:$G$5921,4,FALSE),0)</f>
        <v>2</v>
      </c>
      <c r="P365" s="2033">
        <f t="shared" si="32"/>
        <v>227241.9</v>
      </c>
      <c r="Q365" s="1763">
        <f>IFERROR(VLOOKUP($B365,'[3]1004'!$B$6:$G$5921,2,FALSE),0)</f>
        <v>0</v>
      </c>
      <c r="R365" s="2036">
        <f>IFERROR(VLOOKUP($B365,'[3]1004'!$B$6:$G$5921,4,FALSE),0)</f>
        <v>0</v>
      </c>
      <c r="S365" s="1763">
        <f t="shared" si="33"/>
        <v>0</v>
      </c>
      <c r="T365" s="2033">
        <f>IFERROR(VLOOKUP($B365,'[3]1006'!$B$6:$G$5921,2,FALSE),0)</f>
        <v>454483.8</v>
      </c>
      <c r="U365" s="2034">
        <f>IFERROR(VLOOKUP($B365,'[3]1006'!$B$6:$G$5921,4,FALSE),0)</f>
        <v>2</v>
      </c>
      <c r="V365" s="2033">
        <f t="shared" si="34"/>
        <v>227241.9</v>
      </c>
      <c r="W365" s="2033">
        <f t="shared" si="35"/>
        <v>5</v>
      </c>
    </row>
    <row r="366" spans="2:23" x14ac:dyDescent="0.15">
      <c r="B366" s="2032">
        <v>69621</v>
      </c>
      <c r="C366" s="2032" t="s">
        <v>1932</v>
      </c>
      <c r="D366" s="2032" t="s">
        <v>1933</v>
      </c>
      <c r="E366" s="2032" t="s">
        <v>94</v>
      </c>
      <c r="F366" s="1288" t="s">
        <v>1300</v>
      </c>
      <c r="G366" s="1288" t="s">
        <v>1303</v>
      </c>
      <c r="H366" s="2033">
        <f>IFERROR(VLOOKUP($B366,'[3]1001'!$B$6:$G$5927,2,FALSE),0)</f>
        <v>0</v>
      </c>
      <c r="I366" s="2034">
        <f>IFERROR(VLOOKUP($B366,'[3]1001'!$B$6:$G$5927,4,FALSE),0)</f>
        <v>0</v>
      </c>
      <c r="J366" s="2033">
        <f t="shared" si="30"/>
        <v>0</v>
      </c>
      <c r="K366" s="2035">
        <f>IFERROR(VLOOKUP($B366,'[3]1002'!$B$6:$G$5921,2,FALSE),0)</f>
        <v>0</v>
      </c>
      <c r="L366" s="2036">
        <f>IFERROR(VLOOKUP($B366,'[3]1002'!$B$6:$G$5921,4,FALSE),0)</f>
        <v>0</v>
      </c>
      <c r="M366" s="1763">
        <f t="shared" si="31"/>
        <v>0</v>
      </c>
      <c r="N366" s="2033">
        <f>IFERROR(VLOOKUP($B366,'[3]1003'!$B$6:$G$5921,2,FALSE),0)</f>
        <v>0</v>
      </c>
      <c r="O366" s="2034">
        <f>IFERROR(VLOOKUP($B366,'[3]1003'!$B$6:$G$5921,4,FALSE),0)</f>
        <v>0</v>
      </c>
      <c r="P366" s="2033">
        <f t="shared" si="32"/>
        <v>0</v>
      </c>
      <c r="Q366" s="1763">
        <f>IFERROR(VLOOKUP($B366,'[3]1004'!$B$6:$G$5921,2,FALSE),0)</f>
        <v>0</v>
      </c>
      <c r="R366" s="2036">
        <f>IFERROR(VLOOKUP($B366,'[3]1004'!$B$6:$G$5921,4,FALSE),0)</f>
        <v>0</v>
      </c>
      <c r="S366" s="1763">
        <f t="shared" si="33"/>
        <v>0</v>
      </c>
      <c r="T366" s="2033">
        <f>IFERROR(VLOOKUP($B366,'[3]1006'!$B$6:$G$5921,2,FALSE),0)</f>
        <v>0</v>
      </c>
      <c r="U366" s="2034">
        <f>IFERROR(VLOOKUP($B366,'[3]1006'!$B$6:$G$5921,4,FALSE),0)</f>
        <v>0</v>
      </c>
      <c r="V366" s="2033">
        <f t="shared" si="34"/>
        <v>0</v>
      </c>
      <c r="W366" s="2033">
        <f t="shared" si="35"/>
        <v>0</v>
      </c>
    </row>
    <row r="367" spans="2:23" x14ac:dyDescent="0.15">
      <c r="B367" s="2032">
        <v>75783</v>
      </c>
      <c r="C367" s="2032" t="s">
        <v>1934</v>
      </c>
      <c r="D367" s="2037" t="s">
        <v>1935</v>
      </c>
      <c r="E367" s="2032" t="s">
        <v>94</v>
      </c>
      <c r="F367" s="1288" t="s">
        <v>1300</v>
      </c>
      <c r="G367" s="1288" t="s">
        <v>1303</v>
      </c>
      <c r="H367" s="2033">
        <f>IFERROR(VLOOKUP($B367,'[3]1001'!$B$6:$G$5927,2,FALSE),0)</f>
        <v>0</v>
      </c>
      <c r="I367" s="2034">
        <f>IFERROR(VLOOKUP($B367,'[3]1001'!$B$6:$G$5927,4,FALSE),0)</f>
        <v>0</v>
      </c>
      <c r="J367" s="2033">
        <f t="shared" si="30"/>
        <v>0</v>
      </c>
      <c r="K367" s="2035">
        <f>IFERROR(VLOOKUP($B367,'[3]1002'!$B$6:$G$5921,2,FALSE),0)</f>
        <v>71002.69</v>
      </c>
      <c r="L367" s="2036">
        <f>IFERROR(VLOOKUP($B367,'[3]1002'!$B$6:$G$5921,4,FALSE),0)</f>
        <v>1</v>
      </c>
      <c r="M367" s="1763">
        <f t="shared" si="31"/>
        <v>71002.69</v>
      </c>
      <c r="N367" s="2033">
        <f>IFERROR(VLOOKUP($B367,'[3]1003'!$B$6:$G$5921,2,FALSE),0)</f>
        <v>0</v>
      </c>
      <c r="O367" s="2034">
        <f>IFERROR(VLOOKUP($B367,'[3]1003'!$B$6:$G$5921,4,FALSE),0)</f>
        <v>0</v>
      </c>
      <c r="P367" s="2033">
        <f t="shared" si="32"/>
        <v>0</v>
      </c>
      <c r="Q367" s="1763">
        <f>IFERROR(VLOOKUP($B367,'[3]1004'!$B$6:$G$5921,2,FALSE),0)</f>
        <v>0</v>
      </c>
      <c r="R367" s="2036">
        <f>IFERROR(VLOOKUP($B367,'[3]1004'!$B$6:$G$5921,4,FALSE),0)</f>
        <v>0</v>
      </c>
      <c r="S367" s="1763">
        <f t="shared" si="33"/>
        <v>0</v>
      </c>
      <c r="T367" s="2033">
        <f>IFERROR(VLOOKUP($B367,'[3]1006'!$B$6:$G$5921,2,FALSE),0)</f>
        <v>0</v>
      </c>
      <c r="U367" s="2034">
        <f>IFERROR(VLOOKUP($B367,'[3]1006'!$B$6:$G$5921,4,FALSE),0)</f>
        <v>0</v>
      </c>
      <c r="V367" s="2033">
        <f t="shared" si="34"/>
        <v>0</v>
      </c>
      <c r="W367" s="2033">
        <f t="shared" si="35"/>
        <v>1</v>
      </c>
    </row>
    <row r="368" spans="2:23" x14ac:dyDescent="0.15">
      <c r="B368" s="2032">
        <v>75784</v>
      </c>
      <c r="C368" s="2032" t="s">
        <v>1936</v>
      </c>
      <c r="D368" s="2037" t="s">
        <v>1937</v>
      </c>
      <c r="E368" s="2032" t="s">
        <v>94</v>
      </c>
      <c r="F368" s="1288" t="s">
        <v>1300</v>
      </c>
      <c r="G368" s="1288" t="s">
        <v>1303</v>
      </c>
      <c r="H368" s="2033">
        <f>IFERROR(VLOOKUP($B368,'[3]1001'!$B$6:$G$5927,2,FALSE),0)</f>
        <v>0</v>
      </c>
      <c r="I368" s="2034">
        <f>IFERROR(VLOOKUP($B368,'[3]1001'!$B$6:$G$5927,4,FALSE),0)</f>
        <v>0</v>
      </c>
      <c r="J368" s="2033">
        <f t="shared" si="30"/>
        <v>0</v>
      </c>
      <c r="K368" s="2035">
        <f>IFERROR(VLOOKUP($B368,'[3]1002'!$B$6:$G$5921,2,FALSE),0)</f>
        <v>0</v>
      </c>
      <c r="L368" s="2036">
        <f>IFERROR(VLOOKUP($B368,'[3]1002'!$B$6:$G$5921,4,FALSE),0)</f>
        <v>0</v>
      </c>
      <c r="M368" s="1763">
        <f t="shared" si="31"/>
        <v>0</v>
      </c>
      <c r="N368" s="2033">
        <f>IFERROR(VLOOKUP($B368,'[3]1003'!$B$6:$G$5921,2,FALSE),0)</f>
        <v>199426.9</v>
      </c>
      <c r="O368" s="2034">
        <f>IFERROR(VLOOKUP($B368,'[3]1003'!$B$6:$G$5921,4,FALSE),0)</f>
        <v>3</v>
      </c>
      <c r="P368" s="2033">
        <f t="shared" si="32"/>
        <v>66475.633333333331</v>
      </c>
      <c r="Q368" s="1763">
        <f>IFERROR(VLOOKUP($B368,'[3]1004'!$B$6:$G$5921,2,FALSE),0)</f>
        <v>0</v>
      </c>
      <c r="R368" s="2036">
        <f>IFERROR(VLOOKUP($B368,'[3]1004'!$B$6:$G$5921,4,FALSE),0)</f>
        <v>0</v>
      </c>
      <c r="S368" s="1763">
        <f t="shared" si="33"/>
        <v>0</v>
      </c>
      <c r="T368" s="2033">
        <f>IFERROR(VLOOKUP($B368,'[3]1006'!$B$6:$G$5921,2,FALSE),0)</f>
        <v>0</v>
      </c>
      <c r="U368" s="2034">
        <f>IFERROR(VLOOKUP($B368,'[3]1006'!$B$6:$G$5921,4,FALSE),0)</f>
        <v>0</v>
      </c>
      <c r="V368" s="2033">
        <f t="shared" si="34"/>
        <v>0</v>
      </c>
      <c r="W368" s="2033">
        <f t="shared" si="35"/>
        <v>3</v>
      </c>
    </row>
    <row r="369" spans="2:23" x14ac:dyDescent="0.15">
      <c r="B369" s="2032">
        <v>75785</v>
      </c>
      <c r="C369" s="2032" t="s">
        <v>1938</v>
      </c>
      <c r="D369" s="2037" t="s">
        <v>1939</v>
      </c>
      <c r="E369" s="2032" t="s">
        <v>94</v>
      </c>
      <c r="F369" s="1288" t="s">
        <v>1300</v>
      </c>
      <c r="G369" s="1288" t="s">
        <v>1303</v>
      </c>
      <c r="H369" s="2033">
        <f>IFERROR(VLOOKUP($B369,'[3]1001'!$B$6:$G$5927,2,FALSE),0)</f>
        <v>187275.77</v>
      </c>
      <c r="I369" s="2034">
        <f>IFERROR(VLOOKUP($B369,'[3]1001'!$B$6:$G$5927,4,FALSE),0)</f>
        <v>3</v>
      </c>
      <c r="J369" s="2033">
        <f t="shared" si="30"/>
        <v>62425.256666666661</v>
      </c>
      <c r="K369" s="2035">
        <f>IFERROR(VLOOKUP($B369,'[3]1002'!$B$6:$G$5921,2,FALSE),0)</f>
        <v>0</v>
      </c>
      <c r="L369" s="2036">
        <f>IFERROR(VLOOKUP($B369,'[3]1002'!$B$6:$G$5921,4,FALSE),0)</f>
        <v>0</v>
      </c>
      <c r="M369" s="1763">
        <f t="shared" si="31"/>
        <v>0</v>
      </c>
      <c r="N369" s="2033">
        <f>IFERROR(VLOOKUP($B369,'[3]1003'!$B$6:$G$5921,2,FALSE),0)</f>
        <v>0</v>
      </c>
      <c r="O369" s="2034">
        <f>IFERROR(VLOOKUP($B369,'[3]1003'!$B$6:$G$5921,4,FALSE),0)</f>
        <v>0</v>
      </c>
      <c r="P369" s="2033">
        <f t="shared" si="32"/>
        <v>0</v>
      </c>
      <c r="Q369" s="1763">
        <f>IFERROR(VLOOKUP($B369,'[3]1004'!$B$6:$G$5921,2,FALSE),0)</f>
        <v>0</v>
      </c>
      <c r="R369" s="2036">
        <f>IFERROR(VLOOKUP($B369,'[3]1004'!$B$6:$G$5921,4,FALSE),0)</f>
        <v>0</v>
      </c>
      <c r="S369" s="1763">
        <f t="shared" si="33"/>
        <v>0</v>
      </c>
      <c r="T369" s="2033">
        <f>IFERROR(VLOOKUP($B369,'[3]1006'!$B$6:$G$5921,2,FALSE),0)</f>
        <v>0</v>
      </c>
      <c r="U369" s="2034">
        <f>IFERROR(VLOOKUP($B369,'[3]1006'!$B$6:$G$5921,4,FALSE),0)</f>
        <v>0</v>
      </c>
      <c r="V369" s="2033">
        <f t="shared" si="34"/>
        <v>0</v>
      </c>
      <c r="W369" s="2033">
        <f t="shared" si="35"/>
        <v>3</v>
      </c>
    </row>
    <row r="370" spans="2:23" x14ac:dyDescent="0.15">
      <c r="B370" s="2032">
        <v>75786</v>
      </c>
      <c r="C370" s="2032" t="s">
        <v>1940</v>
      </c>
      <c r="D370" s="2037" t="s">
        <v>1941</v>
      </c>
      <c r="E370" s="2032" t="s">
        <v>94</v>
      </c>
      <c r="F370" s="1288" t="s">
        <v>1300</v>
      </c>
      <c r="G370" s="1288" t="s">
        <v>1303</v>
      </c>
      <c r="H370" s="2033">
        <f>IFERROR(VLOOKUP($B370,'[3]1001'!$B$6:$G$5927,2,FALSE),0)</f>
        <v>0</v>
      </c>
      <c r="I370" s="2034">
        <f>IFERROR(VLOOKUP($B370,'[3]1001'!$B$6:$G$5927,4,FALSE),0)</f>
        <v>0</v>
      </c>
      <c r="J370" s="2033">
        <f t="shared" si="30"/>
        <v>0</v>
      </c>
      <c r="K370" s="2035">
        <f>IFERROR(VLOOKUP($B370,'[3]1002'!$B$6:$G$5921,2,FALSE),0)</f>
        <v>0</v>
      </c>
      <c r="L370" s="2036">
        <f>IFERROR(VLOOKUP($B370,'[3]1002'!$B$6:$G$5921,4,FALSE),0)</f>
        <v>0</v>
      </c>
      <c r="M370" s="1763">
        <f t="shared" si="31"/>
        <v>0</v>
      </c>
      <c r="N370" s="2033">
        <f>IFERROR(VLOOKUP($B370,'[3]1003'!$B$6:$G$5921,2,FALSE),0)</f>
        <v>549573.21</v>
      </c>
      <c r="O370" s="2034">
        <f>IFERROR(VLOOKUP($B370,'[3]1003'!$B$6:$G$5921,4,FALSE),0)</f>
        <v>5</v>
      </c>
      <c r="P370" s="2033">
        <f t="shared" si="32"/>
        <v>109914.64199999999</v>
      </c>
      <c r="Q370" s="1763">
        <f>IFERROR(VLOOKUP($B370,'[3]1004'!$B$6:$G$5921,2,FALSE),0)</f>
        <v>0</v>
      </c>
      <c r="R370" s="2036">
        <f>IFERROR(VLOOKUP($B370,'[3]1004'!$B$6:$G$5921,4,FALSE),0)</f>
        <v>0</v>
      </c>
      <c r="S370" s="1763">
        <f t="shared" si="33"/>
        <v>0</v>
      </c>
      <c r="T370" s="2033">
        <f>IFERROR(VLOOKUP($B370,'[3]1006'!$B$6:$G$5921,2,FALSE),0)</f>
        <v>0</v>
      </c>
      <c r="U370" s="2034">
        <f>IFERROR(VLOOKUP($B370,'[3]1006'!$B$6:$G$5921,4,FALSE),0)</f>
        <v>0</v>
      </c>
      <c r="V370" s="2033">
        <f t="shared" si="34"/>
        <v>0</v>
      </c>
      <c r="W370" s="2033">
        <f t="shared" si="35"/>
        <v>5</v>
      </c>
    </row>
    <row r="371" spans="2:23" x14ac:dyDescent="0.15">
      <c r="B371" s="2032">
        <v>77681</v>
      </c>
      <c r="C371" s="2032" t="s">
        <v>1942</v>
      </c>
      <c r="D371" s="2037" t="s">
        <v>1943</v>
      </c>
      <c r="E371" s="2032" t="s">
        <v>94</v>
      </c>
      <c r="F371" s="1288" t="s">
        <v>1300</v>
      </c>
      <c r="G371" s="1288" t="s">
        <v>1303</v>
      </c>
      <c r="H371" s="2033">
        <f>IFERROR(VLOOKUP($B371,'[3]1001'!$B$6:$G$5927,2,FALSE),0)</f>
        <v>364191.59</v>
      </c>
      <c r="I371" s="2034">
        <f>IFERROR(VLOOKUP($B371,'[3]1001'!$B$6:$G$5927,4,FALSE),0)</f>
        <v>4</v>
      </c>
      <c r="J371" s="2033">
        <f t="shared" si="30"/>
        <v>91047.897500000006</v>
      </c>
      <c r="K371" s="2035">
        <f>IFERROR(VLOOKUP($B371,'[3]1002'!$B$6:$G$5921,2,FALSE),0)</f>
        <v>0</v>
      </c>
      <c r="L371" s="2036">
        <f>IFERROR(VLOOKUP($B371,'[3]1002'!$B$6:$G$5921,4,FALSE),0)</f>
        <v>0</v>
      </c>
      <c r="M371" s="1763">
        <f t="shared" si="31"/>
        <v>0</v>
      </c>
      <c r="N371" s="2033">
        <f>IFERROR(VLOOKUP($B371,'[3]1003'!$B$6:$G$5921,2,FALSE),0)</f>
        <v>88381.61</v>
      </c>
      <c r="O371" s="2034">
        <f>IFERROR(VLOOKUP($B371,'[3]1003'!$B$6:$G$5921,4,FALSE),0)</f>
        <v>1</v>
      </c>
      <c r="P371" s="2033">
        <f t="shared" si="32"/>
        <v>88381.61</v>
      </c>
      <c r="Q371" s="1763">
        <f>IFERROR(VLOOKUP($B371,'[3]1004'!$B$6:$G$5921,2,FALSE),0)</f>
        <v>0</v>
      </c>
      <c r="R371" s="2036">
        <f>IFERROR(VLOOKUP($B371,'[3]1004'!$B$6:$G$5921,4,FALSE),0)</f>
        <v>0</v>
      </c>
      <c r="S371" s="1763">
        <f t="shared" si="33"/>
        <v>0</v>
      </c>
      <c r="T371" s="2033">
        <f>IFERROR(VLOOKUP($B371,'[3]1006'!$B$6:$G$5921,2,FALSE),0)</f>
        <v>0</v>
      </c>
      <c r="U371" s="2034">
        <f>IFERROR(VLOOKUP($B371,'[3]1006'!$B$6:$G$5921,4,FALSE),0)</f>
        <v>0</v>
      </c>
      <c r="V371" s="2033">
        <f t="shared" si="34"/>
        <v>0</v>
      </c>
      <c r="W371" s="2033">
        <f t="shared" si="35"/>
        <v>5</v>
      </c>
    </row>
    <row r="372" spans="2:23" x14ac:dyDescent="0.15">
      <c r="B372" s="2032">
        <v>77682</v>
      </c>
      <c r="C372" s="2032" t="s">
        <v>1944</v>
      </c>
      <c r="D372" s="2037" t="s">
        <v>1945</v>
      </c>
      <c r="E372" s="2032" t="s">
        <v>94</v>
      </c>
      <c r="F372" s="1288" t="s">
        <v>1300</v>
      </c>
      <c r="G372" s="1288" t="s">
        <v>1296</v>
      </c>
      <c r="H372" s="2033">
        <f>IFERROR(VLOOKUP($B372,'[3]1001'!$B$6:$G$5927,2,FALSE),0)</f>
        <v>0</v>
      </c>
      <c r="I372" s="2034">
        <f>IFERROR(VLOOKUP($B372,'[3]1001'!$B$6:$G$5927,4,FALSE),0)</f>
        <v>0</v>
      </c>
      <c r="J372" s="2033">
        <f t="shared" si="30"/>
        <v>0</v>
      </c>
      <c r="K372" s="2035">
        <f>IFERROR(VLOOKUP($B372,'[3]1002'!$B$6:$G$5921,2,FALSE),0)</f>
        <v>484031.58</v>
      </c>
      <c r="L372" s="2036">
        <f>IFERROR(VLOOKUP($B372,'[3]1002'!$B$6:$G$5921,4,FALSE),0)</f>
        <v>3</v>
      </c>
      <c r="M372" s="1763">
        <f t="shared" si="31"/>
        <v>161343.86000000002</v>
      </c>
      <c r="N372" s="2033">
        <f>IFERROR(VLOOKUP($B372,'[3]1003'!$B$6:$G$5921,2,FALSE),0)</f>
        <v>487096.18</v>
      </c>
      <c r="O372" s="2034">
        <f>IFERROR(VLOOKUP($B372,'[3]1003'!$B$6:$G$5921,4,FALSE),0)</f>
        <v>3</v>
      </c>
      <c r="P372" s="2033">
        <f t="shared" si="32"/>
        <v>162365.39333333334</v>
      </c>
      <c r="Q372" s="1763">
        <f>IFERROR(VLOOKUP($B372,'[3]1004'!$B$6:$G$5921,2,FALSE),0)</f>
        <v>486074.65</v>
      </c>
      <c r="R372" s="2036">
        <f>IFERROR(VLOOKUP($B372,'[3]1004'!$B$6:$G$5921,4,FALSE),0)</f>
        <v>3</v>
      </c>
      <c r="S372" s="1763">
        <f t="shared" si="33"/>
        <v>162024.88333333333</v>
      </c>
      <c r="T372" s="2033">
        <f>IFERROR(VLOOKUP($B372,'[3]1006'!$B$6:$G$5921,2,FALSE),0)</f>
        <v>324730.78999999998</v>
      </c>
      <c r="U372" s="2034">
        <f>IFERROR(VLOOKUP($B372,'[3]1006'!$B$6:$G$5921,4,FALSE),0)</f>
        <v>2</v>
      </c>
      <c r="V372" s="2033">
        <f t="shared" si="34"/>
        <v>162365.39499999999</v>
      </c>
      <c r="W372" s="2033">
        <f t="shared" si="35"/>
        <v>11</v>
      </c>
    </row>
    <row r="373" spans="2:23" x14ac:dyDescent="0.15">
      <c r="B373" s="2032">
        <v>80161</v>
      </c>
      <c r="C373" s="2032" t="s">
        <v>1946</v>
      </c>
      <c r="D373" s="2032" t="s">
        <v>1947</v>
      </c>
      <c r="E373" s="2032" t="s">
        <v>94</v>
      </c>
      <c r="F373" s="2039" t="s">
        <v>1300</v>
      </c>
      <c r="G373" s="1288" t="s">
        <v>1303</v>
      </c>
      <c r="H373" s="2033">
        <f>IFERROR(VLOOKUP($B373,'[3]1001'!$B$6:$G$5927,2,FALSE),0)</f>
        <v>0</v>
      </c>
      <c r="I373" s="2034">
        <f>IFERROR(VLOOKUP($B373,'[3]1001'!$B$6:$G$5927,4,FALSE),0)</f>
        <v>0</v>
      </c>
      <c r="J373" s="2033">
        <f t="shared" si="30"/>
        <v>0</v>
      </c>
      <c r="K373" s="2035">
        <f>IFERROR(VLOOKUP($B373,'[3]1002'!$B$6:$G$5921,2,FALSE),0)</f>
        <v>151950</v>
      </c>
      <c r="L373" s="2036">
        <f>IFERROR(VLOOKUP($B373,'[3]1002'!$B$6:$G$5921,4,FALSE),0)</f>
        <v>25</v>
      </c>
      <c r="M373" s="1763">
        <f t="shared" si="31"/>
        <v>6078</v>
      </c>
      <c r="N373" s="2033">
        <f>IFERROR(VLOOKUP($B373,'[3]1003'!$B$6:$G$5921,2,FALSE),0)</f>
        <v>76703.62</v>
      </c>
      <c r="O373" s="2034">
        <f>IFERROR(VLOOKUP($B373,'[3]1003'!$B$6:$G$5921,4,FALSE),0)</f>
        <v>14</v>
      </c>
      <c r="P373" s="2033">
        <f t="shared" si="32"/>
        <v>5478.83</v>
      </c>
      <c r="Q373" s="1763">
        <f>IFERROR(VLOOKUP($B373,'[3]1004'!$B$6:$G$5921,2,FALSE),0)</f>
        <v>0</v>
      </c>
      <c r="R373" s="2036">
        <f>IFERROR(VLOOKUP($B373,'[3]1004'!$B$6:$G$5921,4,FALSE),0)</f>
        <v>0</v>
      </c>
      <c r="S373" s="1763">
        <f t="shared" si="33"/>
        <v>0</v>
      </c>
      <c r="T373" s="2033">
        <f>IFERROR(VLOOKUP($B373,'[3]1006'!$B$6:$G$5921,2,FALSE),0)</f>
        <v>0</v>
      </c>
      <c r="U373" s="2034">
        <f>IFERROR(VLOOKUP($B373,'[3]1006'!$B$6:$G$5921,4,FALSE),0)</f>
        <v>0</v>
      </c>
      <c r="V373" s="2033">
        <f t="shared" si="34"/>
        <v>0</v>
      </c>
      <c r="W373" s="2033">
        <f t="shared" si="35"/>
        <v>39</v>
      </c>
    </row>
    <row r="374" spans="2:23" x14ac:dyDescent="0.15">
      <c r="B374" s="1288">
        <v>83541</v>
      </c>
      <c r="C374" s="1288" t="s">
        <v>2477</v>
      </c>
      <c r="D374" s="1288"/>
      <c r="E374" s="1288" t="s">
        <v>94</v>
      </c>
      <c r="F374" s="1288" t="s">
        <v>1300</v>
      </c>
      <c r="G374" s="1288" t="s">
        <v>1296</v>
      </c>
      <c r="H374" s="2033">
        <f>IFERROR(VLOOKUP($B374,'[3]1001'!$B$6:$G$5927,2,FALSE),0)</f>
        <v>0</v>
      </c>
      <c r="I374" s="2034">
        <f>IFERROR(VLOOKUP($B374,'[3]1001'!$B$6:$G$5927,4,FALSE),0)</f>
        <v>0</v>
      </c>
      <c r="J374" s="2033">
        <f t="shared" si="30"/>
        <v>0</v>
      </c>
      <c r="K374" s="2035">
        <f>IFERROR(VLOOKUP($B374,'[3]1002'!$B$6:$G$5921,2,FALSE),0)</f>
        <v>0</v>
      </c>
      <c r="L374" s="2036">
        <f>IFERROR(VLOOKUP($B374,'[3]1002'!$B$6:$G$5921,4,FALSE),0)</f>
        <v>0</v>
      </c>
      <c r="M374" s="1763">
        <f t="shared" si="31"/>
        <v>0</v>
      </c>
      <c r="N374" s="2033">
        <f>IFERROR(VLOOKUP($B374,'[3]1003'!$B$6:$G$5921,2,FALSE),0)</f>
        <v>0</v>
      </c>
      <c r="O374" s="2034">
        <f>IFERROR(VLOOKUP($B374,'[3]1003'!$B$6:$G$5921,4,FALSE),0)</f>
        <v>0</v>
      </c>
      <c r="P374" s="2033">
        <f t="shared" si="32"/>
        <v>0</v>
      </c>
      <c r="Q374" s="1763">
        <f>IFERROR(VLOOKUP($B374,'[3]1004'!$B$6:$G$5921,2,FALSE),0)</f>
        <v>0</v>
      </c>
      <c r="R374" s="2036">
        <f>IFERROR(VLOOKUP($B374,'[3]1004'!$B$6:$G$5921,4,FALSE),0)</f>
        <v>0</v>
      </c>
      <c r="S374" s="1763">
        <f t="shared" si="33"/>
        <v>0</v>
      </c>
      <c r="T374" s="2033">
        <f>IFERROR(VLOOKUP($B374,'[3]1006'!$B$6:$G$5921,2,FALSE),0)</f>
        <v>0</v>
      </c>
      <c r="U374" s="2034">
        <f>IFERROR(VLOOKUP($B374,'[3]1006'!$B$6:$G$5921,4,FALSE),0)</f>
        <v>0</v>
      </c>
      <c r="V374" s="2033">
        <f t="shared" si="34"/>
        <v>0</v>
      </c>
      <c r="W374" s="2033">
        <f t="shared" si="35"/>
        <v>0</v>
      </c>
    </row>
    <row r="375" spans="2:23" x14ac:dyDescent="0.15">
      <c r="B375" s="2032">
        <v>85203</v>
      </c>
      <c r="C375" s="2032" t="s">
        <v>1948</v>
      </c>
      <c r="D375" s="2037" t="s">
        <v>1949</v>
      </c>
      <c r="E375" s="2032" t="s">
        <v>94</v>
      </c>
      <c r="F375" s="1288" t="s">
        <v>1300</v>
      </c>
      <c r="G375" s="1288" t="s">
        <v>1296</v>
      </c>
      <c r="H375" s="2033">
        <f>IFERROR(VLOOKUP($B375,'[3]1001'!$B$6:$G$5927,2,FALSE),0)</f>
        <v>0</v>
      </c>
      <c r="I375" s="2034">
        <f>IFERROR(VLOOKUP($B375,'[3]1001'!$B$6:$G$5927,4,FALSE),0)</f>
        <v>0</v>
      </c>
      <c r="J375" s="2033">
        <f t="shared" si="30"/>
        <v>0</v>
      </c>
      <c r="K375" s="2035">
        <f>IFERROR(VLOOKUP($B375,'[3]1002'!$B$6:$G$5921,2,FALSE),0)</f>
        <v>121141.16</v>
      </c>
      <c r="L375" s="2036">
        <f>IFERROR(VLOOKUP($B375,'[3]1002'!$B$6:$G$5921,4,FALSE),0)</f>
        <v>14</v>
      </c>
      <c r="M375" s="1763">
        <f t="shared" si="31"/>
        <v>8652.94</v>
      </c>
      <c r="N375" s="2033">
        <f>IFERROR(VLOOKUP($B375,'[3]1003'!$B$6:$G$5921,2,FALSE),0)</f>
        <v>0</v>
      </c>
      <c r="O375" s="2034">
        <f>IFERROR(VLOOKUP($B375,'[3]1003'!$B$6:$G$5921,4,FALSE),0)</f>
        <v>0</v>
      </c>
      <c r="P375" s="2033">
        <f t="shared" si="32"/>
        <v>0</v>
      </c>
      <c r="Q375" s="1763">
        <f>IFERROR(VLOOKUP($B375,'[3]1004'!$B$6:$G$5921,2,FALSE),0)</f>
        <v>0</v>
      </c>
      <c r="R375" s="2036">
        <f>IFERROR(VLOOKUP($B375,'[3]1004'!$B$6:$G$5921,4,FALSE),0)</f>
        <v>0</v>
      </c>
      <c r="S375" s="1763">
        <f t="shared" si="33"/>
        <v>0</v>
      </c>
      <c r="T375" s="2033">
        <f>IFERROR(VLOOKUP($B375,'[3]1006'!$B$6:$G$5921,2,FALSE),0)</f>
        <v>0</v>
      </c>
      <c r="U375" s="2034">
        <f>IFERROR(VLOOKUP($B375,'[3]1006'!$B$6:$G$5921,4,FALSE),0)</f>
        <v>0</v>
      </c>
      <c r="V375" s="2033">
        <f t="shared" si="34"/>
        <v>0</v>
      </c>
      <c r="W375" s="2033">
        <f t="shared" si="35"/>
        <v>14</v>
      </c>
    </row>
    <row r="376" spans="2:23" x14ac:dyDescent="0.15">
      <c r="B376" s="2032">
        <v>85204</v>
      </c>
      <c r="C376" s="2032" t="s">
        <v>1950</v>
      </c>
      <c r="D376" s="2032" t="s">
        <v>1951</v>
      </c>
      <c r="E376" s="2032" t="s">
        <v>94</v>
      </c>
      <c r="F376" s="2039" t="s">
        <v>1305</v>
      </c>
      <c r="G376" s="1288" t="s">
        <v>1303</v>
      </c>
      <c r="H376" s="2033">
        <f>IFERROR(VLOOKUP($B376,'[3]1001'!$B$6:$G$5927,2,FALSE),0)</f>
        <v>50737.62</v>
      </c>
      <c r="I376" s="2034">
        <f>IFERROR(VLOOKUP($B376,'[3]1001'!$B$6:$G$5927,4,FALSE),0)</f>
        <v>6</v>
      </c>
      <c r="J376" s="2033">
        <f t="shared" si="30"/>
        <v>8456.27</v>
      </c>
      <c r="K376" s="2035">
        <f>IFERROR(VLOOKUP($B376,'[3]1002'!$B$6:$G$5921,2,FALSE),0)</f>
        <v>0</v>
      </c>
      <c r="L376" s="2036">
        <f>IFERROR(VLOOKUP($B376,'[3]1002'!$B$6:$G$5921,4,FALSE),0)</f>
        <v>0</v>
      </c>
      <c r="M376" s="1763">
        <f t="shared" si="31"/>
        <v>0</v>
      </c>
      <c r="N376" s="2033">
        <f>IFERROR(VLOOKUP($B376,'[3]1003'!$B$6:$G$5921,2,FALSE),0)</f>
        <v>0</v>
      </c>
      <c r="O376" s="2034">
        <f>IFERROR(VLOOKUP($B376,'[3]1003'!$B$6:$G$5921,4,FALSE),0)</f>
        <v>0</v>
      </c>
      <c r="P376" s="2033">
        <f t="shared" si="32"/>
        <v>0</v>
      </c>
      <c r="Q376" s="1763">
        <f>IFERROR(VLOOKUP($B376,'[3]1004'!$B$6:$G$5921,2,FALSE),0)</f>
        <v>0</v>
      </c>
      <c r="R376" s="2036">
        <f>IFERROR(VLOOKUP($B376,'[3]1004'!$B$6:$G$5921,4,FALSE),0)</f>
        <v>0</v>
      </c>
      <c r="S376" s="1763">
        <f t="shared" si="33"/>
        <v>0</v>
      </c>
      <c r="T376" s="2033">
        <f>IFERROR(VLOOKUP($B376,'[3]1006'!$B$6:$G$5921,2,FALSE),0)</f>
        <v>0</v>
      </c>
      <c r="U376" s="2034">
        <f>IFERROR(VLOOKUP($B376,'[3]1006'!$B$6:$G$5921,4,FALSE),0)</f>
        <v>0</v>
      </c>
      <c r="V376" s="2033">
        <f t="shared" si="34"/>
        <v>0</v>
      </c>
      <c r="W376" s="2033">
        <f t="shared" si="35"/>
        <v>6</v>
      </c>
    </row>
    <row r="377" spans="2:23" x14ac:dyDescent="0.15">
      <c r="B377" s="2032">
        <v>85205</v>
      </c>
      <c r="C377" s="2032" t="s">
        <v>1952</v>
      </c>
      <c r="D377" s="2037" t="s">
        <v>1953</v>
      </c>
      <c r="E377" s="2032" t="s">
        <v>94</v>
      </c>
      <c r="F377" s="1288" t="s">
        <v>1300</v>
      </c>
      <c r="G377" s="1288" t="s">
        <v>1303</v>
      </c>
      <c r="H377" s="2033">
        <f>IFERROR(VLOOKUP($B377,'[3]1001'!$B$6:$G$5927,2,FALSE),0)</f>
        <v>0</v>
      </c>
      <c r="I377" s="2034">
        <f>IFERROR(VLOOKUP($B377,'[3]1001'!$B$6:$G$5927,4,FALSE),0)</f>
        <v>0</v>
      </c>
      <c r="J377" s="2033">
        <f t="shared" si="30"/>
        <v>0</v>
      </c>
      <c r="K377" s="2035">
        <f>IFERROR(VLOOKUP($B377,'[3]1002'!$B$6:$G$5921,2,FALSE),0)</f>
        <v>5442078.7699999996</v>
      </c>
      <c r="L377" s="2036">
        <f>IFERROR(VLOOKUP($B377,'[3]1002'!$B$6:$G$5921,4,FALSE),0)</f>
        <v>73</v>
      </c>
      <c r="M377" s="1763">
        <f t="shared" si="31"/>
        <v>74549.02424657534</v>
      </c>
      <c r="N377" s="2033">
        <f>IFERROR(VLOOKUP($B377,'[3]1003'!$B$6:$G$5921,2,FALSE),0)</f>
        <v>0</v>
      </c>
      <c r="O377" s="2034">
        <f>IFERROR(VLOOKUP($B377,'[3]1003'!$B$6:$G$5921,4,FALSE),0)</f>
        <v>0</v>
      </c>
      <c r="P377" s="2033">
        <f t="shared" si="32"/>
        <v>0</v>
      </c>
      <c r="Q377" s="1763">
        <f>IFERROR(VLOOKUP($B377,'[3]1004'!$B$6:$G$5921,2,FALSE),0)</f>
        <v>0</v>
      </c>
      <c r="R377" s="2036">
        <f>IFERROR(VLOOKUP($B377,'[3]1004'!$B$6:$G$5921,4,FALSE),0)</f>
        <v>0</v>
      </c>
      <c r="S377" s="1763">
        <f t="shared" si="33"/>
        <v>0</v>
      </c>
      <c r="T377" s="2033">
        <f>IFERROR(VLOOKUP($B377,'[3]1006'!$B$6:$G$5921,2,FALSE),0)</f>
        <v>0</v>
      </c>
      <c r="U377" s="2034">
        <f>IFERROR(VLOOKUP($B377,'[3]1006'!$B$6:$G$5921,4,FALSE),0)</f>
        <v>0</v>
      </c>
      <c r="V377" s="2033">
        <f t="shared" si="34"/>
        <v>0</v>
      </c>
      <c r="W377" s="2033">
        <f t="shared" si="35"/>
        <v>73</v>
      </c>
    </row>
    <row r="378" spans="2:23" x14ac:dyDescent="0.15">
      <c r="B378" s="2032">
        <v>85207</v>
      </c>
      <c r="C378" s="2032" t="s">
        <v>1954</v>
      </c>
      <c r="D378" s="2037" t="s">
        <v>1955</v>
      </c>
      <c r="E378" s="2032" t="s">
        <v>94</v>
      </c>
      <c r="F378" s="1288" t="s">
        <v>1305</v>
      </c>
      <c r="G378" s="1288" t="s">
        <v>1303</v>
      </c>
      <c r="H378" s="2033">
        <f>IFERROR(VLOOKUP($B378,'[3]1001'!$B$6:$G$5927,2,FALSE),0)</f>
        <v>0</v>
      </c>
      <c r="I378" s="2034">
        <f>IFERROR(VLOOKUP($B378,'[3]1001'!$B$6:$G$5927,4,FALSE),0)</f>
        <v>0</v>
      </c>
      <c r="J378" s="2033">
        <f t="shared" si="30"/>
        <v>0</v>
      </c>
      <c r="K378" s="2035">
        <f>IFERROR(VLOOKUP($B378,'[3]1002'!$B$6:$G$5921,2,FALSE),0)</f>
        <v>2148702.7200000002</v>
      </c>
      <c r="L378" s="2036">
        <f>IFERROR(VLOOKUP($B378,'[3]1002'!$B$6:$G$5921,4,FALSE),0)</f>
        <v>96</v>
      </c>
      <c r="M378" s="1763">
        <f t="shared" si="31"/>
        <v>22382.320000000003</v>
      </c>
      <c r="N378" s="2033">
        <f>IFERROR(VLOOKUP($B378,'[3]1003'!$B$6:$G$5921,2,FALSE),0)</f>
        <v>0</v>
      </c>
      <c r="O378" s="2034">
        <f>IFERROR(VLOOKUP($B378,'[3]1003'!$B$6:$G$5921,4,FALSE),0)</f>
        <v>0</v>
      </c>
      <c r="P378" s="2033">
        <f t="shared" si="32"/>
        <v>0</v>
      </c>
      <c r="Q378" s="1763">
        <f>IFERROR(VLOOKUP($B378,'[3]1004'!$B$6:$G$5921,2,FALSE),0)</f>
        <v>0</v>
      </c>
      <c r="R378" s="2036">
        <f>IFERROR(VLOOKUP($B378,'[3]1004'!$B$6:$G$5921,4,FALSE),0)</f>
        <v>0</v>
      </c>
      <c r="S378" s="1763">
        <f t="shared" si="33"/>
        <v>0</v>
      </c>
      <c r="T378" s="2033">
        <f>IFERROR(VLOOKUP($B378,'[3]1006'!$B$6:$G$5921,2,FALSE),0)</f>
        <v>0</v>
      </c>
      <c r="U378" s="2034">
        <f>IFERROR(VLOOKUP($B378,'[3]1006'!$B$6:$G$5921,4,FALSE),0)</f>
        <v>0</v>
      </c>
      <c r="V378" s="2033">
        <f t="shared" si="34"/>
        <v>0</v>
      </c>
      <c r="W378" s="2033">
        <f t="shared" si="35"/>
        <v>96</v>
      </c>
    </row>
    <row r="379" spans="2:23" x14ac:dyDescent="0.15">
      <c r="B379" s="2032">
        <v>85208</v>
      </c>
      <c r="C379" s="2032" t="s">
        <v>1956</v>
      </c>
      <c r="D379" s="2037" t="s">
        <v>1957</v>
      </c>
      <c r="E379" s="2032" t="s">
        <v>94</v>
      </c>
      <c r="F379" s="1288" t="s">
        <v>1305</v>
      </c>
      <c r="G379" s="1288" t="s">
        <v>1303</v>
      </c>
      <c r="H379" s="2033">
        <f>IFERROR(VLOOKUP($B379,'[3]1001'!$B$6:$G$5927,2,FALSE),0)</f>
        <v>0</v>
      </c>
      <c r="I379" s="2034">
        <f>IFERROR(VLOOKUP($B379,'[3]1001'!$B$6:$G$5927,4,FALSE),0)</f>
        <v>0</v>
      </c>
      <c r="J379" s="2033">
        <f t="shared" si="30"/>
        <v>0</v>
      </c>
      <c r="K379" s="2035">
        <f>IFERROR(VLOOKUP($B379,'[3]1002'!$B$6:$G$5921,2,FALSE),0)</f>
        <v>13924256.189999999</v>
      </c>
      <c r="L379" s="2036">
        <f>IFERROR(VLOOKUP($B379,'[3]1002'!$B$6:$G$5921,4,FALSE),0)</f>
        <v>611</v>
      </c>
      <c r="M379" s="1763">
        <f t="shared" si="31"/>
        <v>22789.29</v>
      </c>
      <c r="N379" s="2033">
        <f>IFERROR(VLOOKUP($B379,'[3]1003'!$B$6:$G$5921,2,FALSE),0)</f>
        <v>0</v>
      </c>
      <c r="O379" s="2034">
        <f>IFERROR(VLOOKUP($B379,'[3]1003'!$B$6:$G$5921,4,FALSE),0)</f>
        <v>0</v>
      </c>
      <c r="P379" s="2033">
        <f t="shared" si="32"/>
        <v>0</v>
      </c>
      <c r="Q379" s="1763">
        <f>IFERROR(VLOOKUP($B379,'[3]1004'!$B$6:$G$5921,2,FALSE),0)</f>
        <v>0</v>
      </c>
      <c r="R379" s="2036">
        <f>IFERROR(VLOOKUP($B379,'[3]1004'!$B$6:$G$5921,4,FALSE),0)</f>
        <v>0</v>
      </c>
      <c r="S379" s="1763">
        <f t="shared" si="33"/>
        <v>0</v>
      </c>
      <c r="T379" s="2033">
        <f>IFERROR(VLOOKUP($B379,'[3]1006'!$B$6:$G$5921,2,FALSE),0)</f>
        <v>0</v>
      </c>
      <c r="U379" s="2034">
        <f>IFERROR(VLOOKUP($B379,'[3]1006'!$B$6:$G$5921,4,FALSE),0)</f>
        <v>0</v>
      </c>
      <c r="V379" s="2033">
        <f t="shared" si="34"/>
        <v>0</v>
      </c>
      <c r="W379" s="2033">
        <f t="shared" si="35"/>
        <v>611</v>
      </c>
    </row>
    <row r="380" spans="2:23" x14ac:dyDescent="0.15">
      <c r="B380" s="2032">
        <v>85209</v>
      </c>
      <c r="C380" s="2032" t="s">
        <v>1958</v>
      </c>
      <c r="D380" s="2037" t="s">
        <v>1959</v>
      </c>
      <c r="E380" s="2032" t="s">
        <v>94</v>
      </c>
      <c r="F380" s="1288" t="s">
        <v>1305</v>
      </c>
      <c r="G380" s="1288" t="s">
        <v>1303</v>
      </c>
      <c r="H380" s="2033">
        <f>IFERROR(VLOOKUP($B380,'[3]1001'!$B$6:$G$5927,2,FALSE),0)</f>
        <v>0</v>
      </c>
      <c r="I380" s="2034">
        <f>IFERROR(VLOOKUP($B380,'[3]1001'!$B$6:$G$5927,4,FALSE),0)</f>
        <v>0</v>
      </c>
      <c r="J380" s="2033">
        <f t="shared" si="30"/>
        <v>0</v>
      </c>
      <c r="K380" s="2035">
        <f>IFERROR(VLOOKUP($B380,'[3]1002'!$B$6:$G$5921,2,FALSE),0)</f>
        <v>1414534.26</v>
      </c>
      <c r="L380" s="2036">
        <f>IFERROR(VLOOKUP($B380,'[3]1002'!$B$6:$G$5921,4,FALSE),0)</f>
        <v>26</v>
      </c>
      <c r="M380" s="1763">
        <f t="shared" si="31"/>
        <v>54405.163846153846</v>
      </c>
      <c r="N380" s="2033">
        <f>IFERROR(VLOOKUP($B380,'[3]1003'!$B$6:$G$5921,2,FALSE),0)</f>
        <v>0</v>
      </c>
      <c r="O380" s="2034">
        <f>IFERROR(VLOOKUP($B380,'[3]1003'!$B$6:$G$5921,4,FALSE),0)</f>
        <v>0</v>
      </c>
      <c r="P380" s="2033">
        <f t="shared" si="32"/>
        <v>0</v>
      </c>
      <c r="Q380" s="1763">
        <f>IFERROR(VLOOKUP($B380,'[3]1004'!$B$6:$G$5921,2,FALSE),0)</f>
        <v>0</v>
      </c>
      <c r="R380" s="2036">
        <f>IFERROR(VLOOKUP($B380,'[3]1004'!$B$6:$G$5921,4,FALSE),0)</f>
        <v>0</v>
      </c>
      <c r="S380" s="1763">
        <f t="shared" si="33"/>
        <v>0</v>
      </c>
      <c r="T380" s="2033">
        <f>IFERROR(VLOOKUP($B380,'[3]1006'!$B$6:$G$5921,2,FALSE),0)</f>
        <v>0</v>
      </c>
      <c r="U380" s="2034">
        <f>IFERROR(VLOOKUP($B380,'[3]1006'!$B$6:$G$5921,4,FALSE),0)</f>
        <v>0</v>
      </c>
      <c r="V380" s="2033">
        <f t="shared" si="34"/>
        <v>0</v>
      </c>
      <c r="W380" s="2033">
        <f t="shared" si="35"/>
        <v>26</v>
      </c>
    </row>
    <row r="381" spans="2:23" x14ac:dyDescent="0.15">
      <c r="B381" s="2032">
        <v>85210</v>
      </c>
      <c r="C381" s="2032" t="s">
        <v>1960</v>
      </c>
      <c r="D381" s="2032" t="s">
        <v>1298</v>
      </c>
      <c r="E381" s="2032" t="s">
        <v>94</v>
      </c>
      <c r="F381" s="1288" t="s">
        <v>1715</v>
      </c>
      <c r="G381" s="1288" t="s">
        <v>1303</v>
      </c>
      <c r="H381" s="2033">
        <f>IFERROR(VLOOKUP($B381,'[3]1001'!$B$6:$G$5927,2,FALSE),0)</f>
        <v>0</v>
      </c>
      <c r="I381" s="2034">
        <f>IFERROR(VLOOKUP($B381,'[3]1001'!$B$6:$G$5927,4,FALSE),0)</f>
        <v>0</v>
      </c>
      <c r="J381" s="2033">
        <f t="shared" si="30"/>
        <v>0</v>
      </c>
      <c r="K381" s="2035">
        <f>IFERROR(VLOOKUP($B381,'[3]1002'!$B$6:$G$5921,2,FALSE),0)</f>
        <v>11477842.960000001</v>
      </c>
      <c r="L381" s="2036">
        <f>IFERROR(VLOOKUP($B381,'[3]1002'!$B$6:$G$5921,4,FALSE),0)</f>
        <v>20</v>
      </c>
      <c r="M381" s="1763">
        <f t="shared" si="31"/>
        <v>573892.14800000004</v>
      </c>
      <c r="N381" s="2033">
        <f>IFERROR(VLOOKUP($B381,'[3]1003'!$B$6:$G$5921,2,FALSE),0)</f>
        <v>24330315.620000001</v>
      </c>
      <c r="O381" s="2034">
        <f>IFERROR(VLOOKUP($B381,'[3]1003'!$B$6:$G$5921,4,FALSE),0)</f>
        <v>50</v>
      </c>
      <c r="P381" s="2033">
        <f t="shared" si="32"/>
        <v>486606.3124</v>
      </c>
      <c r="Q381" s="1763">
        <f>IFERROR(VLOOKUP($B381,'[3]1004'!$B$6:$G$5921,2,FALSE),0)</f>
        <v>38791179.789999999</v>
      </c>
      <c r="R381" s="2036">
        <f>IFERROR(VLOOKUP($B381,'[3]1004'!$B$6:$G$5921,4,FALSE),0)</f>
        <v>73</v>
      </c>
      <c r="S381" s="1763">
        <f t="shared" si="33"/>
        <v>531386.02452054794</v>
      </c>
      <c r="T381" s="2033">
        <f>IFERROR(VLOOKUP($B381,'[3]1006'!$B$6:$G$5921,2,FALSE),0)</f>
        <v>0</v>
      </c>
      <c r="U381" s="2034">
        <f>IFERROR(VLOOKUP($B381,'[3]1006'!$B$6:$G$5921,4,FALSE),0)</f>
        <v>0</v>
      </c>
      <c r="V381" s="2033">
        <f t="shared" si="34"/>
        <v>0</v>
      </c>
      <c r="W381" s="2033">
        <f>U381+R381+O381+L381+I381</f>
        <v>143</v>
      </c>
    </row>
    <row r="382" spans="2:23" x14ac:dyDescent="0.15">
      <c r="B382" s="2032">
        <v>85211</v>
      </c>
      <c r="C382" s="2032" t="s">
        <v>1961</v>
      </c>
      <c r="D382" s="2037" t="s">
        <v>1962</v>
      </c>
      <c r="E382" s="2032" t="s">
        <v>94</v>
      </c>
      <c r="F382" s="1288" t="s">
        <v>1305</v>
      </c>
      <c r="G382" s="1288" t="s">
        <v>1303</v>
      </c>
      <c r="H382" s="2033">
        <f>IFERROR(VLOOKUP($B382,'[3]1001'!$B$6:$G$5927,2,FALSE),0)</f>
        <v>0</v>
      </c>
      <c r="I382" s="2034">
        <f>IFERROR(VLOOKUP($B382,'[3]1001'!$B$6:$G$5927,4,FALSE),0)</f>
        <v>0</v>
      </c>
      <c r="J382" s="2033">
        <f t="shared" si="30"/>
        <v>0</v>
      </c>
      <c r="K382" s="2035">
        <f>IFERROR(VLOOKUP($B382,'[3]1002'!$B$6:$G$5921,2,FALSE),0)</f>
        <v>11969136.08</v>
      </c>
      <c r="L382" s="2036">
        <f>IFERROR(VLOOKUP($B382,'[3]1002'!$B$6:$G$5921,4,FALSE),0)</f>
        <v>220</v>
      </c>
      <c r="M382" s="1763">
        <f t="shared" si="31"/>
        <v>54405.163999999997</v>
      </c>
      <c r="N382" s="2033">
        <f>IFERROR(VLOOKUP($B382,'[3]1003'!$B$6:$G$5921,2,FALSE),0)</f>
        <v>0</v>
      </c>
      <c r="O382" s="2034">
        <f>IFERROR(VLOOKUP($B382,'[3]1003'!$B$6:$G$5921,4,FALSE),0)</f>
        <v>0</v>
      </c>
      <c r="P382" s="2033">
        <f t="shared" si="32"/>
        <v>0</v>
      </c>
      <c r="Q382" s="1763">
        <f>IFERROR(VLOOKUP($B382,'[3]1004'!$B$6:$G$5921,2,FALSE),0)</f>
        <v>0</v>
      </c>
      <c r="R382" s="2036">
        <f>IFERROR(VLOOKUP($B382,'[3]1004'!$B$6:$G$5921,4,FALSE),0)</f>
        <v>0</v>
      </c>
      <c r="S382" s="1763">
        <f t="shared" si="33"/>
        <v>0</v>
      </c>
      <c r="T382" s="2033">
        <f>IFERROR(VLOOKUP($B382,'[3]1006'!$B$6:$G$5921,2,FALSE),0)</f>
        <v>0</v>
      </c>
      <c r="U382" s="2034">
        <f>IFERROR(VLOOKUP($B382,'[3]1006'!$B$6:$G$5921,4,FALSE),0)</f>
        <v>0</v>
      </c>
      <c r="V382" s="2033">
        <f t="shared" si="34"/>
        <v>0</v>
      </c>
      <c r="W382" s="2033">
        <f t="shared" si="35"/>
        <v>220</v>
      </c>
    </row>
    <row r="383" spans="2:23" x14ac:dyDescent="0.15">
      <c r="B383" s="2032">
        <v>85212</v>
      </c>
      <c r="C383" s="2032" t="s">
        <v>1963</v>
      </c>
      <c r="D383" s="2037" t="s">
        <v>1964</v>
      </c>
      <c r="E383" s="2032" t="s">
        <v>94</v>
      </c>
      <c r="F383" s="1288" t="s">
        <v>1305</v>
      </c>
      <c r="G383" s="1288" t="s">
        <v>1303</v>
      </c>
      <c r="H383" s="2033">
        <f>IFERROR(VLOOKUP($B383,'[3]1001'!$B$6:$G$5927,2,FALSE),0)</f>
        <v>0</v>
      </c>
      <c r="I383" s="2034">
        <f>IFERROR(VLOOKUP($B383,'[3]1001'!$B$6:$G$5927,4,FALSE),0)</f>
        <v>0</v>
      </c>
      <c r="J383" s="2033">
        <f t="shared" si="30"/>
        <v>0</v>
      </c>
      <c r="K383" s="2035">
        <f>IFERROR(VLOOKUP($B383,'[3]1002'!$B$6:$G$5921,2,FALSE),0)</f>
        <v>2821724.2</v>
      </c>
      <c r="L383" s="2036">
        <f>IFERROR(VLOOKUP($B383,'[3]1002'!$B$6:$G$5921,4,FALSE),0)</f>
        <v>19</v>
      </c>
      <c r="M383" s="1763">
        <f t="shared" si="31"/>
        <v>148511.80000000002</v>
      </c>
      <c r="N383" s="2033">
        <f>IFERROR(VLOOKUP($B383,'[3]1003'!$B$6:$G$5921,2,FALSE),0)</f>
        <v>0</v>
      </c>
      <c r="O383" s="2034">
        <f>IFERROR(VLOOKUP($B383,'[3]1003'!$B$6:$G$5921,4,FALSE),0)</f>
        <v>0</v>
      </c>
      <c r="P383" s="2033">
        <f t="shared" si="32"/>
        <v>0</v>
      </c>
      <c r="Q383" s="1763">
        <f>IFERROR(VLOOKUP($B383,'[3]1004'!$B$6:$G$5921,2,FALSE),0)</f>
        <v>0</v>
      </c>
      <c r="R383" s="2036">
        <f>IFERROR(VLOOKUP($B383,'[3]1004'!$B$6:$G$5921,4,FALSE),0)</f>
        <v>0</v>
      </c>
      <c r="S383" s="1763">
        <f t="shared" si="33"/>
        <v>0</v>
      </c>
      <c r="T383" s="2033">
        <f>IFERROR(VLOOKUP($B383,'[3]1006'!$B$6:$G$5921,2,FALSE),0)</f>
        <v>0</v>
      </c>
      <c r="U383" s="2034">
        <f>IFERROR(VLOOKUP($B383,'[3]1006'!$B$6:$G$5921,4,FALSE),0)</f>
        <v>0</v>
      </c>
      <c r="V383" s="2033">
        <f t="shared" si="34"/>
        <v>0</v>
      </c>
      <c r="W383" s="2033">
        <f t="shared" si="35"/>
        <v>19</v>
      </c>
    </row>
    <row r="384" spans="2:23" x14ac:dyDescent="0.15">
      <c r="B384" s="2032">
        <v>85213</v>
      </c>
      <c r="C384" s="2032" t="s">
        <v>1965</v>
      </c>
      <c r="D384" s="2032" t="s">
        <v>1966</v>
      </c>
      <c r="E384" s="2032" t="s">
        <v>94</v>
      </c>
      <c r="F384" s="1288" t="s">
        <v>1305</v>
      </c>
      <c r="G384" s="1288" t="s">
        <v>1303</v>
      </c>
      <c r="H384" s="2033">
        <f>IFERROR(VLOOKUP($B384,'[3]1001'!$B$6:$G$5927,2,FALSE),0)</f>
        <v>0</v>
      </c>
      <c r="I384" s="2034">
        <f>IFERROR(VLOOKUP($B384,'[3]1001'!$B$6:$G$5927,4,FALSE),0)</f>
        <v>0</v>
      </c>
      <c r="J384" s="2033">
        <f t="shared" si="30"/>
        <v>0</v>
      </c>
      <c r="K384" s="2035">
        <f>IFERROR(VLOOKUP($B384,'[3]1002'!$B$6:$G$5921,2,FALSE),0)</f>
        <v>0</v>
      </c>
      <c r="L384" s="2036">
        <f>IFERROR(VLOOKUP($B384,'[3]1002'!$B$6:$G$5921,4,FALSE),0)</f>
        <v>0</v>
      </c>
      <c r="M384" s="1763">
        <f t="shared" si="31"/>
        <v>0</v>
      </c>
      <c r="N384" s="2033">
        <f>IFERROR(VLOOKUP($B384,'[3]1003'!$B$6:$G$5921,2,FALSE),0)</f>
        <v>0</v>
      </c>
      <c r="O384" s="2034">
        <f>IFERROR(VLOOKUP($B384,'[3]1003'!$B$6:$G$5921,4,FALSE),0)</f>
        <v>0</v>
      </c>
      <c r="P384" s="2033">
        <f t="shared" si="32"/>
        <v>0</v>
      </c>
      <c r="Q384" s="1763">
        <f>IFERROR(VLOOKUP($B384,'[3]1004'!$B$6:$G$5921,2,FALSE),0)</f>
        <v>0</v>
      </c>
      <c r="R384" s="2036">
        <f>IFERROR(VLOOKUP($B384,'[3]1004'!$B$6:$G$5921,4,FALSE),0)</f>
        <v>0</v>
      </c>
      <c r="S384" s="1763">
        <f t="shared" si="33"/>
        <v>0</v>
      </c>
      <c r="T384" s="2033">
        <f>IFERROR(VLOOKUP($B384,'[3]1006'!$B$6:$G$5921,2,FALSE),0)</f>
        <v>0</v>
      </c>
      <c r="U384" s="2034">
        <f>IFERROR(VLOOKUP($B384,'[3]1006'!$B$6:$G$5921,4,FALSE),0)</f>
        <v>0</v>
      </c>
      <c r="V384" s="2033">
        <f t="shared" si="34"/>
        <v>0</v>
      </c>
      <c r="W384" s="2033">
        <f t="shared" si="35"/>
        <v>0</v>
      </c>
    </row>
    <row r="385" spans="2:23" x14ac:dyDescent="0.15">
      <c r="B385" s="2032">
        <v>85214</v>
      </c>
      <c r="C385" s="2032" t="s">
        <v>1967</v>
      </c>
      <c r="D385" s="2037" t="s">
        <v>1968</v>
      </c>
      <c r="E385" s="2032" t="s">
        <v>94</v>
      </c>
      <c r="F385" s="1288" t="s">
        <v>1300</v>
      </c>
      <c r="G385" s="1288" t="s">
        <v>1303</v>
      </c>
      <c r="H385" s="2033">
        <f>IFERROR(VLOOKUP($B385,'[3]1001'!$B$6:$G$5927,2,FALSE),0)</f>
        <v>288558.58</v>
      </c>
      <c r="I385" s="2034">
        <f>IFERROR(VLOOKUP($B385,'[3]1001'!$B$6:$G$5927,4,FALSE),0)</f>
        <v>1</v>
      </c>
      <c r="J385" s="2033">
        <f t="shared" si="30"/>
        <v>288558.58</v>
      </c>
      <c r="K385" s="2035">
        <f>IFERROR(VLOOKUP($B385,'[3]1002'!$B$6:$G$5921,2,FALSE),0)</f>
        <v>293891.21000000002</v>
      </c>
      <c r="L385" s="2036">
        <f>IFERROR(VLOOKUP($B385,'[3]1002'!$B$6:$G$5921,4,FALSE),0)</f>
        <v>1</v>
      </c>
      <c r="M385" s="1763">
        <f t="shared" si="31"/>
        <v>293891.21000000002</v>
      </c>
      <c r="N385" s="2033">
        <f>IFERROR(VLOOKUP($B385,'[3]1003'!$B$6:$G$5921,2,FALSE),0)</f>
        <v>0</v>
      </c>
      <c r="O385" s="2034">
        <f>IFERROR(VLOOKUP($B385,'[3]1003'!$B$6:$G$5921,4,FALSE),0)</f>
        <v>0</v>
      </c>
      <c r="P385" s="2033">
        <f t="shared" si="32"/>
        <v>0</v>
      </c>
      <c r="Q385" s="1763">
        <f>IFERROR(VLOOKUP($B385,'[3]1004'!$B$6:$G$5921,2,FALSE),0)</f>
        <v>0</v>
      </c>
      <c r="R385" s="2036">
        <f>IFERROR(VLOOKUP($B385,'[3]1004'!$B$6:$G$5921,4,FALSE),0)</f>
        <v>0</v>
      </c>
      <c r="S385" s="1763">
        <f t="shared" si="33"/>
        <v>0</v>
      </c>
      <c r="T385" s="2033">
        <f>IFERROR(VLOOKUP($B385,'[3]1006'!$B$6:$G$5921,2,FALSE),0)</f>
        <v>0</v>
      </c>
      <c r="U385" s="2034">
        <f>IFERROR(VLOOKUP($B385,'[3]1006'!$B$6:$G$5921,4,FALSE),0)</f>
        <v>0</v>
      </c>
      <c r="V385" s="2033">
        <f t="shared" si="34"/>
        <v>0</v>
      </c>
      <c r="W385" s="2033">
        <f t="shared" si="35"/>
        <v>2</v>
      </c>
    </row>
    <row r="386" spans="2:23" ht="15" x14ac:dyDescent="0.2">
      <c r="B386" s="2042">
        <v>85215</v>
      </c>
      <c r="C386" s="1288" t="s">
        <v>1969</v>
      </c>
      <c r="D386" s="1288"/>
      <c r="E386" s="1288" t="s">
        <v>94</v>
      </c>
      <c r="F386" s="1288" t="s">
        <v>1300</v>
      </c>
      <c r="G386" s="1288" t="s">
        <v>1303</v>
      </c>
      <c r="H386" s="2033">
        <f>IFERROR(VLOOKUP($B386,'[3]1001'!$B$6:$G$5927,2,FALSE),0)</f>
        <v>0</v>
      </c>
      <c r="I386" s="2034">
        <f>IFERROR(VLOOKUP($B386,'[3]1001'!$B$6:$G$5927,4,FALSE),0)</f>
        <v>0</v>
      </c>
      <c r="J386" s="2033">
        <f t="shared" si="30"/>
        <v>0</v>
      </c>
      <c r="K386" s="2035">
        <f>IFERROR(VLOOKUP($B386,'[3]1002'!$B$6:$G$5921,2,FALSE),0)</f>
        <v>0</v>
      </c>
      <c r="L386" s="2036">
        <f>IFERROR(VLOOKUP($B386,'[3]1002'!$B$6:$G$5921,4,FALSE),0)</f>
        <v>0</v>
      </c>
      <c r="M386" s="1763">
        <f t="shared" si="31"/>
        <v>0</v>
      </c>
      <c r="N386" s="2033">
        <f>IFERROR(VLOOKUP($B386,'[3]1003'!$B$6:$G$5921,2,FALSE),0)</f>
        <v>0</v>
      </c>
      <c r="O386" s="2034">
        <f>IFERROR(VLOOKUP($B386,'[3]1003'!$B$6:$G$5921,4,FALSE),0)</f>
        <v>0</v>
      </c>
      <c r="P386" s="2033">
        <f t="shared" si="32"/>
        <v>0</v>
      </c>
      <c r="Q386" s="1763">
        <f>IFERROR(VLOOKUP($B386,'[3]1004'!$B$6:$G$5921,2,FALSE),0)</f>
        <v>0</v>
      </c>
      <c r="R386" s="2036">
        <f>IFERROR(VLOOKUP($B386,'[3]1004'!$B$6:$G$5921,4,FALSE),0)</f>
        <v>0</v>
      </c>
      <c r="S386" s="1763">
        <f t="shared" si="33"/>
        <v>0</v>
      </c>
      <c r="T386" s="2033">
        <f>IFERROR(VLOOKUP($B386,'[3]1006'!$B$6:$G$5921,2,FALSE),0)</f>
        <v>0</v>
      </c>
      <c r="U386" s="2034">
        <f>IFERROR(VLOOKUP($B386,'[3]1006'!$B$6:$G$5921,4,FALSE),0)</f>
        <v>0</v>
      </c>
      <c r="V386" s="2033">
        <f t="shared" si="34"/>
        <v>0</v>
      </c>
      <c r="W386" s="2033">
        <f t="shared" si="35"/>
        <v>0</v>
      </c>
    </row>
    <row r="387" spans="2:23" x14ac:dyDescent="0.15">
      <c r="B387" s="2032">
        <v>85216</v>
      </c>
      <c r="C387" s="2032" t="s">
        <v>1970</v>
      </c>
      <c r="D387" s="2037" t="s">
        <v>1971</v>
      </c>
      <c r="E387" s="2032" t="s">
        <v>94</v>
      </c>
      <c r="F387" s="1288" t="s">
        <v>1325</v>
      </c>
      <c r="G387" s="1288" t="s">
        <v>1303</v>
      </c>
      <c r="H387" s="2033">
        <f>IFERROR(VLOOKUP($B387,'[3]1001'!$B$6:$G$5927,2,FALSE),0)</f>
        <v>0</v>
      </c>
      <c r="I387" s="2034">
        <f>IFERROR(VLOOKUP($B387,'[3]1001'!$B$6:$G$5927,4,FALSE),0)</f>
        <v>0</v>
      </c>
      <c r="J387" s="2033">
        <f t="shared" si="30"/>
        <v>0</v>
      </c>
      <c r="K387" s="2035">
        <f>IFERROR(VLOOKUP($B387,'[3]1002'!$B$6:$G$5921,2,FALSE),0)</f>
        <v>0</v>
      </c>
      <c r="L387" s="2036">
        <f>IFERROR(VLOOKUP($B387,'[3]1002'!$B$6:$G$5921,4,FALSE),0)</f>
        <v>0</v>
      </c>
      <c r="M387" s="1763">
        <f t="shared" si="31"/>
        <v>0</v>
      </c>
      <c r="N387" s="2033">
        <f>IFERROR(VLOOKUP($B387,'[3]1003'!$B$6:$G$5921,2,FALSE),0)</f>
        <v>4160726.09</v>
      </c>
      <c r="O387" s="2034">
        <f>IFERROR(VLOOKUP($B387,'[3]1003'!$B$6:$G$5921,4,FALSE),0)</f>
        <v>4</v>
      </c>
      <c r="P387" s="2033">
        <f t="shared" si="32"/>
        <v>1040181.5225</v>
      </c>
      <c r="Q387" s="1763">
        <f>IFERROR(VLOOKUP($B387,'[3]1004'!$B$6:$G$5921,2,FALSE),0)</f>
        <v>1029200.31</v>
      </c>
      <c r="R387" s="2036">
        <f>IFERROR(VLOOKUP($B387,'[3]1004'!$B$6:$G$5921,4,FALSE),0)</f>
        <v>1</v>
      </c>
      <c r="S387" s="1763">
        <f t="shared" si="33"/>
        <v>1029200.31</v>
      </c>
      <c r="T387" s="2033">
        <f>IFERROR(VLOOKUP($B387,'[3]1006'!$B$6:$G$5921,2,FALSE),0)</f>
        <v>0</v>
      </c>
      <c r="U387" s="2034">
        <f>IFERROR(VLOOKUP($B387,'[3]1006'!$B$6:$G$5921,4,FALSE),0)</f>
        <v>0</v>
      </c>
      <c r="V387" s="2033">
        <f t="shared" si="34"/>
        <v>0</v>
      </c>
      <c r="W387" s="2033">
        <f t="shared" si="35"/>
        <v>5</v>
      </c>
    </row>
    <row r="388" spans="2:23" x14ac:dyDescent="0.15">
      <c r="B388" s="2032">
        <v>85217</v>
      </c>
      <c r="C388" s="2032" t="s">
        <v>1972</v>
      </c>
      <c r="D388" s="2037" t="s">
        <v>1973</v>
      </c>
      <c r="E388" s="2032" t="s">
        <v>94</v>
      </c>
      <c r="F388" s="1288" t="s">
        <v>1300</v>
      </c>
      <c r="G388" s="1288" t="s">
        <v>1303</v>
      </c>
      <c r="H388" s="2033">
        <f>IFERROR(VLOOKUP($B388,'[3]1001'!$B$6:$G$5927,2,FALSE),0)</f>
        <v>580259.4</v>
      </c>
      <c r="I388" s="2034">
        <f>IFERROR(VLOOKUP($B388,'[3]1001'!$B$6:$G$5927,4,FALSE),0)</f>
        <v>2</v>
      </c>
      <c r="J388" s="2033">
        <f t="shared" si="30"/>
        <v>290129.7</v>
      </c>
      <c r="K388" s="2035">
        <f>IFERROR(VLOOKUP($B388,'[3]1002'!$B$6:$G$5921,2,FALSE),0)</f>
        <v>0</v>
      </c>
      <c r="L388" s="2036">
        <f>IFERROR(VLOOKUP($B388,'[3]1002'!$B$6:$G$5921,4,FALSE),0)</f>
        <v>0</v>
      </c>
      <c r="M388" s="1763">
        <f t="shared" si="31"/>
        <v>0</v>
      </c>
      <c r="N388" s="2033">
        <f>IFERROR(VLOOKUP($B388,'[3]1003'!$B$6:$G$5921,2,FALSE),0)</f>
        <v>267211.71999999997</v>
      </c>
      <c r="O388" s="2034">
        <f>IFERROR(VLOOKUP($B388,'[3]1003'!$B$6:$G$5921,4,FALSE),0)</f>
        <v>1</v>
      </c>
      <c r="P388" s="2033">
        <f t="shared" si="32"/>
        <v>267211.71999999997</v>
      </c>
      <c r="Q388" s="1763">
        <f>IFERROR(VLOOKUP($B388,'[3]1004'!$B$6:$G$5921,2,FALSE),0)</f>
        <v>0</v>
      </c>
      <c r="R388" s="2036">
        <f>IFERROR(VLOOKUP($B388,'[3]1004'!$B$6:$G$5921,4,FALSE),0)</f>
        <v>0</v>
      </c>
      <c r="S388" s="1763">
        <f t="shared" si="33"/>
        <v>0</v>
      </c>
      <c r="T388" s="2033">
        <f>IFERROR(VLOOKUP($B388,'[3]1006'!$B$6:$G$5921,2,FALSE),0)</f>
        <v>0</v>
      </c>
      <c r="U388" s="2034">
        <f>IFERROR(VLOOKUP($B388,'[3]1006'!$B$6:$G$5921,4,FALSE),0)</f>
        <v>0</v>
      </c>
      <c r="V388" s="2033">
        <f t="shared" si="34"/>
        <v>0</v>
      </c>
      <c r="W388" s="2033">
        <f t="shared" si="35"/>
        <v>3</v>
      </c>
    </row>
    <row r="389" spans="2:23" x14ac:dyDescent="0.15">
      <c r="B389" s="2032">
        <v>85218</v>
      </c>
      <c r="C389" s="2032" t="s">
        <v>1974</v>
      </c>
      <c r="D389" s="2037" t="s">
        <v>1975</v>
      </c>
      <c r="E389" s="2032" t="s">
        <v>94</v>
      </c>
      <c r="F389" s="1288" t="s">
        <v>1300</v>
      </c>
      <c r="G389" s="1288" t="s">
        <v>1303</v>
      </c>
      <c r="H389" s="2033">
        <f>IFERROR(VLOOKUP($B389,'[3]1001'!$B$6:$G$5927,2,FALSE),0)</f>
        <v>216673.75</v>
      </c>
      <c r="I389" s="2034">
        <f>IFERROR(VLOOKUP($B389,'[3]1001'!$B$6:$G$5927,4,FALSE),0)</f>
        <v>1</v>
      </c>
      <c r="J389" s="2033">
        <f t="shared" si="30"/>
        <v>216673.75</v>
      </c>
      <c r="K389" s="2035">
        <f>IFERROR(VLOOKUP($B389,'[3]1002'!$B$6:$G$5921,2,FALSE),0)</f>
        <v>0</v>
      </c>
      <c r="L389" s="2036">
        <f>IFERROR(VLOOKUP($B389,'[3]1002'!$B$6:$G$5921,4,FALSE),0)</f>
        <v>0</v>
      </c>
      <c r="M389" s="1763">
        <f t="shared" si="31"/>
        <v>0</v>
      </c>
      <c r="N389" s="2033">
        <f>IFERROR(VLOOKUP($B389,'[3]1003'!$B$6:$G$5921,2,FALSE),0)</f>
        <v>0</v>
      </c>
      <c r="O389" s="2034">
        <f>IFERROR(VLOOKUP($B389,'[3]1003'!$B$6:$G$5921,4,FALSE),0)</f>
        <v>0</v>
      </c>
      <c r="P389" s="2033">
        <f t="shared" si="32"/>
        <v>0</v>
      </c>
      <c r="Q389" s="1763">
        <f>IFERROR(VLOOKUP($B389,'[3]1004'!$B$6:$G$5921,2,FALSE),0)</f>
        <v>0</v>
      </c>
      <c r="R389" s="2036">
        <f>IFERROR(VLOOKUP($B389,'[3]1004'!$B$6:$G$5921,4,FALSE),0)</f>
        <v>0</v>
      </c>
      <c r="S389" s="1763">
        <f t="shared" si="33"/>
        <v>0</v>
      </c>
      <c r="T389" s="2033">
        <f>IFERROR(VLOOKUP($B389,'[3]1006'!$B$6:$G$5921,2,FALSE),0)</f>
        <v>210240.99</v>
      </c>
      <c r="U389" s="2034">
        <f>IFERROR(VLOOKUP($B389,'[3]1006'!$B$6:$G$5921,4,FALSE),0)</f>
        <v>1</v>
      </c>
      <c r="V389" s="2033">
        <f t="shared" si="34"/>
        <v>210240.99</v>
      </c>
      <c r="W389" s="2033">
        <f t="shared" si="35"/>
        <v>2</v>
      </c>
    </row>
    <row r="390" spans="2:23" x14ac:dyDescent="0.15">
      <c r="B390" s="2032">
        <v>85219</v>
      </c>
      <c r="C390" s="2032" t="s">
        <v>1976</v>
      </c>
      <c r="D390" s="2038" t="s">
        <v>1977</v>
      </c>
      <c r="E390" s="2032" t="s">
        <v>94</v>
      </c>
      <c r="F390" s="2039" t="s">
        <v>1300</v>
      </c>
      <c r="G390" s="1288" t="s">
        <v>1303</v>
      </c>
      <c r="H390" s="2033">
        <f>IFERROR(VLOOKUP($B390,'[3]1001'!$B$6:$G$5927,2,FALSE),0)</f>
        <v>0</v>
      </c>
      <c r="I390" s="2034">
        <f>IFERROR(VLOOKUP($B390,'[3]1001'!$B$6:$G$5927,4,FALSE),0)</f>
        <v>0</v>
      </c>
      <c r="J390" s="2033">
        <f t="shared" ref="J390:J453" si="36">IF(H390=0,0,H390/I390)</f>
        <v>0</v>
      </c>
      <c r="K390" s="2035">
        <f>IFERROR(VLOOKUP($B390,'[3]1002'!$B$6:$G$5921,2,FALSE),0)</f>
        <v>0</v>
      </c>
      <c r="L390" s="2036">
        <f>IFERROR(VLOOKUP($B390,'[3]1002'!$B$6:$G$5921,4,FALSE),0)</f>
        <v>0</v>
      </c>
      <c r="M390" s="1763">
        <f t="shared" ref="M390:M453" si="37">IF(K390=0,0,K390/L390)</f>
        <v>0</v>
      </c>
      <c r="N390" s="2033">
        <f>IFERROR(VLOOKUP($B390,'[3]1003'!$B$6:$G$5921,2,FALSE),0)</f>
        <v>0</v>
      </c>
      <c r="O390" s="2034">
        <f>IFERROR(VLOOKUP($B390,'[3]1003'!$B$6:$G$5921,4,FALSE),0)</f>
        <v>0</v>
      </c>
      <c r="P390" s="2033">
        <f t="shared" ref="P390:P453" si="38">IF(N390=0,0,N390/O390)</f>
        <v>0</v>
      </c>
      <c r="Q390" s="1763">
        <f>IFERROR(VLOOKUP($B390,'[3]1004'!$B$6:$G$5921,2,FALSE),0)</f>
        <v>0</v>
      </c>
      <c r="R390" s="2036">
        <f>IFERROR(VLOOKUP($B390,'[3]1004'!$B$6:$G$5921,4,FALSE),0)</f>
        <v>0</v>
      </c>
      <c r="S390" s="1763">
        <f t="shared" ref="S390:S453" si="39">IF(Q390=0,0,Q390/R390)</f>
        <v>0</v>
      </c>
      <c r="T390" s="2033">
        <f>IFERROR(VLOOKUP($B390,'[3]1006'!$B$6:$G$5921,2,FALSE),0)</f>
        <v>0</v>
      </c>
      <c r="U390" s="2034">
        <f>IFERROR(VLOOKUP($B390,'[3]1006'!$B$6:$G$5921,4,FALSE),0)</f>
        <v>0</v>
      </c>
      <c r="V390" s="2033">
        <f t="shared" ref="V390:V453" si="40">IF(T390=0,0,T390/U390)</f>
        <v>0</v>
      </c>
      <c r="W390" s="2033">
        <f t="shared" ref="W390:W453" si="41">U390+R390+O390+L390+I390</f>
        <v>0</v>
      </c>
    </row>
    <row r="391" spans="2:23" x14ac:dyDescent="0.15">
      <c r="B391" s="2032">
        <v>85220</v>
      </c>
      <c r="C391" s="2032" t="s">
        <v>1978</v>
      </c>
      <c r="D391" s="2038" t="s">
        <v>1795</v>
      </c>
      <c r="E391" s="2032" t="s">
        <v>94</v>
      </c>
      <c r="F391" s="1288" t="s">
        <v>1300</v>
      </c>
      <c r="G391" s="1288" t="s">
        <v>1303</v>
      </c>
      <c r="H391" s="2033">
        <f>IFERROR(VLOOKUP($B391,'[3]1001'!$B$6:$G$5927,2,FALSE),0)</f>
        <v>0</v>
      </c>
      <c r="I391" s="2034">
        <f>IFERROR(VLOOKUP($B391,'[3]1001'!$B$6:$G$5927,4,FALSE),0)</f>
        <v>0</v>
      </c>
      <c r="J391" s="2033">
        <f t="shared" si="36"/>
        <v>0</v>
      </c>
      <c r="K391" s="2035">
        <f>IFERROR(VLOOKUP($B391,'[3]1002'!$B$6:$G$5921,2,FALSE),0)</f>
        <v>0</v>
      </c>
      <c r="L391" s="2036">
        <f>IFERROR(VLOOKUP($B391,'[3]1002'!$B$6:$G$5921,4,FALSE),0)</f>
        <v>0</v>
      </c>
      <c r="M391" s="1763">
        <f t="shared" si="37"/>
        <v>0</v>
      </c>
      <c r="N391" s="2033">
        <f>IFERROR(VLOOKUP($B391,'[3]1003'!$B$6:$G$5921,2,FALSE),0)</f>
        <v>364743.16</v>
      </c>
      <c r="O391" s="2034">
        <f>IFERROR(VLOOKUP($B391,'[3]1003'!$B$6:$G$5921,4,FALSE),0)</f>
        <v>2</v>
      </c>
      <c r="P391" s="2033">
        <f t="shared" si="38"/>
        <v>182371.58</v>
      </c>
      <c r="Q391" s="1763">
        <f>IFERROR(VLOOKUP($B391,'[3]1004'!$B$6:$G$5921,2,FALSE),0)</f>
        <v>0</v>
      </c>
      <c r="R391" s="2036">
        <f>IFERROR(VLOOKUP($B391,'[3]1004'!$B$6:$G$5921,4,FALSE),0)</f>
        <v>0</v>
      </c>
      <c r="S391" s="1763">
        <f t="shared" si="39"/>
        <v>0</v>
      </c>
      <c r="T391" s="2033">
        <f>IFERROR(VLOOKUP($B391,'[3]1006'!$B$6:$G$5921,2,FALSE),0)</f>
        <v>0</v>
      </c>
      <c r="U391" s="2034">
        <f>IFERROR(VLOOKUP($B391,'[3]1006'!$B$6:$G$5921,4,FALSE),0)</f>
        <v>0</v>
      </c>
      <c r="V391" s="2033">
        <f t="shared" si="40"/>
        <v>0</v>
      </c>
      <c r="W391" s="2033">
        <f t="shared" si="41"/>
        <v>2</v>
      </c>
    </row>
    <row r="392" spans="2:23" x14ac:dyDescent="0.15">
      <c r="B392" s="2032">
        <v>85221</v>
      </c>
      <c r="C392" s="2032" t="s">
        <v>1979</v>
      </c>
      <c r="D392" s="2032" t="s">
        <v>1980</v>
      </c>
      <c r="E392" s="2032" t="s">
        <v>94</v>
      </c>
      <c r="F392" s="1288" t="s">
        <v>1300</v>
      </c>
      <c r="G392" s="1288" t="s">
        <v>1303</v>
      </c>
      <c r="H392" s="2033">
        <f>IFERROR(VLOOKUP($B392,'[3]1001'!$B$6:$G$5927,2,FALSE),0)</f>
        <v>0</v>
      </c>
      <c r="I392" s="2034">
        <f>IFERROR(VLOOKUP($B392,'[3]1001'!$B$6:$G$5927,4,FALSE),0)</f>
        <v>0</v>
      </c>
      <c r="J392" s="2033">
        <f t="shared" si="36"/>
        <v>0</v>
      </c>
      <c r="K392" s="2035">
        <f>IFERROR(VLOOKUP($B392,'[3]1002'!$B$6:$G$5921,2,FALSE),0)</f>
        <v>0</v>
      </c>
      <c r="L392" s="2036">
        <f>IFERROR(VLOOKUP($B392,'[3]1002'!$B$6:$G$5921,4,FALSE),0)</f>
        <v>0</v>
      </c>
      <c r="M392" s="1763">
        <f t="shared" si="37"/>
        <v>0</v>
      </c>
      <c r="N392" s="2033">
        <f>IFERROR(VLOOKUP($B392,'[3]1003'!$B$6:$G$5921,2,FALSE),0)</f>
        <v>0</v>
      </c>
      <c r="O392" s="2034">
        <f>IFERROR(VLOOKUP($B392,'[3]1003'!$B$6:$G$5921,4,FALSE),0)</f>
        <v>0</v>
      </c>
      <c r="P392" s="2033">
        <f t="shared" si="38"/>
        <v>0</v>
      </c>
      <c r="Q392" s="1763">
        <f>IFERROR(VLOOKUP($B392,'[3]1004'!$B$6:$G$5921,2,FALSE),0)</f>
        <v>0</v>
      </c>
      <c r="R392" s="2036">
        <f>IFERROR(VLOOKUP($B392,'[3]1004'!$B$6:$G$5921,4,FALSE),0)</f>
        <v>0</v>
      </c>
      <c r="S392" s="1763">
        <f t="shared" si="39"/>
        <v>0</v>
      </c>
      <c r="T392" s="2033">
        <f>IFERROR(VLOOKUP($B392,'[3]1006'!$B$6:$G$5921,2,FALSE),0)</f>
        <v>0</v>
      </c>
      <c r="U392" s="2034">
        <f>IFERROR(VLOOKUP($B392,'[3]1006'!$B$6:$G$5921,4,FALSE),0)</f>
        <v>0</v>
      </c>
      <c r="V392" s="2033">
        <f t="shared" si="40"/>
        <v>0</v>
      </c>
      <c r="W392" s="2033">
        <f t="shared" si="41"/>
        <v>0</v>
      </c>
    </row>
    <row r="393" spans="2:23" x14ac:dyDescent="0.15">
      <c r="B393" s="2032">
        <v>85222</v>
      </c>
      <c r="C393" s="2032" t="s">
        <v>1981</v>
      </c>
      <c r="D393" s="2037" t="s">
        <v>1982</v>
      </c>
      <c r="E393" s="2032" t="s">
        <v>94</v>
      </c>
      <c r="F393" s="1288" t="s">
        <v>1300</v>
      </c>
      <c r="G393" s="1288" t="s">
        <v>1303</v>
      </c>
      <c r="H393" s="2033">
        <f>IFERROR(VLOOKUP($B393,'[3]1001'!$B$6:$G$5927,2,FALSE),0)</f>
        <v>0</v>
      </c>
      <c r="I393" s="2034">
        <f>IFERROR(VLOOKUP($B393,'[3]1001'!$B$6:$G$5927,4,FALSE),0)</f>
        <v>0</v>
      </c>
      <c r="J393" s="2033">
        <f t="shared" si="36"/>
        <v>0</v>
      </c>
      <c r="K393" s="2035">
        <f>IFERROR(VLOOKUP($B393,'[3]1002'!$B$6:$G$5921,2,FALSE),0)</f>
        <v>0</v>
      </c>
      <c r="L393" s="2036">
        <f>IFERROR(VLOOKUP($B393,'[3]1002'!$B$6:$G$5921,4,FALSE),0)</f>
        <v>0</v>
      </c>
      <c r="M393" s="1763">
        <f t="shared" si="37"/>
        <v>0</v>
      </c>
      <c r="N393" s="2033">
        <f>IFERROR(VLOOKUP($B393,'[3]1003'!$B$6:$G$5921,2,FALSE),0)</f>
        <v>0</v>
      </c>
      <c r="O393" s="2034">
        <f>IFERROR(VLOOKUP($B393,'[3]1003'!$B$6:$G$5921,4,FALSE),0)</f>
        <v>0</v>
      </c>
      <c r="P393" s="2033">
        <f t="shared" si="38"/>
        <v>0</v>
      </c>
      <c r="Q393" s="1763">
        <f>IFERROR(VLOOKUP($B393,'[3]1004'!$B$6:$G$5921,2,FALSE),0)</f>
        <v>0</v>
      </c>
      <c r="R393" s="2036">
        <f>IFERROR(VLOOKUP($B393,'[3]1004'!$B$6:$G$5921,4,FALSE),0)</f>
        <v>0</v>
      </c>
      <c r="S393" s="1763">
        <f t="shared" si="39"/>
        <v>0</v>
      </c>
      <c r="T393" s="2033">
        <f>IFERROR(VLOOKUP($B393,'[3]1006'!$B$6:$G$5921,2,FALSE),0)</f>
        <v>0</v>
      </c>
      <c r="U393" s="2034">
        <f>IFERROR(VLOOKUP($B393,'[3]1006'!$B$6:$G$5921,4,FALSE),0)</f>
        <v>0</v>
      </c>
      <c r="V393" s="2033">
        <f t="shared" si="40"/>
        <v>0</v>
      </c>
      <c r="W393" s="2033">
        <f t="shared" si="41"/>
        <v>0</v>
      </c>
    </row>
    <row r="394" spans="2:23" x14ac:dyDescent="0.15">
      <c r="B394" s="2032">
        <v>85223</v>
      </c>
      <c r="C394" s="2032" t="s">
        <v>1983</v>
      </c>
      <c r="D394" s="2032" t="s">
        <v>1984</v>
      </c>
      <c r="E394" s="2032" t="s">
        <v>94</v>
      </c>
      <c r="F394" s="1288" t="s">
        <v>1300</v>
      </c>
      <c r="G394" s="1288" t="s">
        <v>1303</v>
      </c>
      <c r="H394" s="2033">
        <f>IFERROR(VLOOKUP($B394,'[3]1001'!$B$6:$G$5927,2,FALSE),0)</f>
        <v>534529.19999999995</v>
      </c>
      <c r="I394" s="2034">
        <f>IFERROR(VLOOKUP($B394,'[3]1001'!$B$6:$G$5927,4,FALSE),0)</f>
        <v>4</v>
      </c>
      <c r="J394" s="2033">
        <f t="shared" si="36"/>
        <v>133632.29999999999</v>
      </c>
      <c r="K394" s="2035">
        <f>IFERROR(VLOOKUP($B394,'[3]1002'!$B$6:$G$5921,2,FALSE),0)</f>
        <v>0</v>
      </c>
      <c r="L394" s="2036">
        <f>IFERROR(VLOOKUP($B394,'[3]1002'!$B$6:$G$5921,4,FALSE),0)</f>
        <v>0</v>
      </c>
      <c r="M394" s="1763">
        <f t="shared" si="37"/>
        <v>0</v>
      </c>
      <c r="N394" s="2033">
        <f>IFERROR(VLOOKUP($B394,'[3]1003'!$B$6:$G$5921,2,FALSE),0)</f>
        <v>0</v>
      </c>
      <c r="O394" s="2034">
        <f>IFERROR(VLOOKUP($B394,'[3]1003'!$B$6:$G$5921,4,FALSE),0)</f>
        <v>0</v>
      </c>
      <c r="P394" s="2033">
        <f t="shared" si="38"/>
        <v>0</v>
      </c>
      <c r="Q394" s="1763">
        <f>IFERROR(VLOOKUP($B394,'[3]1004'!$B$6:$G$5921,2,FALSE),0)</f>
        <v>0</v>
      </c>
      <c r="R394" s="2036">
        <f>IFERROR(VLOOKUP($B394,'[3]1004'!$B$6:$G$5921,4,FALSE),0)</f>
        <v>0</v>
      </c>
      <c r="S394" s="1763">
        <f t="shared" si="39"/>
        <v>0</v>
      </c>
      <c r="T394" s="2033">
        <f>IFERROR(VLOOKUP($B394,'[3]1006'!$B$6:$G$5921,2,FALSE),0)</f>
        <v>0</v>
      </c>
      <c r="U394" s="2034">
        <f>IFERROR(VLOOKUP($B394,'[3]1006'!$B$6:$G$5921,4,FALSE),0)</f>
        <v>0</v>
      </c>
      <c r="V394" s="2033">
        <f t="shared" si="40"/>
        <v>0</v>
      </c>
      <c r="W394" s="2033">
        <f t="shared" si="41"/>
        <v>4</v>
      </c>
    </row>
    <row r="395" spans="2:23" x14ac:dyDescent="0.15">
      <c r="B395" s="2032">
        <v>85224</v>
      </c>
      <c r="C395" s="2032" t="s">
        <v>1985</v>
      </c>
      <c r="D395" s="2037" t="s">
        <v>1986</v>
      </c>
      <c r="E395" s="2032" t="s">
        <v>94</v>
      </c>
      <c r="F395" s="1288" t="s">
        <v>1300</v>
      </c>
      <c r="G395" s="1288" t="s">
        <v>1303</v>
      </c>
      <c r="H395" s="2033">
        <f>IFERROR(VLOOKUP($B395,'[3]1001'!$B$6:$G$5927,2,FALSE),0)</f>
        <v>133940.84</v>
      </c>
      <c r="I395" s="2034">
        <f>IFERROR(VLOOKUP($B395,'[3]1001'!$B$6:$G$5927,4,FALSE),0)</f>
        <v>4</v>
      </c>
      <c r="J395" s="2033">
        <f t="shared" si="36"/>
        <v>33485.21</v>
      </c>
      <c r="K395" s="2035">
        <f>IFERROR(VLOOKUP($B395,'[3]1002'!$B$6:$G$5921,2,FALSE),0)</f>
        <v>0</v>
      </c>
      <c r="L395" s="2036">
        <f>IFERROR(VLOOKUP($B395,'[3]1002'!$B$6:$G$5921,4,FALSE),0)</f>
        <v>0</v>
      </c>
      <c r="M395" s="1763">
        <f t="shared" si="37"/>
        <v>0</v>
      </c>
      <c r="N395" s="2033">
        <f>IFERROR(VLOOKUP($B395,'[3]1003'!$B$6:$G$5921,2,FALSE),0)</f>
        <v>0</v>
      </c>
      <c r="O395" s="2034">
        <f>IFERROR(VLOOKUP($B395,'[3]1003'!$B$6:$G$5921,4,FALSE),0)</f>
        <v>0</v>
      </c>
      <c r="P395" s="2033">
        <f t="shared" si="38"/>
        <v>0</v>
      </c>
      <c r="Q395" s="1763">
        <f>IFERROR(VLOOKUP($B395,'[3]1004'!$B$6:$G$5921,2,FALSE),0)</f>
        <v>0</v>
      </c>
      <c r="R395" s="2036">
        <f>IFERROR(VLOOKUP($B395,'[3]1004'!$B$6:$G$5921,4,FALSE),0)</f>
        <v>0</v>
      </c>
      <c r="S395" s="1763">
        <f t="shared" si="39"/>
        <v>0</v>
      </c>
      <c r="T395" s="2033">
        <f>IFERROR(VLOOKUP($B395,'[3]1006'!$B$6:$G$5921,2,FALSE),0)</f>
        <v>0</v>
      </c>
      <c r="U395" s="2034">
        <f>IFERROR(VLOOKUP($B395,'[3]1006'!$B$6:$G$5921,4,FALSE),0)</f>
        <v>0</v>
      </c>
      <c r="V395" s="2033">
        <f t="shared" si="40"/>
        <v>0</v>
      </c>
      <c r="W395" s="2033">
        <f t="shared" si="41"/>
        <v>4</v>
      </c>
    </row>
    <row r="396" spans="2:23" x14ac:dyDescent="0.15">
      <c r="B396" s="2032">
        <v>85225</v>
      </c>
      <c r="C396" s="2032" t="s">
        <v>1987</v>
      </c>
      <c r="D396" s="2032" t="s">
        <v>1988</v>
      </c>
      <c r="E396" s="2032" t="s">
        <v>94</v>
      </c>
      <c r="F396" s="1288" t="s">
        <v>1325</v>
      </c>
      <c r="G396" s="1288" t="s">
        <v>1303</v>
      </c>
      <c r="H396" s="2033">
        <f>IFERROR(VLOOKUP($B396,'[3]1001'!$B$6:$G$5927,2,FALSE),0)</f>
        <v>159859.20000000001</v>
      </c>
      <c r="I396" s="2034">
        <f>IFERROR(VLOOKUP($B396,'[3]1001'!$B$6:$G$5927,4,FALSE),0)</f>
        <v>4</v>
      </c>
      <c r="J396" s="2033">
        <f t="shared" si="36"/>
        <v>39964.800000000003</v>
      </c>
      <c r="K396" s="2035">
        <f>IFERROR(VLOOKUP($B396,'[3]1002'!$B$6:$G$5921,2,FALSE),0)</f>
        <v>0</v>
      </c>
      <c r="L396" s="2036">
        <f>IFERROR(VLOOKUP($B396,'[3]1002'!$B$6:$G$5921,4,FALSE),0)</f>
        <v>0</v>
      </c>
      <c r="M396" s="1763">
        <f t="shared" si="37"/>
        <v>0</v>
      </c>
      <c r="N396" s="2033">
        <f>IFERROR(VLOOKUP($B396,'[3]1003'!$B$6:$G$5921,2,FALSE),0)</f>
        <v>0</v>
      </c>
      <c r="O396" s="2034">
        <f>IFERROR(VLOOKUP($B396,'[3]1003'!$B$6:$G$5921,4,FALSE),0)</f>
        <v>0</v>
      </c>
      <c r="P396" s="2033">
        <f t="shared" si="38"/>
        <v>0</v>
      </c>
      <c r="Q396" s="1763">
        <f>IFERROR(VLOOKUP($B396,'[3]1004'!$B$6:$G$5921,2,FALSE),0)</f>
        <v>0</v>
      </c>
      <c r="R396" s="2036">
        <f>IFERROR(VLOOKUP($B396,'[3]1004'!$B$6:$G$5921,4,FALSE),0)</f>
        <v>0</v>
      </c>
      <c r="S396" s="1763">
        <f t="shared" si="39"/>
        <v>0</v>
      </c>
      <c r="T396" s="2033">
        <f>IFERROR(VLOOKUP($B396,'[3]1006'!$B$6:$G$5921,2,FALSE),0)</f>
        <v>0</v>
      </c>
      <c r="U396" s="2034">
        <f>IFERROR(VLOOKUP($B396,'[3]1006'!$B$6:$G$5921,4,FALSE),0)</f>
        <v>0</v>
      </c>
      <c r="V396" s="2033">
        <f t="shared" si="40"/>
        <v>0</v>
      </c>
      <c r="W396" s="2033">
        <f t="shared" si="41"/>
        <v>4</v>
      </c>
    </row>
    <row r="397" spans="2:23" x14ac:dyDescent="0.15">
      <c r="B397" s="2032">
        <v>85226</v>
      </c>
      <c r="C397" s="2032" t="s">
        <v>1527</v>
      </c>
      <c r="D397" s="2032" t="s">
        <v>1989</v>
      </c>
      <c r="E397" s="2032" t="s">
        <v>94</v>
      </c>
      <c r="F397" s="1288" t="s">
        <v>1300</v>
      </c>
      <c r="G397" s="1288" t="s">
        <v>1303</v>
      </c>
      <c r="H397" s="2033">
        <f>IFERROR(VLOOKUP($B397,'[3]1001'!$B$6:$G$5927,2,FALSE),0)</f>
        <v>0</v>
      </c>
      <c r="I397" s="2034">
        <f>IFERROR(VLOOKUP($B397,'[3]1001'!$B$6:$G$5927,4,FALSE),0)</f>
        <v>0</v>
      </c>
      <c r="J397" s="2033">
        <f t="shared" si="36"/>
        <v>0</v>
      </c>
      <c r="K397" s="2035">
        <f>IFERROR(VLOOKUP($B397,'[3]1002'!$B$6:$G$5921,2,FALSE),0)</f>
        <v>0</v>
      </c>
      <c r="L397" s="2036">
        <f>IFERROR(VLOOKUP($B397,'[3]1002'!$B$6:$G$5921,4,FALSE),0)</f>
        <v>0</v>
      </c>
      <c r="M397" s="1763">
        <f t="shared" si="37"/>
        <v>0</v>
      </c>
      <c r="N397" s="2033">
        <f>IFERROR(VLOOKUP($B397,'[3]1003'!$B$6:$G$5921,2,FALSE),0)</f>
        <v>26712</v>
      </c>
      <c r="O397" s="2034">
        <f>IFERROR(VLOOKUP($B397,'[3]1003'!$B$6:$G$5921,4,FALSE),0)</f>
        <v>2</v>
      </c>
      <c r="P397" s="2033">
        <f t="shared" si="38"/>
        <v>13356</v>
      </c>
      <c r="Q397" s="1763">
        <f>IFERROR(VLOOKUP($B397,'[3]1004'!$B$6:$G$5921,2,FALSE),0)</f>
        <v>0</v>
      </c>
      <c r="R397" s="2036">
        <f>IFERROR(VLOOKUP($B397,'[3]1004'!$B$6:$G$5921,4,FALSE),0)</f>
        <v>0</v>
      </c>
      <c r="S397" s="1763">
        <f t="shared" si="39"/>
        <v>0</v>
      </c>
      <c r="T397" s="2033">
        <f>IFERROR(VLOOKUP($B397,'[3]1006'!$B$6:$G$5921,2,FALSE),0)</f>
        <v>0</v>
      </c>
      <c r="U397" s="2034">
        <f>IFERROR(VLOOKUP($B397,'[3]1006'!$B$6:$G$5921,4,FALSE),0)</f>
        <v>0</v>
      </c>
      <c r="V397" s="2033">
        <f t="shared" si="40"/>
        <v>0</v>
      </c>
      <c r="W397" s="2033">
        <f t="shared" si="41"/>
        <v>2</v>
      </c>
    </row>
    <row r="398" spans="2:23" x14ac:dyDescent="0.15">
      <c r="B398" s="2032">
        <v>85227</v>
      </c>
      <c r="C398" s="2032" t="s">
        <v>1990</v>
      </c>
      <c r="D398" s="2037" t="s">
        <v>1991</v>
      </c>
      <c r="E398" s="2032" t="s">
        <v>94</v>
      </c>
      <c r="F398" s="1288" t="s">
        <v>1300</v>
      </c>
      <c r="G398" s="1288" t="s">
        <v>1303</v>
      </c>
      <c r="H398" s="2033">
        <f>IFERROR(VLOOKUP($B398,'[3]1001'!$B$6:$G$5927,2,FALSE),0)</f>
        <v>0</v>
      </c>
      <c r="I398" s="2034">
        <f>IFERROR(VLOOKUP($B398,'[3]1001'!$B$6:$G$5927,4,FALSE),0)</f>
        <v>0</v>
      </c>
      <c r="J398" s="2033">
        <f t="shared" si="36"/>
        <v>0</v>
      </c>
      <c r="K398" s="2035">
        <f>IFERROR(VLOOKUP($B398,'[3]1002'!$B$6:$G$5921,2,FALSE),0)</f>
        <v>0</v>
      </c>
      <c r="L398" s="2036">
        <f>IFERROR(VLOOKUP($B398,'[3]1002'!$B$6:$G$5921,4,FALSE),0)</f>
        <v>0</v>
      </c>
      <c r="M398" s="1763">
        <f t="shared" si="37"/>
        <v>0</v>
      </c>
      <c r="N398" s="2033">
        <f>IFERROR(VLOOKUP($B398,'[3]1003'!$B$6:$G$5921,2,FALSE),0)</f>
        <v>29299.56</v>
      </c>
      <c r="O398" s="2034">
        <f>IFERROR(VLOOKUP($B398,'[3]1003'!$B$6:$G$5921,4,FALSE),0)</f>
        <v>1</v>
      </c>
      <c r="P398" s="2033">
        <f t="shared" si="38"/>
        <v>29299.56</v>
      </c>
      <c r="Q398" s="1763">
        <f>IFERROR(VLOOKUP($B398,'[3]1004'!$B$6:$G$5921,2,FALSE),0)</f>
        <v>29299.56</v>
      </c>
      <c r="R398" s="2036">
        <f>IFERROR(VLOOKUP($B398,'[3]1004'!$B$6:$G$5921,4,FALSE),0)</f>
        <v>1</v>
      </c>
      <c r="S398" s="1763">
        <f t="shared" si="39"/>
        <v>29299.56</v>
      </c>
      <c r="T398" s="2033">
        <f>IFERROR(VLOOKUP($B398,'[3]1006'!$B$6:$G$5921,2,FALSE),0)</f>
        <v>0</v>
      </c>
      <c r="U398" s="2034">
        <f>IFERROR(VLOOKUP($B398,'[3]1006'!$B$6:$G$5921,4,FALSE),0)</f>
        <v>0</v>
      </c>
      <c r="V398" s="2033">
        <f t="shared" si="40"/>
        <v>0</v>
      </c>
      <c r="W398" s="2033">
        <f t="shared" si="41"/>
        <v>2</v>
      </c>
    </row>
    <row r="399" spans="2:23" x14ac:dyDescent="0.15">
      <c r="B399" s="2032">
        <v>85228</v>
      </c>
      <c r="C399" s="2032" t="s">
        <v>1992</v>
      </c>
      <c r="D399" s="2037" t="s">
        <v>1992</v>
      </c>
      <c r="E399" s="2032" t="s">
        <v>94</v>
      </c>
      <c r="F399" s="1288" t="s">
        <v>1325</v>
      </c>
      <c r="G399" s="1288" t="s">
        <v>1303</v>
      </c>
      <c r="H399" s="2033">
        <f>IFERROR(VLOOKUP($B399,'[3]1001'!$B$6:$G$5927,2,FALSE),0)</f>
        <v>62337.599999999999</v>
      </c>
      <c r="I399" s="2034">
        <f>IFERROR(VLOOKUP($B399,'[3]1001'!$B$6:$G$5927,4,FALSE),0)</f>
        <v>6</v>
      </c>
      <c r="J399" s="2033">
        <f t="shared" si="36"/>
        <v>10389.6</v>
      </c>
      <c r="K399" s="2035">
        <f>IFERROR(VLOOKUP($B399,'[3]1002'!$B$6:$G$5921,2,FALSE),0)</f>
        <v>0</v>
      </c>
      <c r="L399" s="2036">
        <f>IFERROR(VLOOKUP($B399,'[3]1002'!$B$6:$G$5921,4,FALSE),0)</f>
        <v>0</v>
      </c>
      <c r="M399" s="1763">
        <f t="shared" si="37"/>
        <v>0</v>
      </c>
      <c r="N399" s="2033">
        <f>IFERROR(VLOOKUP($B399,'[3]1003'!$B$6:$G$5921,2,FALSE),0)</f>
        <v>0</v>
      </c>
      <c r="O399" s="2034">
        <f>IFERROR(VLOOKUP($B399,'[3]1003'!$B$6:$G$5921,4,FALSE),0)</f>
        <v>0</v>
      </c>
      <c r="P399" s="2033">
        <f t="shared" si="38"/>
        <v>0</v>
      </c>
      <c r="Q399" s="1763">
        <f>IFERROR(VLOOKUP($B399,'[3]1004'!$B$6:$G$5921,2,FALSE),0)</f>
        <v>0</v>
      </c>
      <c r="R399" s="2036">
        <f>IFERROR(VLOOKUP($B399,'[3]1004'!$B$6:$G$5921,4,FALSE),0)</f>
        <v>0</v>
      </c>
      <c r="S399" s="1763">
        <f t="shared" si="39"/>
        <v>0</v>
      </c>
      <c r="T399" s="2033">
        <f>IFERROR(VLOOKUP($B399,'[3]1006'!$B$6:$G$5921,2,FALSE),0)</f>
        <v>0</v>
      </c>
      <c r="U399" s="2034">
        <f>IFERROR(VLOOKUP($B399,'[3]1006'!$B$6:$G$5921,4,FALSE),0)</f>
        <v>0</v>
      </c>
      <c r="V399" s="2033">
        <f t="shared" si="40"/>
        <v>0</v>
      </c>
      <c r="W399" s="2033">
        <f t="shared" si="41"/>
        <v>6</v>
      </c>
    </row>
    <row r="400" spans="2:23" x14ac:dyDescent="0.15">
      <c r="B400" s="2032">
        <v>85229</v>
      </c>
      <c r="C400" s="2032" t="s">
        <v>1993</v>
      </c>
      <c r="D400" s="2037" t="s">
        <v>1993</v>
      </c>
      <c r="E400" s="2032" t="s">
        <v>94</v>
      </c>
      <c r="F400" s="1288" t="s">
        <v>1325</v>
      </c>
      <c r="G400" s="1288" t="s">
        <v>1303</v>
      </c>
      <c r="H400" s="2033">
        <f>IFERROR(VLOOKUP($B400,'[3]1001'!$B$6:$G$5927,2,FALSE),0)</f>
        <v>62337.599999999999</v>
      </c>
      <c r="I400" s="2034">
        <f>IFERROR(VLOOKUP($B400,'[3]1001'!$B$6:$G$5927,4,FALSE),0)</f>
        <v>6</v>
      </c>
      <c r="J400" s="2033">
        <f t="shared" si="36"/>
        <v>10389.6</v>
      </c>
      <c r="K400" s="2035">
        <f>IFERROR(VLOOKUP($B400,'[3]1002'!$B$6:$G$5921,2,FALSE),0)</f>
        <v>20779.2</v>
      </c>
      <c r="L400" s="2036">
        <f>IFERROR(VLOOKUP($B400,'[3]1002'!$B$6:$G$5921,4,FALSE),0)</f>
        <v>2</v>
      </c>
      <c r="M400" s="1763">
        <f t="shared" si="37"/>
        <v>10389.6</v>
      </c>
      <c r="N400" s="2033">
        <f>IFERROR(VLOOKUP($B400,'[3]1003'!$B$6:$G$5921,2,FALSE),0)</f>
        <v>0</v>
      </c>
      <c r="O400" s="2034">
        <f>IFERROR(VLOOKUP($B400,'[3]1003'!$B$6:$G$5921,4,FALSE),0)</f>
        <v>0</v>
      </c>
      <c r="P400" s="2033">
        <f t="shared" si="38"/>
        <v>0</v>
      </c>
      <c r="Q400" s="1763">
        <f>IFERROR(VLOOKUP($B400,'[3]1004'!$B$6:$G$5921,2,FALSE),0)</f>
        <v>0</v>
      </c>
      <c r="R400" s="2036">
        <f>IFERROR(VLOOKUP($B400,'[3]1004'!$B$6:$G$5921,4,FALSE),0)</f>
        <v>0</v>
      </c>
      <c r="S400" s="1763">
        <f t="shared" si="39"/>
        <v>0</v>
      </c>
      <c r="T400" s="2033">
        <f>IFERROR(VLOOKUP($B400,'[3]1006'!$B$6:$G$5921,2,FALSE),0)</f>
        <v>0</v>
      </c>
      <c r="U400" s="2034">
        <f>IFERROR(VLOOKUP($B400,'[3]1006'!$B$6:$G$5921,4,FALSE),0)</f>
        <v>0</v>
      </c>
      <c r="V400" s="2033">
        <f t="shared" si="40"/>
        <v>0</v>
      </c>
      <c r="W400" s="2033">
        <f t="shared" si="41"/>
        <v>8</v>
      </c>
    </row>
    <row r="401" spans="2:23" x14ac:dyDescent="0.15">
      <c r="B401" s="2032">
        <v>85230</v>
      </c>
      <c r="C401" s="2032" t="s">
        <v>1994</v>
      </c>
      <c r="D401" s="2037" t="s">
        <v>1994</v>
      </c>
      <c r="E401" s="2032" t="s">
        <v>94</v>
      </c>
      <c r="F401" s="1288" t="s">
        <v>1325</v>
      </c>
      <c r="G401" s="1288" t="s">
        <v>1303</v>
      </c>
      <c r="H401" s="2033">
        <f>IFERROR(VLOOKUP($B401,'[3]1001'!$B$6:$G$5927,2,FALSE),0)</f>
        <v>58441.5</v>
      </c>
      <c r="I401" s="2034">
        <f>IFERROR(VLOOKUP($B401,'[3]1001'!$B$6:$G$5927,4,FALSE),0)</f>
        <v>6</v>
      </c>
      <c r="J401" s="2033">
        <f t="shared" si="36"/>
        <v>9740.25</v>
      </c>
      <c r="K401" s="2035">
        <f>IFERROR(VLOOKUP($B401,'[3]1002'!$B$6:$G$5921,2,FALSE),0)</f>
        <v>0</v>
      </c>
      <c r="L401" s="2036">
        <f>IFERROR(VLOOKUP($B401,'[3]1002'!$B$6:$G$5921,4,FALSE),0)</f>
        <v>0</v>
      </c>
      <c r="M401" s="1763">
        <f t="shared" si="37"/>
        <v>0</v>
      </c>
      <c r="N401" s="2033">
        <f>IFERROR(VLOOKUP($B401,'[3]1003'!$B$6:$G$5921,2,FALSE),0)</f>
        <v>0</v>
      </c>
      <c r="O401" s="2034">
        <f>IFERROR(VLOOKUP($B401,'[3]1003'!$B$6:$G$5921,4,FALSE),0)</f>
        <v>0</v>
      </c>
      <c r="P401" s="2033">
        <f t="shared" si="38"/>
        <v>0</v>
      </c>
      <c r="Q401" s="1763">
        <f>IFERROR(VLOOKUP($B401,'[3]1004'!$B$6:$G$5921,2,FALSE),0)</f>
        <v>0</v>
      </c>
      <c r="R401" s="2036">
        <f>IFERROR(VLOOKUP($B401,'[3]1004'!$B$6:$G$5921,4,FALSE),0)</f>
        <v>0</v>
      </c>
      <c r="S401" s="1763">
        <f t="shared" si="39"/>
        <v>0</v>
      </c>
      <c r="T401" s="2033">
        <f>IFERROR(VLOOKUP($B401,'[3]1006'!$B$6:$G$5921,2,FALSE),0)</f>
        <v>0</v>
      </c>
      <c r="U401" s="2034">
        <f>IFERROR(VLOOKUP($B401,'[3]1006'!$B$6:$G$5921,4,FALSE),0)</f>
        <v>0</v>
      </c>
      <c r="V401" s="2033">
        <f t="shared" si="40"/>
        <v>0</v>
      </c>
      <c r="W401" s="2033">
        <f t="shared" si="41"/>
        <v>6</v>
      </c>
    </row>
    <row r="402" spans="2:23" x14ac:dyDescent="0.15">
      <c r="B402" s="2032">
        <v>85231</v>
      </c>
      <c r="C402" s="2032" t="s">
        <v>1995</v>
      </c>
      <c r="D402" s="2037" t="s">
        <v>1995</v>
      </c>
      <c r="E402" s="2032" t="s">
        <v>94</v>
      </c>
      <c r="F402" s="1288" t="s">
        <v>1325</v>
      </c>
      <c r="G402" s="1288" t="s">
        <v>1303</v>
      </c>
      <c r="H402" s="2033">
        <f>IFERROR(VLOOKUP($B402,'[3]1001'!$B$6:$G$5927,2,FALSE),0)</f>
        <v>129870</v>
      </c>
      <c r="I402" s="2034">
        <f>IFERROR(VLOOKUP($B402,'[3]1001'!$B$6:$G$5927,4,FALSE),0)</f>
        <v>14</v>
      </c>
      <c r="J402" s="2033">
        <f t="shared" si="36"/>
        <v>9276.4285714285706</v>
      </c>
      <c r="K402" s="2035">
        <f>IFERROR(VLOOKUP($B402,'[3]1002'!$B$6:$G$5921,2,FALSE),0)</f>
        <v>0</v>
      </c>
      <c r="L402" s="2036">
        <f>IFERROR(VLOOKUP($B402,'[3]1002'!$B$6:$G$5921,4,FALSE),0)</f>
        <v>0</v>
      </c>
      <c r="M402" s="1763">
        <f t="shared" si="37"/>
        <v>0</v>
      </c>
      <c r="N402" s="2033">
        <f>IFERROR(VLOOKUP($B402,'[3]1003'!$B$6:$G$5921,2,FALSE),0)</f>
        <v>0</v>
      </c>
      <c r="O402" s="2034">
        <f>IFERROR(VLOOKUP($B402,'[3]1003'!$B$6:$G$5921,4,FALSE),0)</f>
        <v>0</v>
      </c>
      <c r="P402" s="2033">
        <f t="shared" si="38"/>
        <v>0</v>
      </c>
      <c r="Q402" s="1763">
        <f>IFERROR(VLOOKUP($B402,'[3]1004'!$B$6:$G$5921,2,FALSE),0)</f>
        <v>0</v>
      </c>
      <c r="R402" s="2036">
        <f>IFERROR(VLOOKUP($B402,'[3]1004'!$B$6:$G$5921,4,FALSE),0)</f>
        <v>0</v>
      </c>
      <c r="S402" s="1763">
        <f t="shared" si="39"/>
        <v>0</v>
      </c>
      <c r="T402" s="2033">
        <f>IFERROR(VLOOKUP($B402,'[3]1006'!$B$6:$G$5921,2,FALSE),0)</f>
        <v>0</v>
      </c>
      <c r="U402" s="2034">
        <f>IFERROR(VLOOKUP($B402,'[3]1006'!$B$6:$G$5921,4,FALSE),0)</f>
        <v>0</v>
      </c>
      <c r="V402" s="2033">
        <f t="shared" si="40"/>
        <v>0</v>
      </c>
      <c r="W402" s="2033">
        <f t="shared" si="41"/>
        <v>14</v>
      </c>
    </row>
    <row r="403" spans="2:23" x14ac:dyDescent="0.15">
      <c r="B403" s="2032">
        <v>85232</v>
      </c>
      <c r="C403" s="2032" t="s">
        <v>1996</v>
      </c>
      <c r="D403" s="2037" t="s">
        <v>1996</v>
      </c>
      <c r="E403" s="2032" t="s">
        <v>94</v>
      </c>
      <c r="F403" s="1288" t="s">
        <v>1325</v>
      </c>
      <c r="G403" s="1288" t="s">
        <v>1303</v>
      </c>
      <c r="H403" s="2033">
        <f>IFERROR(VLOOKUP($B403,'[3]1001'!$B$6:$G$5927,2,FALSE),0)</f>
        <v>150649.20000000001</v>
      </c>
      <c r="I403" s="2034">
        <f>IFERROR(VLOOKUP($B403,'[3]1001'!$B$6:$G$5927,4,FALSE),0)</f>
        <v>16</v>
      </c>
      <c r="J403" s="2033">
        <f t="shared" si="36"/>
        <v>9415.5750000000007</v>
      </c>
      <c r="K403" s="2035">
        <f>IFERROR(VLOOKUP($B403,'[3]1002'!$B$6:$G$5921,2,FALSE),0)</f>
        <v>0</v>
      </c>
      <c r="L403" s="2036">
        <f>IFERROR(VLOOKUP($B403,'[3]1002'!$B$6:$G$5921,4,FALSE),0)</f>
        <v>0</v>
      </c>
      <c r="M403" s="1763">
        <f t="shared" si="37"/>
        <v>0</v>
      </c>
      <c r="N403" s="2033">
        <f>IFERROR(VLOOKUP($B403,'[3]1003'!$B$6:$G$5921,2,FALSE),0)</f>
        <v>0</v>
      </c>
      <c r="O403" s="2034">
        <f>IFERROR(VLOOKUP($B403,'[3]1003'!$B$6:$G$5921,4,FALSE),0)</f>
        <v>0</v>
      </c>
      <c r="P403" s="2033">
        <f t="shared" si="38"/>
        <v>0</v>
      </c>
      <c r="Q403" s="1763">
        <f>IFERROR(VLOOKUP($B403,'[3]1004'!$B$6:$G$5921,2,FALSE),0)</f>
        <v>0</v>
      </c>
      <c r="R403" s="2036">
        <f>IFERROR(VLOOKUP($B403,'[3]1004'!$B$6:$G$5921,4,FALSE),0)</f>
        <v>0</v>
      </c>
      <c r="S403" s="1763">
        <f t="shared" si="39"/>
        <v>0</v>
      </c>
      <c r="T403" s="2033">
        <f>IFERROR(VLOOKUP($B403,'[3]1006'!$B$6:$G$5921,2,FALSE),0)</f>
        <v>0</v>
      </c>
      <c r="U403" s="2034">
        <f>IFERROR(VLOOKUP($B403,'[3]1006'!$B$6:$G$5921,4,FALSE),0)</f>
        <v>0</v>
      </c>
      <c r="V403" s="2033">
        <f t="shared" si="40"/>
        <v>0</v>
      </c>
      <c r="W403" s="2033">
        <f t="shared" si="41"/>
        <v>16</v>
      </c>
    </row>
    <row r="404" spans="2:23" x14ac:dyDescent="0.15">
      <c r="B404" s="2032">
        <v>85233</v>
      </c>
      <c r="C404" s="2032" t="s">
        <v>1997</v>
      </c>
      <c r="D404" s="2037" t="s">
        <v>1997</v>
      </c>
      <c r="E404" s="2032" t="s">
        <v>94</v>
      </c>
      <c r="F404" s="1288" t="s">
        <v>1325</v>
      </c>
      <c r="G404" s="1288" t="s">
        <v>1303</v>
      </c>
      <c r="H404" s="2033">
        <f>IFERROR(VLOOKUP($B404,'[3]1001'!$B$6:$G$5927,2,FALSE),0)</f>
        <v>83116.800000000003</v>
      </c>
      <c r="I404" s="2034">
        <f>IFERROR(VLOOKUP($B404,'[3]1001'!$B$6:$G$5927,4,FALSE),0)</f>
        <v>8</v>
      </c>
      <c r="J404" s="2033">
        <f t="shared" si="36"/>
        <v>10389.6</v>
      </c>
      <c r="K404" s="2035">
        <f>IFERROR(VLOOKUP($B404,'[3]1002'!$B$6:$G$5921,2,FALSE),0)</f>
        <v>0</v>
      </c>
      <c r="L404" s="2036">
        <f>IFERROR(VLOOKUP($B404,'[3]1002'!$B$6:$G$5921,4,FALSE),0)</f>
        <v>0</v>
      </c>
      <c r="M404" s="1763">
        <f t="shared" si="37"/>
        <v>0</v>
      </c>
      <c r="N404" s="2033">
        <f>IFERROR(VLOOKUP($B404,'[3]1003'!$B$6:$G$5921,2,FALSE),0)</f>
        <v>0</v>
      </c>
      <c r="O404" s="2034">
        <f>IFERROR(VLOOKUP($B404,'[3]1003'!$B$6:$G$5921,4,FALSE),0)</f>
        <v>0</v>
      </c>
      <c r="P404" s="2033">
        <f t="shared" si="38"/>
        <v>0</v>
      </c>
      <c r="Q404" s="1763">
        <f>IFERROR(VLOOKUP($B404,'[3]1004'!$B$6:$G$5921,2,FALSE),0)</f>
        <v>0</v>
      </c>
      <c r="R404" s="2036">
        <f>IFERROR(VLOOKUP($B404,'[3]1004'!$B$6:$G$5921,4,FALSE),0)</f>
        <v>0</v>
      </c>
      <c r="S404" s="1763">
        <f t="shared" si="39"/>
        <v>0</v>
      </c>
      <c r="T404" s="2033">
        <f>IFERROR(VLOOKUP($B404,'[3]1006'!$B$6:$G$5921,2,FALSE),0)</f>
        <v>0</v>
      </c>
      <c r="U404" s="2034">
        <f>IFERROR(VLOOKUP($B404,'[3]1006'!$B$6:$G$5921,4,FALSE),0)</f>
        <v>0</v>
      </c>
      <c r="V404" s="2033">
        <f t="shared" si="40"/>
        <v>0</v>
      </c>
      <c r="W404" s="2033">
        <f t="shared" si="41"/>
        <v>8</v>
      </c>
    </row>
    <row r="405" spans="2:23" x14ac:dyDescent="0.15">
      <c r="B405" s="2032">
        <v>85234</v>
      </c>
      <c r="C405" s="2032" t="s">
        <v>1998</v>
      </c>
      <c r="D405" s="2037" t="s">
        <v>1998</v>
      </c>
      <c r="E405" s="2032" t="s">
        <v>94</v>
      </c>
      <c r="F405" s="1288" t="s">
        <v>1325</v>
      </c>
      <c r="G405" s="1288" t="s">
        <v>1303</v>
      </c>
      <c r="H405" s="2033">
        <f>IFERROR(VLOOKUP($B405,'[3]1001'!$B$6:$G$5927,2,FALSE),0)</f>
        <v>54545.4</v>
      </c>
      <c r="I405" s="2034">
        <f>IFERROR(VLOOKUP($B405,'[3]1001'!$B$6:$G$5927,4,FALSE),0)</f>
        <v>6</v>
      </c>
      <c r="J405" s="2033">
        <f t="shared" si="36"/>
        <v>9090.9</v>
      </c>
      <c r="K405" s="2035">
        <f>IFERROR(VLOOKUP($B405,'[3]1002'!$B$6:$G$5921,2,FALSE),0)</f>
        <v>0</v>
      </c>
      <c r="L405" s="2036">
        <f>IFERROR(VLOOKUP($B405,'[3]1002'!$B$6:$G$5921,4,FALSE),0)</f>
        <v>0</v>
      </c>
      <c r="M405" s="1763">
        <f t="shared" si="37"/>
        <v>0</v>
      </c>
      <c r="N405" s="2033">
        <f>IFERROR(VLOOKUP($B405,'[3]1003'!$B$6:$G$5921,2,FALSE),0)</f>
        <v>0</v>
      </c>
      <c r="O405" s="2034">
        <f>IFERROR(VLOOKUP($B405,'[3]1003'!$B$6:$G$5921,4,FALSE),0)</f>
        <v>0</v>
      </c>
      <c r="P405" s="2033">
        <f t="shared" si="38"/>
        <v>0</v>
      </c>
      <c r="Q405" s="1763">
        <f>IFERROR(VLOOKUP($B405,'[3]1004'!$B$6:$G$5921,2,FALSE),0)</f>
        <v>0</v>
      </c>
      <c r="R405" s="2036">
        <f>IFERROR(VLOOKUP($B405,'[3]1004'!$B$6:$G$5921,4,FALSE),0)</f>
        <v>0</v>
      </c>
      <c r="S405" s="1763">
        <f t="shared" si="39"/>
        <v>0</v>
      </c>
      <c r="T405" s="2033">
        <f>IFERROR(VLOOKUP($B405,'[3]1006'!$B$6:$G$5921,2,FALSE),0)</f>
        <v>0</v>
      </c>
      <c r="U405" s="2034">
        <f>IFERROR(VLOOKUP($B405,'[3]1006'!$B$6:$G$5921,4,FALSE),0)</f>
        <v>0</v>
      </c>
      <c r="V405" s="2033">
        <f t="shared" si="40"/>
        <v>0</v>
      </c>
      <c r="W405" s="2033">
        <f t="shared" si="41"/>
        <v>6</v>
      </c>
    </row>
    <row r="406" spans="2:23" x14ac:dyDescent="0.15">
      <c r="B406" s="2032">
        <v>85235</v>
      </c>
      <c r="C406" s="2032" t="s">
        <v>1999</v>
      </c>
      <c r="D406" s="2037" t="s">
        <v>1999</v>
      </c>
      <c r="E406" s="2032" t="s">
        <v>94</v>
      </c>
      <c r="F406" s="1288" t="s">
        <v>1325</v>
      </c>
      <c r="G406" s="1288" t="s">
        <v>1303</v>
      </c>
      <c r="H406" s="2033">
        <f>IFERROR(VLOOKUP($B406,'[3]1001'!$B$6:$G$5927,2,FALSE),0)</f>
        <v>0</v>
      </c>
      <c r="I406" s="2034">
        <f>IFERROR(VLOOKUP($B406,'[3]1001'!$B$6:$G$5927,4,FALSE),0)</f>
        <v>0</v>
      </c>
      <c r="J406" s="2033">
        <f t="shared" si="36"/>
        <v>0</v>
      </c>
      <c r="K406" s="2035">
        <f>IFERROR(VLOOKUP($B406,'[3]1002'!$B$6:$G$5921,2,FALSE),0)</f>
        <v>16883.099999999999</v>
      </c>
      <c r="L406" s="2036">
        <f>IFERROR(VLOOKUP($B406,'[3]1002'!$B$6:$G$5921,4,FALSE),0)</f>
        <v>2</v>
      </c>
      <c r="M406" s="1763">
        <f t="shared" si="37"/>
        <v>8441.5499999999993</v>
      </c>
      <c r="N406" s="2033">
        <f>IFERROR(VLOOKUP($B406,'[3]1003'!$B$6:$G$5921,2,FALSE),0)</f>
        <v>0</v>
      </c>
      <c r="O406" s="2034">
        <f>IFERROR(VLOOKUP($B406,'[3]1003'!$B$6:$G$5921,4,FALSE),0)</f>
        <v>0</v>
      </c>
      <c r="P406" s="2033">
        <f t="shared" si="38"/>
        <v>0</v>
      </c>
      <c r="Q406" s="1763">
        <f>IFERROR(VLOOKUP($B406,'[3]1004'!$B$6:$G$5921,2,FALSE),0)</f>
        <v>0</v>
      </c>
      <c r="R406" s="2036">
        <f>IFERROR(VLOOKUP($B406,'[3]1004'!$B$6:$G$5921,4,FALSE),0)</f>
        <v>0</v>
      </c>
      <c r="S406" s="1763">
        <f t="shared" si="39"/>
        <v>0</v>
      </c>
      <c r="T406" s="2033">
        <f>IFERROR(VLOOKUP($B406,'[3]1006'!$B$6:$G$5921,2,FALSE),0)</f>
        <v>0</v>
      </c>
      <c r="U406" s="2034">
        <f>IFERROR(VLOOKUP($B406,'[3]1006'!$B$6:$G$5921,4,FALSE),0)</f>
        <v>0</v>
      </c>
      <c r="V406" s="2033">
        <f t="shared" si="40"/>
        <v>0</v>
      </c>
      <c r="W406" s="2033">
        <f t="shared" si="41"/>
        <v>2</v>
      </c>
    </row>
    <row r="407" spans="2:23" x14ac:dyDescent="0.15">
      <c r="B407" s="2032">
        <v>85236</v>
      </c>
      <c r="C407" s="2032" t="s">
        <v>2000</v>
      </c>
      <c r="D407" s="2037" t="s">
        <v>2000</v>
      </c>
      <c r="E407" s="2032" t="s">
        <v>94</v>
      </c>
      <c r="F407" s="1288" t="s">
        <v>1325</v>
      </c>
      <c r="G407" s="1288" t="s">
        <v>1303</v>
      </c>
      <c r="H407" s="2033">
        <f>IFERROR(VLOOKUP($B407,'[3]1001'!$B$6:$G$5927,2,FALSE),0)</f>
        <v>10389.6</v>
      </c>
      <c r="I407" s="2034">
        <f>IFERROR(VLOOKUP($B407,'[3]1001'!$B$6:$G$5927,4,FALSE),0)</f>
        <v>1</v>
      </c>
      <c r="J407" s="2033">
        <f t="shared" si="36"/>
        <v>10389.6</v>
      </c>
      <c r="K407" s="2035">
        <f>IFERROR(VLOOKUP($B407,'[3]1002'!$B$6:$G$5921,2,FALSE),0)</f>
        <v>0</v>
      </c>
      <c r="L407" s="2036">
        <f>IFERROR(VLOOKUP($B407,'[3]1002'!$B$6:$G$5921,4,FALSE),0)</f>
        <v>0</v>
      </c>
      <c r="M407" s="1763">
        <f t="shared" si="37"/>
        <v>0</v>
      </c>
      <c r="N407" s="2033">
        <f>IFERROR(VLOOKUP($B407,'[3]1003'!$B$6:$G$5921,2,FALSE),0)</f>
        <v>0</v>
      </c>
      <c r="O407" s="2034">
        <f>IFERROR(VLOOKUP($B407,'[3]1003'!$B$6:$G$5921,4,FALSE),0)</f>
        <v>0</v>
      </c>
      <c r="P407" s="2033">
        <f t="shared" si="38"/>
        <v>0</v>
      </c>
      <c r="Q407" s="1763">
        <f>IFERROR(VLOOKUP($B407,'[3]1004'!$B$6:$G$5921,2,FALSE),0)</f>
        <v>0</v>
      </c>
      <c r="R407" s="2036">
        <f>IFERROR(VLOOKUP($B407,'[3]1004'!$B$6:$G$5921,4,FALSE),0)</f>
        <v>0</v>
      </c>
      <c r="S407" s="1763">
        <f t="shared" si="39"/>
        <v>0</v>
      </c>
      <c r="T407" s="2033">
        <f>IFERROR(VLOOKUP($B407,'[3]1006'!$B$6:$G$5921,2,FALSE),0)</f>
        <v>0</v>
      </c>
      <c r="U407" s="2034">
        <f>IFERROR(VLOOKUP($B407,'[3]1006'!$B$6:$G$5921,4,FALSE),0)</f>
        <v>0</v>
      </c>
      <c r="V407" s="2033">
        <f t="shared" si="40"/>
        <v>0</v>
      </c>
      <c r="W407" s="2033">
        <f t="shared" si="41"/>
        <v>1</v>
      </c>
    </row>
    <row r="408" spans="2:23" x14ac:dyDescent="0.15">
      <c r="B408" s="2032">
        <v>85237</v>
      </c>
      <c r="C408" s="2032" t="s">
        <v>2001</v>
      </c>
      <c r="D408" s="2037" t="s">
        <v>2001</v>
      </c>
      <c r="E408" s="2032" t="s">
        <v>94</v>
      </c>
      <c r="F408" s="1288" t="s">
        <v>1325</v>
      </c>
      <c r="G408" s="1288" t="s">
        <v>1303</v>
      </c>
      <c r="H408" s="2033">
        <f>IFERROR(VLOOKUP($B408,'[3]1001'!$B$6:$G$5927,2,FALSE),0)</f>
        <v>67532.399999999994</v>
      </c>
      <c r="I408" s="2034">
        <f>IFERROR(VLOOKUP($B408,'[3]1001'!$B$6:$G$5927,4,FALSE),0)</f>
        <v>8</v>
      </c>
      <c r="J408" s="2033">
        <f t="shared" si="36"/>
        <v>8441.5499999999993</v>
      </c>
      <c r="K408" s="2035">
        <f>IFERROR(VLOOKUP($B408,'[3]1002'!$B$6:$G$5921,2,FALSE),0)</f>
        <v>0</v>
      </c>
      <c r="L408" s="2036">
        <f>IFERROR(VLOOKUP($B408,'[3]1002'!$B$6:$G$5921,4,FALSE),0)</f>
        <v>0</v>
      </c>
      <c r="M408" s="1763">
        <f t="shared" si="37"/>
        <v>0</v>
      </c>
      <c r="N408" s="2033">
        <f>IFERROR(VLOOKUP($B408,'[3]1003'!$B$6:$G$5921,2,FALSE),0)</f>
        <v>0</v>
      </c>
      <c r="O408" s="2034">
        <f>IFERROR(VLOOKUP($B408,'[3]1003'!$B$6:$G$5921,4,FALSE),0)</f>
        <v>0</v>
      </c>
      <c r="P408" s="2033">
        <f t="shared" si="38"/>
        <v>0</v>
      </c>
      <c r="Q408" s="1763">
        <f>IFERROR(VLOOKUP($B408,'[3]1004'!$B$6:$G$5921,2,FALSE),0)</f>
        <v>0</v>
      </c>
      <c r="R408" s="2036">
        <f>IFERROR(VLOOKUP($B408,'[3]1004'!$B$6:$G$5921,4,FALSE),0)</f>
        <v>0</v>
      </c>
      <c r="S408" s="1763">
        <f t="shared" si="39"/>
        <v>0</v>
      </c>
      <c r="T408" s="2033">
        <f>IFERROR(VLOOKUP($B408,'[3]1006'!$B$6:$G$5921,2,FALSE),0)</f>
        <v>0</v>
      </c>
      <c r="U408" s="2034">
        <f>IFERROR(VLOOKUP($B408,'[3]1006'!$B$6:$G$5921,4,FALSE),0)</f>
        <v>0</v>
      </c>
      <c r="V408" s="2033">
        <f t="shared" si="40"/>
        <v>0</v>
      </c>
      <c r="W408" s="2033">
        <f t="shared" si="41"/>
        <v>8</v>
      </c>
    </row>
    <row r="409" spans="2:23" x14ac:dyDescent="0.15">
      <c r="B409" s="2032">
        <v>85238</v>
      </c>
      <c r="C409" s="2032" t="s">
        <v>2002</v>
      </c>
      <c r="D409" s="2037" t="s">
        <v>2002</v>
      </c>
      <c r="E409" s="2032" t="s">
        <v>94</v>
      </c>
      <c r="F409" s="1288" t="s">
        <v>1325</v>
      </c>
      <c r="G409" s="1288" t="s">
        <v>1303</v>
      </c>
      <c r="H409" s="2033">
        <f>IFERROR(VLOOKUP($B409,'[3]1001'!$B$6:$G$5927,2,FALSE),0)</f>
        <v>0</v>
      </c>
      <c r="I409" s="2034">
        <f>IFERROR(VLOOKUP($B409,'[3]1001'!$B$6:$G$5927,4,FALSE),0)</f>
        <v>0</v>
      </c>
      <c r="J409" s="2033">
        <f t="shared" si="36"/>
        <v>0</v>
      </c>
      <c r="K409" s="2035">
        <f>IFERROR(VLOOKUP($B409,'[3]1002'!$B$6:$G$5921,2,FALSE),0)</f>
        <v>0</v>
      </c>
      <c r="L409" s="2036">
        <f>IFERROR(VLOOKUP($B409,'[3]1002'!$B$6:$G$5921,4,FALSE),0)</f>
        <v>0</v>
      </c>
      <c r="M409" s="1763">
        <f t="shared" si="37"/>
        <v>0</v>
      </c>
      <c r="N409" s="2033">
        <f>IFERROR(VLOOKUP($B409,'[3]1003'!$B$6:$G$5921,2,FALSE),0)</f>
        <v>0</v>
      </c>
      <c r="O409" s="2034">
        <f>IFERROR(VLOOKUP($B409,'[3]1003'!$B$6:$G$5921,4,FALSE),0)</f>
        <v>0</v>
      </c>
      <c r="P409" s="2033">
        <f t="shared" si="38"/>
        <v>0</v>
      </c>
      <c r="Q409" s="1763">
        <f>IFERROR(VLOOKUP($B409,'[3]1004'!$B$6:$G$5921,2,FALSE),0)</f>
        <v>0</v>
      </c>
      <c r="R409" s="2036">
        <f>IFERROR(VLOOKUP($B409,'[3]1004'!$B$6:$G$5921,4,FALSE),0)</f>
        <v>0</v>
      </c>
      <c r="S409" s="1763">
        <f t="shared" si="39"/>
        <v>0</v>
      </c>
      <c r="T409" s="2033">
        <f>IFERROR(VLOOKUP($B409,'[3]1006'!$B$6:$G$5921,2,FALSE),0)</f>
        <v>0</v>
      </c>
      <c r="U409" s="2034">
        <f>IFERROR(VLOOKUP($B409,'[3]1006'!$B$6:$G$5921,4,FALSE),0)</f>
        <v>0</v>
      </c>
      <c r="V409" s="2033">
        <f t="shared" si="40"/>
        <v>0</v>
      </c>
      <c r="W409" s="2033">
        <f t="shared" si="41"/>
        <v>0</v>
      </c>
    </row>
    <row r="410" spans="2:23" x14ac:dyDescent="0.15">
      <c r="B410" s="2032">
        <v>85239</v>
      </c>
      <c r="C410" s="2032" t="s">
        <v>2003</v>
      </c>
      <c r="D410" s="2037" t="s">
        <v>2003</v>
      </c>
      <c r="E410" s="2032" t="s">
        <v>94</v>
      </c>
      <c r="F410" s="1288" t="s">
        <v>1325</v>
      </c>
      <c r="G410" s="1288" t="s">
        <v>1303</v>
      </c>
      <c r="H410" s="2033">
        <f>IFERROR(VLOOKUP($B410,'[3]1001'!$B$6:$G$5927,2,FALSE),0)</f>
        <v>83116.800000000003</v>
      </c>
      <c r="I410" s="2034">
        <f>IFERROR(VLOOKUP($B410,'[3]1001'!$B$6:$G$5927,4,FALSE),0)</f>
        <v>8</v>
      </c>
      <c r="J410" s="2033">
        <f t="shared" si="36"/>
        <v>10389.6</v>
      </c>
      <c r="K410" s="2035">
        <f>IFERROR(VLOOKUP($B410,'[3]1002'!$B$6:$G$5921,2,FALSE),0)</f>
        <v>0</v>
      </c>
      <c r="L410" s="2036">
        <f>IFERROR(VLOOKUP($B410,'[3]1002'!$B$6:$G$5921,4,FALSE),0)</f>
        <v>0</v>
      </c>
      <c r="M410" s="1763">
        <f t="shared" si="37"/>
        <v>0</v>
      </c>
      <c r="N410" s="2033">
        <f>IFERROR(VLOOKUP($B410,'[3]1003'!$B$6:$G$5921,2,FALSE),0)</f>
        <v>0</v>
      </c>
      <c r="O410" s="2034">
        <f>IFERROR(VLOOKUP($B410,'[3]1003'!$B$6:$G$5921,4,FALSE),0)</f>
        <v>0</v>
      </c>
      <c r="P410" s="2033">
        <f t="shared" si="38"/>
        <v>0</v>
      </c>
      <c r="Q410" s="1763">
        <f>IFERROR(VLOOKUP($B410,'[3]1004'!$B$6:$G$5921,2,FALSE),0)</f>
        <v>31168.799999999999</v>
      </c>
      <c r="R410" s="2036">
        <f>IFERROR(VLOOKUP($B410,'[3]1004'!$B$6:$G$5921,4,FALSE),0)</f>
        <v>3</v>
      </c>
      <c r="S410" s="1763">
        <f t="shared" si="39"/>
        <v>10389.6</v>
      </c>
      <c r="T410" s="2033">
        <f>IFERROR(VLOOKUP($B410,'[3]1006'!$B$6:$G$5921,2,FALSE),0)</f>
        <v>0</v>
      </c>
      <c r="U410" s="2034">
        <f>IFERROR(VLOOKUP($B410,'[3]1006'!$B$6:$G$5921,4,FALSE),0)</f>
        <v>0</v>
      </c>
      <c r="V410" s="2033">
        <f t="shared" si="40"/>
        <v>0</v>
      </c>
      <c r="W410" s="2033">
        <f t="shared" si="41"/>
        <v>11</v>
      </c>
    </row>
    <row r="411" spans="2:23" x14ac:dyDescent="0.15">
      <c r="B411" s="2032">
        <v>85240</v>
      </c>
      <c r="C411" s="2032" t="s">
        <v>2004</v>
      </c>
      <c r="D411" s="2037" t="s">
        <v>2004</v>
      </c>
      <c r="E411" s="2032" t="s">
        <v>94</v>
      </c>
      <c r="F411" s="1288" t="s">
        <v>1325</v>
      </c>
      <c r="G411" s="1288" t="s">
        <v>1303</v>
      </c>
      <c r="H411" s="2033">
        <f>IFERROR(VLOOKUP($B411,'[3]1001'!$B$6:$G$5927,2,FALSE),0)</f>
        <v>0</v>
      </c>
      <c r="I411" s="2034">
        <f>IFERROR(VLOOKUP($B411,'[3]1001'!$B$6:$G$5927,4,FALSE),0)</f>
        <v>0</v>
      </c>
      <c r="J411" s="2033">
        <f t="shared" si="36"/>
        <v>0</v>
      </c>
      <c r="K411" s="2035">
        <f>IFERROR(VLOOKUP($B411,'[3]1002'!$B$6:$G$5921,2,FALSE),0)</f>
        <v>0</v>
      </c>
      <c r="L411" s="2036">
        <f>IFERROR(VLOOKUP($B411,'[3]1002'!$B$6:$G$5921,4,FALSE),0)</f>
        <v>0</v>
      </c>
      <c r="M411" s="1763">
        <f t="shared" si="37"/>
        <v>0</v>
      </c>
      <c r="N411" s="2033">
        <f>IFERROR(VLOOKUP($B411,'[3]1003'!$B$6:$G$5921,2,FALSE),0)</f>
        <v>0</v>
      </c>
      <c r="O411" s="2034">
        <f>IFERROR(VLOOKUP($B411,'[3]1003'!$B$6:$G$5921,4,FALSE),0)</f>
        <v>0</v>
      </c>
      <c r="P411" s="2033">
        <f t="shared" si="38"/>
        <v>0</v>
      </c>
      <c r="Q411" s="1763">
        <f>IFERROR(VLOOKUP($B411,'[3]1004'!$B$6:$G$5921,2,FALSE),0)</f>
        <v>0</v>
      </c>
      <c r="R411" s="2036">
        <f>IFERROR(VLOOKUP($B411,'[3]1004'!$B$6:$G$5921,4,FALSE),0)</f>
        <v>0</v>
      </c>
      <c r="S411" s="1763">
        <f t="shared" si="39"/>
        <v>0</v>
      </c>
      <c r="T411" s="2033">
        <f>IFERROR(VLOOKUP($B411,'[3]1006'!$B$6:$G$5921,2,FALSE),0)</f>
        <v>0</v>
      </c>
      <c r="U411" s="2034">
        <f>IFERROR(VLOOKUP($B411,'[3]1006'!$B$6:$G$5921,4,FALSE),0)</f>
        <v>0</v>
      </c>
      <c r="V411" s="2033">
        <f t="shared" si="40"/>
        <v>0</v>
      </c>
      <c r="W411" s="2033">
        <f t="shared" si="41"/>
        <v>0</v>
      </c>
    </row>
    <row r="412" spans="2:23" x14ac:dyDescent="0.15">
      <c r="B412" s="2032">
        <v>85241</v>
      </c>
      <c r="C412" s="2032" t="s">
        <v>2005</v>
      </c>
      <c r="D412" s="2037" t="s">
        <v>2005</v>
      </c>
      <c r="E412" s="2032" t="s">
        <v>94</v>
      </c>
      <c r="F412" s="1288" t="s">
        <v>1325</v>
      </c>
      <c r="G412" s="1288" t="s">
        <v>1303</v>
      </c>
      <c r="H412" s="2033">
        <f>IFERROR(VLOOKUP($B412,'[3]1001'!$B$6:$G$5927,2,FALSE),0)</f>
        <v>0</v>
      </c>
      <c r="I412" s="2034">
        <f>IFERROR(VLOOKUP($B412,'[3]1001'!$B$6:$G$5927,4,FALSE),0)</f>
        <v>0</v>
      </c>
      <c r="J412" s="2033">
        <f t="shared" si="36"/>
        <v>0</v>
      </c>
      <c r="K412" s="2035">
        <f>IFERROR(VLOOKUP($B412,'[3]1002'!$B$6:$G$5921,2,FALSE),0)</f>
        <v>0</v>
      </c>
      <c r="L412" s="2036">
        <f>IFERROR(VLOOKUP($B412,'[3]1002'!$B$6:$G$5921,4,FALSE),0)</f>
        <v>0</v>
      </c>
      <c r="M412" s="1763">
        <f t="shared" si="37"/>
        <v>0</v>
      </c>
      <c r="N412" s="2033">
        <f>IFERROR(VLOOKUP($B412,'[3]1003'!$B$6:$G$5921,2,FALSE),0)</f>
        <v>0</v>
      </c>
      <c r="O412" s="2034">
        <f>IFERROR(VLOOKUP($B412,'[3]1003'!$B$6:$G$5921,4,FALSE),0)</f>
        <v>0</v>
      </c>
      <c r="P412" s="2033">
        <f t="shared" si="38"/>
        <v>0</v>
      </c>
      <c r="Q412" s="1763">
        <f>IFERROR(VLOOKUP($B412,'[3]1004'!$B$6:$G$5921,2,FALSE),0)</f>
        <v>0</v>
      </c>
      <c r="R412" s="2036">
        <f>IFERROR(VLOOKUP($B412,'[3]1004'!$B$6:$G$5921,4,FALSE),0)</f>
        <v>0</v>
      </c>
      <c r="S412" s="1763">
        <f t="shared" si="39"/>
        <v>0</v>
      </c>
      <c r="T412" s="2033">
        <f>IFERROR(VLOOKUP($B412,'[3]1006'!$B$6:$G$5921,2,FALSE),0)</f>
        <v>0</v>
      </c>
      <c r="U412" s="2034">
        <f>IFERROR(VLOOKUP($B412,'[3]1006'!$B$6:$G$5921,4,FALSE),0)</f>
        <v>0</v>
      </c>
      <c r="V412" s="2033">
        <f t="shared" si="40"/>
        <v>0</v>
      </c>
      <c r="W412" s="2033">
        <f t="shared" si="41"/>
        <v>0</v>
      </c>
    </row>
    <row r="413" spans="2:23" x14ac:dyDescent="0.15">
      <c r="B413" s="2032">
        <v>85243</v>
      </c>
      <c r="C413" s="2032" t="s">
        <v>2006</v>
      </c>
      <c r="D413" s="2032" t="s">
        <v>2007</v>
      </c>
      <c r="E413" s="2032" t="s">
        <v>94</v>
      </c>
      <c r="F413" s="2039" t="s">
        <v>1300</v>
      </c>
      <c r="G413" s="1288" t="s">
        <v>1303</v>
      </c>
      <c r="H413" s="2033">
        <f>IFERROR(VLOOKUP($B413,'[3]1001'!$B$6:$G$5927,2,FALSE),0)</f>
        <v>0</v>
      </c>
      <c r="I413" s="2034">
        <f>IFERROR(VLOOKUP($B413,'[3]1001'!$B$6:$G$5927,4,FALSE),0)</f>
        <v>0</v>
      </c>
      <c r="J413" s="2033">
        <f t="shared" si="36"/>
        <v>0</v>
      </c>
      <c r="K413" s="2035">
        <f>IFERROR(VLOOKUP($B413,'[3]1002'!$B$6:$G$5921,2,FALSE),0)</f>
        <v>141860.34</v>
      </c>
      <c r="L413" s="2036">
        <f>IFERROR(VLOOKUP($B413,'[3]1002'!$B$6:$G$5921,4,FALSE),0)</f>
        <v>40</v>
      </c>
      <c r="M413" s="1763">
        <f t="shared" si="37"/>
        <v>3546.5084999999999</v>
      </c>
      <c r="N413" s="2033">
        <f>IFERROR(VLOOKUP($B413,'[3]1003'!$B$6:$G$5921,2,FALSE),0)</f>
        <v>198671.55</v>
      </c>
      <c r="O413" s="2034">
        <f>IFERROR(VLOOKUP($B413,'[3]1003'!$B$6:$G$5921,4,FALSE),0)</f>
        <v>32</v>
      </c>
      <c r="P413" s="2033">
        <f t="shared" si="38"/>
        <v>6208.4859374999996</v>
      </c>
      <c r="Q413" s="1763">
        <f>IFERROR(VLOOKUP($B413,'[3]1004'!$B$6:$G$5921,2,FALSE),0)</f>
        <v>35465.089999999997</v>
      </c>
      <c r="R413" s="2036">
        <f>IFERROR(VLOOKUP($B413,'[3]1004'!$B$6:$G$5921,4,FALSE),0)</f>
        <v>10</v>
      </c>
      <c r="S413" s="1763">
        <f t="shared" si="39"/>
        <v>3546.5089999999996</v>
      </c>
      <c r="T413" s="2033">
        <f>IFERROR(VLOOKUP($B413,'[3]1006'!$B$6:$G$5921,2,FALSE),0)</f>
        <v>0</v>
      </c>
      <c r="U413" s="2034">
        <f>IFERROR(VLOOKUP($B413,'[3]1006'!$B$6:$G$5921,4,FALSE),0)</f>
        <v>0</v>
      </c>
      <c r="V413" s="2033">
        <f t="shared" si="40"/>
        <v>0</v>
      </c>
      <c r="W413" s="2033">
        <f t="shared" si="41"/>
        <v>82</v>
      </c>
    </row>
    <row r="414" spans="2:23" x14ac:dyDescent="0.15">
      <c r="B414" s="1288">
        <v>85245</v>
      </c>
      <c r="C414" s="1288" t="s">
        <v>2008</v>
      </c>
      <c r="D414" s="1288"/>
      <c r="E414" s="1288" t="s">
        <v>94</v>
      </c>
      <c r="F414" s="1288" t="s">
        <v>1300</v>
      </c>
      <c r="G414" s="1288" t="s">
        <v>1303</v>
      </c>
      <c r="H414" s="2033">
        <f>IFERROR(VLOOKUP($B414,'[3]1001'!$B$6:$G$5927,2,FALSE),0)</f>
        <v>0</v>
      </c>
      <c r="I414" s="2034">
        <f>IFERROR(VLOOKUP($B414,'[3]1001'!$B$6:$G$5927,4,FALSE),0)</f>
        <v>0</v>
      </c>
      <c r="J414" s="2033">
        <f t="shared" si="36"/>
        <v>0</v>
      </c>
      <c r="K414" s="2035">
        <f>IFERROR(VLOOKUP($B414,'[3]1002'!$B$6:$G$5921,2,FALSE),0)</f>
        <v>0</v>
      </c>
      <c r="L414" s="2036">
        <f>IFERROR(VLOOKUP($B414,'[3]1002'!$B$6:$G$5921,4,FALSE),0)</f>
        <v>0</v>
      </c>
      <c r="M414" s="1763">
        <f t="shared" si="37"/>
        <v>0</v>
      </c>
      <c r="N414" s="2033">
        <f>IFERROR(VLOOKUP($B414,'[3]1003'!$B$6:$G$5921,2,FALSE),0)</f>
        <v>0</v>
      </c>
      <c r="O414" s="2034">
        <f>IFERROR(VLOOKUP($B414,'[3]1003'!$B$6:$G$5921,4,FALSE),0)</f>
        <v>0</v>
      </c>
      <c r="P414" s="2033">
        <f t="shared" si="38"/>
        <v>0</v>
      </c>
      <c r="Q414" s="1763">
        <f>IFERROR(VLOOKUP($B414,'[3]1004'!$B$6:$G$5921,2,FALSE),0)</f>
        <v>0</v>
      </c>
      <c r="R414" s="2036">
        <f>IFERROR(VLOOKUP($B414,'[3]1004'!$B$6:$G$5921,4,FALSE),0)</f>
        <v>0</v>
      </c>
      <c r="S414" s="1763">
        <f t="shared" si="39"/>
        <v>0</v>
      </c>
      <c r="T414" s="2033">
        <f>IFERROR(VLOOKUP($B414,'[3]1006'!$B$6:$G$5921,2,FALSE),0)</f>
        <v>0</v>
      </c>
      <c r="U414" s="2034">
        <f>IFERROR(VLOOKUP($B414,'[3]1006'!$B$6:$G$5921,4,FALSE),0)</f>
        <v>0</v>
      </c>
      <c r="V414" s="2033">
        <f t="shared" si="40"/>
        <v>0</v>
      </c>
      <c r="W414" s="2033">
        <f t="shared" si="41"/>
        <v>0</v>
      </c>
    </row>
    <row r="415" spans="2:23" x14ac:dyDescent="0.15">
      <c r="B415" s="1288">
        <v>87072</v>
      </c>
      <c r="C415" s="1288" t="s">
        <v>2009</v>
      </c>
      <c r="D415" s="1288"/>
      <c r="E415" s="1288" t="s">
        <v>94</v>
      </c>
      <c r="F415" s="1288" t="s">
        <v>1300</v>
      </c>
      <c r="G415" s="1288" t="s">
        <v>1296</v>
      </c>
      <c r="H415" s="2033">
        <f>IFERROR(VLOOKUP($B415,'[3]1001'!$B$6:$G$5927,2,FALSE),0)</f>
        <v>0</v>
      </c>
      <c r="I415" s="2034">
        <f>IFERROR(VLOOKUP($B415,'[3]1001'!$B$6:$G$5927,4,FALSE),0)</f>
        <v>0</v>
      </c>
      <c r="J415" s="2033">
        <f t="shared" si="36"/>
        <v>0</v>
      </c>
      <c r="K415" s="2035">
        <f>IFERROR(VLOOKUP($B415,'[3]1002'!$B$6:$G$5921,2,FALSE),0)</f>
        <v>0</v>
      </c>
      <c r="L415" s="2036">
        <f>IFERROR(VLOOKUP($B415,'[3]1002'!$B$6:$G$5921,4,FALSE),0)</f>
        <v>0</v>
      </c>
      <c r="M415" s="1763">
        <f t="shared" si="37"/>
        <v>0</v>
      </c>
      <c r="N415" s="2033">
        <f>IFERROR(VLOOKUP($B415,'[3]1003'!$B$6:$G$5921,2,FALSE),0)</f>
        <v>0</v>
      </c>
      <c r="O415" s="2034">
        <f>IFERROR(VLOOKUP($B415,'[3]1003'!$B$6:$G$5921,4,FALSE),0)</f>
        <v>0</v>
      </c>
      <c r="P415" s="2033">
        <f t="shared" si="38"/>
        <v>0</v>
      </c>
      <c r="Q415" s="1763">
        <f>IFERROR(VLOOKUP($B415,'[3]1004'!$B$6:$G$5921,2,FALSE),0)</f>
        <v>0</v>
      </c>
      <c r="R415" s="2036">
        <f>IFERROR(VLOOKUP($B415,'[3]1004'!$B$6:$G$5921,4,FALSE),0)</f>
        <v>0</v>
      </c>
      <c r="S415" s="1763">
        <f t="shared" si="39"/>
        <v>0</v>
      </c>
      <c r="T415" s="2033">
        <f>IFERROR(VLOOKUP($B415,'[3]1006'!$B$6:$G$5921,2,FALSE),0)</f>
        <v>0</v>
      </c>
      <c r="U415" s="2034">
        <f>IFERROR(VLOOKUP($B415,'[3]1006'!$B$6:$G$5921,4,FALSE),0)</f>
        <v>0</v>
      </c>
      <c r="V415" s="2033">
        <f t="shared" si="40"/>
        <v>0</v>
      </c>
      <c r="W415" s="2033">
        <f t="shared" si="41"/>
        <v>0</v>
      </c>
    </row>
    <row r="416" spans="2:23" x14ac:dyDescent="0.15">
      <c r="B416" s="2032">
        <v>108568</v>
      </c>
      <c r="C416" s="2032" t="s">
        <v>1347</v>
      </c>
      <c r="D416" s="2037" t="s">
        <v>2010</v>
      </c>
      <c r="E416" s="2032" t="s">
        <v>94</v>
      </c>
      <c r="F416" s="1288" t="s">
        <v>1300</v>
      </c>
      <c r="G416" s="1288" t="s">
        <v>1303</v>
      </c>
      <c r="H416" s="2033">
        <f>IFERROR(VLOOKUP($B416,'[3]1001'!$B$6:$G$5927,2,FALSE),0)</f>
        <v>1243314.6200000001</v>
      </c>
      <c r="I416" s="2034">
        <f>IFERROR(VLOOKUP($B416,'[3]1001'!$B$6:$G$5927,4,FALSE),0)</f>
        <v>3</v>
      </c>
      <c r="J416" s="2033">
        <f t="shared" si="36"/>
        <v>414438.20666666672</v>
      </c>
      <c r="K416" s="2035">
        <f>IFERROR(VLOOKUP($B416,'[3]1002'!$B$6:$G$5921,2,FALSE),0)</f>
        <v>0</v>
      </c>
      <c r="L416" s="2036">
        <f>IFERROR(VLOOKUP($B416,'[3]1002'!$B$6:$G$5921,4,FALSE),0)</f>
        <v>0</v>
      </c>
      <c r="M416" s="1763">
        <f t="shared" si="37"/>
        <v>0</v>
      </c>
      <c r="N416" s="2033">
        <f>IFERROR(VLOOKUP($B416,'[3]1003'!$B$6:$G$5921,2,FALSE),0)</f>
        <v>0</v>
      </c>
      <c r="O416" s="2034">
        <f>IFERROR(VLOOKUP($B416,'[3]1003'!$B$6:$G$5921,4,FALSE),0)</f>
        <v>0</v>
      </c>
      <c r="P416" s="2033">
        <f t="shared" si="38"/>
        <v>0</v>
      </c>
      <c r="Q416" s="1763">
        <f>IFERROR(VLOOKUP($B416,'[3]1004'!$B$6:$G$5921,2,FALSE),0)</f>
        <v>0</v>
      </c>
      <c r="R416" s="2036">
        <f>IFERROR(VLOOKUP($B416,'[3]1004'!$B$6:$G$5921,4,FALSE),0)</f>
        <v>0</v>
      </c>
      <c r="S416" s="1763">
        <f t="shared" si="39"/>
        <v>0</v>
      </c>
      <c r="T416" s="2033">
        <f>IFERROR(VLOOKUP($B416,'[3]1006'!$B$6:$G$5921,2,FALSE),0)</f>
        <v>0</v>
      </c>
      <c r="U416" s="2034">
        <f>IFERROR(VLOOKUP($B416,'[3]1006'!$B$6:$G$5921,4,FALSE),0)</f>
        <v>0</v>
      </c>
      <c r="V416" s="2033">
        <f t="shared" si="40"/>
        <v>0</v>
      </c>
      <c r="W416" s="2033">
        <f t="shared" si="41"/>
        <v>3</v>
      </c>
    </row>
    <row r="417" spans="2:23" x14ac:dyDescent="0.15">
      <c r="B417" s="2032">
        <v>108569</v>
      </c>
      <c r="C417" s="2032" t="s">
        <v>2011</v>
      </c>
      <c r="D417" s="2037" t="s">
        <v>2012</v>
      </c>
      <c r="E417" s="2032" t="s">
        <v>94</v>
      </c>
      <c r="F417" s="1288" t="s">
        <v>1300</v>
      </c>
      <c r="G417" s="1288" t="s">
        <v>1303</v>
      </c>
      <c r="H417" s="2033">
        <f>IFERROR(VLOOKUP($B417,'[3]1001'!$B$6:$G$5927,2,FALSE),0)</f>
        <v>1693463.52</v>
      </c>
      <c r="I417" s="2034">
        <f>IFERROR(VLOOKUP($B417,'[3]1001'!$B$6:$G$5927,4,FALSE),0)</f>
        <v>4</v>
      </c>
      <c r="J417" s="2033">
        <f t="shared" si="36"/>
        <v>423365.88</v>
      </c>
      <c r="K417" s="2035">
        <f>IFERROR(VLOOKUP($B417,'[3]1002'!$B$6:$G$5921,2,FALSE),0)</f>
        <v>0</v>
      </c>
      <c r="L417" s="2036">
        <f>IFERROR(VLOOKUP($B417,'[3]1002'!$B$6:$G$5921,4,FALSE),0)</f>
        <v>0</v>
      </c>
      <c r="M417" s="1763">
        <f t="shared" si="37"/>
        <v>0</v>
      </c>
      <c r="N417" s="2033">
        <f>IFERROR(VLOOKUP($B417,'[3]1003'!$B$6:$G$5921,2,FALSE),0)</f>
        <v>0</v>
      </c>
      <c r="O417" s="2034">
        <f>IFERROR(VLOOKUP($B417,'[3]1003'!$B$6:$G$5921,4,FALSE),0)</f>
        <v>0</v>
      </c>
      <c r="P417" s="2033">
        <f t="shared" si="38"/>
        <v>0</v>
      </c>
      <c r="Q417" s="1763">
        <f>IFERROR(VLOOKUP($B417,'[3]1004'!$B$6:$G$5921,2,FALSE),0)</f>
        <v>0</v>
      </c>
      <c r="R417" s="2036">
        <f>IFERROR(VLOOKUP($B417,'[3]1004'!$B$6:$G$5921,4,FALSE),0)</f>
        <v>0</v>
      </c>
      <c r="S417" s="1763">
        <f t="shared" si="39"/>
        <v>0</v>
      </c>
      <c r="T417" s="2033">
        <f>IFERROR(VLOOKUP($B417,'[3]1006'!$B$6:$G$5921,2,FALSE),0)</f>
        <v>0</v>
      </c>
      <c r="U417" s="2034">
        <f>IFERROR(VLOOKUP($B417,'[3]1006'!$B$6:$G$5921,4,FALSE),0)</f>
        <v>0</v>
      </c>
      <c r="V417" s="2033">
        <f t="shared" si="40"/>
        <v>0</v>
      </c>
      <c r="W417" s="2033">
        <f t="shared" si="41"/>
        <v>4</v>
      </c>
    </row>
    <row r="418" spans="2:23" x14ac:dyDescent="0.15">
      <c r="B418" s="2032">
        <v>108573</v>
      </c>
      <c r="C418" s="2032" t="s">
        <v>1506</v>
      </c>
      <c r="D418" s="2037" t="s">
        <v>1506</v>
      </c>
      <c r="E418" s="2032" t="s">
        <v>94</v>
      </c>
      <c r="F418" s="1288" t="s">
        <v>1300</v>
      </c>
      <c r="G418" s="1288" t="s">
        <v>1296</v>
      </c>
      <c r="H418" s="2033">
        <f>IFERROR(VLOOKUP($B418,'[3]1001'!$B$6:$G$5927,2,FALSE),0)</f>
        <v>0</v>
      </c>
      <c r="I418" s="2034">
        <f>IFERROR(VLOOKUP($B418,'[3]1001'!$B$6:$G$5927,4,FALSE),0)</f>
        <v>0</v>
      </c>
      <c r="J418" s="2033">
        <f t="shared" si="36"/>
        <v>0</v>
      </c>
      <c r="K418" s="2035">
        <f>IFERROR(VLOOKUP($B418,'[3]1002'!$B$6:$G$5921,2,FALSE),0)</f>
        <v>0</v>
      </c>
      <c r="L418" s="2036">
        <f>IFERROR(VLOOKUP($B418,'[3]1002'!$B$6:$G$5921,4,FALSE),0)</f>
        <v>0</v>
      </c>
      <c r="M418" s="1763">
        <f t="shared" si="37"/>
        <v>0</v>
      </c>
      <c r="N418" s="2033">
        <f>IFERROR(VLOOKUP($B418,'[3]1003'!$B$6:$G$5921,2,FALSE),0)</f>
        <v>0</v>
      </c>
      <c r="O418" s="2034">
        <f>IFERROR(VLOOKUP($B418,'[3]1003'!$B$6:$G$5921,4,FALSE),0)</f>
        <v>0</v>
      </c>
      <c r="P418" s="2033">
        <f t="shared" si="38"/>
        <v>0</v>
      </c>
      <c r="Q418" s="1763">
        <f>IFERROR(VLOOKUP($B418,'[3]1004'!$B$6:$G$5921,2,FALSE),0)</f>
        <v>0</v>
      </c>
      <c r="R418" s="2036">
        <f>IFERROR(VLOOKUP($B418,'[3]1004'!$B$6:$G$5921,4,FALSE),0)</f>
        <v>0</v>
      </c>
      <c r="S418" s="1763">
        <f t="shared" si="39"/>
        <v>0</v>
      </c>
      <c r="T418" s="2033">
        <f>IFERROR(VLOOKUP($B418,'[3]1006'!$B$6:$G$5921,2,FALSE),0)</f>
        <v>0</v>
      </c>
      <c r="U418" s="2034">
        <f>IFERROR(VLOOKUP($B418,'[3]1006'!$B$6:$G$5921,4,FALSE),0)</f>
        <v>0</v>
      </c>
      <c r="V418" s="2033">
        <f t="shared" si="40"/>
        <v>0</v>
      </c>
      <c r="W418" s="2033">
        <f t="shared" si="41"/>
        <v>0</v>
      </c>
    </row>
    <row r="419" spans="2:23" x14ac:dyDescent="0.15">
      <c r="B419" s="2032">
        <v>108574</v>
      </c>
      <c r="C419" s="2032" t="s">
        <v>2013</v>
      </c>
      <c r="D419" s="2032" t="s">
        <v>2014</v>
      </c>
      <c r="E419" s="2032" t="s">
        <v>94</v>
      </c>
      <c r="F419" s="1288" t="s">
        <v>1325</v>
      </c>
      <c r="G419" s="1288" t="s">
        <v>1303</v>
      </c>
      <c r="H419" s="2033">
        <f>IFERROR(VLOOKUP($B419,'[3]1001'!$B$6:$G$5927,2,FALSE),0)</f>
        <v>0</v>
      </c>
      <c r="I419" s="2034">
        <f>IFERROR(VLOOKUP($B419,'[3]1001'!$B$6:$G$5927,4,FALSE),0)</f>
        <v>0</v>
      </c>
      <c r="J419" s="2033">
        <f t="shared" si="36"/>
        <v>0</v>
      </c>
      <c r="K419" s="2035">
        <f>IFERROR(VLOOKUP($B419,'[3]1002'!$B$6:$G$5921,2,FALSE),0)</f>
        <v>0</v>
      </c>
      <c r="L419" s="2036">
        <f>IFERROR(VLOOKUP($B419,'[3]1002'!$B$6:$G$5921,4,FALSE),0)</f>
        <v>0</v>
      </c>
      <c r="M419" s="1763">
        <f t="shared" si="37"/>
        <v>0</v>
      </c>
      <c r="N419" s="2033">
        <f>IFERROR(VLOOKUP($B419,'[3]1003'!$B$6:$G$5921,2,FALSE),0)</f>
        <v>0</v>
      </c>
      <c r="O419" s="2034">
        <f>IFERROR(VLOOKUP($B419,'[3]1003'!$B$6:$G$5921,4,FALSE),0)</f>
        <v>0</v>
      </c>
      <c r="P419" s="2033">
        <f t="shared" si="38"/>
        <v>0</v>
      </c>
      <c r="Q419" s="1763">
        <f>IFERROR(VLOOKUP($B419,'[3]1004'!$B$6:$G$5921,2,FALSE),0)</f>
        <v>0</v>
      </c>
      <c r="R419" s="2036">
        <f>IFERROR(VLOOKUP($B419,'[3]1004'!$B$6:$G$5921,4,FALSE),0)</f>
        <v>0</v>
      </c>
      <c r="S419" s="1763">
        <f t="shared" si="39"/>
        <v>0</v>
      </c>
      <c r="T419" s="2033">
        <f>IFERROR(VLOOKUP($B419,'[3]1006'!$B$6:$G$5921,2,FALSE),0)</f>
        <v>0</v>
      </c>
      <c r="U419" s="2034">
        <f>IFERROR(VLOOKUP($B419,'[3]1006'!$B$6:$G$5921,4,FALSE),0)</f>
        <v>0</v>
      </c>
      <c r="V419" s="2033">
        <f t="shared" si="40"/>
        <v>0</v>
      </c>
      <c r="W419" s="2033">
        <f t="shared" si="41"/>
        <v>0</v>
      </c>
    </row>
    <row r="420" spans="2:23" x14ac:dyDescent="0.15">
      <c r="B420" s="2032">
        <v>108575</v>
      </c>
      <c r="C420" s="2032" t="s">
        <v>2015</v>
      </c>
      <c r="D420" s="2032" t="s">
        <v>2016</v>
      </c>
      <c r="E420" s="2032" t="s">
        <v>94</v>
      </c>
      <c r="F420" s="1288" t="s">
        <v>1295</v>
      </c>
      <c r="G420" s="1288" t="s">
        <v>1303</v>
      </c>
      <c r="H420" s="2033">
        <f>IFERROR(VLOOKUP($B420,'[3]1001'!$B$6:$G$5927,2,FALSE),0)</f>
        <v>0</v>
      </c>
      <c r="I420" s="2034">
        <f>IFERROR(VLOOKUP($B420,'[3]1001'!$B$6:$G$5927,4,FALSE),0)</f>
        <v>0</v>
      </c>
      <c r="J420" s="2033">
        <f t="shared" si="36"/>
        <v>0</v>
      </c>
      <c r="K420" s="2035">
        <f>IFERROR(VLOOKUP($B420,'[3]1002'!$B$6:$G$5921,2,FALSE),0)</f>
        <v>0</v>
      </c>
      <c r="L420" s="2036">
        <f>IFERROR(VLOOKUP($B420,'[3]1002'!$B$6:$G$5921,4,FALSE),0)</f>
        <v>0</v>
      </c>
      <c r="M420" s="1763">
        <f t="shared" si="37"/>
        <v>0</v>
      </c>
      <c r="N420" s="2033">
        <f>IFERROR(VLOOKUP($B420,'[3]1003'!$B$6:$G$5921,2,FALSE),0)</f>
        <v>0</v>
      </c>
      <c r="O420" s="2034">
        <f>IFERROR(VLOOKUP($B420,'[3]1003'!$B$6:$G$5921,4,FALSE),0)</f>
        <v>0</v>
      </c>
      <c r="P420" s="2033">
        <f t="shared" si="38"/>
        <v>0</v>
      </c>
      <c r="Q420" s="1763">
        <f>IFERROR(VLOOKUP($B420,'[3]1004'!$B$6:$G$5921,2,FALSE),0)</f>
        <v>0</v>
      </c>
      <c r="R420" s="2036">
        <f>IFERROR(VLOOKUP($B420,'[3]1004'!$B$6:$G$5921,4,FALSE),0)</f>
        <v>0</v>
      </c>
      <c r="S420" s="1763">
        <f t="shared" si="39"/>
        <v>0</v>
      </c>
      <c r="T420" s="2033">
        <f>IFERROR(VLOOKUP($B420,'[3]1006'!$B$6:$G$5921,2,FALSE),0)</f>
        <v>0</v>
      </c>
      <c r="U420" s="2034">
        <f>IFERROR(VLOOKUP($B420,'[3]1006'!$B$6:$G$5921,4,FALSE),0)</f>
        <v>0</v>
      </c>
      <c r="V420" s="2033">
        <f t="shared" si="40"/>
        <v>0</v>
      </c>
      <c r="W420" s="2033">
        <f t="shared" si="41"/>
        <v>0</v>
      </c>
    </row>
    <row r="421" spans="2:23" x14ac:dyDescent="0.15">
      <c r="B421" s="2032">
        <v>108595</v>
      </c>
      <c r="C421" s="2032" t="s">
        <v>1451</v>
      </c>
      <c r="D421" s="2037" t="s">
        <v>1452</v>
      </c>
      <c r="E421" s="2032" t="s">
        <v>94</v>
      </c>
      <c r="F421" s="1288" t="s">
        <v>1300</v>
      </c>
      <c r="G421" s="1288" t="s">
        <v>1296</v>
      </c>
      <c r="H421" s="2033">
        <f>IFERROR(VLOOKUP($B421,'[3]1001'!$B$6:$G$5927,2,FALSE),0)</f>
        <v>212623.64</v>
      </c>
      <c r="I421" s="2034">
        <f>IFERROR(VLOOKUP($B421,'[3]1001'!$B$6:$G$5927,4,FALSE),0)</f>
        <v>1</v>
      </c>
      <c r="J421" s="2033">
        <f t="shared" si="36"/>
        <v>212623.64</v>
      </c>
      <c r="K421" s="2035">
        <f>IFERROR(VLOOKUP($B421,'[3]1002'!$B$6:$G$5921,2,FALSE),0)</f>
        <v>0</v>
      </c>
      <c r="L421" s="2036">
        <f>IFERROR(VLOOKUP($B421,'[3]1002'!$B$6:$G$5921,4,FALSE),0)</f>
        <v>0</v>
      </c>
      <c r="M421" s="1763">
        <f t="shared" si="37"/>
        <v>0</v>
      </c>
      <c r="N421" s="2033">
        <f>IFERROR(VLOOKUP($B421,'[3]1003'!$B$6:$G$5921,2,FALSE),0)</f>
        <v>205299.28</v>
      </c>
      <c r="O421" s="2034">
        <f>IFERROR(VLOOKUP($B421,'[3]1003'!$B$6:$G$5921,4,FALSE),0)</f>
        <v>1</v>
      </c>
      <c r="P421" s="2033">
        <f t="shared" si="38"/>
        <v>205299.28</v>
      </c>
      <c r="Q421" s="1763">
        <f>IFERROR(VLOOKUP($B421,'[3]1004'!$B$6:$G$5921,2,FALSE),0)</f>
        <v>949857.51</v>
      </c>
      <c r="R421" s="2036">
        <f>IFERROR(VLOOKUP($B421,'[3]1004'!$B$6:$G$5921,4,FALSE),0)</f>
        <v>4</v>
      </c>
      <c r="S421" s="1763">
        <f t="shared" si="39"/>
        <v>237464.3775</v>
      </c>
      <c r="T421" s="2033">
        <f>IFERROR(VLOOKUP($B421,'[3]1006'!$B$6:$G$5921,2,FALSE),0)</f>
        <v>0</v>
      </c>
      <c r="U421" s="2034">
        <f>IFERROR(VLOOKUP($B421,'[3]1006'!$B$6:$G$5921,4,FALSE),0)</f>
        <v>0</v>
      </c>
      <c r="V421" s="2033">
        <f t="shared" si="40"/>
        <v>0</v>
      </c>
      <c r="W421" s="2033">
        <f t="shared" si="41"/>
        <v>6</v>
      </c>
    </row>
    <row r="422" spans="2:23" x14ac:dyDescent="0.15">
      <c r="B422" s="2032">
        <v>109257</v>
      </c>
      <c r="C422" s="2032" t="s">
        <v>2017</v>
      </c>
      <c r="D422" s="2037" t="s">
        <v>2018</v>
      </c>
      <c r="E422" s="2032" t="s">
        <v>94</v>
      </c>
      <c r="F422" s="1288" t="s">
        <v>1300</v>
      </c>
      <c r="G422" s="1288" t="s">
        <v>1303</v>
      </c>
      <c r="H422" s="2033">
        <f>IFERROR(VLOOKUP($B422,'[3]1001'!$B$6:$G$5927,2,FALSE),0)</f>
        <v>0</v>
      </c>
      <c r="I422" s="2034">
        <f>IFERROR(VLOOKUP($B422,'[3]1001'!$B$6:$G$5927,4,FALSE),0)</f>
        <v>0</v>
      </c>
      <c r="J422" s="2033">
        <f t="shared" si="36"/>
        <v>0</v>
      </c>
      <c r="K422" s="2035">
        <f>IFERROR(VLOOKUP($B422,'[3]1002'!$B$6:$G$5921,2,FALSE),0)</f>
        <v>0</v>
      </c>
      <c r="L422" s="2036">
        <f>IFERROR(VLOOKUP($B422,'[3]1002'!$B$6:$G$5921,4,FALSE),0)</f>
        <v>0</v>
      </c>
      <c r="M422" s="1763">
        <f t="shared" si="37"/>
        <v>0</v>
      </c>
      <c r="N422" s="2033">
        <f>IFERROR(VLOOKUP($B422,'[3]1003'!$B$6:$G$5921,2,FALSE),0)</f>
        <v>0</v>
      </c>
      <c r="O422" s="2034">
        <f>IFERROR(VLOOKUP($B422,'[3]1003'!$B$6:$G$5921,4,FALSE),0)</f>
        <v>0</v>
      </c>
      <c r="P422" s="2033">
        <f t="shared" si="38"/>
        <v>0</v>
      </c>
      <c r="Q422" s="1763">
        <f>IFERROR(VLOOKUP($B422,'[3]1004'!$B$6:$G$5921,2,FALSE),0)</f>
        <v>0</v>
      </c>
      <c r="R422" s="2036">
        <f>IFERROR(VLOOKUP($B422,'[3]1004'!$B$6:$G$5921,4,FALSE),0)</f>
        <v>0</v>
      </c>
      <c r="S422" s="1763">
        <f t="shared" si="39"/>
        <v>0</v>
      </c>
      <c r="T422" s="2033">
        <f>IFERROR(VLOOKUP($B422,'[3]1006'!$B$6:$G$5921,2,FALSE),0)</f>
        <v>0</v>
      </c>
      <c r="U422" s="2034">
        <f>IFERROR(VLOOKUP($B422,'[3]1006'!$B$6:$G$5921,4,FALSE),0)</f>
        <v>0</v>
      </c>
      <c r="V422" s="2033">
        <f t="shared" si="40"/>
        <v>0</v>
      </c>
      <c r="W422" s="2033">
        <f t="shared" si="41"/>
        <v>0</v>
      </c>
    </row>
    <row r="423" spans="2:23" x14ac:dyDescent="0.15">
      <c r="B423" s="2032">
        <v>109261</v>
      </c>
      <c r="C423" s="2032" t="s">
        <v>2019</v>
      </c>
      <c r="D423" s="2032" t="s">
        <v>2020</v>
      </c>
      <c r="E423" s="2032" t="s">
        <v>94</v>
      </c>
      <c r="F423" s="870" t="s">
        <v>1300</v>
      </c>
      <c r="G423" s="1288" t="s">
        <v>1303</v>
      </c>
      <c r="H423" s="2033">
        <f>IFERROR(VLOOKUP($B423,'[3]1001'!$B$6:$G$5927,2,FALSE),0)</f>
        <v>0</v>
      </c>
      <c r="I423" s="2034">
        <f>IFERROR(VLOOKUP($B423,'[3]1001'!$B$6:$G$5927,4,FALSE),0)</f>
        <v>0</v>
      </c>
      <c r="J423" s="2033">
        <f t="shared" si="36"/>
        <v>0</v>
      </c>
      <c r="K423" s="2035">
        <f>IFERROR(VLOOKUP($B423,'[3]1002'!$B$6:$G$5921,2,FALSE),0)</f>
        <v>26054.400000000001</v>
      </c>
      <c r="L423" s="2036">
        <f>IFERROR(VLOOKUP($B423,'[3]1002'!$B$6:$G$5921,4,FALSE),0)</f>
        <v>3</v>
      </c>
      <c r="M423" s="1763">
        <f t="shared" si="37"/>
        <v>8684.8000000000011</v>
      </c>
      <c r="N423" s="2033">
        <f>IFERROR(VLOOKUP($B423,'[3]1003'!$B$6:$G$5921,2,FALSE),0)</f>
        <v>0</v>
      </c>
      <c r="O423" s="2034">
        <f>IFERROR(VLOOKUP($B423,'[3]1003'!$B$6:$G$5921,4,FALSE),0)</f>
        <v>0</v>
      </c>
      <c r="P423" s="2033">
        <f t="shared" si="38"/>
        <v>0</v>
      </c>
      <c r="Q423" s="1763">
        <f>IFERROR(VLOOKUP($B423,'[3]1004'!$B$6:$G$5921,2,FALSE),0)</f>
        <v>0</v>
      </c>
      <c r="R423" s="2036">
        <f>IFERROR(VLOOKUP($B423,'[3]1004'!$B$6:$G$5921,4,FALSE),0)</f>
        <v>0</v>
      </c>
      <c r="S423" s="1763">
        <f t="shared" si="39"/>
        <v>0</v>
      </c>
      <c r="T423" s="2033">
        <f>IFERROR(VLOOKUP($B423,'[3]1006'!$B$6:$G$5921,2,FALSE),0)</f>
        <v>0</v>
      </c>
      <c r="U423" s="2034">
        <f>IFERROR(VLOOKUP($B423,'[3]1006'!$B$6:$G$5921,4,FALSE),0)</f>
        <v>0</v>
      </c>
      <c r="V423" s="2033">
        <f t="shared" si="40"/>
        <v>0</v>
      </c>
      <c r="W423" s="2033">
        <f t="shared" si="41"/>
        <v>3</v>
      </c>
    </row>
    <row r="424" spans="2:23" x14ac:dyDescent="0.15">
      <c r="B424" s="1288">
        <v>109455</v>
      </c>
      <c r="C424" s="1288" t="s">
        <v>2478</v>
      </c>
      <c r="D424" s="1288"/>
      <c r="E424" s="1288" t="s">
        <v>94</v>
      </c>
      <c r="F424" s="1288" t="s">
        <v>1337</v>
      </c>
      <c r="G424" s="1288" t="s">
        <v>1303</v>
      </c>
      <c r="H424" s="2033">
        <f>IFERROR(VLOOKUP($B424,'[3]1001'!$B$6:$G$5927,2,FALSE),0)</f>
        <v>0</v>
      </c>
      <c r="I424" s="2034">
        <f>IFERROR(VLOOKUP($B424,'[3]1001'!$B$6:$G$5927,4,FALSE),0)</f>
        <v>0</v>
      </c>
      <c r="J424" s="2033">
        <f t="shared" si="36"/>
        <v>0</v>
      </c>
      <c r="K424" s="2035">
        <f>IFERROR(VLOOKUP($B424,'[3]1002'!$B$6:$G$5921,2,FALSE),0)</f>
        <v>0</v>
      </c>
      <c r="L424" s="2036">
        <f>IFERROR(VLOOKUP($B424,'[3]1002'!$B$6:$G$5921,4,FALSE),0)</f>
        <v>0</v>
      </c>
      <c r="M424" s="1763">
        <f t="shared" si="37"/>
        <v>0</v>
      </c>
      <c r="N424" s="2033">
        <f>IFERROR(VLOOKUP($B424,'[3]1003'!$B$6:$G$5921,2,FALSE),0)</f>
        <v>0</v>
      </c>
      <c r="O424" s="2034">
        <f>IFERROR(VLOOKUP($B424,'[3]1003'!$B$6:$G$5921,4,FALSE),0)</f>
        <v>0</v>
      </c>
      <c r="P424" s="2033">
        <f t="shared" si="38"/>
        <v>0</v>
      </c>
      <c r="Q424" s="1763">
        <f>IFERROR(VLOOKUP($B424,'[3]1004'!$B$6:$G$5921,2,FALSE),0)</f>
        <v>0</v>
      </c>
      <c r="R424" s="2036">
        <f>IFERROR(VLOOKUP($B424,'[3]1004'!$B$6:$G$5921,4,FALSE),0)</f>
        <v>0</v>
      </c>
      <c r="S424" s="1763">
        <f t="shared" si="39"/>
        <v>0</v>
      </c>
      <c r="T424" s="2033">
        <f>IFERROR(VLOOKUP($B424,'[3]1006'!$B$6:$G$5921,2,FALSE),0)</f>
        <v>0</v>
      </c>
      <c r="U424" s="2034">
        <f>IFERROR(VLOOKUP($B424,'[3]1006'!$B$6:$G$5921,4,FALSE),0)</f>
        <v>0</v>
      </c>
      <c r="V424" s="2033">
        <f t="shared" si="40"/>
        <v>0</v>
      </c>
      <c r="W424" s="2033">
        <f t="shared" si="41"/>
        <v>0</v>
      </c>
    </row>
    <row r="425" spans="2:23" x14ac:dyDescent="0.15">
      <c r="B425" s="1288">
        <v>109456</v>
      </c>
      <c r="C425" s="1288" t="s">
        <v>2479</v>
      </c>
      <c r="D425" s="1288"/>
      <c r="E425" s="1288" t="s">
        <v>94</v>
      </c>
      <c r="F425" s="1288" t="s">
        <v>1337</v>
      </c>
      <c r="G425" s="1288" t="s">
        <v>1303</v>
      </c>
      <c r="H425" s="2033">
        <f>IFERROR(VLOOKUP($B425,'[3]1001'!$B$6:$G$5927,2,FALSE),0)</f>
        <v>0</v>
      </c>
      <c r="I425" s="2034">
        <f>IFERROR(VLOOKUP($B425,'[3]1001'!$B$6:$G$5927,4,FALSE),0)</f>
        <v>0</v>
      </c>
      <c r="J425" s="2033">
        <f t="shared" si="36"/>
        <v>0</v>
      </c>
      <c r="K425" s="2035">
        <f>IFERROR(VLOOKUP($B425,'[3]1002'!$B$6:$G$5921,2,FALSE),0)</f>
        <v>0</v>
      </c>
      <c r="L425" s="2036">
        <f>IFERROR(VLOOKUP($B425,'[3]1002'!$B$6:$G$5921,4,FALSE),0)</f>
        <v>0</v>
      </c>
      <c r="M425" s="1763">
        <f t="shared" si="37"/>
        <v>0</v>
      </c>
      <c r="N425" s="2033">
        <f>IFERROR(VLOOKUP($B425,'[3]1003'!$B$6:$G$5921,2,FALSE),0)</f>
        <v>0</v>
      </c>
      <c r="O425" s="2034">
        <f>IFERROR(VLOOKUP($B425,'[3]1003'!$B$6:$G$5921,4,FALSE),0)</f>
        <v>0</v>
      </c>
      <c r="P425" s="2033">
        <f t="shared" si="38"/>
        <v>0</v>
      </c>
      <c r="Q425" s="1763">
        <f>IFERROR(VLOOKUP($B425,'[3]1004'!$B$6:$G$5921,2,FALSE),0)</f>
        <v>0</v>
      </c>
      <c r="R425" s="2036">
        <f>IFERROR(VLOOKUP($B425,'[3]1004'!$B$6:$G$5921,4,FALSE),0)</f>
        <v>0</v>
      </c>
      <c r="S425" s="1763">
        <f t="shared" si="39"/>
        <v>0</v>
      </c>
      <c r="T425" s="2033">
        <f>IFERROR(VLOOKUP($B425,'[3]1006'!$B$6:$G$5921,2,FALSE),0)</f>
        <v>0</v>
      </c>
      <c r="U425" s="2034">
        <f>IFERROR(VLOOKUP($B425,'[3]1006'!$B$6:$G$5921,4,FALSE),0)</f>
        <v>0</v>
      </c>
      <c r="V425" s="2033">
        <f t="shared" si="40"/>
        <v>0</v>
      </c>
      <c r="W425" s="2033">
        <f t="shared" si="41"/>
        <v>0</v>
      </c>
    </row>
    <row r="426" spans="2:23" x14ac:dyDescent="0.15">
      <c r="B426" s="1288">
        <v>109457</v>
      </c>
      <c r="C426" s="1288" t="s">
        <v>2480</v>
      </c>
      <c r="D426" s="1288"/>
      <c r="E426" s="1288" t="s">
        <v>94</v>
      </c>
      <c r="F426" s="1288" t="s">
        <v>1337</v>
      </c>
      <c r="G426" s="1288" t="s">
        <v>1303</v>
      </c>
      <c r="H426" s="2033">
        <f>IFERROR(VLOOKUP($B426,'[3]1001'!$B$6:$G$5927,2,FALSE),0)</f>
        <v>0</v>
      </c>
      <c r="I426" s="2034">
        <f>IFERROR(VLOOKUP($B426,'[3]1001'!$B$6:$G$5927,4,FALSE),0)</f>
        <v>0</v>
      </c>
      <c r="J426" s="2033">
        <f t="shared" si="36"/>
        <v>0</v>
      </c>
      <c r="K426" s="2035">
        <f>IFERROR(VLOOKUP($B426,'[3]1002'!$B$6:$G$5921,2,FALSE),0)</f>
        <v>0</v>
      </c>
      <c r="L426" s="2036">
        <f>IFERROR(VLOOKUP($B426,'[3]1002'!$B$6:$G$5921,4,FALSE),0)</f>
        <v>0</v>
      </c>
      <c r="M426" s="1763">
        <f t="shared" si="37"/>
        <v>0</v>
      </c>
      <c r="N426" s="2033">
        <f>IFERROR(VLOOKUP($B426,'[3]1003'!$B$6:$G$5921,2,FALSE),0)</f>
        <v>0</v>
      </c>
      <c r="O426" s="2034">
        <f>IFERROR(VLOOKUP($B426,'[3]1003'!$B$6:$G$5921,4,FALSE),0)</f>
        <v>0</v>
      </c>
      <c r="P426" s="2033">
        <f t="shared" si="38"/>
        <v>0</v>
      </c>
      <c r="Q426" s="1763">
        <f>IFERROR(VLOOKUP($B426,'[3]1004'!$B$6:$G$5921,2,FALSE),0)</f>
        <v>0</v>
      </c>
      <c r="R426" s="2036">
        <f>IFERROR(VLOOKUP($B426,'[3]1004'!$B$6:$G$5921,4,FALSE),0)</f>
        <v>0</v>
      </c>
      <c r="S426" s="1763">
        <f t="shared" si="39"/>
        <v>0</v>
      </c>
      <c r="T426" s="2033">
        <f>IFERROR(VLOOKUP($B426,'[3]1006'!$B$6:$G$5921,2,FALSE),0)</f>
        <v>0</v>
      </c>
      <c r="U426" s="2034">
        <f>IFERROR(VLOOKUP($B426,'[3]1006'!$B$6:$G$5921,4,FALSE),0)</f>
        <v>0</v>
      </c>
      <c r="V426" s="2033">
        <f t="shared" si="40"/>
        <v>0</v>
      </c>
      <c r="W426" s="2033">
        <f t="shared" si="41"/>
        <v>0</v>
      </c>
    </row>
    <row r="427" spans="2:23" x14ac:dyDescent="0.15">
      <c r="B427" s="1288">
        <v>109458</v>
      </c>
      <c r="C427" s="1288" t="s">
        <v>2481</v>
      </c>
      <c r="D427" s="1288"/>
      <c r="E427" s="1288" t="s">
        <v>94</v>
      </c>
      <c r="F427" s="1288" t="s">
        <v>1337</v>
      </c>
      <c r="G427" s="1288" t="s">
        <v>1303</v>
      </c>
      <c r="H427" s="2033">
        <f>IFERROR(VLOOKUP($B427,'[3]1001'!$B$6:$G$5927,2,FALSE),0)</f>
        <v>0</v>
      </c>
      <c r="I427" s="2034">
        <f>IFERROR(VLOOKUP($B427,'[3]1001'!$B$6:$G$5927,4,FALSE),0)</f>
        <v>0</v>
      </c>
      <c r="J427" s="2033">
        <f t="shared" si="36"/>
        <v>0</v>
      </c>
      <c r="K427" s="2035">
        <f>IFERROR(VLOOKUP($B427,'[3]1002'!$B$6:$G$5921,2,FALSE),0)</f>
        <v>0</v>
      </c>
      <c r="L427" s="2036">
        <f>IFERROR(VLOOKUP($B427,'[3]1002'!$B$6:$G$5921,4,FALSE),0)</f>
        <v>0</v>
      </c>
      <c r="M427" s="1763">
        <f t="shared" si="37"/>
        <v>0</v>
      </c>
      <c r="N427" s="2033">
        <f>IFERROR(VLOOKUP($B427,'[3]1003'!$B$6:$G$5921,2,FALSE),0)</f>
        <v>0</v>
      </c>
      <c r="O427" s="2034">
        <f>IFERROR(VLOOKUP($B427,'[3]1003'!$B$6:$G$5921,4,FALSE),0)</f>
        <v>0</v>
      </c>
      <c r="P427" s="2033">
        <f t="shared" si="38"/>
        <v>0</v>
      </c>
      <c r="Q427" s="1763">
        <f>IFERROR(VLOOKUP($B427,'[3]1004'!$B$6:$G$5921,2,FALSE),0)</f>
        <v>0</v>
      </c>
      <c r="R427" s="2036">
        <f>IFERROR(VLOOKUP($B427,'[3]1004'!$B$6:$G$5921,4,FALSE),0)</f>
        <v>0</v>
      </c>
      <c r="S427" s="1763">
        <f t="shared" si="39"/>
        <v>0</v>
      </c>
      <c r="T427" s="2033">
        <f>IFERROR(VLOOKUP($B427,'[3]1006'!$B$6:$G$5921,2,FALSE),0)</f>
        <v>0</v>
      </c>
      <c r="U427" s="2034">
        <f>IFERROR(VLOOKUP($B427,'[3]1006'!$B$6:$G$5921,4,FALSE),0)</f>
        <v>0</v>
      </c>
      <c r="V427" s="2033">
        <f t="shared" si="40"/>
        <v>0</v>
      </c>
      <c r="W427" s="2033">
        <f t="shared" si="41"/>
        <v>0</v>
      </c>
    </row>
    <row r="428" spans="2:23" x14ac:dyDescent="0.15">
      <c r="B428" s="1288">
        <v>109459</v>
      </c>
      <c r="C428" s="1288" t="s">
        <v>2482</v>
      </c>
      <c r="D428" s="1288"/>
      <c r="E428" s="1288" t="s">
        <v>94</v>
      </c>
      <c r="F428" s="1288" t="s">
        <v>1337</v>
      </c>
      <c r="G428" s="1288" t="s">
        <v>1303</v>
      </c>
      <c r="H428" s="2033">
        <f>IFERROR(VLOOKUP($B428,'[3]1001'!$B$6:$G$5927,2,FALSE),0)</f>
        <v>0</v>
      </c>
      <c r="I428" s="2034">
        <f>IFERROR(VLOOKUP($B428,'[3]1001'!$B$6:$G$5927,4,FALSE),0)</f>
        <v>0</v>
      </c>
      <c r="J428" s="2033">
        <f t="shared" si="36"/>
        <v>0</v>
      </c>
      <c r="K428" s="2035">
        <f>IFERROR(VLOOKUP($B428,'[3]1002'!$B$6:$G$5921,2,FALSE),0)</f>
        <v>0</v>
      </c>
      <c r="L428" s="2036">
        <f>IFERROR(VLOOKUP($B428,'[3]1002'!$B$6:$G$5921,4,FALSE),0)</f>
        <v>0</v>
      </c>
      <c r="M428" s="1763">
        <f t="shared" si="37"/>
        <v>0</v>
      </c>
      <c r="N428" s="2033">
        <f>IFERROR(VLOOKUP($B428,'[3]1003'!$B$6:$G$5921,2,FALSE),0)</f>
        <v>0</v>
      </c>
      <c r="O428" s="2034">
        <f>IFERROR(VLOOKUP($B428,'[3]1003'!$B$6:$G$5921,4,FALSE),0)</f>
        <v>0</v>
      </c>
      <c r="P428" s="2033">
        <f t="shared" si="38"/>
        <v>0</v>
      </c>
      <c r="Q428" s="1763">
        <f>IFERROR(VLOOKUP($B428,'[3]1004'!$B$6:$G$5921,2,FALSE),0)</f>
        <v>0</v>
      </c>
      <c r="R428" s="2036">
        <f>IFERROR(VLOOKUP($B428,'[3]1004'!$B$6:$G$5921,4,FALSE),0)</f>
        <v>0</v>
      </c>
      <c r="S428" s="1763">
        <f t="shared" si="39"/>
        <v>0</v>
      </c>
      <c r="T428" s="2033">
        <f>IFERROR(VLOOKUP($B428,'[3]1006'!$B$6:$G$5921,2,FALSE),0)</f>
        <v>0</v>
      </c>
      <c r="U428" s="2034">
        <f>IFERROR(VLOOKUP($B428,'[3]1006'!$B$6:$G$5921,4,FALSE),0)</f>
        <v>0</v>
      </c>
      <c r="V428" s="2033">
        <f t="shared" si="40"/>
        <v>0</v>
      </c>
      <c r="W428" s="2033">
        <f t="shared" si="41"/>
        <v>0</v>
      </c>
    </row>
    <row r="429" spans="2:23" x14ac:dyDescent="0.15">
      <c r="B429" s="1288">
        <v>109460</v>
      </c>
      <c r="C429" s="1288" t="s">
        <v>2483</v>
      </c>
      <c r="D429" s="1288"/>
      <c r="E429" s="1288" t="s">
        <v>94</v>
      </c>
      <c r="F429" s="1288" t="s">
        <v>1337</v>
      </c>
      <c r="G429" s="1288" t="s">
        <v>1303</v>
      </c>
      <c r="H429" s="2033">
        <f>IFERROR(VLOOKUP($B429,'[3]1001'!$B$6:$G$5927,2,FALSE),0)</f>
        <v>0</v>
      </c>
      <c r="I429" s="2034">
        <f>IFERROR(VLOOKUP($B429,'[3]1001'!$B$6:$G$5927,4,FALSE),0)</f>
        <v>0</v>
      </c>
      <c r="J429" s="2033">
        <f t="shared" si="36"/>
        <v>0</v>
      </c>
      <c r="K429" s="2035">
        <f>IFERROR(VLOOKUP($B429,'[3]1002'!$B$6:$G$5921,2,FALSE),0)</f>
        <v>0</v>
      </c>
      <c r="L429" s="2036">
        <f>IFERROR(VLOOKUP($B429,'[3]1002'!$B$6:$G$5921,4,FALSE),0)</f>
        <v>0</v>
      </c>
      <c r="M429" s="1763">
        <f t="shared" si="37"/>
        <v>0</v>
      </c>
      <c r="N429" s="2033">
        <f>IFERROR(VLOOKUP($B429,'[3]1003'!$B$6:$G$5921,2,FALSE),0)</f>
        <v>0</v>
      </c>
      <c r="O429" s="2034">
        <f>IFERROR(VLOOKUP($B429,'[3]1003'!$B$6:$G$5921,4,FALSE),0)</f>
        <v>0</v>
      </c>
      <c r="P429" s="2033">
        <f t="shared" si="38"/>
        <v>0</v>
      </c>
      <c r="Q429" s="1763">
        <f>IFERROR(VLOOKUP($B429,'[3]1004'!$B$6:$G$5921,2,FALSE),0)</f>
        <v>0</v>
      </c>
      <c r="R429" s="2036">
        <f>IFERROR(VLOOKUP($B429,'[3]1004'!$B$6:$G$5921,4,FALSE),0)</f>
        <v>0</v>
      </c>
      <c r="S429" s="1763">
        <f t="shared" si="39"/>
        <v>0</v>
      </c>
      <c r="T429" s="2033">
        <f>IFERROR(VLOOKUP($B429,'[3]1006'!$B$6:$G$5921,2,FALSE),0)</f>
        <v>0</v>
      </c>
      <c r="U429" s="2034">
        <f>IFERROR(VLOOKUP($B429,'[3]1006'!$B$6:$G$5921,4,FALSE),0)</f>
        <v>0</v>
      </c>
      <c r="V429" s="2033">
        <f t="shared" si="40"/>
        <v>0</v>
      </c>
      <c r="W429" s="2033">
        <f t="shared" si="41"/>
        <v>0</v>
      </c>
    </row>
    <row r="430" spans="2:23" x14ac:dyDescent="0.15">
      <c r="B430" s="1288">
        <v>109461</v>
      </c>
      <c r="C430" s="1288" t="s">
        <v>2484</v>
      </c>
      <c r="D430" s="1288"/>
      <c r="E430" s="1288" t="s">
        <v>94</v>
      </c>
      <c r="F430" s="1288" t="s">
        <v>1337</v>
      </c>
      <c r="G430" s="1288" t="s">
        <v>1303</v>
      </c>
      <c r="H430" s="2033">
        <f>IFERROR(VLOOKUP($B430,'[3]1001'!$B$6:$G$5927,2,FALSE),0)</f>
        <v>0</v>
      </c>
      <c r="I430" s="2034">
        <f>IFERROR(VLOOKUP($B430,'[3]1001'!$B$6:$G$5927,4,FALSE),0)</f>
        <v>0</v>
      </c>
      <c r="J430" s="2033">
        <f t="shared" si="36"/>
        <v>0</v>
      </c>
      <c r="K430" s="2035">
        <f>IFERROR(VLOOKUP($B430,'[3]1002'!$B$6:$G$5921,2,FALSE),0)</f>
        <v>0</v>
      </c>
      <c r="L430" s="2036">
        <f>IFERROR(VLOOKUP($B430,'[3]1002'!$B$6:$G$5921,4,FALSE),0)</f>
        <v>0</v>
      </c>
      <c r="M430" s="1763">
        <f t="shared" si="37"/>
        <v>0</v>
      </c>
      <c r="N430" s="2033">
        <f>IFERROR(VLOOKUP($B430,'[3]1003'!$B$6:$G$5921,2,FALSE),0)</f>
        <v>0</v>
      </c>
      <c r="O430" s="2034">
        <f>IFERROR(VLOOKUP($B430,'[3]1003'!$B$6:$G$5921,4,FALSE),0)</f>
        <v>0</v>
      </c>
      <c r="P430" s="2033">
        <f t="shared" si="38"/>
        <v>0</v>
      </c>
      <c r="Q430" s="1763">
        <f>IFERROR(VLOOKUP($B430,'[3]1004'!$B$6:$G$5921,2,FALSE),0)</f>
        <v>0</v>
      </c>
      <c r="R430" s="2036">
        <f>IFERROR(VLOOKUP($B430,'[3]1004'!$B$6:$G$5921,4,FALSE),0)</f>
        <v>0</v>
      </c>
      <c r="S430" s="1763">
        <f t="shared" si="39"/>
        <v>0</v>
      </c>
      <c r="T430" s="2033">
        <f>IFERROR(VLOOKUP($B430,'[3]1006'!$B$6:$G$5921,2,FALSE),0)</f>
        <v>0</v>
      </c>
      <c r="U430" s="2034">
        <f>IFERROR(VLOOKUP($B430,'[3]1006'!$B$6:$G$5921,4,FALSE),0)</f>
        <v>0</v>
      </c>
      <c r="V430" s="2033">
        <f t="shared" si="40"/>
        <v>0</v>
      </c>
      <c r="W430" s="2033">
        <f t="shared" si="41"/>
        <v>0</v>
      </c>
    </row>
    <row r="431" spans="2:23" x14ac:dyDescent="0.15">
      <c r="B431" s="1288">
        <v>109462</v>
      </c>
      <c r="C431" s="1288" t="s">
        <v>2485</v>
      </c>
      <c r="D431" s="1288"/>
      <c r="E431" s="1288" t="s">
        <v>94</v>
      </c>
      <c r="F431" s="1288" t="s">
        <v>1337</v>
      </c>
      <c r="G431" s="1288" t="s">
        <v>1303</v>
      </c>
      <c r="H431" s="2033">
        <f>IFERROR(VLOOKUP($B431,'[3]1001'!$B$6:$G$5927,2,FALSE),0)</f>
        <v>0</v>
      </c>
      <c r="I431" s="2034">
        <f>IFERROR(VLOOKUP($B431,'[3]1001'!$B$6:$G$5927,4,FALSE),0)</f>
        <v>0</v>
      </c>
      <c r="J431" s="2033">
        <f t="shared" si="36"/>
        <v>0</v>
      </c>
      <c r="K431" s="2035">
        <f>IFERROR(VLOOKUP($B431,'[3]1002'!$B$6:$G$5921,2,FALSE),0)</f>
        <v>0</v>
      </c>
      <c r="L431" s="2036">
        <f>IFERROR(VLOOKUP($B431,'[3]1002'!$B$6:$G$5921,4,FALSE),0)</f>
        <v>0</v>
      </c>
      <c r="M431" s="1763">
        <f t="shared" si="37"/>
        <v>0</v>
      </c>
      <c r="N431" s="2033">
        <f>IFERROR(VLOOKUP($B431,'[3]1003'!$B$6:$G$5921,2,FALSE),0)</f>
        <v>0</v>
      </c>
      <c r="O431" s="2034">
        <f>IFERROR(VLOOKUP($B431,'[3]1003'!$B$6:$G$5921,4,FALSE),0)</f>
        <v>0</v>
      </c>
      <c r="P431" s="2033">
        <f t="shared" si="38"/>
        <v>0</v>
      </c>
      <c r="Q431" s="1763">
        <f>IFERROR(VLOOKUP($B431,'[3]1004'!$B$6:$G$5921,2,FALSE),0)</f>
        <v>0</v>
      </c>
      <c r="R431" s="2036">
        <f>IFERROR(VLOOKUP($B431,'[3]1004'!$B$6:$G$5921,4,FALSE),0)</f>
        <v>0</v>
      </c>
      <c r="S431" s="1763">
        <f t="shared" si="39"/>
        <v>0</v>
      </c>
      <c r="T431" s="2033">
        <f>IFERROR(VLOOKUP($B431,'[3]1006'!$B$6:$G$5921,2,FALSE),0)</f>
        <v>0</v>
      </c>
      <c r="U431" s="2034">
        <f>IFERROR(VLOOKUP($B431,'[3]1006'!$B$6:$G$5921,4,FALSE),0)</f>
        <v>0</v>
      </c>
      <c r="V431" s="2033">
        <f t="shared" si="40"/>
        <v>0</v>
      </c>
      <c r="W431" s="2033">
        <f t="shared" si="41"/>
        <v>0</v>
      </c>
    </row>
    <row r="432" spans="2:23" x14ac:dyDescent="0.15">
      <c r="B432" s="1288">
        <v>109463</v>
      </c>
      <c r="C432" s="1288" t="s">
        <v>2486</v>
      </c>
      <c r="D432" s="1288"/>
      <c r="E432" s="1288" t="s">
        <v>94</v>
      </c>
      <c r="F432" s="1288" t="s">
        <v>1337</v>
      </c>
      <c r="G432" s="1288" t="s">
        <v>1303</v>
      </c>
      <c r="H432" s="2033">
        <f>IFERROR(VLOOKUP($B432,'[3]1001'!$B$6:$G$5927,2,FALSE),0)</f>
        <v>0</v>
      </c>
      <c r="I432" s="2034">
        <f>IFERROR(VLOOKUP($B432,'[3]1001'!$B$6:$G$5927,4,FALSE),0)</f>
        <v>0</v>
      </c>
      <c r="J432" s="2033">
        <f t="shared" si="36"/>
        <v>0</v>
      </c>
      <c r="K432" s="2035">
        <f>IFERROR(VLOOKUP($B432,'[3]1002'!$B$6:$G$5921,2,FALSE),0)</f>
        <v>0</v>
      </c>
      <c r="L432" s="2036">
        <f>IFERROR(VLOOKUP($B432,'[3]1002'!$B$6:$G$5921,4,FALSE),0)</f>
        <v>0</v>
      </c>
      <c r="M432" s="1763">
        <f t="shared" si="37"/>
        <v>0</v>
      </c>
      <c r="N432" s="2033">
        <f>IFERROR(VLOOKUP($B432,'[3]1003'!$B$6:$G$5921,2,FALSE),0)</f>
        <v>0</v>
      </c>
      <c r="O432" s="2034">
        <f>IFERROR(VLOOKUP($B432,'[3]1003'!$B$6:$G$5921,4,FALSE),0)</f>
        <v>0</v>
      </c>
      <c r="P432" s="2033">
        <f t="shared" si="38"/>
        <v>0</v>
      </c>
      <c r="Q432" s="1763">
        <f>IFERROR(VLOOKUP($B432,'[3]1004'!$B$6:$G$5921,2,FALSE),0)</f>
        <v>0</v>
      </c>
      <c r="R432" s="2036">
        <f>IFERROR(VLOOKUP($B432,'[3]1004'!$B$6:$G$5921,4,FALSE),0)</f>
        <v>0</v>
      </c>
      <c r="S432" s="1763">
        <f t="shared" si="39"/>
        <v>0</v>
      </c>
      <c r="T432" s="2033">
        <f>IFERROR(VLOOKUP($B432,'[3]1006'!$B$6:$G$5921,2,FALSE),0)</f>
        <v>0</v>
      </c>
      <c r="U432" s="2034">
        <f>IFERROR(VLOOKUP($B432,'[3]1006'!$B$6:$G$5921,4,FALSE),0)</f>
        <v>0</v>
      </c>
      <c r="V432" s="2033">
        <f t="shared" si="40"/>
        <v>0</v>
      </c>
      <c r="W432" s="2033">
        <f t="shared" si="41"/>
        <v>0</v>
      </c>
    </row>
    <row r="433" spans="2:23" x14ac:dyDescent="0.15">
      <c r="B433" s="1288">
        <v>109464</v>
      </c>
      <c r="C433" s="1288" t="s">
        <v>2487</v>
      </c>
      <c r="D433" s="1288"/>
      <c r="E433" s="1288" t="s">
        <v>94</v>
      </c>
      <c r="F433" s="1288" t="s">
        <v>1337</v>
      </c>
      <c r="G433" s="1288" t="s">
        <v>1303</v>
      </c>
      <c r="H433" s="2033">
        <f>IFERROR(VLOOKUP($B433,'[3]1001'!$B$6:$G$5927,2,FALSE),0)</f>
        <v>0</v>
      </c>
      <c r="I433" s="2034">
        <f>IFERROR(VLOOKUP($B433,'[3]1001'!$B$6:$G$5927,4,FALSE),0)</f>
        <v>0</v>
      </c>
      <c r="J433" s="2033">
        <f t="shared" si="36"/>
        <v>0</v>
      </c>
      <c r="K433" s="2035">
        <f>IFERROR(VLOOKUP($B433,'[3]1002'!$B$6:$G$5921,2,FALSE),0)</f>
        <v>0</v>
      </c>
      <c r="L433" s="2036">
        <f>IFERROR(VLOOKUP($B433,'[3]1002'!$B$6:$G$5921,4,FALSE),0)</f>
        <v>0</v>
      </c>
      <c r="M433" s="1763">
        <f t="shared" si="37"/>
        <v>0</v>
      </c>
      <c r="N433" s="2033">
        <f>IFERROR(VLOOKUP($B433,'[3]1003'!$B$6:$G$5921,2,FALSE),0)</f>
        <v>0</v>
      </c>
      <c r="O433" s="2034">
        <f>IFERROR(VLOOKUP($B433,'[3]1003'!$B$6:$G$5921,4,FALSE),0)</f>
        <v>0</v>
      </c>
      <c r="P433" s="2033">
        <f t="shared" si="38"/>
        <v>0</v>
      </c>
      <c r="Q433" s="1763">
        <f>IFERROR(VLOOKUP($B433,'[3]1004'!$B$6:$G$5921,2,FALSE),0)</f>
        <v>0</v>
      </c>
      <c r="R433" s="2036">
        <f>IFERROR(VLOOKUP($B433,'[3]1004'!$B$6:$G$5921,4,FALSE),0)</f>
        <v>0</v>
      </c>
      <c r="S433" s="1763">
        <f t="shared" si="39"/>
        <v>0</v>
      </c>
      <c r="T433" s="2033">
        <f>IFERROR(VLOOKUP($B433,'[3]1006'!$B$6:$G$5921,2,FALSE),0)</f>
        <v>0</v>
      </c>
      <c r="U433" s="2034">
        <f>IFERROR(VLOOKUP($B433,'[3]1006'!$B$6:$G$5921,4,FALSE),0)</f>
        <v>0</v>
      </c>
      <c r="V433" s="2033">
        <f t="shared" si="40"/>
        <v>0</v>
      </c>
      <c r="W433" s="2033">
        <f t="shared" si="41"/>
        <v>0</v>
      </c>
    </row>
    <row r="434" spans="2:23" x14ac:dyDescent="0.15">
      <c r="B434" s="1288">
        <v>109465</v>
      </c>
      <c r="C434" s="1288" t="s">
        <v>2488</v>
      </c>
      <c r="D434" s="1288"/>
      <c r="E434" s="1288" t="s">
        <v>94</v>
      </c>
      <c r="F434" s="1288" t="s">
        <v>1337</v>
      </c>
      <c r="G434" s="1288" t="s">
        <v>1303</v>
      </c>
      <c r="H434" s="2033">
        <f>IFERROR(VLOOKUP($B434,'[3]1001'!$B$6:$G$5927,2,FALSE),0)</f>
        <v>0</v>
      </c>
      <c r="I434" s="2034">
        <f>IFERROR(VLOOKUP($B434,'[3]1001'!$B$6:$G$5927,4,FALSE),0)</f>
        <v>0</v>
      </c>
      <c r="J434" s="2033">
        <f t="shared" si="36"/>
        <v>0</v>
      </c>
      <c r="K434" s="2035">
        <f>IFERROR(VLOOKUP($B434,'[3]1002'!$B$6:$G$5921,2,FALSE),0)</f>
        <v>0</v>
      </c>
      <c r="L434" s="2036">
        <f>IFERROR(VLOOKUP($B434,'[3]1002'!$B$6:$G$5921,4,FALSE),0)</f>
        <v>0</v>
      </c>
      <c r="M434" s="1763">
        <f t="shared" si="37"/>
        <v>0</v>
      </c>
      <c r="N434" s="2033">
        <f>IFERROR(VLOOKUP($B434,'[3]1003'!$B$6:$G$5921,2,FALSE),0)</f>
        <v>0</v>
      </c>
      <c r="O434" s="2034">
        <f>IFERROR(VLOOKUP($B434,'[3]1003'!$B$6:$G$5921,4,FALSE),0)</f>
        <v>0</v>
      </c>
      <c r="P434" s="2033">
        <f t="shared" si="38"/>
        <v>0</v>
      </c>
      <c r="Q434" s="1763">
        <f>IFERROR(VLOOKUP($B434,'[3]1004'!$B$6:$G$5921,2,FALSE),0)</f>
        <v>0</v>
      </c>
      <c r="R434" s="2036">
        <f>IFERROR(VLOOKUP($B434,'[3]1004'!$B$6:$G$5921,4,FALSE),0)</f>
        <v>0</v>
      </c>
      <c r="S434" s="1763">
        <f t="shared" si="39"/>
        <v>0</v>
      </c>
      <c r="T434" s="2033">
        <f>IFERROR(VLOOKUP($B434,'[3]1006'!$B$6:$G$5921,2,FALSE),0)</f>
        <v>0</v>
      </c>
      <c r="U434" s="2034">
        <f>IFERROR(VLOOKUP($B434,'[3]1006'!$B$6:$G$5921,4,FALSE),0)</f>
        <v>0</v>
      </c>
      <c r="V434" s="2033">
        <f t="shared" si="40"/>
        <v>0</v>
      </c>
      <c r="W434" s="2033">
        <f t="shared" si="41"/>
        <v>0</v>
      </c>
    </row>
    <row r="435" spans="2:23" x14ac:dyDescent="0.15">
      <c r="B435" s="1288">
        <v>109466</v>
      </c>
      <c r="C435" s="1288" t="s">
        <v>2489</v>
      </c>
      <c r="D435" s="1288"/>
      <c r="E435" s="1288" t="s">
        <v>94</v>
      </c>
      <c r="F435" s="1288" t="s">
        <v>1337</v>
      </c>
      <c r="G435" s="1288" t="s">
        <v>1303</v>
      </c>
      <c r="H435" s="2033">
        <f>IFERROR(VLOOKUP($B435,'[3]1001'!$B$6:$G$5927,2,FALSE),0)</f>
        <v>0</v>
      </c>
      <c r="I435" s="2034">
        <f>IFERROR(VLOOKUP($B435,'[3]1001'!$B$6:$G$5927,4,FALSE),0)</f>
        <v>0</v>
      </c>
      <c r="J435" s="2033">
        <f t="shared" si="36"/>
        <v>0</v>
      </c>
      <c r="K435" s="2035">
        <f>IFERROR(VLOOKUP($B435,'[3]1002'!$B$6:$G$5921,2,FALSE),0)</f>
        <v>0</v>
      </c>
      <c r="L435" s="2036">
        <f>IFERROR(VLOOKUP($B435,'[3]1002'!$B$6:$G$5921,4,FALSE),0)</f>
        <v>0</v>
      </c>
      <c r="M435" s="1763">
        <f t="shared" si="37"/>
        <v>0</v>
      </c>
      <c r="N435" s="2033">
        <f>IFERROR(VLOOKUP($B435,'[3]1003'!$B$6:$G$5921,2,FALSE),0)</f>
        <v>0</v>
      </c>
      <c r="O435" s="2034">
        <f>IFERROR(VLOOKUP($B435,'[3]1003'!$B$6:$G$5921,4,FALSE),0)</f>
        <v>0</v>
      </c>
      <c r="P435" s="2033">
        <f t="shared" si="38"/>
        <v>0</v>
      </c>
      <c r="Q435" s="1763">
        <f>IFERROR(VLOOKUP($B435,'[3]1004'!$B$6:$G$5921,2,FALSE),0)</f>
        <v>0</v>
      </c>
      <c r="R435" s="2036">
        <f>IFERROR(VLOOKUP($B435,'[3]1004'!$B$6:$G$5921,4,FALSE),0)</f>
        <v>0</v>
      </c>
      <c r="S435" s="1763">
        <f t="shared" si="39"/>
        <v>0</v>
      </c>
      <c r="T435" s="2033">
        <f>IFERROR(VLOOKUP($B435,'[3]1006'!$B$6:$G$5921,2,FALSE),0)</f>
        <v>0</v>
      </c>
      <c r="U435" s="2034">
        <f>IFERROR(VLOOKUP($B435,'[3]1006'!$B$6:$G$5921,4,FALSE),0)</f>
        <v>0</v>
      </c>
      <c r="V435" s="2033">
        <f t="shared" si="40"/>
        <v>0</v>
      </c>
      <c r="W435" s="2033">
        <f t="shared" si="41"/>
        <v>0</v>
      </c>
    </row>
    <row r="436" spans="2:23" x14ac:dyDescent="0.15">
      <c r="B436" s="1288">
        <v>109467</v>
      </c>
      <c r="C436" s="1288" t="s">
        <v>2490</v>
      </c>
      <c r="D436" s="1288"/>
      <c r="E436" s="1288" t="s">
        <v>94</v>
      </c>
      <c r="F436" s="1288" t="s">
        <v>1337</v>
      </c>
      <c r="G436" s="1288" t="s">
        <v>1303</v>
      </c>
      <c r="H436" s="2033">
        <f>IFERROR(VLOOKUP($B436,'[3]1001'!$B$6:$G$5927,2,FALSE),0)</f>
        <v>0</v>
      </c>
      <c r="I436" s="2034">
        <f>IFERROR(VLOOKUP($B436,'[3]1001'!$B$6:$G$5927,4,FALSE),0)</f>
        <v>0</v>
      </c>
      <c r="J436" s="2033">
        <f t="shared" si="36"/>
        <v>0</v>
      </c>
      <c r="K436" s="2035">
        <f>IFERROR(VLOOKUP($B436,'[3]1002'!$B$6:$G$5921,2,FALSE),0)</f>
        <v>0</v>
      </c>
      <c r="L436" s="2036">
        <f>IFERROR(VLOOKUP($B436,'[3]1002'!$B$6:$G$5921,4,FALSE),0)</f>
        <v>0</v>
      </c>
      <c r="M436" s="1763">
        <f t="shared" si="37"/>
        <v>0</v>
      </c>
      <c r="N436" s="2033">
        <f>IFERROR(VLOOKUP($B436,'[3]1003'!$B$6:$G$5921,2,FALSE),0)</f>
        <v>0</v>
      </c>
      <c r="O436" s="2034">
        <f>IFERROR(VLOOKUP($B436,'[3]1003'!$B$6:$G$5921,4,FALSE),0)</f>
        <v>0</v>
      </c>
      <c r="P436" s="2033">
        <f t="shared" si="38"/>
        <v>0</v>
      </c>
      <c r="Q436" s="1763">
        <f>IFERROR(VLOOKUP($B436,'[3]1004'!$B$6:$G$5921,2,FALSE),0)</f>
        <v>0</v>
      </c>
      <c r="R436" s="2036">
        <f>IFERROR(VLOOKUP($B436,'[3]1004'!$B$6:$G$5921,4,FALSE),0)</f>
        <v>0</v>
      </c>
      <c r="S436" s="1763">
        <f t="shared" si="39"/>
        <v>0</v>
      </c>
      <c r="T436" s="2033">
        <f>IFERROR(VLOOKUP($B436,'[3]1006'!$B$6:$G$5921,2,FALSE),0)</f>
        <v>0</v>
      </c>
      <c r="U436" s="2034">
        <f>IFERROR(VLOOKUP($B436,'[3]1006'!$B$6:$G$5921,4,FALSE),0)</f>
        <v>0</v>
      </c>
      <c r="V436" s="2033">
        <f t="shared" si="40"/>
        <v>0</v>
      </c>
      <c r="W436" s="2033">
        <f t="shared" si="41"/>
        <v>0</v>
      </c>
    </row>
    <row r="437" spans="2:23" x14ac:dyDescent="0.15">
      <c r="B437" s="1288">
        <v>109468</v>
      </c>
      <c r="C437" s="1288" t="s">
        <v>2491</v>
      </c>
      <c r="D437" s="1288"/>
      <c r="E437" s="1288" t="s">
        <v>94</v>
      </c>
      <c r="F437" s="1288" t="s">
        <v>1337</v>
      </c>
      <c r="G437" s="1288" t="s">
        <v>1303</v>
      </c>
      <c r="H437" s="2033">
        <f>IFERROR(VLOOKUP($B437,'[3]1001'!$B$6:$G$5927,2,FALSE),0)</f>
        <v>0</v>
      </c>
      <c r="I437" s="2034">
        <f>IFERROR(VLOOKUP($B437,'[3]1001'!$B$6:$G$5927,4,FALSE),0)</f>
        <v>0</v>
      </c>
      <c r="J437" s="2033">
        <f t="shared" si="36"/>
        <v>0</v>
      </c>
      <c r="K437" s="2035">
        <f>IFERROR(VLOOKUP($B437,'[3]1002'!$B$6:$G$5921,2,FALSE),0)</f>
        <v>0</v>
      </c>
      <c r="L437" s="2036">
        <f>IFERROR(VLOOKUP($B437,'[3]1002'!$B$6:$G$5921,4,FALSE),0)</f>
        <v>0</v>
      </c>
      <c r="M437" s="1763">
        <f t="shared" si="37"/>
        <v>0</v>
      </c>
      <c r="N437" s="2033">
        <f>IFERROR(VLOOKUP($B437,'[3]1003'!$B$6:$G$5921,2,FALSE),0)</f>
        <v>0</v>
      </c>
      <c r="O437" s="2034">
        <f>IFERROR(VLOOKUP($B437,'[3]1003'!$B$6:$G$5921,4,FALSE),0)</f>
        <v>0</v>
      </c>
      <c r="P437" s="2033">
        <f t="shared" si="38"/>
        <v>0</v>
      </c>
      <c r="Q437" s="1763">
        <f>IFERROR(VLOOKUP($B437,'[3]1004'!$B$6:$G$5921,2,FALSE),0)</f>
        <v>0</v>
      </c>
      <c r="R437" s="2036">
        <f>IFERROR(VLOOKUP($B437,'[3]1004'!$B$6:$G$5921,4,FALSE),0)</f>
        <v>0</v>
      </c>
      <c r="S437" s="1763">
        <f t="shared" si="39"/>
        <v>0</v>
      </c>
      <c r="T437" s="2033">
        <f>IFERROR(VLOOKUP($B437,'[3]1006'!$B$6:$G$5921,2,FALSE),0)</f>
        <v>0</v>
      </c>
      <c r="U437" s="2034">
        <f>IFERROR(VLOOKUP($B437,'[3]1006'!$B$6:$G$5921,4,FALSE),0)</f>
        <v>0</v>
      </c>
      <c r="V437" s="2033">
        <f t="shared" si="40"/>
        <v>0</v>
      </c>
      <c r="W437" s="2033">
        <f t="shared" si="41"/>
        <v>0</v>
      </c>
    </row>
    <row r="438" spans="2:23" x14ac:dyDescent="0.15">
      <c r="B438" s="1288">
        <v>109469</v>
      </c>
      <c r="C438" s="1288" t="s">
        <v>2492</v>
      </c>
      <c r="D438" s="1288"/>
      <c r="E438" s="1288" t="s">
        <v>94</v>
      </c>
      <c r="F438" s="1288" t="s">
        <v>1337</v>
      </c>
      <c r="G438" s="1288" t="s">
        <v>1303</v>
      </c>
      <c r="H438" s="2033">
        <f>IFERROR(VLOOKUP($B438,'[3]1001'!$B$6:$G$5927,2,FALSE),0)</f>
        <v>0</v>
      </c>
      <c r="I438" s="2034">
        <f>IFERROR(VLOOKUP($B438,'[3]1001'!$B$6:$G$5927,4,FALSE),0)</f>
        <v>0</v>
      </c>
      <c r="J438" s="2033">
        <f t="shared" si="36"/>
        <v>0</v>
      </c>
      <c r="K438" s="2035">
        <f>IFERROR(VLOOKUP($B438,'[3]1002'!$B$6:$G$5921,2,FALSE),0)</f>
        <v>0</v>
      </c>
      <c r="L438" s="2036">
        <f>IFERROR(VLOOKUP($B438,'[3]1002'!$B$6:$G$5921,4,FALSE),0)</f>
        <v>0</v>
      </c>
      <c r="M438" s="1763">
        <f t="shared" si="37"/>
        <v>0</v>
      </c>
      <c r="N438" s="2033">
        <f>IFERROR(VLOOKUP($B438,'[3]1003'!$B$6:$G$5921,2,FALSE),0)</f>
        <v>0</v>
      </c>
      <c r="O438" s="2034">
        <f>IFERROR(VLOOKUP($B438,'[3]1003'!$B$6:$G$5921,4,FALSE),0)</f>
        <v>0</v>
      </c>
      <c r="P438" s="2033">
        <f t="shared" si="38"/>
        <v>0</v>
      </c>
      <c r="Q438" s="1763">
        <f>IFERROR(VLOOKUP($B438,'[3]1004'!$B$6:$G$5921,2,FALSE),0)</f>
        <v>0</v>
      </c>
      <c r="R438" s="2036">
        <f>IFERROR(VLOOKUP($B438,'[3]1004'!$B$6:$G$5921,4,FALSE),0)</f>
        <v>0</v>
      </c>
      <c r="S438" s="1763">
        <f t="shared" si="39"/>
        <v>0</v>
      </c>
      <c r="T438" s="2033">
        <f>IFERROR(VLOOKUP($B438,'[3]1006'!$B$6:$G$5921,2,FALSE),0)</f>
        <v>0</v>
      </c>
      <c r="U438" s="2034">
        <f>IFERROR(VLOOKUP($B438,'[3]1006'!$B$6:$G$5921,4,FALSE),0)</f>
        <v>0</v>
      </c>
      <c r="V438" s="2033">
        <f t="shared" si="40"/>
        <v>0</v>
      </c>
      <c r="W438" s="2033">
        <f t="shared" si="41"/>
        <v>0</v>
      </c>
    </row>
    <row r="439" spans="2:23" x14ac:dyDescent="0.15">
      <c r="B439" s="1288">
        <v>109470</v>
      </c>
      <c r="C439" s="1288" t="s">
        <v>2493</v>
      </c>
      <c r="D439" s="1288"/>
      <c r="E439" s="1288" t="s">
        <v>94</v>
      </c>
      <c r="F439" s="1288" t="s">
        <v>1337</v>
      </c>
      <c r="G439" s="1288" t="s">
        <v>1303</v>
      </c>
      <c r="H439" s="2033">
        <f>IFERROR(VLOOKUP($B439,'[3]1001'!$B$6:$G$5927,2,FALSE),0)</f>
        <v>0</v>
      </c>
      <c r="I439" s="2034">
        <f>IFERROR(VLOOKUP($B439,'[3]1001'!$B$6:$G$5927,4,FALSE),0)</f>
        <v>0</v>
      </c>
      <c r="J439" s="2033">
        <f t="shared" si="36"/>
        <v>0</v>
      </c>
      <c r="K439" s="2035">
        <f>IFERROR(VLOOKUP($B439,'[3]1002'!$B$6:$G$5921,2,FALSE),0)</f>
        <v>0</v>
      </c>
      <c r="L439" s="2036">
        <f>IFERROR(VLOOKUP($B439,'[3]1002'!$B$6:$G$5921,4,FALSE),0)</f>
        <v>0</v>
      </c>
      <c r="M439" s="1763">
        <f t="shared" si="37"/>
        <v>0</v>
      </c>
      <c r="N439" s="2033">
        <f>IFERROR(VLOOKUP($B439,'[3]1003'!$B$6:$G$5921,2,FALSE),0)</f>
        <v>0</v>
      </c>
      <c r="O439" s="2034">
        <f>IFERROR(VLOOKUP($B439,'[3]1003'!$B$6:$G$5921,4,FALSE),0)</f>
        <v>0</v>
      </c>
      <c r="P439" s="2033">
        <f t="shared" si="38"/>
        <v>0</v>
      </c>
      <c r="Q439" s="1763">
        <f>IFERROR(VLOOKUP($B439,'[3]1004'!$B$6:$G$5921,2,FALSE),0)</f>
        <v>0</v>
      </c>
      <c r="R439" s="2036">
        <f>IFERROR(VLOOKUP($B439,'[3]1004'!$B$6:$G$5921,4,FALSE),0)</f>
        <v>0</v>
      </c>
      <c r="S439" s="1763">
        <f t="shared" si="39"/>
        <v>0</v>
      </c>
      <c r="T439" s="2033">
        <f>IFERROR(VLOOKUP($B439,'[3]1006'!$B$6:$G$5921,2,FALSE),0)</f>
        <v>0</v>
      </c>
      <c r="U439" s="2034">
        <f>IFERROR(VLOOKUP($B439,'[3]1006'!$B$6:$G$5921,4,FALSE),0)</f>
        <v>0</v>
      </c>
      <c r="V439" s="2033">
        <f t="shared" si="40"/>
        <v>0</v>
      </c>
      <c r="W439" s="2033">
        <f t="shared" si="41"/>
        <v>0</v>
      </c>
    </row>
    <row r="440" spans="2:23" x14ac:dyDescent="0.15">
      <c r="B440" s="1288">
        <v>109471</v>
      </c>
      <c r="C440" s="1288" t="s">
        <v>2494</v>
      </c>
      <c r="D440" s="1288"/>
      <c r="E440" s="1288" t="s">
        <v>94</v>
      </c>
      <c r="F440" s="1288" t="s">
        <v>1337</v>
      </c>
      <c r="G440" s="1288" t="s">
        <v>1303</v>
      </c>
      <c r="H440" s="2033">
        <f>IFERROR(VLOOKUP($B440,'[3]1001'!$B$6:$G$5927,2,FALSE),0)</f>
        <v>0</v>
      </c>
      <c r="I440" s="2034">
        <f>IFERROR(VLOOKUP($B440,'[3]1001'!$B$6:$G$5927,4,FALSE),0)</f>
        <v>0</v>
      </c>
      <c r="J440" s="2033">
        <f t="shared" si="36"/>
        <v>0</v>
      </c>
      <c r="K440" s="2035">
        <f>IFERROR(VLOOKUP($B440,'[3]1002'!$B$6:$G$5921,2,FALSE),0)</f>
        <v>0</v>
      </c>
      <c r="L440" s="2036">
        <f>IFERROR(VLOOKUP($B440,'[3]1002'!$B$6:$G$5921,4,FALSE),0)</f>
        <v>0</v>
      </c>
      <c r="M440" s="1763">
        <f t="shared" si="37"/>
        <v>0</v>
      </c>
      <c r="N440" s="2033">
        <f>IFERROR(VLOOKUP($B440,'[3]1003'!$B$6:$G$5921,2,FALSE),0)</f>
        <v>0</v>
      </c>
      <c r="O440" s="2034">
        <f>IFERROR(VLOOKUP($B440,'[3]1003'!$B$6:$G$5921,4,FALSE),0)</f>
        <v>0</v>
      </c>
      <c r="P440" s="2033">
        <f t="shared" si="38"/>
        <v>0</v>
      </c>
      <c r="Q440" s="1763">
        <f>IFERROR(VLOOKUP($B440,'[3]1004'!$B$6:$G$5921,2,FALSE),0)</f>
        <v>0</v>
      </c>
      <c r="R440" s="2036">
        <f>IFERROR(VLOOKUP($B440,'[3]1004'!$B$6:$G$5921,4,FALSE),0)</f>
        <v>0</v>
      </c>
      <c r="S440" s="1763">
        <f t="shared" si="39"/>
        <v>0</v>
      </c>
      <c r="T440" s="2033">
        <f>IFERROR(VLOOKUP($B440,'[3]1006'!$B$6:$G$5921,2,FALSE),0)</f>
        <v>0</v>
      </c>
      <c r="U440" s="2034">
        <f>IFERROR(VLOOKUP($B440,'[3]1006'!$B$6:$G$5921,4,FALSE),0)</f>
        <v>0</v>
      </c>
      <c r="V440" s="2033">
        <f t="shared" si="40"/>
        <v>0</v>
      </c>
      <c r="W440" s="2033">
        <f t="shared" si="41"/>
        <v>0</v>
      </c>
    </row>
    <row r="441" spans="2:23" x14ac:dyDescent="0.15">
      <c r="B441" s="1288">
        <v>109472</v>
      </c>
      <c r="C441" s="1288" t="s">
        <v>2495</v>
      </c>
      <c r="D441" s="1288"/>
      <c r="E441" s="1288" t="s">
        <v>94</v>
      </c>
      <c r="F441" s="1288" t="s">
        <v>1337</v>
      </c>
      <c r="G441" s="1288" t="s">
        <v>1303</v>
      </c>
      <c r="H441" s="2033">
        <f>IFERROR(VLOOKUP($B441,'[3]1001'!$B$6:$G$5927,2,FALSE),0)</f>
        <v>0</v>
      </c>
      <c r="I441" s="2034">
        <f>IFERROR(VLOOKUP($B441,'[3]1001'!$B$6:$G$5927,4,FALSE),0)</f>
        <v>0</v>
      </c>
      <c r="J441" s="2033">
        <f t="shared" si="36"/>
        <v>0</v>
      </c>
      <c r="K441" s="2035">
        <f>IFERROR(VLOOKUP($B441,'[3]1002'!$B$6:$G$5921,2,FALSE),0)</f>
        <v>0</v>
      </c>
      <c r="L441" s="2036">
        <f>IFERROR(VLOOKUP($B441,'[3]1002'!$B$6:$G$5921,4,FALSE),0)</f>
        <v>0</v>
      </c>
      <c r="M441" s="1763">
        <f t="shared" si="37"/>
        <v>0</v>
      </c>
      <c r="N441" s="2033">
        <f>IFERROR(VLOOKUP($B441,'[3]1003'!$B$6:$G$5921,2,FALSE),0)</f>
        <v>0</v>
      </c>
      <c r="O441" s="2034">
        <f>IFERROR(VLOOKUP($B441,'[3]1003'!$B$6:$G$5921,4,FALSE),0)</f>
        <v>0</v>
      </c>
      <c r="P441" s="2033">
        <f t="shared" si="38"/>
        <v>0</v>
      </c>
      <c r="Q441" s="1763">
        <f>IFERROR(VLOOKUP($B441,'[3]1004'!$B$6:$G$5921,2,FALSE),0)</f>
        <v>0</v>
      </c>
      <c r="R441" s="2036">
        <f>IFERROR(VLOOKUP($B441,'[3]1004'!$B$6:$G$5921,4,FALSE),0)</f>
        <v>0</v>
      </c>
      <c r="S441" s="1763">
        <f t="shared" si="39"/>
        <v>0</v>
      </c>
      <c r="T441" s="2033">
        <f>IFERROR(VLOOKUP($B441,'[3]1006'!$B$6:$G$5921,2,FALSE),0)</f>
        <v>0</v>
      </c>
      <c r="U441" s="2034">
        <f>IFERROR(VLOOKUP($B441,'[3]1006'!$B$6:$G$5921,4,FALSE),0)</f>
        <v>0</v>
      </c>
      <c r="V441" s="2033">
        <f t="shared" si="40"/>
        <v>0</v>
      </c>
      <c r="W441" s="2033">
        <f t="shared" si="41"/>
        <v>0</v>
      </c>
    </row>
    <row r="442" spans="2:23" x14ac:dyDescent="0.15">
      <c r="B442" s="1288">
        <v>109473</v>
      </c>
      <c r="C442" s="1288" t="s">
        <v>2496</v>
      </c>
      <c r="D442" s="1288"/>
      <c r="E442" s="1288" t="s">
        <v>94</v>
      </c>
      <c r="F442" s="1288" t="s">
        <v>1337</v>
      </c>
      <c r="G442" s="1288" t="s">
        <v>1303</v>
      </c>
      <c r="H442" s="2033">
        <f>IFERROR(VLOOKUP($B442,'[3]1001'!$B$6:$G$5927,2,FALSE),0)</f>
        <v>0</v>
      </c>
      <c r="I442" s="2034">
        <f>IFERROR(VLOOKUP($B442,'[3]1001'!$B$6:$G$5927,4,FALSE),0)</f>
        <v>0</v>
      </c>
      <c r="J442" s="2033">
        <f t="shared" si="36"/>
        <v>0</v>
      </c>
      <c r="K442" s="2035">
        <f>IFERROR(VLOOKUP($B442,'[3]1002'!$B$6:$G$5921,2,FALSE),0)</f>
        <v>0</v>
      </c>
      <c r="L442" s="2036">
        <f>IFERROR(VLOOKUP($B442,'[3]1002'!$B$6:$G$5921,4,FALSE),0)</f>
        <v>0</v>
      </c>
      <c r="M442" s="1763">
        <f t="shared" si="37"/>
        <v>0</v>
      </c>
      <c r="N442" s="2033">
        <f>IFERROR(VLOOKUP($B442,'[3]1003'!$B$6:$G$5921,2,FALSE),0)</f>
        <v>0</v>
      </c>
      <c r="O442" s="2034">
        <f>IFERROR(VLOOKUP($B442,'[3]1003'!$B$6:$G$5921,4,FALSE),0)</f>
        <v>0</v>
      </c>
      <c r="P442" s="2033">
        <f t="shared" si="38"/>
        <v>0</v>
      </c>
      <c r="Q442" s="1763">
        <f>IFERROR(VLOOKUP($B442,'[3]1004'!$B$6:$G$5921,2,FALSE),0)</f>
        <v>0</v>
      </c>
      <c r="R442" s="2036">
        <f>IFERROR(VLOOKUP($B442,'[3]1004'!$B$6:$G$5921,4,FALSE),0)</f>
        <v>0</v>
      </c>
      <c r="S442" s="1763">
        <f t="shared" si="39"/>
        <v>0</v>
      </c>
      <c r="T442" s="2033">
        <f>IFERROR(VLOOKUP($B442,'[3]1006'!$B$6:$G$5921,2,FALSE),0)</f>
        <v>0</v>
      </c>
      <c r="U442" s="2034">
        <f>IFERROR(VLOOKUP($B442,'[3]1006'!$B$6:$G$5921,4,FALSE),0)</f>
        <v>0</v>
      </c>
      <c r="V442" s="2033">
        <f t="shared" si="40"/>
        <v>0</v>
      </c>
      <c r="W442" s="2033">
        <f t="shared" si="41"/>
        <v>0</v>
      </c>
    </row>
    <row r="443" spans="2:23" x14ac:dyDescent="0.15">
      <c r="B443" s="1288">
        <v>109474</v>
      </c>
      <c r="C443" s="1288" t="s">
        <v>2497</v>
      </c>
      <c r="D443" s="1288"/>
      <c r="E443" s="1288" t="s">
        <v>94</v>
      </c>
      <c r="F443" s="1288" t="s">
        <v>1337</v>
      </c>
      <c r="G443" s="1288" t="s">
        <v>1303</v>
      </c>
      <c r="H443" s="2033">
        <f>IFERROR(VLOOKUP($B443,'[3]1001'!$B$6:$G$5927,2,FALSE),0)</f>
        <v>0</v>
      </c>
      <c r="I443" s="2034">
        <f>IFERROR(VLOOKUP($B443,'[3]1001'!$B$6:$G$5927,4,FALSE),0)</f>
        <v>0</v>
      </c>
      <c r="J443" s="2033">
        <f t="shared" si="36"/>
        <v>0</v>
      </c>
      <c r="K443" s="2035">
        <f>IFERROR(VLOOKUP($B443,'[3]1002'!$B$6:$G$5921,2,FALSE),0)</f>
        <v>0</v>
      </c>
      <c r="L443" s="2036">
        <f>IFERROR(VLOOKUP($B443,'[3]1002'!$B$6:$G$5921,4,FALSE),0)</f>
        <v>0</v>
      </c>
      <c r="M443" s="1763">
        <f t="shared" si="37"/>
        <v>0</v>
      </c>
      <c r="N443" s="2033">
        <f>IFERROR(VLOOKUP($B443,'[3]1003'!$B$6:$G$5921,2,FALSE),0)</f>
        <v>0</v>
      </c>
      <c r="O443" s="2034">
        <f>IFERROR(VLOOKUP($B443,'[3]1003'!$B$6:$G$5921,4,FALSE),0)</f>
        <v>0</v>
      </c>
      <c r="P443" s="2033">
        <f t="shared" si="38"/>
        <v>0</v>
      </c>
      <c r="Q443" s="1763">
        <f>IFERROR(VLOOKUP($B443,'[3]1004'!$B$6:$G$5921,2,FALSE),0)</f>
        <v>0</v>
      </c>
      <c r="R443" s="2036">
        <f>IFERROR(VLOOKUP($B443,'[3]1004'!$B$6:$G$5921,4,FALSE),0)</f>
        <v>0</v>
      </c>
      <c r="S443" s="1763">
        <f t="shared" si="39"/>
        <v>0</v>
      </c>
      <c r="T443" s="2033">
        <f>IFERROR(VLOOKUP($B443,'[3]1006'!$B$6:$G$5921,2,FALSE),0)</f>
        <v>0</v>
      </c>
      <c r="U443" s="2034">
        <f>IFERROR(VLOOKUP($B443,'[3]1006'!$B$6:$G$5921,4,FALSE),0)</f>
        <v>0</v>
      </c>
      <c r="V443" s="2033">
        <f t="shared" si="40"/>
        <v>0</v>
      </c>
      <c r="W443" s="2033">
        <f t="shared" si="41"/>
        <v>0</v>
      </c>
    </row>
    <row r="444" spans="2:23" x14ac:dyDescent="0.15">
      <c r="B444" s="1288">
        <v>109475</v>
      </c>
      <c r="C444" s="1288" t="s">
        <v>2498</v>
      </c>
      <c r="D444" s="1288"/>
      <c r="E444" s="1288" t="s">
        <v>94</v>
      </c>
      <c r="F444" s="1288" t="s">
        <v>1337</v>
      </c>
      <c r="G444" s="1288" t="s">
        <v>1303</v>
      </c>
      <c r="H444" s="2033">
        <f>IFERROR(VLOOKUP($B444,'[3]1001'!$B$6:$G$5927,2,FALSE),0)</f>
        <v>0</v>
      </c>
      <c r="I444" s="2034">
        <f>IFERROR(VLOOKUP($B444,'[3]1001'!$B$6:$G$5927,4,FALSE),0)</f>
        <v>0</v>
      </c>
      <c r="J444" s="2033">
        <f t="shared" si="36"/>
        <v>0</v>
      </c>
      <c r="K444" s="2035">
        <f>IFERROR(VLOOKUP($B444,'[3]1002'!$B$6:$G$5921,2,FALSE),0)</f>
        <v>0</v>
      </c>
      <c r="L444" s="2036">
        <f>IFERROR(VLOOKUP($B444,'[3]1002'!$B$6:$G$5921,4,FALSE),0)</f>
        <v>0</v>
      </c>
      <c r="M444" s="1763">
        <f t="shared" si="37"/>
        <v>0</v>
      </c>
      <c r="N444" s="2033">
        <f>IFERROR(VLOOKUP($B444,'[3]1003'!$B$6:$G$5921,2,FALSE),0)</f>
        <v>0</v>
      </c>
      <c r="O444" s="2034">
        <f>IFERROR(VLOOKUP($B444,'[3]1003'!$B$6:$G$5921,4,FALSE),0)</f>
        <v>0</v>
      </c>
      <c r="P444" s="2033">
        <f t="shared" si="38"/>
        <v>0</v>
      </c>
      <c r="Q444" s="1763">
        <f>IFERROR(VLOOKUP($B444,'[3]1004'!$B$6:$G$5921,2,FALSE),0)</f>
        <v>0</v>
      </c>
      <c r="R444" s="2036">
        <f>IFERROR(VLOOKUP($B444,'[3]1004'!$B$6:$G$5921,4,FALSE),0)</f>
        <v>0</v>
      </c>
      <c r="S444" s="1763">
        <f t="shared" si="39"/>
        <v>0</v>
      </c>
      <c r="T444" s="2033">
        <f>IFERROR(VLOOKUP($B444,'[3]1006'!$B$6:$G$5921,2,FALSE),0)</f>
        <v>0</v>
      </c>
      <c r="U444" s="2034">
        <f>IFERROR(VLOOKUP($B444,'[3]1006'!$B$6:$G$5921,4,FALSE),0)</f>
        <v>0</v>
      </c>
      <c r="V444" s="2033">
        <f t="shared" si="40"/>
        <v>0</v>
      </c>
      <c r="W444" s="2033">
        <f t="shared" si="41"/>
        <v>0</v>
      </c>
    </row>
    <row r="445" spans="2:23" x14ac:dyDescent="0.15">
      <c r="B445" s="1288">
        <v>109476</v>
      </c>
      <c r="C445" s="1288" t="s">
        <v>2499</v>
      </c>
      <c r="D445" s="1288"/>
      <c r="E445" s="1288" t="s">
        <v>94</v>
      </c>
      <c r="F445" s="1288" t="s">
        <v>1337</v>
      </c>
      <c r="G445" s="1288" t="s">
        <v>1303</v>
      </c>
      <c r="H445" s="2033">
        <f>IFERROR(VLOOKUP($B445,'[3]1001'!$B$6:$G$5927,2,FALSE),0)</f>
        <v>0</v>
      </c>
      <c r="I445" s="2034">
        <f>IFERROR(VLOOKUP($B445,'[3]1001'!$B$6:$G$5927,4,FALSE),0)</f>
        <v>0</v>
      </c>
      <c r="J445" s="2033">
        <f t="shared" si="36"/>
        <v>0</v>
      </c>
      <c r="K445" s="2035">
        <f>IFERROR(VLOOKUP($B445,'[3]1002'!$B$6:$G$5921,2,FALSE),0)</f>
        <v>0</v>
      </c>
      <c r="L445" s="2036">
        <f>IFERROR(VLOOKUP($B445,'[3]1002'!$B$6:$G$5921,4,FALSE),0)</f>
        <v>0</v>
      </c>
      <c r="M445" s="1763">
        <f t="shared" si="37"/>
        <v>0</v>
      </c>
      <c r="N445" s="2033">
        <f>IFERROR(VLOOKUP($B445,'[3]1003'!$B$6:$G$5921,2,FALSE),0)</f>
        <v>0</v>
      </c>
      <c r="O445" s="2034">
        <f>IFERROR(VLOOKUP($B445,'[3]1003'!$B$6:$G$5921,4,FALSE),0)</f>
        <v>0</v>
      </c>
      <c r="P445" s="2033">
        <f t="shared" si="38"/>
        <v>0</v>
      </c>
      <c r="Q445" s="1763">
        <f>IFERROR(VLOOKUP($B445,'[3]1004'!$B$6:$G$5921,2,FALSE),0)</f>
        <v>0</v>
      </c>
      <c r="R445" s="2036">
        <f>IFERROR(VLOOKUP($B445,'[3]1004'!$B$6:$G$5921,4,FALSE),0)</f>
        <v>0</v>
      </c>
      <c r="S445" s="1763">
        <f t="shared" si="39"/>
        <v>0</v>
      </c>
      <c r="T445" s="2033">
        <f>IFERROR(VLOOKUP($B445,'[3]1006'!$B$6:$G$5921,2,FALSE),0)</f>
        <v>0</v>
      </c>
      <c r="U445" s="2034">
        <f>IFERROR(VLOOKUP($B445,'[3]1006'!$B$6:$G$5921,4,FALSE),0)</f>
        <v>0</v>
      </c>
      <c r="V445" s="2033">
        <f t="shared" si="40"/>
        <v>0</v>
      </c>
      <c r="W445" s="2033">
        <f t="shared" si="41"/>
        <v>0</v>
      </c>
    </row>
    <row r="446" spans="2:23" x14ac:dyDescent="0.15">
      <c r="B446" s="1288">
        <v>109477</v>
      </c>
      <c r="C446" s="1288" t="s">
        <v>2500</v>
      </c>
      <c r="D446" s="1288"/>
      <c r="E446" s="1288" t="s">
        <v>94</v>
      </c>
      <c r="F446" s="1288" t="s">
        <v>1337</v>
      </c>
      <c r="G446" s="1288" t="s">
        <v>1303</v>
      </c>
      <c r="H446" s="2033">
        <f>IFERROR(VLOOKUP($B446,'[3]1001'!$B$6:$G$5927,2,FALSE),0)</f>
        <v>0</v>
      </c>
      <c r="I446" s="2034">
        <f>IFERROR(VLOOKUP($B446,'[3]1001'!$B$6:$G$5927,4,FALSE),0)</f>
        <v>0</v>
      </c>
      <c r="J446" s="2033">
        <f t="shared" si="36"/>
        <v>0</v>
      </c>
      <c r="K446" s="2035">
        <f>IFERROR(VLOOKUP($B446,'[3]1002'!$B$6:$G$5921,2,FALSE),0)</f>
        <v>0</v>
      </c>
      <c r="L446" s="2036">
        <f>IFERROR(VLOOKUP($B446,'[3]1002'!$B$6:$G$5921,4,FALSE),0)</f>
        <v>0</v>
      </c>
      <c r="M446" s="1763">
        <f t="shared" si="37"/>
        <v>0</v>
      </c>
      <c r="N446" s="2033">
        <f>IFERROR(VLOOKUP($B446,'[3]1003'!$B$6:$G$5921,2,FALSE),0)</f>
        <v>0</v>
      </c>
      <c r="O446" s="2034">
        <f>IFERROR(VLOOKUP($B446,'[3]1003'!$B$6:$G$5921,4,FALSE),0)</f>
        <v>0</v>
      </c>
      <c r="P446" s="2033">
        <f t="shared" si="38"/>
        <v>0</v>
      </c>
      <c r="Q446" s="1763">
        <f>IFERROR(VLOOKUP($B446,'[3]1004'!$B$6:$G$5921,2,FALSE),0)</f>
        <v>0</v>
      </c>
      <c r="R446" s="2036">
        <f>IFERROR(VLOOKUP($B446,'[3]1004'!$B$6:$G$5921,4,FALSE),0)</f>
        <v>0</v>
      </c>
      <c r="S446" s="1763">
        <f t="shared" si="39"/>
        <v>0</v>
      </c>
      <c r="T446" s="2033">
        <f>IFERROR(VLOOKUP($B446,'[3]1006'!$B$6:$G$5921,2,FALSE),0)</f>
        <v>0</v>
      </c>
      <c r="U446" s="2034">
        <f>IFERROR(VLOOKUP($B446,'[3]1006'!$B$6:$G$5921,4,FALSE),0)</f>
        <v>0</v>
      </c>
      <c r="V446" s="2033">
        <f t="shared" si="40"/>
        <v>0</v>
      </c>
      <c r="W446" s="2033">
        <f t="shared" si="41"/>
        <v>0</v>
      </c>
    </row>
    <row r="447" spans="2:23" x14ac:dyDescent="0.15">
      <c r="B447" s="1288">
        <v>109478</v>
      </c>
      <c r="C447" s="1288" t="s">
        <v>2501</v>
      </c>
      <c r="D447" s="1288"/>
      <c r="E447" s="1288" t="s">
        <v>94</v>
      </c>
      <c r="F447" s="1288" t="s">
        <v>1337</v>
      </c>
      <c r="G447" s="1288" t="s">
        <v>1303</v>
      </c>
      <c r="H447" s="2033">
        <f>IFERROR(VLOOKUP($B447,'[3]1001'!$B$6:$G$5927,2,FALSE),0)</f>
        <v>0</v>
      </c>
      <c r="I447" s="2034">
        <f>IFERROR(VLOOKUP($B447,'[3]1001'!$B$6:$G$5927,4,FALSE),0)</f>
        <v>0</v>
      </c>
      <c r="J447" s="2033">
        <f t="shared" si="36"/>
        <v>0</v>
      </c>
      <c r="K447" s="2035">
        <f>IFERROR(VLOOKUP($B447,'[3]1002'!$B$6:$G$5921,2,FALSE),0)</f>
        <v>0</v>
      </c>
      <c r="L447" s="2036">
        <f>IFERROR(VLOOKUP($B447,'[3]1002'!$B$6:$G$5921,4,FALSE),0)</f>
        <v>0</v>
      </c>
      <c r="M447" s="1763">
        <f t="shared" si="37"/>
        <v>0</v>
      </c>
      <c r="N447" s="2033">
        <f>IFERROR(VLOOKUP($B447,'[3]1003'!$B$6:$G$5921,2,FALSE),0)</f>
        <v>0</v>
      </c>
      <c r="O447" s="2034">
        <f>IFERROR(VLOOKUP($B447,'[3]1003'!$B$6:$G$5921,4,FALSE),0)</f>
        <v>0</v>
      </c>
      <c r="P447" s="2033">
        <f t="shared" si="38"/>
        <v>0</v>
      </c>
      <c r="Q447" s="1763">
        <f>IFERROR(VLOOKUP($B447,'[3]1004'!$B$6:$G$5921,2,FALSE),0)</f>
        <v>0</v>
      </c>
      <c r="R447" s="2036">
        <f>IFERROR(VLOOKUP($B447,'[3]1004'!$B$6:$G$5921,4,FALSE),0)</f>
        <v>0</v>
      </c>
      <c r="S447" s="1763">
        <f t="shared" si="39"/>
        <v>0</v>
      </c>
      <c r="T447" s="2033">
        <f>IFERROR(VLOOKUP($B447,'[3]1006'!$B$6:$G$5921,2,FALSE),0)</f>
        <v>0</v>
      </c>
      <c r="U447" s="2034">
        <f>IFERROR(VLOOKUP($B447,'[3]1006'!$B$6:$G$5921,4,FALSE),0)</f>
        <v>0</v>
      </c>
      <c r="V447" s="2033">
        <f t="shared" si="40"/>
        <v>0</v>
      </c>
      <c r="W447" s="2033">
        <f t="shared" si="41"/>
        <v>0</v>
      </c>
    </row>
    <row r="448" spans="2:23" x14ac:dyDescent="0.15">
      <c r="B448" s="1288">
        <v>109479</v>
      </c>
      <c r="C448" s="1288" t="s">
        <v>2502</v>
      </c>
      <c r="D448" s="1288"/>
      <c r="E448" s="1288" t="s">
        <v>94</v>
      </c>
      <c r="F448" s="1288" t="s">
        <v>1337</v>
      </c>
      <c r="G448" s="1288" t="s">
        <v>1303</v>
      </c>
      <c r="H448" s="2033">
        <f>IFERROR(VLOOKUP($B448,'[3]1001'!$B$6:$G$5927,2,FALSE),0)</f>
        <v>0</v>
      </c>
      <c r="I448" s="2034">
        <f>IFERROR(VLOOKUP($B448,'[3]1001'!$B$6:$G$5927,4,FALSE),0)</f>
        <v>0</v>
      </c>
      <c r="J448" s="2033">
        <f t="shared" si="36"/>
        <v>0</v>
      </c>
      <c r="K448" s="2035">
        <f>IFERROR(VLOOKUP($B448,'[3]1002'!$B$6:$G$5921,2,FALSE),0)</f>
        <v>0</v>
      </c>
      <c r="L448" s="2036">
        <f>IFERROR(VLOOKUP($B448,'[3]1002'!$B$6:$G$5921,4,FALSE),0)</f>
        <v>0</v>
      </c>
      <c r="M448" s="1763">
        <f t="shared" si="37"/>
        <v>0</v>
      </c>
      <c r="N448" s="2033">
        <f>IFERROR(VLOOKUP($B448,'[3]1003'!$B$6:$G$5921,2,FALSE),0)</f>
        <v>0</v>
      </c>
      <c r="O448" s="2034">
        <f>IFERROR(VLOOKUP($B448,'[3]1003'!$B$6:$G$5921,4,FALSE),0)</f>
        <v>0</v>
      </c>
      <c r="P448" s="2033">
        <f t="shared" si="38"/>
        <v>0</v>
      </c>
      <c r="Q448" s="1763">
        <f>IFERROR(VLOOKUP($B448,'[3]1004'!$B$6:$G$5921,2,FALSE),0)</f>
        <v>0</v>
      </c>
      <c r="R448" s="2036">
        <f>IFERROR(VLOOKUP($B448,'[3]1004'!$B$6:$G$5921,4,FALSE),0)</f>
        <v>0</v>
      </c>
      <c r="S448" s="1763">
        <f t="shared" si="39"/>
        <v>0</v>
      </c>
      <c r="T448" s="2033">
        <f>IFERROR(VLOOKUP($B448,'[3]1006'!$B$6:$G$5921,2,FALSE),0)</f>
        <v>0</v>
      </c>
      <c r="U448" s="2034">
        <f>IFERROR(VLOOKUP($B448,'[3]1006'!$B$6:$G$5921,4,FALSE),0)</f>
        <v>0</v>
      </c>
      <c r="V448" s="2033">
        <f t="shared" si="40"/>
        <v>0</v>
      </c>
      <c r="W448" s="2033">
        <f t="shared" si="41"/>
        <v>0</v>
      </c>
    </row>
    <row r="449" spans="2:23" x14ac:dyDescent="0.15">
      <c r="B449" s="1288">
        <v>109480</v>
      </c>
      <c r="C449" s="1288" t="s">
        <v>2503</v>
      </c>
      <c r="D449" s="1288"/>
      <c r="E449" s="1288" t="s">
        <v>94</v>
      </c>
      <c r="F449" s="1288" t="s">
        <v>1337</v>
      </c>
      <c r="G449" s="1288" t="s">
        <v>1303</v>
      </c>
      <c r="H449" s="2033">
        <f>IFERROR(VLOOKUP($B449,'[3]1001'!$B$6:$G$5927,2,FALSE),0)</f>
        <v>0</v>
      </c>
      <c r="I449" s="2034">
        <f>IFERROR(VLOOKUP($B449,'[3]1001'!$B$6:$G$5927,4,FALSE),0)</f>
        <v>0</v>
      </c>
      <c r="J449" s="2033">
        <f t="shared" si="36"/>
        <v>0</v>
      </c>
      <c r="K449" s="2035">
        <f>IFERROR(VLOOKUP($B449,'[3]1002'!$B$6:$G$5921,2,FALSE),0)</f>
        <v>0</v>
      </c>
      <c r="L449" s="2036">
        <f>IFERROR(VLOOKUP($B449,'[3]1002'!$B$6:$G$5921,4,FALSE),0)</f>
        <v>0</v>
      </c>
      <c r="M449" s="1763">
        <f t="shared" si="37"/>
        <v>0</v>
      </c>
      <c r="N449" s="2033">
        <f>IFERROR(VLOOKUP($B449,'[3]1003'!$B$6:$G$5921,2,FALSE),0)</f>
        <v>0</v>
      </c>
      <c r="O449" s="2034">
        <f>IFERROR(VLOOKUP($B449,'[3]1003'!$B$6:$G$5921,4,FALSE),0)</f>
        <v>0</v>
      </c>
      <c r="P449" s="2033">
        <f t="shared" si="38"/>
        <v>0</v>
      </c>
      <c r="Q449" s="1763">
        <f>IFERROR(VLOOKUP($B449,'[3]1004'!$B$6:$G$5921,2,FALSE),0)</f>
        <v>0</v>
      </c>
      <c r="R449" s="2036">
        <f>IFERROR(VLOOKUP($B449,'[3]1004'!$B$6:$G$5921,4,FALSE),0)</f>
        <v>0</v>
      </c>
      <c r="S449" s="1763">
        <f t="shared" si="39"/>
        <v>0</v>
      </c>
      <c r="T449" s="2033">
        <f>IFERROR(VLOOKUP($B449,'[3]1006'!$B$6:$G$5921,2,FALSE),0)</f>
        <v>0</v>
      </c>
      <c r="U449" s="2034">
        <f>IFERROR(VLOOKUP($B449,'[3]1006'!$B$6:$G$5921,4,FALSE),0)</f>
        <v>0</v>
      </c>
      <c r="V449" s="2033">
        <f t="shared" si="40"/>
        <v>0</v>
      </c>
      <c r="W449" s="2033">
        <f t="shared" si="41"/>
        <v>0</v>
      </c>
    </row>
    <row r="450" spans="2:23" x14ac:dyDescent="0.15">
      <c r="B450" s="1288">
        <v>109481</v>
      </c>
      <c r="C450" s="1288" t="s">
        <v>2504</v>
      </c>
      <c r="D450" s="1288"/>
      <c r="E450" s="1288" t="s">
        <v>94</v>
      </c>
      <c r="F450" s="1288" t="s">
        <v>1337</v>
      </c>
      <c r="G450" s="1288" t="s">
        <v>1303</v>
      </c>
      <c r="H450" s="2033">
        <f>IFERROR(VLOOKUP($B450,'[3]1001'!$B$6:$G$5927,2,FALSE),0)</f>
        <v>0</v>
      </c>
      <c r="I450" s="2034">
        <f>IFERROR(VLOOKUP($B450,'[3]1001'!$B$6:$G$5927,4,FALSE),0)</f>
        <v>0</v>
      </c>
      <c r="J450" s="2033">
        <f t="shared" si="36"/>
        <v>0</v>
      </c>
      <c r="K450" s="2035">
        <f>IFERROR(VLOOKUP($B450,'[3]1002'!$B$6:$G$5921,2,FALSE),0)</f>
        <v>0</v>
      </c>
      <c r="L450" s="2036">
        <f>IFERROR(VLOOKUP($B450,'[3]1002'!$B$6:$G$5921,4,FALSE),0)</f>
        <v>0</v>
      </c>
      <c r="M450" s="1763">
        <f t="shared" si="37"/>
        <v>0</v>
      </c>
      <c r="N450" s="2033">
        <f>IFERROR(VLOOKUP($B450,'[3]1003'!$B$6:$G$5921,2,FALSE),0)</f>
        <v>0</v>
      </c>
      <c r="O450" s="2034">
        <f>IFERROR(VLOOKUP($B450,'[3]1003'!$B$6:$G$5921,4,FALSE),0)</f>
        <v>0</v>
      </c>
      <c r="P450" s="2033">
        <f t="shared" si="38"/>
        <v>0</v>
      </c>
      <c r="Q450" s="1763">
        <f>IFERROR(VLOOKUP($B450,'[3]1004'!$B$6:$G$5921,2,FALSE),0)</f>
        <v>0</v>
      </c>
      <c r="R450" s="2036">
        <f>IFERROR(VLOOKUP($B450,'[3]1004'!$B$6:$G$5921,4,FALSE),0)</f>
        <v>0</v>
      </c>
      <c r="S450" s="1763">
        <f t="shared" si="39"/>
        <v>0</v>
      </c>
      <c r="T450" s="2033">
        <f>IFERROR(VLOOKUP($B450,'[3]1006'!$B$6:$G$5921,2,FALSE),0)</f>
        <v>0</v>
      </c>
      <c r="U450" s="2034">
        <f>IFERROR(VLOOKUP($B450,'[3]1006'!$B$6:$G$5921,4,FALSE),0)</f>
        <v>0</v>
      </c>
      <c r="V450" s="2033">
        <f t="shared" si="40"/>
        <v>0</v>
      </c>
      <c r="W450" s="2033">
        <f t="shared" si="41"/>
        <v>0</v>
      </c>
    </row>
    <row r="451" spans="2:23" x14ac:dyDescent="0.15">
      <c r="B451" s="1288">
        <v>109482</v>
      </c>
      <c r="C451" s="1288" t="s">
        <v>2505</v>
      </c>
      <c r="D451" s="1288"/>
      <c r="E451" s="1288" t="s">
        <v>94</v>
      </c>
      <c r="F451" s="1288" t="s">
        <v>1337</v>
      </c>
      <c r="G451" s="1288" t="s">
        <v>1303</v>
      </c>
      <c r="H451" s="2033">
        <f>IFERROR(VLOOKUP($B451,'[3]1001'!$B$6:$G$5927,2,FALSE),0)</f>
        <v>0</v>
      </c>
      <c r="I451" s="2034">
        <f>IFERROR(VLOOKUP($B451,'[3]1001'!$B$6:$G$5927,4,FALSE),0)</f>
        <v>0</v>
      </c>
      <c r="J451" s="2033">
        <f t="shared" si="36"/>
        <v>0</v>
      </c>
      <c r="K451" s="2035">
        <f>IFERROR(VLOOKUP($B451,'[3]1002'!$B$6:$G$5921,2,FALSE),0)</f>
        <v>0</v>
      </c>
      <c r="L451" s="2036">
        <f>IFERROR(VLOOKUP($B451,'[3]1002'!$B$6:$G$5921,4,FALSE),0)</f>
        <v>0</v>
      </c>
      <c r="M451" s="1763">
        <f t="shared" si="37"/>
        <v>0</v>
      </c>
      <c r="N451" s="2033">
        <f>IFERROR(VLOOKUP($B451,'[3]1003'!$B$6:$G$5921,2,FALSE),0)</f>
        <v>0</v>
      </c>
      <c r="O451" s="2034">
        <f>IFERROR(VLOOKUP($B451,'[3]1003'!$B$6:$G$5921,4,FALSE),0)</f>
        <v>0</v>
      </c>
      <c r="P451" s="2033">
        <f t="shared" si="38"/>
        <v>0</v>
      </c>
      <c r="Q451" s="1763">
        <f>IFERROR(VLOOKUP($B451,'[3]1004'!$B$6:$G$5921,2,FALSE),0)</f>
        <v>0</v>
      </c>
      <c r="R451" s="2036">
        <f>IFERROR(VLOOKUP($B451,'[3]1004'!$B$6:$G$5921,4,FALSE),0)</f>
        <v>0</v>
      </c>
      <c r="S451" s="1763">
        <f t="shared" si="39"/>
        <v>0</v>
      </c>
      <c r="T451" s="2033">
        <f>IFERROR(VLOOKUP($B451,'[3]1006'!$B$6:$G$5921,2,FALSE),0)</f>
        <v>0</v>
      </c>
      <c r="U451" s="2034">
        <f>IFERROR(VLOOKUP($B451,'[3]1006'!$B$6:$G$5921,4,FALSE),0)</f>
        <v>0</v>
      </c>
      <c r="V451" s="2033">
        <f t="shared" si="40"/>
        <v>0</v>
      </c>
      <c r="W451" s="2033">
        <f t="shared" si="41"/>
        <v>0</v>
      </c>
    </row>
    <row r="452" spans="2:23" x14ac:dyDescent="0.15">
      <c r="B452" s="1288">
        <v>109483</v>
      </c>
      <c r="C452" s="1288" t="s">
        <v>2506</v>
      </c>
      <c r="D452" s="1288"/>
      <c r="E452" s="1288" t="s">
        <v>94</v>
      </c>
      <c r="F452" s="1288" t="s">
        <v>1337</v>
      </c>
      <c r="G452" s="1288" t="s">
        <v>1303</v>
      </c>
      <c r="H452" s="2033">
        <f>IFERROR(VLOOKUP($B452,'[3]1001'!$B$6:$G$5927,2,FALSE),0)</f>
        <v>0</v>
      </c>
      <c r="I452" s="2034">
        <f>IFERROR(VLOOKUP($B452,'[3]1001'!$B$6:$G$5927,4,FALSE),0)</f>
        <v>0</v>
      </c>
      <c r="J452" s="2033">
        <f t="shared" si="36"/>
        <v>0</v>
      </c>
      <c r="K452" s="2035">
        <f>IFERROR(VLOOKUP($B452,'[3]1002'!$B$6:$G$5921,2,FALSE),0)</f>
        <v>0</v>
      </c>
      <c r="L452" s="2036">
        <f>IFERROR(VLOOKUP($B452,'[3]1002'!$B$6:$G$5921,4,FALSE),0)</f>
        <v>0</v>
      </c>
      <c r="M452" s="1763">
        <f t="shared" si="37"/>
        <v>0</v>
      </c>
      <c r="N452" s="2033">
        <f>IFERROR(VLOOKUP($B452,'[3]1003'!$B$6:$G$5921,2,FALSE),0)</f>
        <v>0</v>
      </c>
      <c r="O452" s="2034">
        <f>IFERROR(VLOOKUP($B452,'[3]1003'!$B$6:$G$5921,4,FALSE),0)</f>
        <v>0</v>
      </c>
      <c r="P452" s="2033">
        <f t="shared" si="38"/>
        <v>0</v>
      </c>
      <c r="Q452" s="1763">
        <f>IFERROR(VLOOKUP($B452,'[3]1004'!$B$6:$G$5921,2,FALSE),0)</f>
        <v>0</v>
      </c>
      <c r="R452" s="2036">
        <f>IFERROR(VLOOKUP($B452,'[3]1004'!$B$6:$G$5921,4,FALSE),0)</f>
        <v>0</v>
      </c>
      <c r="S452" s="1763">
        <f t="shared" si="39"/>
        <v>0</v>
      </c>
      <c r="T452" s="2033">
        <f>IFERROR(VLOOKUP($B452,'[3]1006'!$B$6:$G$5921,2,FALSE),0)</f>
        <v>0</v>
      </c>
      <c r="U452" s="2034">
        <f>IFERROR(VLOOKUP($B452,'[3]1006'!$B$6:$G$5921,4,FALSE),0)</f>
        <v>0</v>
      </c>
      <c r="V452" s="2033">
        <f t="shared" si="40"/>
        <v>0</v>
      </c>
      <c r="W452" s="2033">
        <f t="shared" si="41"/>
        <v>0</v>
      </c>
    </row>
    <row r="453" spans="2:23" x14ac:dyDescent="0.15">
      <c r="B453" s="1288">
        <v>109484</v>
      </c>
      <c r="C453" s="1288" t="s">
        <v>2507</v>
      </c>
      <c r="D453" s="1288"/>
      <c r="E453" s="1288" t="s">
        <v>94</v>
      </c>
      <c r="F453" s="1288" t="s">
        <v>1337</v>
      </c>
      <c r="G453" s="1288" t="s">
        <v>1303</v>
      </c>
      <c r="H453" s="2033">
        <f>IFERROR(VLOOKUP($B453,'[3]1001'!$B$6:$G$5927,2,FALSE),0)</f>
        <v>0</v>
      </c>
      <c r="I453" s="2034">
        <f>IFERROR(VLOOKUP($B453,'[3]1001'!$B$6:$G$5927,4,FALSE),0)</f>
        <v>0</v>
      </c>
      <c r="J453" s="2033">
        <f t="shared" si="36"/>
        <v>0</v>
      </c>
      <c r="K453" s="2035">
        <f>IFERROR(VLOOKUP($B453,'[3]1002'!$B$6:$G$5921,2,FALSE),0)</f>
        <v>0</v>
      </c>
      <c r="L453" s="2036">
        <f>IFERROR(VLOOKUP($B453,'[3]1002'!$B$6:$G$5921,4,FALSE),0)</f>
        <v>0</v>
      </c>
      <c r="M453" s="1763">
        <f t="shared" si="37"/>
        <v>0</v>
      </c>
      <c r="N453" s="2033">
        <f>IFERROR(VLOOKUP($B453,'[3]1003'!$B$6:$G$5921,2,FALSE),0)</f>
        <v>0</v>
      </c>
      <c r="O453" s="2034">
        <f>IFERROR(VLOOKUP($B453,'[3]1003'!$B$6:$G$5921,4,FALSE),0)</f>
        <v>0</v>
      </c>
      <c r="P453" s="2033">
        <f t="shared" si="38"/>
        <v>0</v>
      </c>
      <c r="Q453" s="1763">
        <f>IFERROR(VLOOKUP($B453,'[3]1004'!$B$6:$G$5921,2,FALSE),0)</f>
        <v>0</v>
      </c>
      <c r="R453" s="2036">
        <f>IFERROR(VLOOKUP($B453,'[3]1004'!$B$6:$G$5921,4,FALSE),0)</f>
        <v>0</v>
      </c>
      <c r="S453" s="1763">
        <f t="shared" si="39"/>
        <v>0</v>
      </c>
      <c r="T453" s="2033">
        <f>IFERROR(VLOOKUP($B453,'[3]1006'!$B$6:$G$5921,2,FALSE),0)</f>
        <v>0</v>
      </c>
      <c r="U453" s="2034">
        <f>IFERROR(VLOOKUP($B453,'[3]1006'!$B$6:$G$5921,4,FALSE),0)</f>
        <v>0</v>
      </c>
      <c r="V453" s="2033">
        <f t="shared" si="40"/>
        <v>0</v>
      </c>
      <c r="W453" s="2033">
        <f t="shared" si="41"/>
        <v>0</v>
      </c>
    </row>
    <row r="454" spans="2:23" x14ac:dyDescent="0.15">
      <c r="B454" s="1288">
        <v>109485</v>
      </c>
      <c r="C454" s="1288" t="s">
        <v>2508</v>
      </c>
      <c r="D454" s="1288"/>
      <c r="E454" s="1288" t="s">
        <v>94</v>
      </c>
      <c r="F454" s="1288" t="s">
        <v>1337</v>
      </c>
      <c r="G454" s="1288" t="s">
        <v>1303</v>
      </c>
      <c r="H454" s="2033">
        <f>IFERROR(VLOOKUP($B454,'[3]1001'!$B$6:$G$5927,2,FALSE),0)</f>
        <v>0</v>
      </c>
      <c r="I454" s="2034">
        <f>IFERROR(VLOOKUP($B454,'[3]1001'!$B$6:$G$5927,4,FALSE),0)</f>
        <v>0</v>
      </c>
      <c r="J454" s="2033">
        <f t="shared" ref="J454:J517" si="42">IF(H454=0,0,H454/I454)</f>
        <v>0</v>
      </c>
      <c r="K454" s="2035">
        <f>IFERROR(VLOOKUP($B454,'[3]1002'!$B$6:$G$5921,2,FALSE),0)</f>
        <v>0</v>
      </c>
      <c r="L454" s="2036">
        <f>IFERROR(VLOOKUP($B454,'[3]1002'!$B$6:$G$5921,4,FALSE),0)</f>
        <v>0</v>
      </c>
      <c r="M454" s="1763">
        <f t="shared" ref="M454:M517" si="43">IF(K454=0,0,K454/L454)</f>
        <v>0</v>
      </c>
      <c r="N454" s="2033">
        <f>IFERROR(VLOOKUP($B454,'[3]1003'!$B$6:$G$5921,2,FALSE),0)</f>
        <v>0</v>
      </c>
      <c r="O454" s="2034">
        <f>IFERROR(VLOOKUP($B454,'[3]1003'!$B$6:$G$5921,4,FALSE),0)</f>
        <v>0</v>
      </c>
      <c r="P454" s="2033">
        <f t="shared" ref="P454:P517" si="44">IF(N454=0,0,N454/O454)</f>
        <v>0</v>
      </c>
      <c r="Q454" s="1763">
        <f>IFERROR(VLOOKUP($B454,'[3]1004'!$B$6:$G$5921,2,FALSE),0)</f>
        <v>0</v>
      </c>
      <c r="R454" s="2036">
        <f>IFERROR(VLOOKUP($B454,'[3]1004'!$B$6:$G$5921,4,FALSE),0)</f>
        <v>0</v>
      </c>
      <c r="S454" s="1763">
        <f t="shared" ref="S454:S517" si="45">IF(Q454=0,0,Q454/R454)</f>
        <v>0</v>
      </c>
      <c r="T454" s="2033">
        <f>IFERROR(VLOOKUP($B454,'[3]1006'!$B$6:$G$5921,2,FALSE),0)</f>
        <v>0</v>
      </c>
      <c r="U454" s="2034">
        <f>IFERROR(VLOOKUP($B454,'[3]1006'!$B$6:$G$5921,4,FALSE),0)</f>
        <v>0</v>
      </c>
      <c r="V454" s="2033">
        <f t="shared" ref="V454:V517" si="46">IF(T454=0,0,T454/U454)</f>
        <v>0</v>
      </c>
      <c r="W454" s="2033">
        <f t="shared" ref="W454:W517" si="47">U454+R454+O454+L454+I454</f>
        <v>0</v>
      </c>
    </row>
    <row r="455" spans="2:23" x14ac:dyDescent="0.15">
      <c r="B455" s="1288">
        <v>109486</v>
      </c>
      <c r="C455" s="1288" t="s">
        <v>2509</v>
      </c>
      <c r="D455" s="1288"/>
      <c r="E455" s="1288" t="s">
        <v>94</v>
      </c>
      <c r="F455" s="1288" t="s">
        <v>1337</v>
      </c>
      <c r="G455" s="1288" t="s">
        <v>1303</v>
      </c>
      <c r="H455" s="2033">
        <f>IFERROR(VLOOKUP($B455,'[3]1001'!$B$6:$G$5927,2,FALSE),0)</f>
        <v>0</v>
      </c>
      <c r="I455" s="2034">
        <f>IFERROR(VLOOKUP($B455,'[3]1001'!$B$6:$G$5927,4,FALSE),0)</f>
        <v>0</v>
      </c>
      <c r="J455" s="2033">
        <f t="shared" si="42"/>
        <v>0</v>
      </c>
      <c r="K455" s="2035">
        <f>IFERROR(VLOOKUP($B455,'[3]1002'!$B$6:$G$5921,2,FALSE),0)</f>
        <v>0</v>
      </c>
      <c r="L455" s="2036">
        <f>IFERROR(VLOOKUP($B455,'[3]1002'!$B$6:$G$5921,4,FALSE),0)</f>
        <v>0</v>
      </c>
      <c r="M455" s="1763">
        <f t="shared" si="43"/>
        <v>0</v>
      </c>
      <c r="N455" s="2033">
        <f>IFERROR(VLOOKUP($B455,'[3]1003'!$B$6:$G$5921,2,FALSE),0)</f>
        <v>0</v>
      </c>
      <c r="O455" s="2034">
        <f>IFERROR(VLOOKUP($B455,'[3]1003'!$B$6:$G$5921,4,FALSE),0)</f>
        <v>0</v>
      </c>
      <c r="P455" s="2033">
        <f t="shared" si="44"/>
        <v>0</v>
      </c>
      <c r="Q455" s="1763">
        <f>IFERROR(VLOOKUP($B455,'[3]1004'!$B$6:$G$5921,2,FALSE),0)</f>
        <v>0</v>
      </c>
      <c r="R455" s="2036">
        <f>IFERROR(VLOOKUP($B455,'[3]1004'!$B$6:$G$5921,4,FALSE),0)</f>
        <v>0</v>
      </c>
      <c r="S455" s="1763">
        <f t="shared" si="45"/>
        <v>0</v>
      </c>
      <c r="T455" s="2033">
        <f>IFERROR(VLOOKUP($B455,'[3]1006'!$B$6:$G$5921,2,FALSE),0)</f>
        <v>0</v>
      </c>
      <c r="U455" s="2034">
        <f>IFERROR(VLOOKUP($B455,'[3]1006'!$B$6:$G$5921,4,FALSE),0)</f>
        <v>0</v>
      </c>
      <c r="V455" s="2033">
        <f t="shared" si="46"/>
        <v>0</v>
      </c>
      <c r="W455" s="2033">
        <f t="shared" si="47"/>
        <v>0</v>
      </c>
    </row>
    <row r="456" spans="2:23" x14ac:dyDescent="0.15">
      <c r="B456" s="1288">
        <v>109487</v>
      </c>
      <c r="C456" s="1288" t="s">
        <v>2510</v>
      </c>
      <c r="D456" s="1288"/>
      <c r="E456" s="1288" t="s">
        <v>94</v>
      </c>
      <c r="F456" s="1288" t="s">
        <v>1337</v>
      </c>
      <c r="G456" s="1288" t="s">
        <v>1303</v>
      </c>
      <c r="H456" s="2033">
        <f>IFERROR(VLOOKUP($B456,'[3]1001'!$B$6:$G$5927,2,FALSE),0)</f>
        <v>0</v>
      </c>
      <c r="I456" s="2034">
        <f>IFERROR(VLOOKUP($B456,'[3]1001'!$B$6:$G$5927,4,FALSE),0)</f>
        <v>0</v>
      </c>
      <c r="J456" s="2033">
        <f t="shared" si="42"/>
        <v>0</v>
      </c>
      <c r="K456" s="2035">
        <f>IFERROR(VLOOKUP($B456,'[3]1002'!$B$6:$G$5921,2,FALSE),0)</f>
        <v>0</v>
      </c>
      <c r="L456" s="2036">
        <f>IFERROR(VLOOKUP($B456,'[3]1002'!$B$6:$G$5921,4,FALSE),0)</f>
        <v>0</v>
      </c>
      <c r="M456" s="1763">
        <f t="shared" si="43"/>
        <v>0</v>
      </c>
      <c r="N456" s="2033">
        <f>IFERROR(VLOOKUP($B456,'[3]1003'!$B$6:$G$5921,2,FALSE),0)</f>
        <v>0</v>
      </c>
      <c r="O456" s="2034">
        <f>IFERROR(VLOOKUP($B456,'[3]1003'!$B$6:$G$5921,4,FALSE),0)</f>
        <v>0</v>
      </c>
      <c r="P456" s="2033">
        <f t="shared" si="44"/>
        <v>0</v>
      </c>
      <c r="Q456" s="1763">
        <f>IFERROR(VLOOKUP($B456,'[3]1004'!$B$6:$G$5921,2,FALSE),0)</f>
        <v>0</v>
      </c>
      <c r="R456" s="2036">
        <f>IFERROR(VLOOKUP($B456,'[3]1004'!$B$6:$G$5921,4,FALSE),0)</f>
        <v>0</v>
      </c>
      <c r="S456" s="1763">
        <f t="shared" si="45"/>
        <v>0</v>
      </c>
      <c r="T456" s="2033">
        <f>IFERROR(VLOOKUP($B456,'[3]1006'!$B$6:$G$5921,2,FALSE),0)</f>
        <v>0</v>
      </c>
      <c r="U456" s="2034">
        <f>IFERROR(VLOOKUP($B456,'[3]1006'!$B$6:$G$5921,4,FALSE),0)</f>
        <v>0</v>
      </c>
      <c r="V456" s="2033">
        <f t="shared" si="46"/>
        <v>0</v>
      </c>
      <c r="W456" s="2033">
        <f t="shared" si="47"/>
        <v>0</v>
      </c>
    </row>
    <row r="457" spans="2:23" x14ac:dyDescent="0.15">
      <c r="B457" s="1288">
        <v>109572</v>
      </c>
      <c r="C457" s="1288" t="s">
        <v>2511</v>
      </c>
      <c r="D457" s="1288"/>
      <c r="E457" s="1288" t="s">
        <v>94</v>
      </c>
      <c r="F457" s="1288" t="s">
        <v>1300</v>
      </c>
      <c r="G457" s="1288" t="s">
        <v>1303</v>
      </c>
      <c r="H457" s="2033">
        <f>IFERROR(VLOOKUP($B457,'[3]1001'!$B$6:$G$5927,2,FALSE),0)</f>
        <v>0</v>
      </c>
      <c r="I457" s="2034">
        <f>IFERROR(VLOOKUP($B457,'[3]1001'!$B$6:$G$5927,4,FALSE),0)</f>
        <v>0</v>
      </c>
      <c r="J457" s="2033">
        <f t="shared" si="42"/>
        <v>0</v>
      </c>
      <c r="K457" s="2035">
        <f>IFERROR(VLOOKUP($B457,'[3]1002'!$B$6:$G$5921,2,FALSE),0)</f>
        <v>0</v>
      </c>
      <c r="L457" s="2036">
        <f>IFERROR(VLOOKUP($B457,'[3]1002'!$B$6:$G$5921,4,FALSE),0)</f>
        <v>0</v>
      </c>
      <c r="M457" s="1763">
        <f t="shared" si="43"/>
        <v>0</v>
      </c>
      <c r="N457" s="2033">
        <f>IFERROR(VLOOKUP($B457,'[3]1003'!$B$6:$G$5921,2,FALSE),0)</f>
        <v>0</v>
      </c>
      <c r="O457" s="2034">
        <f>IFERROR(VLOOKUP($B457,'[3]1003'!$B$6:$G$5921,4,FALSE),0)</f>
        <v>0</v>
      </c>
      <c r="P457" s="2033">
        <f t="shared" si="44"/>
        <v>0</v>
      </c>
      <c r="Q457" s="1763">
        <f>IFERROR(VLOOKUP($B457,'[3]1004'!$B$6:$G$5921,2,FALSE),0)</f>
        <v>0</v>
      </c>
      <c r="R457" s="2036">
        <f>IFERROR(VLOOKUP($B457,'[3]1004'!$B$6:$G$5921,4,FALSE),0)</f>
        <v>0</v>
      </c>
      <c r="S457" s="1763">
        <f t="shared" si="45"/>
        <v>0</v>
      </c>
      <c r="T457" s="2033">
        <f>IFERROR(VLOOKUP($B457,'[3]1006'!$B$6:$G$5921,2,FALSE),0)</f>
        <v>0</v>
      </c>
      <c r="U457" s="2034">
        <f>IFERROR(VLOOKUP($B457,'[3]1006'!$B$6:$G$5921,4,FALSE),0)</f>
        <v>0</v>
      </c>
      <c r="V457" s="2033">
        <f t="shared" si="46"/>
        <v>0</v>
      </c>
      <c r="W457" s="2033">
        <f t="shared" si="47"/>
        <v>0</v>
      </c>
    </row>
    <row r="458" spans="2:23" x14ac:dyDescent="0.15">
      <c r="B458" s="1288">
        <v>109589</v>
      </c>
      <c r="C458" s="1288" t="s">
        <v>2512</v>
      </c>
      <c r="D458" s="1288"/>
      <c r="E458" s="1288" t="s">
        <v>94</v>
      </c>
      <c r="F458" s="1288" t="s">
        <v>1300</v>
      </c>
      <c r="G458" s="1288" t="s">
        <v>1296</v>
      </c>
      <c r="H458" s="2033">
        <f>IFERROR(VLOOKUP($B458,'[3]1001'!$B$6:$G$5927,2,FALSE),0)</f>
        <v>0</v>
      </c>
      <c r="I458" s="2034">
        <f>IFERROR(VLOOKUP($B458,'[3]1001'!$B$6:$G$5927,4,FALSE),0)</f>
        <v>0</v>
      </c>
      <c r="J458" s="2033">
        <f t="shared" si="42"/>
        <v>0</v>
      </c>
      <c r="K458" s="2035">
        <f>IFERROR(VLOOKUP($B458,'[3]1002'!$B$6:$G$5921,2,FALSE),0)</f>
        <v>0</v>
      </c>
      <c r="L458" s="2036">
        <f>IFERROR(VLOOKUP($B458,'[3]1002'!$B$6:$G$5921,4,FALSE),0)</f>
        <v>0</v>
      </c>
      <c r="M458" s="1763">
        <f t="shared" si="43"/>
        <v>0</v>
      </c>
      <c r="N458" s="2033">
        <f>IFERROR(VLOOKUP($B458,'[3]1003'!$B$6:$G$5921,2,FALSE),0)</f>
        <v>0</v>
      </c>
      <c r="O458" s="2034">
        <f>IFERROR(VLOOKUP($B458,'[3]1003'!$B$6:$G$5921,4,FALSE),0)</f>
        <v>0</v>
      </c>
      <c r="P458" s="2033">
        <f t="shared" si="44"/>
        <v>0</v>
      </c>
      <c r="Q458" s="1763">
        <f>IFERROR(VLOOKUP($B458,'[3]1004'!$B$6:$G$5921,2,FALSE),0)</f>
        <v>0</v>
      </c>
      <c r="R458" s="2036">
        <f>IFERROR(VLOOKUP($B458,'[3]1004'!$B$6:$G$5921,4,FALSE),0)</f>
        <v>0</v>
      </c>
      <c r="S458" s="1763">
        <f t="shared" si="45"/>
        <v>0</v>
      </c>
      <c r="T458" s="2033">
        <f>IFERROR(VLOOKUP($B458,'[3]1006'!$B$6:$G$5921,2,FALSE),0)</f>
        <v>0</v>
      </c>
      <c r="U458" s="2034">
        <f>IFERROR(VLOOKUP($B458,'[3]1006'!$B$6:$G$5921,4,FALSE),0)</f>
        <v>0</v>
      </c>
      <c r="V458" s="2033">
        <f t="shared" si="46"/>
        <v>0</v>
      </c>
      <c r="W458" s="2033">
        <f t="shared" si="47"/>
        <v>0</v>
      </c>
    </row>
    <row r="459" spans="2:23" x14ac:dyDescent="0.15">
      <c r="B459" s="2032">
        <v>109766</v>
      </c>
      <c r="C459" s="2032" t="s">
        <v>1360</v>
      </c>
      <c r="D459" s="2037" t="s">
        <v>2021</v>
      </c>
      <c r="E459" s="2032" t="s">
        <v>94</v>
      </c>
      <c r="F459" s="1288" t="s">
        <v>1295</v>
      </c>
      <c r="G459" s="1288" t="s">
        <v>1296</v>
      </c>
      <c r="H459" s="2033">
        <f>IFERROR(VLOOKUP($B459,'[3]1001'!$B$6:$G$5927,2,FALSE),0)</f>
        <v>330605.94</v>
      </c>
      <c r="I459" s="2034">
        <f>IFERROR(VLOOKUP($B459,'[3]1001'!$B$6:$G$5927,4,FALSE),0)</f>
        <v>1</v>
      </c>
      <c r="J459" s="2033">
        <f t="shared" si="42"/>
        <v>330605.94</v>
      </c>
      <c r="K459" s="2035">
        <f>IFERROR(VLOOKUP($B459,'[3]1002'!$B$6:$G$5921,2,FALSE),0)</f>
        <v>0</v>
      </c>
      <c r="L459" s="2036">
        <f>IFERROR(VLOOKUP($B459,'[3]1002'!$B$6:$G$5921,4,FALSE),0)</f>
        <v>0</v>
      </c>
      <c r="M459" s="1763">
        <f t="shared" si="43"/>
        <v>0</v>
      </c>
      <c r="N459" s="2033">
        <f>IFERROR(VLOOKUP($B459,'[3]1003'!$B$6:$G$5921,2,FALSE),0)</f>
        <v>0</v>
      </c>
      <c r="O459" s="2034">
        <f>IFERROR(VLOOKUP($B459,'[3]1003'!$B$6:$G$5921,4,FALSE),0)</f>
        <v>0</v>
      </c>
      <c r="P459" s="2033">
        <f t="shared" si="44"/>
        <v>0</v>
      </c>
      <c r="Q459" s="1763">
        <f>IFERROR(VLOOKUP($B459,'[3]1004'!$B$6:$G$5921,2,FALSE),0)</f>
        <v>0</v>
      </c>
      <c r="R459" s="2036">
        <f>IFERROR(VLOOKUP($B459,'[3]1004'!$B$6:$G$5921,4,FALSE),0)</f>
        <v>0</v>
      </c>
      <c r="S459" s="1763">
        <f t="shared" si="45"/>
        <v>0</v>
      </c>
      <c r="T459" s="2033">
        <f>IFERROR(VLOOKUP($B459,'[3]1006'!$B$6:$G$5921,2,FALSE),0)</f>
        <v>0</v>
      </c>
      <c r="U459" s="2034">
        <f>IFERROR(VLOOKUP($B459,'[3]1006'!$B$6:$G$5921,4,FALSE),0)</f>
        <v>0</v>
      </c>
      <c r="V459" s="2033">
        <f t="shared" si="46"/>
        <v>0</v>
      </c>
      <c r="W459" s="2033">
        <f t="shared" si="47"/>
        <v>1</v>
      </c>
    </row>
    <row r="460" spans="2:23" x14ac:dyDescent="0.15">
      <c r="B460" s="2032">
        <v>109767</v>
      </c>
      <c r="C460" s="2032" t="s">
        <v>1358</v>
      </c>
      <c r="D460" s="2037" t="s">
        <v>2022</v>
      </c>
      <c r="E460" s="2032" t="s">
        <v>94</v>
      </c>
      <c r="F460" s="1288" t="s">
        <v>1300</v>
      </c>
      <c r="G460" s="1288" t="s">
        <v>1303</v>
      </c>
      <c r="H460" s="2033">
        <f>IFERROR(VLOOKUP($B460,'[3]1001'!$B$6:$G$5927,2,FALSE),0)</f>
        <v>0</v>
      </c>
      <c r="I460" s="2034">
        <f>IFERROR(VLOOKUP($B460,'[3]1001'!$B$6:$G$5927,4,FALSE),0)</f>
        <v>0</v>
      </c>
      <c r="J460" s="2033">
        <f t="shared" si="42"/>
        <v>0</v>
      </c>
      <c r="K460" s="2035">
        <f>IFERROR(VLOOKUP($B460,'[3]1002'!$B$6:$G$5921,2,FALSE),0)</f>
        <v>1509737.1</v>
      </c>
      <c r="L460" s="2036">
        <f>IFERROR(VLOOKUP($B460,'[3]1002'!$B$6:$G$5921,4,FALSE),0)</f>
        <v>3</v>
      </c>
      <c r="M460" s="1763">
        <f t="shared" si="43"/>
        <v>503245.7</v>
      </c>
      <c r="N460" s="2033">
        <f>IFERROR(VLOOKUP($B460,'[3]1003'!$B$6:$G$5921,2,FALSE),0)</f>
        <v>1521517.94</v>
      </c>
      <c r="O460" s="2034">
        <f>IFERROR(VLOOKUP($B460,'[3]1003'!$B$6:$G$5921,4,FALSE),0)</f>
        <v>3</v>
      </c>
      <c r="P460" s="2033">
        <f t="shared" si="44"/>
        <v>507172.64666666667</v>
      </c>
      <c r="Q460" s="1763">
        <f>IFERROR(VLOOKUP($B460,'[3]1004'!$B$6:$G$5921,2,FALSE),0)</f>
        <v>0</v>
      </c>
      <c r="R460" s="2036">
        <f>IFERROR(VLOOKUP($B460,'[3]1004'!$B$6:$G$5921,4,FALSE),0)</f>
        <v>0</v>
      </c>
      <c r="S460" s="1763">
        <f t="shared" si="45"/>
        <v>0</v>
      </c>
      <c r="T460" s="2033">
        <f>IFERROR(VLOOKUP($B460,'[3]1006'!$B$6:$G$5921,2,FALSE),0)</f>
        <v>0</v>
      </c>
      <c r="U460" s="2034">
        <f>IFERROR(VLOOKUP($B460,'[3]1006'!$B$6:$G$5921,4,FALSE),0)</f>
        <v>0</v>
      </c>
      <c r="V460" s="2033">
        <f t="shared" si="46"/>
        <v>0</v>
      </c>
      <c r="W460" s="2033">
        <f t="shared" si="47"/>
        <v>6</v>
      </c>
    </row>
    <row r="461" spans="2:23" x14ac:dyDescent="0.15">
      <c r="B461" s="2032">
        <v>109768</v>
      </c>
      <c r="C461" s="2032" t="s">
        <v>1358</v>
      </c>
      <c r="D461" s="2037" t="s">
        <v>2023</v>
      </c>
      <c r="E461" s="2032" t="s">
        <v>94</v>
      </c>
      <c r="F461" s="1288" t="s">
        <v>1300</v>
      </c>
      <c r="G461" s="1288" t="s">
        <v>1303</v>
      </c>
      <c r="H461" s="2033">
        <f>IFERROR(VLOOKUP($B461,'[3]1001'!$B$6:$G$5927,2,FALSE),0)</f>
        <v>0</v>
      </c>
      <c r="I461" s="2034">
        <f>IFERROR(VLOOKUP($B461,'[3]1001'!$B$6:$G$5927,4,FALSE),0)</f>
        <v>0</v>
      </c>
      <c r="J461" s="2033">
        <f t="shared" si="42"/>
        <v>0</v>
      </c>
      <c r="K461" s="2035">
        <f>IFERROR(VLOOKUP($B461,'[3]1002'!$B$6:$G$5921,2,FALSE),0)</f>
        <v>0</v>
      </c>
      <c r="L461" s="2036">
        <f>IFERROR(VLOOKUP($B461,'[3]1002'!$B$6:$G$5921,4,FALSE),0)</f>
        <v>0</v>
      </c>
      <c r="M461" s="1763">
        <f t="shared" si="43"/>
        <v>0</v>
      </c>
      <c r="N461" s="2033">
        <f>IFERROR(VLOOKUP($B461,'[3]1003'!$B$6:$G$5921,2,FALSE),0)</f>
        <v>0</v>
      </c>
      <c r="O461" s="2034">
        <f>IFERROR(VLOOKUP($B461,'[3]1003'!$B$6:$G$5921,4,FALSE),0)</f>
        <v>0</v>
      </c>
      <c r="P461" s="2033">
        <f t="shared" si="44"/>
        <v>0</v>
      </c>
      <c r="Q461" s="1763">
        <f>IFERROR(VLOOKUP($B461,'[3]1004'!$B$6:$G$5921,2,FALSE),0)</f>
        <v>4273205.97</v>
      </c>
      <c r="R461" s="2036">
        <f>IFERROR(VLOOKUP($B461,'[3]1004'!$B$6:$G$5921,4,FALSE),0)</f>
        <v>3</v>
      </c>
      <c r="S461" s="1763">
        <f t="shared" si="45"/>
        <v>1424401.99</v>
      </c>
      <c r="T461" s="2033">
        <f>IFERROR(VLOOKUP($B461,'[3]1006'!$B$6:$G$5921,2,FALSE),0)</f>
        <v>0</v>
      </c>
      <c r="U461" s="2034">
        <f>IFERROR(VLOOKUP($B461,'[3]1006'!$B$6:$G$5921,4,FALSE),0)</f>
        <v>0</v>
      </c>
      <c r="V461" s="2033">
        <f t="shared" si="46"/>
        <v>0</v>
      </c>
      <c r="W461" s="2033">
        <f t="shared" si="47"/>
        <v>3</v>
      </c>
    </row>
    <row r="462" spans="2:23" x14ac:dyDescent="0.15">
      <c r="B462" s="2032">
        <v>110423</v>
      </c>
      <c r="C462" s="2032" t="s">
        <v>2024</v>
      </c>
      <c r="D462" s="2032" t="s">
        <v>2025</v>
      </c>
      <c r="E462" s="2032" t="s">
        <v>94</v>
      </c>
      <c r="F462" s="1288" t="s">
        <v>1300</v>
      </c>
      <c r="G462" s="1288" t="s">
        <v>1296</v>
      </c>
      <c r="H462" s="2033">
        <f>IFERROR(VLOOKUP($B462,'[3]1001'!$B$6:$G$5927,2,FALSE),0)</f>
        <v>0</v>
      </c>
      <c r="I462" s="2034">
        <f>IFERROR(VLOOKUP($B462,'[3]1001'!$B$6:$G$5927,4,FALSE),0)</f>
        <v>0</v>
      </c>
      <c r="J462" s="2033">
        <f t="shared" si="42"/>
        <v>0</v>
      </c>
      <c r="K462" s="2035">
        <f>IFERROR(VLOOKUP($B462,'[3]1002'!$B$6:$G$5921,2,FALSE),0)</f>
        <v>0</v>
      </c>
      <c r="L462" s="2036">
        <f>IFERROR(VLOOKUP($B462,'[3]1002'!$B$6:$G$5921,4,FALSE),0)</f>
        <v>0</v>
      </c>
      <c r="M462" s="1763">
        <f t="shared" si="43"/>
        <v>0</v>
      </c>
      <c r="N462" s="2033">
        <f>IFERROR(VLOOKUP($B462,'[3]1003'!$B$6:$G$5921,2,FALSE),0)</f>
        <v>0</v>
      </c>
      <c r="O462" s="2034">
        <f>IFERROR(VLOOKUP($B462,'[3]1003'!$B$6:$G$5921,4,FALSE),0)</f>
        <v>0</v>
      </c>
      <c r="P462" s="2033">
        <f t="shared" si="44"/>
        <v>0</v>
      </c>
      <c r="Q462" s="1763">
        <f>IFERROR(VLOOKUP($B462,'[3]1004'!$B$6:$G$5921,2,FALSE),0)</f>
        <v>0</v>
      </c>
      <c r="R462" s="2036">
        <f>IFERROR(VLOOKUP($B462,'[3]1004'!$B$6:$G$5921,4,FALSE),0)</f>
        <v>0</v>
      </c>
      <c r="S462" s="1763">
        <f t="shared" si="45"/>
        <v>0</v>
      </c>
      <c r="T462" s="2033">
        <f>IFERROR(VLOOKUP($B462,'[3]1006'!$B$6:$G$5921,2,FALSE),0)</f>
        <v>0</v>
      </c>
      <c r="U462" s="2034">
        <f>IFERROR(VLOOKUP($B462,'[3]1006'!$B$6:$G$5921,4,FALSE),0)</f>
        <v>0</v>
      </c>
      <c r="V462" s="2033">
        <f t="shared" si="46"/>
        <v>0</v>
      </c>
      <c r="W462" s="2033">
        <f t="shared" si="47"/>
        <v>0</v>
      </c>
    </row>
    <row r="463" spans="2:23" x14ac:dyDescent="0.15">
      <c r="B463" s="2032">
        <v>110454</v>
      </c>
      <c r="C463" s="2032" t="s">
        <v>2026</v>
      </c>
      <c r="D463" s="2037" t="s">
        <v>2026</v>
      </c>
      <c r="E463" s="2032" t="s">
        <v>94</v>
      </c>
      <c r="F463" s="1288" t="s">
        <v>1305</v>
      </c>
      <c r="G463" s="1288" t="s">
        <v>1303</v>
      </c>
      <c r="H463" s="2033">
        <f>IFERROR(VLOOKUP($B463,'[3]1001'!$B$6:$G$5927,2,FALSE),0)</f>
        <v>0</v>
      </c>
      <c r="I463" s="2034">
        <f>IFERROR(VLOOKUP($B463,'[3]1001'!$B$6:$G$5927,4,FALSE),0)</f>
        <v>0</v>
      </c>
      <c r="J463" s="2033">
        <f t="shared" si="42"/>
        <v>0</v>
      </c>
      <c r="K463" s="2035">
        <f>IFERROR(VLOOKUP($B463,'[3]1002'!$B$6:$G$5921,2,FALSE),0)</f>
        <v>0</v>
      </c>
      <c r="L463" s="2036">
        <f>IFERROR(VLOOKUP($B463,'[3]1002'!$B$6:$G$5921,4,FALSE),0)</f>
        <v>0</v>
      </c>
      <c r="M463" s="1763">
        <f t="shared" si="43"/>
        <v>0</v>
      </c>
      <c r="N463" s="2033">
        <f>IFERROR(VLOOKUP($B463,'[3]1003'!$B$6:$G$5921,2,FALSE),0)</f>
        <v>0</v>
      </c>
      <c r="O463" s="2034">
        <f>IFERROR(VLOOKUP($B463,'[3]1003'!$B$6:$G$5921,4,FALSE),0)</f>
        <v>0</v>
      </c>
      <c r="P463" s="2033">
        <f t="shared" si="44"/>
        <v>0</v>
      </c>
      <c r="Q463" s="1763">
        <f>IFERROR(VLOOKUP($B463,'[3]1004'!$B$6:$G$5921,2,FALSE),0)</f>
        <v>496417.49</v>
      </c>
      <c r="R463" s="2036">
        <f>IFERROR(VLOOKUP($B463,'[3]1004'!$B$6:$G$5921,4,FALSE),0)</f>
        <v>57</v>
      </c>
      <c r="S463" s="1763">
        <f t="shared" si="45"/>
        <v>8709.0787719298241</v>
      </c>
      <c r="T463" s="2033">
        <f>IFERROR(VLOOKUP($B463,'[3]1006'!$B$6:$G$5921,2,FALSE),0)</f>
        <v>0</v>
      </c>
      <c r="U463" s="2034">
        <f>IFERROR(VLOOKUP($B463,'[3]1006'!$B$6:$G$5921,4,FALSE),0)</f>
        <v>0</v>
      </c>
      <c r="V463" s="2033">
        <f t="shared" si="46"/>
        <v>0</v>
      </c>
      <c r="W463" s="2033">
        <f t="shared" si="47"/>
        <v>57</v>
      </c>
    </row>
    <row r="464" spans="2:23" x14ac:dyDescent="0.15">
      <c r="B464" s="2032">
        <v>110455</v>
      </c>
      <c r="C464" s="2032" t="s">
        <v>2027</v>
      </c>
      <c r="D464" s="2037" t="s">
        <v>2028</v>
      </c>
      <c r="E464" s="2032" t="s">
        <v>94</v>
      </c>
      <c r="F464" s="1288" t="s">
        <v>1305</v>
      </c>
      <c r="G464" s="1288" t="s">
        <v>1303</v>
      </c>
      <c r="H464" s="2033">
        <f>IFERROR(VLOOKUP($B464,'[3]1001'!$B$6:$G$5927,2,FALSE),0)</f>
        <v>0</v>
      </c>
      <c r="I464" s="2034">
        <f>IFERROR(VLOOKUP($B464,'[3]1001'!$B$6:$G$5927,4,FALSE),0)</f>
        <v>0</v>
      </c>
      <c r="J464" s="2033">
        <f t="shared" si="42"/>
        <v>0</v>
      </c>
      <c r="K464" s="2035">
        <f>IFERROR(VLOOKUP($B464,'[3]1002'!$B$6:$G$5921,2,FALSE),0)</f>
        <v>0</v>
      </c>
      <c r="L464" s="2036">
        <f>IFERROR(VLOOKUP($B464,'[3]1002'!$B$6:$G$5921,4,FALSE),0)</f>
        <v>0</v>
      </c>
      <c r="M464" s="1763">
        <f t="shared" si="43"/>
        <v>0</v>
      </c>
      <c r="N464" s="2033">
        <f>IFERROR(VLOOKUP($B464,'[3]1003'!$B$6:$G$5921,2,FALSE),0)</f>
        <v>0</v>
      </c>
      <c r="O464" s="2034">
        <f>IFERROR(VLOOKUP($B464,'[3]1003'!$B$6:$G$5921,4,FALSE),0)</f>
        <v>0</v>
      </c>
      <c r="P464" s="2033">
        <f t="shared" si="44"/>
        <v>0</v>
      </c>
      <c r="Q464" s="1763">
        <f>IFERROR(VLOOKUP($B464,'[3]1004'!$B$6:$G$5921,2,FALSE),0)</f>
        <v>0</v>
      </c>
      <c r="R464" s="2036">
        <f>IFERROR(VLOOKUP($B464,'[3]1004'!$B$6:$G$5921,4,FALSE),0)</f>
        <v>0</v>
      </c>
      <c r="S464" s="1763">
        <f t="shared" si="45"/>
        <v>0</v>
      </c>
      <c r="T464" s="2033">
        <f>IFERROR(VLOOKUP($B464,'[3]1006'!$B$6:$G$5921,2,FALSE),0)</f>
        <v>622242.82999999996</v>
      </c>
      <c r="U464" s="2034">
        <f>IFERROR(VLOOKUP($B464,'[3]1006'!$B$6:$G$5921,4,FALSE),0)</f>
        <v>123</v>
      </c>
      <c r="V464" s="2033">
        <f t="shared" si="46"/>
        <v>5058.8847967479669</v>
      </c>
      <c r="W464" s="2033">
        <f t="shared" si="47"/>
        <v>123</v>
      </c>
    </row>
    <row r="465" spans="2:23" x14ac:dyDescent="0.15">
      <c r="B465" s="2032">
        <v>110495</v>
      </c>
      <c r="C465" s="2032" t="s">
        <v>2029</v>
      </c>
      <c r="D465" s="2032" t="s">
        <v>2029</v>
      </c>
      <c r="E465" s="2032" t="s">
        <v>94</v>
      </c>
      <c r="F465" s="870" t="s">
        <v>2030</v>
      </c>
      <c r="G465" s="1288" t="s">
        <v>1303</v>
      </c>
      <c r="H465" s="2033">
        <f>IFERROR(VLOOKUP($B465,'[3]1001'!$B$6:$G$5927,2,FALSE),0)</f>
        <v>0</v>
      </c>
      <c r="I465" s="2034">
        <f>IFERROR(VLOOKUP($B465,'[3]1001'!$B$6:$G$5927,4,FALSE),0)</f>
        <v>0</v>
      </c>
      <c r="J465" s="2033">
        <f t="shared" si="42"/>
        <v>0</v>
      </c>
      <c r="K465" s="2035">
        <f>IFERROR(VLOOKUP($B465,'[3]1002'!$B$6:$G$5921,2,FALSE),0)</f>
        <v>244162</v>
      </c>
      <c r="L465" s="2036">
        <f>IFERROR(VLOOKUP($B465,'[3]1002'!$B$6:$G$5921,4,FALSE),0)</f>
        <v>200</v>
      </c>
      <c r="M465" s="1763">
        <f t="shared" si="43"/>
        <v>1220.81</v>
      </c>
      <c r="N465" s="2033">
        <f>IFERROR(VLOOKUP($B465,'[3]1003'!$B$6:$G$5921,2,FALSE),0)</f>
        <v>329618.7</v>
      </c>
      <c r="O465" s="2034">
        <f>IFERROR(VLOOKUP($B465,'[3]1003'!$B$6:$G$5921,4,FALSE),0)</f>
        <v>270</v>
      </c>
      <c r="P465" s="2033">
        <f t="shared" si="44"/>
        <v>1220.81</v>
      </c>
      <c r="Q465" s="1763">
        <f>IFERROR(VLOOKUP($B465,'[3]1004'!$B$6:$G$5921,2,FALSE),0)</f>
        <v>0</v>
      </c>
      <c r="R465" s="2036">
        <f>IFERROR(VLOOKUP($B465,'[3]1004'!$B$6:$G$5921,4,FALSE),0)</f>
        <v>0</v>
      </c>
      <c r="S465" s="1763">
        <f t="shared" si="45"/>
        <v>0</v>
      </c>
      <c r="T465" s="2033">
        <f>IFERROR(VLOOKUP($B465,'[3]1006'!$B$6:$G$5921,2,FALSE),0)</f>
        <v>0</v>
      </c>
      <c r="U465" s="2034">
        <f>IFERROR(VLOOKUP($B465,'[3]1006'!$B$6:$G$5921,4,FALSE),0)</f>
        <v>0</v>
      </c>
      <c r="V465" s="2033">
        <f t="shared" si="46"/>
        <v>0</v>
      </c>
      <c r="W465" s="2033">
        <f t="shared" si="47"/>
        <v>470</v>
      </c>
    </row>
    <row r="466" spans="2:23" x14ac:dyDescent="0.15">
      <c r="B466" s="2032">
        <v>15360</v>
      </c>
      <c r="C466" s="2032" t="s">
        <v>2031</v>
      </c>
      <c r="D466" s="2037" t="s">
        <v>2032</v>
      </c>
      <c r="E466" s="2032" t="s">
        <v>94</v>
      </c>
      <c r="F466" s="870" t="s">
        <v>1300</v>
      </c>
      <c r="G466" s="1288" t="s">
        <v>1303</v>
      </c>
      <c r="H466" s="2033">
        <f>IFERROR(VLOOKUP($B466,'[3]1001'!$B$6:$G$5927,2,FALSE),0)</f>
        <v>0</v>
      </c>
      <c r="I466" s="2034">
        <f>IFERROR(VLOOKUP($B466,'[3]1001'!$B$6:$G$5927,4,FALSE),0)</f>
        <v>0</v>
      </c>
      <c r="J466" s="2033">
        <f t="shared" si="42"/>
        <v>0</v>
      </c>
      <c r="K466" s="2035">
        <f>IFERROR(VLOOKUP($B466,'[3]1002'!$B$6:$G$5921,2,FALSE),0)</f>
        <v>0</v>
      </c>
      <c r="L466" s="2036">
        <f>IFERROR(VLOOKUP($B466,'[3]1002'!$B$6:$G$5921,4,FALSE),0)</f>
        <v>0</v>
      </c>
      <c r="M466" s="1763">
        <f t="shared" si="43"/>
        <v>0</v>
      </c>
      <c r="N466" s="2033">
        <f>IFERROR(VLOOKUP($B466,'[3]1003'!$B$6:$G$5921,2,FALSE),0)</f>
        <v>16000</v>
      </c>
      <c r="O466" s="2034">
        <f>IFERROR(VLOOKUP($B466,'[3]1003'!$B$6:$G$5921,4,FALSE),0)</f>
        <v>8</v>
      </c>
      <c r="P466" s="2033">
        <f t="shared" si="44"/>
        <v>2000</v>
      </c>
      <c r="Q466" s="1763">
        <f>IFERROR(VLOOKUP($B466,'[3]1004'!$B$6:$G$5921,2,FALSE),0)</f>
        <v>50000</v>
      </c>
      <c r="R466" s="2036">
        <f>IFERROR(VLOOKUP($B466,'[3]1004'!$B$6:$G$5921,4,FALSE),0)</f>
        <v>25</v>
      </c>
      <c r="S466" s="1763">
        <f t="shared" si="45"/>
        <v>2000</v>
      </c>
      <c r="T466" s="2033">
        <f>IFERROR(VLOOKUP($B466,'[3]1006'!$B$6:$G$5921,2,FALSE),0)</f>
        <v>0</v>
      </c>
      <c r="U466" s="2034">
        <f>IFERROR(VLOOKUP($B466,'[3]1006'!$B$6:$G$5921,4,FALSE),0)</f>
        <v>0</v>
      </c>
      <c r="V466" s="2033">
        <f t="shared" si="46"/>
        <v>0</v>
      </c>
      <c r="W466" s="2033">
        <f t="shared" si="47"/>
        <v>33</v>
      </c>
    </row>
    <row r="467" spans="2:23" x14ac:dyDescent="0.15">
      <c r="B467" s="2032">
        <v>62821</v>
      </c>
      <c r="C467" s="1288" t="s">
        <v>2033</v>
      </c>
      <c r="D467" s="2032" t="s">
        <v>2034</v>
      </c>
      <c r="E467" s="2032" t="s">
        <v>94</v>
      </c>
      <c r="F467" s="2039" t="s">
        <v>1337</v>
      </c>
      <c r="G467" s="2039" t="s">
        <v>1303</v>
      </c>
      <c r="H467" s="2033">
        <f>IFERROR(VLOOKUP($B467,'[3]1001'!$B$6:$G$5927,2,FALSE),0)</f>
        <v>0</v>
      </c>
      <c r="I467" s="2034">
        <f>IFERROR(VLOOKUP($B467,'[3]1001'!$B$6:$G$5927,4,FALSE),0)</f>
        <v>0</v>
      </c>
      <c r="J467" s="2033">
        <f t="shared" si="42"/>
        <v>0</v>
      </c>
      <c r="K467" s="2035">
        <f>IFERROR(VLOOKUP($B467,'[3]1002'!$B$6:$G$5921,2,FALSE),0)</f>
        <v>0</v>
      </c>
      <c r="L467" s="2036">
        <f>IFERROR(VLOOKUP($B467,'[3]1002'!$B$6:$G$5921,4,FALSE),0)</f>
        <v>0</v>
      </c>
      <c r="M467" s="1763">
        <f t="shared" si="43"/>
        <v>0</v>
      </c>
      <c r="N467" s="2033">
        <f>IFERROR(VLOOKUP($B467,'[3]1003'!$B$6:$G$5921,2,FALSE),0)</f>
        <v>0</v>
      </c>
      <c r="O467" s="2034">
        <f>IFERROR(VLOOKUP($B467,'[3]1003'!$B$6:$G$5921,4,FALSE),0)</f>
        <v>0</v>
      </c>
      <c r="P467" s="2033">
        <f t="shared" si="44"/>
        <v>0</v>
      </c>
      <c r="Q467" s="1763">
        <f>IFERROR(VLOOKUP($B467,'[3]1004'!$B$6:$G$5921,2,FALSE),0)</f>
        <v>0</v>
      </c>
      <c r="R467" s="2036">
        <f>IFERROR(VLOOKUP($B467,'[3]1004'!$B$6:$G$5921,4,FALSE),0)</f>
        <v>0</v>
      </c>
      <c r="S467" s="1763">
        <f t="shared" si="45"/>
        <v>0</v>
      </c>
      <c r="T467" s="2033">
        <f>IFERROR(VLOOKUP($B467,'[3]1006'!$B$6:$G$5921,2,FALSE),0)</f>
        <v>0</v>
      </c>
      <c r="U467" s="2034">
        <f>IFERROR(VLOOKUP($B467,'[3]1006'!$B$6:$G$5921,4,FALSE),0)</f>
        <v>0</v>
      </c>
      <c r="V467" s="2033">
        <f t="shared" si="46"/>
        <v>0</v>
      </c>
      <c r="W467" s="2033">
        <f t="shared" si="47"/>
        <v>0</v>
      </c>
    </row>
    <row r="468" spans="2:23" x14ac:dyDescent="0.15">
      <c r="B468" s="2032">
        <v>62826</v>
      </c>
      <c r="C468" s="2032" t="s">
        <v>2035</v>
      </c>
      <c r="D468" s="2032" t="s">
        <v>2036</v>
      </c>
      <c r="E468" s="2032" t="s">
        <v>94</v>
      </c>
      <c r="F468" s="870" t="s">
        <v>1810</v>
      </c>
      <c r="G468" s="1288" t="s">
        <v>1303</v>
      </c>
      <c r="H468" s="2033">
        <f>IFERROR(VLOOKUP($B468,'[3]1001'!$B$6:$G$5927,2,FALSE),0)</f>
        <v>0</v>
      </c>
      <c r="I468" s="2034">
        <f>IFERROR(VLOOKUP($B468,'[3]1001'!$B$6:$G$5927,4,FALSE),0)</f>
        <v>0</v>
      </c>
      <c r="J468" s="2033">
        <f t="shared" si="42"/>
        <v>0</v>
      </c>
      <c r="K468" s="2035">
        <f>IFERROR(VLOOKUP($B468,'[3]1002'!$B$6:$G$5921,2,FALSE),0)</f>
        <v>0</v>
      </c>
      <c r="L468" s="2036">
        <f>IFERROR(VLOOKUP($B468,'[3]1002'!$B$6:$G$5921,4,FALSE),0)</f>
        <v>0</v>
      </c>
      <c r="M468" s="1763">
        <f t="shared" si="43"/>
        <v>0</v>
      </c>
      <c r="N468" s="2033">
        <f>IFERROR(VLOOKUP($B468,'[3]1003'!$B$6:$G$5921,2,FALSE),0)</f>
        <v>0</v>
      </c>
      <c r="O468" s="2034">
        <f>IFERROR(VLOOKUP($B468,'[3]1003'!$B$6:$G$5921,4,FALSE),0)</f>
        <v>0</v>
      </c>
      <c r="P468" s="2033">
        <f t="shared" si="44"/>
        <v>0</v>
      </c>
      <c r="Q468" s="1763">
        <f>IFERROR(VLOOKUP($B468,'[3]1004'!$B$6:$G$5921,2,FALSE),0)</f>
        <v>0</v>
      </c>
      <c r="R468" s="2036">
        <f>IFERROR(VLOOKUP($B468,'[3]1004'!$B$6:$G$5921,4,FALSE),0)</f>
        <v>0</v>
      </c>
      <c r="S468" s="1763">
        <f t="shared" si="45"/>
        <v>0</v>
      </c>
      <c r="T468" s="2033">
        <f>IFERROR(VLOOKUP($B468,'[3]1006'!$B$6:$G$5921,2,FALSE),0)</f>
        <v>0</v>
      </c>
      <c r="U468" s="2034">
        <f>IFERROR(VLOOKUP($B468,'[3]1006'!$B$6:$G$5921,4,FALSE),0)</f>
        <v>0</v>
      </c>
      <c r="V468" s="2033">
        <f t="shared" si="46"/>
        <v>0</v>
      </c>
      <c r="W468" s="2033">
        <f t="shared" si="47"/>
        <v>0</v>
      </c>
    </row>
    <row r="469" spans="2:23" x14ac:dyDescent="0.15">
      <c r="B469" s="1288">
        <v>62823</v>
      </c>
      <c r="C469" s="1288" t="s">
        <v>2035</v>
      </c>
      <c r="D469" s="1288"/>
      <c r="E469" s="1288" t="s">
        <v>94</v>
      </c>
      <c r="F469" s="1288" t="s">
        <v>1346</v>
      </c>
      <c r="G469" s="1288" t="s">
        <v>1303</v>
      </c>
      <c r="H469" s="2033">
        <f>IFERROR(VLOOKUP($B469,'[3]1001'!$B$6:$G$5927,2,FALSE),0)</f>
        <v>0</v>
      </c>
      <c r="I469" s="2034">
        <f>IFERROR(VLOOKUP($B469,'[3]1001'!$B$6:$G$5927,4,FALSE),0)</f>
        <v>0</v>
      </c>
      <c r="J469" s="2033">
        <f t="shared" si="42"/>
        <v>0</v>
      </c>
      <c r="K469" s="2035">
        <f>IFERROR(VLOOKUP($B469,'[3]1002'!$B$6:$G$5921,2,FALSE),0)</f>
        <v>0</v>
      </c>
      <c r="L469" s="2036">
        <f>IFERROR(VLOOKUP($B469,'[3]1002'!$B$6:$G$5921,4,FALSE),0)</f>
        <v>0</v>
      </c>
      <c r="M469" s="1763">
        <f t="shared" si="43"/>
        <v>0</v>
      </c>
      <c r="N469" s="2033">
        <f>IFERROR(VLOOKUP($B469,'[3]1003'!$B$6:$G$5921,2,FALSE),0)</f>
        <v>0</v>
      </c>
      <c r="O469" s="2034">
        <f>IFERROR(VLOOKUP($B469,'[3]1003'!$B$6:$G$5921,4,FALSE),0)</f>
        <v>0</v>
      </c>
      <c r="P469" s="2033">
        <f t="shared" si="44"/>
        <v>0</v>
      </c>
      <c r="Q469" s="1763">
        <f>IFERROR(VLOOKUP($B469,'[3]1004'!$B$6:$G$5921,2,FALSE),0)</f>
        <v>0</v>
      </c>
      <c r="R469" s="2036">
        <f>IFERROR(VLOOKUP($B469,'[3]1004'!$B$6:$G$5921,4,FALSE),0)</f>
        <v>0</v>
      </c>
      <c r="S469" s="1763">
        <f t="shared" si="45"/>
        <v>0</v>
      </c>
      <c r="T469" s="2033">
        <f>IFERROR(VLOOKUP($B469,'[3]1006'!$B$6:$G$5921,2,FALSE),0)</f>
        <v>0</v>
      </c>
      <c r="U469" s="2034">
        <f>IFERROR(VLOOKUP($B469,'[3]1006'!$B$6:$G$5921,4,FALSE),0)</f>
        <v>0</v>
      </c>
      <c r="V469" s="2033">
        <f t="shared" si="46"/>
        <v>0</v>
      </c>
      <c r="W469" s="2033">
        <f t="shared" si="47"/>
        <v>0</v>
      </c>
    </row>
    <row r="470" spans="2:23" x14ac:dyDescent="0.15">
      <c r="B470" s="2032">
        <v>111372</v>
      </c>
      <c r="C470" s="2032" t="s">
        <v>2037</v>
      </c>
      <c r="D470" s="2032" t="s">
        <v>2038</v>
      </c>
      <c r="E470" s="2032" t="s">
        <v>94</v>
      </c>
      <c r="F470" s="1288" t="s">
        <v>1300</v>
      </c>
      <c r="G470" s="1288" t="s">
        <v>1296</v>
      </c>
      <c r="H470" s="2033">
        <f>IFERROR(VLOOKUP($B470,'[3]1001'!$B$6:$G$5927,2,FALSE),0)</f>
        <v>0</v>
      </c>
      <c r="I470" s="2034">
        <f>IFERROR(VLOOKUP($B470,'[3]1001'!$B$6:$G$5927,4,FALSE),0)</f>
        <v>0</v>
      </c>
      <c r="J470" s="2033">
        <f t="shared" si="42"/>
        <v>0</v>
      </c>
      <c r="K470" s="2035">
        <f>IFERROR(VLOOKUP($B470,'[3]1002'!$B$6:$G$5921,2,FALSE),0)</f>
        <v>0</v>
      </c>
      <c r="L470" s="2036">
        <f>IFERROR(VLOOKUP($B470,'[3]1002'!$B$6:$G$5921,4,FALSE),0)</f>
        <v>0</v>
      </c>
      <c r="M470" s="1763">
        <f t="shared" si="43"/>
        <v>0</v>
      </c>
      <c r="N470" s="2033">
        <f>IFERROR(VLOOKUP($B470,'[3]1003'!$B$6:$G$5921,2,FALSE),0)</f>
        <v>0</v>
      </c>
      <c r="O470" s="2034">
        <f>IFERROR(VLOOKUP($B470,'[3]1003'!$B$6:$G$5921,4,FALSE),0)</f>
        <v>0</v>
      </c>
      <c r="P470" s="2033">
        <f t="shared" si="44"/>
        <v>0</v>
      </c>
      <c r="Q470" s="1763">
        <f>IFERROR(VLOOKUP($B470,'[3]1004'!$B$6:$G$5921,2,FALSE),0)</f>
        <v>0</v>
      </c>
      <c r="R470" s="2036">
        <f>IFERROR(VLOOKUP($B470,'[3]1004'!$B$6:$G$5921,4,FALSE),0)</f>
        <v>0</v>
      </c>
      <c r="S470" s="1763">
        <f t="shared" si="45"/>
        <v>0</v>
      </c>
      <c r="T470" s="2033">
        <f>IFERROR(VLOOKUP($B470,'[3]1006'!$B$6:$G$5921,2,FALSE),0)</f>
        <v>0</v>
      </c>
      <c r="U470" s="2034">
        <f>IFERROR(VLOOKUP($B470,'[3]1006'!$B$6:$G$5921,4,FALSE),0)</f>
        <v>0</v>
      </c>
      <c r="V470" s="2033">
        <f t="shared" si="46"/>
        <v>0</v>
      </c>
      <c r="W470" s="2033">
        <f t="shared" si="47"/>
        <v>0</v>
      </c>
    </row>
    <row r="471" spans="2:23" x14ac:dyDescent="0.15">
      <c r="B471" s="2032">
        <v>111377</v>
      </c>
      <c r="C471" s="2032" t="s">
        <v>2039</v>
      </c>
      <c r="D471" s="2032" t="s">
        <v>1824</v>
      </c>
      <c r="E471" s="2032" t="s">
        <v>94</v>
      </c>
      <c r="F471" s="1288" t="s">
        <v>1325</v>
      </c>
      <c r="G471" s="1288" t="s">
        <v>1296</v>
      </c>
      <c r="H471" s="2033">
        <f>IFERROR(VLOOKUP($B471,'[3]1001'!$B$6:$G$5927,2,FALSE),0)</f>
        <v>0</v>
      </c>
      <c r="I471" s="2034">
        <f>IFERROR(VLOOKUP($B471,'[3]1001'!$B$6:$G$5927,4,FALSE),0)</f>
        <v>0</v>
      </c>
      <c r="J471" s="2033">
        <f t="shared" si="42"/>
        <v>0</v>
      </c>
      <c r="K471" s="2035">
        <f>IFERROR(VLOOKUP($B471,'[3]1002'!$B$6:$G$5921,2,FALSE),0)</f>
        <v>0</v>
      </c>
      <c r="L471" s="2036">
        <f>IFERROR(VLOOKUP($B471,'[3]1002'!$B$6:$G$5921,4,FALSE),0)</f>
        <v>0</v>
      </c>
      <c r="M471" s="1763">
        <f t="shared" si="43"/>
        <v>0</v>
      </c>
      <c r="N471" s="2033">
        <f>IFERROR(VLOOKUP($B471,'[3]1003'!$B$6:$G$5921,2,FALSE),0)</f>
        <v>0</v>
      </c>
      <c r="O471" s="2034">
        <f>IFERROR(VLOOKUP($B471,'[3]1003'!$B$6:$G$5921,4,FALSE),0)</f>
        <v>0</v>
      </c>
      <c r="P471" s="2033">
        <f t="shared" si="44"/>
        <v>0</v>
      </c>
      <c r="Q471" s="1763">
        <f>IFERROR(VLOOKUP($B471,'[3]1004'!$B$6:$G$5921,2,FALSE),0)</f>
        <v>0</v>
      </c>
      <c r="R471" s="2036">
        <f>IFERROR(VLOOKUP($B471,'[3]1004'!$B$6:$G$5921,4,FALSE),0)</f>
        <v>0</v>
      </c>
      <c r="S471" s="1763">
        <f t="shared" si="45"/>
        <v>0</v>
      </c>
      <c r="T471" s="2033">
        <f>IFERROR(VLOOKUP($B471,'[3]1006'!$B$6:$G$5921,2,FALSE),0)</f>
        <v>0</v>
      </c>
      <c r="U471" s="2034">
        <f>IFERROR(VLOOKUP($B471,'[3]1006'!$B$6:$G$5921,4,FALSE),0)</f>
        <v>0</v>
      </c>
      <c r="V471" s="2033">
        <f t="shared" si="46"/>
        <v>0</v>
      </c>
      <c r="W471" s="2033">
        <f t="shared" si="47"/>
        <v>0</v>
      </c>
    </row>
    <row r="472" spans="2:23" x14ac:dyDescent="0.15">
      <c r="B472" s="2032">
        <v>111514</v>
      </c>
      <c r="C472" s="2032" t="s">
        <v>2040</v>
      </c>
      <c r="D472" s="2032" t="s">
        <v>2041</v>
      </c>
      <c r="E472" s="2032" t="s">
        <v>94</v>
      </c>
      <c r="F472" s="1288" t="s">
        <v>1325</v>
      </c>
      <c r="G472" s="1288" t="s">
        <v>1303</v>
      </c>
      <c r="H472" s="2033">
        <f>IFERROR(VLOOKUP($B472,'[3]1001'!$B$6:$G$5927,2,FALSE),0)</f>
        <v>3332901.42</v>
      </c>
      <c r="I472" s="2034">
        <f>IFERROR(VLOOKUP($B472,'[3]1001'!$B$6:$G$5927,4,FALSE),0)</f>
        <v>4</v>
      </c>
      <c r="J472" s="2033">
        <f t="shared" si="42"/>
        <v>833225.35499999998</v>
      </c>
      <c r="K472" s="2035">
        <f>IFERROR(VLOOKUP($B472,'[3]1002'!$B$6:$G$5921,2,FALSE),0)</f>
        <v>0</v>
      </c>
      <c r="L472" s="2036">
        <f>IFERROR(VLOOKUP($B472,'[3]1002'!$B$6:$G$5921,4,FALSE),0)</f>
        <v>0</v>
      </c>
      <c r="M472" s="1763">
        <f t="shared" si="43"/>
        <v>0</v>
      </c>
      <c r="N472" s="2033">
        <f>IFERROR(VLOOKUP($B472,'[3]1003'!$B$6:$G$5921,2,FALSE),0)</f>
        <v>465157.37</v>
      </c>
      <c r="O472" s="2034">
        <f>IFERROR(VLOOKUP($B472,'[3]1003'!$B$6:$G$5921,4,FALSE),0)</f>
        <v>2</v>
      </c>
      <c r="P472" s="2033">
        <f t="shared" si="44"/>
        <v>232578.685</v>
      </c>
      <c r="Q472" s="1763">
        <f>IFERROR(VLOOKUP($B472,'[3]1004'!$B$6:$G$5921,2,FALSE),0)</f>
        <v>833225.36</v>
      </c>
      <c r="R472" s="2036">
        <f>IFERROR(VLOOKUP($B472,'[3]1004'!$B$6:$G$5921,4,FALSE),0)</f>
        <v>1</v>
      </c>
      <c r="S472" s="1763">
        <f t="shared" si="45"/>
        <v>833225.36</v>
      </c>
      <c r="T472" s="2033">
        <f>IFERROR(VLOOKUP($B472,'[3]1006'!$B$6:$G$5921,2,FALSE),0)</f>
        <v>0</v>
      </c>
      <c r="U472" s="2034">
        <f>IFERROR(VLOOKUP($B472,'[3]1006'!$B$6:$G$5921,4,FALSE),0)</f>
        <v>0</v>
      </c>
      <c r="V472" s="2033">
        <f t="shared" si="46"/>
        <v>0</v>
      </c>
      <c r="W472" s="2033">
        <f t="shared" si="47"/>
        <v>7</v>
      </c>
    </row>
    <row r="473" spans="2:23" x14ac:dyDescent="0.15">
      <c r="B473" s="2032">
        <v>111519</v>
      </c>
      <c r="C473" s="2032" t="s">
        <v>2042</v>
      </c>
      <c r="D473" s="2032" t="s">
        <v>2043</v>
      </c>
      <c r="E473" s="2032" t="s">
        <v>94</v>
      </c>
      <c r="F473" s="1288" t="s">
        <v>1300</v>
      </c>
      <c r="G473" s="1288" t="s">
        <v>1303</v>
      </c>
      <c r="H473" s="2033">
        <f>IFERROR(VLOOKUP($B473,'[3]1001'!$B$6:$G$5927,2,FALSE),0)</f>
        <v>0</v>
      </c>
      <c r="I473" s="2034">
        <f>IFERROR(VLOOKUP($B473,'[3]1001'!$B$6:$G$5927,4,FALSE),0)</f>
        <v>0</v>
      </c>
      <c r="J473" s="2033">
        <f t="shared" si="42"/>
        <v>0</v>
      </c>
      <c r="K473" s="2035">
        <f>IFERROR(VLOOKUP($B473,'[3]1002'!$B$6:$G$5921,2,FALSE),0)</f>
        <v>0</v>
      </c>
      <c r="L473" s="2036">
        <f>IFERROR(VLOOKUP($B473,'[3]1002'!$B$6:$G$5921,4,FALSE),0)</f>
        <v>0</v>
      </c>
      <c r="M473" s="1763">
        <f t="shared" si="43"/>
        <v>0</v>
      </c>
      <c r="N473" s="2033">
        <f>IFERROR(VLOOKUP($B473,'[3]1003'!$B$6:$G$5921,2,FALSE),0)</f>
        <v>0</v>
      </c>
      <c r="O473" s="2034">
        <f>IFERROR(VLOOKUP($B473,'[3]1003'!$B$6:$G$5921,4,FALSE),0)</f>
        <v>0</v>
      </c>
      <c r="P473" s="2033">
        <f t="shared" si="44"/>
        <v>0</v>
      </c>
      <c r="Q473" s="1763">
        <f>IFERROR(VLOOKUP($B473,'[3]1004'!$B$6:$G$5921,2,FALSE),0)</f>
        <v>0</v>
      </c>
      <c r="R473" s="2036">
        <f>IFERROR(VLOOKUP($B473,'[3]1004'!$B$6:$G$5921,4,FALSE),0)</f>
        <v>0</v>
      </c>
      <c r="S473" s="1763">
        <f t="shared" si="45"/>
        <v>0</v>
      </c>
      <c r="T473" s="2033">
        <f>IFERROR(VLOOKUP($B473,'[3]1006'!$B$6:$G$5921,2,FALSE),0)</f>
        <v>0</v>
      </c>
      <c r="U473" s="2034">
        <f>IFERROR(VLOOKUP($B473,'[3]1006'!$B$6:$G$5921,4,FALSE),0)</f>
        <v>0</v>
      </c>
      <c r="V473" s="2033">
        <f t="shared" si="46"/>
        <v>0</v>
      </c>
      <c r="W473" s="2033">
        <f t="shared" si="47"/>
        <v>0</v>
      </c>
    </row>
    <row r="474" spans="2:23" x14ac:dyDescent="0.15">
      <c r="B474" s="1288">
        <v>111520</v>
      </c>
      <c r="C474" s="1288" t="s">
        <v>2044</v>
      </c>
      <c r="D474" s="1288"/>
      <c r="E474" s="1288" t="s">
        <v>94</v>
      </c>
      <c r="F474" s="1288" t="s">
        <v>1300</v>
      </c>
      <c r="G474" s="1288" t="s">
        <v>1303</v>
      </c>
      <c r="H474" s="2033">
        <f>IFERROR(VLOOKUP($B474,'[3]1001'!$B$6:$G$5927,2,FALSE),0)</f>
        <v>0</v>
      </c>
      <c r="I474" s="2034">
        <f>IFERROR(VLOOKUP($B474,'[3]1001'!$B$6:$G$5927,4,FALSE),0)</f>
        <v>0</v>
      </c>
      <c r="J474" s="2033">
        <f t="shared" si="42"/>
        <v>0</v>
      </c>
      <c r="K474" s="2035">
        <f>IFERROR(VLOOKUP($B474,'[3]1002'!$B$6:$G$5921,2,FALSE),0)</f>
        <v>0</v>
      </c>
      <c r="L474" s="2036">
        <f>IFERROR(VLOOKUP($B474,'[3]1002'!$B$6:$G$5921,4,FALSE),0)</f>
        <v>0</v>
      </c>
      <c r="M474" s="1763">
        <f t="shared" si="43"/>
        <v>0</v>
      </c>
      <c r="N474" s="2033">
        <f>IFERROR(VLOOKUP($B474,'[3]1003'!$B$6:$G$5921,2,FALSE),0)</f>
        <v>0</v>
      </c>
      <c r="O474" s="2034">
        <f>IFERROR(VLOOKUP($B474,'[3]1003'!$B$6:$G$5921,4,FALSE),0)</f>
        <v>0</v>
      </c>
      <c r="P474" s="2033">
        <f t="shared" si="44"/>
        <v>0</v>
      </c>
      <c r="Q474" s="1763">
        <f>IFERROR(VLOOKUP($B474,'[3]1004'!$B$6:$G$5921,2,FALSE),0)</f>
        <v>0</v>
      </c>
      <c r="R474" s="2036">
        <f>IFERROR(VLOOKUP($B474,'[3]1004'!$B$6:$G$5921,4,FALSE),0)</f>
        <v>0</v>
      </c>
      <c r="S474" s="1763">
        <f t="shared" si="45"/>
        <v>0</v>
      </c>
      <c r="T474" s="2033">
        <f>IFERROR(VLOOKUP($B474,'[3]1006'!$B$6:$G$5921,2,FALSE),0)</f>
        <v>0</v>
      </c>
      <c r="U474" s="2034">
        <f>IFERROR(VLOOKUP($B474,'[3]1006'!$B$6:$G$5921,4,FALSE),0)</f>
        <v>0</v>
      </c>
      <c r="V474" s="2033">
        <f t="shared" si="46"/>
        <v>0</v>
      </c>
      <c r="W474" s="2033">
        <f t="shared" si="47"/>
        <v>0</v>
      </c>
    </row>
    <row r="475" spans="2:23" x14ac:dyDescent="0.15">
      <c r="B475" s="2032">
        <v>111521</v>
      </c>
      <c r="C475" s="2032" t="s">
        <v>2045</v>
      </c>
      <c r="D475" s="2032" t="s">
        <v>2046</v>
      </c>
      <c r="E475" s="2032" t="s">
        <v>94</v>
      </c>
      <c r="F475" s="1288" t="s">
        <v>1300</v>
      </c>
      <c r="G475" s="1288" t="s">
        <v>1303</v>
      </c>
      <c r="H475" s="2033">
        <f>IFERROR(VLOOKUP($B475,'[3]1001'!$B$6:$G$5927,2,FALSE),0)</f>
        <v>0</v>
      </c>
      <c r="I475" s="2034">
        <f>IFERROR(VLOOKUP($B475,'[3]1001'!$B$6:$G$5927,4,FALSE),0)</f>
        <v>0</v>
      </c>
      <c r="J475" s="2033">
        <f t="shared" si="42"/>
        <v>0</v>
      </c>
      <c r="K475" s="2035">
        <f>IFERROR(VLOOKUP($B475,'[3]1002'!$B$6:$G$5921,2,FALSE),0)</f>
        <v>0</v>
      </c>
      <c r="L475" s="2036">
        <f>IFERROR(VLOOKUP($B475,'[3]1002'!$B$6:$G$5921,4,FALSE),0)</f>
        <v>0</v>
      </c>
      <c r="M475" s="1763">
        <f t="shared" si="43"/>
        <v>0</v>
      </c>
      <c r="N475" s="2033">
        <f>IFERROR(VLOOKUP($B475,'[3]1003'!$B$6:$G$5921,2,FALSE),0)</f>
        <v>0</v>
      </c>
      <c r="O475" s="2034">
        <f>IFERROR(VLOOKUP($B475,'[3]1003'!$B$6:$G$5921,4,FALSE),0)</f>
        <v>0</v>
      </c>
      <c r="P475" s="2033">
        <f t="shared" si="44"/>
        <v>0</v>
      </c>
      <c r="Q475" s="1763">
        <f>IFERROR(VLOOKUP($B475,'[3]1004'!$B$6:$G$5921,2,FALSE),0)</f>
        <v>0</v>
      </c>
      <c r="R475" s="2036">
        <f>IFERROR(VLOOKUP($B475,'[3]1004'!$B$6:$G$5921,4,FALSE),0)</f>
        <v>0</v>
      </c>
      <c r="S475" s="1763">
        <f t="shared" si="45"/>
        <v>0</v>
      </c>
      <c r="T475" s="2033">
        <f>IFERROR(VLOOKUP($B475,'[3]1006'!$B$6:$G$5921,2,FALSE),0)</f>
        <v>0</v>
      </c>
      <c r="U475" s="2034">
        <f>IFERROR(VLOOKUP($B475,'[3]1006'!$B$6:$G$5921,4,FALSE),0)</f>
        <v>0</v>
      </c>
      <c r="V475" s="2033">
        <f t="shared" si="46"/>
        <v>0</v>
      </c>
      <c r="W475" s="2033">
        <f t="shared" si="47"/>
        <v>0</v>
      </c>
    </row>
    <row r="476" spans="2:23" x14ac:dyDescent="0.15">
      <c r="B476" s="2032">
        <v>111522</v>
      </c>
      <c r="C476" s="2032" t="s">
        <v>2047</v>
      </c>
      <c r="D476" s="2037" t="s">
        <v>2048</v>
      </c>
      <c r="E476" s="2032" t="s">
        <v>94</v>
      </c>
      <c r="F476" s="1288" t="s">
        <v>1300</v>
      </c>
      <c r="G476" s="1288" t="s">
        <v>1303</v>
      </c>
      <c r="H476" s="2033">
        <f>IFERROR(VLOOKUP($B476,'[3]1001'!$B$6:$G$5927,2,FALSE),0)</f>
        <v>883891.97</v>
      </c>
      <c r="I476" s="2034">
        <f>IFERROR(VLOOKUP($B476,'[3]1001'!$B$6:$G$5927,4,FALSE),0)</f>
        <v>2</v>
      </c>
      <c r="J476" s="2033">
        <f t="shared" si="42"/>
        <v>441945.98499999999</v>
      </c>
      <c r="K476" s="2035">
        <f>IFERROR(VLOOKUP($B476,'[3]1002'!$B$6:$G$5921,2,FALSE),0)</f>
        <v>0</v>
      </c>
      <c r="L476" s="2036">
        <f>IFERROR(VLOOKUP($B476,'[3]1002'!$B$6:$G$5921,4,FALSE),0)</f>
        <v>0</v>
      </c>
      <c r="M476" s="1763">
        <f t="shared" si="43"/>
        <v>0</v>
      </c>
      <c r="N476" s="2033">
        <f>IFERROR(VLOOKUP($B476,'[3]1003'!$B$6:$G$5921,2,FALSE),0)</f>
        <v>0</v>
      </c>
      <c r="O476" s="2034">
        <f>IFERROR(VLOOKUP($B476,'[3]1003'!$B$6:$G$5921,4,FALSE),0)</f>
        <v>0</v>
      </c>
      <c r="P476" s="2033">
        <f t="shared" si="44"/>
        <v>0</v>
      </c>
      <c r="Q476" s="1763">
        <f>IFERROR(VLOOKUP($B476,'[3]1004'!$B$6:$G$5921,2,FALSE),0)</f>
        <v>0</v>
      </c>
      <c r="R476" s="2036">
        <f>IFERROR(VLOOKUP($B476,'[3]1004'!$B$6:$G$5921,4,FALSE),0)</f>
        <v>0</v>
      </c>
      <c r="S476" s="1763">
        <f t="shared" si="45"/>
        <v>0</v>
      </c>
      <c r="T476" s="2033">
        <f>IFERROR(VLOOKUP($B476,'[3]1006'!$B$6:$G$5921,2,FALSE),0)</f>
        <v>0</v>
      </c>
      <c r="U476" s="2034">
        <f>IFERROR(VLOOKUP($B476,'[3]1006'!$B$6:$G$5921,4,FALSE),0)</f>
        <v>0</v>
      </c>
      <c r="V476" s="2033">
        <f t="shared" si="46"/>
        <v>0</v>
      </c>
      <c r="W476" s="2033">
        <f t="shared" si="47"/>
        <v>2</v>
      </c>
    </row>
    <row r="477" spans="2:23" x14ac:dyDescent="0.15">
      <c r="B477" s="2032">
        <v>111656</v>
      </c>
      <c r="C477" s="2032" t="s">
        <v>1733</v>
      </c>
      <c r="D477" s="2037" t="s">
        <v>2049</v>
      </c>
      <c r="E477" s="2032" t="s">
        <v>94</v>
      </c>
      <c r="F477" s="1288" t="s">
        <v>1892</v>
      </c>
      <c r="G477" s="1288" t="s">
        <v>1296</v>
      </c>
      <c r="H477" s="2033">
        <f>IFERROR(VLOOKUP($B477,'[3]1001'!$B$6:$G$5927,2,FALSE),0)</f>
        <v>223316.25</v>
      </c>
      <c r="I477" s="2034">
        <f>IFERROR(VLOOKUP($B477,'[3]1001'!$B$6:$G$5927,4,FALSE),0)</f>
        <v>1</v>
      </c>
      <c r="J477" s="2033">
        <f t="shared" si="42"/>
        <v>223316.25</v>
      </c>
      <c r="K477" s="2035">
        <f>IFERROR(VLOOKUP($B477,'[3]1002'!$B$6:$G$5921,2,FALSE),0)</f>
        <v>0</v>
      </c>
      <c r="L477" s="2036">
        <f>IFERROR(VLOOKUP($B477,'[3]1002'!$B$6:$G$5921,4,FALSE),0)</f>
        <v>0</v>
      </c>
      <c r="M477" s="1763">
        <f t="shared" si="43"/>
        <v>0</v>
      </c>
      <c r="N477" s="2033">
        <f>IFERROR(VLOOKUP($B477,'[3]1003'!$B$6:$G$5921,2,FALSE),0)</f>
        <v>0</v>
      </c>
      <c r="O477" s="2034">
        <f>IFERROR(VLOOKUP($B477,'[3]1003'!$B$6:$G$5921,4,FALSE),0)</f>
        <v>0</v>
      </c>
      <c r="P477" s="2033">
        <f t="shared" si="44"/>
        <v>0</v>
      </c>
      <c r="Q477" s="1763">
        <f>IFERROR(VLOOKUP($B477,'[3]1004'!$B$6:$G$5921,2,FALSE),0)</f>
        <v>0</v>
      </c>
      <c r="R477" s="2036">
        <f>IFERROR(VLOOKUP($B477,'[3]1004'!$B$6:$G$5921,4,FALSE),0)</f>
        <v>0</v>
      </c>
      <c r="S477" s="1763">
        <f t="shared" si="45"/>
        <v>0</v>
      </c>
      <c r="T477" s="2033">
        <f>IFERROR(VLOOKUP($B477,'[3]1006'!$B$6:$G$5921,2,FALSE),0)</f>
        <v>0</v>
      </c>
      <c r="U477" s="2034">
        <f>IFERROR(VLOOKUP($B477,'[3]1006'!$B$6:$G$5921,4,FALSE),0)</f>
        <v>0</v>
      </c>
      <c r="V477" s="2033">
        <f t="shared" si="46"/>
        <v>0</v>
      </c>
      <c r="W477" s="2033">
        <f t="shared" si="47"/>
        <v>1</v>
      </c>
    </row>
    <row r="478" spans="2:23" x14ac:dyDescent="0.15">
      <c r="B478" s="1288">
        <v>112131</v>
      </c>
      <c r="C478" s="1288" t="s">
        <v>2513</v>
      </c>
      <c r="D478" s="1288"/>
      <c r="E478" s="1288" t="s">
        <v>94</v>
      </c>
      <c r="F478" s="1288" t="s">
        <v>1300</v>
      </c>
      <c r="G478" s="1288" t="s">
        <v>1296</v>
      </c>
      <c r="H478" s="2033">
        <f>IFERROR(VLOOKUP($B478,'[3]1001'!$B$6:$G$5927,2,FALSE),0)</f>
        <v>0</v>
      </c>
      <c r="I478" s="2034">
        <f>IFERROR(VLOOKUP($B478,'[3]1001'!$B$6:$G$5927,4,FALSE),0)</f>
        <v>0</v>
      </c>
      <c r="J478" s="2033">
        <f t="shared" si="42"/>
        <v>0</v>
      </c>
      <c r="K478" s="2035">
        <f>IFERROR(VLOOKUP($B478,'[3]1002'!$B$6:$G$5921,2,FALSE),0)</f>
        <v>0</v>
      </c>
      <c r="L478" s="2036">
        <f>IFERROR(VLOOKUP($B478,'[3]1002'!$B$6:$G$5921,4,FALSE),0)</f>
        <v>0</v>
      </c>
      <c r="M478" s="1763">
        <f t="shared" si="43"/>
        <v>0</v>
      </c>
      <c r="N478" s="2033">
        <f>IFERROR(VLOOKUP($B478,'[3]1003'!$B$6:$G$5921,2,FALSE),0)</f>
        <v>0</v>
      </c>
      <c r="O478" s="2034">
        <f>IFERROR(VLOOKUP($B478,'[3]1003'!$B$6:$G$5921,4,FALSE),0)</f>
        <v>0</v>
      </c>
      <c r="P478" s="2033">
        <f t="shared" si="44"/>
        <v>0</v>
      </c>
      <c r="Q478" s="1763">
        <f>IFERROR(VLOOKUP($B478,'[3]1004'!$B$6:$G$5921,2,FALSE),0)</f>
        <v>0</v>
      </c>
      <c r="R478" s="2036">
        <f>IFERROR(VLOOKUP($B478,'[3]1004'!$B$6:$G$5921,4,FALSE),0)</f>
        <v>0</v>
      </c>
      <c r="S478" s="1763">
        <f t="shared" si="45"/>
        <v>0</v>
      </c>
      <c r="T478" s="2033">
        <f>IFERROR(VLOOKUP($B478,'[3]1006'!$B$6:$G$5921,2,FALSE),0)</f>
        <v>0</v>
      </c>
      <c r="U478" s="2034">
        <f>IFERROR(VLOOKUP($B478,'[3]1006'!$B$6:$G$5921,4,FALSE),0)</f>
        <v>0</v>
      </c>
      <c r="V478" s="2033">
        <f t="shared" si="46"/>
        <v>0</v>
      </c>
      <c r="W478" s="2033">
        <f t="shared" si="47"/>
        <v>0</v>
      </c>
    </row>
    <row r="479" spans="2:23" x14ac:dyDescent="0.15">
      <c r="B479" s="1288">
        <v>112201</v>
      </c>
      <c r="C479" s="1288" t="s">
        <v>2514</v>
      </c>
      <c r="D479" s="1288"/>
      <c r="E479" s="1288" t="s">
        <v>94</v>
      </c>
      <c r="F479" s="1288" t="s">
        <v>1300</v>
      </c>
      <c r="G479" s="1288" t="s">
        <v>1296</v>
      </c>
      <c r="H479" s="2033">
        <f>IFERROR(VLOOKUP($B479,'[3]1001'!$B$6:$G$5927,2,FALSE),0)</f>
        <v>0</v>
      </c>
      <c r="I479" s="2034">
        <f>IFERROR(VLOOKUP($B479,'[3]1001'!$B$6:$G$5927,4,FALSE),0)</f>
        <v>0</v>
      </c>
      <c r="J479" s="2033">
        <f t="shared" si="42"/>
        <v>0</v>
      </c>
      <c r="K479" s="2035">
        <f>IFERROR(VLOOKUP($B479,'[3]1002'!$B$6:$G$5921,2,FALSE),0)</f>
        <v>0</v>
      </c>
      <c r="L479" s="2036">
        <f>IFERROR(VLOOKUP($B479,'[3]1002'!$B$6:$G$5921,4,FALSE),0)</f>
        <v>0</v>
      </c>
      <c r="M479" s="1763">
        <f t="shared" si="43"/>
        <v>0</v>
      </c>
      <c r="N479" s="2033">
        <f>IFERROR(VLOOKUP($B479,'[3]1003'!$B$6:$G$5921,2,FALSE),0)</f>
        <v>0</v>
      </c>
      <c r="O479" s="2034">
        <f>IFERROR(VLOOKUP($B479,'[3]1003'!$B$6:$G$5921,4,FALSE),0)</f>
        <v>0</v>
      </c>
      <c r="P479" s="2033">
        <f t="shared" si="44"/>
        <v>0</v>
      </c>
      <c r="Q479" s="1763">
        <f>IFERROR(VLOOKUP($B479,'[3]1004'!$B$6:$G$5921,2,FALSE),0)</f>
        <v>0</v>
      </c>
      <c r="R479" s="2036">
        <f>IFERROR(VLOOKUP($B479,'[3]1004'!$B$6:$G$5921,4,FALSE),0)</f>
        <v>0</v>
      </c>
      <c r="S479" s="1763">
        <f t="shared" si="45"/>
        <v>0</v>
      </c>
      <c r="T479" s="2033">
        <f>IFERROR(VLOOKUP($B479,'[3]1006'!$B$6:$G$5921,2,FALSE),0)</f>
        <v>0</v>
      </c>
      <c r="U479" s="2034">
        <f>IFERROR(VLOOKUP($B479,'[3]1006'!$B$6:$G$5921,4,FALSE),0)</f>
        <v>0</v>
      </c>
      <c r="V479" s="2033">
        <f t="shared" si="46"/>
        <v>0</v>
      </c>
      <c r="W479" s="2033">
        <f t="shared" si="47"/>
        <v>0</v>
      </c>
    </row>
    <row r="480" spans="2:23" x14ac:dyDescent="0.15">
      <c r="B480" s="2032">
        <v>112532</v>
      </c>
      <c r="C480" s="2032" t="s">
        <v>2050</v>
      </c>
      <c r="D480" s="2037" t="s">
        <v>2051</v>
      </c>
      <c r="E480" s="2032" t="s">
        <v>94</v>
      </c>
      <c r="F480" s="1288" t="s">
        <v>1300</v>
      </c>
      <c r="G480" s="1288" t="s">
        <v>1296</v>
      </c>
      <c r="H480" s="2033">
        <f>IFERROR(VLOOKUP($B480,'[3]1001'!$B$6:$G$5927,2,FALSE),0)</f>
        <v>0</v>
      </c>
      <c r="I480" s="2034">
        <f>IFERROR(VLOOKUP($B480,'[3]1001'!$B$6:$G$5927,4,FALSE),0)</f>
        <v>0</v>
      </c>
      <c r="J480" s="2033">
        <f t="shared" si="42"/>
        <v>0</v>
      </c>
      <c r="K480" s="2035">
        <f>IFERROR(VLOOKUP($B480,'[3]1002'!$B$6:$G$5921,2,FALSE),0)</f>
        <v>0</v>
      </c>
      <c r="L480" s="2036">
        <f>IFERROR(VLOOKUP($B480,'[3]1002'!$B$6:$G$5921,4,FALSE),0)</f>
        <v>0</v>
      </c>
      <c r="M480" s="1763">
        <f t="shared" si="43"/>
        <v>0</v>
      </c>
      <c r="N480" s="2033">
        <f>IFERROR(VLOOKUP($B480,'[3]1003'!$B$6:$G$5921,2,FALSE),0)</f>
        <v>0</v>
      </c>
      <c r="O480" s="2034">
        <f>IFERROR(VLOOKUP($B480,'[3]1003'!$B$6:$G$5921,4,FALSE),0)</f>
        <v>0</v>
      </c>
      <c r="P480" s="2033">
        <f t="shared" si="44"/>
        <v>0</v>
      </c>
      <c r="Q480" s="1763">
        <f>IFERROR(VLOOKUP($B480,'[3]1004'!$B$6:$G$5921,2,FALSE),0)</f>
        <v>0</v>
      </c>
      <c r="R480" s="2036">
        <f>IFERROR(VLOOKUP($B480,'[3]1004'!$B$6:$G$5921,4,FALSE),0)</f>
        <v>0</v>
      </c>
      <c r="S480" s="1763">
        <f t="shared" si="45"/>
        <v>0</v>
      </c>
      <c r="T480" s="2033">
        <f>IFERROR(VLOOKUP($B480,'[3]1006'!$B$6:$G$5921,2,FALSE),0)</f>
        <v>0</v>
      </c>
      <c r="U480" s="2034">
        <f>IFERROR(VLOOKUP($B480,'[3]1006'!$B$6:$G$5921,4,FALSE),0)</f>
        <v>0</v>
      </c>
      <c r="V480" s="2033">
        <f t="shared" si="46"/>
        <v>0</v>
      </c>
      <c r="W480" s="2033">
        <f t="shared" si="47"/>
        <v>0</v>
      </c>
    </row>
    <row r="481" spans="2:23" x14ac:dyDescent="0.15">
      <c r="B481" s="2032">
        <v>112533</v>
      </c>
      <c r="C481" s="2032" t="s">
        <v>2052</v>
      </c>
      <c r="D481" s="2037" t="s">
        <v>2052</v>
      </c>
      <c r="E481" s="2032" t="s">
        <v>94</v>
      </c>
      <c r="F481" s="1288" t="s">
        <v>1300</v>
      </c>
      <c r="G481" s="1288" t="s">
        <v>1303</v>
      </c>
      <c r="H481" s="2033">
        <f>IFERROR(VLOOKUP($B481,'[3]1001'!$B$6:$G$5927,2,FALSE),0)</f>
        <v>0</v>
      </c>
      <c r="I481" s="2034">
        <f>IFERROR(VLOOKUP($B481,'[3]1001'!$B$6:$G$5927,4,FALSE),0)</f>
        <v>0</v>
      </c>
      <c r="J481" s="2033">
        <f t="shared" si="42"/>
        <v>0</v>
      </c>
      <c r="K481" s="2035">
        <f>IFERROR(VLOOKUP($B481,'[3]1002'!$B$6:$G$5921,2,FALSE),0)</f>
        <v>1062989.3899999999</v>
      </c>
      <c r="L481" s="2036">
        <f>IFERROR(VLOOKUP($B481,'[3]1002'!$B$6:$G$5921,4,FALSE),0)</f>
        <v>98</v>
      </c>
      <c r="M481" s="1763">
        <f t="shared" si="43"/>
        <v>10846.830510204081</v>
      </c>
      <c r="N481" s="2033">
        <f>IFERROR(VLOOKUP($B481,'[3]1003'!$B$6:$G$5921,2,FALSE),0)</f>
        <v>0</v>
      </c>
      <c r="O481" s="2034">
        <f>IFERROR(VLOOKUP($B481,'[3]1003'!$B$6:$G$5921,4,FALSE),0)</f>
        <v>0</v>
      </c>
      <c r="P481" s="2033">
        <f t="shared" si="44"/>
        <v>0</v>
      </c>
      <c r="Q481" s="1763">
        <f>IFERROR(VLOOKUP($B481,'[3]1004'!$B$6:$G$5921,2,FALSE),0)</f>
        <v>0</v>
      </c>
      <c r="R481" s="2036">
        <f>IFERROR(VLOOKUP($B481,'[3]1004'!$B$6:$G$5921,4,FALSE),0)</f>
        <v>0</v>
      </c>
      <c r="S481" s="1763">
        <f t="shared" si="45"/>
        <v>0</v>
      </c>
      <c r="T481" s="2033">
        <f>IFERROR(VLOOKUP($B481,'[3]1006'!$B$6:$G$5921,2,FALSE),0)</f>
        <v>0</v>
      </c>
      <c r="U481" s="2034">
        <f>IFERROR(VLOOKUP($B481,'[3]1006'!$B$6:$G$5921,4,FALSE),0)</f>
        <v>0</v>
      </c>
      <c r="V481" s="2033">
        <f t="shared" si="46"/>
        <v>0</v>
      </c>
      <c r="W481" s="2033">
        <f t="shared" si="47"/>
        <v>98</v>
      </c>
    </row>
    <row r="482" spans="2:23" x14ac:dyDescent="0.15">
      <c r="B482" s="2032">
        <v>112534</v>
      </c>
      <c r="C482" s="2032" t="s">
        <v>2053</v>
      </c>
      <c r="D482" s="2037" t="s">
        <v>2053</v>
      </c>
      <c r="E482" s="2032" t="s">
        <v>94</v>
      </c>
      <c r="F482" s="1288" t="s">
        <v>1300</v>
      </c>
      <c r="G482" s="1288" t="s">
        <v>1303</v>
      </c>
      <c r="H482" s="2033">
        <f>IFERROR(VLOOKUP($B482,'[3]1001'!$B$6:$G$5927,2,FALSE),0)</f>
        <v>0</v>
      </c>
      <c r="I482" s="2034">
        <f>IFERROR(VLOOKUP($B482,'[3]1001'!$B$6:$G$5927,4,FALSE),0)</f>
        <v>0</v>
      </c>
      <c r="J482" s="2033">
        <f t="shared" si="42"/>
        <v>0</v>
      </c>
      <c r="K482" s="2035">
        <f>IFERROR(VLOOKUP($B482,'[3]1002'!$B$6:$G$5921,2,FALSE),0)</f>
        <v>15666.96</v>
      </c>
      <c r="L482" s="2036">
        <f>IFERROR(VLOOKUP($B482,'[3]1002'!$B$6:$G$5921,4,FALSE),0)</f>
        <v>8</v>
      </c>
      <c r="M482" s="1763">
        <f t="shared" si="43"/>
        <v>1958.37</v>
      </c>
      <c r="N482" s="2033">
        <f>IFERROR(VLOOKUP($B482,'[3]1003'!$B$6:$G$5921,2,FALSE),0)</f>
        <v>0</v>
      </c>
      <c r="O482" s="2034">
        <f>IFERROR(VLOOKUP($B482,'[3]1003'!$B$6:$G$5921,4,FALSE),0)</f>
        <v>0</v>
      </c>
      <c r="P482" s="2033">
        <f t="shared" si="44"/>
        <v>0</v>
      </c>
      <c r="Q482" s="1763">
        <f>IFERROR(VLOOKUP($B482,'[3]1004'!$B$6:$G$5921,2,FALSE),0)</f>
        <v>0</v>
      </c>
      <c r="R482" s="2036">
        <f>IFERROR(VLOOKUP($B482,'[3]1004'!$B$6:$G$5921,4,FALSE),0)</f>
        <v>0</v>
      </c>
      <c r="S482" s="1763">
        <f t="shared" si="45"/>
        <v>0</v>
      </c>
      <c r="T482" s="2033">
        <f>IFERROR(VLOOKUP($B482,'[3]1006'!$B$6:$G$5921,2,FALSE),0)</f>
        <v>0</v>
      </c>
      <c r="U482" s="2034">
        <f>IFERROR(VLOOKUP($B482,'[3]1006'!$B$6:$G$5921,4,FALSE),0)</f>
        <v>0</v>
      </c>
      <c r="V482" s="2033">
        <f t="shared" si="46"/>
        <v>0</v>
      </c>
      <c r="W482" s="2033">
        <f t="shared" si="47"/>
        <v>8</v>
      </c>
    </row>
    <row r="483" spans="2:23" x14ac:dyDescent="0.15">
      <c r="B483" s="2032">
        <v>112535</v>
      </c>
      <c r="C483" s="2032" t="s">
        <v>2054</v>
      </c>
      <c r="D483" s="2037" t="s">
        <v>2055</v>
      </c>
      <c r="E483" s="2032" t="s">
        <v>94</v>
      </c>
      <c r="F483" s="1288" t="s">
        <v>1300</v>
      </c>
      <c r="G483" s="1288" t="s">
        <v>1303</v>
      </c>
      <c r="H483" s="2033">
        <f>IFERROR(VLOOKUP($B483,'[3]1001'!$B$6:$G$5927,2,FALSE),0)</f>
        <v>0</v>
      </c>
      <c r="I483" s="2034">
        <f>IFERROR(VLOOKUP($B483,'[3]1001'!$B$6:$G$5927,4,FALSE),0)</f>
        <v>0</v>
      </c>
      <c r="J483" s="2033">
        <f t="shared" si="42"/>
        <v>0</v>
      </c>
      <c r="K483" s="2035">
        <f>IFERROR(VLOOKUP($B483,'[3]1002'!$B$6:$G$5921,2,FALSE),0)</f>
        <v>0</v>
      </c>
      <c r="L483" s="2036">
        <f>IFERROR(VLOOKUP($B483,'[3]1002'!$B$6:$G$5921,4,FALSE),0)</f>
        <v>0</v>
      </c>
      <c r="M483" s="1763">
        <f t="shared" si="43"/>
        <v>0</v>
      </c>
      <c r="N483" s="2033">
        <f>IFERROR(VLOOKUP($B483,'[3]1003'!$B$6:$G$5921,2,FALSE),0)</f>
        <v>40156.42</v>
      </c>
      <c r="O483" s="2034">
        <f>IFERROR(VLOOKUP($B483,'[3]1003'!$B$6:$G$5921,4,FALSE),0)</f>
        <v>5</v>
      </c>
      <c r="P483" s="2033">
        <f t="shared" si="44"/>
        <v>8031.2839999999997</v>
      </c>
      <c r="Q483" s="1763">
        <f>IFERROR(VLOOKUP($B483,'[3]1004'!$B$6:$G$5921,2,FALSE),0)</f>
        <v>0</v>
      </c>
      <c r="R483" s="2036">
        <f>IFERROR(VLOOKUP($B483,'[3]1004'!$B$6:$G$5921,4,FALSE),0)</f>
        <v>0</v>
      </c>
      <c r="S483" s="1763">
        <f t="shared" si="45"/>
        <v>0</v>
      </c>
      <c r="T483" s="2033">
        <f>IFERROR(VLOOKUP($B483,'[3]1006'!$B$6:$G$5921,2,FALSE),0)</f>
        <v>0</v>
      </c>
      <c r="U483" s="2034">
        <f>IFERROR(VLOOKUP($B483,'[3]1006'!$B$6:$G$5921,4,FALSE),0)</f>
        <v>0</v>
      </c>
      <c r="V483" s="2033">
        <f t="shared" si="46"/>
        <v>0</v>
      </c>
      <c r="W483" s="2033">
        <f t="shared" si="47"/>
        <v>5</v>
      </c>
    </row>
    <row r="484" spans="2:23" x14ac:dyDescent="0.15">
      <c r="B484" s="1288">
        <v>113595</v>
      </c>
      <c r="C484" s="1288" t="s">
        <v>2515</v>
      </c>
      <c r="D484" s="1288"/>
      <c r="E484" s="1288" t="s">
        <v>94</v>
      </c>
      <c r="F484" s="1288" t="s">
        <v>2516</v>
      </c>
      <c r="G484" s="1288" t="s">
        <v>1296</v>
      </c>
      <c r="H484" s="2033">
        <f>IFERROR(VLOOKUP($B484,'[3]1001'!$B$6:$G$5927,2,FALSE),0)</f>
        <v>0</v>
      </c>
      <c r="I484" s="2034">
        <f>IFERROR(VLOOKUP($B484,'[3]1001'!$B$6:$G$5927,4,FALSE),0)</f>
        <v>0</v>
      </c>
      <c r="J484" s="2033">
        <f t="shared" si="42"/>
        <v>0</v>
      </c>
      <c r="K484" s="2035">
        <f>IFERROR(VLOOKUP($B484,'[3]1002'!$B$6:$G$5921,2,FALSE),0)</f>
        <v>0</v>
      </c>
      <c r="L484" s="2036">
        <f>IFERROR(VLOOKUP($B484,'[3]1002'!$B$6:$G$5921,4,FALSE),0)</f>
        <v>0</v>
      </c>
      <c r="M484" s="1763">
        <f t="shared" si="43"/>
        <v>0</v>
      </c>
      <c r="N484" s="2033">
        <f>IFERROR(VLOOKUP($B484,'[3]1003'!$B$6:$G$5921,2,FALSE),0)</f>
        <v>0</v>
      </c>
      <c r="O484" s="2034">
        <f>IFERROR(VLOOKUP($B484,'[3]1003'!$B$6:$G$5921,4,FALSE),0)</f>
        <v>0</v>
      </c>
      <c r="P484" s="2033">
        <f t="shared" si="44"/>
        <v>0</v>
      </c>
      <c r="Q484" s="1763">
        <f>IFERROR(VLOOKUP($B484,'[3]1004'!$B$6:$G$5921,2,FALSE),0)</f>
        <v>0</v>
      </c>
      <c r="R484" s="2036">
        <f>IFERROR(VLOOKUP($B484,'[3]1004'!$B$6:$G$5921,4,FALSE),0)</f>
        <v>0</v>
      </c>
      <c r="S484" s="1763">
        <f t="shared" si="45"/>
        <v>0</v>
      </c>
      <c r="T484" s="2033">
        <f>IFERROR(VLOOKUP($B484,'[3]1006'!$B$6:$G$5921,2,FALSE),0)</f>
        <v>0</v>
      </c>
      <c r="U484" s="2034">
        <f>IFERROR(VLOOKUP($B484,'[3]1006'!$B$6:$G$5921,4,FALSE),0)</f>
        <v>0</v>
      </c>
      <c r="V484" s="2033">
        <f t="shared" si="46"/>
        <v>0</v>
      </c>
      <c r="W484" s="2033">
        <f t="shared" si="47"/>
        <v>0</v>
      </c>
    </row>
    <row r="485" spans="2:23" x14ac:dyDescent="0.15">
      <c r="B485" s="1288">
        <v>113596</v>
      </c>
      <c r="C485" s="1288" t="s">
        <v>2517</v>
      </c>
      <c r="D485" s="1288"/>
      <c r="E485" s="1288" t="s">
        <v>94</v>
      </c>
      <c r="F485" s="1288" t="s">
        <v>2518</v>
      </c>
      <c r="G485" s="1288" t="s">
        <v>1303</v>
      </c>
      <c r="H485" s="2033">
        <f>IFERROR(VLOOKUP($B485,'[3]1001'!$B$6:$G$5927,2,FALSE),0)</f>
        <v>0</v>
      </c>
      <c r="I485" s="2034">
        <f>IFERROR(VLOOKUP($B485,'[3]1001'!$B$6:$G$5927,4,FALSE),0)</f>
        <v>0</v>
      </c>
      <c r="J485" s="2033">
        <f t="shared" si="42"/>
        <v>0</v>
      </c>
      <c r="K485" s="2035">
        <f>IFERROR(VLOOKUP($B485,'[3]1002'!$B$6:$G$5921,2,FALSE),0)</f>
        <v>0</v>
      </c>
      <c r="L485" s="2036">
        <f>IFERROR(VLOOKUP($B485,'[3]1002'!$B$6:$G$5921,4,FALSE),0)</f>
        <v>0</v>
      </c>
      <c r="M485" s="1763">
        <f t="shared" si="43"/>
        <v>0</v>
      </c>
      <c r="N485" s="2033">
        <f>IFERROR(VLOOKUP($B485,'[3]1003'!$B$6:$G$5921,2,FALSE),0)</f>
        <v>0</v>
      </c>
      <c r="O485" s="2034">
        <f>IFERROR(VLOOKUP($B485,'[3]1003'!$B$6:$G$5921,4,FALSE),0)</f>
        <v>0</v>
      </c>
      <c r="P485" s="2033">
        <f t="shared" si="44"/>
        <v>0</v>
      </c>
      <c r="Q485" s="1763">
        <f>IFERROR(VLOOKUP($B485,'[3]1004'!$B$6:$G$5921,2,FALSE),0)</f>
        <v>0</v>
      </c>
      <c r="R485" s="2036">
        <f>IFERROR(VLOOKUP($B485,'[3]1004'!$B$6:$G$5921,4,FALSE),0)</f>
        <v>0</v>
      </c>
      <c r="S485" s="1763">
        <f t="shared" si="45"/>
        <v>0</v>
      </c>
      <c r="T485" s="2033">
        <f>IFERROR(VLOOKUP($B485,'[3]1006'!$B$6:$G$5921,2,FALSE),0)</f>
        <v>0</v>
      </c>
      <c r="U485" s="2034">
        <f>IFERROR(VLOOKUP($B485,'[3]1006'!$B$6:$G$5921,4,FALSE),0)</f>
        <v>0</v>
      </c>
      <c r="V485" s="2033">
        <f t="shared" si="46"/>
        <v>0</v>
      </c>
      <c r="W485" s="2033">
        <f t="shared" si="47"/>
        <v>0</v>
      </c>
    </row>
    <row r="486" spans="2:23" x14ac:dyDescent="0.15">
      <c r="B486" s="1288">
        <v>113597</v>
      </c>
      <c r="C486" s="1288" t="s">
        <v>2519</v>
      </c>
      <c r="D486" s="1288"/>
      <c r="E486" s="1288" t="s">
        <v>94</v>
      </c>
      <c r="F486" s="1288" t="s">
        <v>1337</v>
      </c>
      <c r="G486" s="1288" t="s">
        <v>1303</v>
      </c>
      <c r="H486" s="2033">
        <f>IFERROR(VLOOKUP($B486,'[3]1001'!$B$6:$G$5927,2,FALSE),0)</f>
        <v>0</v>
      </c>
      <c r="I486" s="2034">
        <f>IFERROR(VLOOKUP($B486,'[3]1001'!$B$6:$G$5927,4,FALSE),0)</f>
        <v>0</v>
      </c>
      <c r="J486" s="2033">
        <f t="shared" si="42"/>
        <v>0</v>
      </c>
      <c r="K486" s="2035">
        <f>IFERROR(VLOOKUP($B486,'[3]1002'!$B$6:$G$5921,2,FALSE),0)</f>
        <v>0</v>
      </c>
      <c r="L486" s="2036">
        <f>IFERROR(VLOOKUP($B486,'[3]1002'!$B$6:$G$5921,4,FALSE),0)</f>
        <v>0</v>
      </c>
      <c r="M486" s="1763">
        <f t="shared" si="43"/>
        <v>0</v>
      </c>
      <c r="N486" s="2033">
        <f>IFERROR(VLOOKUP($B486,'[3]1003'!$B$6:$G$5921,2,FALSE),0)</f>
        <v>0</v>
      </c>
      <c r="O486" s="2034">
        <f>IFERROR(VLOOKUP($B486,'[3]1003'!$B$6:$G$5921,4,FALSE),0)</f>
        <v>0</v>
      </c>
      <c r="P486" s="2033">
        <f t="shared" si="44"/>
        <v>0</v>
      </c>
      <c r="Q486" s="1763">
        <f>IFERROR(VLOOKUP($B486,'[3]1004'!$B$6:$G$5921,2,FALSE),0)</f>
        <v>0</v>
      </c>
      <c r="R486" s="2036">
        <f>IFERROR(VLOOKUP($B486,'[3]1004'!$B$6:$G$5921,4,FALSE),0)</f>
        <v>0</v>
      </c>
      <c r="S486" s="1763">
        <f t="shared" si="45"/>
        <v>0</v>
      </c>
      <c r="T486" s="2033">
        <f>IFERROR(VLOOKUP($B486,'[3]1006'!$B$6:$G$5921,2,FALSE),0)</f>
        <v>0</v>
      </c>
      <c r="U486" s="2034">
        <f>IFERROR(VLOOKUP($B486,'[3]1006'!$B$6:$G$5921,4,FALSE),0)</f>
        <v>0</v>
      </c>
      <c r="V486" s="2033">
        <f t="shared" si="46"/>
        <v>0</v>
      </c>
      <c r="W486" s="2033">
        <f t="shared" si="47"/>
        <v>0</v>
      </c>
    </row>
    <row r="487" spans="2:23" x14ac:dyDescent="0.15">
      <c r="B487" s="1288">
        <v>113598</v>
      </c>
      <c r="C487" s="1288" t="s">
        <v>2520</v>
      </c>
      <c r="D487" s="1288"/>
      <c r="E487" s="1288" t="s">
        <v>94</v>
      </c>
      <c r="F487" s="1288" t="s">
        <v>1337</v>
      </c>
      <c r="G487" s="1288" t="s">
        <v>1303</v>
      </c>
      <c r="H487" s="2033">
        <f>IFERROR(VLOOKUP($B487,'[3]1001'!$B$6:$G$5927,2,FALSE),0)</f>
        <v>0</v>
      </c>
      <c r="I487" s="2034">
        <f>IFERROR(VLOOKUP($B487,'[3]1001'!$B$6:$G$5927,4,FALSE),0)</f>
        <v>0</v>
      </c>
      <c r="J487" s="2033">
        <f t="shared" si="42"/>
        <v>0</v>
      </c>
      <c r="K487" s="2035">
        <f>IFERROR(VLOOKUP($B487,'[3]1002'!$B$6:$G$5921,2,FALSE),0)</f>
        <v>0</v>
      </c>
      <c r="L487" s="2036">
        <f>IFERROR(VLOOKUP($B487,'[3]1002'!$B$6:$G$5921,4,FALSE),0)</f>
        <v>0</v>
      </c>
      <c r="M487" s="1763">
        <f t="shared" si="43"/>
        <v>0</v>
      </c>
      <c r="N487" s="2033">
        <f>IFERROR(VLOOKUP($B487,'[3]1003'!$B$6:$G$5921,2,FALSE),0)</f>
        <v>0</v>
      </c>
      <c r="O487" s="2034">
        <f>IFERROR(VLOOKUP($B487,'[3]1003'!$B$6:$G$5921,4,FALSE),0)</f>
        <v>0</v>
      </c>
      <c r="P487" s="2033">
        <f t="shared" si="44"/>
        <v>0</v>
      </c>
      <c r="Q487" s="1763">
        <f>IFERROR(VLOOKUP($B487,'[3]1004'!$B$6:$G$5921,2,FALSE),0)</f>
        <v>0</v>
      </c>
      <c r="R487" s="2036">
        <f>IFERROR(VLOOKUP($B487,'[3]1004'!$B$6:$G$5921,4,FALSE),0)</f>
        <v>0</v>
      </c>
      <c r="S487" s="1763">
        <f t="shared" si="45"/>
        <v>0</v>
      </c>
      <c r="T487" s="2033">
        <f>IFERROR(VLOOKUP($B487,'[3]1006'!$B$6:$G$5921,2,FALSE),0)</f>
        <v>0</v>
      </c>
      <c r="U487" s="2034">
        <f>IFERROR(VLOOKUP($B487,'[3]1006'!$B$6:$G$5921,4,FALSE),0)</f>
        <v>0</v>
      </c>
      <c r="V487" s="2033">
        <f t="shared" si="46"/>
        <v>0</v>
      </c>
      <c r="W487" s="2033">
        <f t="shared" si="47"/>
        <v>0</v>
      </c>
    </row>
    <row r="488" spans="2:23" x14ac:dyDescent="0.15">
      <c r="B488" s="1288">
        <v>113599</v>
      </c>
      <c r="C488" s="1288" t="s">
        <v>2521</v>
      </c>
      <c r="D488" s="1288"/>
      <c r="E488" s="1288" t="s">
        <v>94</v>
      </c>
      <c r="F488" s="1288" t="s">
        <v>1337</v>
      </c>
      <c r="G488" s="1288" t="s">
        <v>1303</v>
      </c>
      <c r="H488" s="2033">
        <f>IFERROR(VLOOKUP($B488,'[3]1001'!$B$6:$G$5927,2,FALSE),0)</f>
        <v>0</v>
      </c>
      <c r="I488" s="2034">
        <f>IFERROR(VLOOKUP($B488,'[3]1001'!$B$6:$G$5927,4,FALSE),0)</f>
        <v>0</v>
      </c>
      <c r="J488" s="2033">
        <f t="shared" si="42"/>
        <v>0</v>
      </c>
      <c r="K488" s="2035">
        <f>IFERROR(VLOOKUP($B488,'[3]1002'!$B$6:$G$5921,2,FALSE),0)</f>
        <v>0</v>
      </c>
      <c r="L488" s="2036">
        <f>IFERROR(VLOOKUP($B488,'[3]1002'!$B$6:$G$5921,4,FALSE),0)</f>
        <v>0</v>
      </c>
      <c r="M488" s="1763">
        <f t="shared" si="43"/>
        <v>0</v>
      </c>
      <c r="N488" s="2033">
        <f>IFERROR(VLOOKUP($B488,'[3]1003'!$B$6:$G$5921,2,FALSE),0)</f>
        <v>0</v>
      </c>
      <c r="O488" s="2034">
        <f>IFERROR(VLOOKUP($B488,'[3]1003'!$B$6:$G$5921,4,FALSE),0)</f>
        <v>0</v>
      </c>
      <c r="P488" s="2033">
        <f t="shared" si="44"/>
        <v>0</v>
      </c>
      <c r="Q488" s="1763">
        <f>IFERROR(VLOOKUP($B488,'[3]1004'!$B$6:$G$5921,2,FALSE),0)</f>
        <v>0</v>
      </c>
      <c r="R488" s="2036">
        <f>IFERROR(VLOOKUP($B488,'[3]1004'!$B$6:$G$5921,4,FALSE),0)</f>
        <v>0</v>
      </c>
      <c r="S488" s="1763">
        <f t="shared" si="45"/>
        <v>0</v>
      </c>
      <c r="T488" s="2033">
        <f>IFERROR(VLOOKUP($B488,'[3]1006'!$B$6:$G$5921,2,FALSE),0)</f>
        <v>0</v>
      </c>
      <c r="U488" s="2034">
        <f>IFERROR(VLOOKUP($B488,'[3]1006'!$B$6:$G$5921,4,FALSE),0)</f>
        <v>0</v>
      </c>
      <c r="V488" s="2033">
        <f t="shared" si="46"/>
        <v>0</v>
      </c>
      <c r="W488" s="2033">
        <f t="shared" si="47"/>
        <v>0</v>
      </c>
    </row>
    <row r="489" spans="2:23" x14ac:dyDescent="0.15">
      <c r="B489" s="1288">
        <v>113600</v>
      </c>
      <c r="C489" s="1288" t="s">
        <v>2522</v>
      </c>
      <c r="D489" s="1288"/>
      <c r="E489" s="1288" t="s">
        <v>94</v>
      </c>
      <c r="F489" s="1288" t="s">
        <v>1337</v>
      </c>
      <c r="G489" s="1288" t="s">
        <v>1303</v>
      </c>
      <c r="H489" s="2033">
        <f>IFERROR(VLOOKUP($B489,'[3]1001'!$B$6:$G$5927,2,FALSE),0)</f>
        <v>0</v>
      </c>
      <c r="I489" s="2034">
        <f>IFERROR(VLOOKUP($B489,'[3]1001'!$B$6:$G$5927,4,FALSE),0)</f>
        <v>0</v>
      </c>
      <c r="J489" s="2033">
        <f t="shared" si="42"/>
        <v>0</v>
      </c>
      <c r="K489" s="2035">
        <f>IFERROR(VLOOKUP($B489,'[3]1002'!$B$6:$G$5921,2,FALSE),0)</f>
        <v>0</v>
      </c>
      <c r="L489" s="2036">
        <f>IFERROR(VLOOKUP($B489,'[3]1002'!$B$6:$G$5921,4,FALSE),0)</f>
        <v>0</v>
      </c>
      <c r="M489" s="1763">
        <f t="shared" si="43"/>
        <v>0</v>
      </c>
      <c r="N489" s="2033">
        <f>IFERROR(VLOOKUP($B489,'[3]1003'!$B$6:$G$5921,2,FALSE),0)</f>
        <v>0</v>
      </c>
      <c r="O489" s="2034">
        <f>IFERROR(VLOOKUP($B489,'[3]1003'!$B$6:$G$5921,4,FALSE),0)</f>
        <v>0</v>
      </c>
      <c r="P489" s="2033">
        <f t="shared" si="44"/>
        <v>0</v>
      </c>
      <c r="Q489" s="1763">
        <f>IFERROR(VLOOKUP($B489,'[3]1004'!$B$6:$G$5921,2,FALSE),0)</f>
        <v>0</v>
      </c>
      <c r="R489" s="2036">
        <f>IFERROR(VLOOKUP($B489,'[3]1004'!$B$6:$G$5921,4,FALSE),0)</f>
        <v>0</v>
      </c>
      <c r="S489" s="1763">
        <f t="shared" si="45"/>
        <v>0</v>
      </c>
      <c r="T489" s="2033">
        <f>IFERROR(VLOOKUP($B489,'[3]1006'!$B$6:$G$5921,2,FALSE),0)</f>
        <v>0</v>
      </c>
      <c r="U489" s="2034">
        <f>IFERROR(VLOOKUP($B489,'[3]1006'!$B$6:$G$5921,4,FALSE),0)</f>
        <v>0</v>
      </c>
      <c r="V489" s="2033">
        <f t="shared" si="46"/>
        <v>0</v>
      </c>
      <c r="W489" s="2033">
        <f t="shared" si="47"/>
        <v>0</v>
      </c>
    </row>
    <row r="490" spans="2:23" x14ac:dyDescent="0.15">
      <c r="B490" s="1288">
        <v>113601</v>
      </c>
      <c r="C490" s="1288" t="s">
        <v>2523</v>
      </c>
      <c r="D490" s="1288"/>
      <c r="E490" s="1288" t="s">
        <v>94</v>
      </c>
      <c r="F490" s="1288" t="s">
        <v>1337</v>
      </c>
      <c r="G490" s="1288" t="s">
        <v>1303</v>
      </c>
      <c r="H490" s="2033">
        <f>IFERROR(VLOOKUP($B490,'[3]1001'!$B$6:$G$5927,2,FALSE),0)</f>
        <v>0</v>
      </c>
      <c r="I490" s="2034">
        <f>IFERROR(VLOOKUP($B490,'[3]1001'!$B$6:$G$5927,4,FALSE),0)</f>
        <v>0</v>
      </c>
      <c r="J490" s="2033">
        <f t="shared" si="42"/>
        <v>0</v>
      </c>
      <c r="K490" s="2035">
        <f>IFERROR(VLOOKUP($B490,'[3]1002'!$B$6:$G$5921,2,FALSE),0)</f>
        <v>0</v>
      </c>
      <c r="L490" s="2036">
        <f>IFERROR(VLOOKUP($B490,'[3]1002'!$B$6:$G$5921,4,FALSE),0)</f>
        <v>0</v>
      </c>
      <c r="M490" s="1763">
        <f t="shared" si="43"/>
        <v>0</v>
      </c>
      <c r="N490" s="2033">
        <f>IFERROR(VLOOKUP($B490,'[3]1003'!$B$6:$G$5921,2,FALSE),0)</f>
        <v>0</v>
      </c>
      <c r="O490" s="2034">
        <f>IFERROR(VLOOKUP($B490,'[3]1003'!$B$6:$G$5921,4,FALSE),0)</f>
        <v>0</v>
      </c>
      <c r="P490" s="2033">
        <f t="shared" si="44"/>
        <v>0</v>
      </c>
      <c r="Q490" s="1763">
        <f>IFERROR(VLOOKUP($B490,'[3]1004'!$B$6:$G$5921,2,FALSE),0)</f>
        <v>0</v>
      </c>
      <c r="R490" s="2036">
        <f>IFERROR(VLOOKUP($B490,'[3]1004'!$B$6:$G$5921,4,FALSE),0)</f>
        <v>0</v>
      </c>
      <c r="S490" s="1763">
        <f t="shared" si="45"/>
        <v>0</v>
      </c>
      <c r="T490" s="2033">
        <f>IFERROR(VLOOKUP($B490,'[3]1006'!$B$6:$G$5921,2,FALSE),0)</f>
        <v>0</v>
      </c>
      <c r="U490" s="2034">
        <f>IFERROR(VLOOKUP($B490,'[3]1006'!$B$6:$G$5921,4,FALSE),0)</f>
        <v>0</v>
      </c>
      <c r="V490" s="2033">
        <f t="shared" si="46"/>
        <v>0</v>
      </c>
      <c r="W490" s="2033">
        <f t="shared" si="47"/>
        <v>0</v>
      </c>
    </row>
    <row r="491" spans="2:23" x14ac:dyDescent="0.15">
      <c r="B491" s="1288">
        <v>113602</v>
      </c>
      <c r="C491" s="1288" t="s">
        <v>2524</v>
      </c>
      <c r="D491" s="1288"/>
      <c r="E491" s="1288" t="s">
        <v>94</v>
      </c>
      <c r="F491" s="1288" t="s">
        <v>1337</v>
      </c>
      <c r="G491" s="1288" t="s">
        <v>1303</v>
      </c>
      <c r="H491" s="2033">
        <f>IFERROR(VLOOKUP($B491,'[3]1001'!$B$6:$G$5927,2,FALSE),0)</f>
        <v>0</v>
      </c>
      <c r="I491" s="2034">
        <f>IFERROR(VLOOKUP($B491,'[3]1001'!$B$6:$G$5927,4,FALSE),0)</f>
        <v>0</v>
      </c>
      <c r="J491" s="2033">
        <f t="shared" si="42"/>
        <v>0</v>
      </c>
      <c r="K491" s="2035">
        <f>IFERROR(VLOOKUP($B491,'[3]1002'!$B$6:$G$5921,2,FALSE),0)</f>
        <v>0</v>
      </c>
      <c r="L491" s="2036">
        <f>IFERROR(VLOOKUP($B491,'[3]1002'!$B$6:$G$5921,4,FALSE),0)</f>
        <v>0</v>
      </c>
      <c r="M491" s="1763">
        <f t="shared" si="43"/>
        <v>0</v>
      </c>
      <c r="N491" s="2033">
        <f>IFERROR(VLOOKUP($B491,'[3]1003'!$B$6:$G$5921,2,FALSE),0)</f>
        <v>0</v>
      </c>
      <c r="O491" s="2034">
        <f>IFERROR(VLOOKUP($B491,'[3]1003'!$B$6:$G$5921,4,FALSE),0)</f>
        <v>0</v>
      </c>
      <c r="P491" s="2033">
        <f t="shared" si="44"/>
        <v>0</v>
      </c>
      <c r="Q491" s="1763">
        <f>IFERROR(VLOOKUP($B491,'[3]1004'!$B$6:$G$5921,2,FALSE),0)</f>
        <v>0</v>
      </c>
      <c r="R491" s="2036">
        <f>IFERROR(VLOOKUP($B491,'[3]1004'!$B$6:$G$5921,4,FALSE),0)</f>
        <v>0</v>
      </c>
      <c r="S491" s="1763">
        <f t="shared" si="45"/>
        <v>0</v>
      </c>
      <c r="T491" s="2033">
        <f>IFERROR(VLOOKUP($B491,'[3]1006'!$B$6:$G$5921,2,FALSE),0)</f>
        <v>0</v>
      </c>
      <c r="U491" s="2034">
        <f>IFERROR(VLOOKUP($B491,'[3]1006'!$B$6:$G$5921,4,FALSE),0)</f>
        <v>0</v>
      </c>
      <c r="V491" s="2033">
        <f t="shared" si="46"/>
        <v>0</v>
      </c>
      <c r="W491" s="2033">
        <f t="shared" si="47"/>
        <v>0</v>
      </c>
    </row>
    <row r="492" spans="2:23" x14ac:dyDescent="0.15">
      <c r="B492" s="1288">
        <v>113603</v>
      </c>
      <c r="C492" s="1288" t="s">
        <v>2525</v>
      </c>
      <c r="D492" s="1288"/>
      <c r="E492" s="1288" t="s">
        <v>94</v>
      </c>
      <c r="F492" s="1288" t="s">
        <v>1337</v>
      </c>
      <c r="G492" s="1288" t="s">
        <v>1303</v>
      </c>
      <c r="H492" s="2033">
        <f>IFERROR(VLOOKUP($B492,'[3]1001'!$B$6:$G$5927,2,FALSE),0)</f>
        <v>0</v>
      </c>
      <c r="I492" s="2034">
        <f>IFERROR(VLOOKUP($B492,'[3]1001'!$B$6:$G$5927,4,FALSE),0)</f>
        <v>0</v>
      </c>
      <c r="J492" s="2033">
        <f t="shared" si="42"/>
        <v>0</v>
      </c>
      <c r="K492" s="2035">
        <f>IFERROR(VLOOKUP($B492,'[3]1002'!$B$6:$G$5921,2,FALSE),0)</f>
        <v>0</v>
      </c>
      <c r="L492" s="2036">
        <f>IFERROR(VLOOKUP($B492,'[3]1002'!$B$6:$G$5921,4,FALSE),0)</f>
        <v>0</v>
      </c>
      <c r="M492" s="1763">
        <f t="shared" si="43"/>
        <v>0</v>
      </c>
      <c r="N492" s="2033">
        <f>IFERROR(VLOOKUP($B492,'[3]1003'!$B$6:$G$5921,2,FALSE),0)</f>
        <v>0</v>
      </c>
      <c r="O492" s="2034">
        <f>IFERROR(VLOOKUP($B492,'[3]1003'!$B$6:$G$5921,4,FALSE),0)</f>
        <v>0</v>
      </c>
      <c r="P492" s="2033">
        <f t="shared" si="44"/>
        <v>0</v>
      </c>
      <c r="Q492" s="1763">
        <f>IFERROR(VLOOKUP($B492,'[3]1004'!$B$6:$G$5921,2,FALSE),0)</f>
        <v>0</v>
      </c>
      <c r="R492" s="2036">
        <f>IFERROR(VLOOKUP($B492,'[3]1004'!$B$6:$G$5921,4,FALSE),0)</f>
        <v>0</v>
      </c>
      <c r="S492" s="1763">
        <f t="shared" si="45"/>
        <v>0</v>
      </c>
      <c r="T492" s="2033">
        <f>IFERROR(VLOOKUP($B492,'[3]1006'!$B$6:$G$5921,2,FALSE),0)</f>
        <v>0</v>
      </c>
      <c r="U492" s="2034">
        <f>IFERROR(VLOOKUP($B492,'[3]1006'!$B$6:$G$5921,4,FALSE),0)</f>
        <v>0</v>
      </c>
      <c r="V492" s="2033">
        <f t="shared" si="46"/>
        <v>0</v>
      </c>
      <c r="W492" s="2033">
        <f t="shared" si="47"/>
        <v>0</v>
      </c>
    </row>
    <row r="493" spans="2:23" x14ac:dyDescent="0.15">
      <c r="B493" s="1288">
        <v>113604</v>
      </c>
      <c r="C493" s="1288" t="s">
        <v>2526</v>
      </c>
      <c r="D493" s="1288"/>
      <c r="E493" s="1288" t="s">
        <v>94</v>
      </c>
      <c r="F493" s="1288" t="s">
        <v>1337</v>
      </c>
      <c r="G493" s="1288" t="s">
        <v>1303</v>
      </c>
      <c r="H493" s="2033">
        <f>IFERROR(VLOOKUP($B493,'[3]1001'!$B$6:$G$5927,2,FALSE),0)</f>
        <v>0</v>
      </c>
      <c r="I493" s="2034">
        <f>IFERROR(VLOOKUP($B493,'[3]1001'!$B$6:$G$5927,4,FALSE),0)</f>
        <v>0</v>
      </c>
      <c r="J493" s="2033">
        <f t="shared" si="42"/>
        <v>0</v>
      </c>
      <c r="K493" s="2035">
        <f>IFERROR(VLOOKUP($B493,'[3]1002'!$B$6:$G$5921,2,FALSE),0)</f>
        <v>0</v>
      </c>
      <c r="L493" s="2036">
        <f>IFERROR(VLOOKUP($B493,'[3]1002'!$B$6:$G$5921,4,FALSE),0)</f>
        <v>0</v>
      </c>
      <c r="M493" s="1763">
        <f t="shared" si="43"/>
        <v>0</v>
      </c>
      <c r="N493" s="2033">
        <f>IFERROR(VLOOKUP($B493,'[3]1003'!$B$6:$G$5921,2,FALSE),0)</f>
        <v>0</v>
      </c>
      <c r="O493" s="2034">
        <f>IFERROR(VLOOKUP($B493,'[3]1003'!$B$6:$G$5921,4,FALSE),0)</f>
        <v>0</v>
      </c>
      <c r="P493" s="2033">
        <f t="shared" si="44"/>
        <v>0</v>
      </c>
      <c r="Q493" s="1763">
        <f>IFERROR(VLOOKUP($B493,'[3]1004'!$B$6:$G$5921,2,FALSE),0)</f>
        <v>0</v>
      </c>
      <c r="R493" s="2036">
        <f>IFERROR(VLOOKUP($B493,'[3]1004'!$B$6:$G$5921,4,FALSE),0)</f>
        <v>0</v>
      </c>
      <c r="S493" s="1763">
        <f t="shared" si="45"/>
        <v>0</v>
      </c>
      <c r="T493" s="2033">
        <f>IFERROR(VLOOKUP($B493,'[3]1006'!$B$6:$G$5921,2,FALSE),0)</f>
        <v>0</v>
      </c>
      <c r="U493" s="2034">
        <f>IFERROR(VLOOKUP($B493,'[3]1006'!$B$6:$G$5921,4,FALSE),0)</f>
        <v>0</v>
      </c>
      <c r="V493" s="2033">
        <f t="shared" si="46"/>
        <v>0</v>
      </c>
      <c r="W493" s="2033">
        <f t="shared" si="47"/>
        <v>0</v>
      </c>
    </row>
    <row r="494" spans="2:23" x14ac:dyDescent="0.15">
      <c r="B494" s="1288">
        <v>113605</v>
      </c>
      <c r="C494" s="1288" t="s">
        <v>2527</v>
      </c>
      <c r="D494" s="1288"/>
      <c r="E494" s="1288" t="s">
        <v>94</v>
      </c>
      <c r="F494" s="1288" t="s">
        <v>1337</v>
      </c>
      <c r="G494" s="1288" t="s">
        <v>1303</v>
      </c>
      <c r="H494" s="2033">
        <f>IFERROR(VLOOKUP($B494,'[3]1001'!$B$6:$G$5927,2,FALSE),0)</f>
        <v>0</v>
      </c>
      <c r="I494" s="2034">
        <f>IFERROR(VLOOKUP($B494,'[3]1001'!$B$6:$G$5927,4,FALSE),0)</f>
        <v>0</v>
      </c>
      <c r="J494" s="2033">
        <f t="shared" si="42"/>
        <v>0</v>
      </c>
      <c r="K494" s="2035">
        <f>IFERROR(VLOOKUP($B494,'[3]1002'!$B$6:$G$5921,2,FALSE),0)</f>
        <v>0</v>
      </c>
      <c r="L494" s="2036">
        <f>IFERROR(VLOOKUP($B494,'[3]1002'!$B$6:$G$5921,4,FALSE),0)</f>
        <v>0</v>
      </c>
      <c r="M494" s="1763">
        <f t="shared" si="43"/>
        <v>0</v>
      </c>
      <c r="N494" s="2033">
        <f>IFERROR(VLOOKUP($B494,'[3]1003'!$B$6:$G$5921,2,FALSE),0)</f>
        <v>0</v>
      </c>
      <c r="O494" s="2034">
        <f>IFERROR(VLOOKUP($B494,'[3]1003'!$B$6:$G$5921,4,FALSE),0)</f>
        <v>0</v>
      </c>
      <c r="P494" s="2033">
        <f t="shared" si="44"/>
        <v>0</v>
      </c>
      <c r="Q494" s="1763">
        <f>IFERROR(VLOOKUP($B494,'[3]1004'!$B$6:$G$5921,2,FALSE),0)</f>
        <v>0</v>
      </c>
      <c r="R494" s="2036">
        <f>IFERROR(VLOOKUP($B494,'[3]1004'!$B$6:$G$5921,4,FALSE),0)</f>
        <v>0</v>
      </c>
      <c r="S494" s="1763">
        <f t="shared" si="45"/>
        <v>0</v>
      </c>
      <c r="T494" s="2033">
        <f>IFERROR(VLOOKUP($B494,'[3]1006'!$B$6:$G$5921,2,FALSE),0)</f>
        <v>0</v>
      </c>
      <c r="U494" s="2034">
        <f>IFERROR(VLOOKUP($B494,'[3]1006'!$B$6:$G$5921,4,FALSE),0)</f>
        <v>0</v>
      </c>
      <c r="V494" s="2033">
        <f t="shared" si="46"/>
        <v>0</v>
      </c>
      <c r="W494" s="2033">
        <f t="shared" si="47"/>
        <v>0</v>
      </c>
    </row>
    <row r="495" spans="2:23" x14ac:dyDescent="0.15">
      <c r="B495" s="1288">
        <v>113606</v>
      </c>
      <c r="C495" s="1288" t="s">
        <v>2528</v>
      </c>
      <c r="D495" s="1288"/>
      <c r="E495" s="1288" t="s">
        <v>94</v>
      </c>
      <c r="F495" s="1288" t="s">
        <v>1337</v>
      </c>
      <c r="G495" s="1288" t="s">
        <v>1303</v>
      </c>
      <c r="H495" s="2033">
        <f>IFERROR(VLOOKUP($B495,'[3]1001'!$B$6:$G$5927,2,FALSE),0)</f>
        <v>0</v>
      </c>
      <c r="I495" s="2034">
        <f>IFERROR(VLOOKUP($B495,'[3]1001'!$B$6:$G$5927,4,FALSE),0)</f>
        <v>0</v>
      </c>
      <c r="J495" s="2033">
        <f t="shared" si="42"/>
        <v>0</v>
      </c>
      <c r="K495" s="2035">
        <f>IFERROR(VLOOKUP($B495,'[3]1002'!$B$6:$G$5921,2,FALSE),0)</f>
        <v>0</v>
      </c>
      <c r="L495" s="2036">
        <f>IFERROR(VLOOKUP($B495,'[3]1002'!$B$6:$G$5921,4,FALSE),0)</f>
        <v>0</v>
      </c>
      <c r="M495" s="1763">
        <f t="shared" si="43"/>
        <v>0</v>
      </c>
      <c r="N495" s="2033">
        <f>IFERROR(VLOOKUP($B495,'[3]1003'!$B$6:$G$5921,2,FALSE),0)</f>
        <v>0</v>
      </c>
      <c r="O495" s="2034">
        <f>IFERROR(VLOOKUP($B495,'[3]1003'!$B$6:$G$5921,4,FALSE),0)</f>
        <v>0</v>
      </c>
      <c r="P495" s="2033">
        <f t="shared" si="44"/>
        <v>0</v>
      </c>
      <c r="Q495" s="1763">
        <f>IFERROR(VLOOKUP($B495,'[3]1004'!$B$6:$G$5921,2,FALSE),0)</f>
        <v>0</v>
      </c>
      <c r="R495" s="2036">
        <f>IFERROR(VLOOKUP($B495,'[3]1004'!$B$6:$G$5921,4,FALSE),0)</f>
        <v>0</v>
      </c>
      <c r="S495" s="1763">
        <f t="shared" si="45"/>
        <v>0</v>
      </c>
      <c r="T495" s="2033">
        <f>IFERROR(VLOOKUP($B495,'[3]1006'!$B$6:$G$5921,2,FALSE),0)</f>
        <v>0</v>
      </c>
      <c r="U495" s="2034">
        <f>IFERROR(VLOOKUP($B495,'[3]1006'!$B$6:$G$5921,4,FALSE),0)</f>
        <v>0</v>
      </c>
      <c r="V495" s="2033">
        <f t="shared" si="46"/>
        <v>0</v>
      </c>
      <c r="W495" s="2033">
        <f t="shared" si="47"/>
        <v>0</v>
      </c>
    </row>
    <row r="496" spans="2:23" x14ac:dyDescent="0.15">
      <c r="B496" s="1288">
        <v>113607</v>
      </c>
      <c r="C496" s="1288" t="s">
        <v>2529</v>
      </c>
      <c r="D496" s="1288"/>
      <c r="E496" s="1288" t="s">
        <v>94</v>
      </c>
      <c r="F496" s="1288" t="s">
        <v>1337</v>
      </c>
      <c r="G496" s="1288" t="s">
        <v>1303</v>
      </c>
      <c r="H496" s="2033">
        <f>IFERROR(VLOOKUP($B496,'[3]1001'!$B$6:$G$5927,2,FALSE),0)</f>
        <v>0</v>
      </c>
      <c r="I496" s="2034">
        <f>IFERROR(VLOOKUP($B496,'[3]1001'!$B$6:$G$5927,4,FALSE),0)</f>
        <v>0</v>
      </c>
      <c r="J496" s="2033">
        <f t="shared" si="42"/>
        <v>0</v>
      </c>
      <c r="K496" s="2035">
        <f>IFERROR(VLOOKUP($B496,'[3]1002'!$B$6:$G$5921,2,FALSE),0)</f>
        <v>0</v>
      </c>
      <c r="L496" s="2036">
        <f>IFERROR(VLOOKUP($B496,'[3]1002'!$B$6:$G$5921,4,FALSE),0)</f>
        <v>0</v>
      </c>
      <c r="M496" s="1763">
        <f t="shared" si="43"/>
        <v>0</v>
      </c>
      <c r="N496" s="2033">
        <f>IFERROR(VLOOKUP($B496,'[3]1003'!$B$6:$G$5921,2,FALSE),0)</f>
        <v>0</v>
      </c>
      <c r="O496" s="2034">
        <f>IFERROR(VLOOKUP($B496,'[3]1003'!$B$6:$G$5921,4,FALSE),0)</f>
        <v>0</v>
      </c>
      <c r="P496" s="2033">
        <f t="shared" si="44"/>
        <v>0</v>
      </c>
      <c r="Q496" s="1763">
        <f>IFERROR(VLOOKUP($B496,'[3]1004'!$B$6:$G$5921,2,FALSE),0)</f>
        <v>0</v>
      </c>
      <c r="R496" s="2036">
        <f>IFERROR(VLOOKUP($B496,'[3]1004'!$B$6:$G$5921,4,FALSE),0)</f>
        <v>0</v>
      </c>
      <c r="S496" s="1763">
        <f t="shared" si="45"/>
        <v>0</v>
      </c>
      <c r="T496" s="2033">
        <f>IFERROR(VLOOKUP($B496,'[3]1006'!$B$6:$G$5921,2,FALSE),0)</f>
        <v>0</v>
      </c>
      <c r="U496" s="2034">
        <f>IFERROR(VLOOKUP($B496,'[3]1006'!$B$6:$G$5921,4,FALSE),0)</f>
        <v>0</v>
      </c>
      <c r="V496" s="2033">
        <f t="shared" si="46"/>
        <v>0</v>
      </c>
      <c r="W496" s="2033">
        <f t="shared" si="47"/>
        <v>0</v>
      </c>
    </row>
    <row r="497" spans="2:23" x14ac:dyDescent="0.15">
      <c r="B497" s="1288">
        <v>113608</v>
      </c>
      <c r="C497" s="1288" t="s">
        <v>2530</v>
      </c>
      <c r="D497" s="1288"/>
      <c r="E497" s="1288" t="s">
        <v>94</v>
      </c>
      <c r="F497" s="1288" t="s">
        <v>1337</v>
      </c>
      <c r="G497" s="1288" t="s">
        <v>1303</v>
      </c>
      <c r="H497" s="2033">
        <f>IFERROR(VLOOKUP($B497,'[3]1001'!$B$6:$G$5927,2,FALSE),0)</f>
        <v>0</v>
      </c>
      <c r="I497" s="2034">
        <f>IFERROR(VLOOKUP($B497,'[3]1001'!$B$6:$G$5927,4,FALSE),0)</f>
        <v>0</v>
      </c>
      <c r="J497" s="2033">
        <f t="shared" si="42"/>
        <v>0</v>
      </c>
      <c r="K497" s="2035">
        <f>IFERROR(VLOOKUP($B497,'[3]1002'!$B$6:$G$5921,2,FALSE),0)</f>
        <v>0</v>
      </c>
      <c r="L497" s="2036">
        <f>IFERROR(VLOOKUP($B497,'[3]1002'!$B$6:$G$5921,4,FALSE),0)</f>
        <v>0</v>
      </c>
      <c r="M497" s="1763">
        <f t="shared" si="43"/>
        <v>0</v>
      </c>
      <c r="N497" s="2033">
        <f>IFERROR(VLOOKUP($B497,'[3]1003'!$B$6:$G$5921,2,FALSE),0)</f>
        <v>0</v>
      </c>
      <c r="O497" s="2034">
        <f>IFERROR(VLOOKUP($B497,'[3]1003'!$B$6:$G$5921,4,FALSE),0)</f>
        <v>0</v>
      </c>
      <c r="P497" s="2033">
        <f t="shared" si="44"/>
        <v>0</v>
      </c>
      <c r="Q497" s="1763">
        <f>IFERROR(VLOOKUP($B497,'[3]1004'!$B$6:$G$5921,2,FALSE),0)</f>
        <v>0</v>
      </c>
      <c r="R497" s="2036">
        <f>IFERROR(VLOOKUP($B497,'[3]1004'!$B$6:$G$5921,4,FALSE),0)</f>
        <v>0</v>
      </c>
      <c r="S497" s="1763">
        <f t="shared" si="45"/>
        <v>0</v>
      </c>
      <c r="T497" s="2033">
        <f>IFERROR(VLOOKUP($B497,'[3]1006'!$B$6:$G$5921,2,FALSE),0)</f>
        <v>0</v>
      </c>
      <c r="U497" s="2034">
        <f>IFERROR(VLOOKUP($B497,'[3]1006'!$B$6:$G$5921,4,FALSE),0)</f>
        <v>0</v>
      </c>
      <c r="V497" s="2033">
        <f t="shared" si="46"/>
        <v>0</v>
      </c>
      <c r="W497" s="2033">
        <f t="shared" si="47"/>
        <v>0</v>
      </c>
    </row>
    <row r="498" spans="2:23" x14ac:dyDescent="0.15">
      <c r="B498" s="1288">
        <v>113609</v>
      </c>
      <c r="C498" s="1288" t="s">
        <v>2531</v>
      </c>
      <c r="D498" s="1288"/>
      <c r="E498" s="1288" t="s">
        <v>94</v>
      </c>
      <c r="F498" s="1288" t="s">
        <v>1337</v>
      </c>
      <c r="G498" s="1288" t="s">
        <v>1303</v>
      </c>
      <c r="H498" s="2033">
        <f>IFERROR(VLOOKUP($B498,'[3]1001'!$B$6:$G$5927,2,FALSE),0)</f>
        <v>0</v>
      </c>
      <c r="I498" s="2034">
        <f>IFERROR(VLOOKUP($B498,'[3]1001'!$B$6:$G$5927,4,FALSE),0)</f>
        <v>0</v>
      </c>
      <c r="J498" s="2033">
        <f t="shared" si="42"/>
        <v>0</v>
      </c>
      <c r="K498" s="2035">
        <f>IFERROR(VLOOKUP($B498,'[3]1002'!$B$6:$G$5921,2,FALSE),0)</f>
        <v>0</v>
      </c>
      <c r="L498" s="2036">
        <f>IFERROR(VLOOKUP($B498,'[3]1002'!$B$6:$G$5921,4,FALSE),0)</f>
        <v>0</v>
      </c>
      <c r="M498" s="1763">
        <f t="shared" si="43"/>
        <v>0</v>
      </c>
      <c r="N498" s="2033">
        <f>IFERROR(VLOOKUP($B498,'[3]1003'!$B$6:$G$5921,2,FALSE),0)</f>
        <v>0</v>
      </c>
      <c r="O498" s="2034">
        <f>IFERROR(VLOOKUP($B498,'[3]1003'!$B$6:$G$5921,4,FALSE),0)</f>
        <v>0</v>
      </c>
      <c r="P498" s="2033">
        <f t="shared" si="44"/>
        <v>0</v>
      </c>
      <c r="Q498" s="1763">
        <f>IFERROR(VLOOKUP($B498,'[3]1004'!$B$6:$G$5921,2,FALSE),0)</f>
        <v>0</v>
      </c>
      <c r="R498" s="2036">
        <f>IFERROR(VLOOKUP($B498,'[3]1004'!$B$6:$G$5921,4,FALSE),0)</f>
        <v>0</v>
      </c>
      <c r="S498" s="1763">
        <f t="shared" si="45"/>
        <v>0</v>
      </c>
      <c r="T498" s="2033">
        <f>IFERROR(VLOOKUP($B498,'[3]1006'!$B$6:$G$5921,2,FALSE),0)</f>
        <v>0</v>
      </c>
      <c r="U498" s="2034">
        <f>IFERROR(VLOOKUP($B498,'[3]1006'!$B$6:$G$5921,4,FALSE),0)</f>
        <v>0</v>
      </c>
      <c r="V498" s="2033">
        <f t="shared" si="46"/>
        <v>0</v>
      </c>
      <c r="W498" s="2033">
        <f t="shared" si="47"/>
        <v>0</v>
      </c>
    </row>
    <row r="499" spans="2:23" x14ac:dyDescent="0.15">
      <c r="B499" s="1288">
        <v>113610</v>
      </c>
      <c r="C499" s="1288" t="s">
        <v>2532</v>
      </c>
      <c r="D499" s="1288"/>
      <c r="E499" s="1288" t="s">
        <v>94</v>
      </c>
      <c r="F499" s="1288" t="s">
        <v>1337</v>
      </c>
      <c r="G499" s="1288" t="s">
        <v>1303</v>
      </c>
      <c r="H499" s="2033">
        <f>IFERROR(VLOOKUP($B499,'[3]1001'!$B$6:$G$5927,2,FALSE),0)</f>
        <v>0</v>
      </c>
      <c r="I499" s="2034">
        <f>IFERROR(VLOOKUP($B499,'[3]1001'!$B$6:$G$5927,4,FALSE),0)</f>
        <v>0</v>
      </c>
      <c r="J499" s="2033">
        <f t="shared" si="42"/>
        <v>0</v>
      </c>
      <c r="K499" s="2035">
        <f>IFERROR(VLOOKUP($B499,'[3]1002'!$B$6:$G$5921,2,FALSE),0)</f>
        <v>0</v>
      </c>
      <c r="L499" s="2036">
        <f>IFERROR(VLOOKUP($B499,'[3]1002'!$B$6:$G$5921,4,FALSE),0)</f>
        <v>0</v>
      </c>
      <c r="M499" s="1763">
        <f t="shared" si="43"/>
        <v>0</v>
      </c>
      <c r="N499" s="2033">
        <f>IFERROR(VLOOKUP($B499,'[3]1003'!$B$6:$G$5921,2,FALSE),0)</f>
        <v>0</v>
      </c>
      <c r="O499" s="2034">
        <f>IFERROR(VLOOKUP($B499,'[3]1003'!$B$6:$G$5921,4,FALSE),0)</f>
        <v>0</v>
      </c>
      <c r="P499" s="2033">
        <f t="shared" si="44"/>
        <v>0</v>
      </c>
      <c r="Q499" s="1763">
        <f>IFERROR(VLOOKUP($B499,'[3]1004'!$B$6:$G$5921,2,FALSE),0)</f>
        <v>0</v>
      </c>
      <c r="R499" s="2036">
        <f>IFERROR(VLOOKUP($B499,'[3]1004'!$B$6:$G$5921,4,FALSE),0)</f>
        <v>0</v>
      </c>
      <c r="S499" s="1763">
        <f t="shared" si="45"/>
        <v>0</v>
      </c>
      <c r="T499" s="2033">
        <f>IFERROR(VLOOKUP($B499,'[3]1006'!$B$6:$G$5921,2,FALSE),0)</f>
        <v>0</v>
      </c>
      <c r="U499" s="2034">
        <f>IFERROR(VLOOKUP($B499,'[3]1006'!$B$6:$G$5921,4,FALSE),0)</f>
        <v>0</v>
      </c>
      <c r="V499" s="2033">
        <f t="shared" si="46"/>
        <v>0</v>
      </c>
      <c r="W499" s="2033">
        <f t="shared" si="47"/>
        <v>0</v>
      </c>
    </row>
    <row r="500" spans="2:23" x14ac:dyDescent="0.15">
      <c r="B500" s="1288">
        <v>113611</v>
      </c>
      <c r="C500" s="1288" t="s">
        <v>2533</v>
      </c>
      <c r="D500" s="1288"/>
      <c r="E500" s="1288" t="s">
        <v>94</v>
      </c>
      <c r="F500" s="1288" t="s">
        <v>1337</v>
      </c>
      <c r="G500" s="1288" t="s">
        <v>1303</v>
      </c>
      <c r="H500" s="2033">
        <f>IFERROR(VLOOKUP($B500,'[3]1001'!$B$6:$G$5927,2,FALSE),0)</f>
        <v>0</v>
      </c>
      <c r="I500" s="2034">
        <f>IFERROR(VLOOKUP($B500,'[3]1001'!$B$6:$G$5927,4,FALSE),0)</f>
        <v>0</v>
      </c>
      <c r="J500" s="2033">
        <f t="shared" si="42"/>
        <v>0</v>
      </c>
      <c r="K500" s="2035">
        <f>IFERROR(VLOOKUP($B500,'[3]1002'!$B$6:$G$5921,2,FALSE),0)</f>
        <v>0</v>
      </c>
      <c r="L500" s="2036">
        <f>IFERROR(VLOOKUP($B500,'[3]1002'!$B$6:$G$5921,4,FALSE),0)</f>
        <v>0</v>
      </c>
      <c r="M500" s="1763">
        <f t="shared" si="43"/>
        <v>0</v>
      </c>
      <c r="N500" s="2033">
        <f>IFERROR(VLOOKUP($B500,'[3]1003'!$B$6:$G$5921,2,FALSE),0)</f>
        <v>0</v>
      </c>
      <c r="O500" s="2034">
        <f>IFERROR(VLOOKUP($B500,'[3]1003'!$B$6:$G$5921,4,FALSE),0)</f>
        <v>0</v>
      </c>
      <c r="P500" s="2033">
        <f t="shared" si="44"/>
        <v>0</v>
      </c>
      <c r="Q500" s="1763">
        <f>IFERROR(VLOOKUP($B500,'[3]1004'!$B$6:$G$5921,2,FALSE),0)</f>
        <v>0</v>
      </c>
      <c r="R500" s="2036">
        <f>IFERROR(VLOOKUP($B500,'[3]1004'!$B$6:$G$5921,4,FALSE),0)</f>
        <v>0</v>
      </c>
      <c r="S500" s="1763">
        <f t="shared" si="45"/>
        <v>0</v>
      </c>
      <c r="T500" s="2033">
        <f>IFERROR(VLOOKUP($B500,'[3]1006'!$B$6:$G$5921,2,FALSE),0)</f>
        <v>0</v>
      </c>
      <c r="U500" s="2034">
        <f>IFERROR(VLOOKUP($B500,'[3]1006'!$B$6:$G$5921,4,FALSE),0)</f>
        <v>0</v>
      </c>
      <c r="V500" s="2033">
        <f t="shared" si="46"/>
        <v>0</v>
      </c>
      <c r="W500" s="2033">
        <f t="shared" si="47"/>
        <v>0</v>
      </c>
    </row>
    <row r="501" spans="2:23" x14ac:dyDescent="0.15">
      <c r="B501" s="1288">
        <v>113612</v>
      </c>
      <c r="C501" s="1288" t="s">
        <v>2534</v>
      </c>
      <c r="D501" s="1288"/>
      <c r="E501" s="1288" t="s">
        <v>94</v>
      </c>
      <c r="F501" s="1288" t="s">
        <v>1337</v>
      </c>
      <c r="G501" s="1288" t="s">
        <v>1303</v>
      </c>
      <c r="H501" s="2033">
        <f>IFERROR(VLOOKUP($B501,'[3]1001'!$B$6:$G$5927,2,FALSE),0)</f>
        <v>0</v>
      </c>
      <c r="I501" s="2034">
        <f>IFERROR(VLOOKUP($B501,'[3]1001'!$B$6:$G$5927,4,FALSE),0)</f>
        <v>0</v>
      </c>
      <c r="J501" s="2033">
        <f t="shared" si="42"/>
        <v>0</v>
      </c>
      <c r="K501" s="2035">
        <f>IFERROR(VLOOKUP($B501,'[3]1002'!$B$6:$G$5921,2,FALSE),0)</f>
        <v>0</v>
      </c>
      <c r="L501" s="2036">
        <f>IFERROR(VLOOKUP($B501,'[3]1002'!$B$6:$G$5921,4,FALSE),0)</f>
        <v>0</v>
      </c>
      <c r="M501" s="1763">
        <f t="shared" si="43"/>
        <v>0</v>
      </c>
      <c r="N501" s="2033">
        <f>IFERROR(VLOOKUP($B501,'[3]1003'!$B$6:$G$5921,2,FALSE),0)</f>
        <v>0</v>
      </c>
      <c r="O501" s="2034">
        <f>IFERROR(VLOOKUP($B501,'[3]1003'!$B$6:$G$5921,4,FALSE),0)</f>
        <v>0</v>
      </c>
      <c r="P501" s="2033">
        <f t="shared" si="44"/>
        <v>0</v>
      </c>
      <c r="Q501" s="1763">
        <f>IFERROR(VLOOKUP($B501,'[3]1004'!$B$6:$G$5921,2,FALSE),0)</f>
        <v>0</v>
      </c>
      <c r="R501" s="2036">
        <f>IFERROR(VLOOKUP($B501,'[3]1004'!$B$6:$G$5921,4,FALSE),0)</f>
        <v>0</v>
      </c>
      <c r="S501" s="1763">
        <f t="shared" si="45"/>
        <v>0</v>
      </c>
      <c r="T501" s="2033">
        <f>IFERROR(VLOOKUP($B501,'[3]1006'!$B$6:$G$5921,2,FALSE),0)</f>
        <v>0</v>
      </c>
      <c r="U501" s="2034">
        <f>IFERROR(VLOOKUP($B501,'[3]1006'!$B$6:$G$5921,4,FALSE),0)</f>
        <v>0</v>
      </c>
      <c r="V501" s="2033">
        <f t="shared" si="46"/>
        <v>0</v>
      </c>
      <c r="W501" s="2033">
        <f t="shared" si="47"/>
        <v>0</v>
      </c>
    </row>
    <row r="502" spans="2:23" x14ac:dyDescent="0.15">
      <c r="B502" s="1288">
        <v>113613</v>
      </c>
      <c r="C502" s="1288" t="s">
        <v>2535</v>
      </c>
      <c r="D502" s="1288"/>
      <c r="E502" s="1288" t="s">
        <v>94</v>
      </c>
      <c r="F502" s="1288" t="s">
        <v>1337</v>
      </c>
      <c r="G502" s="1288" t="s">
        <v>1303</v>
      </c>
      <c r="H502" s="2033">
        <f>IFERROR(VLOOKUP($B502,'[3]1001'!$B$6:$G$5927,2,FALSE),0)</f>
        <v>0</v>
      </c>
      <c r="I502" s="2034">
        <f>IFERROR(VLOOKUP($B502,'[3]1001'!$B$6:$G$5927,4,FALSE),0)</f>
        <v>0</v>
      </c>
      <c r="J502" s="2033">
        <f t="shared" si="42"/>
        <v>0</v>
      </c>
      <c r="K502" s="2035">
        <f>IFERROR(VLOOKUP($B502,'[3]1002'!$B$6:$G$5921,2,FALSE),0)</f>
        <v>0</v>
      </c>
      <c r="L502" s="2036">
        <f>IFERROR(VLOOKUP($B502,'[3]1002'!$B$6:$G$5921,4,FALSE),0)</f>
        <v>0</v>
      </c>
      <c r="M502" s="1763">
        <f t="shared" si="43"/>
        <v>0</v>
      </c>
      <c r="N502" s="2033">
        <f>IFERROR(VLOOKUP($B502,'[3]1003'!$B$6:$G$5921,2,FALSE),0)</f>
        <v>0</v>
      </c>
      <c r="O502" s="2034">
        <f>IFERROR(VLOOKUP($B502,'[3]1003'!$B$6:$G$5921,4,FALSE),0)</f>
        <v>0</v>
      </c>
      <c r="P502" s="2033">
        <f t="shared" si="44"/>
        <v>0</v>
      </c>
      <c r="Q502" s="1763">
        <f>IFERROR(VLOOKUP($B502,'[3]1004'!$B$6:$G$5921,2,FALSE),0)</f>
        <v>0</v>
      </c>
      <c r="R502" s="2036">
        <f>IFERROR(VLOOKUP($B502,'[3]1004'!$B$6:$G$5921,4,FALSE),0)</f>
        <v>0</v>
      </c>
      <c r="S502" s="1763">
        <f t="shared" si="45"/>
        <v>0</v>
      </c>
      <c r="T502" s="2033">
        <f>IFERROR(VLOOKUP($B502,'[3]1006'!$B$6:$G$5921,2,FALSE),0)</f>
        <v>0</v>
      </c>
      <c r="U502" s="2034">
        <f>IFERROR(VLOOKUP($B502,'[3]1006'!$B$6:$G$5921,4,FALSE),0)</f>
        <v>0</v>
      </c>
      <c r="V502" s="2033">
        <f t="shared" si="46"/>
        <v>0</v>
      </c>
      <c r="W502" s="2033">
        <f t="shared" si="47"/>
        <v>0</v>
      </c>
    </row>
    <row r="503" spans="2:23" x14ac:dyDescent="0.15">
      <c r="B503" s="1288">
        <v>113614</v>
      </c>
      <c r="C503" s="1288" t="s">
        <v>2536</v>
      </c>
      <c r="D503" s="1288"/>
      <c r="E503" s="1288" t="s">
        <v>94</v>
      </c>
      <c r="F503" s="1288" t="s">
        <v>1337</v>
      </c>
      <c r="G503" s="1288" t="s">
        <v>1303</v>
      </c>
      <c r="H503" s="2033">
        <f>IFERROR(VLOOKUP($B503,'[3]1001'!$B$6:$G$5927,2,FALSE),0)</f>
        <v>0</v>
      </c>
      <c r="I503" s="2034">
        <f>IFERROR(VLOOKUP($B503,'[3]1001'!$B$6:$G$5927,4,FALSE),0)</f>
        <v>0</v>
      </c>
      <c r="J503" s="2033">
        <f t="shared" si="42"/>
        <v>0</v>
      </c>
      <c r="K503" s="2035">
        <f>IFERROR(VLOOKUP($B503,'[3]1002'!$B$6:$G$5921,2,FALSE),0)</f>
        <v>0</v>
      </c>
      <c r="L503" s="2036">
        <f>IFERROR(VLOOKUP($B503,'[3]1002'!$B$6:$G$5921,4,FALSE),0)</f>
        <v>0</v>
      </c>
      <c r="M503" s="1763">
        <f t="shared" si="43"/>
        <v>0</v>
      </c>
      <c r="N503" s="2033">
        <f>IFERROR(VLOOKUP($B503,'[3]1003'!$B$6:$G$5921,2,FALSE),0)</f>
        <v>0</v>
      </c>
      <c r="O503" s="2034">
        <f>IFERROR(VLOOKUP($B503,'[3]1003'!$B$6:$G$5921,4,FALSE),0)</f>
        <v>0</v>
      </c>
      <c r="P503" s="2033">
        <f t="shared" si="44"/>
        <v>0</v>
      </c>
      <c r="Q503" s="1763">
        <f>IFERROR(VLOOKUP($B503,'[3]1004'!$B$6:$G$5921,2,FALSE),0)</f>
        <v>0</v>
      </c>
      <c r="R503" s="2036">
        <f>IFERROR(VLOOKUP($B503,'[3]1004'!$B$6:$G$5921,4,FALSE),0)</f>
        <v>0</v>
      </c>
      <c r="S503" s="1763">
        <f t="shared" si="45"/>
        <v>0</v>
      </c>
      <c r="T503" s="2033">
        <f>IFERROR(VLOOKUP($B503,'[3]1006'!$B$6:$G$5921,2,FALSE),0)</f>
        <v>0</v>
      </c>
      <c r="U503" s="2034">
        <f>IFERROR(VLOOKUP($B503,'[3]1006'!$B$6:$G$5921,4,FALSE),0)</f>
        <v>0</v>
      </c>
      <c r="V503" s="2033">
        <f t="shared" si="46"/>
        <v>0</v>
      </c>
      <c r="W503" s="2033">
        <f t="shared" si="47"/>
        <v>0</v>
      </c>
    </row>
    <row r="504" spans="2:23" x14ac:dyDescent="0.15">
      <c r="B504" s="1288">
        <v>113615</v>
      </c>
      <c r="C504" s="1288" t="s">
        <v>2537</v>
      </c>
      <c r="D504" s="1288"/>
      <c r="E504" s="1288" t="s">
        <v>94</v>
      </c>
      <c r="F504" s="1288" t="s">
        <v>1337</v>
      </c>
      <c r="G504" s="1288" t="s">
        <v>1303</v>
      </c>
      <c r="H504" s="2033">
        <f>IFERROR(VLOOKUP($B504,'[3]1001'!$B$6:$G$5927,2,FALSE),0)</f>
        <v>0</v>
      </c>
      <c r="I504" s="2034">
        <f>IFERROR(VLOOKUP($B504,'[3]1001'!$B$6:$G$5927,4,FALSE),0)</f>
        <v>0</v>
      </c>
      <c r="J504" s="2033">
        <f t="shared" si="42"/>
        <v>0</v>
      </c>
      <c r="K504" s="2035">
        <f>IFERROR(VLOOKUP($B504,'[3]1002'!$B$6:$G$5921,2,FALSE),0)</f>
        <v>0</v>
      </c>
      <c r="L504" s="2036">
        <f>IFERROR(VLOOKUP($B504,'[3]1002'!$B$6:$G$5921,4,FALSE),0)</f>
        <v>0</v>
      </c>
      <c r="M504" s="1763">
        <f t="shared" si="43"/>
        <v>0</v>
      </c>
      <c r="N504" s="2033">
        <f>IFERROR(VLOOKUP($B504,'[3]1003'!$B$6:$G$5921,2,FALSE),0)</f>
        <v>0</v>
      </c>
      <c r="O504" s="2034">
        <f>IFERROR(VLOOKUP($B504,'[3]1003'!$B$6:$G$5921,4,FALSE),0)</f>
        <v>0</v>
      </c>
      <c r="P504" s="2033">
        <f t="shared" si="44"/>
        <v>0</v>
      </c>
      <c r="Q504" s="1763">
        <f>IFERROR(VLOOKUP($B504,'[3]1004'!$B$6:$G$5921,2,FALSE),0)</f>
        <v>0</v>
      </c>
      <c r="R504" s="2036">
        <f>IFERROR(VLOOKUP($B504,'[3]1004'!$B$6:$G$5921,4,FALSE),0)</f>
        <v>0</v>
      </c>
      <c r="S504" s="1763">
        <f t="shared" si="45"/>
        <v>0</v>
      </c>
      <c r="T504" s="2033">
        <f>IFERROR(VLOOKUP($B504,'[3]1006'!$B$6:$G$5921,2,FALSE),0)</f>
        <v>0</v>
      </c>
      <c r="U504" s="2034">
        <f>IFERROR(VLOOKUP($B504,'[3]1006'!$B$6:$G$5921,4,FALSE),0)</f>
        <v>0</v>
      </c>
      <c r="V504" s="2033">
        <f t="shared" si="46"/>
        <v>0</v>
      </c>
      <c r="W504" s="2033">
        <f t="shared" si="47"/>
        <v>0</v>
      </c>
    </row>
    <row r="505" spans="2:23" x14ac:dyDescent="0.15">
      <c r="B505" s="1288">
        <v>113616</v>
      </c>
      <c r="C505" s="1288" t="s">
        <v>2538</v>
      </c>
      <c r="D505" s="1288"/>
      <c r="E505" s="1288" t="s">
        <v>94</v>
      </c>
      <c r="F505" s="1288" t="s">
        <v>1337</v>
      </c>
      <c r="G505" s="1288" t="s">
        <v>1303</v>
      </c>
      <c r="H505" s="2033">
        <f>IFERROR(VLOOKUP($B505,'[3]1001'!$B$6:$G$5927,2,FALSE),0)</f>
        <v>0</v>
      </c>
      <c r="I505" s="2034">
        <f>IFERROR(VLOOKUP($B505,'[3]1001'!$B$6:$G$5927,4,FALSE),0)</f>
        <v>0</v>
      </c>
      <c r="J505" s="2033">
        <f t="shared" si="42"/>
        <v>0</v>
      </c>
      <c r="K505" s="2035">
        <f>IFERROR(VLOOKUP($B505,'[3]1002'!$B$6:$G$5921,2,FALSE),0)</f>
        <v>0</v>
      </c>
      <c r="L505" s="2036">
        <f>IFERROR(VLOOKUP($B505,'[3]1002'!$B$6:$G$5921,4,FALSE),0)</f>
        <v>0</v>
      </c>
      <c r="M505" s="1763">
        <f t="shared" si="43"/>
        <v>0</v>
      </c>
      <c r="N505" s="2033">
        <f>IFERROR(VLOOKUP($B505,'[3]1003'!$B$6:$G$5921,2,FALSE),0)</f>
        <v>0</v>
      </c>
      <c r="O505" s="2034">
        <f>IFERROR(VLOOKUP($B505,'[3]1003'!$B$6:$G$5921,4,FALSE),0)</f>
        <v>0</v>
      </c>
      <c r="P505" s="2033">
        <f t="shared" si="44"/>
        <v>0</v>
      </c>
      <c r="Q505" s="1763">
        <f>IFERROR(VLOOKUP($B505,'[3]1004'!$B$6:$G$5921,2,FALSE),0)</f>
        <v>0</v>
      </c>
      <c r="R505" s="2036">
        <f>IFERROR(VLOOKUP($B505,'[3]1004'!$B$6:$G$5921,4,FALSE),0)</f>
        <v>0</v>
      </c>
      <c r="S505" s="1763">
        <f t="shared" si="45"/>
        <v>0</v>
      </c>
      <c r="T505" s="2033">
        <f>IFERROR(VLOOKUP($B505,'[3]1006'!$B$6:$G$5921,2,FALSE),0)</f>
        <v>0</v>
      </c>
      <c r="U505" s="2034">
        <f>IFERROR(VLOOKUP($B505,'[3]1006'!$B$6:$G$5921,4,FALSE),0)</f>
        <v>0</v>
      </c>
      <c r="V505" s="2033">
        <f t="shared" si="46"/>
        <v>0</v>
      </c>
      <c r="W505" s="2033">
        <f t="shared" si="47"/>
        <v>0</v>
      </c>
    </row>
    <row r="506" spans="2:23" x14ac:dyDescent="0.15">
      <c r="B506" s="1288">
        <v>113617</v>
      </c>
      <c r="C506" s="1288" t="s">
        <v>2539</v>
      </c>
      <c r="D506" s="1288"/>
      <c r="E506" s="1288" t="s">
        <v>94</v>
      </c>
      <c r="F506" s="1288" t="s">
        <v>1337</v>
      </c>
      <c r="G506" s="1288" t="s">
        <v>1303</v>
      </c>
      <c r="H506" s="2033">
        <f>IFERROR(VLOOKUP($B506,'[3]1001'!$B$6:$G$5927,2,FALSE),0)</f>
        <v>0</v>
      </c>
      <c r="I506" s="2034">
        <f>IFERROR(VLOOKUP($B506,'[3]1001'!$B$6:$G$5927,4,FALSE),0)</f>
        <v>0</v>
      </c>
      <c r="J506" s="2033">
        <f t="shared" si="42"/>
        <v>0</v>
      </c>
      <c r="K506" s="2035">
        <f>IFERROR(VLOOKUP($B506,'[3]1002'!$B$6:$G$5921,2,FALSE),0)</f>
        <v>0</v>
      </c>
      <c r="L506" s="2036">
        <f>IFERROR(VLOOKUP($B506,'[3]1002'!$B$6:$G$5921,4,FALSE),0)</f>
        <v>0</v>
      </c>
      <c r="M506" s="1763">
        <f t="shared" si="43"/>
        <v>0</v>
      </c>
      <c r="N506" s="2033">
        <f>IFERROR(VLOOKUP($B506,'[3]1003'!$B$6:$G$5921,2,FALSE),0)</f>
        <v>0</v>
      </c>
      <c r="O506" s="2034">
        <f>IFERROR(VLOOKUP($B506,'[3]1003'!$B$6:$G$5921,4,FALSE),0)</f>
        <v>0</v>
      </c>
      <c r="P506" s="2033">
        <f t="shared" si="44"/>
        <v>0</v>
      </c>
      <c r="Q506" s="1763">
        <f>IFERROR(VLOOKUP($B506,'[3]1004'!$B$6:$G$5921,2,FALSE),0)</f>
        <v>0</v>
      </c>
      <c r="R506" s="2036">
        <f>IFERROR(VLOOKUP($B506,'[3]1004'!$B$6:$G$5921,4,FALSE),0)</f>
        <v>0</v>
      </c>
      <c r="S506" s="1763">
        <f t="shared" si="45"/>
        <v>0</v>
      </c>
      <c r="T506" s="2033">
        <f>IFERROR(VLOOKUP($B506,'[3]1006'!$B$6:$G$5921,2,FALSE),0)</f>
        <v>0</v>
      </c>
      <c r="U506" s="2034">
        <f>IFERROR(VLOOKUP($B506,'[3]1006'!$B$6:$G$5921,4,FALSE),0)</f>
        <v>0</v>
      </c>
      <c r="V506" s="2033">
        <f t="shared" si="46"/>
        <v>0</v>
      </c>
      <c r="W506" s="2033">
        <f t="shared" si="47"/>
        <v>0</v>
      </c>
    </row>
    <row r="507" spans="2:23" x14ac:dyDescent="0.15">
      <c r="B507" s="1288">
        <v>113618</v>
      </c>
      <c r="C507" s="1288" t="s">
        <v>2540</v>
      </c>
      <c r="D507" s="1288"/>
      <c r="E507" s="1288" t="s">
        <v>94</v>
      </c>
      <c r="F507" s="1288" t="s">
        <v>1337</v>
      </c>
      <c r="G507" s="1288" t="s">
        <v>1303</v>
      </c>
      <c r="H507" s="2033">
        <f>IFERROR(VLOOKUP($B507,'[3]1001'!$B$6:$G$5927,2,FALSE),0)</f>
        <v>0</v>
      </c>
      <c r="I507" s="2034">
        <f>IFERROR(VLOOKUP($B507,'[3]1001'!$B$6:$G$5927,4,FALSE),0)</f>
        <v>0</v>
      </c>
      <c r="J507" s="2033">
        <f t="shared" si="42"/>
        <v>0</v>
      </c>
      <c r="K507" s="2035">
        <f>IFERROR(VLOOKUP($B507,'[3]1002'!$B$6:$G$5921,2,FALSE),0)</f>
        <v>0</v>
      </c>
      <c r="L507" s="2036">
        <f>IFERROR(VLOOKUP($B507,'[3]1002'!$B$6:$G$5921,4,FALSE),0)</f>
        <v>0</v>
      </c>
      <c r="M507" s="1763">
        <f t="shared" si="43"/>
        <v>0</v>
      </c>
      <c r="N507" s="2033">
        <f>IFERROR(VLOOKUP($B507,'[3]1003'!$B$6:$G$5921,2,FALSE),0)</f>
        <v>0</v>
      </c>
      <c r="O507" s="2034">
        <f>IFERROR(VLOOKUP($B507,'[3]1003'!$B$6:$G$5921,4,FALSE),0)</f>
        <v>0</v>
      </c>
      <c r="P507" s="2033">
        <f t="shared" si="44"/>
        <v>0</v>
      </c>
      <c r="Q507" s="1763">
        <f>IFERROR(VLOOKUP($B507,'[3]1004'!$B$6:$G$5921,2,FALSE),0)</f>
        <v>0</v>
      </c>
      <c r="R507" s="2036">
        <f>IFERROR(VLOOKUP($B507,'[3]1004'!$B$6:$G$5921,4,FALSE),0)</f>
        <v>0</v>
      </c>
      <c r="S507" s="1763">
        <f t="shared" si="45"/>
        <v>0</v>
      </c>
      <c r="T507" s="2033">
        <f>IFERROR(VLOOKUP($B507,'[3]1006'!$B$6:$G$5921,2,FALSE),0)</f>
        <v>0</v>
      </c>
      <c r="U507" s="2034">
        <f>IFERROR(VLOOKUP($B507,'[3]1006'!$B$6:$G$5921,4,FALSE),0)</f>
        <v>0</v>
      </c>
      <c r="V507" s="2033">
        <f t="shared" si="46"/>
        <v>0</v>
      </c>
      <c r="W507" s="2033">
        <f t="shared" si="47"/>
        <v>0</v>
      </c>
    </row>
    <row r="508" spans="2:23" x14ac:dyDescent="0.15">
      <c r="B508" s="1288">
        <v>113619</v>
      </c>
      <c r="C508" s="1288" t="s">
        <v>2541</v>
      </c>
      <c r="D508" s="1288"/>
      <c r="E508" s="1288" t="s">
        <v>94</v>
      </c>
      <c r="F508" s="1288" t="s">
        <v>1337</v>
      </c>
      <c r="G508" s="1288" t="s">
        <v>1303</v>
      </c>
      <c r="H508" s="2033">
        <f>IFERROR(VLOOKUP($B508,'[3]1001'!$B$6:$G$5927,2,FALSE),0)</f>
        <v>0</v>
      </c>
      <c r="I508" s="2034">
        <f>IFERROR(VLOOKUP($B508,'[3]1001'!$B$6:$G$5927,4,FALSE),0)</f>
        <v>0</v>
      </c>
      <c r="J508" s="2033">
        <f t="shared" si="42"/>
        <v>0</v>
      </c>
      <c r="K508" s="2035">
        <f>IFERROR(VLOOKUP($B508,'[3]1002'!$B$6:$G$5921,2,FALSE),0)</f>
        <v>0</v>
      </c>
      <c r="L508" s="2036">
        <f>IFERROR(VLOOKUP($B508,'[3]1002'!$B$6:$G$5921,4,FALSE),0)</f>
        <v>0</v>
      </c>
      <c r="M508" s="1763">
        <f t="shared" si="43"/>
        <v>0</v>
      </c>
      <c r="N508" s="2033">
        <f>IFERROR(VLOOKUP($B508,'[3]1003'!$B$6:$G$5921,2,FALSE),0)</f>
        <v>0</v>
      </c>
      <c r="O508" s="2034">
        <f>IFERROR(VLOOKUP($B508,'[3]1003'!$B$6:$G$5921,4,FALSE),0)</f>
        <v>0</v>
      </c>
      <c r="P508" s="2033">
        <f t="shared" si="44"/>
        <v>0</v>
      </c>
      <c r="Q508" s="1763">
        <f>IFERROR(VLOOKUP($B508,'[3]1004'!$B$6:$G$5921,2,FALSE),0)</f>
        <v>0</v>
      </c>
      <c r="R508" s="2036">
        <f>IFERROR(VLOOKUP($B508,'[3]1004'!$B$6:$G$5921,4,FALSE),0)</f>
        <v>0</v>
      </c>
      <c r="S508" s="1763">
        <f t="shared" si="45"/>
        <v>0</v>
      </c>
      <c r="T508" s="2033">
        <f>IFERROR(VLOOKUP($B508,'[3]1006'!$B$6:$G$5921,2,FALSE),0)</f>
        <v>0</v>
      </c>
      <c r="U508" s="2034">
        <f>IFERROR(VLOOKUP($B508,'[3]1006'!$B$6:$G$5921,4,FALSE),0)</f>
        <v>0</v>
      </c>
      <c r="V508" s="2033">
        <f t="shared" si="46"/>
        <v>0</v>
      </c>
      <c r="W508" s="2033">
        <f t="shared" si="47"/>
        <v>0</v>
      </c>
    </row>
    <row r="509" spans="2:23" x14ac:dyDescent="0.15">
      <c r="B509" s="1288">
        <v>113620</v>
      </c>
      <c r="C509" s="1288" t="s">
        <v>2542</v>
      </c>
      <c r="D509" s="1288"/>
      <c r="E509" s="1288" t="s">
        <v>94</v>
      </c>
      <c r="F509" s="1288" t="s">
        <v>1337</v>
      </c>
      <c r="G509" s="1288" t="s">
        <v>1303</v>
      </c>
      <c r="H509" s="2033">
        <f>IFERROR(VLOOKUP($B509,'[3]1001'!$B$6:$G$5927,2,FALSE),0)</f>
        <v>0</v>
      </c>
      <c r="I509" s="2034">
        <f>IFERROR(VLOOKUP($B509,'[3]1001'!$B$6:$G$5927,4,FALSE),0)</f>
        <v>0</v>
      </c>
      <c r="J509" s="2033">
        <f t="shared" si="42"/>
        <v>0</v>
      </c>
      <c r="K509" s="2035">
        <f>IFERROR(VLOOKUP($B509,'[3]1002'!$B$6:$G$5921,2,FALSE),0)</f>
        <v>0</v>
      </c>
      <c r="L509" s="2036">
        <f>IFERROR(VLOOKUP($B509,'[3]1002'!$B$6:$G$5921,4,FALSE),0)</f>
        <v>0</v>
      </c>
      <c r="M509" s="1763">
        <f t="shared" si="43"/>
        <v>0</v>
      </c>
      <c r="N509" s="2033">
        <f>IFERROR(VLOOKUP($B509,'[3]1003'!$B$6:$G$5921,2,FALSE),0)</f>
        <v>0</v>
      </c>
      <c r="O509" s="2034">
        <f>IFERROR(VLOOKUP($B509,'[3]1003'!$B$6:$G$5921,4,FALSE),0)</f>
        <v>0</v>
      </c>
      <c r="P509" s="2033">
        <f t="shared" si="44"/>
        <v>0</v>
      </c>
      <c r="Q509" s="1763">
        <f>IFERROR(VLOOKUP($B509,'[3]1004'!$B$6:$G$5921,2,FALSE),0)</f>
        <v>0</v>
      </c>
      <c r="R509" s="2036">
        <f>IFERROR(VLOOKUP($B509,'[3]1004'!$B$6:$G$5921,4,FALSE),0)</f>
        <v>0</v>
      </c>
      <c r="S509" s="1763">
        <f t="shared" si="45"/>
        <v>0</v>
      </c>
      <c r="T509" s="2033">
        <f>IFERROR(VLOOKUP($B509,'[3]1006'!$B$6:$G$5921,2,FALSE),0)</f>
        <v>0</v>
      </c>
      <c r="U509" s="2034">
        <f>IFERROR(VLOOKUP($B509,'[3]1006'!$B$6:$G$5921,4,FALSE),0)</f>
        <v>0</v>
      </c>
      <c r="V509" s="2033">
        <f t="shared" si="46"/>
        <v>0</v>
      </c>
      <c r="W509" s="2033">
        <f t="shared" si="47"/>
        <v>0</v>
      </c>
    </row>
    <row r="510" spans="2:23" x14ac:dyDescent="0.15">
      <c r="B510" s="1288">
        <v>113621</v>
      </c>
      <c r="C510" s="1288" t="s">
        <v>2543</v>
      </c>
      <c r="D510" s="1288"/>
      <c r="E510" s="1288" t="s">
        <v>94</v>
      </c>
      <c r="F510" s="1288" t="s">
        <v>1337</v>
      </c>
      <c r="G510" s="1288" t="s">
        <v>1303</v>
      </c>
      <c r="H510" s="2033">
        <f>IFERROR(VLOOKUP($B510,'[3]1001'!$B$6:$G$5927,2,FALSE),0)</f>
        <v>0</v>
      </c>
      <c r="I510" s="2034">
        <f>IFERROR(VLOOKUP($B510,'[3]1001'!$B$6:$G$5927,4,FALSE),0)</f>
        <v>0</v>
      </c>
      <c r="J510" s="2033">
        <f t="shared" si="42"/>
        <v>0</v>
      </c>
      <c r="K510" s="2035">
        <f>IFERROR(VLOOKUP($B510,'[3]1002'!$B$6:$G$5921,2,FALSE),0)</f>
        <v>0</v>
      </c>
      <c r="L510" s="2036">
        <f>IFERROR(VLOOKUP($B510,'[3]1002'!$B$6:$G$5921,4,FALSE),0)</f>
        <v>0</v>
      </c>
      <c r="M510" s="1763">
        <f t="shared" si="43"/>
        <v>0</v>
      </c>
      <c r="N510" s="2033">
        <f>IFERROR(VLOOKUP($B510,'[3]1003'!$B$6:$G$5921,2,FALSE),0)</f>
        <v>0</v>
      </c>
      <c r="O510" s="2034">
        <f>IFERROR(VLOOKUP($B510,'[3]1003'!$B$6:$G$5921,4,FALSE),0)</f>
        <v>0</v>
      </c>
      <c r="P510" s="2033">
        <f t="shared" si="44"/>
        <v>0</v>
      </c>
      <c r="Q510" s="1763">
        <f>IFERROR(VLOOKUP($B510,'[3]1004'!$B$6:$G$5921,2,FALSE),0)</f>
        <v>0</v>
      </c>
      <c r="R510" s="2036">
        <f>IFERROR(VLOOKUP($B510,'[3]1004'!$B$6:$G$5921,4,FALSE),0)</f>
        <v>0</v>
      </c>
      <c r="S510" s="1763">
        <f t="shared" si="45"/>
        <v>0</v>
      </c>
      <c r="T510" s="2033">
        <f>IFERROR(VLOOKUP($B510,'[3]1006'!$B$6:$G$5921,2,FALSE),0)</f>
        <v>0</v>
      </c>
      <c r="U510" s="2034">
        <f>IFERROR(VLOOKUP($B510,'[3]1006'!$B$6:$G$5921,4,FALSE),0)</f>
        <v>0</v>
      </c>
      <c r="V510" s="2033">
        <f t="shared" si="46"/>
        <v>0</v>
      </c>
      <c r="W510" s="2033">
        <f t="shared" si="47"/>
        <v>0</v>
      </c>
    </row>
    <row r="511" spans="2:23" x14ac:dyDescent="0.15">
      <c r="B511" s="1288">
        <v>113622</v>
      </c>
      <c r="C511" s="1288" t="s">
        <v>2544</v>
      </c>
      <c r="D511" s="1288"/>
      <c r="E511" s="1288" t="s">
        <v>94</v>
      </c>
      <c r="F511" s="1288" t="s">
        <v>1337</v>
      </c>
      <c r="G511" s="1288" t="s">
        <v>1303</v>
      </c>
      <c r="H511" s="2033">
        <f>IFERROR(VLOOKUP($B511,'[3]1001'!$B$6:$G$5927,2,FALSE),0)</f>
        <v>0</v>
      </c>
      <c r="I511" s="2034">
        <f>IFERROR(VLOOKUP($B511,'[3]1001'!$B$6:$G$5927,4,FALSE),0)</f>
        <v>0</v>
      </c>
      <c r="J511" s="2033">
        <f t="shared" si="42"/>
        <v>0</v>
      </c>
      <c r="K511" s="2035">
        <f>IFERROR(VLOOKUP($B511,'[3]1002'!$B$6:$G$5921,2,FALSE),0)</f>
        <v>0</v>
      </c>
      <c r="L511" s="2036">
        <f>IFERROR(VLOOKUP($B511,'[3]1002'!$B$6:$G$5921,4,FALSE),0)</f>
        <v>0</v>
      </c>
      <c r="M511" s="1763">
        <f t="shared" si="43"/>
        <v>0</v>
      </c>
      <c r="N511" s="2033">
        <f>IFERROR(VLOOKUP($B511,'[3]1003'!$B$6:$G$5921,2,FALSE),0)</f>
        <v>0</v>
      </c>
      <c r="O511" s="2034">
        <f>IFERROR(VLOOKUP($B511,'[3]1003'!$B$6:$G$5921,4,FALSE),0)</f>
        <v>0</v>
      </c>
      <c r="P511" s="2033">
        <f t="shared" si="44"/>
        <v>0</v>
      </c>
      <c r="Q511" s="1763">
        <f>IFERROR(VLOOKUP($B511,'[3]1004'!$B$6:$G$5921,2,FALSE),0)</f>
        <v>0</v>
      </c>
      <c r="R511" s="2036">
        <f>IFERROR(VLOOKUP($B511,'[3]1004'!$B$6:$G$5921,4,FALSE),0)</f>
        <v>0</v>
      </c>
      <c r="S511" s="1763">
        <f t="shared" si="45"/>
        <v>0</v>
      </c>
      <c r="T511" s="2033">
        <f>IFERROR(VLOOKUP($B511,'[3]1006'!$B$6:$G$5921,2,FALSE),0)</f>
        <v>0</v>
      </c>
      <c r="U511" s="2034">
        <f>IFERROR(VLOOKUP($B511,'[3]1006'!$B$6:$G$5921,4,FALSE),0)</f>
        <v>0</v>
      </c>
      <c r="V511" s="2033">
        <f t="shared" si="46"/>
        <v>0</v>
      </c>
      <c r="W511" s="2033">
        <f t="shared" si="47"/>
        <v>0</v>
      </c>
    </row>
    <row r="512" spans="2:23" x14ac:dyDescent="0.15">
      <c r="B512" s="1288">
        <v>113623</v>
      </c>
      <c r="C512" s="1288" t="s">
        <v>2545</v>
      </c>
      <c r="D512" s="1288"/>
      <c r="E512" s="1288" t="s">
        <v>94</v>
      </c>
      <c r="F512" s="1288" t="s">
        <v>1337</v>
      </c>
      <c r="G512" s="1288" t="s">
        <v>1303</v>
      </c>
      <c r="H512" s="2033">
        <f>IFERROR(VLOOKUP($B512,'[3]1001'!$B$6:$G$5927,2,FALSE),0)</f>
        <v>0</v>
      </c>
      <c r="I512" s="2034">
        <f>IFERROR(VLOOKUP($B512,'[3]1001'!$B$6:$G$5927,4,FALSE),0)</f>
        <v>0</v>
      </c>
      <c r="J512" s="2033">
        <f t="shared" si="42"/>
        <v>0</v>
      </c>
      <c r="K512" s="2035">
        <f>IFERROR(VLOOKUP($B512,'[3]1002'!$B$6:$G$5921,2,FALSE),0)</f>
        <v>0</v>
      </c>
      <c r="L512" s="2036">
        <f>IFERROR(VLOOKUP($B512,'[3]1002'!$B$6:$G$5921,4,FALSE),0)</f>
        <v>0</v>
      </c>
      <c r="M512" s="1763">
        <f t="shared" si="43"/>
        <v>0</v>
      </c>
      <c r="N512" s="2033">
        <f>IFERROR(VLOOKUP($B512,'[3]1003'!$B$6:$G$5921,2,FALSE),0)</f>
        <v>0</v>
      </c>
      <c r="O512" s="2034">
        <f>IFERROR(VLOOKUP($B512,'[3]1003'!$B$6:$G$5921,4,FALSE),0)</f>
        <v>0</v>
      </c>
      <c r="P512" s="2033">
        <f t="shared" si="44"/>
        <v>0</v>
      </c>
      <c r="Q512" s="1763">
        <f>IFERROR(VLOOKUP($B512,'[3]1004'!$B$6:$G$5921,2,FALSE),0)</f>
        <v>0</v>
      </c>
      <c r="R512" s="2036">
        <f>IFERROR(VLOOKUP($B512,'[3]1004'!$B$6:$G$5921,4,FALSE),0)</f>
        <v>0</v>
      </c>
      <c r="S512" s="1763">
        <f t="shared" si="45"/>
        <v>0</v>
      </c>
      <c r="T512" s="2033">
        <f>IFERROR(VLOOKUP($B512,'[3]1006'!$B$6:$G$5921,2,FALSE),0)</f>
        <v>0</v>
      </c>
      <c r="U512" s="2034">
        <f>IFERROR(VLOOKUP($B512,'[3]1006'!$B$6:$G$5921,4,FALSE),0)</f>
        <v>0</v>
      </c>
      <c r="V512" s="2033">
        <f t="shared" si="46"/>
        <v>0</v>
      </c>
      <c r="W512" s="2033">
        <f t="shared" si="47"/>
        <v>0</v>
      </c>
    </row>
    <row r="513" spans="2:23" x14ac:dyDescent="0.15">
      <c r="B513" s="1288">
        <v>113624</v>
      </c>
      <c r="C513" s="1288" t="s">
        <v>2546</v>
      </c>
      <c r="D513" s="1288"/>
      <c r="E513" s="1288" t="s">
        <v>94</v>
      </c>
      <c r="F513" s="1288" t="s">
        <v>1337</v>
      </c>
      <c r="G513" s="1288" t="s">
        <v>1303</v>
      </c>
      <c r="H513" s="2033">
        <f>IFERROR(VLOOKUP($B513,'[3]1001'!$B$6:$G$5927,2,FALSE),0)</f>
        <v>0</v>
      </c>
      <c r="I513" s="2034">
        <f>IFERROR(VLOOKUP($B513,'[3]1001'!$B$6:$G$5927,4,FALSE),0)</f>
        <v>0</v>
      </c>
      <c r="J513" s="2033">
        <f t="shared" si="42"/>
        <v>0</v>
      </c>
      <c r="K513" s="2035">
        <f>IFERROR(VLOOKUP($B513,'[3]1002'!$B$6:$G$5921,2,FALSE),0)</f>
        <v>0</v>
      </c>
      <c r="L513" s="2036">
        <f>IFERROR(VLOOKUP($B513,'[3]1002'!$B$6:$G$5921,4,FALSE),0)</f>
        <v>0</v>
      </c>
      <c r="M513" s="1763">
        <f t="shared" si="43"/>
        <v>0</v>
      </c>
      <c r="N513" s="2033">
        <f>IFERROR(VLOOKUP($B513,'[3]1003'!$B$6:$G$5921,2,FALSE),0)</f>
        <v>0</v>
      </c>
      <c r="O513" s="2034">
        <f>IFERROR(VLOOKUP($B513,'[3]1003'!$B$6:$G$5921,4,FALSE),0)</f>
        <v>0</v>
      </c>
      <c r="P513" s="2033">
        <f t="shared" si="44"/>
        <v>0</v>
      </c>
      <c r="Q513" s="1763">
        <f>IFERROR(VLOOKUP($B513,'[3]1004'!$B$6:$G$5921,2,FALSE),0)</f>
        <v>0</v>
      </c>
      <c r="R513" s="2036">
        <f>IFERROR(VLOOKUP($B513,'[3]1004'!$B$6:$G$5921,4,FALSE),0)</f>
        <v>0</v>
      </c>
      <c r="S513" s="1763">
        <f t="shared" si="45"/>
        <v>0</v>
      </c>
      <c r="T513" s="2033">
        <f>IFERROR(VLOOKUP($B513,'[3]1006'!$B$6:$G$5921,2,FALSE),0)</f>
        <v>0</v>
      </c>
      <c r="U513" s="2034">
        <f>IFERROR(VLOOKUP($B513,'[3]1006'!$B$6:$G$5921,4,FALSE),0)</f>
        <v>0</v>
      </c>
      <c r="V513" s="2033">
        <f t="shared" si="46"/>
        <v>0</v>
      </c>
      <c r="W513" s="2033">
        <f t="shared" si="47"/>
        <v>0</v>
      </c>
    </row>
    <row r="514" spans="2:23" x14ac:dyDescent="0.15">
      <c r="B514" s="1288">
        <v>113625</v>
      </c>
      <c r="C514" s="1288" t="s">
        <v>2547</v>
      </c>
      <c r="D514" s="1288"/>
      <c r="E514" s="1288" t="s">
        <v>94</v>
      </c>
      <c r="F514" s="1288" t="s">
        <v>1337</v>
      </c>
      <c r="G514" s="1288" t="s">
        <v>1303</v>
      </c>
      <c r="H514" s="2033">
        <f>IFERROR(VLOOKUP($B514,'[3]1001'!$B$6:$G$5927,2,FALSE),0)</f>
        <v>0</v>
      </c>
      <c r="I514" s="2034">
        <f>IFERROR(VLOOKUP($B514,'[3]1001'!$B$6:$G$5927,4,FALSE),0)</f>
        <v>0</v>
      </c>
      <c r="J514" s="2033">
        <f t="shared" si="42"/>
        <v>0</v>
      </c>
      <c r="K514" s="2035">
        <f>IFERROR(VLOOKUP($B514,'[3]1002'!$B$6:$G$5921,2,FALSE),0)</f>
        <v>0</v>
      </c>
      <c r="L514" s="2036">
        <f>IFERROR(VLOOKUP($B514,'[3]1002'!$B$6:$G$5921,4,FALSE),0)</f>
        <v>0</v>
      </c>
      <c r="M514" s="1763">
        <f t="shared" si="43"/>
        <v>0</v>
      </c>
      <c r="N514" s="2033">
        <f>IFERROR(VLOOKUP($B514,'[3]1003'!$B$6:$G$5921,2,FALSE),0)</f>
        <v>0</v>
      </c>
      <c r="O514" s="2034">
        <f>IFERROR(VLOOKUP($B514,'[3]1003'!$B$6:$G$5921,4,FALSE),0)</f>
        <v>0</v>
      </c>
      <c r="P514" s="2033">
        <f t="shared" si="44"/>
        <v>0</v>
      </c>
      <c r="Q514" s="1763">
        <f>IFERROR(VLOOKUP($B514,'[3]1004'!$B$6:$G$5921,2,FALSE),0)</f>
        <v>0</v>
      </c>
      <c r="R514" s="2036">
        <f>IFERROR(VLOOKUP($B514,'[3]1004'!$B$6:$G$5921,4,FALSE),0)</f>
        <v>0</v>
      </c>
      <c r="S514" s="1763">
        <f t="shared" si="45"/>
        <v>0</v>
      </c>
      <c r="T514" s="2033">
        <f>IFERROR(VLOOKUP($B514,'[3]1006'!$B$6:$G$5921,2,FALSE),0)</f>
        <v>0</v>
      </c>
      <c r="U514" s="2034">
        <f>IFERROR(VLOOKUP($B514,'[3]1006'!$B$6:$G$5921,4,FALSE),0)</f>
        <v>0</v>
      </c>
      <c r="V514" s="2033">
        <f t="shared" si="46"/>
        <v>0</v>
      </c>
      <c r="W514" s="2033">
        <f t="shared" si="47"/>
        <v>0</v>
      </c>
    </row>
    <row r="515" spans="2:23" x14ac:dyDescent="0.15">
      <c r="B515" s="1288">
        <v>113626</v>
      </c>
      <c r="C515" s="1288" t="s">
        <v>2548</v>
      </c>
      <c r="D515" s="1288"/>
      <c r="E515" s="1288" t="s">
        <v>94</v>
      </c>
      <c r="F515" s="1288" t="s">
        <v>1337</v>
      </c>
      <c r="G515" s="1288" t="s">
        <v>1303</v>
      </c>
      <c r="H515" s="2033">
        <f>IFERROR(VLOOKUP($B515,'[3]1001'!$B$6:$G$5927,2,FALSE),0)</f>
        <v>0</v>
      </c>
      <c r="I515" s="2034">
        <f>IFERROR(VLOOKUP($B515,'[3]1001'!$B$6:$G$5927,4,FALSE),0)</f>
        <v>0</v>
      </c>
      <c r="J515" s="2033">
        <f t="shared" si="42"/>
        <v>0</v>
      </c>
      <c r="K515" s="2035">
        <f>IFERROR(VLOOKUP($B515,'[3]1002'!$B$6:$G$5921,2,FALSE),0)</f>
        <v>0</v>
      </c>
      <c r="L515" s="2036">
        <f>IFERROR(VLOOKUP($B515,'[3]1002'!$B$6:$G$5921,4,FALSE),0)</f>
        <v>0</v>
      </c>
      <c r="M515" s="1763">
        <f t="shared" si="43"/>
        <v>0</v>
      </c>
      <c r="N515" s="2033">
        <f>IFERROR(VLOOKUP($B515,'[3]1003'!$B$6:$G$5921,2,FALSE),0)</f>
        <v>0</v>
      </c>
      <c r="O515" s="2034">
        <f>IFERROR(VLOOKUP($B515,'[3]1003'!$B$6:$G$5921,4,FALSE),0)</f>
        <v>0</v>
      </c>
      <c r="P515" s="2033">
        <f t="shared" si="44"/>
        <v>0</v>
      </c>
      <c r="Q515" s="1763">
        <f>IFERROR(VLOOKUP($B515,'[3]1004'!$B$6:$G$5921,2,FALSE),0)</f>
        <v>0</v>
      </c>
      <c r="R515" s="2036">
        <f>IFERROR(VLOOKUP($B515,'[3]1004'!$B$6:$G$5921,4,FALSE),0)</f>
        <v>0</v>
      </c>
      <c r="S515" s="1763">
        <f t="shared" si="45"/>
        <v>0</v>
      </c>
      <c r="T515" s="2033">
        <f>IFERROR(VLOOKUP($B515,'[3]1006'!$B$6:$G$5921,2,FALSE),0)</f>
        <v>0</v>
      </c>
      <c r="U515" s="2034">
        <f>IFERROR(VLOOKUP($B515,'[3]1006'!$B$6:$G$5921,4,FALSE),0)</f>
        <v>0</v>
      </c>
      <c r="V515" s="2033">
        <f t="shared" si="46"/>
        <v>0</v>
      </c>
      <c r="W515" s="2033">
        <f t="shared" si="47"/>
        <v>0</v>
      </c>
    </row>
    <row r="516" spans="2:23" x14ac:dyDescent="0.15">
      <c r="B516" s="1288">
        <v>113627</v>
      </c>
      <c r="C516" s="1288" t="s">
        <v>2549</v>
      </c>
      <c r="D516" s="1288"/>
      <c r="E516" s="1288" t="s">
        <v>94</v>
      </c>
      <c r="F516" s="1288" t="s">
        <v>1337</v>
      </c>
      <c r="G516" s="1288" t="s">
        <v>1303</v>
      </c>
      <c r="H516" s="2033">
        <f>IFERROR(VLOOKUP($B516,'[3]1001'!$B$6:$G$5927,2,FALSE),0)</f>
        <v>0</v>
      </c>
      <c r="I516" s="2034">
        <f>IFERROR(VLOOKUP($B516,'[3]1001'!$B$6:$G$5927,4,FALSE),0)</f>
        <v>0</v>
      </c>
      <c r="J516" s="2033">
        <f t="shared" si="42"/>
        <v>0</v>
      </c>
      <c r="K516" s="2035">
        <f>IFERROR(VLOOKUP($B516,'[3]1002'!$B$6:$G$5921,2,FALSE),0)</f>
        <v>0</v>
      </c>
      <c r="L516" s="2036">
        <f>IFERROR(VLOOKUP($B516,'[3]1002'!$B$6:$G$5921,4,FALSE),0)</f>
        <v>0</v>
      </c>
      <c r="M516" s="1763">
        <f t="shared" si="43"/>
        <v>0</v>
      </c>
      <c r="N516" s="2033">
        <f>IFERROR(VLOOKUP($B516,'[3]1003'!$B$6:$G$5921,2,FALSE),0)</f>
        <v>0</v>
      </c>
      <c r="O516" s="2034">
        <f>IFERROR(VLOOKUP($B516,'[3]1003'!$B$6:$G$5921,4,FALSE),0)</f>
        <v>0</v>
      </c>
      <c r="P516" s="2033">
        <f t="shared" si="44"/>
        <v>0</v>
      </c>
      <c r="Q516" s="1763">
        <f>IFERROR(VLOOKUP($B516,'[3]1004'!$B$6:$G$5921,2,FALSE),0)</f>
        <v>0</v>
      </c>
      <c r="R516" s="2036">
        <f>IFERROR(VLOOKUP($B516,'[3]1004'!$B$6:$G$5921,4,FALSE),0)</f>
        <v>0</v>
      </c>
      <c r="S516" s="1763">
        <f t="shared" si="45"/>
        <v>0</v>
      </c>
      <c r="T516" s="2033">
        <f>IFERROR(VLOOKUP($B516,'[3]1006'!$B$6:$G$5921,2,FALSE),0)</f>
        <v>0</v>
      </c>
      <c r="U516" s="2034">
        <f>IFERROR(VLOOKUP($B516,'[3]1006'!$B$6:$G$5921,4,FALSE),0)</f>
        <v>0</v>
      </c>
      <c r="V516" s="2033">
        <f t="shared" si="46"/>
        <v>0</v>
      </c>
      <c r="W516" s="2033">
        <f t="shared" si="47"/>
        <v>0</v>
      </c>
    </row>
    <row r="517" spans="2:23" x14ac:dyDescent="0.15">
      <c r="B517" s="1288">
        <v>113628</v>
      </c>
      <c r="C517" s="1288" t="s">
        <v>2550</v>
      </c>
      <c r="D517" s="1288"/>
      <c r="E517" s="1288" t="s">
        <v>94</v>
      </c>
      <c r="F517" s="1288" t="s">
        <v>1337</v>
      </c>
      <c r="G517" s="1288" t="s">
        <v>1303</v>
      </c>
      <c r="H517" s="2033">
        <f>IFERROR(VLOOKUP($B517,'[3]1001'!$B$6:$G$5927,2,FALSE),0)</f>
        <v>0</v>
      </c>
      <c r="I517" s="2034">
        <f>IFERROR(VLOOKUP($B517,'[3]1001'!$B$6:$G$5927,4,FALSE),0)</f>
        <v>0</v>
      </c>
      <c r="J517" s="2033">
        <f t="shared" si="42"/>
        <v>0</v>
      </c>
      <c r="K517" s="2035">
        <f>IFERROR(VLOOKUP($B517,'[3]1002'!$B$6:$G$5921,2,FALSE),0)</f>
        <v>0</v>
      </c>
      <c r="L517" s="2036">
        <f>IFERROR(VLOOKUP($B517,'[3]1002'!$B$6:$G$5921,4,FALSE),0)</f>
        <v>0</v>
      </c>
      <c r="M517" s="1763">
        <f t="shared" si="43"/>
        <v>0</v>
      </c>
      <c r="N517" s="2033">
        <f>IFERROR(VLOOKUP($B517,'[3]1003'!$B$6:$G$5921,2,FALSE),0)</f>
        <v>0</v>
      </c>
      <c r="O517" s="2034">
        <f>IFERROR(VLOOKUP($B517,'[3]1003'!$B$6:$G$5921,4,FALSE),0)</f>
        <v>0</v>
      </c>
      <c r="P517" s="2033">
        <f t="shared" si="44"/>
        <v>0</v>
      </c>
      <c r="Q517" s="1763">
        <f>IFERROR(VLOOKUP($B517,'[3]1004'!$B$6:$G$5921,2,FALSE),0)</f>
        <v>0</v>
      </c>
      <c r="R517" s="2036">
        <f>IFERROR(VLOOKUP($B517,'[3]1004'!$B$6:$G$5921,4,FALSE),0)</f>
        <v>0</v>
      </c>
      <c r="S517" s="1763">
        <f t="shared" si="45"/>
        <v>0</v>
      </c>
      <c r="T517" s="2033">
        <f>IFERROR(VLOOKUP($B517,'[3]1006'!$B$6:$G$5921,2,FALSE),0)</f>
        <v>0</v>
      </c>
      <c r="U517" s="2034">
        <f>IFERROR(VLOOKUP($B517,'[3]1006'!$B$6:$G$5921,4,FALSE),0)</f>
        <v>0</v>
      </c>
      <c r="V517" s="2033">
        <f t="shared" si="46"/>
        <v>0</v>
      </c>
      <c r="W517" s="2033">
        <f t="shared" si="47"/>
        <v>0</v>
      </c>
    </row>
    <row r="518" spans="2:23" x14ac:dyDescent="0.15">
      <c r="B518" s="1288">
        <v>113629</v>
      </c>
      <c r="C518" s="1288" t="s">
        <v>2551</v>
      </c>
      <c r="D518" s="1288"/>
      <c r="E518" s="1288" t="s">
        <v>94</v>
      </c>
      <c r="F518" s="1288" t="s">
        <v>1337</v>
      </c>
      <c r="G518" s="1288" t="s">
        <v>1303</v>
      </c>
      <c r="H518" s="2033">
        <f>IFERROR(VLOOKUP($B518,'[3]1001'!$B$6:$G$5927,2,FALSE),0)</f>
        <v>0</v>
      </c>
      <c r="I518" s="2034">
        <f>IFERROR(VLOOKUP($B518,'[3]1001'!$B$6:$G$5927,4,FALSE),0)</f>
        <v>0</v>
      </c>
      <c r="J518" s="2033">
        <f t="shared" ref="J518:J581" si="48">IF(H518=0,0,H518/I518)</f>
        <v>0</v>
      </c>
      <c r="K518" s="2035">
        <f>IFERROR(VLOOKUP($B518,'[3]1002'!$B$6:$G$5921,2,FALSE),0)</f>
        <v>0</v>
      </c>
      <c r="L518" s="2036">
        <f>IFERROR(VLOOKUP($B518,'[3]1002'!$B$6:$G$5921,4,FALSE),0)</f>
        <v>0</v>
      </c>
      <c r="M518" s="1763">
        <f t="shared" ref="M518:M581" si="49">IF(K518=0,0,K518/L518)</f>
        <v>0</v>
      </c>
      <c r="N518" s="2033">
        <f>IFERROR(VLOOKUP($B518,'[3]1003'!$B$6:$G$5921,2,FALSE),0)</f>
        <v>0</v>
      </c>
      <c r="O518" s="2034">
        <f>IFERROR(VLOOKUP($B518,'[3]1003'!$B$6:$G$5921,4,FALSE),0)</f>
        <v>0</v>
      </c>
      <c r="P518" s="2033">
        <f t="shared" ref="P518:P581" si="50">IF(N518=0,0,N518/O518)</f>
        <v>0</v>
      </c>
      <c r="Q518" s="1763">
        <f>IFERROR(VLOOKUP($B518,'[3]1004'!$B$6:$G$5921,2,FALSE),0)</f>
        <v>0</v>
      </c>
      <c r="R518" s="2036">
        <f>IFERROR(VLOOKUP($B518,'[3]1004'!$B$6:$G$5921,4,FALSE),0)</f>
        <v>0</v>
      </c>
      <c r="S518" s="1763">
        <f t="shared" ref="S518:S581" si="51">IF(Q518=0,0,Q518/R518)</f>
        <v>0</v>
      </c>
      <c r="T518" s="2033">
        <f>IFERROR(VLOOKUP($B518,'[3]1006'!$B$6:$G$5921,2,FALSE),0)</f>
        <v>0</v>
      </c>
      <c r="U518" s="2034">
        <f>IFERROR(VLOOKUP($B518,'[3]1006'!$B$6:$G$5921,4,FALSE),0)</f>
        <v>0</v>
      </c>
      <c r="V518" s="2033">
        <f t="shared" ref="V518:V581" si="52">IF(T518=0,0,T518/U518)</f>
        <v>0</v>
      </c>
      <c r="W518" s="2033">
        <f t="shared" ref="W518:W581" si="53">U518+R518+O518+L518+I518</f>
        <v>0</v>
      </c>
    </row>
    <row r="519" spans="2:23" x14ac:dyDescent="0.15">
      <c r="B519" s="1288">
        <v>113630</v>
      </c>
      <c r="C519" s="1288" t="s">
        <v>2552</v>
      </c>
      <c r="D519" s="1288"/>
      <c r="E519" s="1288" t="s">
        <v>94</v>
      </c>
      <c r="F519" s="1288" t="s">
        <v>1337</v>
      </c>
      <c r="G519" s="1288" t="s">
        <v>1303</v>
      </c>
      <c r="H519" s="2033">
        <f>IFERROR(VLOOKUP($B519,'[3]1001'!$B$6:$G$5927,2,FALSE),0)</f>
        <v>0</v>
      </c>
      <c r="I519" s="2034">
        <f>IFERROR(VLOOKUP($B519,'[3]1001'!$B$6:$G$5927,4,FALSE),0)</f>
        <v>0</v>
      </c>
      <c r="J519" s="2033">
        <f t="shared" si="48"/>
        <v>0</v>
      </c>
      <c r="K519" s="2035">
        <f>IFERROR(VLOOKUP($B519,'[3]1002'!$B$6:$G$5921,2,FALSE),0)</f>
        <v>0</v>
      </c>
      <c r="L519" s="2036">
        <f>IFERROR(VLOOKUP($B519,'[3]1002'!$B$6:$G$5921,4,FALSE),0)</f>
        <v>0</v>
      </c>
      <c r="M519" s="1763">
        <f t="shared" si="49"/>
        <v>0</v>
      </c>
      <c r="N519" s="2033">
        <f>IFERROR(VLOOKUP($B519,'[3]1003'!$B$6:$G$5921,2,FALSE),0)</f>
        <v>0</v>
      </c>
      <c r="O519" s="2034">
        <f>IFERROR(VLOOKUP($B519,'[3]1003'!$B$6:$G$5921,4,FALSE),0)</f>
        <v>0</v>
      </c>
      <c r="P519" s="2033">
        <f t="shared" si="50"/>
        <v>0</v>
      </c>
      <c r="Q519" s="1763">
        <f>IFERROR(VLOOKUP($B519,'[3]1004'!$B$6:$G$5921,2,FALSE),0)</f>
        <v>0</v>
      </c>
      <c r="R519" s="2036">
        <f>IFERROR(VLOOKUP($B519,'[3]1004'!$B$6:$G$5921,4,FALSE),0)</f>
        <v>0</v>
      </c>
      <c r="S519" s="1763">
        <f t="shared" si="51"/>
        <v>0</v>
      </c>
      <c r="T519" s="2033">
        <f>IFERROR(VLOOKUP($B519,'[3]1006'!$B$6:$G$5921,2,FALSE),0)</f>
        <v>0</v>
      </c>
      <c r="U519" s="2034">
        <f>IFERROR(VLOOKUP($B519,'[3]1006'!$B$6:$G$5921,4,FALSE),0)</f>
        <v>0</v>
      </c>
      <c r="V519" s="2033">
        <f t="shared" si="52"/>
        <v>0</v>
      </c>
      <c r="W519" s="2033">
        <f t="shared" si="53"/>
        <v>0</v>
      </c>
    </row>
    <row r="520" spans="2:23" x14ac:dyDescent="0.15">
      <c r="B520" s="1288">
        <v>113631</v>
      </c>
      <c r="C520" s="1288" t="s">
        <v>2553</v>
      </c>
      <c r="D520" s="1288"/>
      <c r="E520" s="1288" t="s">
        <v>94</v>
      </c>
      <c r="F520" s="1288" t="s">
        <v>1337</v>
      </c>
      <c r="G520" s="1288" t="s">
        <v>1303</v>
      </c>
      <c r="H520" s="2033">
        <f>IFERROR(VLOOKUP($B520,'[3]1001'!$B$6:$G$5927,2,FALSE),0)</f>
        <v>0</v>
      </c>
      <c r="I520" s="2034">
        <f>IFERROR(VLOOKUP($B520,'[3]1001'!$B$6:$G$5927,4,FALSE),0)</f>
        <v>0</v>
      </c>
      <c r="J520" s="2033">
        <f t="shared" si="48"/>
        <v>0</v>
      </c>
      <c r="K520" s="2035">
        <f>IFERROR(VLOOKUP($B520,'[3]1002'!$B$6:$G$5921,2,FALSE),0)</f>
        <v>0</v>
      </c>
      <c r="L520" s="2036">
        <f>IFERROR(VLOOKUP($B520,'[3]1002'!$B$6:$G$5921,4,FALSE),0)</f>
        <v>0</v>
      </c>
      <c r="M520" s="1763">
        <f t="shared" si="49"/>
        <v>0</v>
      </c>
      <c r="N520" s="2033">
        <f>IFERROR(VLOOKUP($B520,'[3]1003'!$B$6:$G$5921,2,FALSE),0)</f>
        <v>0</v>
      </c>
      <c r="O520" s="2034">
        <f>IFERROR(VLOOKUP($B520,'[3]1003'!$B$6:$G$5921,4,FALSE),0)</f>
        <v>0</v>
      </c>
      <c r="P520" s="2033">
        <f t="shared" si="50"/>
        <v>0</v>
      </c>
      <c r="Q520" s="1763">
        <f>IFERROR(VLOOKUP($B520,'[3]1004'!$B$6:$G$5921,2,FALSE),0)</f>
        <v>0</v>
      </c>
      <c r="R520" s="2036">
        <f>IFERROR(VLOOKUP($B520,'[3]1004'!$B$6:$G$5921,4,FALSE),0)</f>
        <v>0</v>
      </c>
      <c r="S520" s="1763">
        <f t="shared" si="51"/>
        <v>0</v>
      </c>
      <c r="T520" s="2033">
        <f>IFERROR(VLOOKUP($B520,'[3]1006'!$B$6:$G$5921,2,FALSE),0)</f>
        <v>0</v>
      </c>
      <c r="U520" s="2034">
        <f>IFERROR(VLOOKUP($B520,'[3]1006'!$B$6:$G$5921,4,FALSE),0)</f>
        <v>0</v>
      </c>
      <c r="V520" s="2033">
        <f t="shared" si="52"/>
        <v>0</v>
      </c>
      <c r="W520" s="2033">
        <f t="shared" si="53"/>
        <v>0</v>
      </c>
    </row>
    <row r="521" spans="2:23" x14ac:dyDescent="0.15">
      <c r="B521" s="1288">
        <v>113632</v>
      </c>
      <c r="C521" s="1288" t="s">
        <v>2554</v>
      </c>
      <c r="D521" s="1288"/>
      <c r="E521" s="1288" t="s">
        <v>94</v>
      </c>
      <c r="F521" s="1288" t="s">
        <v>1337</v>
      </c>
      <c r="G521" s="1288" t="s">
        <v>1303</v>
      </c>
      <c r="H521" s="2033">
        <f>IFERROR(VLOOKUP($B521,'[3]1001'!$B$6:$G$5927,2,FALSE),0)</f>
        <v>0</v>
      </c>
      <c r="I521" s="2034">
        <f>IFERROR(VLOOKUP($B521,'[3]1001'!$B$6:$G$5927,4,FALSE),0)</f>
        <v>0</v>
      </c>
      <c r="J521" s="2033">
        <f t="shared" si="48"/>
        <v>0</v>
      </c>
      <c r="K521" s="2035">
        <f>IFERROR(VLOOKUP($B521,'[3]1002'!$B$6:$G$5921,2,FALSE),0)</f>
        <v>0</v>
      </c>
      <c r="L521" s="2036">
        <f>IFERROR(VLOOKUP($B521,'[3]1002'!$B$6:$G$5921,4,FALSE),0)</f>
        <v>0</v>
      </c>
      <c r="M521" s="1763">
        <f t="shared" si="49"/>
        <v>0</v>
      </c>
      <c r="N521" s="2033">
        <f>IFERROR(VLOOKUP($B521,'[3]1003'!$B$6:$G$5921,2,FALSE),0)</f>
        <v>0</v>
      </c>
      <c r="O521" s="2034">
        <f>IFERROR(VLOOKUP($B521,'[3]1003'!$B$6:$G$5921,4,FALSE),0)</f>
        <v>0</v>
      </c>
      <c r="P521" s="2033">
        <f t="shared" si="50"/>
        <v>0</v>
      </c>
      <c r="Q521" s="1763">
        <f>IFERROR(VLOOKUP($B521,'[3]1004'!$B$6:$G$5921,2,FALSE),0)</f>
        <v>0</v>
      </c>
      <c r="R521" s="2036">
        <f>IFERROR(VLOOKUP($B521,'[3]1004'!$B$6:$G$5921,4,FALSE),0)</f>
        <v>0</v>
      </c>
      <c r="S521" s="1763">
        <f t="shared" si="51"/>
        <v>0</v>
      </c>
      <c r="T521" s="2033">
        <f>IFERROR(VLOOKUP($B521,'[3]1006'!$B$6:$G$5921,2,FALSE),0)</f>
        <v>0</v>
      </c>
      <c r="U521" s="2034">
        <f>IFERROR(VLOOKUP($B521,'[3]1006'!$B$6:$G$5921,4,FALSE),0)</f>
        <v>0</v>
      </c>
      <c r="V521" s="2033">
        <f t="shared" si="52"/>
        <v>0</v>
      </c>
      <c r="W521" s="2033">
        <f t="shared" si="53"/>
        <v>0</v>
      </c>
    </row>
    <row r="522" spans="2:23" x14ac:dyDescent="0.15">
      <c r="B522" s="1288">
        <v>113633</v>
      </c>
      <c r="C522" s="1288" t="s">
        <v>2555</v>
      </c>
      <c r="D522" s="1288"/>
      <c r="E522" s="1288" t="s">
        <v>94</v>
      </c>
      <c r="F522" s="1288" t="s">
        <v>1337</v>
      </c>
      <c r="G522" s="1288" t="s">
        <v>1303</v>
      </c>
      <c r="H522" s="2033">
        <f>IFERROR(VLOOKUP($B522,'[3]1001'!$B$6:$G$5927,2,FALSE),0)</f>
        <v>0</v>
      </c>
      <c r="I522" s="2034">
        <f>IFERROR(VLOOKUP($B522,'[3]1001'!$B$6:$G$5927,4,FALSE),0)</f>
        <v>0</v>
      </c>
      <c r="J522" s="2033">
        <f t="shared" si="48"/>
        <v>0</v>
      </c>
      <c r="K522" s="2035">
        <f>IFERROR(VLOOKUP($B522,'[3]1002'!$B$6:$G$5921,2,FALSE),0)</f>
        <v>0</v>
      </c>
      <c r="L522" s="2036">
        <f>IFERROR(VLOOKUP($B522,'[3]1002'!$B$6:$G$5921,4,FALSE),0)</f>
        <v>0</v>
      </c>
      <c r="M522" s="1763">
        <f t="shared" si="49"/>
        <v>0</v>
      </c>
      <c r="N522" s="2033">
        <f>IFERROR(VLOOKUP($B522,'[3]1003'!$B$6:$G$5921,2,FALSE),0)</f>
        <v>0</v>
      </c>
      <c r="O522" s="2034">
        <f>IFERROR(VLOOKUP($B522,'[3]1003'!$B$6:$G$5921,4,FALSE),0)</f>
        <v>0</v>
      </c>
      <c r="P522" s="2033">
        <f t="shared" si="50"/>
        <v>0</v>
      </c>
      <c r="Q522" s="1763">
        <f>IFERROR(VLOOKUP($B522,'[3]1004'!$B$6:$G$5921,2,FALSE),0)</f>
        <v>0</v>
      </c>
      <c r="R522" s="2036">
        <f>IFERROR(VLOOKUP($B522,'[3]1004'!$B$6:$G$5921,4,FALSE),0)</f>
        <v>0</v>
      </c>
      <c r="S522" s="1763">
        <f t="shared" si="51"/>
        <v>0</v>
      </c>
      <c r="T522" s="2033">
        <f>IFERROR(VLOOKUP($B522,'[3]1006'!$B$6:$G$5921,2,FALSE),0)</f>
        <v>0</v>
      </c>
      <c r="U522" s="2034">
        <f>IFERROR(VLOOKUP($B522,'[3]1006'!$B$6:$G$5921,4,FALSE),0)</f>
        <v>0</v>
      </c>
      <c r="V522" s="2033">
        <f t="shared" si="52"/>
        <v>0</v>
      </c>
      <c r="W522" s="2033">
        <f t="shared" si="53"/>
        <v>0</v>
      </c>
    </row>
    <row r="523" spans="2:23" x14ac:dyDescent="0.15">
      <c r="B523" s="1288">
        <v>113634</v>
      </c>
      <c r="C523" s="1288" t="s">
        <v>2556</v>
      </c>
      <c r="D523" s="1288"/>
      <c r="E523" s="1288" t="s">
        <v>94</v>
      </c>
      <c r="F523" s="1288" t="s">
        <v>1337</v>
      </c>
      <c r="G523" s="1288" t="s">
        <v>1303</v>
      </c>
      <c r="H523" s="2033">
        <f>IFERROR(VLOOKUP($B523,'[3]1001'!$B$6:$G$5927,2,FALSE),0)</f>
        <v>0</v>
      </c>
      <c r="I523" s="2034">
        <f>IFERROR(VLOOKUP($B523,'[3]1001'!$B$6:$G$5927,4,FALSE),0)</f>
        <v>0</v>
      </c>
      <c r="J523" s="2033">
        <f t="shared" si="48"/>
        <v>0</v>
      </c>
      <c r="K523" s="2035">
        <f>IFERROR(VLOOKUP($B523,'[3]1002'!$B$6:$G$5921,2,FALSE),0)</f>
        <v>0</v>
      </c>
      <c r="L523" s="2036">
        <f>IFERROR(VLOOKUP($B523,'[3]1002'!$B$6:$G$5921,4,FALSE),0)</f>
        <v>0</v>
      </c>
      <c r="M523" s="1763">
        <f t="shared" si="49"/>
        <v>0</v>
      </c>
      <c r="N523" s="2033">
        <f>IFERROR(VLOOKUP($B523,'[3]1003'!$B$6:$G$5921,2,FALSE),0)</f>
        <v>0</v>
      </c>
      <c r="O523" s="2034">
        <f>IFERROR(VLOOKUP($B523,'[3]1003'!$B$6:$G$5921,4,FALSE),0)</f>
        <v>0</v>
      </c>
      <c r="P523" s="2033">
        <f t="shared" si="50"/>
        <v>0</v>
      </c>
      <c r="Q523" s="1763">
        <f>IFERROR(VLOOKUP($B523,'[3]1004'!$B$6:$G$5921,2,FALSE),0)</f>
        <v>0</v>
      </c>
      <c r="R523" s="2036">
        <f>IFERROR(VLOOKUP($B523,'[3]1004'!$B$6:$G$5921,4,FALSE),0)</f>
        <v>0</v>
      </c>
      <c r="S523" s="1763">
        <f t="shared" si="51"/>
        <v>0</v>
      </c>
      <c r="T523" s="2033">
        <f>IFERROR(VLOOKUP($B523,'[3]1006'!$B$6:$G$5921,2,FALSE),0)</f>
        <v>0</v>
      </c>
      <c r="U523" s="2034">
        <f>IFERROR(VLOOKUP($B523,'[3]1006'!$B$6:$G$5921,4,FALSE),0)</f>
        <v>0</v>
      </c>
      <c r="V523" s="2033">
        <f t="shared" si="52"/>
        <v>0</v>
      </c>
      <c r="W523" s="2033">
        <f t="shared" si="53"/>
        <v>0</v>
      </c>
    </row>
    <row r="524" spans="2:23" x14ac:dyDescent="0.15">
      <c r="B524" s="1288">
        <v>113635</v>
      </c>
      <c r="C524" s="1288" t="s">
        <v>2557</v>
      </c>
      <c r="D524" s="1288"/>
      <c r="E524" s="1288" t="s">
        <v>94</v>
      </c>
      <c r="F524" s="1288" t="s">
        <v>1337</v>
      </c>
      <c r="G524" s="1288" t="s">
        <v>1303</v>
      </c>
      <c r="H524" s="2033">
        <f>IFERROR(VLOOKUP($B524,'[3]1001'!$B$6:$G$5927,2,FALSE),0)</f>
        <v>0</v>
      </c>
      <c r="I524" s="2034">
        <f>IFERROR(VLOOKUP($B524,'[3]1001'!$B$6:$G$5927,4,FALSE),0)</f>
        <v>0</v>
      </c>
      <c r="J524" s="2033">
        <f t="shared" si="48"/>
        <v>0</v>
      </c>
      <c r="K524" s="2035">
        <f>IFERROR(VLOOKUP($B524,'[3]1002'!$B$6:$G$5921,2,FALSE),0)</f>
        <v>0</v>
      </c>
      <c r="L524" s="2036">
        <f>IFERROR(VLOOKUP($B524,'[3]1002'!$B$6:$G$5921,4,FALSE),0)</f>
        <v>0</v>
      </c>
      <c r="M524" s="1763">
        <f t="shared" si="49"/>
        <v>0</v>
      </c>
      <c r="N524" s="2033">
        <f>IFERROR(VLOOKUP($B524,'[3]1003'!$B$6:$G$5921,2,FALSE),0)</f>
        <v>0</v>
      </c>
      <c r="O524" s="2034">
        <f>IFERROR(VLOOKUP($B524,'[3]1003'!$B$6:$G$5921,4,FALSE),0)</f>
        <v>0</v>
      </c>
      <c r="P524" s="2033">
        <f t="shared" si="50"/>
        <v>0</v>
      </c>
      <c r="Q524" s="1763">
        <f>IFERROR(VLOOKUP($B524,'[3]1004'!$B$6:$G$5921,2,FALSE),0)</f>
        <v>0</v>
      </c>
      <c r="R524" s="2036">
        <f>IFERROR(VLOOKUP($B524,'[3]1004'!$B$6:$G$5921,4,FALSE),0)</f>
        <v>0</v>
      </c>
      <c r="S524" s="1763">
        <f t="shared" si="51"/>
        <v>0</v>
      </c>
      <c r="T524" s="2033">
        <f>IFERROR(VLOOKUP($B524,'[3]1006'!$B$6:$G$5921,2,FALSE),0)</f>
        <v>0</v>
      </c>
      <c r="U524" s="2034">
        <f>IFERROR(VLOOKUP($B524,'[3]1006'!$B$6:$G$5921,4,FALSE),0)</f>
        <v>0</v>
      </c>
      <c r="V524" s="2033">
        <f t="shared" si="52"/>
        <v>0</v>
      </c>
      <c r="W524" s="2033">
        <f t="shared" si="53"/>
        <v>0</v>
      </c>
    </row>
    <row r="525" spans="2:23" x14ac:dyDescent="0.15">
      <c r="B525" s="1288">
        <v>113636</v>
      </c>
      <c r="C525" s="1288" t="s">
        <v>2558</v>
      </c>
      <c r="D525" s="1288"/>
      <c r="E525" s="1288" t="s">
        <v>94</v>
      </c>
      <c r="F525" s="1288" t="s">
        <v>1337</v>
      </c>
      <c r="G525" s="1288" t="s">
        <v>1303</v>
      </c>
      <c r="H525" s="2033">
        <f>IFERROR(VLOOKUP($B525,'[3]1001'!$B$6:$G$5927,2,FALSE),0)</f>
        <v>0</v>
      </c>
      <c r="I525" s="2034">
        <f>IFERROR(VLOOKUP($B525,'[3]1001'!$B$6:$G$5927,4,FALSE),0)</f>
        <v>0</v>
      </c>
      <c r="J525" s="2033">
        <f t="shared" si="48"/>
        <v>0</v>
      </c>
      <c r="K525" s="2035">
        <f>IFERROR(VLOOKUP($B525,'[3]1002'!$B$6:$G$5921,2,FALSE),0)</f>
        <v>0</v>
      </c>
      <c r="L525" s="2036">
        <f>IFERROR(VLOOKUP($B525,'[3]1002'!$B$6:$G$5921,4,FALSE),0)</f>
        <v>0</v>
      </c>
      <c r="M525" s="1763">
        <f t="shared" si="49"/>
        <v>0</v>
      </c>
      <c r="N525" s="2033">
        <f>IFERROR(VLOOKUP($B525,'[3]1003'!$B$6:$G$5921,2,FALSE),0)</f>
        <v>0</v>
      </c>
      <c r="O525" s="2034">
        <f>IFERROR(VLOOKUP($B525,'[3]1003'!$B$6:$G$5921,4,FALSE),0)</f>
        <v>0</v>
      </c>
      <c r="P525" s="2033">
        <f t="shared" si="50"/>
        <v>0</v>
      </c>
      <c r="Q525" s="1763">
        <f>IFERROR(VLOOKUP($B525,'[3]1004'!$B$6:$G$5921,2,FALSE),0)</f>
        <v>0</v>
      </c>
      <c r="R525" s="2036">
        <f>IFERROR(VLOOKUP($B525,'[3]1004'!$B$6:$G$5921,4,FALSE),0)</f>
        <v>0</v>
      </c>
      <c r="S525" s="1763">
        <f t="shared" si="51"/>
        <v>0</v>
      </c>
      <c r="T525" s="2033">
        <f>IFERROR(VLOOKUP($B525,'[3]1006'!$B$6:$G$5921,2,FALSE),0)</f>
        <v>0</v>
      </c>
      <c r="U525" s="2034">
        <f>IFERROR(VLOOKUP($B525,'[3]1006'!$B$6:$G$5921,4,FALSE),0)</f>
        <v>0</v>
      </c>
      <c r="V525" s="2033">
        <f t="shared" si="52"/>
        <v>0</v>
      </c>
      <c r="W525" s="2033">
        <f t="shared" si="53"/>
        <v>0</v>
      </c>
    </row>
    <row r="526" spans="2:23" x14ac:dyDescent="0.15">
      <c r="B526" s="1288">
        <v>113637</v>
      </c>
      <c r="C526" s="1288" t="s">
        <v>2559</v>
      </c>
      <c r="D526" s="1288"/>
      <c r="E526" s="1288" t="s">
        <v>94</v>
      </c>
      <c r="F526" s="1288" t="s">
        <v>1337</v>
      </c>
      <c r="G526" s="1288" t="s">
        <v>1303</v>
      </c>
      <c r="H526" s="2033">
        <f>IFERROR(VLOOKUP($B526,'[3]1001'!$B$6:$G$5927,2,FALSE),0)</f>
        <v>0</v>
      </c>
      <c r="I526" s="2034">
        <f>IFERROR(VLOOKUP($B526,'[3]1001'!$B$6:$G$5927,4,FALSE),0)</f>
        <v>0</v>
      </c>
      <c r="J526" s="2033">
        <f t="shared" si="48"/>
        <v>0</v>
      </c>
      <c r="K526" s="2035">
        <f>IFERROR(VLOOKUP($B526,'[3]1002'!$B$6:$G$5921,2,FALSE),0)</f>
        <v>0</v>
      </c>
      <c r="L526" s="2036">
        <f>IFERROR(VLOOKUP($B526,'[3]1002'!$B$6:$G$5921,4,FALSE),0)</f>
        <v>0</v>
      </c>
      <c r="M526" s="1763">
        <f t="shared" si="49"/>
        <v>0</v>
      </c>
      <c r="N526" s="2033">
        <f>IFERROR(VLOOKUP($B526,'[3]1003'!$B$6:$G$5921,2,FALSE),0)</f>
        <v>0</v>
      </c>
      <c r="O526" s="2034">
        <f>IFERROR(VLOOKUP($B526,'[3]1003'!$B$6:$G$5921,4,FALSE),0)</f>
        <v>0</v>
      </c>
      <c r="P526" s="2033">
        <f t="shared" si="50"/>
        <v>0</v>
      </c>
      <c r="Q526" s="1763">
        <f>IFERROR(VLOOKUP($B526,'[3]1004'!$B$6:$G$5921,2,FALSE),0)</f>
        <v>0</v>
      </c>
      <c r="R526" s="2036">
        <f>IFERROR(VLOOKUP($B526,'[3]1004'!$B$6:$G$5921,4,FALSE),0)</f>
        <v>0</v>
      </c>
      <c r="S526" s="1763">
        <f t="shared" si="51"/>
        <v>0</v>
      </c>
      <c r="T526" s="2033">
        <f>IFERROR(VLOOKUP($B526,'[3]1006'!$B$6:$G$5921,2,FALSE),0)</f>
        <v>0</v>
      </c>
      <c r="U526" s="2034">
        <f>IFERROR(VLOOKUP($B526,'[3]1006'!$B$6:$G$5921,4,FALSE),0)</f>
        <v>0</v>
      </c>
      <c r="V526" s="2033">
        <f t="shared" si="52"/>
        <v>0</v>
      </c>
      <c r="W526" s="2033">
        <f t="shared" si="53"/>
        <v>0</v>
      </c>
    </row>
    <row r="527" spans="2:23" x14ac:dyDescent="0.15">
      <c r="B527" s="1288">
        <v>113638</v>
      </c>
      <c r="C527" s="1288" t="s">
        <v>2560</v>
      </c>
      <c r="D527" s="1288"/>
      <c r="E527" s="1288" t="s">
        <v>94</v>
      </c>
      <c r="F527" s="1288" t="s">
        <v>1337</v>
      </c>
      <c r="G527" s="1288" t="s">
        <v>1303</v>
      </c>
      <c r="H527" s="2033">
        <f>IFERROR(VLOOKUP($B527,'[3]1001'!$B$6:$G$5927,2,FALSE),0)</f>
        <v>0</v>
      </c>
      <c r="I527" s="2034">
        <f>IFERROR(VLOOKUP($B527,'[3]1001'!$B$6:$G$5927,4,FALSE),0)</f>
        <v>0</v>
      </c>
      <c r="J527" s="2033">
        <f t="shared" si="48"/>
        <v>0</v>
      </c>
      <c r="K527" s="2035">
        <f>IFERROR(VLOOKUP($B527,'[3]1002'!$B$6:$G$5921,2,FALSE),0)</f>
        <v>0</v>
      </c>
      <c r="L527" s="2036">
        <f>IFERROR(VLOOKUP($B527,'[3]1002'!$B$6:$G$5921,4,FALSE),0)</f>
        <v>0</v>
      </c>
      <c r="M527" s="1763">
        <f t="shared" si="49"/>
        <v>0</v>
      </c>
      <c r="N527" s="2033">
        <f>IFERROR(VLOOKUP($B527,'[3]1003'!$B$6:$G$5921,2,FALSE),0)</f>
        <v>0</v>
      </c>
      <c r="O527" s="2034">
        <f>IFERROR(VLOOKUP($B527,'[3]1003'!$B$6:$G$5921,4,FALSE),0)</f>
        <v>0</v>
      </c>
      <c r="P527" s="2033">
        <f t="shared" si="50"/>
        <v>0</v>
      </c>
      <c r="Q527" s="1763">
        <f>IFERROR(VLOOKUP($B527,'[3]1004'!$B$6:$G$5921,2,FALSE),0)</f>
        <v>0</v>
      </c>
      <c r="R527" s="2036">
        <f>IFERROR(VLOOKUP($B527,'[3]1004'!$B$6:$G$5921,4,FALSE),0)</f>
        <v>0</v>
      </c>
      <c r="S527" s="1763">
        <f t="shared" si="51"/>
        <v>0</v>
      </c>
      <c r="T527" s="2033">
        <f>IFERROR(VLOOKUP($B527,'[3]1006'!$B$6:$G$5921,2,FALSE),0)</f>
        <v>0</v>
      </c>
      <c r="U527" s="2034">
        <f>IFERROR(VLOOKUP($B527,'[3]1006'!$B$6:$G$5921,4,FALSE),0)</f>
        <v>0</v>
      </c>
      <c r="V527" s="2033">
        <f t="shared" si="52"/>
        <v>0</v>
      </c>
      <c r="W527" s="2033">
        <f t="shared" si="53"/>
        <v>0</v>
      </c>
    </row>
    <row r="528" spans="2:23" x14ac:dyDescent="0.15">
      <c r="B528" s="1288">
        <v>113639</v>
      </c>
      <c r="C528" s="1288" t="s">
        <v>2561</v>
      </c>
      <c r="D528" s="1288"/>
      <c r="E528" s="1288" t="s">
        <v>94</v>
      </c>
      <c r="F528" s="1288" t="s">
        <v>1337</v>
      </c>
      <c r="G528" s="1288" t="s">
        <v>1303</v>
      </c>
      <c r="H528" s="2033">
        <f>IFERROR(VLOOKUP($B528,'[3]1001'!$B$6:$G$5927,2,FALSE),0)</f>
        <v>0</v>
      </c>
      <c r="I528" s="2034">
        <f>IFERROR(VLOOKUP($B528,'[3]1001'!$B$6:$G$5927,4,FALSE),0)</f>
        <v>0</v>
      </c>
      <c r="J528" s="2033">
        <f t="shared" si="48"/>
        <v>0</v>
      </c>
      <c r="K528" s="2035">
        <f>IFERROR(VLOOKUP($B528,'[3]1002'!$B$6:$G$5921,2,FALSE),0)</f>
        <v>0</v>
      </c>
      <c r="L528" s="2036">
        <f>IFERROR(VLOOKUP($B528,'[3]1002'!$B$6:$G$5921,4,FALSE),0)</f>
        <v>0</v>
      </c>
      <c r="M528" s="1763">
        <f t="shared" si="49"/>
        <v>0</v>
      </c>
      <c r="N528" s="2033">
        <f>IFERROR(VLOOKUP($B528,'[3]1003'!$B$6:$G$5921,2,FALSE),0)</f>
        <v>0</v>
      </c>
      <c r="O528" s="2034">
        <f>IFERROR(VLOOKUP($B528,'[3]1003'!$B$6:$G$5921,4,FALSE),0)</f>
        <v>0</v>
      </c>
      <c r="P528" s="2033">
        <f t="shared" si="50"/>
        <v>0</v>
      </c>
      <c r="Q528" s="1763">
        <f>IFERROR(VLOOKUP($B528,'[3]1004'!$B$6:$G$5921,2,FALSE),0)</f>
        <v>0</v>
      </c>
      <c r="R528" s="2036">
        <f>IFERROR(VLOOKUP($B528,'[3]1004'!$B$6:$G$5921,4,FALSE),0)</f>
        <v>0</v>
      </c>
      <c r="S528" s="1763">
        <f t="shared" si="51"/>
        <v>0</v>
      </c>
      <c r="T528" s="2033">
        <f>IFERROR(VLOOKUP($B528,'[3]1006'!$B$6:$G$5921,2,FALSE),0)</f>
        <v>0</v>
      </c>
      <c r="U528" s="2034">
        <f>IFERROR(VLOOKUP($B528,'[3]1006'!$B$6:$G$5921,4,FALSE),0)</f>
        <v>0</v>
      </c>
      <c r="V528" s="2033">
        <f t="shared" si="52"/>
        <v>0</v>
      </c>
      <c r="W528" s="2033">
        <f t="shared" si="53"/>
        <v>0</v>
      </c>
    </row>
    <row r="529" spans="2:23" x14ac:dyDescent="0.15">
      <c r="B529" s="1288">
        <v>113640</v>
      </c>
      <c r="C529" s="1288" t="s">
        <v>2562</v>
      </c>
      <c r="D529" s="1288"/>
      <c r="E529" s="1288" t="s">
        <v>94</v>
      </c>
      <c r="F529" s="1288" t="s">
        <v>1337</v>
      </c>
      <c r="G529" s="1288" t="s">
        <v>1303</v>
      </c>
      <c r="H529" s="2033">
        <f>IFERROR(VLOOKUP($B529,'[3]1001'!$B$6:$G$5927,2,FALSE),0)</f>
        <v>0</v>
      </c>
      <c r="I529" s="2034">
        <f>IFERROR(VLOOKUP($B529,'[3]1001'!$B$6:$G$5927,4,FALSE),0)</f>
        <v>0</v>
      </c>
      <c r="J529" s="2033">
        <f t="shared" si="48"/>
        <v>0</v>
      </c>
      <c r="K529" s="2035">
        <f>IFERROR(VLOOKUP($B529,'[3]1002'!$B$6:$G$5921,2,FALSE),0)</f>
        <v>0</v>
      </c>
      <c r="L529" s="2036">
        <f>IFERROR(VLOOKUP($B529,'[3]1002'!$B$6:$G$5921,4,FALSE),0)</f>
        <v>0</v>
      </c>
      <c r="M529" s="1763">
        <f t="shared" si="49"/>
        <v>0</v>
      </c>
      <c r="N529" s="2033">
        <f>IFERROR(VLOOKUP($B529,'[3]1003'!$B$6:$G$5921,2,FALSE),0)</f>
        <v>0</v>
      </c>
      <c r="O529" s="2034">
        <f>IFERROR(VLOOKUP($B529,'[3]1003'!$B$6:$G$5921,4,FALSE),0)</f>
        <v>0</v>
      </c>
      <c r="P529" s="2033">
        <f t="shared" si="50"/>
        <v>0</v>
      </c>
      <c r="Q529" s="1763">
        <f>IFERROR(VLOOKUP($B529,'[3]1004'!$B$6:$G$5921,2,FALSE),0)</f>
        <v>0</v>
      </c>
      <c r="R529" s="2036">
        <f>IFERROR(VLOOKUP($B529,'[3]1004'!$B$6:$G$5921,4,FALSE),0)</f>
        <v>0</v>
      </c>
      <c r="S529" s="1763">
        <f t="shared" si="51"/>
        <v>0</v>
      </c>
      <c r="T529" s="2033">
        <f>IFERROR(VLOOKUP($B529,'[3]1006'!$B$6:$G$5921,2,FALSE),0)</f>
        <v>0</v>
      </c>
      <c r="U529" s="2034">
        <f>IFERROR(VLOOKUP($B529,'[3]1006'!$B$6:$G$5921,4,FALSE),0)</f>
        <v>0</v>
      </c>
      <c r="V529" s="2033">
        <f t="shared" si="52"/>
        <v>0</v>
      </c>
      <c r="W529" s="2033">
        <f t="shared" si="53"/>
        <v>0</v>
      </c>
    </row>
    <row r="530" spans="2:23" x14ac:dyDescent="0.15">
      <c r="B530" s="1288">
        <v>113641</v>
      </c>
      <c r="C530" s="1288" t="s">
        <v>2563</v>
      </c>
      <c r="D530" s="1288"/>
      <c r="E530" s="1288" t="s">
        <v>94</v>
      </c>
      <c r="F530" s="1288" t="s">
        <v>1884</v>
      </c>
      <c r="G530" s="1288" t="s">
        <v>1303</v>
      </c>
      <c r="H530" s="2033">
        <f>IFERROR(VLOOKUP($B530,'[3]1001'!$B$6:$G$5927,2,FALSE),0)</f>
        <v>0</v>
      </c>
      <c r="I530" s="2034">
        <f>IFERROR(VLOOKUP($B530,'[3]1001'!$B$6:$G$5927,4,FALSE),0)</f>
        <v>0</v>
      </c>
      <c r="J530" s="2033">
        <f t="shared" si="48"/>
        <v>0</v>
      </c>
      <c r="K530" s="2035">
        <f>IFERROR(VLOOKUP($B530,'[3]1002'!$B$6:$G$5921,2,FALSE),0)</f>
        <v>0</v>
      </c>
      <c r="L530" s="2036">
        <f>IFERROR(VLOOKUP($B530,'[3]1002'!$B$6:$G$5921,4,FALSE),0)</f>
        <v>0</v>
      </c>
      <c r="M530" s="1763">
        <f t="shared" si="49"/>
        <v>0</v>
      </c>
      <c r="N530" s="2033">
        <f>IFERROR(VLOOKUP($B530,'[3]1003'!$B$6:$G$5921,2,FALSE),0)</f>
        <v>0</v>
      </c>
      <c r="O530" s="2034">
        <f>IFERROR(VLOOKUP($B530,'[3]1003'!$B$6:$G$5921,4,FALSE),0)</f>
        <v>0</v>
      </c>
      <c r="P530" s="2033">
        <f t="shared" si="50"/>
        <v>0</v>
      </c>
      <c r="Q530" s="1763">
        <f>IFERROR(VLOOKUP($B530,'[3]1004'!$B$6:$G$5921,2,FALSE),0)</f>
        <v>0</v>
      </c>
      <c r="R530" s="2036">
        <f>IFERROR(VLOOKUP($B530,'[3]1004'!$B$6:$G$5921,4,FALSE),0)</f>
        <v>0</v>
      </c>
      <c r="S530" s="1763">
        <f t="shared" si="51"/>
        <v>0</v>
      </c>
      <c r="T530" s="2033">
        <f>IFERROR(VLOOKUP($B530,'[3]1006'!$B$6:$G$5921,2,FALSE),0)</f>
        <v>0</v>
      </c>
      <c r="U530" s="2034">
        <f>IFERROR(VLOOKUP($B530,'[3]1006'!$B$6:$G$5921,4,FALSE),0)</f>
        <v>0</v>
      </c>
      <c r="V530" s="2033">
        <f t="shared" si="52"/>
        <v>0</v>
      </c>
      <c r="W530" s="2033">
        <f t="shared" si="53"/>
        <v>0</v>
      </c>
    </row>
    <row r="531" spans="2:23" x14ac:dyDescent="0.15">
      <c r="B531" s="1288">
        <v>113642</v>
      </c>
      <c r="C531" s="1288" t="s">
        <v>2564</v>
      </c>
      <c r="D531" s="1288"/>
      <c r="E531" s="1288" t="s">
        <v>94</v>
      </c>
      <c r="F531" s="1288" t="s">
        <v>1884</v>
      </c>
      <c r="G531" s="1288" t="s">
        <v>1303</v>
      </c>
      <c r="H531" s="2033">
        <f>IFERROR(VLOOKUP($B531,'[3]1001'!$B$6:$G$5927,2,FALSE),0)</f>
        <v>0</v>
      </c>
      <c r="I531" s="2034">
        <f>IFERROR(VLOOKUP($B531,'[3]1001'!$B$6:$G$5927,4,FALSE),0)</f>
        <v>0</v>
      </c>
      <c r="J531" s="2033">
        <f t="shared" si="48"/>
        <v>0</v>
      </c>
      <c r="K531" s="2035">
        <f>IFERROR(VLOOKUP($B531,'[3]1002'!$B$6:$G$5921,2,FALSE),0)</f>
        <v>0</v>
      </c>
      <c r="L531" s="2036">
        <f>IFERROR(VLOOKUP($B531,'[3]1002'!$B$6:$G$5921,4,FALSE),0)</f>
        <v>0</v>
      </c>
      <c r="M531" s="1763">
        <f t="shared" si="49"/>
        <v>0</v>
      </c>
      <c r="N531" s="2033">
        <f>IFERROR(VLOOKUP($B531,'[3]1003'!$B$6:$G$5921,2,FALSE),0)</f>
        <v>0</v>
      </c>
      <c r="O531" s="2034">
        <f>IFERROR(VLOOKUP($B531,'[3]1003'!$B$6:$G$5921,4,FALSE),0)</f>
        <v>0</v>
      </c>
      <c r="P531" s="2033">
        <f t="shared" si="50"/>
        <v>0</v>
      </c>
      <c r="Q531" s="1763">
        <f>IFERROR(VLOOKUP($B531,'[3]1004'!$B$6:$G$5921,2,FALSE),0)</f>
        <v>0</v>
      </c>
      <c r="R531" s="2036">
        <f>IFERROR(VLOOKUP($B531,'[3]1004'!$B$6:$G$5921,4,FALSE),0)</f>
        <v>0</v>
      </c>
      <c r="S531" s="1763">
        <f t="shared" si="51"/>
        <v>0</v>
      </c>
      <c r="T531" s="2033">
        <f>IFERROR(VLOOKUP($B531,'[3]1006'!$B$6:$G$5921,2,FALSE),0)</f>
        <v>0</v>
      </c>
      <c r="U531" s="2034">
        <f>IFERROR(VLOOKUP($B531,'[3]1006'!$B$6:$G$5921,4,FALSE),0)</f>
        <v>0</v>
      </c>
      <c r="V531" s="2033">
        <f t="shared" si="52"/>
        <v>0</v>
      </c>
      <c r="W531" s="2033">
        <f t="shared" si="53"/>
        <v>0</v>
      </c>
    </row>
    <row r="532" spans="2:23" x14ac:dyDescent="0.15">
      <c r="B532" s="1288">
        <v>113643</v>
      </c>
      <c r="C532" s="1288" t="s">
        <v>2565</v>
      </c>
      <c r="D532" s="1288"/>
      <c r="E532" s="1288" t="s">
        <v>94</v>
      </c>
      <c r="F532" s="1288" t="s">
        <v>1884</v>
      </c>
      <c r="G532" s="1288" t="s">
        <v>1303</v>
      </c>
      <c r="H532" s="2033">
        <f>IFERROR(VLOOKUP($B532,'[3]1001'!$B$6:$G$5927,2,FALSE),0)</f>
        <v>0</v>
      </c>
      <c r="I532" s="2034">
        <f>IFERROR(VLOOKUP($B532,'[3]1001'!$B$6:$G$5927,4,FALSE),0)</f>
        <v>0</v>
      </c>
      <c r="J532" s="2033">
        <f t="shared" si="48"/>
        <v>0</v>
      </c>
      <c r="K532" s="2035">
        <f>IFERROR(VLOOKUP($B532,'[3]1002'!$B$6:$G$5921,2,FALSE),0)</f>
        <v>0</v>
      </c>
      <c r="L532" s="2036">
        <f>IFERROR(VLOOKUP($B532,'[3]1002'!$B$6:$G$5921,4,FALSE),0)</f>
        <v>0</v>
      </c>
      <c r="M532" s="1763">
        <f t="shared" si="49"/>
        <v>0</v>
      </c>
      <c r="N532" s="2033">
        <f>IFERROR(VLOOKUP($B532,'[3]1003'!$B$6:$G$5921,2,FALSE),0)</f>
        <v>0</v>
      </c>
      <c r="O532" s="2034">
        <f>IFERROR(VLOOKUP($B532,'[3]1003'!$B$6:$G$5921,4,FALSE),0)</f>
        <v>0</v>
      </c>
      <c r="P532" s="2033">
        <f t="shared" si="50"/>
        <v>0</v>
      </c>
      <c r="Q532" s="1763">
        <f>IFERROR(VLOOKUP($B532,'[3]1004'!$B$6:$G$5921,2,FALSE),0)</f>
        <v>0</v>
      </c>
      <c r="R532" s="2036">
        <f>IFERROR(VLOOKUP($B532,'[3]1004'!$B$6:$G$5921,4,FALSE),0)</f>
        <v>0</v>
      </c>
      <c r="S532" s="1763">
        <f t="shared" si="51"/>
        <v>0</v>
      </c>
      <c r="T532" s="2033">
        <f>IFERROR(VLOOKUP($B532,'[3]1006'!$B$6:$G$5921,2,FALSE),0)</f>
        <v>0</v>
      </c>
      <c r="U532" s="2034">
        <f>IFERROR(VLOOKUP($B532,'[3]1006'!$B$6:$G$5921,4,FALSE),0)</f>
        <v>0</v>
      </c>
      <c r="V532" s="2033">
        <f t="shared" si="52"/>
        <v>0</v>
      </c>
      <c r="W532" s="2033">
        <f t="shared" si="53"/>
        <v>0</v>
      </c>
    </row>
    <row r="533" spans="2:23" x14ac:dyDescent="0.15">
      <c r="B533" s="1288">
        <v>113644</v>
      </c>
      <c r="C533" s="1288" t="s">
        <v>2566</v>
      </c>
      <c r="D533" s="1288"/>
      <c r="E533" s="1288" t="s">
        <v>94</v>
      </c>
      <c r="F533" s="1288" t="s">
        <v>1884</v>
      </c>
      <c r="G533" s="1288" t="s">
        <v>1303</v>
      </c>
      <c r="H533" s="2033">
        <f>IFERROR(VLOOKUP($B533,'[3]1001'!$B$6:$G$5927,2,FALSE),0)</f>
        <v>0</v>
      </c>
      <c r="I533" s="2034">
        <f>IFERROR(VLOOKUP($B533,'[3]1001'!$B$6:$G$5927,4,FALSE),0)</f>
        <v>0</v>
      </c>
      <c r="J533" s="2033">
        <f t="shared" si="48"/>
        <v>0</v>
      </c>
      <c r="K533" s="2035">
        <f>IFERROR(VLOOKUP($B533,'[3]1002'!$B$6:$G$5921,2,FALSE),0)</f>
        <v>0</v>
      </c>
      <c r="L533" s="2036">
        <f>IFERROR(VLOOKUP($B533,'[3]1002'!$B$6:$G$5921,4,FALSE),0)</f>
        <v>0</v>
      </c>
      <c r="M533" s="1763">
        <f t="shared" si="49"/>
        <v>0</v>
      </c>
      <c r="N533" s="2033">
        <f>IFERROR(VLOOKUP($B533,'[3]1003'!$B$6:$G$5921,2,FALSE),0)</f>
        <v>0</v>
      </c>
      <c r="O533" s="2034">
        <f>IFERROR(VLOOKUP($B533,'[3]1003'!$B$6:$G$5921,4,FALSE),0)</f>
        <v>0</v>
      </c>
      <c r="P533" s="2033">
        <f t="shared" si="50"/>
        <v>0</v>
      </c>
      <c r="Q533" s="1763">
        <f>IFERROR(VLOOKUP($B533,'[3]1004'!$B$6:$G$5921,2,FALSE),0)</f>
        <v>0</v>
      </c>
      <c r="R533" s="2036">
        <f>IFERROR(VLOOKUP($B533,'[3]1004'!$B$6:$G$5921,4,FALSE),0)</f>
        <v>0</v>
      </c>
      <c r="S533" s="1763">
        <f t="shared" si="51"/>
        <v>0</v>
      </c>
      <c r="T533" s="2033">
        <f>IFERROR(VLOOKUP($B533,'[3]1006'!$B$6:$G$5921,2,FALSE),0)</f>
        <v>0</v>
      </c>
      <c r="U533" s="2034">
        <f>IFERROR(VLOOKUP($B533,'[3]1006'!$B$6:$G$5921,4,FALSE),0)</f>
        <v>0</v>
      </c>
      <c r="V533" s="2033">
        <f t="shared" si="52"/>
        <v>0</v>
      </c>
      <c r="W533" s="2033">
        <f t="shared" si="53"/>
        <v>0</v>
      </c>
    </row>
    <row r="534" spans="2:23" x14ac:dyDescent="0.15">
      <c r="B534" s="1288">
        <v>113645</v>
      </c>
      <c r="C534" s="1288" t="s">
        <v>2567</v>
      </c>
      <c r="D534" s="1288"/>
      <c r="E534" s="1288" t="s">
        <v>94</v>
      </c>
      <c r="F534" s="1288" t="s">
        <v>1884</v>
      </c>
      <c r="G534" s="1288" t="s">
        <v>1303</v>
      </c>
      <c r="H534" s="2033">
        <f>IFERROR(VLOOKUP($B534,'[3]1001'!$B$6:$G$5927,2,FALSE),0)</f>
        <v>0</v>
      </c>
      <c r="I534" s="2034">
        <f>IFERROR(VLOOKUP($B534,'[3]1001'!$B$6:$G$5927,4,FALSE),0)</f>
        <v>0</v>
      </c>
      <c r="J534" s="2033">
        <f t="shared" si="48"/>
        <v>0</v>
      </c>
      <c r="K534" s="2035">
        <f>IFERROR(VLOOKUP($B534,'[3]1002'!$B$6:$G$5921,2,FALSE),0)</f>
        <v>0</v>
      </c>
      <c r="L534" s="2036">
        <f>IFERROR(VLOOKUP($B534,'[3]1002'!$B$6:$G$5921,4,FALSE),0)</f>
        <v>0</v>
      </c>
      <c r="M534" s="1763">
        <f t="shared" si="49"/>
        <v>0</v>
      </c>
      <c r="N534" s="2033">
        <f>IFERROR(VLOOKUP($B534,'[3]1003'!$B$6:$G$5921,2,FALSE),0)</f>
        <v>0</v>
      </c>
      <c r="O534" s="2034">
        <f>IFERROR(VLOOKUP($B534,'[3]1003'!$B$6:$G$5921,4,FALSE),0)</f>
        <v>0</v>
      </c>
      <c r="P534" s="2033">
        <f t="shared" si="50"/>
        <v>0</v>
      </c>
      <c r="Q534" s="1763">
        <f>IFERROR(VLOOKUP($B534,'[3]1004'!$B$6:$G$5921,2,FALSE),0)</f>
        <v>0</v>
      </c>
      <c r="R534" s="2036">
        <f>IFERROR(VLOOKUP($B534,'[3]1004'!$B$6:$G$5921,4,FALSE),0)</f>
        <v>0</v>
      </c>
      <c r="S534" s="1763">
        <f t="shared" si="51"/>
        <v>0</v>
      </c>
      <c r="T534" s="2033">
        <f>IFERROR(VLOOKUP($B534,'[3]1006'!$B$6:$G$5921,2,FALSE),0)</f>
        <v>0</v>
      </c>
      <c r="U534" s="2034">
        <f>IFERROR(VLOOKUP($B534,'[3]1006'!$B$6:$G$5921,4,FALSE),0)</f>
        <v>0</v>
      </c>
      <c r="V534" s="2033">
        <f t="shared" si="52"/>
        <v>0</v>
      </c>
      <c r="W534" s="2033">
        <f t="shared" si="53"/>
        <v>0</v>
      </c>
    </row>
    <row r="535" spans="2:23" x14ac:dyDescent="0.15">
      <c r="B535" s="1288">
        <v>113646</v>
      </c>
      <c r="C535" s="1288" t="s">
        <v>2568</v>
      </c>
      <c r="D535" s="1288"/>
      <c r="E535" s="1288" t="s">
        <v>94</v>
      </c>
      <c r="F535" s="1288" t="s">
        <v>1884</v>
      </c>
      <c r="G535" s="1288" t="s">
        <v>1303</v>
      </c>
      <c r="H535" s="2033">
        <f>IFERROR(VLOOKUP($B535,'[3]1001'!$B$6:$G$5927,2,FALSE),0)</f>
        <v>0</v>
      </c>
      <c r="I535" s="2034">
        <f>IFERROR(VLOOKUP($B535,'[3]1001'!$B$6:$G$5927,4,FALSE),0)</f>
        <v>0</v>
      </c>
      <c r="J535" s="2033">
        <f t="shared" si="48"/>
        <v>0</v>
      </c>
      <c r="K535" s="2035">
        <f>IFERROR(VLOOKUP($B535,'[3]1002'!$B$6:$G$5921,2,FALSE),0)</f>
        <v>0</v>
      </c>
      <c r="L535" s="2036">
        <f>IFERROR(VLOOKUP($B535,'[3]1002'!$B$6:$G$5921,4,FALSE),0)</f>
        <v>0</v>
      </c>
      <c r="M535" s="1763">
        <f t="shared" si="49"/>
        <v>0</v>
      </c>
      <c r="N535" s="2033">
        <f>IFERROR(VLOOKUP($B535,'[3]1003'!$B$6:$G$5921,2,FALSE),0)</f>
        <v>0</v>
      </c>
      <c r="O535" s="2034">
        <f>IFERROR(VLOOKUP($B535,'[3]1003'!$B$6:$G$5921,4,FALSE),0)</f>
        <v>0</v>
      </c>
      <c r="P535" s="2033">
        <f t="shared" si="50"/>
        <v>0</v>
      </c>
      <c r="Q535" s="1763">
        <f>IFERROR(VLOOKUP($B535,'[3]1004'!$B$6:$G$5921,2,FALSE),0)</f>
        <v>0</v>
      </c>
      <c r="R535" s="2036">
        <f>IFERROR(VLOOKUP($B535,'[3]1004'!$B$6:$G$5921,4,FALSE),0)</f>
        <v>0</v>
      </c>
      <c r="S535" s="1763">
        <f t="shared" si="51"/>
        <v>0</v>
      </c>
      <c r="T535" s="2033">
        <f>IFERROR(VLOOKUP($B535,'[3]1006'!$B$6:$G$5921,2,FALSE),0)</f>
        <v>0</v>
      </c>
      <c r="U535" s="2034">
        <f>IFERROR(VLOOKUP($B535,'[3]1006'!$B$6:$G$5921,4,FALSE),0)</f>
        <v>0</v>
      </c>
      <c r="V535" s="2033">
        <f t="shared" si="52"/>
        <v>0</v>
      </c>
      <c r="W535" s="2033">
        <f t="shared" si="53"/>
        <v>0</v>
      </c>
    </row>
    <row r="536" spans="2:23" x14ac:dyDescent="0.15">
      <c r="B536" s="1288">
        <v>113647</v>
      </c>
      <c r="C536" s="1288" t="s">
        <v>2569</v>
      </c>
      <c r="D536" s="1288"/>
      <c r="E536" s="1288" t="s">
        <v>94</v>
      </c>
      <c r="F536" s="1288" t="s">
        <v>1300</v>
      </c>
      <c r="G536" s="1288" t="s">
        <v>1303</v>
      </c>
      <c r="H536" s="2033">
        <f>IFERROR(VLOOKUP($B536,'[3]1001'!$B$6:$G$5927,2,FALSE),0)</f>
        <v>0</v>
      </c>
      <c r="I536" s="2034">
        <f>IFERROR(VLOOKUP($B536,'[3]1001'!$B$6:$G$5927,4,FALSE),0)</f>
        <v>0</v>
      </c>
      <c r="J536" s="2033">
        <f t="shared" si="48"/>
        <v>0</v>
      </c>
      <c r="K536" s="2035">
        <f>IFERROR(VLOOKUP($B536,'[3]1002'!$B$6:$G$5921,2,FALSE),0)</f>
        <v>0</v>
      </c>
      <c r="L536" s="2036">
        <f>IFERROR(VLOOKUP($B536,'[3]1002'!$B$6:$G$5921,4,FALSE),0)</f>
        <v>0</v>
      </c>
      <c r="M536" s="1763">
        <f t="shared" si="49"/>
        <v>0</v>
      </c>
      <c r="N536" s="2033">
        <f>IFERROR(VLOOKUP($B536,'[3]1003'!$B$6:$G$5921,2,FALSE),0)</f>
        <v>0</v>
      </c>
      <c r="O536" s="2034">
        <f>IFERROR(VLOOKUP($B536,'[3]1003'!$B$6:$G$5921,4,FALSE),0)</f>
        <v>0</v>
      </c>
      <c r="P536" s="2033">
        <f t="shared" si="50"/>
        <v>0</v>
      </c>
      <c r="Q536" s="1763">
        <f>IFERROR(VLOOKUP($B536,'[3]1004'!$B$6:$G$5921,2,FALSE),0)</f>
        <v>0</v>
      </c>
      <c r="R536" s="2036">
        <f>IFERROR(VLOOKUP($B536,'[3]1004'!$B$6:$G$5921,4,FALSE),0)</f>
        <v>0</v>
      </c>
      <c r="S536" s="1763">
        <f t="shared" si="51"/>
        <v>0</v>
      </c>
      <c r="T536" s="2033">
        <f>IFERROR(VLOOKUP($B536,'[3]1006'!$B$6:$G$5921,2,FALSE),0)</f>
        <v>0</v>
      </c>
      <c r="U536" s="2034">
        <f>IFERROR(VLOOKUP($B536,'[3]1006'!$B$6:$G$5921,4,FALSE),0)</f>
        <v>0</v>
      </c>
      <c r="V536" s="2033">
        <f t="shared" si="52"/>
        <v>0</v>
      </c>
      <c r="W536" s="2033">
        <f t="shared" si="53"/>
        <v>0</v>
      </c>
    </row>
    <row r="537" spans="2:23" x14ac:dyDescent="0.15">
      <c r="B537" s="1288">
        <v>113648</v>
      </c>
      <c r="C537" s="1288" t="s">
        <v>2570</v>
      </c>
      <c r="D537" s="1288"/>
      <c r="E537" s="1288" t="s">
        <v>94</v>
      </c>
      <c r="F537" s="1288" t="s">
        <v>1884</v>
      </c>
      <c r="G537" s="1288" t="s">
        <v>1303</v>
      </c>
      <c r="H537" s="2033">
        <f>IFERROR(VLOOKUP($B537,'[3]1001'!$B$6:$G$5927,2,FALSE),0)</f>
        <v>0</v>
      </c>
      <c r="I537" s="2034">
        <f>IFERROR(VLOOKUP($B537,'[3]1001'!$B$6:$G$5927,4,FALSE),0)</f>
        <v>0</v>
      </c>
      <c r="J537" s="2033">
        <f t="shared" si="48"/>
        <v>0</v>
      </c>
      <c r="K537" s="2035">
        <f>IFERROR(VLOOKUP($B537,'[3]1002'!$B$6:$G$5921,2,FALSE),0)</f>
        <v>0</v>
      </c>
      <c r="L537" s="2036">
        <f>IFERROR(VLOOKUP($B537,'[3]1002'!$B$6:$G$5921,4,FALSE),0)</f>
        <v>0</v>
      </c>
      <c r="M537" s="1763">
        <f t="shared" si="49"/>
        <v>0</v>
      </c>
      <c r="N537" s="2033">
        <f>IFERROR(VLOOKUP($B537,'[3]1003'!$B$6:$G$5921,2,FALSE),0)</f>
        <v>0</v>
      </c>
      <c r="O537" s="2034">
        <f>IFERROR(VLOOKUP($B537,'[3]1003'!$B$6:$G$5921,4,FALSE),0)</f>
        <v>0</v>
      </c>
      <c r="P537" s="2033">
        <f t="shared" si="50"/>
        <v>0</v>
      </c>
      <c r="Q537" s="1763">
        <f>IFERROR(VLOOKUP($B537,'[3]1004'!$B$6:$G$5921,2,FALSE),0)</f>
        <v>0</v>
      </c>
      <c r="R537" s="2036">
        <f>IFERROR(VLOOKUP($B537,'[3]1004'!$B$6:$G$5921,4,FALSE),0)</f>
        <v>0</v>
      </c>
      <c r="S537" s="1763">
        <f t="shared" si="51"/>
        <v>0</v>
      </c>
      <c r="T537" s="2033">
        <f>IFERROR(VLOOKUP($B537,'[3]1006'!$B$6:$G$5921,2,FALSE),0)</f>
        <v>0</v>
      </c>
      <c r="U537" s="2034">
        <f>IFERROR(VLOOKUP($B537,'[3]1006'!$B$6:$G$5921,4,FALSE),0)</f>
        <v>0</v>
      </c>
      <c r="V537" s="2033">
        <f t="shared" si="52"/>
        <v>0</v>
      </c>
      <c r="W537" s="2033">
        <f t="shared" si="53"/>
        <v>0</v>
      </c>
    </row>
    <row r="538" spans="2:23" x14ac:dyDescent="0.15">
      <c r="B538" s="1288">
        <v>113649</v>
      </c>
      <c r="C538" s="1288" t="s">
        <v>2571</v>
      </c>
      <c r="D538" s="1288"/>
      <c r="E538" s="1288" t="s">
        <v>94</v>
      </c>
      <c r="F538" s="1288" t="s">
        <v>1346</v>
      </c>
      <c r="G538" s="1288" t="s">
        <v>1303</v>
      </c>
      <c r="H538" s="2033">
        <f>IFERROR(VLOOKUP($B538,'[3]1001'!$B$6:$G$5927,2,FALSE),0)</f>
        <v>0</v>
      </c>
      <c r="I538" s="2034">
        <f>IFERROR(VLOOKUP($B538,'[3]1001'!$B$6:$G$5927,4,FALSE),0)</f>
        <v>0</v>
      </c>
      <c r="J538" s="2033">
        <f t="shared" si="48"/>
        <v>0</v>
      </c>
      <c r="K538" s="2035">
        <f>IFERROR(VLOOKUP($B538,'[3]1002'!$B$6:$G$5921,2,FALSE),0)</f>
        <v>0</v>
      </c>
      <c r="L538" s="2036">
        <f>IFERROR(VLOOKUP($B538,'[3]1002'!$B$6:$G$5921,4,FALSE),0)</f>
        <v>0</v>
      </c>
      <c r="M538" s="1763">
        <f t="shared" si="49"/>
        <v>0</v>
      </c>
      <c r="N538" s="2033">
        <f>IFERROR(VLOOKUP($B538,'[3]1003'!$B$6:$G$5921,2,FALSE),0)</f>
        <v>0</v>
      </c>
      <c r="O538" s="2034">
        <f>IFERROR(VLOOKUP($B538,'[3]1003'!$B$6:$G$5921,4,FALSE),0)</f>
        <v>0</v>
      </c>
      <c r="P538" s="2033">
        <f t="shared" si="50"/>
        <v>0</v>
      </c>
      <c r="Q538" s="1763">
        <f>IFERROR(VLOOKUP($B538,'[3]1004'!$B$6:$G$5921,2,FALSE),0)</f>
        <v>0</v>
      </c>
      <c r="R538" s="2036">
        <f>IFERROR(VLOOKUP($B538,'[3]1004'!$B$6:$G$5921,4,FALSE),0)</f>
        <v>0</v>
      </c>
      <c r="S538" s="1763">
        <f t="shared" si="51"/>
        <v>0</v>
      </c>
      <c r="T538" s="2033">
        <f>IFERROR(VLOOKUP($B538,'[3]1006'!$B$6:$G$5921,2,FALSE),0)</f>
        <v>0</v>
      </c>
      <c r="U538" s="2034">
        <f>IFERROR(VLOOKUP($B538,'[3]1006'!$B$6:$G$5921,4,FALSE),0)</f>
        <v>0</v>
      </c>
      <c r="V538" s="2033">
        <f t="shared" si="52"/>
        <v>0</v>
      </c>
      <c r="W538" s="2033">
        <f t="shared" si="53"/>
        <v>0</v>
      </c>
    </row>
    <row r="539" spans="2:23" x14ac:dyDescent="0.15">
      <c r="B539" s="1288">
        <v>113650</v>
      </c>
      <c r="C539" s="1288" t="s">
        <v>2572</v>
      </c>
      <c r="D539" s="1288"/>
      <c r="E539" s="1288" t="s">
        <v>94</v>
      </c>
      <c r="F539" s="1288" t="s">
        <v>1346</v>
      </c>
      <c r="G539" s="1288" t="s">
        <v>1303</v>
      </c>
      <c r="H539" s="2033">
        <f>IFERROR(VLOOKUP($B539,'[3]1001'!$B$6:$G$5927,2,FALSE),0)</f>
        <v>0</v>
      </c>
      <c r="I539" s="2034">
        <f>IFERROR(VLOOKUP($B539,'[3]1001'!$B$6:$G$5927,4,FALSE),0)</f>
        <v>0</v>
      </c>
      <c r="J539" s="2033">
        <f t="shared" si="48"/>
        <v>0</v>
      </c>
      <c r="K539" s="2035">
        <f>IFERROR(VLOOKUP($B539,'[3]1002'!$B$6:$G$5921,2,FALSE),0)</f>
        <v>0</v>
      </c>
      <c r="L539" s="2036">
        <f>IFERROR(VLOOKUP($B539,'[3]1002'!$B$6:$G$5921,4,FALSE),0)</f>
        <v>0</v>
      </c>
      <c r="M539" s="1763">
        <f t="shared" si="49"/>
        <v>0</v>
      </c>
      <c r="N539" s="2033">
        <f>IFERROR(VLOOKUP($B539,'[3]1003'!$B$6:$G$5921,2,FALSE),0)</f>
        <v>0</v>
      </c>
      <c r="O539" s="2034">
        <f>IFERROR(VLOOKUP($B539,'[3]1003'!$B$6:$G$5921,4,FALSE),0)</f>
        <v>0</v>
      </c>
      <c r="P539" s="2033">
        <f t="shared" si="50"/>
        <v>0</v>
      </c>
      <c r="Q539" s="1763">
        <f>IFERROR(VLOOKUP($B539,'[3]1004'!$B$6:$G$5921,2,FALSE),0)</f>
        <v>0</v>
      </c>
      <c r="R539" s="2036">
        <f>IFERROR(VLOOKUP($B539,'[3]1004'!$B$6:$G$5921,4,FALSE),0)</f>
        <v>0</v>
      </c>
      <c r="S539" s="1763">
        <f t="shared" si="51"/>
        <v>0</v>
      </c>
      <c r="T539" s="2033">
        <f>IFERROR(VLOOKUP($B539,'[3]1006'!$B$6:$G$5921,2,FALSE),0)</f>
        <v>0</v>
      </c>
      <c r="U539" s="2034">
        <f>IFERROR(VLOOKUP($B539,'[3]1006'!$B$6:$G$5921,4,FALSE),0)</f>
        <v>0</v>
      </c>
      <c r="V539" s="2033">
        <f t="shared" si="52"/>
        <v>0</v>
      </c>
      <c r="W539" s="2033">
        <f t="shared" si="53"/>
        <v>0</v>
      </c>
    </row>
    <row r="540" spans="2:23" x14ac:dyDescent="0.15">
      <c r="B540" s="1288">
        <v>113651</v>
      </c>
      <c r="C540" s="1288" t="s">
        <v>2573</v>
      </c>
      <c r="D540" s="1288"/>
      <c r="E540" s="1288" t="s">
        <v>94</v>
      </c>
      <c r="F540" s="1288" t="s">
        <v>1346</v>
      </c>
      <c r="G540" s="1288" t="s">
        <v>1303</v>
      </c>
      <c r="H540" s="2033">
        <f>IFERROR(VLOOKUP($B540,'[3]1001'!$B$6:$G$5927,2,FALSE),0)</f>
        <v>0</v>
      </c>
      <c r="I540" s="2034">
        <f>IFERROR(VLOOKUP($B540,'[3]1001'!$B$6:$G$5927,4,FALSE),0)</f>
        <v>0</v>
      </c>
      <c r="J540" s="2033">
        <f t="shared" si="48"/>
        <v>0</v>
      </c>
      <c r="K540" s="2035">
        <f>IFERROR(VLOOKUP($B540,'[3]1002'!$B$6:$G$5921,2,FALSE),0)</f>
        <v>0</v>
      </c>
      <c r="L540" s="2036">
        <f>IFERROR(VLOOKUP($B540,'[3]1002'!$B$6:$G$5921,4,FALSE),0)</f>
        <v>0</v>
      </c>
      <c r="M540" s="1763">
        <f t="shared" si="49"/>
        <v>0</v>
      </c>
      <c r="N540" s="2033">
        <f>IFERROR(VLOOKUP($B540,'[3]1003'!$B$6:$G$5921,2,FALSE),0)</f>
        <v>0</v>
      </c>
      <c r="O540" s="2034">
        <f>IFERROR(VLOOKUP($B540,'[3]1003'!$B$6:$G$5921,4,FALSE),0)</f>
        <v>0</v>
      </c>
      <c r="P540" s="2033">
        <f t="shared" si="50"/>
        <v>0</v>
      </c>
      <c r="Q540" s="1763">
        <f>IFERROR(VLOOKUP($B540,'[3]1004'!$B$6:$G$5921,2,FALSE),0)</f>
        <v>0</v>
      </c>
      <c r="R540" s="2036">
        <f>IFERROR(VLOOKUP($B540,'[3]1004'!$B$6:$G$5921,4,FALSE),0)</f>
        <v>0</v>
      </c>
      <c r="S540" s="1763">
        <f t="shared" si="51"/>
        <v>0</v>
      </c>
      <c r="T540" s="2033">
        <f>IFERROR(VLOOKUP($B540,'[3]1006'!$B$6:$G$5921,2,FALSE),0)</f>
        <v>0</v>
      </c>
      <c r="U540" s="2034">
        <f>IFERROR(VLOOKUP($B540,'[3]1006'!$B$6:$G$5921,4,FALSE),0)</f>
        <v>0</v>
      </c>
      <c r="V540" s="2033">
        <f t="shared" si="52"/>
        <v>0</v>
      </c>
      <c r="W540" s="2033">
        <f t="shared" si="53"/>
        <v>0</v>
      </c>
    </row>
    <row r="541" spans="2:23" x14ac:dyDescent="0.15">
      <c r="B541" s="1288">
        <v>113652</v>
      </c>
      <c r="C541" s="1288" t="s">
        <v>2574</v>
      </c>
      <c r="D541" s="1288"/>
      <c r="E541" s="1288" t="s">
        <v>94</v>
      </c>
      <c r="F541" s="1288" t="s">
        <v>1346</v>
      </c>
      <c r="G541" s="1288" t="s">
        <v>1303</v>
      </c>
      <c r="H541" s="2033">
        <f>IFERROR(VLOOKUP($B541,'[3]1001'!$B$6:$G$5927,2,FALSE),0)</f>
        <v>0</v>
      </c>
      <c r="I541" s="2034">
        <f>IFERROR(VLOOKUP($B541,'[3]1001'!$B$6:$G$5927,4,FALSE),0)</f>
        <v>0</v>
      </c>
      <c r="J541" s="2033">
        <f t="shared" si="48"/>
        <v>0</v>
      </c>
      <c r="K541" s="2035">
        <f>IFERROR(VLOOKUP($B541,'[3]1002'!$B$6:$G$5921,2,FALSE),0)</f>
        <v>0</v>
      </c>
      <c r="L541" s="2036">
        <f>IFERROR(VLOOKUP($B541,'[3]1002'!$B$6:$G$5921,4,FALSE),0)</f>
        <v>0</v>
      </c>
      <c r="M541" s="1763">
        <f t="shared" si="49"/>
        <v>0</v>
      </c>
      <c r="N541" s="2033">
        <f>IFERROR(VLOOKUP($B541,'[3]1003'!$B$6:$G$5921,2,FALSE),0)</f>
        <v>0</v>
      </c>
      <c r="O541" s="2034">
        <f>IFERROR(VLOOKUP($B541,'[3]1003'!$B$6:$G$5921,4,FALSE),0)</f>
        <v>0</v>
      </c>
      <c r="P541" s="2033">
        <f t="shared" si="50"/>
        <v>0</v>
      </c>
      <c r="Q541" s="1763">
        <f>IFERROR(VLOOKUP($B541,'[3]1004'!$B$6:$G$5921,2,FALSE),0)</f>
        <v>0</v>
      </c>
      <c r="R541" s="2036">
        <f>IFERROR(VLOOKUP($B541,'[3]1004'!$B$6:$G$5921,4,FALSE),0)</f>
        <v>0</v>
      </c>
      <c r="S541" s="1763">
        <f t="shared" si="51"/>
        <v>0</v>
      </c>
      <c r="T541" s="2033">
        <f>IFERROR(VLOOKUP($B541,'[3]1006'!$B$6:$G$5921,2,FALSE),0)</f>
        <v>0</v>
      </c>
      <c r="U541" s="2034">
        <f>IFERROR(VLOOKUP($B541,'[3]1006'!$B$6:$G$5921,4,FALSE),0)</f>
        <v>0</v>
      </c>
      <c r="V541" s="2033">
        <f t="shared" si="52"/>
        <v>0</v>
      </c>
      <c r="W541" s="2033">
        <f t="shared" si="53"/>
        <v>0</v>
      </c>
    </row>
    <row r="542" spans="2:23" x14ac:dyDescent="0.15">
      <c r="B542" s="1288">
        <v>113653</v>
      </c>
      <c r="C542" s="1288" t="s">
        <v>2575</v>
      </c>
      <c r="D542" s="1288"/>
      <c r="E542" s="1288" t="s">
        <v>94</v>
      </c>
      <c r="F542" s="1288" t="s">
        <v>1346</v>
      </c>
      <c r="G542" s="1288" t="s">
        <v>1303</v>
      </c>
      <c r="H542" s="2033">
        <f>IFERROR(VLOOKUP($B542,'[3]1001'!$B$6:$G$5927,2,FALSE),0)</f>
        <v>0</v>
      </c>
      <c r="I542" s="2034">
        <f>IFERROR(VLOOKUP($B542,'[3]1001'!$B$6:$G$5927,4,FALSE),0)</f>
        <v>0</v>
      </c>
      <c r="J542" s="2033">
        <f t="shared" si="48"/>
        <v>0</v>
      </c>
      <c r="K542" s="2035">
        <f>IFERROR(VLOOKUP($B542,'[3]1002'!$B$6:$G$5921,2,FALSE),0)</f>
        <v>0</v>
      </c>
      <c r="L542" s="2036">
        <f>IFERROR(VLOOKUP($B542,'[3]1002'!$B$6:$G$5921,4,FALSE),0)</f>
        <v>0</v>
      </c>
      <c r="M542" s="1763">
        <f t="shared" si="49"/>
        <v>0</v>
      </c>
      <c r="N542" s="2033">
        <f>IFERROR(VLOOKUP($B542,'[3]1003'!$B$6:$G$5921,2,FALSE),0)</f>
        <v>0</v>
      </c>
      <c r="O542" s="2034">
        <f>IFERROR(VLOOKUP($B542,'[3]1003'!$B$6:$G$5921,4,FALSE),0)</f>
        <v>0</v>
      </c>
      <c r="P542" s="2033">
        <f t="shared" si="50"/>
        <v>0</v>
      </c>
      <c r="Q542" s="1763">
        <f>IFERROR(VLOOKUP($B542,'[3]1004'!$B$6:$G$5921,2,FALSE),0)</f>
        <v>0</v>
      </c>
      <c r="R542" s="2036">
        <f>IFERROR(VLOOKUP($B542,'[3]1004'!$B$6:$G$5921,4,FALSE),0)</f>
        <v>0</v>
      </c>
      <c r="S542" s="1763">
        <f t="shared" si="51"/>
        <v>0</v>
      </c>
      <c r="T542" s="2033">
        <f>IFERROR(VLOOKUP($B542,'[3]1006'!$B$6:$G$5921,2,FALSE),0)</f>
        <v>0</v>
      </c>
      <c r="U542" s="2034">
        <f>IFERROR(VLOOKUP($B542,'[3]1006'!$B$6:$G$5921,4,FALSE),0)</f>
        <v>0</v>
      </c>
      <c r="V542" s="2033">
        <f t="shared" si="52"/>
        <v>0</v>
      </c>
      <c r="W542" s="2033">
        <f t="shared" si="53"/>
        <v>0</v>
      </c>
    </row>
    <row r="543" spans="2:23" x14ac:dyDescent="0.15">
      <c r="B543" s="1288">
        <v>113654</v>
      </c>
      <c r="C543" s="1288" t="s">
        <v>2576</v>
      </c>
      <c r="D543" s="1288"/>
      <c r="E543" s="1288" t="s">
        <v>94</v>
      </c>
      <c r="F543" s="1288" t="s">
        <v>1346</v>
      </c>
      <c r="G543" s="1288" t="s">
        <v>1303</v>
      </c>
      <c r="H543" s="2033">
        <f>IFERROR(VLOOKUP($B543,'[3]1001'!$B$6:$G$5927,2,FALSE),0)</f>
        <v>0</v>
      </c>
      <c r="I543" s="2034">
        <f>IFERROR(VLOOKUP($B543,'[3]1001'!$B$6:$G$5927,4,FALSE),0)</f>
        <v>0</v>
      </c>
      <c r="J543" s="2033">
        <f t="shared" si="48"/>
        <v>0</v>
      </c>
      <c r="K543" s="2035">
        <f>IFERROR(VLOOKUP($B543,'[3]1002'!$B$6:$G$5921,2,FALSE),0)</f>
        <v>0</v>
      </c>
      <c r="L543" s="2036">
        <f>IFERROR(VLOOKUP($B543,'[3]1002'!$B$6:$G$5921,4,FALSE),0)</f>
        <v>0</v>
      </c>
      <c r="M543" s="1763">
        <f t="shared" si="49"/>
        <v>0</v>
      </c>
      <c r="N543" s="2033">
        <f>IFERROR(VLOOKUP($B543,'[3]1003'!$B$6:$G$5921,2,FALSE),0)</f>
        <v>0</v>
      </c>
      <c r="O543" s="2034">
        <f>IFERROR(VLOOKUP($B543,'[3]1003'!$B$6:$G$5921,4,FALSE),0)</f>
        <v>0</v>
      </c>
      <c r="P543" s="2033">
        <f t="shared" si="50"/>
        <v>0</v>
      </c>
      <c r="Q543" s="1763">
        <f>IFERROR(VLOOKUP($B543,'[3]1004'!$B$6:$G$5921,2,FALSE),0)</f>
        <v>0</v>
      </c>
      <c r="R543" s="2036">
        <f>IFERROR(VLOOKUP($B543,'[3]1004'!$B$6:$G$5921,4,FALSE),0)</f>
        <v>0</v>
      </c>
      <c r="S543" s="1763">
        <f t="shared" si="51"/>
        <v>0</v>
      </c>
      <c r="T543" s="2033">
        <f>IFERROR(VLOOKUP($B543,'[3]1006'!$B$6:$G$5921,2,FALSE),0)</f>
        <v>0</v>
      </c>
      <c r="U543" s="2034">
        <f>IFERROR(VLOOKUP($B543,'[3]1006'!$B$6:$G$5921,4,FALSE),0)</f>
        <v>0</v>
      </c>
      <c r="V543" s="2033">
        <f t="shared" si="52"/>
        <v>0</v>
      </c>
      <c r="W543" s="2033">
        <f t="shared" si="53"/>
        <v>0</v>
      </c>
    </row>
    <row r="544" spans="2:23" x14ac:dyDescent="0.15">
      <c r="B544" s="1288">
        <v>113655</v>
      </c>
      <c r="C544" s="1288" t="s">
        <v>2577</v>
      </c>
      <c r="D544" s="1288"/>
      <c r="E544" s="1288" t="s">
        <v>94</v>
      </c>
      <c r="F544" s="1288" t="s">
        <v>1346</v>
      </c>
      <c r="G544" s="1288" t="s">
        <v>1303</v>
      </c>
      <c r="H544" s="2033">
        <f>IFERROR(VLOOKUP($B544,'[3]1001'!$B$6:$G$5927,2,FALSE),0)</f>
        <v>0</v>
      </c>
      <c r="I544" s="2034">
        <f>IFERROR(VLOOKUP($B544,'[3]1001'!$B$6:$G$5927,4,FALSE),0)</f>
        <v>0</v>
      </c>
      <c r="J544" s="2033">
        <f t="shared" si="48"/>
        <v>0</v>
      </c>
      <c r="K544" s="2035">
        <f>IFERROR(VLOOKUP($B544,'[3]1002'!$B$6:$G$5921,2,FALSE),0)</f>
        <v>0</v>
      </c>
      <c r="L544" s="2036">
        <f>IFERROR(VLOOKUP($B544,'[3]1002'!$B$6:$G$5921,4,FALSE),0)</f>
        <v>0</v>
      </c>
      <c r="M544" s="1763">
        <f t="shared" si="49"/>
        <v>0</v>
      </c>
      <c r="N544" s="2033">
        <f>IFERROR(VLOOKUP($B544,'[3]1003'!$B$6:$G$5921,2,FALSE),0)</f>
        <v>0</v>
      </c>
      <c r="O544" s="2034">
        <f>IFERROR(VLOOKUP($B544,'[3]1003'!$B$6:$G$5921,4,FALSE),0)</f>
        <v>0</v>
      </c>
      <c r="P544" s="2033">
        <f t="shared" si="50"/>
        <v>0</v>
      </c>
      <c r="Q544" s="1763">
        <f>IFERROR(VLOOKUP($B544,'[3]1004'!$B$6:$G$5921,2,FALSE),0)</f>
        <v>0</v>
      </c>
      <c r="R544" s="2036">
        <f>IFERROR(VLOOKUP($B544,'[3]1004'!$B$6:$G$5921,4,FALSE),0)</f>
        <v>0</v>
      </c>
      <c r="S544" s="1763">
        <f t="shared" si="51"/>
        <v>0</v>
      </c>
      <c r="T544" s="2033">
        <f>IFERROR(VLOOKUP($B544,'[3]1006'!$B$6:$G$5921,2,FALSE),0)</f>
        <v>0</v>
      </c>
      <c r="U544" s="2034">
        <f>IFERROR(VLOOKUP($B544,'[3]1006'!$B$6:$G$5921,4,FALSE),0)</f>
        <v>0</v>
      </c>
      <c r="V544" s="2033">
        <f t="shared" si="52"/>
        <v>0</v>
      </c>
      <c r="W544" s="2033">
        <f t="shared" si="53"/>
        <v>0</v>
      </c>
    </row>
    <row r="545" spans="2:23" x14ac:dyDescent="0.15">
      <c r="B545" s="1288">
        <v>113656</v>
      </c>
      <c r="C545" s="1288" t="s">
        <v>2578</v>
      </c>
      <c r="D545" s="1288"/>
      <c r="E545" s="1288" t="s">
        <v>94</v>
      </c>
      <c r="F545" s="1288" t="s">
        <v>1337</v>
      </c>
      <c r="G545" s="1288" t="s">
        <v>1303</v>
      </c>
      <c r="H545" s="2033">
        <f>IFERROR(VLOOKUP($B545,'[3]1001'!$B$6:$G$5927,2,FALSE),0)</f>
        <v>0</v>
      </c>
      <c r="I545" s="2034">
        <f>IFERROR(VLOOKUP($B545,'[3]1001'!$B$6:$G$5927,4,FALSE),0)</f>
        <v>0</v>
      </c>
      <c r="J545" s="2033">
        <f t="shared" si="48"/>
        <v>0</v>
      </c>
      <c r="K545" s="2035">
        <f>IFERROR(VLOOKUP($B545,'[3]1002'!$B$6:$G$5921,2,FALSE),0)</f>
        <v>0</v>
      </c>
      <c r="L545" s="2036">
        <f>IFERROR(VLOOKUP($B545,'[3]1002'!$B$6:$G$5921,4,FALSE),0)</f>
        <v>0</v>
      </c>
      <c r="M545" s="1763">
        <f t="shared" si="49"/>
        <v>0</v>
      </c>
      <c r="N545" s="2033">
        <f>IFERROR(VLOOKUP($B545,'[3]1003'!$B$6:$G$5921,2,FALSE),0)</f>
        <v>0</v>
      </c>
      <c r="O545" s="2034">
        <f>IFERROR(VLOOKUP($B545,'[3]1003'!$B$6:$G$5921,4,FALSE),0)</f>
        <v>0</v>
      </c>
      <c r="P545" s="2033">
        <f t="shared" si="50"/>
        <v>0</v>
      </c>
      <c r="Q545" s="1763">
        <f>IFERROR(VLOOKUP($B545,'[3]1004'!$B$6:$G$5921,2,FALSE),0)</f>
        <v>0</v>
      </c>
      <c r="R545" s="2036">
        <f>IFERROR(VLOOKUP($B545,'[3]1004'!$B$6:$G$5921,4,FALSE),0)</f>
        <v>0</v>
      </c>
      <c r="S545" s="1763">
        <f t="shared" si="51"/>
        <v>0</v>
      </c>
      <c r="T545" s="2033">
        <f>IFERROR(VLOOKUP($B545,'[3]1006'!$B$6:$G$5921,2,FALSE),0)</f>
        <v>0</v>
      </c>
      <c r="U545" s="2034">
        <f>IFERROR(VLOOKUP($B545,'[3]1006'!$B$6:$G$5921,4,FALSE),0)</f>
        <v>0</v>
      </c>
      <c r="V545" s="2033">
        <f t="shared" si="52"/>
        <v>0</v>
      </c>
      <c r="W545" s="2033">
        <f t="shared" si="53"/>
        <v>0</v>
      </c>
    </row>
    <row r="546" spans="2:23" x14ac:dyDescent="0.15">
      <c r="B546" s="1288">
        <v>113657</v>
      </c>
      <c r="C546" s="1288" t="s">
        <v>2579</v>
      </c>
      <c r="D546" s="1288"/>
      <c r="E546" s="1288" t="s">
        <v>94</v>
      </c>
      <c r="F546" s="1288" t="s">
        <v>1337</v>
      </c>
      <c r="G546" s="1288" t="s">
        <v>1303</v>
      </c>
      <c r="H546" s="2033">
        <f>IFERROR(VLOOKUP($B546,'[3]1001'!$B$6:$G$5927,2,FALSE),0)</f>
        <v>0</v>
      </c>
      <c r="I546" s="2034">
        <f>IFERROR(VLOOKUP($B546,'[3]1001'!$B$6:$G$5927,4,FALSE),0)</f>
        <v>0</v>
      </c>
      <c r="J546" s="2033">
        <f t="shared" si="48"/>
        <v>0</v>
      </c>
      <c r="K546" s="2035">
        <f>IFERROR(VLOOKUP($B546,'[3]1002'!$B$6:$G$5921,2,FALSE),0)</f>
        <v>0</v>
      </c>
      <c r="L546" s="2036">
        <f>IFERROR(VLOOKUP($B546,'[3]1002'!$B$6:$G$5921,4,FALSE),0)</f>
        <v>0</v>
      </c>
      <c r="M546" s="1763">
        <f t="shared" si="49"/>
        <v>0</v>
      </c>
      <c r="N546" s="2033">
        <f>IFERROR(VLOOKUP($B546,'[3]1003'!$B$6:$G$5921,2,FALSE),0)</f>
        <v>0</v>
      </c>
      <c r="O546" s="2034">
        <f>IFERROR(VLOOKUP($B546,'[3]1003'!$B$6:$G$5921,4,FALSE),0)</f>
        <v>0</v>
      </c>
      <c r="P546" s="2033">
        <f t="shared" si="50"/>
        <v>0</v>
      </c>
      <c r="Q546" s="1763">
        <f>IFERROR(VLOOKUP($B546,'[3]1004'!$B$6:$G$5921,2,FALSE),0)</f>
        <v>0</v>
      </c>
      <c r="R546" s="2036">
        <f>IFERROR(VLOOKUP($B546,'[3]1004'!$B$6:$G$5921,4,FALSE),0)</f>
        <v>0</v>
      </c>
      <c r="S546" s="1763">
        <f t="shared" si="51"/>
        <v>0</v>
      </c>
      <c r="T546" s="2033">
        <f>IFERROR(VLOOKUP($B546,'[3]1006'!$B$6:$G$5921,2,FALSE),0)</f>
        <v>0</v>
      </c>
      <c r="U546" s="2034">
        <f>IFERROR(VLOOKUP($B546,'[3]1006'!$B$6:$G$5921,4,FALSE),0)</f>
        <v>0</v>
      </c>
      <c r="V546" s="2033">
        <f t="shared" si="52"/>
        <v>0</v>
      </c>
      <c r="W546" s="2033">
        <f t="shared" si="53"/>
        <v>0</v>
      </c>
    </row>
    <row r="547" spans="2:23" x14ac:dyDescent="0.15">
      <c r="B547" s="1288">
        <v>113658</v>
      </c>
      <c r="C547" s="1288" t="s">
        <v>2580</v>
      </c>
      <c r="D547" s="1288"/>
      <c r="E547" s="1288" t="s">
        <v>94</v>
      </c>
      <c r="F547" s="1288" t="s">
        <v>1337</v>
      </c>
      <c r="G547" s="1288" t="s">
        <v>1303</v>
      </c>
      <c r="H547" s="2033">
        <f>IFERROR(VLOOKUP($B547,'[3]1001'!$B$6:$G$5927,2,FALSE),0)</f>
        <v>0</v>
      </c>
      <c r="I547" s="2034">
        <f>IFERROR(VLOOKUP($B547,'[3]1001'!$B$6:$G$5927,4,FALSE),0)</f>
        <v>0</v>
      </c>
      <c r="J547" s="2033">
        <f t="shared" si="48"/>
        <v>0</v>
      </c>
      <c r="K547" s="2035">
        <f>IFERROR(VLOOKUP($B547,'[3]1002'!$B$6:$G$5921,2,FALSE),0)</f>
        <v>0</v>
      </c>
      <c r="L547" s="2036">
        <f>IFERROR(VLOOKUP($B547,'[3]1002'!$B$6:$G$5921,4,FALSE),0)</f>
        <v>0</v>
      </c>
      <c r="M547" s="1763">
        <f t="shared" si="49"/>
        <v>0</v>
      </c>
      <c r="N547" s="2033">
        <f>IFERROR(VLOOKUP($B547,'[3]1003'!$B$6:$G$5921,2,FALSE),0)</f>
        <v>0</v>
      </c>
      <c r="O547" s="2034">
        <f>IFERROR(VLOOKUP($B547,'[3]1003'!$B$6:$G$5921,4,FALSE),0)</f>
        <v>0</v>
      </c>
      <c r="P547" s="2033">
        <f t="shared" si="50"/>
        <v>0</v>
      </c>
      <c r="Q547" s="1763">
        <f>IFERROR(VLOOKUP($B547,'[3]1004'!$B$6:$G$5921,2,FALSE),0)</f>
        <v>0</v>
      </c>
      <c r="R547" s="2036">
        <f>IFERROR(VLOOKUP($B547,'[3]1004'!$B$6:$G$5921,4,FALSE),0)</f>
        <v>0</v>
      </c>
      <c r="S547" s="1763">
        <f t="shared" si="51"/>
        <v>0</v>
      </c>
      <c r="T547" s="2033">
        <f>IFERROR(VLOOKUP($B547,'[3]1006'!$B$6:$G$5921,2,FALSE),0)</f>
        <v>0</v>
      </c>
      <c r="U547" s="2034">
        <f>IFERROR(VLOOKUP($B547,'[3]1006'!$B$6:$G$5921,4,FALSE),0)</f>
        <v>0</v>
      </c>
      <c r="V547" s="2033">
        <f t="shared" si="52"/>
        <v>0</v>
      </c>
      <c r="W547" s="2033">
        <f t="shared" si="53"/>
        <v>0</v>
      </c>
    </row>
    <row r="548" spans="2:23" x14ac:dyDescent="0.15">
      <c r="B548" s="1288">
        <v>113659</v>
      </c>
      <c r="C548" s="1288" t="s">
        <v>2581</v>
      </c>
      <c r="D548" s="1288"/>
      <c r="E548" s="1288" t="s">
        <v>94</v>
      </c>
      <c r="F548" s="1288" t="s">
        <v>1337</v>
      </c>
      <c r="G548" s="1288" t="s">
        <v>1303</v>
      </c>
      <c r="H548" s="2033">
        <f>IFERROR(VLOOKUP($B548,'[3]1001'!$B$6:$G$5927,2,FALSE),0)</f>
        <v>0</v>
      </c>
      <c r="I548" s="2034">
        <f>IFERROR(VLOOKUP($B548,'[3]1001'!$B$6:$G$5927,4,FALSE),0)</f>
        <v>0</v>
      </c>
      <c r="J548" s="2033">
        <f t="shared" si="48"/>
        <v>0</v>
      </c>
      <c r="K548" s="2035">
        <f>IFERROR(VLOOKUP($B548,'[3]1002'!$B$6:$G$5921,2,FALSE),0)</f>
        <v>0</v>
      </c>
      <c r="L548" s="2036">
        <f>IFERROR(VLOOKUP($B548,'[3]1002'!$B$6:$G$5921,4,FALSE),0)</f>
        <v>0</v>
      </c>
      <c r="M548" s="1763">
        <f t="shared" si="49"/>
        <v>0</v>
      </c>
      <c r="N548" s="2033">
        <f>IFERROR(VLOOKUP($B548,'[3]1003'!$B$6:$G$5921,2,FALSE),0)</f>
        <v>0</v>
      </c>
      <c r="O548" s="2034">
        <f>IFERROR(VLOOKUP($B548,'[3]1003'!$B$6:$G$5921,4,FALSE),0)</f>
        <v>0</v>
      </c>
      <c r="P548" s="2033">
        <f t="shared" si="50"/>
        <v>0</v>
      </c>
      <c r="Q548" s="1763">
        <f>IFERROR(VLOOKUP($B548,'[3]1004'!$B$6:$G$5921,2,FALSE),0)</f>
        <v>0</v>
      </c>
      <c r="R548" s="2036">
        <f>IFERROR(VLOOKUP($B548,'[3]1004'!$B$6:$G$5921,4,FALSE),0)</f>
        <v>0</v>
      </c>
      <c r="S548" s="1763">
        <f t="shared" si="51"/>
        <v>0</v>
      </c>
      <c r="T548" s="2033">
        <f>IFERROR(VLOOKUP($B548,'[3]1006'!$B$6:$G$5921,2,FALSE),0)</f>
        <v>0</v>
      </c>
      <c r="U548" s="2034">
        <f>IFERROR(VLOOKUP($B548,'[3]1006'!$B$6:$G$5921,4,FALSE),0)</f>
        <v>0</v>
      </c>
      <c r="V548" s="2033">
        <f t="shared" si="52"/>
        <v>0</v>
      </c>
      <c r="W548" s="2033">
        <f t="shared" si="53"/>
        <v>0</v>
      </c>
    </row>
    <row r="549" spans="2:23" x14ac:dyDescent="0.15">
      <c r="B549" s="1288">
        <v>113660</v>
      </c>
      <c r="C549" s="1288" t="s">
        <v>2582</v>
      </c>
      <c r="D549" s="1288"/>
      <c r="E549" s="1288" t="s">
        <v>94</v>
      </c>
      <c r="F549" s="1288" t="s">
        <v>2583</v>
      </c>
      <c r="G549" s="1288" t="s">
        <v>1303</v>
      </c>
      <c r="H549" s="2033">
        <f>IFERROR(VLOOKUP($B549,'[3]1001'!$B$6:$G$5927,2,FALSE),0)</f>
        <v>0</v>
      </c>
      <c r="I549" s="2034">
        <f>IFERROR(VLOOKUP($B549,'[3]1001'!$B$6:$G$5927,4,FALSE),0)</f>
        <v>0</v>
      </c>
      <c r="J549" s="2033">
        <f t="shared" si="48"/>
        <v>0</v>
      </c>
      <c r="K549" s="2035">
        <f>IFERROR(VLOOKUP($B549,'[3]1002'!$B$6:$G$5921,2,FALSE),0)</f>
        <v>0</v>
      </c>
      <c r="L549" s="2036">
        <f>IFERROR(VLOOKUP($B549,'[3]1002'!$B$6:$G$5921,4,FALSE),0)</f>
        <v>0</v>
      </c>
      <c r="M549" s="1763">
        <f t="shared" si="49"/>
        <v>0</v>
      </c>
      <c r="N549" s="2033">
        <f>IFERROR(VLOOKUP($B549,'[3]1003'!$B$6:$G$5921,2,FALSE),0)</f>
        <v>0</v>
      </c>
      <c r="O549" s="2034">
        <f>IFERROR(VLOOKUP($B549,'[3]1003'!$B$6:$G$5921,4,FALSE),0)</f>
        <v>0</v>
      </c>
      <c r="P549" s="2033">
        <f t="shared" si="50"/>
        <v>0</v>
      </c>
      <c r="Q549" s="1763">
        <f>IFERROR(VLOOKUP($B549,'[3]1004'!$B$6:$G$5921,2,FALSE),0)</f>
        <v>0</v>
      </c>
      <c r="R549" s="2036">
        <f>IFERROR(VLOOKUP($B549,'[3]1004'!$B$6:$G$5921,4,FALSE),0)</f>
        <v>0</v>
      </c>
      <c r="S549" s="1763">
        <f t="shared" si="51"/>
        <v>0</v>
      </c>
      <c r="T549" s="2033">
        <f>IFERROR(VLOOKUP($B549,'[3]1006'!$B$6:$G$5921,2,FALSE),0)</f>
        <v>0</v>
      </c>
      <c r="U549" s="2034">
        <f>IFERROR(VLOOKUP($B549,'[3]1006'!$B$6:$G$5921,4,FALSE),0)</f>
        <v>0</v>
      </c>
      <c r="V549" s="2033">
        <f t="shared" si="52"/>
        <v>0</v>
      </c>
      <c r="W549" s="2033">
        <f t="shared" si="53"/>
        <v>0</v>
      </c>
    </row>
    <row r="550" spans="2:23" x14ac:dyDescent="0.15">
      <c r="B550" s="1288">
        <v>113661</v>
      </c>
      <c r="C550" s="1288" t="s">
        <v>2584</v>
      </c>
      <c r="D550" s="1288"/>
      <c r="E550" s="1288" t="s">
        <v>94</v>
      </c>
      <c r="F550" s="1288" t="s">
        <v>2583</v>
      </c>
      <c r="G550" s="1288" t="s">
        <v>1303</v>
      </c>
      <c r="H550" s="2033">
        <f>IFERROR(VLOOKUP($B550,'[3]1001'!$B$6:$G$5927,2,FALSE),0)</f>
        <v>0</v>
      </c>
      <c r="I550" s="2034">
        <f>IFERROR(VLOOKUP($B550,'[3]1001'!$B$6:$G$5927,4,FALSE),0)</f>
        <v>0</v>
      </c>
      <c r="J550" s="2033">
        <f t="shared" si="48"/>
        <v>0</v>
      </c>
      <c r="K550" s="2035">
        <f>IFERROR(VLOOKUP($B550,'[3]1002'!$B$6:$G$5921,2,FALSE),0)</f>
        <v>0</v>
      </c>
      <c r="L550" s="2036">
        <f>IFERROR(VLOOKUP($B550,'[3]1002'!$B$6:$G$5921,4,FALSE),0)</f>
        <v>0</v>
      </c>
      <c r="M550" s="1763">
        <f t="shared" si="49"/>
        <v>0</v>
      </c>
      <c r="N550" s="2033">
        <f>IFERROR(VLOOKUP($B550,'[3]1003'!$B$6:$G$5921,2,FALSE),0)</f>
        <v>0</v>
      </c>
      <c r="O550" s="2034">
        <f>IFERROR(VLOOKUP($B550,'[3]1003'!$B$6:$G$5921,4,FALSE),0)</f>
        <v>0</v>
      </c>
      <c r="P550" s="2033">
        <f t="shared" si="50"/>
        <v>0</v>
      </c>
      <c r="Q550" s="1763">
        <f>IFERROR(VLOOKUP($B550,'[3]1004'!$B$6:$G$5921,2,FALSE),0)</f>
        <v>0</v>
      </c>
      <c r="R550" s="2036">
        <f>IFERROR(VLOOKUP($B550,'[3]1004'!$B$6:$G$5921,4,FALSE),0)</f>
        <v>0</v>
      </c>
      <c r="S550" s="1763">
        <f t="shared" si="51"/>
        <v>0</v>
      </c>
      <c r="T550" s="2033">
        <f>IFERROR(VLOOKUP($B550,'[3]1006'!$B$6:$G$5921,2,FALSE),0)</f>
        <v>0</v>
      </c>
      <c r="U550" s="2034">
        <f>IFERROR(VLOOKUP($B550,'[3]1006'!$B$6:$G$5921,4,FALSE),0)</f>
        <v>0</v>
      </c>
      <c r="V550" s="2033">
        <f t="shared" si="52"/>
        <v>0</v>
      </c>
      <c r="W550" s="2033">
        <f t="shared" si="53"/>
        <v>0</v>
      </c>
    </row>
    <row r="551" spans="2:23" x14ac:dyDescent="0.15">
      <c r="B551" s="1288">
        <v>113662</v>
      </c>
      <c r="C551" s="1288" t="s">
        <v>2585</v>
      </c>
      <c r="D551" s="1288"/>
      <c r="E551" s="1288" t="s">
        <v>94</v>
      </c>
      <c r="F551" s="1288" t="s">
        <v>2583</v>
      </c>
      <c r="G551" s="1288" t="s">
        <v>1303</v>
      </c>
      <c r="H551" s="2033">
        <f>IFERROR(VLOOKUP($B551,'[3]1001'!$B$6:$G$5927,2,FALSE),0)</f>
        <v>0</v>
      </c>
      <c r="I551" s="2034">
        <f>IFERROR(VLOOKUP($B551,'[3]1001'!$B$6:$G$5927,4,FALSE),0)</f>
        <v>0</v>
      </c>
      <c r="J551" s="2033">
        <f t="shared" si="48"/>
        <v>0</v>
      </c>
      <c r="K551" s="2035">
        <f>IFERROR(VLOOKUP($B551,'[3]1002'!$B$6:$G$5921,2,FALSE),0)</f>
        <v>0</v>
      </c>
      <c r="L551" s="2036">
        <f>IFERROR(VLOOKUP($B551,'[3]1002'!$B$6:$G$5921,4,FALSE),0)</f>
        <v>0</v>
      </c>
      <c r="M551" s="1763">
        <f t="shared" si="49"/>
        <v>0</v>
      </c>
      <c r="N551" s="2033">
        <f>IFERROR(VLOOKUP($B551,'[3]1003'!$B$6:$G$5921,2,FALSE),0)</f>
        <v>0</v>
      </c>
      <c r="O551" s="2034">
        <f>IFERROR(VLOOKUP($B551,'[3]1003'!$B$6:$G$5921,4,FALSE),0)</f>
        <v>0</v>
      </c>
      <c r="P551" s="2033">
        <f t="shared" si="50"/>
        <v>0</v>
      </c>
      <c r="Q551" s="1763">
        <f>IFERROR(VLOOKUP($B551,'[3]1004'!$B$6:$G$5921,2,FALSE),0)</f>
        <v>0</v>
      </c>
      <c r="R551" s="2036">
        <f>IFERROR(VLOOKUP($B551,'[3]1004'!$B$6:$G$5921,4,FALSE),0)</f>
        <v>0</v>
      </c>
      <c r="S551" s="1763">
        <f t="shared" si="51"/>
        <v>0</v>
      </c>
      <c r="T551" s="2033">
        <f>IFERROR(VLOOKUP($B551,'[3]1006'!$B$6:$G$5921,2,FALSE),0)</f>
        <v>0</v>
      </c>
      <c r="U551" s="2034">
        <f>IFERROR(VLOOKUP($B551,'[3]1006'!$B$6:$G$5921,4,FALSE),0)</f>
        <v>0</v>
      </c>
      <c r="V551" s="2033">
        <f t="shared" si="52"/>
        <v>0</v>
      </c>
      <c r="W551" s="2033">
        <f t="shared" si="53"/>
        <v>0</v>
      </c>
    </row>
    <row r="552" spans="2:23" x14ac:dyDescent="0.15">
      <c r="B552" s="1288">
        <v>113663</v>
      </c>
      <c r="C552" s="1288" t="s">
        <v>2586</v>
      </c>
      <c r="D552" s="1288"/>
      <c r="E552" s="1288" t="s">
        <v>94</v>
      </c>
      <c r="F552" s="1288" t="s">
        <v>1517</v>
      </c>
      <c r="G552" s="1288" t="s">
        <v>1303</v>
      </c>
      <c r="H552" s="2033">
        <f>IFERROR(VLOOKUP($B552,'[3]1001'!$B$6:$G$5927,2,FALSE),0)</f>
        <v>0</v>
      </c>
      <c r="I552" s="2034">
        <f>IFERROR(VLOOKUP($B552,'[3]1001'!$B$6:$G$5927,4,FALSE),0)</f>
        <v>0</v>
      </c>
      <c r="J552" s="2033">
        <f t="shared" si="48"/>
        <v>0</v>
      </c>
      <c r="K552" s="2035">
        <f>IFERROR(VLOOKUP($B552,'[3]1002'!$B$6:$G$5921,2,FALSE),0)</f>
        <v>0</v>
      </c>
      <c r="L552" s="2036">
        <f>IFERROR(VLOOKUP($B552,'[3]1002'!$B$6:$G$5921,4,FALSE),0)</f>
        <v>0</v>
      </c>
      <c r="M552" s="1763">
        <f t="shared" si="49"/>
        <v>0</v>
      </c>
      <c r="N552" s="2033">
        <f>IFERROR(VLOOKUP($B552,'[3]1003'!$B$6:$G$5921,2,FALSE),0)</f>
        <v>0</v>
      </c>
      <c r="O552" s="2034">
        <f>IFERROR(VLOOKUP($B552,'[3]1003'!$B$6:$G$5921,4,FALSE),0)</f>
        <v>0</v>
      </c>
      <c r="P552" s="2033">
        <f t="shared" si="50"/>
        <v>0</v>
      </c>
      <c r="Q552" s="1763">
        <f>IFERROR(VLOOKUP($B552,'[3]1004'!$B$6:$G$5921,2,FALSE),0)</f>
        <v>0</v>
      </c>
      <c r="R552" s="2036">
        <f>IFERROR(VLOOKUP($B552,'[3]1004'!$B$6:$G$5921,4,FALSE),0)</f>
        <v>0</v>
      </c>
      <c r="S552" s="1763">
        <f t="shared" si="51"/>
        <v>0</v>
      </c>
      <c r="T552" s="2033">
        <f>IFERROR(VLOOKUP($B552,'[3]1006'!$B$6:$G$5921,2,FALSE),0)</f>
        <v>0</v>
      </c>
      <c r="U552" s="2034">
        <f>IFERROR(VLOOKUP($B552,'[3]1006'!$B$6:$G$5921,4,FALSE),0)</f>
        <v>0</v>
      </c>
      <c r="V552" s="2033">
        <f t="shared" si="52"/>
        <v>0</v>
      </c>
      <c r="W552" s="2033">
        <f t="shared" si="53"/>
        <v>0</v>
      </c>
    </row>
    <row r="553" spans="2:23" x14ac:dyDescent="0.15">
      <c r="B553" s="1288">
        <v>113664</v>
      </c>
      <c r="C553" s="1288" t="s">
        <v>2587</v>
      </c>
      <c r="D553" s="1288"/>
      <c r="E553" s="1288" t="s">
        <v>94</v>
      </c>
      <c r="F553" s="1288" t="s">
        <v>1517</v>
      </c>
      <c r="G553" s="1288" t="s">
        <v>1303</v>
      </c>
      <c r="H553" s="2033">
        <f>IFERROR(VLOOKUP($B553,'[3]1001'!$B$6:$G$5927,2,FALSE),0)</f>
        <v>0</v>
      </c>
      <c r="I553" s="2034">
        <f>IFERROR(VLOOKUP($B553,'[3]1001'!$B$6:$G$5927,4,FALSE),0)</f>
        <v>0</v>
      </c>
      <c r="J553" s="2033">
        <f t="shared" si="48"/>
        <v>0</v>
      </c>
      <c r="K553" s="2035">
        <f>IFERROR(VLOOKUP($B553,'[3]1002'!$B$6:$G$5921,2,FALSE),0)</f>
        <v>0</v>
      </c>
      <c r="L553" s="2036">
        <f>IFERROR(VLOOKUP($B553,'[3]1002'!$B$6:$G$5921,4,FALSE),0)</f>
        <v>0</v>
      </c>
      <c r="M553" s="1763">
        <f t="shared" si="49"/>
        <v>0</v>
      </c>
      <c r="N553" s="2033">
        <f>IFERROR(VLOOKUP($B553,'[3]1003'!$B$6:$G$5921,2,FALSE),0)</f>
        <v>0</v>
      </c>
      <c r="O553" s="2034">
        <f>IFERROR(VLOOKUP($B553,'[3]1003'!$B$6:$G$5921,4,FALSE),0)</f>
        <v>0</v>
      </c>
      <c r="P553" s="2033">
        <f t="shared" si="50"/>
        <v>0</v>
      </c>
      <c r="Q553" s="1763">
        <f>IFERROR(VLOOKUP($B553,'[3]1004'!$B$6:$G$5921,2,FALSE),0)</f>
        <v>0</v>
      </c>
      <c r="R553" s="2036">
        <f>IFERROR(VLOOKUP($B553,'[3]1004'!$B$6:$G$5921,4,FALSE),0)</f>
        <v>0</v>
      </c>
      <c r="S553" s="1763">
        <f t="shared" si="51"/>
        <v>0</v>
      </c>
      <c r="T553" s="2033">
        <f>IFERROR(VLOOKUP($B553,'[3]1006'!$B$6:$G$5921,2,FALSE),0)</f>
        <v>0</v>
      </c>
      <c r="U553" s="2034">
        <f>IFERROR(VLOOKUP($B553,'[3]1006'!$B$6:$G$5921,4,FALSE),0)</f>
        <v>0</v>
      </c>
      <c r="V553" s="2033">
        <f t="shared" si="52"/>
        <v>0</v>
      </c>
      <c r="W553" s="2033">
        <f t="shared" si="53"/>
        <v>0</v>
      </c>
    </row>
    <row r="554" spans="2:23" x14ac:dyDescent="0.15">
      <c r="B554" s="1288">
        <v>113665</v>
      </c>
      <c r="C554" s="1288" t="s">
        <v>2588</v>
      </c>
      <c r="D554" s="1288"/>
      <c r="E554" s="1288" t="s">
        <v>94</v>
      </c>
      <c r="F554" s="1288" t="s">
        <v>1517</v>
      </c>
      <c r="G554" s="1288" t="s">
        <v>1303</v>
      </c>
      <c r="H554" s="2033">
        <f>IFERROR(VLOOKUP($B554,'[3]1001'!$B$6:$G$5927,2,FALSE),0)</f>
        <v>0</v>
      </c>
      <c r="I554" s="2034">
        <f>IFERROR(VLOOKUP($B554,'[3]1001'!$B$6:$G$5927,4,FALSE),0)</f>
        <v>0</v>
      </c>
      <c r="J554" s="2033">
        <f t="shared" si="48"/>
        <v>0</v>
      </c>
      <c r="K554" s="2035">
        <f>IFERROR(VLOOKUP($B554,'[3]1002'!$B$6:$G$5921,2,FALSE),0)</f>
        <v>0</v>
      </c>
      <c r="L554" s="2036">
        <f>IFERROR(VLOOKUP($B554,'[3]1002'!$B$6:$G$5921,4,FALSE),0)</f>
        <v>0</v>
      </c>
      <c r="M554" s="1763">
        <f t="shared" si="49"/>
        <v>0</v>
      </c>
      <c r="N554" s="2033">
        <f>IFERROR(VLOOKUP($B554,'[3]1003'!$B$6:$G$5921,2,FALSE),0)</f>
        <v>0</v>
      </c>
      <c r="O554" s="2034">
        <f>IFERROR(VLOOKUP($B554,'[3]1003'!$B$6:$G$5921,4,FALSE),0)</f>
        <v>0</v>
      </c>
      <c r="P554" s="2033">
        <f t="shared" si="50"/>
        <v>0</v>
      </c>
      <c r="Q554" s="1763">
        <f>IFERROR(VLOOKUP($B554,'[3]1004'!$B$6:$G$5921,2,FALSE),0)</f>
        <v>0</v>
      </c>
      <c r="R554" s="2036">
        <f>IFERROR(VLOOKUP($B554,'[3]1004'!$B$6:$G$5921,4,FALSE),0)</f>
        <v>0</v>
      </c>
      <c r="S554" s="1763">
        <f t="shared" si="51"/>
        <v>0</v>
      </c>
      <c r="T554" s="2033">
        <f>IFERROR(VLOOKUP($B554,'[3]1006'!$B$6:$G$5921,2,FALSE),0)</f>
        <v>0</v>
      </c>
      <c r="U554" s="2034">
        <f>IFERROR(VLOOKUP($B554,'[3]1006'!$B$6:$G$5921,4,FALSE),0)</f>
        <v>0</v>
      </c>
      <c r="V554" s="2033">
        <f t="shared" si="52"/>
        <v>0</v>
      </c>
      <c r="W554" s="2033">
        <f t="shared" si="53"/>
        <v>0</v>
      </c>
    </row>
    <row r="555" spans="2:23" x14ac:dyDescent="0.15">
      <c r="B555" s="1288">
        <v>113666</v>
      </c>
      <c r="C555" s="1288" t="s">
        <v>2589</v>
      </c>
      <c r="D555" s="1288"/>
      <c r="E555" s="1288" t="s">
        <v>94</v>
      </c>
      <c r="F555" s="1288" t="s">
        <v>2583</v>
      </c>
      <c r="G555" s="1288" t="s">
        <v>1303</v>
      </c>
      <c r="H555" s="2033">
        <f>IFERROR(VLOOKUP($B555,'[3]1001'!$B$6:$G$5927,2,FALSE),0)</f>
        <v>0</v>
      </c>
      <c r="I555" s="2034">
        <f>IFERROR(VLOOKUP($B555,'[3]1001'!$B$6:$G$5927,4,FALSE),0)</f>
        <v>0</v>
      </c>
      <c r="J555" s="2033">
        <f t="shared" si="48"/>
        <v>0</v>
      </c>
      <c r="K555" s="2035">
        <f>IFERROR(VLOOKUP($B555,'[3]1002'!$B$6:$G$5921,2,FALSE),0)</f>
        <v>0</v>
      </c>
      <c r="L555" s="2036">
        <f>IFERROR(VLOOKUP($B555,'[3]1002'!$B$6:$G$5921,4,FALSE),0)</f>
        <v>0</v>
      </c>
      <c r="M555" s="1763">
        <f t="shared" si="49"/>
        <v>0</v>
      </c>
      <c r="N555" s="2033">
        <f>IFERROR(VLOOKUP($B555,'[3]1003'!$B$6:$G$5921,2,FALSE),0)</f>
        <v>0</v>
      </c>
      <c r="O555" s="2034">
        <f>IFERROR(VLOOKUP($B555,'[3]1003'!$B$6:$G$5921,4,FALSE),0)</f>
        <v>0</v>
      </c>
      <c r="P555" s="2033">
        <f t="shared" si="50"/>
        <v>0</v>
      </c>
      <c r="Q555" s="1763">
        <f>IFERROR(VLOOKUP($B555,'[3]1004'!$B$6:$G$5921,2,FALSE),0)</f>
        <v>0</v>
      </c>
      <c r="R555" s="2036">
        <f>IFERROR(VLOOKUP($B555,'[3]1004'!$B$6:$G$5921,4,FALSE),0)</f>
        <v>0</v>
      </c>
      <c r="S555" s="1763">
        <f t="shared" si="51"/>
        <v>0</v>
      </c>
      <c r="T555" s="2033">
        <f>IFERROR(VLOOKUP($B555,'[3]1006'!$B$6:$G$5921,2,FALSE),0)</f>
        <v>0</v>
      </c>
      <c r="U555" s="2034">
        <f>IFERROR(VLOOKUP($B555,'[3]1006'!$B$6:$G$5921,4,FALSE),0)</f>
        <v>0</v>
      </c>
      <c r="V555" s="2033">
        <f t="shared" si="52"/>
        <v>0</v>
      </c>
      <c r="W555" s="2033">
        <f t="shared" si="53"/>
        <v>0</v>
      </c>
    </row>
    <row r="556" spans="2:23" x14ac:dyDescent="0.15">
      <c r="B556" s="1288">
        <v>113667</v>
      </c>
      <c r="C556" s="1288" t="s">
        <v>2590</v>
      </c>
      <c r="D556" s="1288"/>
      <c r="E556" s="1288" t="s">
        <v>94</v>
      </c>
      <c r="F556" s="1288" t="s">
        <v>2583</v>
      </c>
      <c r="G556" s="1288" t="s">
        <v>1303</v>
      </c>
      <c r="H556" s="2033">
        <f>IFERROR(VLOOKUP($B556,'[3]1001'!$B$6:$G$5927,2,FALSE),0)</f>
        <v>0</v>
      </c>
      <c r="I556" s="2034">
        <f>IFERROR(VLOOKUP($B556,'[3]1001'!$B$6:$G$5927,4,FALSE),0)</f>
        <v>0</v>
      </c>
      <c r="J556" s="2033">
        <f t="shared" si="48"/>
        <v>0</v>
      </c>
      <c r="K556" s="2035">
        <f>IFERROR(VLOOKUP($B556,'[3]1002'!$B$6:$G$5921,2,FALSE),0)</f>
        <v>0</v>
      </c>
      <c r="L556" s="2036">
        <f>IFERROR(VLOOKUP($B556,'[3]1002'!$B$6:$G$5921,4,FALSE),0)</f>
        <v>0</v>
      </c>
      <c r="M556" s="1763">
        <f t="shared" si="49"/>
        <v>0</v>
      </c>
      <c r="N556" s="2033">
        <f>IFERROR(VLOOKUP($B556,'[3]1003'!$B$6:$G$5921,2,FALSE),0)</f>
        <v>0</v>
      </c>
      <c r="O556" s="2034">
        <f>IFERROR(VLOOKUP($B556,'[3]1003'!$B$6:$G$5921,4,FALSE),0)</f>
        <v>0</v>
      </c>
      <c r="P556" s="2033">
        <f t="shared" si="50"/>
        <v>0</v>
      </c>
      <c r="Q556" s="1763">
        <f>IFERROR(VLOOKUP($B556,'[3]1004'!$B$6:$G$5921,2,FALSE),0)</f>
        <v>0</v>
      </c>
      <c r="R556" s="2036">
        <f>IFERROR(VLOOKUP($B556,'[3]1004'!$B$6:$G$5921,4,FALSE),0)</f>
        <v>0</v>
      </c>
      <c r="S556" s="1763">
        <f t="shared" si="51"/>
        <v>0</v>
      </c>
      <c r="T556" s="2033">
        <f>IFERROR(VLOOKUP($B556,'[3]1006'!$B$6:$G$5921,2,FALSE),0)</f>
        <v>0</v>
      </c>
      <c r="U556" s="2034">
        <f>IFERROR(VLOOKUP($B556,'[3]1006'!$B$6:$G$5921,4,FALSE),0)</f>
        <v>0</v>
      </c>
      <c r="V556" s="2033">
        <f t="shared" si="52"/>
        <v>0</v>
      </c>
      <c r="W556" s="2033">
        <f t="shared" si="53"/>
        <v>0</v>
      </c>
    </row>
    <row r="557" spans="2:23" x14ac:dyDescent="0.15">
      <c r="B557" s="1288">
        <v>113668</v>
      </c>
      <c r="C557" s="1288" t="s">
        <v>2591</v>
      </c>
      <c r="D557" s="1288"/>
      <c r="E557" s="1288" t="s">
        <v>94</v>
      </c>
      <c r="F557" s="1288" t="s">
        <v>2583</v>
      </c>
      <c r="G557" s="1288" t="s">
        <v>1303</v>
      </c>
      <c r="H557" s="2033">
        <f>IFERROR(VLOOKUP($B557,'[3]1001'!$B$6:$G$5927,2,FALSE),0)</f>
        <v>0</v>
      </c>
      <c r="I557" s="2034">
        <f>IFERROR(VLOOKUP($B557,'[3]1001'!$B$6:$G$5927,4,FALSE),0)</f>
        <v>0</v>
      </c>
      <c r="J557" s="2033">
        <f t="shared" si="48"/>
        <v>0</v>
      </c>
      <c r="K557" s="2035">
        <f>IFERROR(VLOOKUP($B557,'[3]1002'!$B$6:$G$5921,2,FALSE),0)</f>
        <v>0</v>
      </c>
      <c r="L557" s="2036">
        <f>IFERROR(VLOOKUP($B557,'[3]1002'!$B$6:$G$5921,4,FALSE),0)</f>
        <v>0</v>
      </c>
      <c r="M557" s="1763">
        <f t="shared" si="49"/>
        <v>0</v>
      </c>
      <c r="N557" s="2033">
        <f>IFERROR(VLOOKUP($B557,'[3]1003'!$B$6:$G$5921,2,FALSE),0)</f>
        <v>0</v>
      </c>
      <c r="O557" s="2034">
        <f>IFERROR(VLOOKUP($B557,'[3]1003'!$B$6:$G$5921,4,FALSE),0)</f>
        <v>0</v>
      </c>
      <c r="P557" s="2033">
        <f t="shared" si="50"/>
        <v>0</v>
      </c>
      <c r="Q557" s="1763">
        <f>IFERROR(VLOOKUP($B557,'[3]1004'!$B$6:$G$5921,2,FALSE),0)</f>
        <v>0</v>
      </c>
      <c r="R557" s="2036">
        <f>IFERROR(VLOOKUP($B557,'[3]1004'!$B$6:$G$5921,4,FALSE),0)</f>
        <v>0</v>
      </c>
      <c r="S557" s="1763">
        <f t="shared" si="51"/>
        <v>0</v>
      </c>
      <c r="T557" s="2033">
        <f>IFERROR(VLOOKUP($B557,'[3]1006'!$B$6:$G$5921,2,FALSE),0)</f>
        <v>0</v>
      </c>
      <c r="U557" s="2034">
        <f>IFERROR(VLOOKUP($B557,'[3]1006'!$B$6:$G$5921,4,FALSE),0)</f>
        <v>0</v>
      </c>
      <c r="V557" s="2033">
        <f t="shared" si="52"/>
        <v>0</v>
      </c>
      <c r="W557" s="2033">
        <f t="shared" si="53"/>
        <v>0</v>
      </c>
    </row>
    <row r="558" spans="2:23" x14ac:dyDescent="0.15">
      <c r="B558" s="1288">
        <v>113669</v>
      </c>
      <c r="C558" s="1288" t="s">
        <v>2592</v>
      </c>
      <c r="D558" s="1288"/>
      <c r="E558" s="1288" t="s">
        <v>94</v>
      </c>
      <c r="F558" s="1288" t="s">
        <v>1517</v>
      </c>
      <c r="G558" s="1288" t="s">
        <v>1303</v>
      </c>
      <c r="H558" s="2033">
        <f>IFERROR(VLOOKUP($B558,'[3]1001'!$B$6:$G$5927,2,FALSE),0)</f>
        <v>0</v>
      </c>
      <c r="I558" s="2034">
        <f>IFERROR(VLOOKUP($B558,'[3]1001'!$B$6:$G$5927,4,FALSE),0)</f>
        <v>0</v>
      </c>
      <c r="J558" s="2033">
        <f t="shared" si="48"/>
        <v>0</v>
      </c>
      <c r="K558" s="2035">
        <f>IFERROR(VLOOKUP($B558,'[3]1002'!$B$6:$G$5921,2,FALSE),0)</f>
        <v>0</v>
      </c>
      <c r="L558" s="2036">
        <f>IFERROR(VLOOKUP($B558,'[3]1002'!$B$6:$G$5921,4,FALSE),0)</f>
        <v>0</v>
      </c>
      <c r="M558" s="1763">
        <f t="shared" si="49"/>
        <v>0</v>
      </c>
      <c r="N558" s="2033">
        <f>IFERROR(VLOOKUP($B558,'[3]1003'!$B$6:$G$5921,2,FALSE),0)</f>
        <v>0</v>
      </c>
      <c r="O558" s="2034">
        <f>IFERROR(VLOOKUP($B558,'[3]1003'!$B$6:$G$5921,4,FALSE),0)</f>
        <v>0</v>
      </c>
      <c r="P558" s="2033">
        <f t="shared" si="50"/>
        <v>0</v>
      </c>
      <c r="Q558" s="1763">
        <f>IFERROR(VLOOKUP($B558,'[3]1004'!$B$6:$G$5921,2,FALSE),0)</f>
        <v>0</v>
      </c>
      <c r="R558" s="2036">
        <f>IFERROR(VLOOKUP($B558,'[3]1004'!$B$6:$G$5921,4,FALSE),0)</f>
        <v>0</v>
      </c>
      <c r="S558" s="1763">
        <f t="shared" si="51"/>
        <v>0</v>
      </c>
      <c r="T558" s="2033">
        <f>IFERROR(VLOOKUP($B558,'[3]1006'!$B$6:$G$5921,2,FALSE),0)</f>
        <v>0</v>
      </c>
      <c r="U558" s="2034">
        <f>IFERROR(VLOOKUP($B558,'[3]1006'!$B$6:$G$5921,4,FALSE),0)</f>
        <v>0</v>
      </c>
      <c r="V558" s="2033">
        <f t="shared" si="52"/>
        <v>0</v>
      </c>
      <c r="W558" s="2033">
        <f t="shared" si="53"/>
        <v>0</v>
      </c>
    </row>
    <row r="559" spans="2:23" x14ac:dyDescent="0.15">
      <c r="B559" s="1288">
        <v>113670</v>
      </c>
      <c r="C559" s="1288" t="s">
        <v>2593</v>
      </c>
      <c r="D559" s="1288"/>
      <c r="E559" s="1288" t="s">
        <v>94</v>
      </c>
      <c r="F559" s="1288" t="s">
        <v>1517</v>
      </c>
      <c r="G559" s="1288" t="s">
        <v>1303</v>
      </c>
      <c r="H559" s="2033">
        <f>IFERROR(VLOOKUP($B559,'[3]1001'!$B$6:$G$5927,2,FALSE),0)</f>
        <v>0</v>
      </c>
      <c r="I559" s="2034">
        <f>IFERROR(VLOOKUP($B559,'[3]1001'!$B$6:$G$5927,4,FALSE),0)</f>
        <v>0</v>
      </c>
      <c r="J559" s="2033">
        <f t="shared" si="48"/>
        <v>0</v>
      </c>
      <c r="K559" s="2035">
        <f>IFERROR(VLOOKUP($B559,'[3]1002'!$B$6:$G$5921,2,FALSE),0)</f>
        <v>0</v>
      </c>
      <c r="L559" s="2036">
        <f>IFERROR(VLOOKUP($B559,'[3]1002'!$B$6:$G$5921,4,FALSE),0)</f>
        <v>0</v>
      </c>
      <c r="M559" s="1763">
        <f t="shared" si="49"/>
        <v>0</v>
      </c>
      <c r="N559" s="2033">
        <f>IFERROR(VLOOKUP($B559,'[3]1003'!$B$6:$G$5921,2,FALSE),0)</f>
        <v>0</v>
      </c>
      <c r="O559" s="2034">
        <f>IFERROR(VLOOKUP($B559,'[3]1003'!$B$6:$G$5921,4,FALSE),0)</f>
        <v>0</v>
      </c>
      <c r="P559" s="2033">
        <f t="shared" si="50"/>
        <v>0</v>
      </c>
      <c r="Q559" s="1763">
        <f>IFERROR(VLOOKUP($B559,'[3]1004'!$B$6:$G$5921,2,FALSE),0)</f>
        <v>0</v>
      </c>
      <c r="R559" s="2036">
        <f>IFERROR(VLOOKUP($B559,'[3]1004'!$B$6:$G$5921,4,FALSE),0)</f>
        <v>0</v>
      </c>
      <c r="S559" s="1763">
        <f t="shared" si="51"/>
        <v>0</v>
      </c>
      <c r="T559" s="2033">
        <f>IFERROR(VLOOKUP($B559,'[3]1006'!$B$6:$G$5921,2,FALSE),0)</f>
        <v>0</v>
      </c>
      <c r="U559" s="2034">
        <f>IFERROR(VLOOKUP($B559,'[3]1006'!$B$6:$G$5921,4,FALSE),0)</f>
        <v>0</v>
      </c>
      <c r="V559" s="2033">
        <f t="shared" si="52"/>
        <v>0</v>
      </c>
      <c r="W559" s="2033">
        <f t="shared" si="53"/>
        <v>0</v>
      </c>
    </row>
    <row r="560" spans="2:23" x14ac:dyDescent="0.15">
      <c r="B560" s="1288">
        <v>113671</v>
      </c>
      <c r="C560" s="1288" t="s">
        <v>2594</v>
      </c>
      <c r="D560" s="1288"/>
      <c r="E560" s="1288" t="s">
        <v>94</v>
      </c>
      <c r="F560" s="1288" t="s">
        <v>1517</v>
      </c>
      <c r="G560" s="1288" t="s">
        <v>1303</v>
      </c>
      <c r="H560" s="2033">
        <f>IFERROR(VLOOKUP($B560,'[3]1001'!$B$6:$G$5927,2,FALSE),0)</f>
        <v>0</v>
      </c>
      <c r="I560" s="2034">
        <f>IFERROR(VLOOKUP($B560,'[3]1001'!$B$6:$G$5927,4,FALSE),0)</f>
        <v>0</v>
      </c>
      <c r="J560" s="2033">
        <f t="shared" si="48"/>
        <v>0</v>
      </c>
      <c r="K560" s="2035">
        <f>IFERROR(VLOOKUP($B560,'[3]1002'!$B$6:$G$5921,2,FALSE),0)</f>
        <v>0</v>
      </c>
      <c r="L560" s="2036">
        <f>IFERROR(VLOOKUP($B560,'[3]1002'!$B$6:$G$5921,4,FALSE),0)</f>
        <v>0</v>
      </c>
      <c r="M560" s="1763">
        <f t="shared" si="49"/>
        <v>0</v>
      </c>
      <c r="N560" s="2033">
        <f>IFERROR(VLOOKUP($B560,'[3]1003'!$B$6:$G$5921,2,FALSE),0)</f>
        <v>0</v>
      </c>
      <c r="O560" s="2034">
        <f>IFERROR(VLOOKUP($B560,'[3]1003'!$B$6:$G$5921,4,FALSE),0)</f>
        <v>0</v>
      </c>
      <c r="P560" s="2033">
        <f t="shared" si="50"/>
        <v>0</v>
      </c>
      <c r="Q560" s="1763">
        <f>IFERROR(VLOOKUP($B560,'[3]1004'!$B$6:$G$5921,2,FALSE),0)</f>
        <v>0</v>
      </c>
      <c r="R560" s="2036">
        <f>IFERROR(VLOOKUP($B560,'[3]1004'!$B$6:$G$5921,4,FALSE),0)</f>
        <v>0</v>
      </c>
      <c r="S560" s="1763">
        <f t="shared" si="51"/>
        <v>0</v>
      </c>
      <c r="T560" s="2033">
        <f>IFERROR(VLOOKUP($B560,'[3]1006'!$B$6:$G$5921,2,FALSE),0)</f>
        <v>0</v>
      </c>
      <c r="U560" s="2034">
        <f>IFERROR(VLOOKUP($B560,'[3]1006'!$B$6:$G$5921,4,FALSE),0)</f>
        <v>0</v>
      </c>
      <c r="V560" s="2033">
        <f t="shared" si="52"/>
        <v>0</v>
      </c>
      <c r="W560" s="2033">
        <f t="shared" si="53"/>
        <v>0</v>
      </c>
    </row>
    <row r="561" spans="2:23" x14ac:dyDescent="0.15">
      <c r="B561" s="2032">
        <v>114354</v>
      </c>
      <c r="C561" s="2032" t="s">
        <v>2595</v>
      </c>
      <c r="D561" s="2032" t="s">
        <v>2595</v>
      </c>
      <c r="E561" s="2032" t="s">
        <v>94</v>
      </c>
      <c r="F561" s="1288" t="s">
        <v>1325</v>
      </c>
      <c r="G561" s="1288" t="s">
        <v>1296</v>
      </c>
      <c r="H561" s="2033">
        <f>IFERROR(VLOOKUP($B561,'[3]1001'!$B$6:$G$5927,2,FALSE),0)</f>
        <v>0</v>
      </c>
      <c r="I561" s="2034">
        <f>IFERROR(VLOOKUP($B561,'[3]1001'!$B$6:$G$5927,4,FALSE),0)</f>
        <v>0</v>
      </c>
      <c r="J561" s="2033">
        <f t="shared" si="48"/>
        <v>0</v>
      </c>
      <c r="K561" s="2035">
        <f>IFERROR(VLOOKUP($B561,'[3]1002'!$B$6:$G$5921,2,FALSE),0)</f>
        <v>0</v>
      </c>
      <c r="L561" s="2036">
        <f>IFERROR(VLOOKUP($B561,'[3]1002'!$B$6:$G$5921,4,FALSE),0)</f>
        <v>0</v>
      </c>
      <c r="M561" s="1763">
        <f t="shared" si="49"/>
        <v>0</v>
      </c>
      <c r="N561" s="2033">
        <f>IFERROR(VLOOKUP($B561,'[3]1003'!$B$6:$G$5921,2,FALSE),0)</f>
        <v>0</v>
      </c>
      <c r="O561" s="2034">
        <f>IFERROR(VLOOKUP($B561,'[3]1003'!$B$6:$G$5921,4,FALSE),0)</f>
        <v>0</v>
      </c>
      <c r="P561" s="2033">
        <f t="shared" si="50"/>
        <v>0</v>
      </c>
      <c r="Q561" s="1763">
        <f>IFERROR(VLOOKUP($B561,'[3]1004'!$B$6:$G$5921,2,FALSE),0)</f>
        <v>0</v>
      </c>
      <c r="R561" s="2036">
        <f>IFERROR(VLOOKUP($B561,'[3]1004'!$B$6:$G$5921,4,FALSE),0)</f>
        <v>0</v>
      </c>
      <c r="S561" s="1763">
        <f t="shared" si="51"/>
        <v>0</v>
      </c>
      <c r="T561" s="2033">
        <f>IFERROR(VLOOKUP($B561,'[3]1006'!$B$6:$G$5921,2,FALSE),0)</f>
        <v>0</v>
      </c>
      <c r="U561" s="2034">
        <f>IFERROR(VLOOKUP($B561,'[3]1006'!$B$6:$G$5921,4,FALSE),0)</f>
        <v>0</v>
      </c>
      <c r="V561" s="2033">
        <f t="shared" si="52"/>
        <v>0</v>
      </c>
      <c r="W561" s="2033">
        <f t="shared" si="53"/>
        <v>0</v>
      </c>
    </row>
    <row r="562" spans="2:23" x14ac:dyDescent="0.15">
      <c r="B562" s="1288">
        <v>114415</v>
      </c>
      <c r="C562" s="1288" t="s">
        <v>2596</v>
      </c>
      <c r="D562" s="1288"/>
      <c r="E562" s="1288" t="s">
        <v>94</v>
      </c>
      <c r="F562" s="1288" t="s">
        <v>1300</v>
      </c>
      <c r="G562" s="1288" t="s">
        <v>1296</v>
      </c>
      <c r="H562" s="2033">
        <f>IFERROR(VLOOKUP($B562,'[3]1001'!$B$6:$G$5927,2,FALSE),0)</f>
        <v>0</v>
      </c>
      <c r="I562" s="2034">
        <f>IFERROR(VLOOKUP($B562,'[3]1001'!$B$6:$G$5927,4,FALSE),0)</f>
        <v>0</v>
      </c>
      <c r="J562" s="2033">
        <f t="shared" si="48"/>
        <v>0</v>
      </c>
      <c r="K562" s="2035">
        <f>IFERROR(VLOOKUP($B562,'[3]1002'!$B$6:$G$5921,2,FALSE),0)</f>
        <v>0</v>
      </c>
      <c r="L562" s="2036">
        <f>IFERROR(VLOOKUP($B562,'[3]1002'!$B$6:$G$5921,4,FALSE),0)</f>
        <v>0</v>
      </c>
      <c r="M562" s="1763">
        <f t="shared" si="49"/>
        <v>0</v>
      </c>
      <c r="N562" s="2033">
        <f>IFERROR(VLOOKUP($B562,'[3]1003'!$B$6:$G$5921,2,FALSE),0)</f>
        <v>0</v>
      </c>
      <c r="O562" s="2034">
        <f>IFERROR(VLOOKUP($B562,'[3]1003'!$B$6:$G$5921,4,FALSE),0)</f>
        <v>0</v>
      </c>
      <c r="P562" s="2033">
        <f t="shared" si="50"/>
        <v>0</v>
      </c>
      <c r="Q562" s="1763">
        <f>IFERROR(VLOOKUP($B562,'[3]1004'!$B$6:$G$5921,2,FALSE),0)</f>
        <v>0</v>
      </c>
      <c r="R562" s="2036">
        <f>IFERROR(VLOOKUP($B562,'[3]1004'!$B$6:$G$5921,4,FALSE),0)</f>
        <v>0</v>
      </c>
      <c r="S562" s="1763">
        <f t="shared" si="51"/>
        <v>0</v>
      </c>
      <c r="T562" s="2033">
        <f>IFERROR(VLOOKUP($B562,'[3]1006'!$B$6:$G$5921,2,FALSE),0)</f>
        <v>0</v>
      </c>
      <c r="U562" s="2034">
        <f>IFERROR(VLOOKUP($B562,'[3]1006'!$B$6:$G$5921,4,FALSE),0)</f>
        <v>0</v>
      </c>
      <c r="V562" s="2033">
        <f t="shared" si="52"/>
        <v>0</v>
      </c>
      <c r="W562" s="2033">
        <f t="shared" si="53"/>
        <v>0</v>
      </c>
    </row>
    <row r="563" spans="2:23" x14ac:dyDescent="0.15">
      <c r="B563" s="2032">
        <v>114429</v>
      </c>
      <c r="C563" s="2032" t="s">
        <v>2597</v>
      </c>
      <c r="D563" s="2032" t="s">
        <v>2597</v>
      </c>
      <c r="E563" s="2032" t="s">
        <v>94</v>
      </c>
      <c r="F563" s="1288" t="s">
        <v>1411</v>
      </c>
      <c r="G563" s="1288" t="s">
        <v>1303</v>
      </c>
      <c r="H563" s="2033">
        <f>IFERROR(VLOOKUP($B563,'[3]1001'!$B$6:$G$5927,2,FALSE),0)</f>
        <v>0</v>
      </c>
      <c r="I563" s="2034">
        <f>IFERROR(VLOOKUP($B563,'[3]1001'!$B$6:$G$5927,4,FALSE),0)</f>
        <v>0</v>
      </c>
      <c r="J563" s="2033">
        <f t="shared" si="48"/>
        <v>0</v>
      </c>
      <c r="K563" s="2035">
        <f>IFERROR(VLOOKUP($B563,'[3]1002'!$B$6:$G$5921,2,FALSE),0)</f>
        <v>0</v>
      </c>
      <c r="L563" s="2036">
        <f>IFERROR(VLOOKUP($B563,'[3]1002'!$B$6:$G$5921,4,FALSE),0)</f>
        <v>0</v>
      </c>
      <c r="M563" s="1763">
        <f t="shared" si="49"/>
        <v>0</v>
      </c>
      <c r="N563" s="2033">
        <f>IFERROR(VLOOKUP($B563,'[3]1003'!$B$6:$G$5921,2,FALSE),0)</f>
        <v>0</v>
      </c>
      <c r="O563" s="2034">
        <f>IFERROR(VLOOKUP($B563,'[3]1003'!$B$6:$G$5921,4,FALSE),0)</f>
        <v>0</v>
      </c>
      <c r="P563" s="2033">
        <f t="shared" si="50"/>
        <v>0</v>
      </c>
      <c r="Q563" s="1763">
        <f>IFERROR(VLOOKUP($B563,'[3]1004'!$B$6:$G$5921,2,FALSE),0)</f>
        <v>0</v>
      </c>
      <c r="R563" s="2036">
        <f>IFERROR(VLOOKUP($B563,'[3]1004'!$B$6:$G$5921,4,FALSE),0)</f>
        <v>0</v>
      </c>
      <c r="S563" s="1763">
        <f t="shared" si="51"/>
        <v>0</v>
      </c>
      <c r="T563" s="2033">
        <f>IFERROR(VLOOKUP($B563,'[3]1006'!$B$6:$G$5921,2,FALSE),0)</f>
        <v>0</v>
      </c>
      <c r="U563" s="2034">
        <f>IFERROR(VLOOKUP($B563,'[3]1006'!$B$6:$G$5921,4,FALSE),0)</f>
        <v>0</v>
      </c>
      <c r="V563" s="2033">
        <f t="shared" si="52"/>
        <v>0</v>
      </c>
      <c r="W563" s="2033">
        <f t="shared" si="53"/>
        <v>0</v>
      </c>
    </row>
    <row r="564" spans="2:23" x14ac:dyDescent="0.15">
      <c r="B564" s="2032">
        <v>114454</v>
      </c>
      <c r="C564" s="2032" t="s">
        <v>2598</v>
      </c>
      <c r="D564" s="2032" t="s">
        <v>2598</v>
      </c>
      <c r="E564" s="2032" t="s">
        <v>94</v>
      </c>
      <c r="F564" s="1288" t="s">
        <v>1300</v>
      </c>
      <c r="G564" s="1288" t="s">
        <v>1296</v>
      </c>
      <c r="H564" s="2033">
        <f>IFERROR(VLOOKUP($B564,'[3]1001'!$B$6:$G$5927,2,FALSE),0)</f>
        <v>0</v>
      </c>
      <c r="I564" s="2034">
        <f>IFERROR(VLOOKUP($B564,'[3]1001'!$B$6:$G$5927,4,FALSE),0)</f>
        <v>0</v>
      </c>
      <c r="J564" s="2033">
        <f t="shared" si="48"/>
        <v>0</v>
      </c>
      <c r="K564" s="2035">
        <f>IFERROR(VLOOKUP($B564,'[3]1002'!$B$6:$G$5921,2,FALSE),0)</f>
        <v>0</v>
      </c>
      <c r="L564" s="2036">
        <f>IFERROR(VLOOKUP($B564,'[3]1002'!$B$6:$G$5921,4,FALSE),0)</f>
        <v>0</v>
      </c>
      <c r="M564" s="1763">
        <f t="shared" si="49"/>
        <v>0</v>
      </c>
      <c r="N564" s="2033">
        <f>IFERROR(VLOOKUP($B564,'[3]1003'!$B$6:$G$5921,2,FALSE),0)</f>
        <v>0</v>
      </c>
      <c r="O564" s="2034">
        <f>IFERROR(VLOOKUP($B564,'[3]1003'!$B$6:$G$5921,4,FALSE),0)</f>
        <v>0</v>
      </c>
      <c r="P564" s="2033">
        <f t="shared" si="50"/>
        <v>0</v>
      </c>
      <c r="Q564" s="1763">
        <f>IFERROR(VLOOKUP($B564,'[3]1004'!$B$6:$G$5921,2,FALSE),0)</f>
        <v>0</v>
      </c>
      <c r="R564" s="2036">
        <f>IFERROR(VLOOKUP($B564,'[3]1004'!$B$6:$G$5921,4,FALSE),0)</f>
        <v>0</v>
      </c>
      <c r="S564" s="1763">
        <f t="shared" si="51"/>
        <v>0</v>
      </c>
      <c r="T564" s="2033">
        <f>IFERROR(VLOOKUP($B564,'[3]1006'!$B$6:$G$5921,2,FALSE),0)</f>
        <v>0</v>
      </c>
      <c r="U564" s="2034">
        <f>IFERROR(VLOOKUP($B564,'[3]1006'!$B$6:$G$5921,4,FALSE),0)</f>
        <v>0</v>
      </c>
      <c r="V564" s="2033">
        <f t="shared" si="52"/>
        <v>0</v>
      </c>
      <c r="W564" s="2033">
        <f t="shared" si="53"/>
        <v>0</v>
      </c>
    </row>
    <row r="565" spans="2:23" x14ac:dyDescent="0.15">
      <c r="B565" s="2032">
        <v>114468</v>
      </c>
      <c r="C565" s="2032" t="s">
        <v>2599</v>
      </c>
      <c r="D565" s="2032" t="s">
        <v>2599</v>
      </c>
      <c r="E565" s="2032" t="s">
        <v>94</v>
      </c>
      <c r="F565" s="1288" t="s">
        <v>1300</v>
      </c>
      <c r="G565" s="1288" t="s">
        <v>1296</v>
      </c>
      <c r="H565" s="2033">
        <f>IFERROR(VLOOKUP($B565,'[3]1001'!$B$6:$G$5927,2,FALSE),0)</f>
        <v>0</v>
      </c>
      <c r="I565" s="2034">
        <f>IFERROR(VLOOKUP($B565,'[3]1001'!$B$6:$G$5927,4,FALSE),0)</f>
        <v>0</v>
      </c>
      <c r="J565" s="2033">
        <f t="shared" si="48"/>
        <v>0</v>
      </c>
      <c r="K565" s="2035">
        <f>IFERROR(VLOOKUP($B565,'[3]1002'!$B$6:$G$5921,2,FALSE),0)</f>
        <v>0</v>
      </c>
      <c r="L565" s="2036">
        <f>IFERROR(VLOOKUP($B565,'[3]1002'!$B$6:$G$5921,4,FALSE),0)</f>
        <v>0</v>
      </c>
      <c r="M565" s="1763">
        <f t="shared" si="49"/>
        <v>0</v>
      </c>
      <c r="N565" s="2033">
        <f>IFERROR(VLOOKUP($B565,'[3]1003'!$B$6:$G$5921,2,FALSE),0)</f>
        <v>0</v>
      </c>
      <c r="O565" s="2034">
        <f>IFERROR(VLOOKUP($B565,'[3]1003'!$B$6:$G$5921,4,FALSE),0)</f>
        <v>0</v>
      </c>
      <c r="P565" s="2033">
        <f t="shared" si="50"/>
        <v>0</v>
      </c>
      <c r="Q565" s="1763">
        <f>IFERROR(VLOOKUP($B565,'[3]1004'!$B$6:$G$5921,2,FALSE),0)</f>
        <v>0</v>
      </c>
      <c r="R565" s="2036">
        <f>IFERROR(VLOOKUP($B565,'[3]1004'!$B$6:$G$5921,4,FALSE),0)</f>
        <v>0</v>
      </c>
      <c r="S565" s="1763">
        <f t="shared" si="51"/>
        <v>0</v>
      </c>
      <c r="T565" s="2033">
        <f>IFERROR(VLOOKUP($B565,'[3]1006'!$B$6:$G$5921,2,FALSE),0)</f>
        <v>0</v>
      </c>
      <c r="U565" s="2034">
        <f>IFERROR(VLOOKUP($B565,'[3]1006'!$B$6:$G$5921,4,FALSE),0)</f>
        <v>0</v>
      </c>
      <c r="V565" s="2033">
        <f t="shared" si="52"/>
        <v>0</v>
      </c>
      <c r="W565" s="2033">
        <f t="shared" si="53"/>
        <v>0</v>
      </c>
    </row>
    <row r="566" spans="2:23" x14ac:dyDescent="0.15">
      <c r="B566" s="2032">
        <v>114477</v>
      </c>
      <c r="C566" s="2032" t="s">
        <v>2056</v>
      </c>
      <c r="D566" s="2032" t="s">
        <v>2057</v>
      </c>
      <c r="E566" s="2032" t="s">
        <v>94</v>
      </c>
      <c r="F566" s="1288" t="s">
        <v>1300</v>
      </c>
      <c r="G566" s="1288" t="s">
        <v>1296</v>
      </c>
      <c r="H566" s="2033">
        <f>IFERROR(VLOOKUP($B566,'[3]1001'!$B$6:$G$5927,2,FALSE),0)</f>
        <v>0</v>
      </c>
      <c r="I566" s="2034">
        <f>IFERROR(VLOOKUP($B566,'[3]1001'!$B$6:$G$5927,4,FALSE),0)</f>
        <v>0</v>
      </c>
      <c r="J566" s="2033">
        <f t="shared" si="48"/>
        <v>0</v>
      </c>
      <c r="K566" s="2035">
        <f>IFERROR(VLOOKUP($B566,'[3]1002'!$B$6:$G$5921,2,FALSE),0)</f>
        <v>0</v>
      </c>
      <c r="L566" s="2036">
        <f>IFERROR(VLOOKUP($B566,'[3]1002'!$B$6:$G$5921,4,FALSE),0)</f>
        <v>0</v>
      </c>
      <c r="M566" s="1763">
        <f t="shared" si="49"/>
        <v>0</v>
      </c>
      <c r="N566" s="2033">
        <f>IFERROR(VLOOKUP($B566,'[3]1003'!$B$6:$G$5921,2,FALSE),0)</f>
        <v>0</v>
      </c>
      <c r="O566" s="2034">
        <f>IFERROR(VLOOKUP($B566,'[3]1003'!$B$6:$G$5921,4,FALSE),0)</f>
        <v>0</v>
      </c>
      <c r="P566" s="2033">
        <f t="shared" si="50"/>
        <v>0</v>
      </c>
      <c r="Q566" s="1763">
        <f>IFERROR(VLOOKUP($B566,'[3]1004'!$B$6:$G$5921,2,FALSE),0)</f>
        <v>0</v>
      </c>
      <c r="R566" s="2036">
        <f>IFERROR(VLOOKUP($B566,'[3]1004'!$B$6:$G$5921,4,FALSE),0)</f>
        <v>0</v>
      </c>
      <c r="S566" s="1763">
        <f t="shared" si="51"/>
        <v>0</v>
      </c>
      <c r="T566" s="2033">
        <f>IFERROR(VLOOKUP($B566,'[3]1006'!$B$6:$G$5921,2,FALSE),0)</f>
        <v>0</v>
      </c>
      <c r="U566" s="2034">
        <f>IFERROR(VLOOKUP($B566,'[3]1006'!$B$6:$G$5921,4,FALSE),0)</f>
        <v>0</v>
      </c>
      <c r="V566" s="2033">
        <f t="shared" si="52"/>
        <v>0</v>
      </c>
      <c r="W566" s="2033">
        <f t="shared" si="53"/>
        <v>0</v>
      </c>
    </row>
    <row r="567" spans="2:23" x14ac:dyDescent="0.15">
      <c r="B567" s="2032">
        <v>114512</v>
      </c>
      <c r="C567" s="2032" t="s">
        <v>2600</v>
      </c>
      <c r="D567" s="2032" t="s">
        <v>2601</v>
      </c>
      <c r="E567" s="2032" t="s">
        <v>94</v>
      </c>
      <c r="F567" s="1288" t="s">
        <v>1300</v>
      </c>
      <c r="G567" s="1288" t="s">
        <v>1296</v>
      </c>
      <c r="H567" s="2033">
        <f>IFERROR(VLOOKUP($B567,'[3]1001'!$B$6:$G$5927,2,FALSE),0)</f>
        <v>0</v>
      </c>
      <c r="I567" s="2034">
        <f>IFERROR(VLOOKUP($B567,'[3]1001'!$B$6:$G$5927,4,FALSE),0)</f>
        <v>0</v>
      </c>
      <c r="J567" s="2033">
        <f t="shared" si="48"/>
        <v>0</v>
      </c>
      <c r="K567" s="2035">
        <f>IFERROR(VLOOKUP($B567,'[3]1002'!$B$6:$G$5921,2,FALSE),0)</f>
        <v>0</v>
      </c>
      <c r="L567" s="2036">
        <f>IFERROR(VLOOKUP($B567,'[3]1002'!$B$6:$G$5921,4,FALSE),0)</f>
        <v>0</v>
      </c>
      <c r="M567" s="1763">
        <f t="shared" si="49"/>
        <v>0</v>
      </c>
      <c r="N567" s="2033">
        <f>IFERROR(VLOOKUP($B567,'[3]1003'!$B$6:$G$5921,2,FALSE),0)</f>
        <v>0</v>
      </c>
      <c r="O567" s="2034">
        <f>IFERROR(VLOOKUP($B567,'[3]1003'!$B$6:$G$5921,4,FALSE),0)</f>
        <v>0</v>
      </c>
      <c r="P567" s="2033">
        <f t="shared" si="50"/>
        <v>0</v>
      </c>
      <c r="Q567" s="1763">
        <f>IFERROR(VLOOKUP($B567,'[3]1004'!$B$6:$G$5921,2,FALSE),0)</f>
        <v>0</v>
      </c>
      <c r="R567" s="2036">
        <f>IFERROR(VLOOKUP($B567,'[3]1004'!$B$6:$G$5921,4,FALSE),0)</f>
        <v>0</v>
      </c>
      <c r="S567" s="1763">
        <f t="shared" si="51"/>
        <v>0</v>
      </c>
      <c r="T567" s="2033">
        <f>IFERROR(VLOOKUP($B567,'[3]1006'!$B$6:$G$5921,2,FALSE),0)</f>
        <v>0</v>
      </c>
      <c r="U567" s="2034">
        <f>IFERROR(VLOOKUP($B567,'[3]1006'!$B$6:$G$5921,4,FALSE),0)</f>
        <v>0</v>
      </c>
      <c r="V567" s="2033">
        <f t="shared" si="52"/>
        <v>0</v>
      </c>
      <c r="W567" s="2033">
        <f t="shared" si="53"/>
        <v>0</v>
      </c>
    </row>
    <row r="568" spans="2:23" x14ac:dyDescent="0.15">
      <c r="B568" s="2032">
        <v>114516</v>
      </c>
      <c r="C568" s="2032" t="s">
        <v>2602</v>
      </c>
      <c r="D568" s="2032" t="s">
        <v>2602</v>
      </c>
      <c r="E568" s="2032" t="s">
        <v>94</v>
      </c>
      <c r="F568" s="1288" t="s">
        <v>1300</v>
      </c>
      <c r="G568" s="1288" t="s">
        <v>1296</v>
      </c>
      <c r="H568" s="2033">
        <f>IFERROR(VLOOKUP($B568,'[3]1001'!$B$6:$G$5927,2,FALSE),0)</f>
        <v>0</v>
      </c>
      <c r="I568" s="2034">
        <f>IFERROR(VLOOKUP($B568,'[3]1001'!$B$6:$G$5927,4,FALSE),0)</f>
        <v>0</v>
      </c>
      <c r="J568" s="2033">
        <f t="shared" si="48"/>
        <v>0</v>
      </c>
      <c r="K568" s="2035">
        <f>IFERROR(VLOOKUP($B568,'[3]1002'!$B$6:$G$5921,2,FALSE),0)</f>
        <v>0</v>
      </c>
      <c r="L568" s="2036">
        <f>IFERROR(VLOOKUP($B568,'[3]1002'!$B$6:$G$5921,4,FALSE),0)</f>
        <v>0</v>
      </c>
      <c r="M568" s="1763">
        <f t="shared" si="49"/>
        <v>0</v>
      </c>
      <c r="N568" s="2033">
        <f>IFERROR(VLOOKUP($B568,'[3]1003'!$B$6:$G$5921,2,FALSE),0)</f>
        <v>0</v>
      </c>
      <c r="O568" s="2034">
        <f>IFERROR(VLOOKUP($B568,'[3]1003'!$B$6:$G$5921,4,FALSE),0)</f>
        <v>0</v>
      </c>
      <c r="P568" s="2033">
        <f t="shared" si="50"/>
        <v>0</v>
      </c>
      <c r="Q568" s="1763">
        <f>IFERROR(VLOOKUP($B568,'[3]1004'!$B$6:$G$5921,2,FALSE),0)</f>
        <v>0</v>
      </c>
      <c r="R568" s="2036">
        <f>IFERROR(VLOOKUP($B568,'[3]1004'!$B$6:$G$5921,4,FALSE),0)</f>
        <v>0</v>
      </c>
      <c r="S568" s="1763">
        <f t="shared" si="51"/>
        <v>0</v>
      </c>
      <c r="T568" s="2033">
        <f>IFERROR(VLOOKUP($B568,'[3]1006'!$B$6:$G$5921,2,FALSE),0)</f>
        <v>0</v>
      </c>
      <c r="U568" s="2034">
        <f>IFERROR(VLOOKUP($B568,'[3]1006'!$B$6:$G$5921,4,FALSE),0)</f>
        <v>0</v>
      </c>
      <c r="V568" s="2033">
        <f t="shared" si="52"/>
        <v>0</v>
      </c>
      <c r="W568" s="2033">
        <f t="shared" si="53"/>
        <v>0</v>
      </c>
    </row>
    <row r="569" spans="2:23" x14ac:dyDescent="0.15">
      <c r="B569" s="2032">
        <v>114804</v>
      </c>
      <c r="C569" s="2032" t="s">
        <v>2058</v>
      </c>
      <c r="D569" s="2032" t="s">
        <v>2059</v>
      </c>
      <c r="E569" s="2032" t="s">
        <v>94</v>
      </c>
      <c r="F569" s="1288" t="s">
        <v>1300</v>
      </c>
      <c r="G569" s="1288" t="s">
        <v>1296</v>
      </c>
      <c r="H569" s="2033">
        <f>IFERROR(VLOOKUP($B569,'[3]1001'!$B$6:$G$5927,2,FALSE),0)</f>
        <v>0</v>
      </c>
      <c r="I569" s="2034">
        <f>IFERROR(VLOOKUP($B569,'[3]1001'!$B$6:$G$5927,4,FALSE),0)</f>
        <v>0</v>
      </c>
      <c r="J569" s="2033">
        <f t="shared" si="48"/>
        <v>0</v>
      </c>
      <c r="K569" s="2035">
        <f>IFERROR(VLOOKUP($B569,'[3]1002'!$B$6:$G$5921,2,FALSE),0)</f>
        <v>0</v>
      </c>
      <c r="L569" s="2036">
        <f>IFERROR(VLOOKUP($B569,'[3]1002'!$B$6:$G$5921,4,FALSE),0)</f>
        <v>0</v>
      </c>
      <c r="M569" s="1763">
        <f t="shared" si="49"/>
        <v>0</v>
      </c>
      <c r="N569" s="2033">
        <f>IFERROR(VLOOKUP($B569,'[3]1003'!$B$6:$G$5921,2,FALSE),0)</f>
        <v>55048</v>
      </c>
      <c r="O569" s="2034">
        <f>IFERROR(VLOOKUP($B569,'[3]1003'!$B$6:$G$5921,4,FALSE),0)</f>
        <v>2</v>
      </c>
      <c r="P569" s="2033">
        <f t="shared" si="50"/>
        <v>27524</v>
      </c>
      <c r="Q569" s="1763">
        <f>IFERROR(VLOOKUP($B569,'[3]1004'!$B$6:$G$5921,2,FALSE),0)</f>
        <v>0</v>
      </c>
      <c r="R569" s="2036">
        <f>IFERROR(VLOOKUP($B569,'[3]1004'!$B$6:$G$5921,4,FALSE),0)</f>
        <v>0</v>
      </c>
      <c r="S569" s="1763">
        <f t="shared" si="51"/>
        <v>0</v>
      </c>
      <c r="T569" s="2033">
        <f>IFERROR(VLOOKUP($B569,'[3]1006'!$B$6:$G$5921,2,FALSE),0)</f>
        <v>0</v>
      </c>
      <c r="U569" s="2034">
        <f>IFERROR(VLOOKUP($B569,'[3]1006'!$B$6:$G$5921,4,FALSE),0)</f>
        <v>0</v>
      </c>
      <c r="V569" s="2033">
        <f t="shared" si="52"/>
        <v>0</v>
      </c>
      <c r="W569" s="2033">
        <f t="shared" si="53"/>
        <v>2</v>
      </c>
    </row>
    <row r="570" spans="2:23" x14ac:dyDescent="0.15">
      <c r="B570" s="2032">
        <v>114865</v>
      </c>
      <c r="C570" s="2032" t="s">
        <v>2060</v>
      </c>
      <c r="D570" s="2032" t="s">
        <v>2061</v>
      </c>
      <c r="E570" s="2032" t="s">
        <v>94</v>
      </c>
      <c r="F570" s="1288" t="s">
        <v>1300</v>
      </c>
      <c r="G570" s="1288" t="s">
        <v>1296</v>
      </c>
      <c r="H570" s="2033">
        <f>IFERROR(VLOOKUP($B570,'[3]1001'!$B$6:$G$5927,2,FALSE),0)</f>
        <v>0</v>
      </c>
      <c r="I570" s="2034">
        <f>IFERROR(VLOOKUP($B570,'[3]1001'!$B$6:$G$5927,4,FALSE),0)</f>
        <v>0</v>
      </c>
      <c r="J570" s="2033">
        <f t="shared" si="48"/>
        <v>0</v>
      </c>
      <c r="K570" s="2035">
        <f>IFERROR(VLOOKUP($B570,'[3]1002'!$B$6:$G$5921,2,FALSE),0)</f>
        <v>0</v>
      </c>
      <c r="L570" s="2036">
        <f>IFERROR(VLOOKUP($B570,'[3]1002'!$B$6:$G$5921,4,FALSE),0)</f>
        <v>0</v>
      </c>
      <c r="M570" s="1763">
        <f t="shared" si="49"/>
        <v>0</v>
      </c>
      <c r="N570" s="2033">
        <f>IFERROR(VLOOKUP($B570,'[3]1003'!$B$6:$G$5921,2,FALSE),0)</f>
        <v>8171730.8099999996</v>
      </c>
      <c r="O570" s="2034">
        <f>IFERROR(VLOOKUP($B570,'[3]1003'!$B$6:$G$5921,4,FALSE),0)</f>
        <v>68</v>
      </c>
      <c r="P570" s="2033">
        <f t="shared" si="50"/>
        <v>120172.5119117647</v>
      </c>
      <c r="Q570" s="1763">
        <f>IFERROR(VLOOKUP($B570,'[3]1004'!$B$6:$G$5921,2,FALSE),0)</f>
        <v>0</v>
      </c>
      <c r="R570" s="2036">
        <f>IFERROR(VLOOKUP($B570,'[3]1004'!$B$6:$G$5921,4,FALSE),0)</f>
        <v>0</v>
      </c>
      <c r="S570" s="1763">
        <f t="shared" si="51"/>
        <v>0</v>
      </c>
      <c r="T570" s="2033">
        <f>IFERROR(VLOOKUP($B570,'[3]1006'!$B$6:$G$5921,2,FALSE),0)</f>
        <v>0</v>
      </c>
      <c r="U570" s="2034">
        <f>IFERROR(VLOOKUP($B570,'[3]1006'!$B$6:$G$5921,4,FALSE),0)</f>
        <v>0</v>
      </c>
      <c r="V570" s="2033">
        <f t="shared" si="52"/>
        <v>0</v>
      </c>
      <c r="W570" s="2033">
        <f t="shared" si="53"/>
        <v>68</v>
      </c>
    </row>
    <row r="571" spans="2:23" x14ac:dyDescent="0.15">
      <c r="B571" s="2032">
        <v>114929</v>
      </c>
      <c r="C571" s="2032" t="s">
        <v>2603</v>
      </c>
      <c r="D571" s="2032" t="s">
        <v>2603</v>
      </c>
      <c r="E571" s="2032" t="s">
        <v>94</v>
      </c>
      <c r="F571" s="1288" t="s">
        <v>1757</v>
      </c>
      <c r="G571" s="1288" t="s">
        <v>1296</v>
      </c>
      <c r="H571" s="2033">
        <f>IFERROR(VLOOKUP($B571,'[3]1001'!$B$6:$G$5927,2,FALSE),0)</f>
        <v>0</v>
      </c>
      <c r="I571" s="2034">
        <f>IFERROR(VLOOKUP($B571,'[3]1001'!$B$6:$G$5927,4,FALSE),0)</f>
        <v>0</v>
      </c>
      <c r="J571" s="2033">
        <f t="shared" si="48"/>
        <v>0</v>
      </c>
      <c r="K571" s="2035">
        <f>IFERROR(VLOOKUP($B571,'[3]1002'!$B$6:$G$5921,2,FALSE),0)</f>
        <v>0</v>
      </c>
      <c r="L571" s="2036">
        <f>IFERROR(VLOOKUP($B571,'[3]1002'!$B$6:$G$5921,4,FALSE),0)</f>
        <v>0</v>
      </c>
      <c r="M571" s="1763">
        <f t="shared" si="49"/>
        <v>0</v>
      </c>
      <c r="N571" s="2033">
        <f>IFERROR(VLOOKUP($B571,'[3]1003'!$B$6:$G$5921,2,FALSE),0)</f>
        <v>0</v>
      </c>
      <c r="O571" s="2034">
        <f>IFERROR(VLOOKUP($B571,'[3]1003'!$B$6:$G$5921,4,FALSE),0)</f>
        <v>0</v>
      </c>
      <c r="P571" s="2033">
        <f t="shared" si="50"/>
        <v>0</v>
      </c>
      <c r="Q571" s="1763">
        <f>IFERROR(VLOOKUP($B571,'[3]1004'!$B$6:$G$5921,2,FALSE),0)</f>
        <v>0</v>
      </c>
      <c r="R571" s="2036">
        <f>IFERROR(VLOOKUP($B571,'[3]1004'!$B$6:$G$5921,4,FALSE),0)</f>
        <v>0</v>
      </c>
      <c r="S571" s="1763">
        <f t="shared" si="51"/>
        <v>0</v>
      </c>
      <c r="T571" s="2033">
        <f>IFERROR(VLOOKUP($B571,'[3]1006'!$B$6:$G$5921,2,FALSE),0)</f>
        <v>0</v>
      </c>
      <c r="U571" s="2034">
        <f>IFERROR(VLOOKUP($B571,'[3]1006'!$B$6:$G$5921,4,FALSE),0)</f>
        <v>0</v>
      </c>
      <c r="V571" s="2033">
        <f t="shared" si="52"/>
        <v>0</v>
      </c>
      <c r="W571" s="2033">
        <f t="shared" si="53"/>
        <v>0</v>
      </c>
    </row>
    <row r="572" spans="2:23" x14ac:dyDescent="0.15">
      <c r="B572" s="2032">
        <v>114940</v>
      </c>
      <c r="C572" s="2032" t="s">
        <v>2604</v>
      </c>
      <c r="D572" s="2032" t="s">
        <v>2604</v>
      </c>
      <c r="E572" s="2032" t="s">
        <v>94</v>
      </c>
      <c r="F572" s="1288" t="s">
        <v>1300</v>
      </c>
      <c r="G572" s="1288" t="s">
        <v>1296</v>
      </c>
      <c r="H572" s="2033">
        <f>IFERROR(VLOOKUP($B572,'[3]1001'!$B$6:$G$5927,2,FALSE),0)</f>
        <v>0</v>
      </c>
      <c r="I572" s="2034">
        <f>IFERROR(VLOOKUP($B572,'[3]1001'!$B$6:$G$5927,4,FALSE),0)</f>
        <v>0</v>
      </c>
      <c r="J572" s="2033">
        <f t="shared" si="48"/>
        <v>0</v>
      </c>
      <c r="K572" s="2035">
        <f>IFERROR(VLOOKUP($B572,'[3]1002'!$B$6:$G$5921,2,FALSE),0)</f>
        <v>0</v>
      </c>
      <c r="L572" s="2036">
        <f>IFERROR(VLOOKUP($B572,'[3]1002'!$B$6:$G$5921,4,FALSE),0)</f>
        <v>0</v>
      </c>
      <c r="M572" s="1763">
        <f t="shared" si="49"/>
        <v>0</v>
      </c>
      <c r="N572" s="2033">
        <f>IFERROR(VLOOKUP($B572,'[3]1003'!$B$6:$G$5921,2,FALSE),0)</f>
        <v>0</v>
      </c>
      <c r="O572" s="2034">
        <f>IFERROR(VLOOKUP($B572,'[3]1003'!$B$6:$G$5921,4,FALSE),0)</f>
        <v>0</v>
      </c>
      <c r="P572" s="2033">
        <f t="shared" si="50"/>
        <v>0</v>
      </c>
      <c r="Q572" s="1763">
        <f>IFERROR(VLOOKUP($B572,'[3]1004'!$B$6:$G$5921,2,FALSE),0)</f>
        <v>0</v>
      </c>
      <c r="R572" s="2036">
        <f>IFERROR(VLOOKUP($B572,'[3]1004'!$B$6:$G$5921,4,FALSE),0)</f>
        <v>0</v>
      </c>
      <c r="S572" s="1763">
        <f t="shared" si="51"/>
        <v>0</v>
      </c>
      <c r="T572" s="2033">
        <f>IFERROR(VLOOKUP($B572,'[3]1006'!$B$6:$G$5921,2,FALSE),0)</f>
        <v>0</v>
      </c>
      <c r="U572" s="2034">
        <f>IFERROR(VLOOKUP($B572,'[3]1006'!$B$6:$G$5921,4,FALSE),0)</f>
        <v>0</v>
      </c>
      <c r="V572" s="2033">
        <f t="shared" si="52"/>
        <v>0</v>
      </c>
      <c r="W572" s="2033">
        <f t="shared" si="53"/>
        <v>0</v>
      </c>
    </row>
    <row r="573" spans="2:23" x14ac:dyDescent="0.15">
      <c r="B573" s="2032">
        <v>114953</v>
      </c>
      <c r="C573" s="2032" t="s">
        <v>2605</v>
      </c>
      <c r="D573" s="2032" t="s">
        <v>2605</v>
      </c>
      <c r="E573" s="2032" t="s">
        <v>94</v>
      </c>
      <c r="F573" s="1288" t="s">
        <v>1300</v>
      </c>
      <c r="G573" s="1288" t="s">
        <v>1296</v>
      </c>
      <c r="H573" s="2033">
        <f>IFERROR(VLOOKUP($B573,'[3]1001'!$B$6:$G$5927,2,FALSE),0)</f>
        <v>0</v>
      </c>
      <c r="I573" s="2034">
        <f>IFERROR(VLOOKUP($B573,'[3]1001'!$B$6:$G$5927,4,FALSE),0)</f>
        <v>0</v>
      </c>
      <c r="J573" s="2033">
        <f t="shared" si="48"/>
        <v>0</v>
      </c>
      <c r="K573" s="2035">
        <f>IFERROR(VLOOKUP($B573,'[3]1002'!$B$6:$G$5921,2,FALSE),0)</f>
        <v>0</v>
      </c>
      <c r="L573" s="2036">
        <f>IFERROR(VLOOKUP($B573,'[3]1002'!$B$6:$G$5921,4,FALSE),0)</f>
        <v>0</v>
      </c>
      <c r="M573" s="1763">
        <f t="shared" si="49"/>
        <v>0</v>
      </c>
      <c r="N573" s="2033">
        <f>IFERROR(VLOOKUP($B573,'[3]1003'!$B$6:$G$5921,2,FALSE),0)</f>
        <v>0</v>
      </c>
      <c r="O573" s="2034">
        <f>IFERROR(VLOOKUP($B573,'[3]1003'!$B$6:$G$5921,4,FALSE),0)</f>
        <v>0</v>
      </c>
      <c r="P573" s="2033">
        <f t="shared" si="50"/>
        <v>0</v>
      </c>
      <c r="Q573" s="1763">
        <f>IFERROR(VLOOKUP($B573,'[3]1004'!$B$6:$G$5921,2,FALSE),0)</f>
        <v>0</v>
      </c>
      <c r="R573" s="2036">
        <f>IFERROR(VLOOKUP($B573,'[3]1004'!$B$6:$G$5921,4,FALSE),0)</f>
        <v>0</v>
      </c>
      <c r="S573" s="1763">
        <f t="shared" si="51"/>
        <v>0</v>
      </c>
      <c r="T573" s="2033">
        <f>IFERROR(VLOOKUP($B573,'[3]1006'!$B$6:$G$5921,2,FALSE),0)</f>
        <v>0</v>
      </c>
      <c r="U573" s="2034">
        <f>IFERROR(VLOOKUP($B573,'[3]1006'!$B$6:$G$5921,4,FALSE),0)</f>
        <v>0</v>
      </c>
      <c r="V573" s="2033">
        <f t="shared" si="52"/>
        <v>0</v>
      </c>
      <c r="W573" s="2033">
        <f t="shared" si="53"/>
        <v>0</v>
      </c>
    </row>
    <row r="574" spans="2:23" x14ac:dyDescent="0.15">
      <c r="B574" s="2032">
        <v>115057</v>
      </c>
      <c r="C574" s="2032" t="s">
        <v>2062</v>
      </c>
      <c r="D574" s="2032" t="s">
        <v>2063</v>
      </c>
      <c r="E574" s="2032" t="s">
        <v>94</v>
      </c>
      <c r="F574" s="1288" t="s">
        <v>1300</v>
      </c>
      <c r="G574" s="1288" t="s">
        <v>1303</v>
      </c>
      <c r="H574" s="2033">
        <f>IFERROR(VLOOKUP($B574,'[3]1001'!$B$6:$G$5927,2,FALSE),0)</f>
        <v>0</v>
      </c>
      <c r="I574" s="2034">
        <f>IFERROR(VLOOKUP($B574,'[3]1001'!$B$6:$G$5927,4,FALSE),0)</f>
        <v>0</v>
      </c>
      <c r="J574" s="2033">
        <f t="shared" si="48"/>
        <v>0</v>
      </c>
      <c r="K574" s="2035">
        <f>IFERROR(VLOOKUP($B574,'[3]1002'!$B$6:$G$5921,2,FALSE),0)</f>
        <v>0</v>
      </c>
      <c r="L574" s="2036">
        <f>IFERROR(VLOOKUP($B574,'[3]1002'!$B$6:$G$5921,4,FALSE),0)</f>
        <v>0</v>
      </c>
      <c r="M574" s="1763">
        <f t="shared" si="49"/>
        <v>0</v>
      </c>
      <c r="N574" s="2033">
        <f>IFERROR(VLOOKUP($B574,'[3]1003'!$B$6:$G$5921,2,FALSE),0)</f>
        <v>4260142.22</v>
      </c>
      <c r="O574" s="2034">
        <f>IFERROR(VLOOKUP($B574,'[3]1003'!$B$6:$G$5921,4,FALSE),0)</f>
        <v>27</v>
      </c>
      <c r="P574" s="2033">
        <f t="shared" si="50"/>
        <v>157783.04518518518</v>
      </c>
      <c r="Q574" s="1763">
        <f>IFERROR(VLOOKUP($B574,'[3]1004'!$B$6:$G$5921,2,FALSE),0)</f>
        <v>0</v>
      </c>
      <c r="R574" s="2036">
        <f>IFERROR(VLOOKUP($B574,'[3]1004'!$B$6:$G$5921,4,FALSE),0)</f>
        <v>0</v>
      </c>
      <c r="S574" s="1763">
        <f t="shared" si="51"/>
        <v>0</v>
      </c>
      <c r="T574" s="2033">
        <f>IFERROR(VLOOKUP($B574,'[3]1006'!$B$6:$G$5921,2,FALSE),0)</f>
        <v>0</v>
      </c>
      <c r="U574" s="2034">
        <f>IFERROR(VLOOKUP($B574,'[3]1006'!$B$6:$G$5921,4,FALSE),0)</f>
        <v>0</v>
      </c>
      <c r="V574" s="2033">
        <f t="shared" si="52"/>
        <v>0</v>
      </c>
      <c r="W574" s="2033">
        <f t="shared" si="53"/>
        <v>27</v>
      </c>
    </row>
    <row r="575" spans="2:23" x14ac:dyDescent="0.15">
      <c r="B575" s="2032">
        <v>115058</v>
      </c>
      <c r="C575" s="2032" t="s">
        <v>2064</v>
      </c>
      <c r="D575" s="2032" t="s">
        <v>2065</v>
      </c>
      <c r="E575" s="2032" t="s">
        <v>94</v>
      </c>
      <c r="F575" s="1288" t="s">
        <v>1305</v>
      </c>
      <c r="G575" s="1288" t="s">
        <v>1303</v>
      </c>
      <c r="H575" s="2033">
        <f>IFERROR(VLOOKUP($B575,'[3]1001'!$B$6:$G$5927,2,FALSE),0)</f>
        <v>0</v>
      </c>
      <c r="I575" s="2034">
        <f>IFERROR(VLOOKUP($B575,'[3]1001'!$B$6:$G$5927,4,FALSE),0)</f>
        <v>0</v>
      </c>
      <c r="J575" s="2033">
        <f t="shared" si="48"/>
        <v>0</v>
      </c>
      <c r="K575" s="2035">
        <f>IFERROR(VLOOKUP($B575,'[3]1002'!$B$6:$G$5921,2,FALSE),0)</f>
        <v>0</v>
      </c>
      <c r="L575" s="2036">
        <f>IFERROR(VLOOKUP($B575,'[3]1002'!$B$6:$G$5921,4,FALSE),0)</f>
        <v>0</v>
      </c>
      <c r="M575" s="1763">
        <f t="shared" si="49"/>
        <v>0</v>
      </c>
      <c r="N575" s="2033">
        <f>IFERROR(VLOOKUP($B575,'[3]1003'!$B$6:$G$5921,2,FALSE),0)</f>
        <v>2270150.65</v>
      </c>
      <c r="O575" s="2034">
        <f>IFERROR(VLOOKUP($B575,'[3]1003'!$B$6:$G$5921,4,FALSE),0)</f>
        <v>38</v>
      </c>
      <c r="P575" s="2033">
        <f t="shared" si="50"/>
        <v>59740.806578947369</v>
      </c>
      <c r="Q575" s="1763">
        <f>IFERROR(VLOOKUP($B575,'[3]1004'!$B$6:$G$5921,2,FALSE),0)</f>
        <v>3351254.57</v>
      </c>
      <c r="R575" s="2036">
        <f>IFERROR(VLOOKUP($B575,'[3]1004'!$B$6:$G$5921,4,FALSE),0)</f>
        <v>56</v>
      </c>
      <c r="S575" s="1763">
        <f t="shared" si="51"/>
        <v>59843.831607142856</v>
      </c>
      <c r="T575" s="2033">
        <f>IFERROR(VLOOKUP($B575,'[3]1006'!$B$6:$G$5921,2,FALSE),0)</f>
        <v>0</v>
      </c>
      <c r="U575" s="2034">
        <f>IFERROR(VLOOKUP($B575,'[3]1006'!$B$6:$G$5921,4,FALSE),0)</f>
        <v>0</v>
      </c>
      <c r="V575" s="2033">
        <f t="shared" si="52"/>
        <v>0</v>
      </c>
      <c r="W575" s="2033">
        <f t="shared" si="53"/>
        <v>94</v>
      </c>
    </row>
    <row r="576" spans="2:23" x14ac:dyDescent="0.15">
      <c r="B576" s="2032">
        <v>115059</v>
      </c>
      <c r="C576" s="2032" t="s">
        <v>2066</v>
      </c>
      <c r="D576" s="2037" t="s">
        <v>2066</v>
      </c>
      <c r="E576" s="2032" t="s">
        <v>94</v>
      </c>
      <c r="F576" s="1288" t="s">
        <v>1305</v>
      </c>
      <c r="G576" s="1288" t="s">
        <v>1303</v>
      </c>
      <c r="H576" s="2033">
        <f>IFERROR(VLOOKUP($B576,'[3]1001'!$B$6:$G$5927,2,FALSE),0)</f>
        <v>0</v>
      </c>
      <c r="I576" s="2034">
        <f>IFERROR(VLOOKUP($B576,'[3]1001'!$B$6:$G$5927,4,FALSE),0)</f>
        <v>0</v>
      </c>
      <c r="J576" s="2033">
        <f t="shared" si="48"/>
        <v>0</v>
      </c>
      <c r="K576" s="2035">
        <f>IFERROR(VLOOKUP($B576,'[3]1002'!$B$6:$G$5921,2,FALSE),0)</f>
        <v>0</v>
      </c>
      <c r="L576" s="2036">
        <f>IFERROR(VLOOKUP($B576,'[3]1002'!$B$6:$G$5921,4,FALSE),0)</f>
        <v>0</v>
      </c>
      <c r="M576" s="1763">
        <f t="shared" si="49"/>
        <v>0</v>
      </c>
      <c r="N576" s="2033">
        <f>IFERROR(VLOOKUP($B576,'[3]1003'!$B$6:$G$5921,2,FALSE),0)</f>
        <v>72616.23</v>
      </c>
      <c r="O576" s="2034">
        <f>IFERROR(VLOOKUP($B576,'[3]1003'!$B$6:$G$5921,4,FALSE),0)</f>
        <v>27</v>
      </c>
      <c r="P576" s="2033">
        <f t="shared" si="50"/>
        <v>2689.49</v>
      </c>
      <c r="Q576" s="1763">
        <f>IFERROR(VLOOKUP($B576,'[3]1004'!$B$6:$G$5921,2,FALSE),0)</f>
        <v>0</v>
      </c>
      <c r="R576" s="2036">
        <f>IFERROR(VLOOKUP($B576,'[3]1004'!$B$6:$G$5921,4,FALSE),0)</f>
        <v>0</v>
      </c>
      <c r="S576" s="1763">
        <f t="shared" si="51"/>
        <v>0</v>
      </c>
      <c r="T576" s="2033">
        <f>IFERROR(VLOOKUP($B576,'[3]1006'!$B$6:$G$5921,2,FALSE),0)</f>
        <v>0</v>
      </c>
      <c r="U576" s="2034">
        <f>IFERROR(VLOOKUP($B576,'[3]1006'!$B$6:$G$5921,4,FALSE),0)</f>
        <v>0</v>
      </c>
      <c r="V576" s="2033">
        <f t="shared" si="52"/>
        <v>0</v>
      </c>
      <c r="W576" s="2033">
        <f t="shared" si="53"/>
        <v>27</v>
      </c>
    </row>
    <row r="577" spans="2:23" s="1660" customFormat="1" x14ac:dyDescent="0.15">
      <c r="B577" s="2053">
        <v>115060</v>
      </c>
      <c r="C577" s="2053" t="s">
        <v>2067</v>
      </c>
      <c r="D577" s="2054" t="s">
        <v>2068</v>
      </c>
      <c r="E577" s="2053" t="s">
        <v>94</v>
      </c>
      <c r="F577" s="2055" t="s">
        <v>1300</v>
      </c>
      <c r="G577" s="2055" t="s">
        <v>1303</v>
      </c>
      <c r="H577" s="2056">
        <f>IFERROR(VLOOKUP($B577,'[3]1001'!$B$6:$G$5927,2,FALSE),0)</f>
        <v>0</v>
      </c>
      <c r="I577" s="2057">
        <f>IFERROR(VLOOKUP($B577,'[3]1001'!$B$6:$G$5927,4,FALSE),0)</f>
        <v>0</v>
      </c>
      <c r="J577" s="2056">
        <f t="shared" si="48"/>
        <v>0</v>
      </c>
      <c r="K577" s="2058">
        <f>IFERROR(VLOOKUP($B577,'[3]1002'!$B$6:$G$5921,2,FALSE),0)</f>
        <v>3823759.46</v>
      </c>
      <c r="L577" s="2057">
        <f>IFERROR(VLOOKUP($B577,'[3]1002'!$B$6:$G$5921,4,FALSE),0)</f>
        <v>2</v>
      </c>
      <c r="M577" s="2056">
        <f t="shared" si="49"/>
        <v>1911879.73</v>
      </c>
      <c r="N577" s="2056">
        <f>IFERROR(VLOOKUP($B577,'[3]1003'!$B$6:$G$5921,2,FALSE),0)</f>
        <v>5782600.8600000003</v>
      </c>
      <c r="O577" s="2057">
        <f>IFERROR(VLOOKUP($B577,'[3]1003'!$B$6:$G$5921,4,FALSE),0)</f>
        <v>3</v>
      </c>
      <c r="P577" s="2056">
        <f t="shared" si="50"/>
        <v>1927533.62</v>
      </c>
      <c r="Q577" s="2056">
        <f>IFERROR(VLOOKUP($B577,'[3]1004'!$B$6:$G$5921,2,FALSE),0)</f>
        <v>1909133.62</v>
      </c>
      <c r="R577" s="2057">
        <f>IFERROR(VLOOKUP($B577,'[3]1004'!$B$6:$G$5921,4,FALSE),0)</f>
        <v>1</v>
      </c>
      <c r="S577" s="2056">
        <f t="shared" si="51"/>
        <v>1909133.62</v>
      </c>
      <c r="T577" s="2056">
        <f>IFERROR(VLOOKUP($B577,'[3]1006'!$B$6:$G$5921,2,FALSE),0)</f>
        <v>0</v>
      </c>
      <c r="U577" s="2057">
        <f>IFERROR(VLOOKUP($B577,'[3]1006'!$B$6:$G$5921,4,FALSE),0)</f>
        <v>0</v>
      </c>
      <c r="V577" s="2056">
        <f t="shared" si="52"/>
        <v>0</v>
      </c>
      <c r="W577" s="2033">
        <f t="shared" si="53"/>
        <v>6</v>
      </c>
    </row>
    <row r="578" spans="2:23" x14ac:dyDescent="0.15">
      <c r="B578" s="2032">
        <v>115061</v>
      </c>
      <c r="C578" s="2032" t="s">
        <v>2069</v>
      </c>
      <c r="D578" s="2037" t="s">
        <v>2070</v>
      </c>
      <c r="E578" s="2032" t="s">
        <v>94</v>
      </c>
      <c r="F578" s="1288" t="s">
        <v>1300</v>
      </c>
      <c r="G578" s="1288" t="s">
        <v>1303</v>
      </c>
      <c r="H578" s="2033">
        <f>IFERROR(VLOOKUP($B578,'[3]1001'!$B$6:$G$5927,2,FALSE),0)</f>
        <v>0</v>
      </c>
      <c r="I578" s="2034">
        <f>IFERROR(VLOOKUP($B578,'[3]1001'!$B$6:$G$5927,4,FALSE),0)</f>
        <v>0</v>
      </c>
      <c r="J578" s="2033">
        <f t="shared" si="48"/>
        <v>0</v>
      </c>
      <c r="K578" s="2035">
        <f>IFERROR(VLOOKUP($B578,'[3]1002'!$B$6:$G$5921,2,FALSE),0)</f>
        <v>0</v>
      </c>
      <c r="L578" s="2036">
        <f>IFERROR(VLOOKUP($B578,'[3]1002'!$B$6:$G$5921,4,FALSE),0)</f>
        <v>0</v>
      </c>
      <c r="M578" s="1763">
        <f t="shared" si="49"/>
        <v>0</v>
      </c>
      <c r="N578" s="2033">
        <f>IFERROR(VLOOKUP($B578,'[3]1003'!$B$6:$G$5921,2,FALSE),0)</f>
        <v>0</v>
      </c>
      <c r="O578" s="2034">
        <f>IFERROR(VLOOKUP($B578,'[3]1003'!$B$6:$G$5921,4,FALSE),0)</f>
        <v>0</v>
      </c>
      <c r="P578" s="2033">
        <f t="shared" si="50"/>
        <v>0</v>
      </c>
      <c r="Q578" s="1763">
        <f>IFERROR(VLOOKUP($B578,'[3]1004'!$B$6:$G$5921,2,FALSE),0)</f>
        <v>0</v>
      </c>
      <c r="R578" s="2036">
        <f>IFERROR(VLOOKUP($B578,'[3]1004'!$B$6:$G$5921,4,FALSE),0)</f>
        <v>0</v>
      </c>
      <c r="S578" s="1763">
        <f t="shared" si="51"/>
        <v>0</v>
      </c>
      <c r="T578" s="2033">
        <f>IFERROR(VLOOKUP($B578,'[3]1006'!$B$6:$G$5921,2,FALSE),0)</f>
        <v>0</v>
      </c>
      <c r="U578" s="2034">
        <f>IFERROR(VLOOKUP($B578,'[3]1006'!$B$6:$G$5921,4,FALSE),0)</f>
        <v>0</v>
      </c>
      <c r="V578" s="2033">
        <f t="shared" si="52"/>
        <v>0</v>
      </c>
      <c r="W578" s="2033">
        <f t="shared" si="53"/>
        <v>0</v>
      </c>
    </row>
    <row r="579" spans="2:23" x14ac:dyDescent="0.15">
      <c r="B579" s="2032">
        <v>115062</v>
      </c>
      <c r="C579" s="2032" t="s">
        <v>2071</v>
      </c>
      <c r="D579" s="2037" t="s">
        <v>2072</v>
      </c>
      <c r="E579" s="2032" t="s">
        <v>94</v>
      </c>
      <c r="F579" s="1288" t="s">
        <v>1300</v>
      </c>
      <c r="G579" s="1288" t="s">
        <v>1303</v>
      </c>
      <c r="H579" s="2033">
        <f>IFERROR(VLOOKUP($B579,'[3]1001'!$B$6:$G$5927,2,FALSE),0)</f>
        <v>0</v>
      </c>
      <c r="I579" s="2034">
        <f>IFERROR(VLOOKUP($B579,'[3]1001'!$B$6:$G$5927,4,FALSE),0)</f>
        <v>0</v>
      </c>
      <c r="J579" s="2033">
        <f t="shared" si="48"/>
        <v>0</v>
      </c>
      <c r="K579" s="2035">
        <f>IFERROR(VLOOKUP($B579,'[3]1002'!$B$6:$G$5921,2,FALSE),0)</f>
        <v>0</v>
      </c>
      <c r="L579" s="2036">
        <f>IFERROR(VLOOKUP($B579,'[3]1002'!$B$6:$G$5921,4,FALSE),0)</f>
        <v>0</v>
      </c>
      <c r="M579" s="1763">
        <f t="shared" si="49"/>
        <v>0</v>
      </c>
      <c r="N579" s="2033">
        <f>IFERROR(VLOOKUP($B579,'[3]1003'!$B$6:$G$5921,2,FALSE),0)</f>
        <v>0</v>
      </c>
      <c r="O579" s="2034">
        <f>IFERROR(VLOOKUP($B579,'[3]1003'!$B$6:$G$5921,4,FALSE),0)</f>
        <v>0</v>
      </c>
      <c r="P579" s="2033">
        <f t="shared" si="50"/>
        <v>0</v>
      </c>
      <c r="Q579" s="1763">
        <f>IFERROR(VLOOKUP($B579,'[3]1004'!$B$6:$G$5921,2,FALSE),0)</f>
        <v>0</v>
      </c>
      <c r="R579" s="2036">
        <f>IFERROR(VLOOKUP($B579,'[3]1004'!$B$6:$G$5921,4,FALSE),0)</f>
        <v>0</v>
      </c>
      <c r="S579" s="1763">
        <f t="shared" si="51"/>
        <v>0</v>
      </c>
      <c r="T579" s="2033">
        <f>IFERROR(VLOOKUP($B579,'[3]1006'!$B$6:$G$5921,2,FALSE),0)</f>
        <v>0</v>
      </c>
      <c r="U579" s="2034">
        <f>IFERROR(VLOOKUP($B579,'[3]1006'!$B$6:$G$5921,4,FALSE),0)</f>
        <v>0</v>
      </c>
      <c r="V579" s="2033">
        <f t="shared" si="52"/>
        <v>0</v>
      </c>
      <c r="W579" s="2033">
        <f t="shared" si="53"/>
        <v>0</v>
      </c>
    </row>
    <row r="580" spans="2:23" x14ac:dyDescent="0.15">
      <c r="B580" s="1288">
        <v>115134</v>
      </c>
      <c r="C580" s="1288" t="s">
        <v>2062</v>
      </c>
      <c r="D580" s="1288"/>
      <c r="E580" s="1288" t="s">
        <v>94</v>
      </c>
      <c r="F580" s="1288" t="s">
        <v>1300</v>
      </c>
      <c r="G580" s="1288" t="s">
        <v>1303</v>
      </c>
      <c r="H580" s="2033">
        <f>IFERROR(VLOOKUP($B580,'[3]1001'!$B$6:$G$5927,2,FALSE),0)</f>
        <v>0</v>
      </c>
      <c r="I580" s="2034">
        <f>IFERROR(VLOOKUP($B580,'[3]1001'!$B$6:$G$5927,4,FALSE),0)</f>
        <v>0</v>
      </c>
      <c r="J580" s="2033">
        <f t="shared" si="48"/>
        <v>0</v>
      </c>
      <c r="K580" s="2035">
        <f>IFERROR(VLOOKUP($B580,'[3]1002'!$B$6:$G$5921,2,FALSE),0)</f>
        <v>0</v>
      </c>
      <c r="L580" s="2036">
        <f>IFERROR(VLOOKUP($B580,'[3]1002'!$B$6:$G$5921,4,FALSE),0)</f>
        <v>0</v>
      </c>
      <c r="M580" s="1763">
        <f t="shared" si="49"/>
        <v>0</v>
      </c>
      <c r="N580" s="2033">
        <f>IFERROR(VLOOKUP($B580,'[3]1003'!$B$6:$G$5921,2,FALSE),0)</f>
        <v>0</v>
      </c>
      <c r="O580" s="2034">
        <f>IFERROR(VLOOKUP($B580,'[3]1003'!$B$6:$G$5921,4,FALSE),0)</f>
        <v>0</v>
      </c>
      <c r="P580" s="2033">
        <f t="shared" si="50"/>
        <v>0</v>
      </c>
      <c r="Q580" s="1763">
        <f>IFERROR(VLOOKUP($B580,'[3]1004'!$B$6:$G$5921,2,FALSE),0)</f>
        <v>0</v>
      </c>
      <c r="R580" s="2036">
        <f>IFERROR(VLOOKUP($B580,'[3]1004'!$B$6:$G$5921,4,FALSE),0)</f>
        <v>0</v>
      </c>
      <c r="S580" s="1763">
        <f t="shared" si="51"/>
        <v>0</v>
      </c>
      <c r="T580" s="2033">
        <f>IFERROR(VLOOKUP($B580,'[3]1006'!$B$6:$G$5921,2,FALSE),0)</f>
        <v>0</v>
      </c>
      <c r="U580" s="2034">
        <f>IFERROR(VLOOKUP($B580,'[3]1006'!$B$6:$G$5921,4,FALSE),0)</f>
        <v>0</v>
      </c>
      <c r="V580" s="2033">
        <f t="shared" si="52"/>
        <v>0</v>
      </c>
      <c r="W580" s="2033">
        <f t="shared" si="53"/>
        <v>0</v>
      </c>
    </row>
    <row r="581" spans="2:23" x14ac:dyDescent="0.15">
      <c r="B581" s="1288">
        <v>115135</v>
      </c>
      <c r="C581" s="1288" t="s">
        <v>2064</v>
      </c>
      <c r="D581" s="1288"/>
      <c r="E581" s="1288" t="s">
        <v>94</v>
      </c>
      <c r="F581" s="1288" t="s">
        <v>1305</v>
      </c>
      <c r="G581" s="1288" t="s">
        <v>1303</v>
      </c>
      <c r="H581" s="2033">
        <f>IFERROR(VLOOKUP($B581,'[3]1001'!$B$6:$G$5927,2,FALSE),0)</f>
        <v>0</v>
      </c>
      <c r="I581" s="2034">
        <f>IFERROR(VLOOKUP($B581,'[3]1001'!$B$6:$G$5927,4,FALSE),0)</f>
        <v>0</v>
      </c>
      <c r="J581" s="2033">
        <f t="shared" si="48"/>
        <v>0</v>
      </c>
      <c r="K581" s="2035">
        <f>IFERROR(VLOOKUP($B581,'[3]1002'!$B$6:$G$5921,2,FALSE),0)</f>
        <v>0</v>
      </c>
      <c r="L581" s="2036">
        <f>IFERROR(VLOOKUP($B581,'[3]1002'!$B$6:$G$5921,4,FALSE),0)</f>
        <v>0</v>
      </c>
      <c r="M581" s="1763">
        <f t="shared" si="49"/>
        <v>0</v>
      </c>
      <c r="N581" s="2033">
        <f>IFERROR(VLOOKUP($B581,'[3]1003'!$B$6:$G$5921,2,FALSE),0)</f>
        <v>0</v>
      </c>
      <c r="O581" s="2034">
        <f>IFERROR(VLOOKUP($B581,'[3]1003'!$B$6:$G$5921,4,FALSE),0)</f>
        <v>0</v>
      </c>
      <c r="P581" s="2033">
        <f t="shared" si="50"/>
        <v>0</v>
      </c>
      <c r="Q581" s="1763">
        <f>IFERROR(VLOOKUP($B581,'[3]1004'!$B$6:$G$5921,2,FALSE),0)</f>
        <v>0</v>
      </c>
      <c r="R581" s="2036">
        <f>IFERROR(VLOOKUP($B581,'[3]1004'!$B$6:$G$5921,4,FALSE),0)</f>
        <v>0</v>
      </c>
      <c r="S581" s="1763">
        <f t="shared" si="51"/>
        <v>0</v>
      </c>
      <c r="T581" s="2033">
        <f>IFERROR(VLOOKUP($B581,'[3]1006'!$B$6:$G$5921,2,FALSE),0)</f>
        <v>0</v>
      </c>
      <c r="U581" s="2034">
        <f>IFERROR(VLOOKUP($B581,'[3]1006'!$B$6:$G$5921,4,FALSE),0)</f>
        <v>0</v>
      </c>
      <c r="V581" s="2033">
        <f t="shared" si="52"/>
        <v>0</v>
      </c>
      <c r="W581" s="2033">
        <f t="shared" si="53"/>
        <v>0</v>
      </c>
    </row>
    <row r="582" spans="2:23" x14ac:dyDescent="0.15">
      <c r="B582" s="1288">
        <v>115136</v>
      </c>
      <c r="C582" s="1288" t="s">
        <v>2066</v>
      </c>
      <c r="D582" s="1288"/>
      <c r="E582" s="1288" t="s">
        <v>94</v>
      </c>
      <c r="F582" s="1288" t="s">
        <v>1305</v>
      </c>
      <c r="G582" s="1288" t="s">
        <v>1303</v>
      </c>
      <c r="H582" s="2033">
        <f>IFERROR(VLOOKUP($B582,'[3]1001'!$B$6:$G$5927,2,FALSE),0)</f>
        <v>0</v>
      </c>
      <c r="I582" s="2034">
        <f>IFERROR(VLOOKUP($B582,'[3]1001'!$B$6:$G$5927,4,FALSE),0)</f>
        <v>0</v>
      </c>
      <c r="J582" s="2033">
        <f t="shared" ref="J582:J603" si="54">IF(H582=0,0,H582/I582)</f>
        <v>0</v>
      </c>
      <c r="K582" s="2035">
        <f>IFERROR(VLOOKUP($B582,'[3]1002'!$B$6:$G$5921,2,FALSE),0)</f>
        <v>0</v>
      </c>
      <c r="L582" s="2036">
        <f>IFERROR(VLOOKUP($B582,'[3]1002'!$B$6:$G$5921,4,FALSE),0)</f>
        <v>0</v>
      </c>
      <c r="M582" s="1763">
        <f t="shared" ref="M582:M603" si="55">IF(K582=0,0,K582/L582)</f>
        <v>0</v>
      </c>
      <c r="N582" s="2033">
        <f>IFERROR(VLOOKUP($B582,'[3]1003'!$B$6:$G$5921,2,FALSE),0)</f>
        <v>0</v>
      </c>
      <c r="O582" s="2034">
        <f>IFERROR(VLOOKUP($B582,'[3]1003'!$B$6:$G$5921,4,FALSE),0)</f>
        <v>0</v>
      </c>
      <c r="P582" s="2033">
        <f t="shared" ref="P582:P603" si="56">IF(N582=0,0,N582/O582)</f>
        <v>0</v>
      </c>
      <c r="Q582" s="1763">
        <f>IFERROR(VLOOKUP($B582,'[3]1004'!$B$6:$G$5921,2,FALSE),0)</f>
        <v>0</v>
      </c>
      <c r="R582" s="2036">
        <f>IFERROR(VLOOKUP($B582,'[3]1004'!$B$6:$G$5921,4,FALSE),0)</f>
        <v>0</v>
      </c>
      <c r="S582" s="1763">
        <f t="shared" ref="S582:S603" si="57">IF(Q582=0,0,Q582/R582)</f>
        <v>0</v>
      </c>
      <c r="T582" s="2033">
        <f>IFERROR(VLOOKUP($B582,'[3]1006'!$B$6:$G$5921,2,FALSE),0)</f>
        <v>0</v>
      </c>
      <c r="U582" s="2034">
        <f>IFERROR(VLOOKUP($B582,'[3]1006'!$B$6:$G$5921,4,FALSE),0)</f>
        <v>0</v>
      </c>
      <c r="V582" s="2033">
        <f t="shared" ref="V582:V603" si="58">IF(T582=0,0,T582/U582)</f>
        <v>0</v>
      </c>
      <c r="W582" s="2033">
        <f t="shared" ref="W582:W603" si="59">U582+R582+O582+L582+I582</f>
        <v>0</v>
      </c>
    </row>
    <row r="583" spans="2:23" x14ac:dyDescent="0.15">
      <c r="B583" s="2032">
        <v>115137</v>
      </c>
      <c r="C583" s="1288" t="s">
        <v>2073</v>
      </c>
      <c r="D583" s="2037" t="s">
        <v>2068</v>
      </c>
      <c r="E583" s="2032" t="s">
        <v>94</v>
      </c>
      <c r="F583" s="1288" t="s">
        <v>1300</v>
      </c>
      <c r="G583" s="1288" t="s">
        <v>1303</v>
      </c>
      <c r="H583" s="2033">
        <f>IFERROR(VLOOKUP($B583,'[3]1001'!$B$6:$G$5927,2,FALSE),0)</f>
        <v>0</v>
      </c>
      <c r="I583" s="2034">
        <f>IFERROR(VLOOKUP($B583,'[3]1001'!$B$6:$G$5927,4,FALSE),0)</f>
        <v>0</v>
      </c>
      <c r="J583" s="2033">
        <f t="shared" si="54"/>
        <v>0</v>
      </c>
      <c r="K583" s="2035">
        <f>IFERROR(VLOOKUP($B583,'[3]1002'!$B$6:$G$5921,2,FALSE),0)</f>
        <v>0</v>
      </c>
      <c r="L583" s="2036">
        <f>IFERROR(VLOOKUP($B583,'[3]1002'!$B$6:$G$5921,4,FALSE),0)</f>
        <v>0</v>
      </c>
      <c r="M583" s="1763">
        <f t="shared" si="55"/>
        <v>0</v>
      </c>
      <c r="N583" s="2033">
        <f>IFERROR(VLOOKUP($B583,'[3]1003'!$B$6:$G$5921,2,FALSE),0)</f>
        <v>0</v>
      </c>
      <c r="O583" s="2034">
        <f>IFERROR(VLOOKUP($B583,'[3]1003'!$B$6:$G$5921,4,FALSE),0)</f>
        <v>0</v>
      </c>
      <c r="P583" s="2033">
        <f t="shared" si="56"/>
        <v>0</v>
      </c>
      <c r="Q583" s="1763">
        <f>IFERROR(VLOOKUP($B583,'[3]1004'!$B$6:$G$5921,2,FALSE),0)</f>
        <v>0</v>
      </c>
      <c r="R583" s="2036">
        <f>IFERROR(VLOOKUP($B583,'[3]1004'!$B$6:$G$5921,4,FALSE),0)</f>
        <v>0</v>
      </c>
      <c r="S583" s="1763">
        <f t="shared" si="57"/>
        <v>0</v>
      </c>
      <c r="T583" s="2033">
        <f>IFERROR(VLOOKUP($B583,'[3]1006'!$B$6:$G$5921,2,FALSE),0)</f>
        <v>0</v>
      </c>
      <c r="U583" s="2034">
        <f>IFERROR(VLOOKUP($B583,'[3]1006'!$B$6:$G$5921,4,FALSE),0)</f>
        <v>0</v>
      </c>
      <c r="V583" s="2033">
        <f t="shared" si="58"/>
        <v>0</v>
      </c>
      <c r="W583" s="2033">
        <f t="shared" si="59"/>
        <v>0</v>
      </c>
    </row>
    <row r="584" spans="2:23" x14ac:dyDescent="0.15">
      <c r="B584" s="2032">
        <v>115138</v>
      </c>
      <c r="C584" s="2032" t="s">
        <v>2069</v>
      </c>
      <c r="D584" s="2037" t="s">
        <v>2070</v>
      </c>
      <c r="E584" s="2032" t="s">
        <v>94</v>
      </c>
      <c r="F584" s="1288" t="s">
        <v>1300</v>
      </c>
      <c r="G584" s="1288" t="s">
        <v>1303</v>
      </c>
      <c r="H584" s="2033">
        <f>IFERROR(VLOOKUP($B584,'[3]1001'!$B$6:$G$5927,2,FALSE),0)</f>
        <v>0</v>
      </c>
      <c r="I584" s="2034">
        <f>IFERROR(VLOOKUP($B584,'[3]1001'!$B$6:$G$5927,4,FALSE),0)</f>
        <v>0</v>
      </c>
      <c r="J584" s="2033">
        <f t="shared" si="54"/>
        <v>0</v>
      </c>
      <c r="K584" s="2035">
        <f>IFERROR(VLOOKUP($B584,'[3]1002'!$B$6:$G$5921,2,FALSE),0)</f>
        <v>0</v>
      </c>
      <c r="L584" s="2036">
        <f>IFERROR(VLOOKUP($B584,'[3]1002'!$B$6:$G$5921,4,FALSE),0)</f>
        <v>0</v>
      </c>
      <c r="M584" s="1763">
        <f t="shared" si="55"/>
        <v>0</v>
      </c>
      <c r="N584" s="2033">
        <f>IFERROR(VLOOKUP($B584,'[3]1003'!$B$6:$G$5921,2,FALSE),0)</f>
        <v>0</v>
      </c>
      <c r="O584" s="2034">
        <f>IFERROR(VLOOKUP($B584,'[3]1003'!$B$6:$G$5921,4,FALSE),0)</f>
        <v>0</v>
      </c>
      <c r="P584" s="2033">
        <f t="shared" si="56"/>
        <v>0</v>
      </c>
      <c r="Q584" s="1763">
        <f>IFERROR(VLOOKUP($B584,'[3]1004'!$B$6:$G$5921,2,FALSE),0)</f>
        <v>0</v>
      </c>
      <c r="R584" s="2036">
        <f>IFERROR(VLOOKUP($B584,'[3]1004'!$B$6:$G$5921,4,FALSE),0)</f>
        <v>0</v>
      </c>
      <c r="S584" s="1763">
        <f t="shared" si="57"/>
        <v>0</v>
      </c>
      <c r="T584" s="2033">
        <f>IFERROR(VLOOKUP($B584,'[3]1006'!$B$6:$G$5921,2,FALSE),0)</f>
        <v>0</v>
      </c>
      <c r="U584" s="2034">
        <f>IFERROR(VLOOKUP($B584,'[3]1006'!$B$6:$G$5921,4,FALSE),0)</f>
        <v>0</v>
      </c>
      <c r="V584" s="2033">
        <f t="shared" si="58"/>
        <v>0</v>
      </c>
      <c r="W584" s="2033">
        <f t="shared" si="59"/>
        <v>0</v>
      </c>
    </row>
    <row r="585" spans="2:23" x14ac:dyDescent="0.15">
      <c r="B585" s="2032">
        <v>115139</v>
      </c>
      <c r="C585" s="2032" t="s">
        <v>2074</v>
      </c>
      <c r="D585" s="2037" t="s">
        <v>2075</v>
      </c>
      <c r="E585" s="2032" t="s">
        <v>94</v>
      </c>
      <c r="F585" s="1288" t="s">
        <v>1300</v>
      </c>
      <c r="G585" s="1288" t="s">
        <v>1303</v>
      </c>
      <c r="H585" s="2033">
        <f>IFERROR(VLOOKUP($B585,'[3]1001'!$B$6:$G$5927,2,FALSE),0)</f>
        <v>0</v>
      </c>
      <c r="I585" s="2034">
        <f>IFERROR(VLOOKUP($B585,'[3]1001'!$B$6:$G$5927,4,FALSE),0)</f>
        <v>0</v>
      </c>
      <c r="J585" s="2033">
        <f t="shared" si="54"/>
        <v>0</v>
      </c>
      <c r="K585" s="2035">
        <f>IFERROR(VLOOKUP($B585,'[3]1002'!$B$6:$G$5921,2,FALSE),0)</f>
        <v>0</v>
      </c>
      <c r="L585" s="2036">
        <f>IFERROR(VLOOKUP($B585,'[3]1002'!$B$6:$G$5921,4,FALSE),0)</f>
        <v>0</v>
      </c>
      <c r="M585" s="1763">
        <f t="shared" si="55"/>
        <v>0</v>
      </c>
      <c r="N585" s="2033">
        <f>IFERROR(VLOOKUP($B585,'[3]1003'!$B$6:$G$5921,2,FALSE),0)</f>
        <v>0</v>
      </c>
      <c r="O585" s="2034">
        <f>IFERROR(VLOOKUP($B585,'[3]1003'!$B$6:$G$5921,4,FALSE),0)</f>
        <v>0</v>
      </c>
      <c r="P585" s="2033">
        <f t="shared" si="56"/>
        <v>0</v>
      </c>
      <c r="Q585" s="1763">
        <f>IFERROR(VLOOKUP($B585,'[3]1004'!$B$6:$G$5921,2,FALSE),0)</f>
        <v>0</v>
      </c>
      <c r="R585" s="2036">
        <f>IFERROR(VLOOKUP($B585,'[3]1004'!$B$6:$G$5921,4,FALSE),0)</f>
        <v>0</v>
      </c>
      <c r="S585" s="1763">
        <f t="shared" si="57"/>
        <v>0</v>
      </c>
      <c r="T585" s="2033">
        <f>IFERROR(VLOOKUP($B585,'[3]1006'!$B$6:$G$5921,2,FALSE),0)</f>
        <v>0</v>
      </c>
      <c r="U585" s="2034">
        <f>IFERROR(VLOOKUP($B585,'[3]1006'!$B$6:$G$5921,4,FALSE),0)</f>
        <v>0</v>
      </c>
      <c r="V585" s="2033">
        <f t="shared" si="58"/>
        <v>0</v>
      </c>
      <c r="W585" s="2033">
        <f t="shared" si="59"/>
        <v>0</v>
      </c>
    </row>
    <row r="586" spans="2:23" x14ac:dyDescent="0.15">
      <c r="B586" s="2032">
        <v>115422</v>
      </c>
      <c r="C586" s="2032" t="s">
        <v>2076</v>
      </c>
      <c r="D586" s="2037" t="s">
        <v>2076</v>
      </c>
      <c r="E586" s="2032" t="s">
        <v>94</v>
      </c>
      <c r="F586" s="1288" t="s">
        <v>1884</v>
      </c>
      <c r="G586" s="1288" t="s">
        <v>1303</v>
      </c>
      <c r="H586" s="2033">
        <f>IFERROR(VLOOKUP($B586,'[3]1001'!$B$6:$G$5927,2,FALSE),0)</f>
        <v>0</v>
      </c>
      <c r="I586" s="2034">
        <f>IFERROR(VLOOKUP($B586,'[3]1001'!$B$6:$G$5927,4,FALSE),0)</f>
        <v>0</v>
      </c>
      <c r="J586" s="2033">
        <f t="shared" si="54"/>
        <v>0</v>
      </c>
      <c r="K586" s="2035">
        <f>IFERROR(VLOOKUP($B586,'[3]1002'!$B$6:$G$5921,2,FALSE),0)</f>
        <v>0</v>
      </c>
      <c r="L586" s="2036">
        <f>IFERROR(VLOOKUP($B586,'[3]1002'!$B$6:$G$5921,4,FALSE),0)</f>
        <v>0</v>
      </c>
      <c r="M586" s="1763">
        <f t="shared" si="55"/>
        <v>0</v>
      </c>
      <c r="N586" s="2033">
        <f>IFERROR(VLOOKUP($B586,'[3]1003'!$B$6:$G$5921,2,FALSE),0)</f>
        <v>0</v>
      </c>
      <c r="O586" s="2034">
        <f>IFERROR(VLOOKUP($B586,'[3]1003'!$B$6:$G$5921,4,FALSE),0)</f>
        <v>0</v>
      </c>
      <c r="P586" s="2033">
        <f t="shared" si="56"/>
        <v>0</v>
      </c>
      <c r="Q586" s="1763">
        <f>IFERROR(VLOOKUP($B586,'[3]1004'!$B$6:$G$5921,2,FALSE),0)</f>
        <v>0</v>
      </c>
      <c r="R586" s="2036">
        <f>IFERROR(VLOOKUP($B586,'[3]1004'!$B$6:$G$5921,4,FALSE),0)</f>
        <v>0</v>
      </c>
      <c r="S586" s="1763">
        <f t="shared" si="57"/>
        <v>0</v>
      </c>
      <c r="T586" s="2033">
        <f>IFERROR(VLOOKUP($B586,'[3]1006'!$B$6:$G$5921,2,FALSE),0)</f>
        <v>0</v>
      </c>
      <c r="U586" s="2034">
        <f>IFERROR(VLOOKUP($B586,'[3]1006'!$B$6:$G$5921,4,FALSE),0)</f>
        <v>0</v>
      </c>
      <c r="V586" s="2033">
        <f t="shared" si="58"/>
        <v>0</v>
      </c>
      <c r="W586" s="2033">
        <f t="shared" si="59"/>
        <v>0</v>
      </c>
    </row>
    <row r="587" spans="2:23" x14ac:dyDescent="0.15">
      <c r="B587" s="2032">
        <v>115423</v>
      </c>
      <c r="C587" s="2032" t="s">
        <v>2077</v>
      </c>
      <c r="D587" s="2037" t="s">
        <v>2078</v>
      </c>
      <c r="E587" s="2032" t="s">
        <v>94</v>
      </c>
      <c r="F587" s="1288" t="s">
        <v>1300</v>
      </c>
      <c r="G587" s="1288" t="s">
        <v>1303</v>
      </c>
      <c r="H587" s="2033">
        <f>IFERROR(VLOOKUP($B587,'[3]1001'!$B$6:$G$5927,2,FALSE),0)</f>
        <v>2866824.58</v>
      </c>
      <c r="I587" s="2034">
        <f>IFERROR(VLOOKUP($B587,'[3]1001'!$B$6:$G$5927,4,FALSE),0)</f>
        <v>2</v>
      </c>
      <c r="J587" s="2033">
        <f t="shared" si="54"/>
        <v>1433412.29</v>
      </c>
      <c r="K587" s="2035">
        <f>IFERROR(VLOOKUP($B587,'[3]1002'!$B$6:$G$5921,2,FALSE),0)</f>
        <v>0</v>
      </c>
      <c r="L587" s="2036">
        <f>IFERROR(VLOOKUP($B587,'[3]1002'!$B$6:$G$5921,4,FALSE),0)</f>
        <v>0</v>
      </c>
      <c r="M587" s="1763">
        <f t="shared" si="55"/>
        <v>0</v>
      </c>
      <c r="N587" s="2033">
        <f>IFERROR(VLOOKUP($B587,'[3]1003'!$B$6:$G$5921,2,FALSE),0)</f>
        <v>0</v>
      </c>
      <c r="O587" s="2034">
        <f>IFERROR(VLOOKUP($B587,'[3]1003'!$B$6:$G$5921,4,FALSE),0)</f>
        <v>0</v>
      </c>
      <c r="P587" s="2033">
        <f t="shared" si="56"/>
        <v>0</v>
      </c>
      <c r="Q587" s="1763">
        <f>IFERROR(VLOOKUP($B587,'[3]1004'!$B$6:$G$5921,2,FALSE),0)</f>
        <v>0</v>
      </c>
      <c r="R587" s="2036">
        <f>IFERROR(VLOOKUP($B587,'[3]1004'!$B$6:$G$5921,4,FALSE),0)</f>
        <v>0</v>
      </c>
      <c r="S587" s="1763">
        <f t="shared" si="57"/>
        <v>0</v>
      </c>
      <c r="T587" s="2033">
        <f>IFERROR(VLOOKUP($B587,'[3]1006'!$B$6:$G$5921,2,FALSE),0)</f>
        <v>0</v>
      </c>
      <c r="U587" s="2034">
        <f>IFERROR(VLOOKUP($B587,'[3]1006'!$B$6:$G$5921,4,FALSE),0)</f>
        <v>0</v>
      </c>
      <c r="V587" s="2033">
        <f t="shared" si="58"/>
        <v>0</v>
      </c>
      <c r="W587" s="2033">
        <f t="shared" si="59"/>
        <v>2</v>
      </c>
    </row>
    <row r="588" spans="2:23" x14ac:dyDescent="0.15">
      <c r="B588" s="2032">
        <v>115424</v>
      </c>
      <c r="C588" s="2032" t="s">
        <v>2079</v>
      </c>
      <c r="D588" s="2037" t="s">
        <v>1971</v>
      </c>
      <c r="E588" s="2032" t="s">
        <v>94</v>
      </c>
      <c r="F588" s="1288" t="s">
        <v>1300</v>
      </c>
      <c r="G588" s="1288" t="s">
        <v>1303</v>
      </c>
      <c r="H588" s="2033">
        <f>IFERROR(VLOOKUP($B588,'[3]1001'!$B$6:$G$5927,2,FALSE),0)</f>
        <v>0</v>
      </c>
      <c r="I588" s="2034">
        <f>IFERROR(VLOOKUP($B588,'[3]1001'!$B$6:$G$5927,4,FALSE),0)</f>
        <v>0</v>
      </c>
      <c r="J588" s="2033">
        <f t="shared" si="54"/>
        <v>0</v>
      </c>
      <c r="K588" s="2035">
        <f>IFERROR(VLOOKUP($B588,'[3]1002'!$B$6:$G$5921,2,FALSE),0)</f>
        <v>0</v>
      </c>
      <c r="L588" s="2036">
        <f>IFERROR(VLOOKUP($B588,'[3]1002'!$B$6:$G$5921,4,FALSE),0)</f>
        <v>0</v>
      </c>
      <c r="M588" s="1763">
        <f t="shared" si="55"/>
        <v>0</v>
      </c>
      <c r="N588" s="2033">
        <f>IFERROR(VLOOKUP($B588,'[3]1003'!$B$6:$G$5921,2,FALSE),0)</f>
        <v>0</v>
      </c>
      <c r="O588" s="2034">
        <f>IFERROR(VLOOKUP($B588,'[3]1003'!$B$6:$G$5921,4,FALSE),0)</f>
        <v>0</v>
      </c>
      <c r="P588" s="2033">
        <f t="shared" si="56"/>
        <v>0</v>
      </c>
      <c r="Q588" s="1763">
        <f>IFERROR(VLOOKUP($B588,'[3]1004'!$B$6:$G$5921,2,FALSE),0)</f>
        <v>0</v>
      </c>
      <c r="R588" s="2036">
        <f>IFERROR(VLOOKUP($B588,'[3]1004'!$B$6:$G$5921,4,FALSE),0)</f>
        <v>0</v>
      </c>
      <c r="S588" s="1763">
        <f t="shared" si="57"/>
        <v>0</v>
      </c>
      <c r="T588" s="2033">
        <f>IFERROR(VLOOKUP($B588,'[3]1006'!$B$6:$G$5921,2,FALSE),0)</f>
        <v>0</v>
      </c>
      <c r="U588" s="2034">
        <f>IFERROR(VLOOKUP($B588,'[3]1006'!$B$6:$G$5921,4,FALSE),0)</f>
        <v>0</v>
      </c>
      <c r="V588" s="2033">
        <f t="shared" si="58"/>
        <v>0</v>
      </c>
      <c r="W588" s="2033">
        <f t="shared" si="59"/>
        <v>0</v>
      </c>
    </row>
    <row r="589" spans="2:23" x14ac:dyDescent="0.15">
      <c r="B589" s="2032">
        <v>115425</v>
      </c>
      <c r="C589" s="2032" t="s">
        <v>2080</v>
      </c>
      <c r="D589" s="2040" t="s">
        <v>2081</v>
      </c>
      <c r="E589" s="2032" t="s">
        <v>94</v>
      </c>
      <c r="F589" s="1288" t="s">
        <v>1300</v>
      </c>
      <c r="G589" s="1288" t="s">
        <v>1303</v>
      </c>
      <c r="H589" s="2033">
        <f>IFERROR(VLOOKUP($B589,'[3]1001'!$B$6:$G$5927,2,FALSE),0)</f>
        <v>0</v>
      </c>
      <c r="I589" s="2034">
        <f>IFERROR(VLOOKUP($B589,'[3]1001'!$B$6:$G$5927,4,FALSE),0)</f>
        <v>0</v>
      </c>
      <c r="J589" s="2033">
        <f t="shared" si="54"/>
        <v>0</v>
      </c>
      <c r="K589" s="2035">
        <f>IFERROR(VLOOKUP($B589,'[3]1002'!$B$6:$G$5921,2,FALSE),0)</f>
        <v>0</v>
      </c>
      <c r="L589" s="2036">
        <f>IFERROR(VLOOKUP($B589,'[3]1002'!$B$6:$G$5921,4,FALSE),0)</f>
        <v>0</v>
      </c>
      <c r="M589" s="1763">
        <f t="shared" si="55"/>
        <v>0</v>
      </c>
      <c r="N589" s="2033">
        <f>IFERROR(VLOOKUP($B589,'[3]1003'!$B$6:$G$5921,2,FALSE),0)</f>
        <v>0</v>
      </c>
      <c r="O589" s="2034">
        <f>IFERROR(VLOOKUP($B589,'[3]1003'!$B$6:$G$5921,4,FALSE),0)</f>
        <v>0</v>
      </c>
      <c r="P589" s="2033">
        <f t="shared" si="56"/>
        <v>0</v>
      </c>
      <c r="Q589" s="1763">
        <f>IFERROR(VLOOKUP($B589,'[3]1004'!$B$6:$G$5921,2,FALSE),0)</f>
        <v>0</v>
      </c>
      <c r="R589" s="2036">
        <f>IFERROR(VLOOKUP($B589,'[3]1004'!$B$6:$G$5921,4,FALSE),0)</f>
        <v>0</v>
      </c>
      <c r="S589" s="1763">
        <f t="shared" si="57"/>
        <v>0</v>
      </c>
      <c r="T589" s="2033">
        <f>IFERROR(VLOOKUP($B589,'[3]1006'!$B$6:$G$5921,2,FALSE),0)</f>
        <v>0</v>
      </c>
      <c r="U589" s="2034">
        <f>IFERROR(VLOOKUP($B589,'[3]1006'!$B$6:$G$5921,4,FALSE),0)</f>
        <v>0</v>
      </c>
      <c r="V589" s="2033">
        <f t="shared" si="58"/>
        <v>0</v>
      </c>
      <c r="W589" s="2033">
        <f t="shared" si="59"/>
        <v>0</v>
      </c>
    </row>
    <row r="590" spans="2:23" x14ac:dyDescent="0.15">
      <c r="B590" s="2032">
        <v>115426</v>
      </c>
      <c r="C590" s="2032" t="s">
        <v>2082</v>
      </c>
      <c r="D590" s="2037" t="s">
        <v>2082</v>
      </c>
      <c r="E590" s="2032" t="s">
        <v>94</v>
      </c>
      <c r="F590" s="1288" t="s">
        <v>1300</v>
      </c>
      <c r="G590" s="1288" t="s">
        <v>1303</v>
      </c>
      <c r="H590" s="2033">
        <f>IFERROR(VLOOKUP($B590,'[3]1001'!$B$6:$G$5927,2,FALSE),0)</f>
        <v>0</v>
      </c>
      <c r="I590" s="2034">
        <f>IFERROR(VLOOKUP($B590,'[3]1001'!$B$6:$G$5927,4,FALSE),0)</f>
        <v>0</v>
      </c>
      <c r="J590" s="2033">
        <f t="shared" si="54"/>
        <v>0</v>
      </c>
      <c r="K590" s="2035">
        <f>IFERROR(VLOOKUP($B590,'[3]1002'!$B$6:$G$5921,2,FALSE),0)</f>
        <v>0</v>
      </c>
      <c r="L590" s="2036">
        <f>IFERROR(VLOOKUP($B590,'[3]1002'!$B$6:$G$5921,4,FALSE),0)</f>
        <v>0</v>
      </c>
      <c r="M590" s="1763">
        <f t="shared" si="55"/>
        <v>0</v>
      </c>
      <c r="N590" s="2033">
        <f>IFERROR(VLOOKUP($B590,'[3]1003'!$B$6:$G$5921,2,FALSE),0)</f>
        <v>505433.59999999998</v>
      </c>
      <c r="O590" s="2034">
        <f>IFERROR(VLOOKUP($B590,'[3]1003'!$B$6:$G$5921,4,FALSE),0)</f>
        <v>2</v>
      </c>
      <c r="P590" s="2033">
        <f t="shared" si="56"/>
        <v>252716.79999999999</v>
      </c>
      <c r="Q590" s="1763">
        <f>IFERROR(VLOOKUP($B590,'[3]1004'!$B$6:$G$5921,2,FALSE),0)</f>
        <v>0</v>
      </c>
      <c r="R590" s="2036">
        <f>IFERROR(VLOOKUP($B590,'[3]1004'!$B$6:$G$5921,4,FALSE),0)</f>
        <v>0</v>
      </c>
      <c r="S590" s="1763">
        <f t="shared" si="57"/>
        <v>0</v>
      </c>
      <c r="T590" s="2033">
        <f>IFERROR(VLOOKUP($B590,'[3]1006'!$B$6:$G$5921,2,FALSE),0)</f>
        <v>0</v>
      </c>
      <c r="U590" s="2034">
        <f>IFERROR(VLOOKUP($B590,'[3]1006'!$B$6:$G$5921,4,FALSE),0)</f>
        <v>0</v>
      </c>
      <c r="V590" s="2033">
        <f t="shared" si="58"/>
        <v>0</v>
      </c>
      <c r="W590" s="2033">
        <f t="shared" si="59"/>
        <v>2</v>
      </c>
    </row>
    <row r="591" spans="2:23" x14ac:dyDescent="0.15">
      <c r="B591" s="2032">
        <v>115427</v>
      </c>
      <c r="C591" s="2032" t="s">
        <v>2083</v>
      </c>
      <c r="D591" s="2037" t="s">
        <v>2083</v>
      </c>
      <c r="E591" s="2032" t="s">
        <v>94</v>
      </c>
      <c r="F591" s="1288" t="s">
        <v>1300</v>
      </c>
      <c r="G591" s="1288" t="s">
        <v>1303</v>
      </c>
      <c r="H591" s="2033">
        <f>IFERROR(VLOOKUP($B591,'[3]1001'!$B$6:$G$5927,2,FALSE),0)</f>
        <v>0</v>
      </c>
      <c r="I591" s="2034">
        <f>IFERROR(VLOOKUP($B591,'[3]1001'!$B$6:$G$5927,4,FALSE),0)</f>
        <v>0</v>
      </c>
      <c r="J591" s="2033">
        <f t="shared" si="54"/>
        <v>0</v>
      </c>
      <c r="K591" s="2035">
        <f>IFERROR(VLOOKUP($B591,'[3]1002'!$B$6:$G$5921,2,FALSE),0)</f>
        <v>0</v>
      </c>
      <c r="L591" s="2036">
        <f>IFERROR(VLOOKUP($B591,'[3]1002'!$B$6:$G$5921,4,FALSE),0)</f>
        <v>0</v>
      </c>
      <c r="M591" s="1763">
        <f t="shared" si="55"/>
        <v>0</v>
      </c>
      <c r="N591" s="2033">
        <f>IFERROR(VLOOKUP($B591,'[3]1003'!$B$6:$G$5921,2,FALSE),0)</f>
        <v>0</v>
      </c>
      <c r="O591" s="2034">
        <f>IFERROR(VLOOKUP($B591,'[3]1003'!$B$6:$G$5921,4,FALSE),0)</f>
        <v>0</v>
      </c>
      <c r="P591" s="2033">
        <f t="shared" si="56"/>
        <v>0</v>
      </c>
      <c r="Q591" s="1763">
        <f>IFERROR(VLOOKUP($B591,'[3]1004'!$B$6:$G$5921,2,FALSE),0)</f>
        <v>0</v>
      </c>
      <c r="R591" s="2036">
        <f>IFERROR(VLOOKUP($B591,'[3]1004'!$B$6:$G$5921,4,FALSE),0)</f>
        <v>0</v>
      </c>
      <c r="S591" s="1763">
        <f t="shared" si="57"/>
        <v>0</v>
      </c>
      <c r="T591" s="2033">
        <f>IFERROR(VLOOKUP($B591,'[3]1006'!$B$6:$G$5921,2,FALSE),0)</f>
        <v>0</v>
      </c>
      <c r="U591" s="2034">
        <f>IFERROR(VLOOKUP($B591,'[3]1006'!$B$6:$G$5921,4,FALSE),0)</f>
        <v>0</v>
      </c>
      <c r="V591" s="2033">
        <f t="shared" si="58"/>
        <v>0</v>
      </c>
      <c r="W591" s="2033">
        <f t="shared" si="59"/>
        <v>0</v>
      </c>
    </row>
    <row r="592" spans="2:23" x14ac:dyDescent="0.15">
      <c r="B592" s="2032">
        <v>115428</v>
      </c>
      <c r="C592" s="2032" t="s">
        <v>2084</v>
      </c>
      <c r="D592" s="2037" t="s">
        <v>2084</v>
      </c>
      <c r="E592" s="2032" t="s">
        <v>94</v>
      </c>
      <c r="F592" s="1288" t="s">
        <v>1300</v>
      </c>
      <c r="G592" s="1288" t="s">
        <v>1303</v>
      </c>
      <c r="H592" s="2033">
        <f>IFERROR(VLOOKUP($B592,'[3]1001'!$B$6:$G$5927,2,FALSE),0)</f>
        <v>0</v>
      </c>
      <c r="I592" s="2034">
        <f>IFERROR(VLOOKUP($B592,'[3]1001'!$B$6:$G$5927,4,FALSE),0)</f>
        <v>0</v>
      </c>
      <c r="J592" s="2033">
        <f t="shared" si="54"/>
        <v>0</v>
      </c>
      <c r="K592" s="2035">
        <f>IFERROR(VLOOKUP($B592,'[3]1002'!$B$6:$G$5921,2,FALSE),0)</f>
        <v>0</v>
      </c>
      <c r="L592" s="2036">
        <f>IFERROR(VLOOKUP($B592,'[3]1002'!$B$6:$G$5921,4,FALSE),0)</f>
        <v>0</v>
      </c>
      <c r="M592" s="1763">
        <f t="shared" si="55"/>
        <v>0</v>
      </c>
      <c r="N592" s="2033">
        <f>IFERROR(VLOOKUP($B592,'[3]1003'!$B$6:$G$5921,2,FALSE),0)</f>
        <v>0</v>
      </c>
      <c r="O592" s="2034">
        <f>IFERROR(VLOOKUP($B592,'[3]1003'!$B$6:$G$5921,4,FALSE),0)</f>
        <v>0</v>
      </c>
      <c r="P592" s="2033">
        <f t="shared" si="56"/>
        <v>0</v>
      </c>
      <c r="Q592" s="1763">
        <f>IFERROR(VLOOKUP($B592,'[3]1004'!$B$6:$G$5921,2,FALSE),0)</f>
        <v>0</v>
      </c>
      <c r="R592" s="2036">
        <f>IFERROR(VLOOKUP($B592,'[3]1004'!$B$6:$G$5921,4,FALSE),0)</f>
        <v>0</v>
      </c>
      <c r="S592" s="1763">
        <f t="shared" si="57"/>
        <v>0</v>
      </c>
      <c r="T592" s="2033">
        <f>IFERROR(VLOOKUP($B592,'[3]1006'!$B$6:$G$5921,2,FALSE),0)</f>
        <v>0</v>
      </c>
      <c r="U592" s="2034">
        <f>IFERROR(VLOOKUP($B592,'[3]1006'!$B$6:$G$5921,4,FALSE),0)</f>
        <v>0</v>
      </c>
      <c r="V592" s="2033">
        <f t="shared" si="58"/>
        <v>0</v>
      </c>
      <c r="W592" s="2033">
        <f t="shared" si="59"/>
        <v>0</v>
      </c>
    </row>
    <row r="593" spans="2:23" x14ac:dyDescent="0.15">
      <c r="B593" s="2032">
        <v>115429</v>
      </c>
      <c r="C593" s="2032" t="s">
        <v>2085</v>
      </c>
      <c r="D593" s="2037" t="s">
        <v>2085</v>
      </c>
      <c r="E593" s="2032" t="s">
        <v>94</v>
      </c>
      <c r="F593" s="1288" t="s">
        <v>1300</v>
      </c>
      <c r="G593" s="1288" t="s">
        <v>1303</v>
      </c>
      <c r="H593" s="2033">
        <f>IFERROR(VLOOKUP($B593,'[3]1001'!$B$6:$G$5927,2,FALSE),0)</f>
        <v>0</v>
      </c>
      <c r="I593" s="2034">
        <f>IFERROR(VLOOKUP($B593,'[3]1001'!$B$6:$G$5927,4,FALSE),0)</f>
        <v>0</v>
      </c>
      <c r="J593" s="2033">
        <f t="shared" si="54"/>
        <v>0</v>
      </c>
      <c r="K593" s="2035">
        <f>IFERROR(VLOOKUP($B593,'[3]1002'!$B$6:$G$5921,2,FALSE),0)</f>
        <v>0</v>
      </c>
      <c r="L593" s="2036">
        <f>IFERROR(VLOOKUP($B593,'[3]1002'!$B$6:$G$5921,4,FALSE),0)</f>
        <v>0</v>
      </c>
      <c r="M593" s="1763">
        <f t="shared" si="55"/>
        <v>0</v>
      </c>
      <c r="N593" s="2033">
        <f>IFERROR(VLOOKUP($B593,'[3]1003'!$B$6:$G$5921,2,FALSE),0)</f>
        <v>0</v>
      </c>
      <c r="O593" s="2034">
        <f>IFERROR(VLOOKUP($B593,'[3]1003'!$B$6:$G$5921,4,FALSE),0)</f>
        <v>0</v>
      </c>
      <c r="P593" s="2033">
        <f t="shared" si="56"/>
        <v>0</v>
      </c>
      <c r="Q593" s="1763">
        <f>IFERROR(VLOOKUP($B593,'[3]1004'!$B$6:$G$5921,2,FALSE),0)</f>
        <v>0</v>
      </c>
      <c r="R593" s="2036">
        <f>IFERROR(VLOOKUP($B593,'[3]1004'!$B$6:$G$5921,4,FALSE),0)</f>
        <v>0</v>
      </c>
      <c r="S593" s="1763">
        <f t="shared" si="57"/>
        <v>0</v>
      </c>
      <c r="T593" s="2033">
        <f>IFERROR(VLOOKUP($B593,'[3]1006'!$B$6:$G$5921,2,FALSE),0)</f>
        <v>0</v>
      </c>
      <c r="U593" s="2034">
        <f>IFERROR(VLOOKUP($B593,'[3]1006'!$B$6:$G$5921,4,FALSE),0)</f>
        <v>0</v>
      </c>
      <c r="V593" s="2033">
        <f t="shared" si="58"/>
        <v>0</v>
      </c>
      <c r="W593" s="2033">
        <f t="shared" si="59"/>
        <v>0</v>
      </c>
    </row>
    <row r="594" spans="2:23" x14ac:dyDescent="0.15">
      <c r="B594" s="2032">
        <v>115455</v>
      </c>
      <c r="C594" s="2032" t="s">
        <v>2606</v>
      </c>
      <c r="D594" s="2032" t="s">
        <v>2606</v>
      </c>
      <c r="E594" s="2032" t="s">
        <v>94</v>
      </c>
      <c r="F594" s="1288" t="s">
        <v>1300</v>
      </c>
      <c r="G594" s="1288" t="s">
        <v>1296</v>
      </c>
      <c r="H594" s="2033">
        <f>IFERROR(VLOOKUP($B594,'[3]1001'!$B$6:$G$5927,2,FALSE),0)</f>
        <v>0</v>
      </c>
      <c r="I594" s="2034">
        <f>IFERROR(VLOOKUP($B594,'[3]1001'!$B$6:$G$5927,4,FALSE),0)</f>
        <v>0</v>
      </c>
      <c r="J594" s="2033">
        <f t="shared" si="54"/>
        <v>0</v>
      </c>
      <c r="K594" s="2035">
        <f>IFERROR(VLOOKUP($B594,'[3]1002'!$B$6:$G$5921,2,FALSE),0)</f>
        <v>0</v>
      </c>
      <c r="L594" s="2036">
        <f>IFERROR(VLOOKUP($B594,'[3]1002'!$B$6:$G$5921,4,FALSE),0)</f>
        <v>0</v>
      </c>
      <c r="M594" s="1763">
        <f t="shared" si="55"/>
        <v>0</v>
      </c>
      <c r="N594" s="2033">
        <f>IFERROR(VLOOKUP($B594,'[3]1003'!$B$6:$G$5921,2,FALSE),0)</f>
        <v>0</v>
      </c>
      <c r="O594" s="2034">
        <f>IFERROR(VLOOKUP($B594,'[3]1003'!$B$6:$G$5921,4,FALSE),0)</f>
        <v>0</v>
      </c>
      <c r="P594" s="2033">
        <f t="shared" si="56"/>
        <v>0</v>
      </c>
      <c r="Q594" s="1763">
        <f>IFERROR(VLOOKUP($B594,'[3]1004'!$B$6:$G$5921,2,FALSE),0)</f>
        <v>0</v>
      </c>
      <c r="R594" s="2036">
        <f>IFERROR(VLOOKUP($B594,'[3]1004'!$B$6:$G$5921,4,FALSE),0)</f>
        <v>0</v>
      </c>
      <c r="S594" s="1763">
        <f t="shared" si="57"/>
        <v>0</v>
      </c>
      <c r="T594" s="2033">
        <f>IFERROR(VLOOKUP($B594,'[3]1006'!$B$6:$G$5921,2,FALSE),0)</f>
        <v>0</v>
      </c>
      <c r="U594" s="2034">
        <f>IFERROR(VLOOKUP($B594,'[3]1006'!$B$6:$G$5921,4,FALSE),0)</f>
        <v>0</v>
      </c>
      <c r="V594" s="2033">
        <f t="shared" si="58"/>
        <v>0</v>
      </c>
      <c r="W594" s="2033">
        <f t="shared" si="59"/>
        <v>0</v>
      </c>
    </row>
    <row r="595" spans="2:23" x14ac:dyDescent="0.15">
      <c r="B595" s="2032">
        <v>115865</v>
      </c>
      <c r="C595" s="2032" t="s">
        <v>2086</v>
      </c>
      <c r="D595" s="2037" t="s">
        <v>2086</v>
      </c>
      <c r="E595" s="2032" t="s">
        <v>94</v>
      </c>
      <c r="F595" s="1288" t="s">
        <v>1346</v>
      </c>
      <c r="G595" s="1288" t="s">
        <v>1303</v>
      </c>
      <c r="H595" s="2033">
        <f>IFERROR(VLOOKUP($B595,'[3]1001'!$B$6:$G$5927,2,FALSE),0)</f>
        <v>157165.35999999999</v>
      </c>
      <c r="I595" s="2034">
        <f>IFERROR(VLOOKUP($B595,'[3]1001'!$B$6:$G$5927,4,FALSE),0)</f>
        <v>1</v>
      </c>
      <c r="J595" s="2033">
        <f t="shared" si="54"/>
        <v>157165.35999999999</v>
      </c>
      <c r="K595" s="2035">
        <f>IFERROR(VLOOKUP($B595,'[3]1002'!$B$6:$G$5921,2,FALSE),0)</f>
        <v>0</v>
      </c>
      <c r="L595" s="2036">
        <f>IFERROR(VLOOKUP($B595,'[3]1002'!$B$6:$G$5921,4,FALSE),0)</f>
        <v>0</v>
      </c>
      <c r="M595" s="1763">
        <f t="shared" si="55"/>
        <v>0</v>
      </c>
      <c r="N595" s="2033">
        <f>IFERROR(VLOOKUP($B595,'[3]1003'!$B$6:$G$5921,2,FALSE),0)</f>
        <v>793274.79</v>
      </c>
      <c r="O595" s="2034">
        <f>IFERROR(VLOOKUP($B595,'[3]1003'!$B$6:$G$5921,4,FALSE),0)</f>
        <v>5</v>
      </c>
      <c r="P595" s="2033">
        <f t="shared" si="56"/>
        <v>158654.95800000001</v>
      </c>
      <c r="Q595" s="1763">
        <f>IFERROR(VLOOKUP($B595,'[3]1004'!$B$6:$G$5921,2,FALSE),0)</f>
        <v>0</v>
      </c>
      <c r="R595" s="2036">
        <f>IFERROR(VLOOKUP($B595,'[3]1004'!$B$6:$G$5921,4,FALSE),0)</f>
        <v>0</v>
      </c>
      <c r="S595" s="1763">
        <f t="shared" si="57"/>
        <v>0</v>
      </c>
      <c r="T595" s="2033">
        <f>IFERROR(VLOOKUP($B595,'[3]1006'!$B$6:$G$5921,2,FALSE),0)</f>
        <v>0</v>
      </c>
      <c r="U595" s="2034">
        <f>IFERROR(VLOOKUP($B595,'[3]1006'!$B$6:$G$5921,4,FALSE),0)</f>
        <v>0</v>
      </c>
      <c r="V595" s="2033">
        <f t="shared" si="58"/>
        <v>0</v>
      </c>
      <c r="W595" s="2033">
        <f t="shared" si="59"/>
        <v>6</v>
      </c>
    </row>
    <row r="596" spans="2:23" x14ac:dyDescent="0.15">
      <c r="B596" s="2032">
        <v>115866</v>
      </c>
      <c r="C596" s="2032" t="s">
        <v>2087</v>
      </c>
      <c r="D596" s="2037" t="s">
        <v>2087</v>
      </c>
      <c r="E596" s="2032" t="s">
        <v>94</v>
      </c>
      <c r="F596" s="1288" t="s">
        <v>1300</v>
      </c>
      <c r="G596" s="1288" t="s">
        <v>1296</v>
      </c>
      <c r="H596" s="2033">
        <f>IFERROR(VLOOKUP($B596,'[3]1001'!$B$6:$G$5927,2,FALSE),0)</f>
        <v>374261.25</v>
      </c>
      <c r="I596" s="2034">
        <f>IFERROR(VLOOKUP($B596,'[3]1001'!$B$6:$G$5927,4,FALSE),0)</f>
        <v>4</v>
      </c>
      <c r="J596" s="2033">
        <f t="shared" si="54"/>
        <v>93565.3125</v>
      </c>
      <c r="K596" s="2035">
        <f>IFERROR(VLOOKUP($B596,'[3]1002'!$B$6:$G$5921,2,FALSE),0)</f>
        <v>0</v>
      </c>
      <c r="L596" s="2036">
        <f>IFERROR(VLOOKUP($B596,'[3]1002'!$B$6:$G$5921,4,FALSE),0)</f>
        <v>0</v>
      </c>
      <c r="M596" s="1763">
        <f t="shared" si="55"/>
        <v>0</v>
      </c>
      <c r="N596" s="2033">
        <f>IFERROR(VLOOKUP($B596,'[3]1003'!$B$6:$G$5921,2,FALSE),0)</f>
        <v>0</v>
      </c>
      <c r="O596" s="2034">
        <f>IFERROR(VLOOKUP($B596,'[3]1003'!$B$6:$G$5921,4,FALSE),0)</f>
        <v>0</v>
      </c>
      <c r="P596" s="2033">
        <f t="shared" si="56"/>
        <v>0</v>
      </c>
      <c r="Q596" s="1763">
        <f>IFERROR(VLOOKUP($B596,'[3]1004'!$B$6:$G$5921,2,FALSE),0)</f>
        <v>187130.63</v>
      </c>
      <c r="R596" s="2036">
        <f>IFERROR(VLOOKUP($B596,'[3]1004'!$B$6:$G$5921,4,FALSE),0)</f>
        <v>2</v>
      </c>
      <c r="S596" s="1763">
        <f t="shared" si="57"/>
        <v>93565.315000000002</v>
      </c>
      <c r="T596" s="2033">
        <f>IFERROR(VLOOKUP($B596,'[3]1006'!$B$6:$G$5921,2,FALSE),0)</f>
        <v>0</v>
      </c>
      <c r="U596" s="2034">
        <f>IFERROR(VLOOKUP($B596,'[3]1006'!$B$6:$G$5921,4,FALSE),0)</f>
        <v>0</v>
      </c>
      <c r="V596" s="2033">
        <f t="shared" si="58"/>
        <v>0</v>
      </c>
      <c r="W596" s="2033">
        <f t="shared" si="59"/>
        <v>6</v>
      </c>
    </row>
    <row r="597" spans="2:23" x14ac:dyDescent="0.15">
      <c r="B597" s="2032">
        <v>115867</v>
      </c>
      <c r="C597" s="2032" t="s">
        <v>2088</v>
      </c>
      <c r="D597" s="2037" t="s">
        <v>2088</v>
      </c>
      <c r="E597" s="2032" t="s">
        <v>94</v>
      </c>
      <c r="F597" s="1288" t="s">
        <v>1300</v>
      </c>
      <c r="G597" s="1288" t="s">
        <v>1296</v>
      </c>
      <c r="H597" s="2033">
        <f>IFERROR(VLOOKUP($B597,'[3]1001'!$B$6:$G$5927,2,FALSE),0)</f>
        <v>0</v>
      </c>
      <c r="I597" s="2034">
        <f>IFERROR(VLOOKUP($B597,'[3]1001'!$B$6:$G$5927,4,FALSE),0)</f>
        <v>0</v>
      </c>
      <c r="J597" s="2033">
        <f t="shared" si="54"/>
        <v>0</v>
      </c>
      <c r="K597" s="2035">
        <f>IFERROR(VLOOKUP($B597,'[3]1002'!$B$6:$G$5921,2,FALSE),0)</f>
        <v>0</v>
      </c>
      <c r="L597" s="2036">
        <f>IFERROR(VLOOKUP($B597,'[3]1002'!$B$6:$G$5921,4,FALSE),0)</f>
        <v>0</v>
      </c>
      <c r="M597" s="1763">
        <f t="shared" si="55"/>
        <v>0</v>
      </c>
      <c r="N597" s="2033">
        <f>IFERROR(VLOOKUP($B597,'[3]1003'!$B$6:$G$5921,2,FALSE),0)</f>
        <v>0</v>
      </c>
      <c r="O597" s="2034">
        <f>IFERROR(VLOOKUP($B597,'[3]1003'!$B$6:$G$5921,4,FALSE),0)</f>
        <v>0</v>
      </c>
      <c r="P597" s="2033">
        <f t="shared" si="56"/>
        <v>0</v>
      </c>
      <c r="Q597" s="1763">
        <f>IFERROR(VLOOKUP($B597,'[3]1004'!$B$6:$G$5921,2,FALSE),0)</f>
        <v>0</v>
      </c>
      <c r="R597" s="2036">
        <f>IFERROR(VLOOKUP($B597,'[3]1004'!$B$6:$G$5921,4,FALSE),0)</f>
        <v>0</v>
      </c>
      <c r="S597" s="1763">
        <f t="shared" si="57"/>
        <v>0</v>
      </c>
      <c r="T597" s="2033">
        <f>IFERROR(VLOOKUP($B597,'[3]1006'!$B$6:$G$5921,2,FALSE),0)</f>
        <v>0</v>
      </c>
      <c r="U597" s="2034">
        <f>IFERROR(VLOOKUP($B597,'[3]1006'!$B$6:$G$5921,4,FALSE),0)</f>
        <v>0</v>
      </c>
      <c r="V597" s="2033">
        <f t="shared" si="58"/>
        <v>0</v>
      </c>
      <c r="W597" s="2033">
        <f t="shared" si="59"/>
        <v>0</v>
      </c>
    </row>
    <row r="598" spans="2:23" x14ac:dyDescent="0.15">
      <c r="B598" s="2032">
        <v>115868</v>
      </c>
      <c r="C598" s="2032" t="s">
        <v>2089</v>
      </c>
      <c r="D598" s="2037" t="s">
        <v>2089</v>
      </c>
      <c r="E598" s="2032" t="s">
        <v>94</v>
      </c>
      <c r="F598" s="1288" t="s">
        <v>1300</v>
      </c>
      <c r="G598" s="1288" t="s">
        <v>1296</v>
      </c>
      <c r="H598" s="2033">
        <f>IFERROR(VLOOKUP($B598,'[3]1001'!$B$6:$G$5927,2,FALSE),0)</f>
        <v>471495.58</v>
      </c>
      <c r="I598" s="2034">
        <f>IFERROR(VLOOKUP($B598,'[3]1001'!$B$6:$G$5927,4,FALSE),0)</f>
        <v>3</v>
      </c>
      <c r="J598" s="2033">
        <f t="shared" si="54"/>
        <v>157165.19333333333</v>
      </c>
      <c r="K598" s="2035">
        <f>IFERROR(VLOOKUP($B598,'[3]1002'!$B$6:$G$5921,2,FALSE),0)</f>
        <v>0</v>
      </c>
      <c r="L598" s="2036">
        <f>IFERROR(VLOOKUP($B598,'[3]1002'!$B$6:$G$5921,4,FALSE),0)</f>
        <v>0</v>
      </c>
      <c r="M598" s="1763">
        <f t="shared" si="55"/>
        <v>0</v>
      </c>
      <c r="N598" s="2033">
        <f>IFERROR(VLOOKUP($B598,'[3]1003'!$B$6:$G$5921,2,FALSE),0)</f>
        <v>0</v>
      </c>
      <c r="O598" s="2034">
        <f>IFERROR(VLOOKUP($B598,'[3]1003'!$B$6:$G$5921,4,FALSE),0)</f>
        <v>0</v>
      </c>
      <c r="P598" s="2033">
        <f t="shared" si="56"/>
        <v>0</v>
      </c>
      <c r="Q598" s="1763">
        <f>IFERROR(VLOOKUP($B598,'[3]1004'!$B$6:$G$5921,2,FALSE),0)</f>
        <v>471495.58</v>
      </c>
      <c r="R598" s="2036">
        <f>IFERROR(VLOOKUP($B598,'[3]1004'!$B$6:$G$5921,4,FALSE),0)</f>
        <v>3</v>
      </c>
      <c r="S598" s="1763">
        <f t="shared" si="57"/>
        <v>157165.19333333333</v>
      </c>
      <c r="T598" s="2033">
        <f>IFERROR(VLOOKUP($B598,'[3]1006'!$B$6:$G$5921,2,FALSE),0)</f>
        <v>0</v>
      </c>
      <c r="U598" s="2034">
        <f>IFERROR(VLOOKUP($B598,'[3]1006'!$B$6:$G$5921,4,FALSE),0)</f>
        <v>0</v>
      </c>
      <c r="V598" s="2033">
        <f t="shared" si="58"/>
        <v>0</v>
      </c>
      <c r="W598" s="2033">
        <f t="shared" si="59"/>
        <v>6</v>
      </c>
    </row>
    <row r="599" spans="2:23" x14ac:dyDescent="0.15">
      <c r="B599" s="2032">
        <v>115869</v>
      </c>
      <c r="C599" s="2032" t="s">
        <v>2090</v>
      </c>
      <c r="D599" s="2037" t="s">
        <v>2090</v>
      </c>
      <c r="E599" s="2032" t="s">
        <v>94</v>
      </c>
      <c r="F599" s="1288" t="s">
        <v>1300</v>
      </c>
      <c r="G599" s="1288" t="s">
        <v>1296</v>
      </c>
      <c r="H599" s="2033">
        <f>IFERROR(VLOOKUP($B599,'[3]1001'!$B$6:$G$5927,2,FALSE),0)</f>
        <v>440918.78</v>
      </c>
      <c r="I599" s="2034">
        <f>IFERROR(VLOOKUP($B599,'[3]1001'!$B$6:$G$5927,4,FALSE),0)</f>
        <v>6</v>
      </c>
      <c r="J599" s="2033">
        <f t="shared" si="54"/>
        <v>73486.463333333333</v>
      </c>
      <c r="K599" s="2035">
        <f>IFERROR(VLOOKUP($B599,'[3]1002'!$B$6:$G$5921,2,FALSE),0)</f>
        <v>0</v>
      </c>
      <c r="L599" s="2036">
        <f>IFERROR(VLOOKUP($B599,'[3]1002'!$B$6:$G$5921,4,FALSE),0)</f>
        <v>0</v>
      </c>
      <c r="M599" s="1763">
        <f t="shared" si="55"/>
        <v>0</v>
      </c>
      <c r="N599" s="2033">
        <f>IFERROR(VLOOKUP($B599,'[3]1003'!$B$6:$G$5921,2,FALSE),0)</f>
        <v>75620.13</v>
      </c>
      <c r="O599" s="2034">
        <f>IFERROR(VLOOKUP($B599,'[3]1003'!$B$6:$G$5921,4,FALSE),0)</f>
        <v>1</v>
      </c>
      <c r="P599" s="2033">
        <f t="shared" si="56"/>
        <v>75620.13</v>
      </c>
      <c r="Q599" s="1763">
        <f>IFERROR(VLOOKUP($B599,'[3]1004'!$B$6:$G$5921,2,FALSE),0)</f>
        <v>0</v>
      </c>
      <c r="R599" s="2036">
        <f>IFERROR(VLOOKUP($B599,'[3]1004'!$B$6:$G$5921,4,FALSE),0)</f>
        <v>0</v>
      </c>
      <c r="S599" s="1763">
        <f t="shared" si="57"/>
        <v>0</v>
      </c>
      <c r="T599" s="2033">
        <f>IFERROR(VLOOKUP($B599,'[3]1006'!$B$6:$G$5921,2,FALSE),0)</f>
        <v>0</v>
      </c>
      <c r="U599" s="2034">
        <f>IFERROR(VLOOKUP($B599,'[3]1006'!$B$6:$G$5921,4,FALSE),0)</f>
        <v>0</v>
      </c>
      <c r="V599" s="2033">
        <f t="shared" si="58"/>
        <v>0</v>
      </c>
      <c r="W599" s="2033">
        <f t="shared" si="59"/>
        <v>7</v>
      </c>
    </row>
    <row r="600" spans="2:23" x14ac:dyDescent="0.15">
      <c r="B600" s="2043">
        <v>116389</v>
      </c>
      <c r="C600" s="2043" t="s">
        <v>2091</v>
      </c>
      <c r="D600" s="2043" t="s">
        <v>2092</v>
      </c>
      <c r="E600" s="2043" t="s">
        <v>94</v>
      </c>
      <c r="F600" s="2044" t="s">
        <v>1295</v>
      </c>
      <c r="G600" s="2044" t="s">
        <v>1296</v>
      </c>
      <c r="H600" s="2045">
        <f>IFERROR(VLOOKUP($B600,'[3]1001'!$B$6:$G$5927,2,FALSE),0)</f>
        <v>6791400</v>
      </c>
      <c r="I600" s="2046">
        <f>IFERROR(VLOOKUP($B600,'[3]1001'!$B$6:$G$5927,4,FALSE),0)</f>
        <v>22</v>
      </c>
      <c r="J600" s="2045">
        <f t="shared" si="54"/>
        <v>308700</v>
      </c>
      <c r="K600" s="2047">
        <f>IFERROR(VLOOKUP($B600,'[3]1002'!$B$6:$G$5921,2,FALSE),0)</f>
        <v>0</v>
      </c>
      <c r="L600" s="2048">
        <f>IFERROR(VLOOKUP($B600,'[3]1002'!$B$6:$G$5921,4,FALSE),0)</f>
        <v>0</v>
      </c>
      <c r="M600" s="2049">
        <f t="shared" si="55"/>
        <v>0</v>
      </c>
      <c r="N600" s="2045">
        <f>IFERROR(VLOOKUP($B600,'[3]1003'!$B$6:$G$5921,2,FALSE),0)</f>
        <v>0</v>
      </c>
      <c r="O600" s="2046">
        <f>IFERROR(VLOOKUP($B600,'[3]1003'!$B$6:$G$5921,4,FALSE),0)</f>
        <v>0</v>
      </c>
      <c r="P600" s="2045">
        <f t="shared" si="56"/>
        <v>0</v>
      </c>
      <c r="Q600" s="2049">
        <f>IFERROR(VLOOKUP($B600,'[3]1004'!$B$6:$G$5921,2,FALSE),0)</f>
        <v>0</v>
      </c>
      <c r="R600" s="2048">
        <f>IFERROR(VLOOKUP($B600,'[3]1004'!$B$6:$G$5921,4,FALSE),0)</f>
        <v>0</v>
      </c>
      <c r="S600" s="2049">
        <f t="shared" si="57"/>
        <v>0</v>
      </c>
      <c r="T600" s="2045">
        <f>IFERROR(VLOOKUP($B600,'[3]1006'!$B$6:$G$5921,2,FALSE),0)</f>
        <v>0</v>
      </c>
      <c r="U600" s="2046">
        <f>IFERROR(VLOOKUP($B600,'[3]1006'!$B$6:$G$5921,4,FALSE),0)</f>
        <v>0</v>
      </c>
      <c r="V600" s="2045">
        <f t="shared" si="58"/>
        <v>0</v>
      </c>
      <c r="W600" s="2033">
        <f t="shared" si="59"/>
        <v>22</v>
      </c>
    </row>
    <row r="601" spans="2:23" x14ac:dyDescent="0.15">
      <c r="B601" s="2032">
        <v>116809</v>
      </c>
      <c r="C601" s="2032" t="s">
        <v>2093</v>
      </c>
      <c r="D601" s="2037" t="s">
        <v>2093</v>
      </c>
      <c r="E601" s="2032" t="s">
        <v>94</v>
      </c>
      <c r="F601" s="1288" t="s">
        <v>1295</v>
      </c>
      <c r="G601" s="1288" t="s">
        <v>1296</v>
      </c>
      <c r="H601" s="2045">
        <f>IFERROR(VLOOKUP($B601,'[3]1001'!$B$6:$G$5927,2,FALSE),0)</f>
        <v>0</v>
      </c>
      <c r="I601" s="2046">
        <f>IFERROR(VLOOKUP($B601,'[3]1001'!$B$6:$G$5927,4,FALSE),0)</f>
        <v>0</v>
      </c>
      <c r="J601" s="2045">
        <f t="shared" si="54"/>
        <v>0</v>
      </c>
      <c r="K601" s="2047">
        <f>IFERROR(VLOOKUP($B601,'[3]1002'!$B$6:$G$5921,2,FALSE),0)</f>
        <v>0</v>
      </c>
      <c r="L601" s="2048">
        <f>IFERROR(VLOOKUP($B601,'[3]1002'!$B$6:$G$5921,4,FALSE),0)</f>
        <v>0</v>
      </c>
      <c r="M601" s="2049">
        <f t="shared" si="55"/>
        <v>0</v>
      </c>
      <c r="N601" s="2045">
        <f>IFERROR(VLOOKUP($B601,'[3]1003'!$B$6:$G$5921,2,FALSE),0)</f>
        <v>0</v>
      </c>
      <c r="O601" s="2046">
        <f>IFERROR(VLOOKUP($B601,'[3]1003'!$B$6:$G$5921,4,FALSE),0)</f>
        <v>0</v>
      </c>
      <c r="P601" s="2045">
        <f t="shared" si="56"/>
        <v>0</v>
      </c>
      <c r="Q601" s="2049">
        <f>IFERROR(VLOOKUP($B601,'[3]1004'!$B$6:$G$5921,2,FALSE),0)</f>
        <v>0</v>
      </c>
      <c r="R601" s="2048">
        <f>IFERROR(VLOOKUP($B601,'[3]1004'!$B$6:$G$5921,4,FALSE),0)</f>
        <v>0</v>
      </c>
      <c r="S601" s="2049">
        <f t="shared" si="57"/>
        <v>0</v>
      </c>
      <c r="T601" s="2045">
        <f>IFERROR(VLOOKUP($B601,'[3]1006'!$B$6:$G$5921,2,FALSE),0)</f>
        <v>0</v>
      </c>
      <c r="U601" s="2046">
        <f>IFERROR(VLOOKUP($B601,'[3]1006'!$B$6:$G$5921,4,FALSE),0)</f>
        <v>0</v>
      </c>
      <c r="V601" s="2045">
        <f t="shared" si="58"/>
        <v>0</v>
      </c>
      <c r="W601" s="2033">
        <f t="shared" si="59"/>
        <v>0</v>
      </c>
    </row>
    <row r="602" spans="2:23" x14ac:dyDescent="0.15">
      <c r="B602" s="2032">
        <v>11439</v>
      </c>
      <c r="C602" s="1288" t="s">
        <v>2607</v>
      </c>
      <c r="D602" s="1819"/>
      <c r="E602" s="2032" t="s">
        <v>94</v>
      </c>
      <c r="F602" s="1819" t="s">
        <v>1300</v>
      </c>
      <c r="G602" s="1819"/>
      <c r="H602" s="2033">
        <f>IFERROR(VLOOKUP($B602,'[3]1001'!$B$6:$G$5927,2,FALSE),0)</f>
        <v>2155896.37</v>
      </c>
      <c r="I602" s="2034">
        <f>IFERROR(VLOOKUP($B602,'[3]1001'!$B$6:$G$5927,4,FALSE),0)</f>
        <v>6</v>
      </c>
      <c r="J602" s="2033">
        <f t="shared" si="54"/>
        <v>359316.0616666667</v>
      </c>
      <c r="K602" s="2035">
        <f>IFERROR(VLOOKUP($B602,'[3]1002'!$B$6:$G$5921,2,FALSE),0)</f>
        <v>0</v>
      </c>
      <c r="L602" s="2036">
        <f>IFERROR(VLOOKUP($B602,'[3]1002'!$B$6:$G$5921,4,FALSE),0)</f>
        <v>0</v>
      </c>
      <c r="M602" s="1763">
        <f t="shared" si="55"/>
        <v>0</v>
      </c>
      <c r="N602" s="2033">
        <f>IFERROR(VLOOKUP($B602,'[3]1003'!$B$6:$G$5921,2,FALSE),0)</f>
        <v>1412317.84</v>
      </c>
      <c r="O602" s="2034">
        <f>IFERROR(VLOOKUP($B602,'[3]1003'!$B$6:$G$5921,4,FALSE),0)</f>
        <v>4</v>
      </c>
      <c r="P602" s="2033">
        <f t="shared" si="56"/>
        <v>353079.46</v>
      </c>
      <c r="Q602" s="1763">
        <f>IFERROR(VLOOKUP($B602,'[3]1004'!$B$6:$G$5921,2,FALSE),0)</f>
        <v>0</v>
      </c>
      <c r="R602" s="2036">
        <f>IFERROR(VLOOKUP($B602,'[3]1004'!$B$6:$G$5921,4,FALSE),0)</f>
        <v>0</v>
      </c>
      <c r="S602" s="1763">
        <f t="shared" si="57"/>
        <v>0</v>
      </c>
      <c r="T602" s="2033">
        <f>IFERROR(VLOOKUP($B602,'[3]1006'!$B$6:$G$5921,2,FALSE),0)</f>
        <v>0</v>
      </c>
      <c r="U602" s="2034">
        <f>IFERROR(VLOOKUP($B602,'[3]1006'!$B$6:$G$5921,4,FALSE),0)</f>
        <v>0</v>
      </c>
      <c r="V602" s="2033">
        <f t="shared" si="58"/>
        <v>0</v>
      </c>
      <c r="W602" s="2033">
        <f t="shared" si="59"/>
        <v>10</v>
      </c>
    </row>
    <row r="603" spans="2:23" x14ac:dyDescent="0.15">
      <c r="B603" s="1819">
        <v>41169</v>
      </c>
      <c r="C603" s="1819" t="s">
        <v>2608</v>
      </c>
      <c r="D603" s="1819"/>
      <c r="E603" s="2032" t="s">
        <v>94</v>
      </c>
      <c r="F603" s="1819" t="s">
        <v>1300</v>
      </c>
      <c r="G603" s="1819"/>
      <c r="H603" s="2033">
        <f>IFERROR(VLOOKUP($B603,'[3]1001'!$B$6:$G$5927,2,FALSE),0)</f>
        <v>271608.12</v>
      </c>
      <c r="I603" s="2034">
        <f>IFERROR(VLOOKUP($B603,'[3]1001'!$B$6:$G$5927,4,FALSE),0)</f>
        <v>120</v>
      </c>
      <c r="J603" s="2033">
        <f t="shared" si="54"/>
        <v>2263.4009999999998</v>
      </c>
      <c r="K603" s="2035">
        <f>IFERROR(VLOOKUP($B603,'[3]1002'!$B$6:$G$5921,2,FALSE),0)</f>
        <v>0</v>
      </c>
      <c r="L603" s="2036">
        <f>IFERROR(VLOOKUP($B603,'[3]1002'!$B$6:$G$5921,4,FALSE),0)</f>
        <v>0</v>
      </c>
      <c r="M603" s="1763">
        <f t="shared" si="55"/>
        <v>0</v>
      </c>
      <c r="N603" s="2033">
        <f>IFERROR(VLOOKUP($B603,'[3]1003'!$B$6:$G$5921,2,FALSE),0)</f>
        <v>0</v>
      </c>
      <c r="O603" s="2034">
        <f>IFERROR(VLOOKUP($B603,'[3]1003'!$B$6:$G$5921,4,FALSE),0)</f>
        <v>0</v>
      </c>
      <c r="P603" s="2033">
        <f t="shared" si="56"/>
        <v>0</v>
      </c>
      <c r="Q603" s="1763">
        <f>IFERROR(VLOOKUP($B603,'[3]1004'!$B$6:$G$5921,2,FALSE),0)</f>
        <v>0</v>
      </c>
      <c r="R603" s="2036">
        <f>IFERROR(VLOOKUP($B603,'[3]1004'!$B$6:$G$5921,4,FALSE),0)</f>
        <v>0</v>
      </c>
      <c r="S603" s="1763">
        <f t="shared" si="57"/>
        <v>0</v>
      </c>
      <c r="T603" s="2033">
        <f>IFERROR(VLOOKUP($B603,'[3]1006'!$B$6:$G$5921,2,FALSE),0)</f>
        <v>0</v>
      </c>
      <c r="U603" s="2034">
        <f>IFERROR(VLOOKUP($B603,'[3]1006'!$B$6:$G$5921,4,FALSE),0)</f>
        <v>0</v>
      </c>
      <c r="V603" s="2033">
        <f t="shared" si="58"/>
        <v>0</v>
      </c>
      <c r="W603" s="2033">
        <f t="shared" si="59"/>
        <v>120</v>
      </c>
    </row>
  </sheetData>
  <mergeCells count="5">
    <mergeCell ref="H3:J3"/>
    <mergeCell ref="K3:M3"/>
    <mergeCell ref="N3:P3"/>
    <mergeCell ref="Q3:S3"/>
    <mergeCell ref="T3:V3"/>
  </mergeCells>
  <conditionalFormatting sqref="B4:B602">
    <cfRule type="duplicateValues" dxfId="23" priority="1"/>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enableFormatConditionsCalculation="0">
    <tabColor rgb="FFFFC000"/>
  </sheetPr>
  <dimension ref="A1:CA81"/>
  <sheetViews>
    <sheetView showGridLines="0" tabSelected="1" topLeftCell="A11" zoomScale="125" zoomScaleNormal="125" workbookViewId="0">
      <selection activeCell="D8" sqref="D8"/>
    </sheetView>
  </sheetViews>
  <sheetFormatPr baseColWidth="10" defaultColWidth="9.83203125" defaultRowHeight="0" customHeight="1" zeroHeight="1" x14ac:dyDescent="0.15"/>
  <cols>
    <col min="1" max="1" width="18.5" style="801" bestFit="1" customWidth="1"/>
    <col min="2" max="2" width="6.1640625" customWidth="1"/>
    <col min="3" max="3" width="25.1640625" customWidth="1"/>
    <col min="4" max="4" width="14.6640625" customWidth="1"/>
    <col min="5" max="5" width="16.33203125" customWidth="1"/>
    <col min="6" max="6" width="12.83203125" style="801" customWidth="1"/>
    <col min="7" max="7" width="17.33203125" style="805" customWidth="1"/>
    <col min="8" max="9" width="13.5" style="801" customWidth="1"/>
    <col min="10" max="10" width="10.33203125" style="801" customWidth="1"/>
    <col min="11" max="11" width="17.5" style="801" customWidth="1"/>
    <col min="12" max="12" width="13.6640625" style="801" customWidth="1"/>
    <col min="13" max="13" width="16.6640625" style="801" customWidth="1"/>
    <col min="14" max="14" width="12.83203125" style="801" customWidth="1"/>
    <col min="15" max="15" width="3.83203125" style="801" customWidth="1"/>
    <col min="16" max="16" width="16.33203125" style="801" customWidth="1"/>
    <col min="17" max="19" width="14.5" style="801" customWidth="1"/>
    <col min="20" max="20" width="7.1640625" style="801" customWidth="1"/>
    <col min="21" max="21" width="16.5" style="801" bestFit="1" customWidth="1"/>
    <col min="22" max="22" width="10" style="801" customWidth="1"/>
    <col min="23" max="23" width="9.6640625" style="801" customWidth="1"/>
    <col min="24" max="24" width="11" style="801" customWidth="1"/>
    <col min="25" max="25" width="9.5" style="801" customWidth="1"/>
    <col min="26" max="27" width="9.83203125" style="1009" customWidth="1"/>
    <col min="28" max="28" width="22.5" style="801" customWidth="1"/>
    <col min="29" max="30" width="9.83203125" style="801" customWidth="1"/>
    <col min="31" max="31" width="15.33203125" style="801" customWidth="1"/>
    <col min="32" max="32" width="11.33203125" style="801" customWidth="1"/>
    <col min="33" max="33" width="9.83203125" style="801" customWidth="1"/>
    <col min="34" max="34" width="11.6640625" style="801" customWidth="1"/>
    <col min="35" max="35" width="11.1640625" style="801" customWidth="1"/>
    <col min="36" max="36" width="9.83203125" style="801" customWidth="1"/>
    <col min="37" max="37" width="2.5" style="801" customWidth="1"/>
    <col min="38" max="38" width="16.6640625" style="801" customWidth="1"/>
    <col min="39" max="39" width="9.83203125" style="1009" customWidth="1"/>
    <col min="40" max="45" width="9.83203125" style="801" customWidth="1"/>
    <col min="46" max="16384" width="9.83203125" style="801"/>
  </cols>
  <sheetData>
    <row r="1" spans="1:79" ht="15" customHeight="1" x14ac:dyDescent="0.15">
      <c r="B1" s="801"/>
      <c r="C1" s="801"/>
      <c r="D1" s="801"/>
      <c r="E1" s="801"/>
    </row>
    <row r="2" spans="1:79" ht="15" customHeight="1" x14ac:dyDescent="0.2">
      <c r="B2" s="801"/>
      <c r="C2" s="801"/>
      <c r="D2" s="801"/>
      <c r="E2" s="801"/>
      <c r="L2" s="1546"/>
      <c r="P2" s="2244">
        <v>8</v>
      </c>
      <c r="Q2" s="2244">
        <v>11</v>
      </c>
      <c r="R2" s="2244">
        <v>9</v>
      </c>
      <c r="S2" s="2244">
        <v>17</v>
      </c>
      <c r="T2" s="2244">
        <v>16</v>
      </c>
    </row>
    <row r="3" spans="1:79" ht="15" customHeight="1" thickBot="1" x14ac:dyDescent="0.2">
      <c r="B3" s="801"/>
      <c r="C3" s="801"/>
      <c r="D3" s="801"/>
      <c r="E3" s="801"/>
      <c r="L3" s="1547"/>
      <c r="P3" s="801" t="s">
        <v>2714</v>
      </c>
    </row>
    <row r="4" spans="1:79" customFormat="1" ht="15.75" customHeight="1" thickBot="1" x14ac:dyDescent="0.25">
      <c r="A4" s="801"/>
      <c r="B4" s="2402" t="s">
        <v>47</v>
      </c>
      <c r="C4" s="2403"/>
      <c r="D4" s="517" t="s">
        <v>2696</v>
      </c>
      <c r="E4" s="803"/>
      <c r="F4" s="2416" t="s">
        <v>1002</v>
      </c>
      <c r="G4" s="2417"/>
      <c r="H4" s="2399" t="s">
        <v>60</v>
      </c>
      <c r="I4" s="2400"/>
      <c r="J4" s="803"/>
      <c r="K4" s="1689" t="s">
        <v>359</v>
      </c>
      <c r="L4" s="1690" t="s">
        <v>391</v>
      </c>
      <c r="M4" s="1690" t="s">
        <v>392</v>
      </c>
      <c r="N4" s="1691" t="s">
        <v>412</v>
      </c>
      <c r="O4" s="803"/>
      <c r="P4" s="2388" t="s">
        <v>632</v>
      </c>
      <c r="Q4" s="2388"/>
      <c r="R4" s="2388"/>
      <c r="S4" s="801"/>
      <c r="T4" s="803"/>
      <c r="U4" s="801"/>
      <c r="V4" s="801"/>
      <c r="W4" s="801"/>
      <c r="X4" s="801"/>
      <c r="Y4" s="801"/>
      <c r="Z4" s="1004" t="s">
        <v>901</v>
      </c>
      <c r="AA4" s="1005"/>
      <c r="AB4" s="1005"/>
      <c r="AC4" s="1005"/>
      <c r="AD4" s="1005"/>
      <c r="AE4" s="1005"/>
      <c r="AF4" s="1005"/>
      <c r="AG4" s="1005"/>
      <c r="AH4" s="1005"/>
      <c r="AI4" s="1009"/>
      <c r="AJ4" s="1009"/>
      <c r="AK4" s="1009"/>
      <c r="AL4" s="1009"/>
      <c r="AM4" s="1009"/>
      <c r="AQ4" s="801"/>
      <c r="AR4" s="801"/>
      <c r="AS4" s="801"/>
      <c r="AT4" s="801"/>
      <c r="AU4" s="801"/>
      <c r="AV4" s="801"/>
      <c r="AW4" s="801"/>
      <c r="AX4" s="801"/>
      <c r="AY4" s="801"/>
      <c r="AZ4" s="801"/>
      <c r="BA4" s="801"/>
      <c r="BB4" s="801"/>
      <c r="BC4" s="801"/>
      <c r="BD4" s="801"/>
      <c r="BE4" s="801"/>
      <c r="BF4" s="801"/>
      <c r="BG4" s="801"/>
      <c r="BH4" s="801"/>
      <c r="BI4" s="801"/>
      <c r="BJ4" s="801"/>
      <c r="BK4" s="801"/>
      <c r="BL4" s="801"/>
      <c r="BM4" s="801"/>
      <c r="BN4" s="801"/>
      <c r="BO4" s="801"/>
      <c r="BP4" s="801"/>
      <c r="BQ4" s="801"/>
      <c r="BR4" s="801"/>
      <c r="BS4" s="801"/>
      <c r="BT4" s="801"/>
      <c r="BU4" s="801"/>
      <c r="BV4" s="801"/>
      <c r="BW4" s="801"/>
      <c r="BX4" s="801"/>
      <c r="BY4" s="801"/>
      <c r="BZ4" s="801"/>
      <c r="CA4" s="801"/>
    </row>
    <row r="5" spans="1:79" customFormat="1" ht="22.5" customHeight="1" thickBot="1" x14ac:dyDescent="0.25">
      <c r="A5" s="801"/>
      <c r="B5" s="2402" t="s">
        <v>49</v>
      </c>
      <c r="C5" s="2403"/>
      <c r="D5" s="947" t="s">
        <v>905</v>
      </c>
      <c r="E5" s="806"/>
      <c r="F5" s="2416" t="s">
        <v>48</v>
      </c>
      <c r="G5" s="2417"/>
      <c r="H5" s="2391">
        <f>RIGMOVE+S14</f>
        <v>61</v>
      </c>
      <c r="I5" s="2392"/>
      <c r="J5" s="803"/>
      <c r="K5" s="971" t="s">
        <v>675</v>
      </c>
      <c r="L5" s="644">
        <v>43160</v>
      </c>
      <c r="M5" s="794">
        <f>L5+N5-1</f>
        <v>43172</v>
      </c>
      <c r="N5" s="795">
        <v>13</v>
      </c>
      <c r="O5" s="803"/>
      <c r="P5" s="2362" t="s">
        <v>678</v>
      </c>
      <c r="Q5" s="2395" t="s">
        <v>677</v>
      </c>
      <c r="R5" s="2396"/>
      <c r="S5" s="2397"/>
      <c r="T5" s="803"/>
      <c r="U5" s="801"/>
      <c r="V5" s="801" t="s">
        <v>2716</v>
      </c>
      <c r="W5" s="801" t="s">
        <v>2717</v>
      </c>
      <c r="X5" s="801"/>
      <c r="Y5" s="801"/>
      <c r="Z5" s="1005"/>
      <c r="AA5" s="1005"/>
      <c r="AB5" s="1005"/>
      <c r="AC5" s="1005"/>
      <c r="AD5" s="1005"/>
      <c r="AE5" s="1005"/>
      <c r="AF5" s="1005"/>
      <c r="AG5" s="1005"/>
      <c r="AH5" s="1005"/>
      <c r="AI5" s="1009"/>
      <c r="AJ5" s="1009"/>
      <c r="AK5" s="1009"/>
      <c r="AL5" s="1009"/>
      <c r="AM5" s="1009"/>
      <c r="AQ5" s="801"/>
      <c r="AR5" s="801"/>
      <c r="AS5" s="801"/>
      <c r="AT5" s="801"/>
      <c r="AU5" s="801"/>
      <c r="AV5" s="801"/>
      <c r="AW5" s="801"/>
      <c r="AX5" s="801"/>
      <c r="AY5" s="801"/>
      <c r="AZ5" s="801"/>
      <c r="BA5" s="801"/>
      <c r="BB5" s="801"/>
      <c r="BC5" s="801"/>
      <c r="BD5" s="801"/>
      <c r="BE5" s="801"/>
      <c r="BF5" s="801"/>
      <c r="BG5" s="801"/>
      <c r="BH5" s="801"/>
      <c r="BI5" s="801"/>
      <c r="BJ5" s="801"/>
      <c r="BK5" s="801"/>
      <c r="BL5" s="801"/>
      <c r="BM5" s="801"/>
      <c r="BN5" s="801"/>
      <c r="BO5" s="801"/>
      <c r="BP5" s="801"/>
      <c r="BQ5" s="801"/>
      <c r="BR5" s="801"/>
      <c r="BS5" s="801"/>
      <c r="BT5" s="801"/>
      <c r="BU5" s="801"/>
      <c r="BV5" s="801"/>
      <c r="BW5" s="801"/>
      <c r="BX5" s="801"/>
      <c r="BY5" s="801"/>
      <c r="BZ5" s="801"/>
      <c r="CA5" s="801"/>
    </row>
    <row r="6" spans="1:79" customFormat="1" ht="22.5" customHeight="1" thickBot="1" x14ac:dyDescent="0.25">
      <c r="A6" s="801"/>
      <c r="B6" s="2402" t="s">
        <v>56</v>
      </c>
      <c r="C6" s="2403"/>
      <c r="D6" s="516">
        <v>2500</v>
      </c>
      <c r="E6" s="807"/>
      <c r="F6" s="2418" t="s">
        <v>632</v>
      </c>
      <c r="G6" s="2419"/>
      <c r="H6" s="2391">
        <f>IF(D19="yes",SUM(S7:S12)-R12,SUM(S7:S11)-R11)</f>
        <v>41</v>
      </c>
      <c r="I6" s="2392"/>
      <c r="J6" s="806"/>
      <c r="K6" s="971" t="s">
        <v>393</v>
      </c>
      <c r="L6" s="794">
        <f>M5+1</f>
        <v>43173</v>
      </c>
      <c r="M6" s="794">
        <f>L6+N6-1</f>
        <v>43174</v>
      </c>
      <c r="N6" s="795">
        <f>DSURFACE</f>
        <v>2</v>
      </c>
      <c r="O6" s="803"/>
      <c r="P6" s="2398"/>
      <c r="Q6" s="1692" t="s">
        <v>42</v>
      </c>
      <c r="R6" s="1693" t="s">
        <v>90</v>
      </c>
      <c r="S6" s="1694" t="s">
        <v>403</v>
      </c>
      <c r="T6" s="803"/>
      <c r="U6" s="1947" t="s">
        <v>2694</v>
      </c>
      <c r="V6" s="2224" t="s">
        <v>688</v>
      </c>
      <c r="W6" s="801"/>
      <c r="X6" s="801"/>
      <c r="Y6" s="801"/>
      <c r="Z6" s="1005"/>
      <c r="AA6" s="1005"/>
      <c r="AB6" s="1012" t="s">
        <v>53</v>
      </c>
      <c r="AC6" s="1013">
        <v>45</v>
      </c>
      <c r="AD6" s="1013"/>
      <c r="AE6" s="1013" t="s">
        <v>54</v>
      </c>
      <c r="AF6" s="1013"/>
      <c r="AG6" s="801"/>
      <c r="AH6" s="1005"/>
      <c r="AI6" s="1009"/>
      <c r="AJ6" s="1009"/>
      <c r="AK6" s="1009"/>
      <c r="AL6" s="1009"/>
      <c r="AM6" s="1009"/>
      <c r="AQ6" s="801"/>
      <c r="AR6" s="801"/>
      <c r="AS6" s="801"/>
      <c r="AT6" s="801"/>
      <c r="AU6" s="801"/>
      <c r="AV6" s="801"/>
      <c r="AW6" s="801"/>
      <c r="AX6" s="801"/>
      <c r="AY6" s="801"/>
      <c r="AZ6" s="801"/>
      <c r="BA6" s="801"/>
      <c r="BB6" s="801"/>
      <c r="BC6" s="801"/>
      <c r="BD6" s="801"/>
      <c r="BE6" s="801"/>
      <c r="BF6" s="801"/>
      <c r="BG6" s="801"/>
      <c r="BH6" s="801"/>
      <c r="BI6" s="801"/>
      <c r="BJ6" s="801"/>
      <c r="BK6" s="801"/>
      <c r="BL6" s="801"/>
      <c r="BM6" s="801"/>
      <c r="BN6" s="801"/>
      <c r="BO6" s="801"/>
      <c r="BP6" s="801"/>
      <c r="BQ6" s="801"/>
      <c r="BR6" s="801"/>
      <c r="BS6" s="801"/>
      <c r="BT6" s="801"/>
      <c r="BU6" s="801"/>
      <c r="BV6" s="801"/>
      <c r="BW6" s="801"/>
      <c r="BX6" s="801"/>
      <c r="BY6" s="801"/>
      <c r="BZ6" s="801"/>
      <c r="CA6" s="801"/>
    </row>
    <row r="7" spans="1:79" customFormat="1" ht="22.5" customHeight="1" thickBot="1" x14ac:dyDescent="0.25">
      <c r="A7" s="801"/>
      <c r="B7" s="2402" t="s">
        <v>61</v>
      </c>
      <c r="C7" s="2403"/>
      <c r="D7" s="518" t="s">
        <v>59</v>
      </c>
      <c r="E7" s="807"/>
      <c r="F7" s="2420" t="s">
        <v>633</v>
      </c>
      <c r="G7" s="2421"/>
      <c r="H7" s="2389">
        <f>IF(DOUBLE_LINER="Yes",ROUNDUP(S18,0),IF(S17&gt;75,75,ROUNDUP(S17,0)))</f>
        <v>61</v>
      </c>
      <c r="I7" s="2390"/>
      <c r="J7" s="806"/>
      <c r="K7" s="971" t="s">
        <v>394</v>
      </c>
      <c r="L7" s="794">
        <f t="shared" ref="L7:L12" si="0">M6+1</f>
        <v>43175</v>
      </c>
      <c r="M7" s="794">
        <f t="shared" ref="M7:M12" si="1">L7+N7-1</f>
        <v>43178</v>
      </c>
      <c r="N7" s="795">
        <f>FSURFACE</f>
        <v>4</v>
      </c>
      <c r="O7" s="803"/>
      <c r="P7" s="973" t="s">
        <v>76</v>
      </c>
      <c r="Q7" s="1945">
        <v>2</v>
      </c>
      <c r="R7" s="2218">
        <v>4</v>
      </c>
      <c r="S7" s="1540">
        <f>SUM(Q7:R7)</f>
        <v>6</v>
      </c>
      <c r="T7" s="803"/>
      <c r="U7" s="1947">
        <f>DSURFACEHOLE</f>
        <v>103</v>
      </c>
      <c r="V7" s="2223">
        <f>U7/Q7</f>
        <v>51.5</v>
      </c>
      <c r="W7" s="801"/>
      <c r="X7" s="801"/>
      <c r="Y7" s="801"/>
      <c r="Z7" s="1005"/>
      <c r="AA7" s="1005"/>
      <c r="AB7" s="1013"/>
      <c r="AC7" s="1013">
        <v>65</v>
      </c>
      <c r="AD7" s="1013"/>
      <c r="AE7" s="1013" t="s">
        <v>59</v>
      </c>
      <c r="AF7" s="1013"/>
      <c r="AG7" s="801"/>
      <c r="AH7" s="1005"/>
      <c r="AI7" s="1009"/>
      <c r="AJ7" s="1009"/>
      <c r="AK7" s="1009"/>
      <c r="AL7" s="1009"/>
      <c r="AM7" s="1009"/>
      <c r="AQ7" s="801"/>
      <c r="AR7" s="801"/>
      <c r="AS7" s="801"/>
      <c r="AT7" s="801"/>
      <c r="AU7" s="801"/>
      <c r="AV7" s="801"/>
      <c r="AW7" s="801"/>
      <c r="AX7" s="801"/>
      <c r="AY7" s="801"/>
      <c r="AZ7" s="801"/>
      <c r="BA7" s="801"/>
      <c r="BB7" s="801"/>
      <c r="BC7" s="801"/>
      <c r="BD7" s="801"/>
      <c r="BE7" s="801"/>
      <c r="BF7" s="801"/>
      <c r="BG7" s="801"/>
      <c r="BH7" s="801"/>
      <c r="BI7" s="801"/>
      <c r="BJ7" s="801"/>
      <c r="BK7" s="801"/>
      <c r="BL7" s="801"/>
      <c r="BM7" s="801"/>
      <c r="BN7" s="801"/>
      <c r="BO7" s="801"/>
      <c r="BP7" s="801"/>
      <c r="BQ7" s="801"/>
      <c r="BR7" s="801"/>
      <c r="BS7" s="801"/>
      <c r="BT7" s="801"/>
      <c r="BU7" s="801"/>
      <c r="BV7" s="801"/>
      <c r="BW7" s="801"/>
      <c r="BX7" s="801"/>
      <c r="BY7" s="801"/>
      <c r="BZ7" s="801"/>
      <c r="CA7" s="801"/>
    </row>
    <row r="8" spans="1:79" customFormat="1" ht="22.5" customHeight="1" thickBot="1" x14ac:dyDescent="0.25">
      <c r="A8" s="801"/>
      <c r="B8" s="2402" t="s">
        <v>63</v>
      </c>
      <c r="C8" s="2403"/>
      <c r="D8" s="2238" t="s">
        <v>55</v>
      </c>
      <c r="E8" s="807"/>
      <c r="F8" s="2406" t="s">
        <v>51</v>
      </c>
      <c r="G8" s="2409"/>
      <c r="H8" s="2393" t="s">
        <v>52</v>
      </c>
      <c r="I8" s="2394"/>
      <c r="J8" s="806"/>
      <c r="K8" s="971" t="s">
        <v>395</v>
      </c>
      <c r="L8" s="794">
        <f t="shared" si="0"/>
        <v>43179</v>
      </c>
      <c r="M8" s="794">
        <f t="shared" si="1"/>
        <v>43183</v>
      </c>
      <c r="N8" s="796">
        <f>DINTERMEDIATE</f>
        <v>5</v>
      </c>
      <c r="O8" s="803"/>
      <c r="P8" s="973" t="s">
        <v>78</v>
      </c>
      <c r="Q8" s="2218">
        <v>5</v>
      </c>
      <c r="R8" s="1945">
        <v>4</v>
      </c>
      <c r="S8" s="1541">
        <f t="shared" ref="S8:S13" si="2">SUM(R8,Q8)</f>
        <v>9</v>
      </c>
      <c r="T8" s="803"/>
      <c r="U8" s="1947">
        <f>DINTERHOLE-DSURFACEHOLE</f>
        <v>460</v>
      </c>
      <c r="V8" s="2223">
        <f t="shared" ref="V8:V11" si="3">U8/Q8</f>
        <v>92</v>
      </c>
      <c r="W8" s="801"/>
      <c r="X8" s="801"/>
      <c r="Y8" s="801"/>
      <c r="Z8" s="1005"/>
      <c r="AA8" s="1005"/>
      <c r="AB8" s="2387" t="s">
        <v>62</v>
      </c>
      <c r="AC8" s="2387"/>
      <c r="AD8" s="2387"/>
      <c r="AE8" s="2387"/>
      <c r="AF8" s="2387"/>
      <c r="AG8" s="1005"/>
      <c r="AH8" s="1005"/>
      <c r="AI8" s="1009"/>
      <c r="AJ8" s="1009"/>
      <c r="AK8" s="1009"/>
      <c r="AL8" s="1009"/>
      <c r="AM8" s="1009"/>
      <c r="AQ8" s="801"/>
      <c r="AR8" s="801"/>
      <c r="AS8" s="801"/>
      <c r="AT8" s="801"/>
      <c r="AU8" s="801"/>
      <c r="AV8" s="801"/>
      <c r="AW8" s="801"/>
      <c r="AX8" s="801"/>
      <c r="AY8" s="801"/>
      <c r="AZ8" s="801"/>
      <c r="BA8" s="801"/>
      <c r="BB8" s="801"/>
      <c r="BC8" s="801"/>
      <c r="BD8" s="801"/>
      <c r="BE8" s="801"/>
      <c r="BF8" s="801"/>
      <c r="BG8" s="801"/>
      <c r="BH8" s="801"/>
      <c r="BI8" s="801"/>
      <c r="BJ8" s="801"/>
      <c r="BK8" s="801"/>
      <c r="BL8" s="801"/>
      <c r="BM8" s="801"/>
      <c r="BN8" s="801"/>
      <c r="BO8" s="801"/>
      <c r="BP8" s="801"/>
      <c r="BQ8" s="801"/>
      <c r="BR8" s="801"/>
      <c r="BS8" s="801"/>
      <c r="BT8" s="801"/>
      <c r="BU8" s="801"/>
      <c r="BV8" s="801"/>
      <c r="BW8" s="801"/>
      <c r="BX8" s="801"/>
      <c r="BY8" s="801"/>
      <c r="BZ8" s="801"/>
      <c r="CA8" s="801"/>
    </row>
    <row r="9" spans="1:79" customFormat="1" ht="22.5" customHeight="1" thickBot="1" x14ac:dyDescent="0.25">
      <c r="A9" s="801"/>
      <c r="B9" s="2413" t="s">
        <v>385</v>
      </c>
      <c r="C9" s="969" t="s">
        <v>76</v>
      </c>
      <c r="D9" s="26" t="s">
        <v>55</v>
      </c>
      <c r="E9" s="808"/>
      <c r="F9" s="2406" t="s">
        <v>57</v>
      </c>
      <c r="G9" s="2409"/>
      <c r="H9" s="2393" t="s">
        <v>58</v>
      </c>
      <c r="I9" s="2394"/>
      <c r="J9" s="806"/>
      <c r="K9" s="971" t="s">
        <v>396</v>
      </c>
      <c r="L9" s="794">
        <f t="shared" si="0"/>
        <v>43184</v>
      </c>
      <c r="M9" s="794">
        <f t="shared" si="1"/>
        <v>43187</v>
      </c>
      <c r="N9" s="796">
        <f>FINTERMEDIATE</f>
        <v>4</v>
      </c>
      <c r="O9" s="803"/>
      <c r="P9" s="974" t="s">
        <v>115</v>
      </c>
      <c r="Q9" s="1945">
        <v>10</v>
      </c>
      <c r="R9" s="1945">
        <v>3</v>
      </c>
      <c r="S9" s="1541">
        <f t="shared" si="2"/>
        <v>13</v>
      </c>
      <c r="T9" s="803"/>
      <c r="U9" s="1947">
        <f>DPRODHOLE-DINTERHOLE</f>
        <v>700</v>
      </c>
      <c r="V9" s="2223">
        <f t="shared" si="3"/>
        <v>70</v>
      </c>
      <c r="W9" s="801"/>
      <c r="X9" s="801"/>
      <c r="Y9" s="801"/>
      <c r="Z9" s="1005"/>
      <c r="AA9" s="1005"/>
      <c r="AB9" s="1281"/>
      <c r="AC9" s="1246" t="s">
        <v>327</v>
      </c>
      <c r="AD9" s="1246" t="s">
        <v>52</v>
      </c>
      <c r="AE9" s="1246" t="s">
        <v>379</v>
      </c>
      <c r="AF9" s="1282" t="s">
        <v>378</v>
      </c>
      <c r="AG9" s="1009"/>
      <c r="AH9" s="1005"/>
      <c r="AI9" s="1009"/>
      <c r="AJ9" s="1009"/>
      <c r="AK9" s="1009"/>
      <c r="AL9" s="1009"/>
      <c r="AM9" s="1009"/>
      <c r="AQ9" s="801"/>
      <c r="AR9" s="801"/>
      <c r="AS9" s="801"/>
      <c r="AT9" s="801"/>
      <c r="AU9" s="801"/>
      <c r="AV9" s="801"/>
      <c r="AW9" s="801"/>
      <c r="AX9" s="801"/>
      <c r="AY9" s="801"/>
      <c r="AZ9" s="801"/>
      <c r="BA9" s="801"/>
      <c r="BB9" s="801"/>
      <c r="BC9" s="801"/>
      <c r="BD9" s="801"/>
      <c r="BE9" s="801"/>
      <c r="BF9" s="801"/>
      <c r="BG9" s="801"/>
      <c r="BH9" s="801"/>
      <c r="BI9" s="801"/>
      <c r="BJ9" s="801"/>
      <c r="BK9" s="801"/>
      <c r="BL9" s="801"/>
      <c r="BM9" s="801"/>
      <c r="BN9" s="801"/>
      <c r="BO9" s="801"/>
      <c r="BP9" s="801"/>
      <c r="BQ9" s="801"/>
      <c r="BR9" s="801"/>
      <c r="BS9" s="801"/>
      <c r="BT9" s="801"/>
      <c r="BU9" s="801"/>
      <c r="BV9" s="801"/>
      <c r="BW9" s="801"/>
      <c r="BX9" s="801"/>
      <c r="BY9" s="801"/>
      <c r="BZ9" s="801"/>
      <c r="CA9" s="801"/>
    </row>
    <row r="10" spans="1:79" customFormat="1" ht="21.75" customHeight="1" thickBot="1" x14ac:dyDescent="0.25">
      <c r="A10" s="801"/>
      <c r="B10" s="2414"/>
      <c r="C10" s="970" t="s">
        <v>78</v>
      </c>
      <c r="D10" s="26" t="s">
        <v>55</v>
      </c>
      <c r="E10" s="808"/>
      <c r="F10" s="2406" t="s">
        <v>62</v>
      </c>
      <c r="G10" s="2409"/>
      <c r="H10" s="2373">
        <v>13</v>
      </c>
      <c r="I10" s="2374"/>
      <c r="J10" s="806"/>
      <c r="K10" s="971" t="s">
        <v>397</v>
      </c>
      <c r="L10" s="794">
        <f t="shared" si="0"/>
        <v>43188</v>
      </c>
      <c r="M10" s="794">
        <f t="shared" si="1"/>
        <v>43197</v>
      </c>
      <c r="N10" s="796">
        <f>DPRODUCTION</f>
        <v>10</v>
      </c>
      <c r="O10" s="803"/>
      <c r="P10" s="978" t="s">
        <v>81</v>
      </c>
      <c r="Q10" s="2218">
        <v>6</v>
      </c>
      <c r="R10" s="1945">
        <v>2</v>
      </c>
      <c r="S10" s="1541">
        <f t="shared" si="2"/>
        <v>8</v>
      </c>
      <c r="T10" s="803"/>
      <c r="U10" s="1947">
        <f>DPL1HOLE-DPRODHOLE</f>
        <v>637</v>
      </c>
      <c r="V10" s="2223">
        <f t="shared" si="3"/>
        <v>106.16666666666667</v>
      </c>
      <c r="W10" s="801"/>
      <c r="X10" s="801"/>
      <c r="Y10" s="801"/>
      <c r="Z10" s="1005"/>
      <c r="AA10" s="1005"/>
      <c r="AB10" s="1283" t="s">
        <v>65</v>
      </c>
      <c r="AC10" s="984">
        <v>31</v>
      </c>
      <c r="AD10" s="984">
        <v>31</v>
      </c>
      <c r="AE10" s="984">
        <v>31</v>
      </c>
      <c r="AF10" s="1284">
        <v>36</v>
      </c>
      <c r="AG10" s="1009"/>
      <c r="AH10" s="2357" t="s">
        <v>660</v>
      </c>
      <c r="AI10" s="2358"/>
      <c r="AJ10" s="2359"/>
      <c r="AK10" s="1009"/>
      <c r="AL10" s="982"/>
      <c r="AM10" s="1009"/>
      <c r="AQ10" s="801"/>
      <c r="AR10" s="801"/>
      <c r="AS10" s="801"/>
      <c r="AT10" s="801"/>
      <c r="AU10" s="801"/>
      <c r="AV10" s="801"/>
      <c r="AW10" s="801"/>
      <c r="AX10" s="801"/>
      <c r="AY10" s="801"/>
      <c r="AZ10" s="801"/>
      <c r="BA10" s="801"/>
      <c r="BB10" s="801"/>
      <c r="BC10" s="801"/>
      <c r="BD10" s="801"/>
      <c r="BE10" s="801"/>
      <c r="BF10" s="801"/>
      <c r="BG10" s="801"/>
      <c r="BH10" s="801"/>
      <c r="BI10" s="801"/>
      <c r="BJ10" s="801"/>
      <c r="BK10" s="801"/>
      <c r="BL10" s="801"/>
      <c r="BM10" s="801"/>
      <c r="BN10" s="801"/>
      <c r="BO10" s="801"/>
      <c r="BP10" s="801"/>
      <c r="BQ10" s="801"/>
      <c r="BR10" s="801"/>
      <c r="BS10" s="801"/>
      <c r="BT10" s="801"/>
      <c r="BU10" s="801"/>
      <c r="BV10" s="801"/>
      <c r="BW10" s="801"/>
      <c r="BX10" s="801"/>
      <c r="BY10" s="801"/>
      <c r="BZ10" s="801"/>
      <c r="CA10" s="801"/>
    </row>
    <row r="11" spans="1:79" customFormat="1" ht="20.25" customHeight="1" thickBot="1" x14ac:dyDescent="0.25">
      <c r="A11" s="801"/>
      <c r="B11" s="2414"/>
      <c r="C11" s="970" t="s">
        <v>80</v>
      </c>
      <c r="D11" s="26" t="s">
        <v>55</v>
      </c>
      <c r="E11" s="807"/>
      <c r="F11" s="2406" t="s">
        <v>2170</v>
      </c>
      <c r="G11" s="2409"/>
      <c r="H11" s="1855" t="s">
        <v>60</v>
      </c>
      <c r="I11" s="1838">
        <v>0</v>
      </c>
      <c r="J11" s="806"/>
      <c r="K11" s="971" t="s">
        <v>398</v>
      </c>
      <c r="L11" s="794">
        <f t="shared" si="0"/>
        <v>43198</v>
      </c>
      <c r="M11" s="794">
        <f t="shared" si="1"/>
        <v>43200</v>
      </c>
      <c r="N11" s="796">
        <f>FPRODUCTION</f>
        <v>3</v>
      </c>
      <c r="O11" s="803"/>
      <c r="P11" s="978" t="s">
        <v>82</v>
      </c>
      <c r="Q11" s="1945">
        <v>5</v>
      </c>
      <c r="R11" s="1945">
        <v>7</v>
      </c>
      <c r="S11" s="1541">
        <f>SUM(R11,Q11)</f>
        <v>12</v>
      </c>
      <c r="T11" s="803"/>
      <c r="U11" s="1947">
        <f>DPL2HOLE-DPL1HOLE</f>
        <v>600</v>
      </c>
      <c r="V11" s="2223">
        <f t="shared" si="3"/>
        <v>120</v>
      </c>
      <c r="W11" s="801"/>
      <c r="X11" s="801"/>
      <c r="Y11" s="801"/>
      <c r="Z11" s="1005"/>
      <c r="AA11" s="1005"/>
      <c r="AB11" s="1283" t="s">
        <v>58</v>
      </c>
      <c r="AC11" s="984">
        <f>IF($D$5="RIG 12",10,13)</f>
        <v>13</v>
      </c>
      <c r="AD11" s="984">
        <f>IF($D$5="RIG 12",10,13)</f>
        <v>13</v>
      </c>
      <c r="AE11" s="984">
        <f>IF($D$5="RIG 12",10,13)</f>
        <v>13</v>
      </c>
      <c r="AF11" s="1284">
        <v>13</v>
      </c>
      <c r="AG11" s="1009"/>
      <c r="AH11" s="954" t="s">
        <v>4</v>
      </c>
      <c r="AI11" s="955" t="s">
        <v>384</v>
      </c>
      <c r="AJ11" s="956" t="s">
        <v>659</v>
      </c>
      <c r="AK11" s="1009"/>
      <c r="AL11" s="983" t="s">
        <v>895</v>
      </c>
      <c r="AM11" s="1009"/>
      <c r="AQ11" s="801"/>
      <c r="AR11" s="801"/>
      <c r="AS11" s="801"/>
      <c r="AT11" s="801"/>
      <c r="AU11" s="801"/>
      <c r="AV11" s="801"/>
      <c r="AW11" s="801"/>
      <c r="AX11" s="801"/>
      <c r="AY11" s="801"/>
      <c r="AZ11" s="801"/>
      <c r="BA11" s="801"/>
      <c r="BB11" s="801"/>
      <c r="BC11" s="801"/>
      <c r="BD11" s="801"/>
      <c r="BE11" s="801"/>
      <c r="BF11" s="801"/>
      <c r="BG11" s="801"/>
      <c r="BH11" s="801"/>
      <c r="BI11" s="801"/>
      <c r="BJ11" s="801"/>
      <c r="BK11" s="801"/>
      <c r="BL11" s="801"/>
      <c r="BM11" s="801"/>
      <c r="BN11" s="801"/>
      <c r="BO11" s="801"/>
      <c r="BP11" s="801"/>
      <c r="BQ11" s="801"/>
      <c r="BR11" s="801"/>
      <c r="BS11" s="801"/>
      <c r="BT11" s="801"/>
      <c r="BU11" s="801"/>
      <c r="BV11" s="801"/>
      <c r="BW11" s="801"/>
      <c r="BX11" s="801"/>
      <c r="BY11" s="801"/>
      <c r="BZ11" s="801"/>
      <c r="CA11" s="801"/>
    </row>
    <row r="12" spans="1:79" customFormat="1" ht="18.75" customHeight="1" thickBot="1" x14ac:dyDescent="0.25">
      <c r="A12" s="801"/>
      <c r="B12" s="2414"/>
      <c r="C12" s="970" t="s">
        <v>81</v>
      </c>
      <c r="D12" s="26" t="s">
        <v>55</v>
      </c>
      <c r="E12" s="809"/>
      <c r="F12" s="2406"/>
      <c r="G12" s="2409"/>
      <c r="H12" s="2369"/>
      <c r="I12" s="2370"/>
      <c r="J12" s="806"/>
      <c r="K12" s="971" t="s">
        <v>670</v>
      </c>
      <c r="L12" s="794">
        <f t="shared" si="0"/>
        <v>43201</v>
      </c>
      <c r="M12" s="794">
        <f t="shared" si="1"/>
        <v>43206</v>
      </c>
      <c r="N12" s="796">
        <f>DLINER1</f>
        <v>6</v>
      </c>
      <c r="O12" s="803"/>
      <c r="P12" s="998" t="s">
        <v>91</v>
      </c>
      <c r="Q12" s="1708"/>
      <c r="R12" s="1709"/>
      <c r="S12" s="1541">
        <f t="shared" si="2"/>
        <v>0</v>
      </c>
      <c r="T12" s="803"/>
      <c r="U12" s="801"/>
      <c r="V12" s="801"/>
      <c r="W12" s="801"/>
      <c r="X12" s="801"/>
      <c r="Y12" s="801"/>
      <c r="Z12" s="1005"/>
      <c r="AA12" s="1005"/>
      <c r="AB12" s="1285" t="s">
        <v>67</v>
      </c>
      <c r="AC12" s="1286">
        <v>7</v>
      </c>
      <c r="AD12" s="1286">
        <v>7</v>
      </c>
      <c r="AE12" s="1286">
        <v>7</v>
      </c>
      <c r="AF12" s="1287">
        <v>7</v>
      </c>
      <c r="AG12" s="1009"/>
      <c r="AH12" s="974" t="s">
        <v>327</v>
      </c>
      <c r="AI12" s="987">
        <v>5</v>
      </c>
      <c r="AJ12" s="988">
        <v>7</v>
      </c>
      <c r="AK12" s="1009"/>
      <c r="AL12" s="985">
        <v>21808</v>
      </c>
      <c r="AM12" s="1009"/>
      <c r="AO12" s="132" t="s">
        <v>1111</v>
      </c>
      <c r="AQ12" s="801"/>
      <c r="AR12" s="801"/>
      <c r="AS12" s="801"/>
      <c r="AT12" s="801"/>
      <c r="AU12" s="801"/>
      <c r="AV12" s="801"/>
      <c r="AW12" s="801"/>
      <c r="AX12" s="801"/>
      <c r="AY12" s="801"/>
      <c r="AZ12" s="801"/>
      <c r="BA12" s="801"/>
      <c r="BB12" s="801"/>
      <c r="BC12" s="801"/>
      <c r="BD12" s="801"/>
      <c r="BE12" s="801"/>
      <c r="BF12" s="801"/>
      <c r="BG12" s="801"/>
      <c r="BH12" s="801"/>
      <c r="BI12" s="801"/>
      <c r="BJ12" s="801"/>
      <c r="BK12" s="801"/>
      <c r="BL12" s="801"/>
      <c r="BM12" s="801"/>
      <c r="BN12" s="801"/>
      <c r="BO12" s="801"/>
      <c r="BP12" s="801"/>
      <c r="BQ12" s="801"/>
      <c r="BR12" s="801"/>
      <c r="BS12" s="801"/>
      <c r="BT12" s="801"/>
      <c r="BU12" s="801"/>
      <c r="BV12" s="801"/>
      <c r="BW12" s="801"/>
      <c r="BX12" s="801"/>
      <c r="BY12" s="801"/>
      <c r="BZ12" s="801"/>
      <c r="CA12" s="801"/>
    </row>
    <row r="13" spans="1:79" customFormat="1" ht="22.5" customHeight="1" thickBot="1" x14ac:dyDescent="0.25">
      <c r="A13" s="801"/>
      <c r="B13" s="2415"/>
      <c r="C13" s="970" t="s">
        <v>82</v>
      </c>
      <c r="D13" s="2238" t="s">
        <v>55</v>
      </c>
      <c r="E13" s="809"/>
      <c r="F13" s="2407" t="s">
        <v>1254</v>
      </c>
      <c r="G13" s="1182" t="s">
        <v>400</v>
      </c>
      <c r="H13" s="2369" t="s">
        <v>55</v>
      </c>
      <c r="I13" s="2370"/>
      <c r="J13" s="806"/>
      <c r="K13" s="971" t="s">
        <v>400</v>
      </c>
      <c r="L13" s="794">
        <f t="shared" ref="L13:L19" si="4">M12+1</f>
        <v>43207</v>
      </c>
      <c r="M13" s="794">
        <f t="shared" ref="M13:M19" si="5">L13+N13-1</f>
        <v>43208</v>
      </c>
      <c r="N13" s="796">
        <f>FLINER1</f>
        <v>2</v>
      </c>
      <c r="O13" s="803"/>
      <c r="P13" s="998" t="s">
        <v>1246</v>
      </c>
      <c r="Q13" s="1710">
        <v>0</v>
      </c>
      <c r="R13" s="1707"/>
      <c r="S13" s="1541">
        <f t="shared" si="2"/>
        <v>0</v>
      </c>
      <c r="T13" s="803"/>
      <c r="U13" s="801"/>
      <c r="V13" s="801"/>
      <c r="W13" s="801"/>
      <c r="X13" s="801"/>
      <c r="Y13" s="801"/>
      <c r="Z13" s="1005"/>
      <c r="AA13" s="1005"/>
      <c r="AB13" s="1005"/>
      <c r="AC13" s="1005"/>
      <c r="AD13" s="1005"/>
      <c r="AE13" s="1005"/>
      <c r="AF13" s="1005"/>
      <c r="AG13" s="1005"/>
      <c r="AH13" s="974" t="s">
        <v>52</v>
      </c>
      <c r="AI13" s="987">
        <v>7</v>
      </c>
      <c r="AJ13" s="988">
        <v>7</v>
      </c>
      <c r="AK13" s="1009"/>
      <c r="AL13" s="985">
        <v>18656</v>
      </c>
      <c r="AM13" s="1009"/>
      <c r="AO13" s="132" t="s">
        <v>1112</v>
      </c>
      <c r="AQ13" s="801"/>
      <c r="AR13" s="801"/>
      <c r="AS13" s="801"/>
      <c r="AT13" s="801"/>
      <c r="AU13" s="801"/>
      <c r="AV13" s="801"/>
      <c r="AW13" s="801"/>
      <c r="AX13" s="801"/>
      <c r="AY13" s="801"/>
      <c r="AZ13" s="801"/>
      <c r="BA13" s="801"/>
      <c r="BB13" s="801"/>
      <c r="BC13" s="801"/>
      <c r="BD13" s="801"/>
      <c r="BE13" s="801"/>
      <c r="BF13" s="801"/>
      <c r="BG13" s="801"/>
      <c r="BH13" s="801"/>
      <c r="BI13" s="801"/>
      <c r="BJ13" s="801"/>
      <c r="BK13" s="801"/>
      <c r="BL13" s="801"/>
      <c r="BM13" s="801"/>
      <c r="BN13" s="801"/>
      <c r="BO13" s="801"/>
      <c r="BP13" s="801"/>
      <c r="BQ13" s="801"/>
      <c r="BR13" s="801"/>
      <c r="BS13" s="801"/>
      <c r="BT13" s="801"/>
      <c r="BU13" s="801"/>
      <c r="BV13" s="801"/>
      <c r="BW13" s="801"/>
      <c r="BX13" s="801"/>
      <c r="BY13" s="801"/>
      <c r="BZ13" s="801"/>
      <c r="CA13" s="801"/>
    </row>
    <row r="14" spans="1:79" customFormat="1" ht="22.5" customHeight="1" thickBot="1" x14ac:dyDescent="0.25">
      <c r="A14" s="801"/>
      <c r="B14" s="2406" t="s">
        <v>2263</v>
      </c>
      <c r="C14" s="2403"/>
      <c r="D14" s="26" t="s">
        <v>60</v>
      </c>
      <c r="E14" s="810"/>
      <c r="F14" s="2408"/>
      <c r="G14" s="1182" t="s">
        <v>402</v>
      </c>
      <c r="H14" s="2371" t="s">
        <v>55</v>
      </c>
      <c r="I14" s="2370"/>
      <c r="J14" s="811"/>
      <c r="K14" s="971" t="s">
        <v>669</v>
      </c>
      <c r="L14" s="794">
        <f t="shared" si="4"/>
        <v>43209</v>
      </c>
      <c r="M14" s="794">
        <f t="shared" si="5"/>
        <v>43213</v>
      </c>
      <c r="N14" s="796">
        <f>DLINER2</f>
        <v>5</v>
      </c>
      <c r="O14" s="803"/>
      <c r="P14" s="979" t="s">
        <v>403</v>
      </c>
      <c r="Q14" s="1705"/>
      <c r="R14" s="1706"/>
      <c r="S14" s="1535">
        <f>SUM(S7:S13)</f>
        <v>48</v>
      </c>
      <c r="T14" s="803"/>
      <c r="U14" s="801"/>
      <c r="V14" s="801"/>
      <c r="W14" s="801"/>
      <c r="X14" s="801"/>
      <c r="Y14" s="801"/>
      <c r="Z14" s="1005"/>
      <c r="AA14" s="1005"/>
      <c r="AB14" s="1322" t="s">
        <v>321</v>
      </c>
      <c r="AC14" s="1323" t="s">
        <v>769</v>
      </c>
      <c r="AD14" s="1382" t="s">
        <v>1043</v>
      </c>
      <c r="AE14" s="1323" t="s">
        <v>1044</v>
      </c>
      <c r="AF14" s="1383" t="s">
        <v>1045</v>
      </c>
      <c r="AG14" s="1005"/>
      <c r="AH14" s="974" t="s">
        <v>379</v>
      </c>
      <c r="AI14" s="987">
        <v>10</v>
      </c>
      <c r="AJ14" s="988">
        <v>14</v>
      </c>
      <c r="AK14" s="1009"/>
      <c r="AL14" s="985">
        <v>19510</v>
      </c>
      <c r="AM14" s="1009"/>
      <c r="AQ14" s="801"/>
      <c r="AR14" s="801"/>
      <c r="AS14" s="801"/>
      <c r="AT14" s="801"/>
      <c r="AU14" s="801"/>
      <c r="AV14" s="801"/>
      <c r="AW14" s="801"/>
      <c r="AX14" s="801"/>
      <c r="AY14" s="801"/>
      <c r="AZ14" s="801"/>
      <c r="BA14" s="801"/>
      <c r="BB14" s="801"/>
      <c r="BC14" s="801"/>
      <c r="BD14" s="801"/>
      <c r="BE14" s="801"/>
      <c r="BF14" s="801"/>
      <c r="BG14" s="801"/>
      <c r="BH14" s="801"/>
      <c r="BI14" s="801"/>
      <c r="BJ14" s="801"/>
      <c r="BK14" s="801"/>
      <c r="BL14" s="801"/>
      <c r="BM14" s="801"/>
      <c r="BN14" s="801"/>
      <c r="BO14" s="801"/>
      <c r="BP14" s="801"/>
      <c r="BQ14" s="801"/>
      <c r="BR14" s="801"/>
      <c r="BS14" s="801"/>
      <c r="BT14" s="801"/>
      <c r="BU14" s="801"/>
      <c r="BV14" s="801"/>
      <c r="BW14" s="801"/>
      <c r="BX14" s="801"/>
      <c r="BY14" s="801"/>
      <c r="BZ14" s="801"/>
      <c r="CA14" s="801"/>
    </row>
    <row r="15" spans="1:79" customFormat="1" ht="22.5" customHeight="1" thickBot="1" x14ac:dyDescent="0.25">
      <c r="A15" s="801"/>
      <c r="B15" s="2402" t="s">
        <v>823</v>
      </c>
      <c r="C15" s="2403"/>
      <c r="D15" s="2238" t="s">
        <v>60</v>
      </c>
      <c r="E15" s="810"/>
      <c r="F15" s="2406" t="s">
        <v>769</v>
      </c>
      <c r="G15" s="2409"/>
      <c r="H15" s="2369" t="s">
        <v>757</v>
      </c>
      <c r="I15" s="2370"/>
      <c r="J15" s="811"/>
      <c r="K15" s="971" t="s">
        <v>402</v>
      </c>
      <c r="L15" s="794">
        <f t="shared" si="4"/>
        <v>43214</v>
      </c>
      <c r="M15" s="794">
        <f t="shared" si="5"/>
        <v>43220</v>
      </c>
      <c r="N15" s="796">
        <f>FLINER2</f>
        <v>7</v>
      </c>
      <c r="O15" s="803"/>
      <c r="P15" s="813" t="s">
        <v>636</v>
      </c>
      <c r="Q15" s="813" t="s">
        <v>2241</v>
      </c>
      <c r="R15" s="803"/>
      <c r="S15" s="1946">
        <f>SUM(Q7:Q10,R7:R9)</f>
        <v>34</v>
      </c>
      <c r="T15" s="803"/>
      <c r="U15" s="801"/>
      <c r="V15" s="801"/>
      <c r="W15" s="801"/>
      <c r="X15" s="801"/>
      <c r="Y15" s="801"/>
      <c r="Z15" s="1005"/>
      <c r="AA15" s="1005"/>
      <c r="AB15" s="1317" t="s">
        <v>904</v>
      </c>
      <c r="AC15" s="1318" t="s">
        <v>756</v>
      </c>
      <c r="AD15" s="1377" t="s">
        <v>115</v>
      </c>
      <c r="AE15" s="1319" t="s">
        <v>55</v>
      </c>
      <c r="AF15" s="1384" t="s">
        <v>1046</v>
      </c>
      <c r="AG15" s="1005"/>
      <c r="AH15" s="975" t="s">
        <v>378</v>
      </c>
      <c r="AI15" s="989">
        <v>14</v>
      </c>
      <c r="AJ15" s="990">
        <v>21</v>
      </c>
      <c r="AK15" s="1009"/>
      <c r="AL15" s="986">
        <v>24053</v>
      </c>
      <c r="AM15" s="1009"/>
      <c r="AQ15" s="801"/>
      <c r="AR15" s="801"/>
      <c r="AS15" s="801"/>
      <c r="AT15" s="801"/>
      <c r="AU15" s="801"/>
      <c r="AV15" s="801"/>
      <c r="AW15" s="801"/>
      <c r="AX15" s="801"/>
      <c r="AY15" s="801"/>
      <c r="AZ15" s="801"/>
      <c r="BA15" s="801"/>
      <c r="BB15" s="801"/>
      <c r="BC15" s="801"/>
      <c r="BD15" s="801"/>
      <c r="BE15" s="801"/>
      <c r="BF15" s="801"/>
      <c r="BG15" s="801"/>
      <c r="BH15" s="801"/>
      <c r="BI15" s="801"/>
      <c r="BJ15" s="801"/>
      <c r="BK15" s="801"/>
      <c r="BL15" s="801"/>
      <c r="BM15" s="801"/>
      <c r="BN15" s="801"/>
      <c r="BO15" s="801"/>
      <c r="BP15" s="801"/>
      <c r="BQ15" s="801"/>
      <c r="BR15" s="801"/>
      <c r="BS15" s="801"/>
      <c r="BT15" s="801"/>
      <c r="BU15" s="801"/>
      <c r="BV15" s="801"/>
      <c r="BW15" s="801"/>
      <c r="BX15" s="801"/>
      <c r="BY15" s="801"/>
      <c r="BZ15" s="801"/>
      <c r="CA15" s="801"/>
    </row>
    <row r="16" spans="1:79" customFormat="1" ht="22.5" customHeight="1" thickBot="1" x14ac:dyDescent="0.25">
      <c r="A16" s="801"/>
      <c r="B16" s="2406" t="s">
        <v>1042</v>
      </c>
      <c r="C16" s="2403"/>
      <c r="D16" s="947" t="s">
        <v>1046</v>
      </c>
      <c r="E16" s="810"/>
      <c r="F16" s="2406" t="s">
        <v>813</v>
      </c>
      <c r="G16" s="2409"/>
      <c r="H16" s="2369" t="s">
        <v>55</v>
      </c>
      <c r="I16" s="2370"/>
      <c r="J16" s="811"/>
      <c r="K16" s="971" t="s">
        <v>1247</v>
      </c>
      <c r="L16" s="794">
        <f t="shared" si="4"/>
        <v>43221</v>
      </c>
      <c r="M16" s="794">
        <f t="shared" si="5"/>
        <v>43220</v>
      </c>
      <c r="N16" s="796">
        <f>DLINER3</f>
        <v>0</v>
      </c>
      <c r="O16" s="803"/>
      <c r="P16" s="813" t="s">
        <v>637</v>
      </c>
      <c r="Q16" s="813" t="s">
        <v>2241</v>
      </c>
      <c r="R16" s="803"/>
      <c r="S16" s="1946">
        <f>SUM(Q7:Q11,R7:R10)</f>
        <v>41</v>
      </c>
      <c r="T16" s="803"/>
      <c r="U16" s="801"/>
      <c r="V16" s="801"/>
      <c r="W16" s="801"/>
      <c r="X16" s="801"/>
      <c r="Y16" s="801"/>
      <c r="Z16" s="1005"/>
      <c r="AA16" s="1005"/>
      <c r="AB16" s="1317" t="s">
        <v>905</v>
      </c>
      <c r="AC16" s="1318" t="s">
        <v>757</v>
      </c>
      <c r="AD16" s="1377" t="s">
        <v>812</v>
      </c>
      <c r="AE16" s="1319" t="s">
        <v>60</v>
      </c>
      <c r="AF16" s="1385" t="s">
        <v>1047</v>
      </c>
      <c r="AG16" s="1005"/>
      <c r="AH16" s="1014" t="s">
        <v>791</v>
      </c>
      <c r="AI16" s="2360">
        <v>5</v>
      </c>
      <c r="AJ16" s="2361"/>
      <c r="AK16" s="1009"/>
      <c r="AL16" s="1009"/>
      <c r="AM16" s="1009"/>
      <c r="AQ16" s="801"/>
      <c r="AR16" s="801"/>
      <c r="AS16" s="801"/>
      <c r="AT16" s="801"/>
      <c r="AU16" s="801"/>
      <c r="AV16" s="801"/>
      <c r="AW16" s="801"/>
      <c r="AX16" s="801"/>
      <c r="AY16" s="801"/>
      <c r="AZ16" s="801"/>
      <c r="BA16" s="801"/>
      <c r="BB16" s="801"/>
      <c r="BC16" s="801"/>
      <c r="BD16" s="801"/>
      <c r="BE16" s="801"/>
      <c r="BF16" s="801"/>
      <c r="BG16" s="801"/>
      <c r="BH16" s="801"/>
      <c r="BI16" s="801"/>
      <c r="BJ16" s="801"/>
      <c r="BK16" s="801"/>
      <c r="BL16" s="801"/>
      <c r="BM16" s="801"/>
      <c r="BN16" s="801"/>
      <c r="BO16" s="801"/>
      <c r="BP16" s="801"/>
      <c r="BQ16" s="801"/>
      <c r="BR16" s="801"/>
      <c r="BS16" s="801"/>
      <c r="BT16" s="801"/>
      <c r="BU16" s="801"/>
      <c r="BV16" s="801"/>
      <c r="BW16" s="801"/>
      <c r="BX16" s="801"/>
      <c r="BY16" s="801"/>
      <c r="BZ16" s="801"/>
      <c r="CA16" s="801"/>
    </row>
    <row r="17" spans="1:79" customFormat="1" ht="22.5" customHeight="1" thickBot="1" x14ac:dyDescent="0.25">
      <c r="A17" s="801"/>
      <c r="B17" s="2404" t="s">
        <v>824</v>
      </c>
      <c r="C17" s="2405" t="s">
        <v>824</v>
      </c>
      <c r="D17" s="1686">
        <v>311</v>
      </c>
      <c r="E17" s="810"/>
      <c r="F17" s="2410" t="s">
        <v>908</v>
      </c>
      <c r="G17" s="1182" t="s">
        <v>400</v>
      </c>
      <c r="H17" s="2369" t="s">
        <v>60</v>
      </c>
      <c r="I17" s="2370"/>
      <c r="J17" s="819" t="s">
        <v>2207</v>
      </c>
      <c r="K17" s="971" t="s">
        <v>1248</v>
      </c>
      <c r="L17" s="794">
        <f t="shared" si="4"/>
        <v>43221</v>
      </c>
      <c r="M17" s="794">
        <f t="shared" si="5"/>
        <v>43220</v>
      </c>
      <c r="N17" s="796">
        <f>FLINER3</f>
        <v>0</v>
      </c>
      <c r="O17" s="803"/>
      <c r="P17" s="813" t="s">
        <v>636</v>
      </c>
      <c r="Q17" s="2226" t="s">
        <v>2243</v>
      </c>
      <c r="R17" s="2227"/>
      <c r="S17" s="2228">
        <f>TD/S15</f>
        <v>73.529411764705884</v>
      </c>
      <c r="T17" s="803"/>
      <c r="U17" s="801"/>
      <c r="V17" s="801"/>
      <c r="W17" s="801"/>
      <c r="X17" s="801"/>
      <c r="Y17" s="801"/>
      <c r="Z17" s="1005"/>
      <c r="AA17" s="1005"/>
      <c r="AB17" s="1317" t="s">
        <v>822</v>
      </c>
      <c r="AC17" s="1318"/>
      <c r="AD17" s="1377"/>
      <c r="AE17" s="1381"/>
      <c r="AF17" s="1385" t="s">
        <v>1048</v>
      </c>
      <c r="AG17" s="1005"/>
      <c r="AH17" s="1005"/>
      <c r="AI17" s="1009"/>
      <c r="AJ17" s="1009"/>
      <c r="AK17" s="1009"/>
      <c r="AL17" s="1009"/>
      <c r="AM17" s="1009"/>
      <c r="AQ17" s="801"/>
      <c r="AR17" s="801"/>
      <c r="AS17" s="801"/>
      <c r="AT17" s="801"/>
      <c r="AU17" s="801"/>
      <c r="AV17" s="801"/>
      <c r="AW17" s="801"/>
      <c r="AX17" s="801"/>
      <c r="AY17" s="801"/>
      <c r="AZ17" s="801"/>
      <c r="BA17" s="801"/>
      <c r="BB17" s="801"/>
      <c r="BC17" s="801"/>
      <c r="BD17" s="801"/>
      <c r="BE17" s="801"/>
      <c r="BF17" s="801"/>
      <c r="BG17" s="801"/>
      <c r="BH17" s="801"/>
      <c r="BI17" s="801"/>
      <c r="BJ17" s="801"/>
      <c r="BK17" s="801"/>
      <c r="BL17" s="801"/>
      <c r="BM17" s="801"/>
      <c r="BN17" s="801"/>
      <c r="BO17" s="801"/>
      <c r="BP17" s="801"/>
      <c r="BQ17" s="801"/>
      <c r="BR17" s="801"/>
      <c r="BS17" s="801"/>
      <c r="BT17" s="801"/>
      <c r="BU17" s="801"/>
      <c r="BV17" s="801"/>
      <c r="BW17" s="801"/>
      <c r="BX17" s="801"/>
      <c r="BY17" s="801"/>
      <c r="BZ17" s="801"/>
      <c r="CA17" s="801"/>
    </row>
    <row r="18" spans="1:79" customFormat="1" ht="22.5" customHeight="1" thickBot="1" x14ac:dyDescent="0.25">
      <c r="A18" s="801"/>
      <c r="B18" s="2406" t="s">
        <v>2665</v>
      </c>
      <c r="C18" s="2403"/>
      <c r="D18" s="1685" t="s">
        <v>55</v>
      </c>
      <c r="E18" s="810"/>
      <c r="F18" s="2411"/>
      <c r="G18" s="1182" t="s">
        <v>402</v>
      </c>
      <c r="H18" s="2371" t="s">
        <v>60</v>
      </c>
      <c r="I18" s="2370"/>
      <c r="J18" s="819" t="s">
        <v>2207</v>
      </c>
      <c r="K18" s="971" t="s">
        <v>1246</v>
      </c>
      <c r="L18" s="794">
        <f t="shared" si="4"/>
        <v>43221</v>
      </c>
      <c r="M18" s="794">
        <f t="shared" si="5"/>
        <v>43220</v>
      </c>
      <c r="N18" s="1931">
        <f>R13</f>
        <v>0</v>
      </c>
      <c r="O18" s="803"/>
      <c r="P18" s="813" t="s">
        <v>637</v>
      </c>
      <c r="Q18" s="2212" t="s">
        <v>2243</v>
      </c>
      <c r="R18" s="2213"/>
      <c r="S18" s="2214">
        <f>TD/S16</f>
        <v>60.975609756097562</v>
      </c>
      <c r="T18" s="803"/>
      <c r="U18" s="801"/>
      <c r="V18" s="801"/>
      <c r="W18" s="801"/>
      <c r="X18" s="801"/>
      <c r="Y18" s="801"/>
      <c r="Z18" s="1005"/>
      <c r="AA18" s="1005"/>
      <c r="AB18" s="1317" t="s">
        <v>657</v>
      </c>
      <c r="AC18" s="1318"/>
      <c r="AD18" s="1377"/>
      <c r="AE18" s="1386"/>
      <c r="AF18" s="1379"/>
      <c r="AG18" s="1005"/>
      <c r="AH18" s="1005"/>
      <c r="AI18" s="1009"/>
      <c r="AJ18" s="1009"/>
      <c r="AK18" s="1009"/>
      <c r="AL18" s="1009"/>
      <c r="AM18" s="1009"/>
      <c r="AQ18" s="801"/>
      <c r="AR18" s="801"/>
      <c r="AS18" s="801"/>
      <c r="AT18" s="801"/>
      <c r="AU18" s="801"/>
      <c r="AV18" s="801"/>
      <c r="AW18" s="801"/>
      <c r="AX18" s="801"/>
      <c r="AY18" s="801"/>
      <c r="AZ18" s="801"/>
      <c r="BA18" s="801"/>
      <c r="BB18" s="801"/>
      <c r="BC18" s="801"/>
      <c r="BD18" s="801"/>
      <c r="BE18" s="801"/>
      <c r="BF18" s="801"/>
      <c r="BG18" s="801"/>
      <c r="BH18" s="801"/>
      <c r="BI18" s="801"/>
      <c r="BJ18" s="801"/>
      <c r="BK18" s="801"/>
      <c r="BL18" s="801"/>
      <c r="BM18" s="801"/>
      <c r="BN18" s="801"/>
      <c r="BO18" s="801"/>
      <c r="BP18" s="801"/>
      <c r="BQ18" s="801"/>
      <c r="BR18" s="801"/>
      <c r="BS18" s="801"/>
      <c r="BT18" s="801"/>
      <c r="BU18" s="801"/>
      <c r="BV18" s="801"/>
      <c r="BW18" s="801"/>
      <c r="BX18" s="801"/>
      <c r="BY18" s="801"/>
      <c r="BZ18" s="801"/>
      <c r="CA18" s="801"/>
    </row>
    <row r="19" spans="1:79" s="315" customFormat="1" ht="22.5" customHeight="1" thickBot="1" x14ac:dyDescent="0.25">
      <c r="A19" s="801"/>
      <c r="B19" s="2373" t="s">
        <v>91</v>
      </c>
      <c r="C19" s="2412"/>
      <c r="D19" s="1685" t="s">
        <v>60</v>
      </c>
      <c r="E19" s="810"/>
      <c r="F19" s="2373" t="s">
        <v>1244</v>
      </c>
      <c r="G19" s="2412"/>
      <c r="H19" s="2375" t="s">
        <v>60</v>
      </c>
      <c r="I19" s="2376"/>
      <c r="J19" s="811"/>
      <c r="K19" s="972" t="s">
        <v>1249</v>
      </c>
      <c r="L19" s="842">
        <f t="shared" si="4"/>
        <v>43221</v>
      </c>
      <c r="M19" s="842">
        <f t="shared" si="5"/>
        <v>43220</v>
      </c>
      <c r="N19" s="843"/>
      <c r="O19" s="803"/>
      <c r="P19" s="803"/>
      <c r="Q19" s="813" t="s">
        <v>2699</v>
      </c>
      <c r="R19" s="803"/>
      <c r="S19" s="803">
        <v>55</v>
      </c>
      <c r="T19" s="803"/>
      <c r="U19" s="803"/>
      <c r="V19" s="803"/>
      <c r="W19" s="803"/>
      <c r="X19" s="803"/>
      <c r="Y19" s="803"/>
      <c r="Z19" s="1005"/>
      <c r="AA19" s="1005"/>
      <c r="AB19" s="1317"/>
      <c r="AC19" s="1318"/>
      <c r="AD19" s="1377"/>
      <c r="AE19" s="1386"/>
      <c r="AF19" s="1379"/>
      <c r="AG19" s="1005"/>
      <c r="AH19" s="1005"/>
      <c r="AI19" s="1009"/>
      <c r="AJ19" s="1009"/>
      <c r="AK19" s="1009"/>
      <c r="AL19" s="1009"/>
      <c r="AM19" s="1009"/>
      <c r="AQ19" s="801"/>
      <c r="AR19" s="801"/>
      <c r="AS19" s="801"/>
      <c r="AT19" s="801"/>
      <c r="AU19" s="801"/>
      <c r="AV19" s="801"/>
      <c r="AW19" s="801"/>
      <c r="AX19" s="801"/>
      <c r="AY19" s="801"/>
      <c r="AZ19" s="801"/>
      <c r="BA19" s="801"/>
      <c r="BB19" s="801"/>
      <c r="BC19" s="801"/>
      <c r="BD19" s="801"/>
      <c r="BE19" s="801"/>
      <c r="BF19" s="801"/>
      <c r="BG19" s="801"/>
      <c r="BH19" s="801"/>
      <c r="BI19" s="801"/>
      <c r="BJ19" s="801"/>
      <c r="BK19" s="801"/>
      <c r="BL19" s="801"/>
      <c r="BM19" s="801"/>
      <c r="BN19" s="801"/>
      <c r="BO19" s="801"/>
      <c r="BP19" s="801"/>
      <c r="BQ19" s="801"/>
      <c r="BR19" s="801"/>
      <c r="BS19" s="801"/>
      <c r="BT19" s="801"/>
      <c r="BU19" s="801"/>
      <c r="BV19" s="801"/>
      <c r="BW19" s="801"/>
      <c r="BX19" s="801"/>
      <c r="BY19" s="801"/>
      <c r="BZ19" s="801"/>
      <c r="CA19" s="801"/>
    </row>
    <row r="20" spans="1:79" customFormat="1" ht="22.5" customHeight="1" thickBot="1" x14ac:dyDescent="0.25">
      <c r="A20" s="801"/>
      <c r="B20" s="803"/>
      <c r="C20" s="2401" t="s">
        <v>68</v>
      </c>
      <c r="D20" s="2401"/>
      <c r="E20" s="2401"/>
      <c r="F20" s="2401"/>
      <c r="G20" s="2401"/>
      <c r="H20" s="814"/>
      <c r="I20" s="815"/>
      <c r="J20" s="804"/>
      <c r="K20" s="816"/>
      <c r="L20" s="816"/>
      <c r="M20" s="812"/>
      <c r="N20" s="801"/>
      <c r="O20" s="801"/>
      <c r="P20" s="812"/>
      <c r="Q20" s="1947"/>
      <c r="R20" s="1947"/>
      <c r="S20" s="1947"/>
      <c r="T20" s="803"/>
      <c r="U20" s="1947"/>
      <c r="V20" s="1947"/>
      <c r="W20" s="1947"/>
      <c r="X20" s="803"/>
      <c r="Y20" s="803"/>
      <c r="Z20" s="1005"/>
      <c r="AA20" s="1005"/>
      <c r="AB20" s="1320" t="s">
        <v>656</v>
      </c>
      <c r="AC20" s="1321"/>
      <c r="AD20" s="1378"/>
      <c r="AE20" s="1387"/>
      <c r="AF20" s="1380"/>
      <c r="AG20" s="1005"/>
      <c r="AH20" s="2372" t="s">
        <v>982</v>
      </c>
      <c r="AI20" s="2372"/>
      <c r="AJ20" s="1009"/>
      <c r="AK20" s="1009"/>
      <c r="AL20" s="1009"/>
      <c r="AM20" s="1009"/>
      <c r="AQ20" s="801"/>
      <c r="AR20" s="801"/>
      <c r="AS20" s="801"/>
      <c r="AT20" s="801"/>
      <c r="AU20" s="801"/>
      <c r="AV20" s="801"/>
      <c r="AW20" s="801"/>
      <c r="AX20" s="801"/>
      <c r="AY20" s="801"/>
      <c r="AZ20" s="801"/>
      <c r="BA20" s="801"/>
      <c r="BB20" s="801"/>
      <c r="BC20" s="801"/>
      <c r="BD20" s="801"/>
      <c r="BE20" s="801"/>
      <c r="BF20" s="801"/>
      <c r="BG20" s="801"/>
      <c r="BH20" s="801"/>
      <c r="BI20" s="801"/>
      <c r="BJ20" s="801"/>
      <c r="BK20" s="801"/>
      <c r="BL20" s="801"/>
      <c r="BM20" s="801"/>
      <c r="BN20" s="801"/>
      <c r="BO20" s="801"/>
      <c r="BP20" s="801"/>
      <c r="BQ20" s="801"/>
      <c r="BR20" s="801"/>
      <c r="BS20" s="801"/>
      <c r="BT20" s="801"/>
      <c r="BU20" s="801"/>
      <c r="BV20" s="801"/>
      <c r="BW20" s="801"/>
      <c r="BX20" s="801"/>
      <c r="BY20" s="801"/>
      <c r="BZ20" s="801"/>
      <c r="CA20" s="801"/>
    </row>
    <row r="21" spans="1:79" ht="32.25" customHeight="1" thickBot="1" x14ac:dyDescent="0.25">
      <c r="B21" s="803"/>
      <c r="C21" s="2379" t="s">
        <v>678</v>
      </c>
      <c r="D21" s="2381" t="s">
        <v>69</v>
      </c>
      <c r="E21" s="2382"/>
      <c r="F21" s="2381" t="s">
        <v>70</v>
      </c>
      <c r="G21" s="2382"/>
      <c r="H21" s="2362" t="s">
        <v>658</v>
      </c>
      <c r="I21" s="2364" t="s">
        <v>809</v>
      </c>
      <c r="J21" s="2362" t="s">
        <v>176</v>
      </c>
      <c r="K21" s="2379" t="s">
        <v>175</v>
      </c>
      <c r="L21" s="2362" t="s">
        <v>71</v>
      </c>
      <c r="M21" s="2256"/>
      <c r="N21" s="817"/>
      <c r="O21" s="817"/>
      <c r="P21" s="817"/>
      <c r="Q21" s="1947" t="s">
        <v>2244</v>
      </c>
      <c r="R21" s="1947" t="s">
        <v>2695</v>
      </c>
      <c r="S21" s="2210"/>
      <c r="T21" s="811"/>
      <c r="U21" s="811"/>
      <c r="V21" s="811"/>
      <c r="W21" s="811"/>
      <c r="X21" s="811"/>
      <c r="Y21" s="811"/>
      <c r="Z21" s="1006"/>
      <c r="AA21" s="1006"/>
      <c r="AB21" s="1013"/>
      <c r="AC21" s="1013" t="s">
        <v>64</v>
      </c>
      <c r="AD21" s="1013"/>
      <c r="AE21" s="1013"/>
      <c r="AF21" s="1005"/>
      <c r="AG21" s="1005"/>
      <c r="AH21" s="954" t="s">
        <v>4</v>
      </c>
      <c r="AI21" s="955" t="s">
        <v>982</v>
      </c>
      <c r="AJ21" s="1009"/>
      <c r="AK21" s="1009"/>
      <c r="AL21" s="1009"/>
    </row>
    <row r="22" spans="1:79" ht="27" customHeight="1" thickBot="1" x14ac:dyDescent="0.25">
      <c r="B22" s="803"/>
      <c r="C22" s="2380"/>
      <c r="D22" s="1687" t="s">
        <v>72</v>
      </c>
      <c r="E22" s="1687" t="s">
        <v>73</v>
      </c>
      <c r="F22" s="1687" t="s">
        <v>72</v>
      </c>
      <c r="G22" s="1687" t="s">
        <v>73</v>
      </c>
      <c r="H22" s="2363"/>
      <c r="I22" s="2365"/>
      <c r="J22" s="2363"/>
      <c r="K22" s="2380"/>
      <c r="L22" s="2363"/>
      <c r="M22" s="1947"/>
      <c r="N22" s="2217"/>
      <c r="O22" s="818"/>
      <c r="P22" s="2220"/>
      <c r="Q22" s="1947"/>
      <c r="R22" s="817"/>
      <c r="S22" s="2254">
        <v>6</v>
      </c>
      <c r="T22" s="2255">
        <v>9</v>
      </c>
      <c r="U22" s="2255">
        <v>6</v>
      </c>
      <c r="V22" s="2255">
        <v>18</v>
      </c>
      <c r="W22" s="2255"/>
      <c r="X22" s="818">
        <v>60</v>
      </c>
      <c r="Y22" s="819">
        <v>2500</v>
      </c>
      <c r="Z22" s="1006"/>
      <c r="AA22" s="1006"/>
      <c r="AB22" s="965" t="s">
        <v>43</v>
      </c>
      <c r="AC22" s="1013" t="s">
        <v>75</v>
      </c>
      <c r="AD22" s="1013"/>
      <c r="AE22" s="1013"/>
      <c r="AF22" s="1005"/>
      <c r="AG22" s="1005"/>
      <c r="AH22" s="974" t="s">
        <v>327</v>
      </c>
      <c r="AI22" s="987">
        <v>45</v>
      </c>
      <c r="AJ22" s="1009"/>
      <c r="AK22" s="1009"/>
      <c r="AL22" s="1009"/>
    </row>
    <row r="23" spans="1:79" ht="22.5" customHeight="1" thickBot="1" x14ac:dyDescent="0.25">
      <c r="A23" s="813" t="s">
        <v>2180</v>
      </c>
      <c r="B23" s="803"/>
      <c r="C23" s="969" t="s">
        <v>76</v>
      </c>
      <c r="D23" s="791">
        <f>IF(B23="Yes",23,IF((D7="Regular Hole"),AD35,AC35))</f>
        <v>32</v>
      </c>
      <c r="E23" s="791">
        <f>IF(B23="Yes",18.625,IF((D7="Regular Hole"),AF35,AE35))</f>
        <v>26</v>
      </c>
      <c r="F23" s="839">
        <f>G23+3</f>
        <v>103</v>
      </c>
      <c r="G23" s="519">
        <v>100</v>
      </c>
      <c r="H23" s="1916">
        <f>IF(($D$7="Big Hole"),AG35,AH35)</f>
        <v>24.5</v>
      </c>
      <c r="I23" s="793">
        <f>IF($D$7="Big Hole",F23,F23)</f>
        <v>103</v>
      </c>
      <c r="J23" s="1367">
        <v>1</v>
      </c>
      <c r="K23" s="1367">
        <v>1</v>
      </c>
      <c r="L23" s="588" t="s">
        <v>60</v>
      </c>
      <c r="M23" s="1947">
        <f>G23</f>
        <v>100</v>
      </c>
      <c r="N23" s="2215"/>
      <c r="O23" s="1947"/>
      <c r="P23" s="2221" t="s">
        <v>2698</v>
      </c>
      <c r="Q23" s="2216">
        <f ca="1">('COVER SHEET'!H51)/1000000</f>
        <v>334.80200000000002</v>
      </c>
      <c r="R23" s="817"/>
      <c r="S23" s="2252">
        <v>7</v>
      </c>
      <c r="T23" s="2253">
        <v>10</v>
      </c>
      <c r="U23" s="2253">
        <v>7</v>
      </c>
      <c r="V23" s="2253">
        <v>14</v>
      </c>
      <c r="W23" s="2253"/>
      <c r="X23" s="818">
        <v>55</v>
      </c>
      <c r="Y23" s="811"/>
      <c r="Z23" s="1006"/>
      <c r="AA23" s="1006"/>
      <c r="AB23" s="1290" t="s">
        <v>998</v>
      </c>
      <c r="AC23" s="1013"/>
      <c r="AD23" s="1013"/>
      <c r="AE23" s="1013"/>
      <c r="AF23" s="1005"/>
      <c r="AG23" s="1005"/>
      <c r="AH23" s="974" t="s">
        <v>52</v>
      </c>
      <c r="AI23" s="987">
        <v>50</v>
      </c>
      <c r="AJ23" s="1009"/>
      <c r="AK23" s="1009"/>
      <c r="AL23" s="1009"/>
    </row>
    <row r="24" spans="1:79" ht="22.5" customHeight="1" thickBot="1" x14ac:dyDescent="0.25">
      <c r="A24" s="801" t="s">
        <v>2718</v>
      </c>
      <c r="B24" s="809"/>
      <c r="C24" s="969" t="s">
        <v>78</v>
      </c>
      <c r="D24" s="791">
        <f>IF((D7="Regular Hole"),AD36,AC36)</f>
        <v>23</v>
      </c>
      <c r="E24" s="791">
        <f>IF((D7="Regular Hole"),AF36,AE36)</f>
        <v>18.625</v>
      </c>
      <c r="F24" s="839">
        <f>G24+3</f>
        <v>563</v>
      </c>
      <c r="G24" s="519">
        <v>560</v>
      </c>
      <c r="H24" s="1917">
        <f>IF(($D$7="Big Hole"),AG36,AH36)</f>
        <v>17.466999999999999</v>
      </c>
      <c r="I24" s="793">
        <f>IF($D$7="Big Hole",F24-F23,F24-F23)</f>
        <v>460</v>
      </c>
      <c r="J24" s="1367">
        <v>1</v>
      </c>
      <c r="K24" s="1367">
        <v>1</v>
      </c>
      <c r="L24" s="588" t="s">
        <v>60</v>
      </c>
      <c r="M24" s="1947">
        <f>G24-G23</f>
        <v>460</v>
      </c>
      <c r="N24" s="2215"/>
      <c r="O24" s="1947"/>
      <c r="P24" s="2222" t="s">
        <v>2700</v>
      </c>
      <c r="Q24" s="2246">
        <f ca="1">('COVER SHEET'!J51)</f>
        <v>111014.62974165459</v>
      </c>
      <c r="R24" s="817"/>
      <c r="S24" s="2252">
        <v>6</v>
      </c>
      <c r="T24" s="2253">
        <v>10</v>
      </c>
      <c r="U24" s="2253">
        <v>9</v>
      </c>
      <c r="V24" s="2253">
        <v>20</v>
      </c>
      <c r="W24" s="2253"/>
      <c r="X24" s="818">
        <v>50</v>
      </c>
      <c r="Y24" s="811"/>
      <c r="Z24" s="1006"/>
      <c r="AA24" s="1006"/>
      <c r="AB24" s="1290" t="s">
        <v>999</v>
      </c>
      <c r="AC24" s="1013"/>
      <c r="AD24" s="1013"/>
      <c r="AE24" s="1013"/>
      <c r="AF24" s="1005"/>
      <c r="AG24" s="1005"/>
      <c r="AH24" s="974" t="s">
        <v>379</v>
      </c>
      <c r="AI24" s="987">
        <v>46</v>
      </c>
      <c r="AJ24" s="1009"/>
      <c r="AK24" s="1009"/>
      <c r="AL24" s="1009"/>
    </row>
    <row r="25" spans="1:79" ht="22.5" customHeight="1" thickBot="1" x14ac:dyDescent="0.25">
      <c r="A25" s="801" t="s">
        <v>2185</v>
      </c>
      <c r="B25" s="809"/>
      <c r="C25" s="969" t="s">
        <v>80</v>
      </c>
      <c r="D25" s="791">
        <f>IF((D7="Regular Hole"),AD37,AC37)</f>
        <v>17</v>
      </c>
      <c r="E25" s="791">
        <f>IF((D7="Regular Hole"),AF37,AE37)</f>
        <v>13.375</v>
      </c>
      <c r="F25" s="839">
        <f>G25+3</f>
        <v>1263</v>
      </c>
      <c r="G25" s="519">
        <v>1260</v>
      </c>
      <c r="H25" s="1918">
        <f>IF(($D$7="Big Hole"),AG37,AH37)</f>
        <v>12.414999999999999</v>
      </c>
      <c r="I25" s="793">
        <f>IF($D$7="Big Hole",F25-F24,F25-F24)</f>
        <v>700</v>
      </c>
      <c r="J25" s="1367">
        <v>1</v>
      </c>
      <c r="K25" s="1367">
        <v>1</v>
      </c>
      <c r="L25" s="588" t="s">
        <v>60</v>
      </c>
      <c r="M25" s="1947">
        <f>G25-G24</f>
        <v>700</v>
      </c>
      <c r="N25" s="2215"/>
      <c r="O25" s="1947"/>
      <c r="P25" s="2221" t="s">
        <v>2699</v>
      </c>
      <c r="Q25" s="1947">
        <v>140</v>
      </c>
      <c r="R25" s="817"/>
      <c r="S25" s="817"/>
      <c r="T25" s="811"/>
      <c r="U25" s="818"/>
      <c r="V25" s="818"/>
      <c r="W25" s="818"/>
      <c r="X25" s="818"/>
      <c r="Y25" s="811"/>
      <c r="Z25" s="1006"/>
      <c r="AA25" s="1006"/>
      <c r="AB25" s="1290" t="s">
        <v>1000</v>
      </c>
      <c r="AC25" s="1013"/>
      <c r="AD25" s="1013"/>
      <c r="AE25" s="1013"/>
      <c r="AF25" s="1005"/>
      <c r="AG25" s="1005"/>
      <c r="AH25" s="975" t="s">
        <v>378</v>
      </c>
      <c r="AI25" s="989">
        <v>47</v>
      </c>
      <c r="AJ25" s="1009"/>
      <c r="AK25" s="1009"/>
      <c r="AL25" s="1009"/>
    </row>
    <row r="26" spans="1:79" ht="22.5" customHeight="1" thickBot="1" x14ac:dyDescent="0.25">
      <c r="A26" s="2257" t="s">
        <v>2188</v>
      </c>
      <c r="B26" s="809"/>
      <c r="C26" s="969" t="s">
        <v>81</v>
      </c>
      <c r="D26" s="791">
        <f>IF((D7="Regular Hole"),AD38,AC38)</f>
        <v>12.25</v>
      </c>
      <c r="E26" s="791">
        <f>IF(D14="Yes",AF37,IF((D7="Regular Hole"),AF38,AE38))</f>
        <v>10.75</v>
      </c>
      <c r="F26" s="839">
        <f>G26</f>
        <v>1900</v>
      </c>
      <c r="G26" s="792">
        <v>1900</v>
      </c>
      <c r="H26" s="791">
        <f>INDEX($AO$38:$AO$43,MATCH(E26,$AN$38:$AN$43,0))</f>
        <v>10.050000000000001</v>
      </c>
      <c r="I26" s="793">
        <f>IF($D$7="Big Hole",F26-F25,F26-F25)</f>
        <v>637</v>
      </c>
      <c r="J26" s="1368">
        <v>1</v>
      </c>
      <c r="K26" s="1368"/>
      <c r="L26" s="840"/>
      <c r="M26" s="1947">
        <f>G26-G25</f>
        <v>640</v>
      </c>
      <c r="N26" s="2215"/>
      <c r="O26" s="1947"/>
      <c r="P26" s="2217" t="s">
        <v>2704</v>
      </c>
      <c r="Q26" s="2216">
        <f ca="1">Q23/H5</f>
        <v>5.4885573770491805</v>
      </c>
      <c r="R26" s="817"/>
      <c r="S26" s="820"/>
      <c r="T26" s="811"/>
      <c r="U26" s="818"/>
      <c r="V26" s="818"/>
      <c r="W26" s="818"/>
      <c r="X26" s="818"/>
      <c r="Y26" s="811"/>
      <c r="Z26" s="1006"/>
      <c r="AA26" s="1006"/>
      <c r="AB26" s="1290" t="s">
        <v>997</v>
      </c>
      <c r="AC26" s="1013"/>
      <c r="AD26" s="1013"/>
      <c r="AE26" s="1013"/>
      <c r="AF26" s="1005"/>
      <c r="AG26" s="1005"/>
      <c r="AH26" s="1005"/>
      <c r="AI26" s="1009"/>
      <c r="AJ26" s="1009"/>
      <c r="AK26" s="1009"/>
      <c r="AL26" s="1009"/>
    </row>
    <row r="27" spans="1:79" ht="22.5" customHeight="1" thickBot="1" x14ac:dyDescent="0.25">
      <c r="A27" s="2257" t="s">
        <v>2191</v>
      </c>
      <c r="B27" s="809"/>
      <c r="C27" s="969" t="s">
        <v>82</v>
      </c>
      <c r="D27" s="791">
        <f>IF(E26&gt;AF37,AC39,AD38)*IF(D13="No",0,1)</f>
        <v>9.875</v>
      </c>
      <c r="E27" s="791">
        <f>IFERROR(INDEX($AN$38:$AN$43,MATCH(D27,$AM$38:$AM$43,0)),0)</f>
        <v>8.625</v>
      </c>
      <c r="F27" s="839">
        <f>G27</f>
        <v>2500</v>
      </c>
      <c r="G27" s="792">
        <v>2500</v>
      </c>
      <c r="H27" s="791">
        <f>IFERROR(INDEX($AO$38:$AO$43,MATCH(E27,$AN$38:$AN$43,0)),0)</f>
        <v>8.0969999999999995</v>
      </c>
      <c r="I27" s="793">
        <f>IF($D$7="Big Hole",F27-F26,0)*IF(DPL2HOLE=0,0,1)</f>
        <v>600</v>
      </c>
      <c r="J27" s="1368">
        <v>1</v>
      </c>
      <c r="K27" s="1368"/>
      <c r="L27" s="841"/>
      <c r="M27" s="1947">
        <f>G27-G26</f>
        <v>600</v>
      </c>
      <c r="N27" s="2215"/>
      <c r="O27" s="1947"/>
      <c r="P27" s="2217" t="s">
        <v>2705</v>
      </c>
      <c r="Q27" s="2216">
        <f ca="1">(('COVER SHEET'!H51-'Cost Details'!X63)/INPUT!S14)/1000000</f>
        <v>5.7820119657111766</v>
      </c>
      <c r="R27" s="817"/>
      <c r="S27" s="817"/>
      <c r="T27" s="811"/>
      <c r="U27" s="818"/>
      <c r="V27" s="818"/>
      <c r="W27" s="818"/>
      <c r="X27" s="818"/>
      <c r="Y27" s="811"/>
      <c r="Z27" s="1006"/>
      <c r="AA27" s="1006"/>
      <c r="AB27" s="1290" t="s">
        <v>1001</v>
      </c>
      <c r="AC27" s="1013"/>
      <c r="AD27" s="1013"/>
      <c r="AE27" s="1013"/>
      <c r="AF27" s="1005"/>
      <c r="AG27" s="1005"/>
      <c r="AH27" s="1005"/>
      <c r="AI27" s="1009"/>
      <c r="AJ27" s="1009"/>
      <c r="AK27" s="1009"/>
      <c r="AL27" s="1009"/>
    </row>
    <row r="28" spans="1:79" ht="22.5" customHeight="1" thickBot="1" x14ac:dyDescent="0.25">
      <c r="B28" s="809"/>
      <c r="C28" s="970" t="s">
        <v>91</v>
      </c>
      <c r="D28" s="791" t="str">
        <f>IF($D$19="YES",AC40,"")</f>
        <v/>
      </c>
      <c r="E28" s="791" t="str">
        <f>IF($D$19="YES",AE40,"")</f>
        <v/>
      </c>
      <c r="F28" s="839" t="str">
        <f>IF(D19="yes",G28,"")</f>
        <v/>
      </c>
      <c r="G28" s="792"/>
      <c r="H28" s="1918" t="str">
        <f>IF(($D$19="yes"),AG40,"")</f>
        <v/>
      </c>
      <c r="I28" s="793" t="str">
        <f>IF($D$19="yes",F28-F27,"")</f>
        <v/>
      </c>
      <c r="J28" s="1368"/>
      <c r="K28" s="1368"/>
      <c r="L28" s="841"/>
      <c r="M28" s="817"/>
      <c r="N28" s="2211"/>
      <c r="O28" s="817"/>
      <c r="P28" s="817"/>
      <c r="Q28" s="817"/>
      <c r="R28" s="817"/>
      <c r="S28" s="817"/>
      <c r="T28" s="811"/>
      <c r="U28" s="818"/>
      <c r="V28" s="818"/>
      <c r="W28" s="818"/>
      <c r="X28" s="818"/>
      <c r="Y28" s="811"/>
      <c r="Z28" s="1006"/>
      <c r="AA28" s="1006"/>
      <c r="AB28" s="1290" t="s">
        <v>1001</v>
      </c>
      <c r="AC28" s="1013"/>
      <c r="AD28" s="1013"/>
      <c r="AE28" s="1013"/>
      <c r="AF28" s="1005"/>
      <c r="AG28" s="1005"/>
      <c r="AH28" s="1005"/>
      <c r="AI28" s="1009"/>
      <c r="AJ28" s="1009"/>
      <c r="AK28" s="1009"/>
      <c r="AL28" s="1009"/>
    </row>
    <row r="29" spans="1:79" ht="22.5" customHeight="1" thickBot="1" x14ac:dyDescent="0.25">
      <c r="B29" s="809"/>
      <c r="C29" s="970" t="s">
        <v>1244</v>
      </c>
      <c r="D29" s="791"/>
      <c r="E29" s="1712">
        <v>9.625</v>
      </c>
      <c r="F29" s="1713">
        <v>12.414999999999999</v>
      </c>
      <c r="G29" s="792"/>
      <c r="H29" s="1918" t="str">
        <f>IF(H19="no","",INDEX(AH35:AH39,MATCH(E29,AF35:AF39),0))</f>
        <v/>
      </c>
      <c r="I29" s="793" t="str">
        <f>IF(H19="no","",G29)</f>
        <v/>
      </c>
      <c r="J29" s="1368"/>
      <c r="K29" s="1368">
        <f>IF(I19="yes",1,0)</f>
        <v>0</v>
      </c>
      <c r="L29" s="841"/>
      <c r="M29" s="817"/>
      <c r="N29" s="817"/>
      <c r="O29" s="817"/>
      <c r="P29" s="817"/>
      <c r="Q29" s="817"/>
      <c r="R29" s="817"/>
      <c r="S29" s="817"/>
      <c r="T29" s="811"/>
      <c r="U29" s="818"/>
      <c r="V29" s="818"/>
      <c r="W29" s="818"/>
      <c r="X29" s="818"/>
      <c r="Y29" s="811"/>
      <c r="Z29" s="1006"/>
      <c r="AA29" s="1006"/>
      <c r="AB29" s="1290" t="s">
        <v>1001</v>
      </c>
      <c r="AC29" s="1013"/>
      <c r="AD29" s="1013"/>
      <c r="AE29" s="1013"/>
      <c r="AF29" s="1005"/>
      <c r="AG29" s="1005"/>
      <c r="AH29" s="1005"/>
      <c r="AI29" s="1009"/>
      <c r="AJ29" s="1009"/>
      <c r="AK29" s="1009"/>
      <c r="AL29" s="1009"/>
    </row>
    <row r="30" spans="1:79" ht="22.5" customHeight="1" thickBot="1" x14ac:dyDescent="0.25">
      <c r="A30" s="801" t="s">
        <v>2719</v>
      </c>
      <c r="B30" s="803"/>
      <c r="C30" s="824"/>
      <c r="D30" s="824"/>
      <c r="E30" s="825"/>
      <c r="F30" s="825"/>
      <c r="G30" s="826"/>
      <c r="H30" s="803"/>
      <c r="I30" s="803"/>
      <c r="J30" s="803"/>
      <c r="K30" s="803"/>
      <c r="L30" s="825"/>
      <c r="M30" s="814"/>
      <c r="N30" s="814"/>
      <c r="O30" s="814"/>
      <c r="P30" s="814"/>
      <c r="Q30" s="814"/>
      <c r="R30" s="814"/>
      <c r="S30" s="814"/>
      <c r="T30" s="803"/>
      <c r="U30" s="818"/>
      <c r="V30" s="818"/>
      <c r="W30" s="818"/>
      <c r="X30" s="818"/>
      <c r="Y30" s="803"/>
      <c r="Z30" s="1005"/>
      <c r="AA30" s="1005"/>
      <c r="AB30" s="1276" t="s">
        <v>60</v>
      </c>
      <c r="AC30" s="1013"/>
      <c r="AD30" s="1013"/>
      <c r="AE30" s="1013"/>
      <c r="AF30" s="1005"/>
      <c r="AG30" s="1005"/>
      <c r="AH30" s="1005"/>
      <c r="AI30" s="1009"/>
      <c r="AJ30" s="1009"/>
      <c r="AK30" s="1009"/>
      <c r="AL30" s="1009"/>
    </row>
    <row r="31" spans="1:79" ht="15.75" customHeight="1" thickBot="1" x14ac:dyDescent="0.25">
      <c r="B31" s="809"/>
      <c r="C31" s="969" t="s">
        <v>83</v>
      </c>
      <c r="D31" s="519">
        <v>51</v>
      </c>
      <c r="E31" s="829" t="s">
        <v>639</v>
      </c>
      <c r="F31" s="803"/>
      <c r="H31" s="803"/>
      <c r="I31" s="803"/>
      <c r="J31" s="803"/>
      <c r="K31" s="803"/>
      <c r="L31" s="813"/>
      <c r="M31" s="803"/>
      <c r="N31" s="803"/>
      <c r="O31" s="803"/>
      <c r="P31" s="803"/>
      <c r="Q31" s="803"/>
      <c r="R31" s="803"/>
      <c r="S31" s="803"/>
      <c r="T31" s="803"/>
      <c r="U31" s="818"/>
      <c r="V31" s="818"/>
      <c r="W31" s="818"/>
      <c r="X31" s="818"/>
      <c r="Y31" s="803"/>
      <c r="Z31" s="1005"/>
      <c r="AA31" s="1005"/>
      <c r="AB31" s="1009"/>
      <c r="AC31" s="1013"/>
      <c r="AD31" s="1013"/>
      <c r="AE31" s="1013"/>
      <c r="AF31" s="1005"/>
      <c r="AG31" s="1005"/>
      <c r="AH31" s="1005"/>
      <c r="AI31" s="1009"/>
      <c r="AJ31" s="1009"/>
      <c r="AK31" s="1009"/>
      <c r="AL31" s="1009"/>
    </row>
    <row r="32" spans="1:79" ht="15.75" customHeight="1" thickBot="1" x14ac:dyDescent="0.25">
      <c r="B32" s="809"/>
      <c r="C32" s="969" t="s">
        <v>84</v>
      </c>
      <c r="D32" s="519">
        <v>36</v>
      </c>
      <c r="E32" s="830" t="s">
        <v>2701</v>
      </c>
      <c r="F32" s="803"/>
      <c r="H32" s="803"/>
      <c r="I32" s="813" t="s">
        <v>1113</v>
      </c>
      <c r="J32" s="803"/>
      <c r="K32" s="803"/>
      <c r="L32" s="803"/>
      <c r="M32" s="803"/>
      <c r="N32" s="803"/>
      <c r="O32" s="803"/>
      <c r="P32" s="803"/>
      <c r="Q32" s="803"/>
      <c r="R32" s="803"/>
      <c r="S32" s="803"/>
      <c r="T32" s="803"/>
      <c r="U32" s="818"/>
      <c r="V32" s="818"/>
      <c r="W32" s="818"/>
      <c r="X32" s="818"/>
      <c r="Y32" s="803"/>
      <c r="Z32" s="1005"/>
      <c r="AA32" s="1005"/>
      <c r="AB32" s="1005"/>
      <c r="AC32" s="1005"/>
      <c r="AD32" s="1005"/>
      <c r="AE32" s="1005"/>
      <c r="AF32" s="1005"/>
      <c r="AG32" s="1005"/>
      <c r="AH32" s="1005"/>
      <c r="AI32" s="1009"/>
      <c r="AJ32" s="1009"/>
      <c r="AK32" s="1009"/>
      <c r="AL32" s="1009"/>
    </row>
    <row r="33" spans="1:41" ht="15" x14ac:dyDescent="0.2">
      <c r="B33" s="803"/>
      <c r="C33" s="803"/>
      <c r="D33" s="803"/>
      <c r="E33" s="2219" t="s">
        <v>2702</v>
      </c>
      <c r="F33" s="803"/>
      <c r="H33" s="803"/>
      <c r="I33" s="803"/>
      <c r="J33" s="803"/>
      <c r="K33" s="803"/>
      <c r="L33" s="803"/>
      <c r="M33" s="803"/>
      <c r="N33" s="803"/>
      <c r="O33" s="803"/>
      <c r="P33" s="803"/>
      <c r="Q33" s="803"/>
      <c r="R33" s="803"/>
      <c r="S33" s="803"/>
      <c r="T33" s="803"/>
      <c r="U33" s="818"/>
      <c r="V33" s="818"/>
      <c r="W33" s="818"/>
      <c r="X33" s="818"/>
      <c r="Y33" s="803"/>
      <c r="Z33" s="1005"/>
      <c r="AA33" s="1005"/>
      <c r="AB33" s="961"/>
      <c r="AC33" s="962" t="s">
        <v>85</v>
      </c>
      <c r="AD33" s="962"/>
      <c r="AE33" s="962" t="s">
        <v>86</v>
      </c>
      <c r="AF33" s="962"/>
      <c r="AG33" s="962" t="s">
        <v>87</v>
      </c>
      <c r="AH33" s="963"/>
      <c r="AI33" s="1009"/>
      <c r="AJ33" s="1009"/>
      <c r="AK33" s="1009"/>
      <c r="AL33" s="1009"/>
    </row>
    <row r="34" spans="1:41" ht="16" thickBot="1" x14ac:dyDescent="0.25">
      <c r="B34" s="803"/>
      <c r="C34" s="803"/>
      <c r="D34" s="803"/>
      <c r="E34" s="803"/>
      <c r="F34" s="813"/>
      <c r="H34" s="803"/>
      <c r="I34" s="803"/>
      <c r="J34" s="803"/>
      <c r="K34" s="803"/>
      <c r="L34" s="803"/>
      <c r="M34" s="803"/>
      <c r="N34" s="803"/>
      <c r="O34" s="803"/>
      <c r="P34" s="803"/>
      <c r="Q34" s="803"/>
      <c r="R34" s="803"/>
      <c r="S34" s="803"/>
      <c r="T34" s="803"/>
      <c r="U34" s="818"/>
      <c r="V34" s="818"/>
      <c r="W34" s="818"/>
      <c r="X34" s="818"/>
      <c r="Y34" s="803"/>
      <c r="Z34" s="1005"/>
      <c r="AA34" s="1005"/>
      <c r="AB34" s="964"/>
      <c r="AC34" s="965" t="s">
        <v>357</v>
      </c>
      <c r="AD34" s="965" t="s">
        <v>88</v>
      </c>
      <c r="AE34" s="965" t="s">
        <v>357</v>
      </c>
      <c r="AF34" s="965" t="s">
        <v>88</v>
      </c>
      <c r="AG34" s="965" t="s">
        <v>357</v>
      </c>
      <c r="AH34" s="966" t="s">
        <v>88</v>
      </c>
      <c r="AI34" s="1009"/>
      <c r="AJ34" s="1009"/>
      <c r="AK34" s="1009"/>
      <c r="AL34" s="1009"/>
      <c r="AM34" s="965" t="s">
        <v>2260</v>
      </c>
      <c r="AN34" s="801" t="s">
        <v>2261</v>
      </c>
      <c r="AO34" s="801" t="s">
        <v>2262</v>
      </c>
    </row>
    <row r="35" spans="1:41" ht="16" thickBot="1" x14ac:dyDescent="0.25">
      <c r="B35" s="803"/>
      <c r="C35" s="970" t="s">
        <v>894</v>
      </c>
      <c r="D35" s="517" t="s">
        <v>2203</v>
      </c>
      <c r="E35" s="803"/>
      <c r="F35" s="803"/>
      <c r="H35" s="2385" t="s">
        <v>2690</v>
      </c>
      <c r="I35" s="2385"/>
      <c r="J35" s="2385"/>
      <c r="K35" s="2385"/>
      <c r="L35" s="803"/>
      <c r="M35" s="803"/>
      <c r="N35" s="803"/>
      <c r="O35" s="803"/>
      <c r="P35" s="803"/>
      <c r="Q35" s="803"/>
      <c r="R35" s="803"/>
      <c r="S35" s="803"/>
      <c r="T35" s="803"/>
      <c r="U35" s="818"/>
      <c r="V35" s="818"/>
      <c r="W35" s="818"/>
      <c r="X35" s="818"/>
      <c r="Y35" s="803"/>
      <c r="Z35" s="1005"/>
      <c r="AA35" s="1005"/>
      <c r="AB35" s="976" t="s">
        <v>76</v>
      </c>
      <c r="AC35" s="991">
        <v>32</v>
      </c>
      <c r="AD35" s="991">
        <v>26</v>
      </c>
      <c r="AE35" s="991">
        <v>26</v>
      </c>
      <c r="AF35" s="991">
        <v>20</v>
      </c>
      <c r="AG35" s="991">
        <v>24.5</v>
      </c>
      <c r="AH35" s="992">
        <v>19.312000000000001</v>
      </c>
      <c r="AI35" s="1009"/>
      <c r="AJ35" s="1009"/>
      <c r="AK35" s="1009"/>
      <c r="AL35" s="969" t="s">
        <v>76</v>
      </c>
      <c r="AM35" s="991">
        <v>32</v>
      </c>
      <c r="AN35" s="991">
        <v>26</v>
      </c>
      <c r="AO35" s="991">
        <v>24.5</v>
      </c>
    </row>
    <row r="36" spans="1:41" ht="16" thickBot="1" x14ac:dyDescent="0.25">
      <c r="B36" s="803"/>
      <c r="C36" s="803"/>
      <c r="D36" s="803"/>
      <c r="E36" s="803"/>
      <c r="F36" s="803"/>
      <c r="H36" s="2386"/>
      <c r="I36" s="2386"/>
      <c r="J36" s="2386"/>
      <c r="K36" s="2386"/>
      <c r="L36" s="803"/>
      <c r="M36" s="803"/>
      <c r="N36" s="803"/>
      <c r="O36" s="803"/>
      <c r="P36" s="803"/>
      <c r="Q36" s="803"/>
      <c r="R36" s="803"/>
      <c r="S36" s="803"/>
      <c r="T36" s="803"/>
      <c r="U36" s="818"/>
      <c r="V36" s="818"/>
      <c r="W36" s="818"/>
      <c r="X36" s="818"/>
      <c r="Y36" s="803"/>
      <c r="Z36" s="1005"/>
      <c r="AA36" s="1005"/>
      <c r="AB36" s="976" t="s">
        <v>78</v>
      </c>
      <c r="AC36" s="991">
        <v>23</v>
      </c>
      <c r="AD36" s="991">
        <v>17</v>
      </c>
      <c r="AE36" s="991">
        <v>18.625</v>
      </c>
      <c r="AF36" s="991">
        <v>13.375</v>
      </c>
      <c r="AG36" s="991">
        <v>17.466999999999999</v>
      </c>
      <c r="AH36" s="992">
        <v>12.615</v>
      </c>
      <c r="AI36" s="1009"/>
      <c r="AJ36" s="1009"/>
      <c r="AK36" s="1009"/>
      <c r="AL36" s="969" t="s">
        <v>78</v>
      </c>
      <c r="AM36" s="991">
        <v>23</v>
      </c>
      <c r="AN36" s="991">
        <v>18.625</v>
      </c>
      <c r="AO36" s="991">
        <v>17.466999999999999</v>
      </c>
    </row>
    <row r="37" spans="1:41" ht="16.5" customHeight="1" thickBot="1" x14ac:dyDescent="0.25">
      <c r="A37" s="802"/>
      <c r="B37" s="823"/>
      <c r="C37" s="827"/>
      <c r="D37" s="827"/>
      <c r="E37" s="828"/>
      <c r="F37" s="827"/>
      <c r="G37" s="828"/>
      <c r="H37" s="2176" t="s">
        <v>2710</v>
      </c>
      <c r="I37" s="2177" t="s">
        <v>2654</v>
      </c>
      <c r="J37" s="2178" t="s">
        <v>2710</v>
      </c>
      <c r="K37" s="2179" t="s">
        <v>2654</v>
      </c>
      <c r="N37" s="1695" t="s">
        <v>900</v>
      </c>
      <c r="O37" s="1948"/>
      <c r="P37" s="1696"/>
      <c r="Q37" s="1697"/>
      <c r="R37" s="803"/>
      <c r="S37" s="803"/>
      <c r="T37" s="803"/>
      <c r="U37" s="818"/>
      <c r="V37" s="818"/>
      <c r="W37" s="818"/>
      <c r="X37" s="818"/>
      <c r="Y37" s="803"/>
      <c r="Z37" s="1005"/>
      <c r="AA37" s="1005"/>
      <c r="AB37" s="976" t="s">
        <v>89</v>
      </c>
      <c r="AC37" s="991">
        <v>17</v>
      </c>
      <c r="AD37" s="991">
        <v>12.25</v>
      </c>
      <c r="AE37" s="991">
        <v>13.375</v>
      </c>
      <c r="AF37" s="991">
        <v>9.625</v>
      </c>
      <c r="AG37" s="991">
        <v>12.414999999999999</v>
      </c>
      <c r="AH37" s="992">
        <v>8.7550000000000008</v>
      </c>
      <c r="AI37" s="1009"/>
      <c r="AJ37" s="991">
        <v>12.414999999999999</v>
      </c>
      <c r="AK37" s="1009"/>
      <c r="AL37" s="969" t="s">
        <v>80</v>
      </c>
      <c r="AM37" s="991">
        <v>17</v>
      </c>
      <c r="AN37" s="991">
        <v>13.375</v>
      </c>
      <c r="AO37" s="991">
        <v>12.414999999999999</v>
      </c>
    </row>
    <row r="38" spans="1:41" ht="15.75" customHeight="1" thickBot="1" x14ac:dyDescent="0.25">
      <c r="A38" s="802"/>
      <c r="B38" s="823"/>
      <c r="C38" s="827"/>
      <c r="D38" s="827"/>
      <c r="E38" s="835"/>
      <c r="F38" s="968" t="s">
        <v>126</v>
      </c>
      <c r="G38" s="2148" t="s">
        <v>418</v>
      </c>
      <c r="H38" s="2165" t="s">
        <v>653</v>
      </c>
      <c r="I38" s="2166" t="s">
        <v>138</v>
      </c>
      <c r="J38" s="2167" t="s">
        <v>654</v>
      </c>
      <c r="K38" s="2168" t="s">
        <v>138</v>
      </c>
      <c r="N38" s="998" t="s">
        <v>896</v>
      </c>
      <c r="O38" s="1949"/>
      <c r="P38" s="967"/>
      <c r="Q38" s="999"/>
      <c r="R38" s="803"/>
      <c r="S38" s="803"/>
      <c r="T38" s="803"/>
      <c r="U38" s="818"/>
      <c r="V38" s="818"/>
      <c r="W38" s="818"/>
      <c r="X38" s="818"/>
      <c r="Y38" s="803"/>
      <c r="Z38" s="1005"/>
      <c r="AA38" s="1005"/>
      <c r="AB38" s="976" t="s">
        <v>81</v>
      </c>
      <c r="AC38" s="991">
        <v>12.25</v>
      </c>
      <c r="AD38" s="991">
        <v>8.5</v>
      </c>
      <c r="AE38" s="991">
        <v>10.75</v>
      </c>
      <c r="AF38" s="991">
        <v>7</v>
      </c>
      <c r="AG38" s="991">
        <v>10.050000000000001</v>
      </c>
      <c r="AH38" s="992">
        <v>6.2759999999999998</v>
      </c>
      <c r="AI38" s="1009"/>
      <c r="AJ38" s="991">
        <v>10.050000000000001</v>
      </c>
      <c r="AK38" s="1009"/>
      <c r="AL38" s="969" t="s">
        <v>81</v>
      </c>
      <c r="AM38" s="991">
        <v>12.25</v>
      </c>
      <c r="AN38" s="991">
        <v>10.75</v>
      </c>
      <c r="AO38" s="991">
        <v>10.050000000000001</v>
      </c>
    </row>
    <row r="39" spans="1:41" ht="15.75" customHeight="1" thickBot="1" x14ac:dyDescent="0.25">
      <c r="A39" s="802"/>
      <c r="B39" s="823"/>
      <c r="C39" s="827"/>
      <c r="D39" s="827"/>
      <c r="E39" s="836"/>
      <c r="F39" s="2119" t="s">
        <v>2637</v>
      </c>
      <c r="G39" s="2161" t="s">
        <v>2613</v>
      </c>
      <c r="H39" s="2229"/>
      <c r="I39" s="2230">
        <f>IF(Rockbits!F4=0,"-",Rockbits!F4)</f>
        <v>2</v>
      </c>
      <c r="J39" s="2229">
        <v>1</v>
      </c>
      <c r="K39" s="2231">
        <f>IF(Rockbits!I4=0,"-",Rockbits!I4)</f>
        <v>2</v>
      </c>
      <c r="L39" s="1513" t="s">
        <v>2653</v>
      </c>
      <c r="N39" s="1000" t="s">
        <v>897</v>
      </c>
      <c r="O39" s="1950"/>
      <c r="P39" s="997"/>
      <c r="Q39" s="1001"/>
      <c r="R39" s="821"/>
      <c r="S39" s="821"/>
      <c r="T39" s="821"/>
      <c r="U39" s="818"/>
      <c r="V39" s="818"/>
      <c r="W39" s="818"/>
      <c r="X39" s="818"/>
      <c r="Y39" s="821"/>
      <c r="Z39" s="1007"/>
      <c r="AA39" s="1007"/>
      <c r="AB39" s="976" t="s">
        <v>82</v>
      </c>
      <c r="AC39" s="991">
        <v>9.875</v>
      </c>
      <c r="AD39" s="991">
        <v>6</v>
      </c>
      <c r="AE39" s="991">
        <v>8.625</v>
      </c>
      <c r="AF39" s="991">
        <v>5</v>
      </c>
      <c r="AG39" s="991">
        <v>8.0969999999999995</v>
      </c>
      <c r="AH39" s="992">
        <v>4.4080000000000004</v>
      </c>
      <c r="AI39" s="1009"/>
      <c r="AJ39" s="992">
        <v>8.7550000000000008</v>
      </c>
      <c r="AK39" s="1009"/>
      <c r="AL39" s="969" t="s">
        <v>82</v>
      </c>
      <c r="AM39" s="991">
        <v>12.25</v>
      </c>
      <c r="AN39" s="991">
        <v>9.625</v>
      </c>
      <c r="AO39" s="992">
        <v>8.7550000000000008</v>
      </c>
    </row>
    <row r="40" spans="1:41" ht="15.75" customHeight="1" thickBot="1" x14ac:dyDescent="0.25">
      <c r="A40" s="802"/>
      <c r="B40" s="823"/>
      <c r="C40" s="827"/>
      <c r="D40" s="827"/>
      <c r="E40" s="836"/>
      <c r="F40" s="2120" t="s">
        <v>2638</v>
      </c>
      <c r="G40" s="2162" t="s">
        <v>2615</v>
      </c>
      <c r="H40" s="2232"/>
      <c r="I40" s="2233">
        <f>IF(Rockbits!F5=0,"-",Rockbits!F5)</f>
        <v>9</v>
      </c>
      <c r="J40" s="2232">
        <v>1</v>
      </c>
      <c r="K40" s="2234">
        <f>IF(Rockbits!I5=0,"-",Rockbits!I5)</f>
        <v>6</v>
      </c>
      <c r="N40" s="1002" t="s">
        <v>898</v>
      </c>
      <c r="O40" s="1951"/>
      <c r="P40" s="996"/>
      <c r="Q40" s="1003"/>
      <c r="R40" s="822"/>
      <c r="S40" s="822"/>
      <c r="T40" s="822"/>
      <c r="U40" s="822"/>
      <c r="V40" s="822"/>
      <c r="W40" s="822"/>
      <c r="X40" s="822"/>
      <c r="Y40" s="822"/>
      <c r="Z40" s="1008"/>
      <c r="AA40" s="1008"/>
      <c r="AB40" s="977" t="s">
        <v>91</v>
      </c>
      <c r="AC40" s="993">
        <v>7.875</v>
      </c>
      <c r="AD40" s="993"/>
      <c r="AE40" s="993">
        <v>7</v>
      </c>
      <c r="AF40" s="993"/>
      <c r="AG40" s="993">
        <v>6.3659999999999997</v>
      </c>
      <c r="AH40" s="994"/>
      <c r="AI40" s="1009"/>
      <c r="AJ40" s="992">
        <v>6.2759999999999998</v>
      </c>
      <c r="AK40" s="1009"/>
      <c r="AL40" s="970" t="s">
        <v>91</v>
      </c>
      <c r="AM40" s="991">
        <v>9.875</v>
      </c>
      <c r="AN40" s="991">
        <v>8.625</v>
      </c>
      <c r="AO40" s="991">
        <v>8.0969999999999995</v>
      </c>
    </row>
    <row r="41" spans="1:41" ht="15.75" customHeight="1" thickBot="1" x14ac:dyDescent="0.25">
      <c r="A41" s="802"/>
      <c r="B41" s="823"/>
      <c r="C41" s="827"/>
      <c r="D41" s="827"/>
      <c r="E41" s="836"/>
      <c r="F41" s="2120" t="s">
        <v>2639</v>
      </c>
      <c r="G41" s="2162" t="s">
        <v>2615</v>
      </c>
      <c r="H41" s="2232"/>
      <c r="I41" s="2233">
        <f>IF(Rockbits!F6=0,"-",Rockbits!F6)</f>
        <v>4</v>
      </c>
      <c r="J41" s="2232">
        <v>1</v>
      </c>
      <c r="K41" s="2234">
        <f>IF(Rockbits!I6=0,"-",Rockbits!I6)</f>
        <v>7</v>
      </c>
      <c r="N41" s="1698" t="s">
        <v>899</v>
      </c>
      <c r="O41" s="1952"/>
      <c r="P41" s="1699"/>
      <c r="Q41" s="1700"/>
      <c r="R41" s="822"/>
      <c r="S41" s="822"/>
      <c r="T41" s="822"/>
      <c r="U41" s="822"/>
      <c r="V41" s="822"/>
      <c r="W41" s="822"/>
      <c r="X41" s="822"/>
      <c r="Y41" s="822"/>
      <c r="Z41" s="1008"/>
      <c r="AA41" s="1008"/>
      <c r="AB41" s="1005"/>
      <c r="AC41" s="1005"/>
      <c r="AD41" s="1005"/>
      <c r="AE41" s="1005"/>
      <c r="AF41" s="1005"/>
      <c r="AG41" s="1005"/>
      <c r="AH41" s="1005"/>
      <c r="AI41" s="1009"/>
      <c r="AJ41" s="1009"/>
      <c r="AK41" s="1009"/>
      <c r="AL41" s="1009"/>
      <c r="AM41" s="993">
        <v>7.875</v>
      </c>
      <c r="AN41" s="993">
        <v>7</v>
      </c>
      <c r="AO41" s="993">
        <v>6.3659999999999997</v>
      </c>
    </row>
    <row r="42" spans="1:41" ht="15.75" customHeight="1" thickBot="1" x14ac:dyDescent="0.25">
      <c r="A42" s="802"/>
      <c r="B42" s="823"/>
      <c r="C42" s="827"/>
      <c r="D42" s="827"/>
      <c r="E42" s="836"/>
      <c r="F42" s="2120" t="s">
        <v>2640</v>
      </c>
      <c r="G42" s="2162" t="s">
        <v>2617</v>
      </c>
      <c r="H42" s="2232">
        <v>1</v>
      </c>
      <c r="I42" s="2233">
        <f>IF(Rockbits!F7=0,"-",Rockbits!F7)</f>
        <v>4</v>
      </c>
      <c r="J42" s="2232">
        <v>1</v>
      </c>
      <c r="K42" s="2234">
        <f>IF(Rockbits!I7=0,"-",Rockbits!I7)</f>
        <v>19</v>
      </c>
      <c r="L42" s="837"/>
      <c r="M42" s="838"/>
      <c r="N42" s="1703" t="s">
        <v>1253</v>
      </c>
      <c r="O42" s="1953"/>
      <c r="P42" s="1701"/>
      <c r="Q42" s="1702"/>
      <c r="R42" s="822"/>
      <c r="S42" s="822"/>
      <c r="T42" s="822"/>
      <c r="U42" s="822"/>
      <c r="V42" s="822"/>
      <c r="W42" s="822"/>
      <c r="X42" s="822"/>
      <c r="Y42" s="822"/>
      <c r="Z42" s="1008"/>
      <c r="AA42" s="1008"/>
      <c r="AB42" s="1005"/>
      <c r="AC42" s="1010"/>
      <c r="AD42" s="1011"/>
      <c r="AE42" s="1005"/>
      <c r="AF42" s="1005"/>
      <c r="AG42" s="1005"/>
      <c r="AH42" s="1005"/>
      <c r="AI42" s="1009"/>
      <c r="AJ42" s="1009"/>
      <c r="AK42" s="1009"/>
      <c r="AL42" s="1009"/>
      <c r="AM42" s="991">
        <v>8.5</v>
      </c>
      <c r="AN42" s="991">
        <v>7</v>
      </c>
      <c r="AO42" s="992">
        <v>6.2759999999999998</v>
      </c>
    </row>
    <row r="43" spans="1:41" ht="15.75" customHeight="1" x14ac:dyDescent="0.2">
      <c r="A43" s="802"/>
      <c r="B43" s="823"/>
      <c r="C43" s="827"/>
      <c r="D43" s="827"/>
      <c r="E43" s="836"/>
      <c r="F43" s="2120" t="s">
        <v>2640</v>
      </c>
      <c r="G43" s="2162" t="s">
        <v>2618</v>
      </c>
      <c r="H43" s="2232"/>
      <c r="I43" s="2233" t="str">
        <f>IF(Rockbits!F8=0,"-",Rockbits!F8)</f>
        <v>-</v>
      </c>
      <c r="J43" s="2232"/>
      <c r="K43" s="2234">
        <f>IF(Rockbits!I8=0,"-",Rockbits!I8)</f>
        <v>5</v>
      </c>
      <c r="L43" s="837"/>
      <c r="M43" s="838"/>
      <c r="N43" s="1369" t="s">
        <v>1094</v>
      </c>
      <c r="O43" s="1369"/>
      <c r="P43" s="822"/>
      <c r="Q43" s="822"/>
      <c r="R43" s="822"/>
      <c r="S43" s="822"/>
      <c r="T43" s="822"/>
      <c r="U43" s="822"/>
      <c r="V43" s="822"/>
      <c r="W43" s="822"/>
      <c r="X43" s="822"/>
      <c r="Y43" s="822"/>
      <c r="Z43" s="1008"/>
      <c r="AA43" s="1008"/>
      <c r="AB43" s="2383" t="s">
        <v>638</v>
      </c>
      <c r="AC43" s="2367" t="s">
        <v>636</v>
      </c>
      <c r="AD43" s="2367"/>
      <c r="AE43" s="2377" t="s">
        <v>637</v>
      </c>
      <c r="AF43" s="2378"/>
      <c r="AG43" s="2366" t="s">
        <v>677</v>
      </c>
      <c r="AH43" s="2367"/>
      <c r="AI43" s="2368"/>
      <c r="AJ43" s="1009"/>
      <c r="AK43" s="1009"/>
      <c r="AL43" s="1009"/>
      <c r="AM43" s="991">
        <v>6</v>
      </c>
      <c r="AN43" s="991">
        <v>5</v>
      </c>
      <c r="AO43" s="992">
        <v>4.4080000000000004</v>
      </c>
    </row>
    <row r="44" spans="1:41" ht="15.75" customHeight="1" x14ac:dyDescent="0.2">
      <c r="A44" s="802"/>
      <c r="B44" s="823"/>
      <c r="C44" s="827"/>
      <c r="D44" s="827"/>
      <c r="E44" s="836"/>
      <c r="F44" s="2122" t="s">
        <v>2641</v>
      </c>
      <c r="G44" s="2163" t="s">
        <v>2620</v>
      </c>
      <c r="H44" s="2232">
        <v>1</v>
      </c>
      <c r="I44" s="2233">
        <f>IF(Rockbits!F9=0,"-",Rockbits!F9)</f>
        <v>16</v>
      </c>
      <c r="J44" s="2232"/>
      <c r="K44" s="2234">
        <f>IF(Rockbits!I9=0,"-",Rockbits!I9)</f>
        <v>16</v>
      </c>
      <c r="L44" s="837"/>
      <c r="M44" s="838"/>
      <c r="N44" s="838"/>
      <c r="O44" s="838"/>
      <c r="P44" s="822"/>
      <c r="Q44" s="822"/>
      <c r="R44" s="822"/>
      <c r="S44" s="822"/>
      <c r="T44" s="822"/>
      <c r="U44" s="822"/>
      <c r="V44" s="822"/>
      <c r="W44" s="822"/>
      <c r="X44" s="822"/>
      <c r="Y44" s="822"/>
      <c r="Z44" s="1008"/>
      <c r="AA44" s="1008"/>
      <c r="AB44" s="2384"/>
      <c r="AC44" s="957" t="s">
        <v>88</v>
      </c>
      <c r="AD44" s="958" t="s">
        <v>357</v>
      </c>
      <c r="AE44" s="957" t="s">
        <v>88</v>
      </c>
      <c r="AF44" s="959" t="s">
        <v>357</v>
      </c>
      <c r="AG44" s="960" t="s">
        <v>42</v>
      </c>
      <c r="AH44" s="957" t="s">
        <v>90</v>
      </c>
      <c r="AI44" s="959" t="s">
        <v>403</v>
      </c>
      <c r="AJ44" s="1009"/>
      <c r="AK44" s="1009">
        <v>0</v>
      </c>
      <c r="AL44" s="1009"/>
      <c r="AM44" s="801"/>
    </row>
    <row r="45" spans="1:41" ht="15.75" customHeight="1" x14ac:dyDescent="0.2">
      <c r="A45" s="802"/>
      <c r="B45" s="823"/>
      <c r="C45" s="827"/>
      <c r="D45" s="827"/>
      <c r="E45" s="836"/>
      <c r="F45" s="2120" t="s">
        <v>2642</v>
      </c>
      <c r="G45" s="2162" t="s">
        <v>2621</v>
      </c>
      <c r="H45" s="2232"/>
      <c r="I45" s="2233">
        <f>IF(Rockbits!F10=0,"-",Rockbits!F10)</f>
        <v>2</v>
      </c>
      <c r="J45" s="2232"/>
      <c r="K45" s="2234">
        <f>IF(Rockbits!I10=0,"-",Rockbits!I10)</f>
        <v>3</v>
      </c>
      <c r="L45" s="837"/>
      <c r="M45" s="838"/>
      <c r="N45" s="838"/>
      <c r="O45" s="838"/>
      <c r="P45" s="822"/>
      <c r="Q45" s="822"/>
      <c r="R45" s="822"/>
      <c r="S45" s="822"/>
      <c r="T45" s="822"/>
      <c r="U45" s="822"/>
      <c r="V45" s="822"/>
      <c r="W45" s="822"/>
      <c r="X45" s="822"/>
      <c r="Y45" s="822"/>
      <c r="Z45" s="1008"/>
      <c r="AA45" s="1008"/>
      <c r="AB45" s="2114"/>
      <c r="AC45" s="2115"/>
      <c r="AD45" s="2116"/>
      <c r="AE45" s="2115"/>
      <c r="AF45" s="2117"/>
      <c r="AG45" s="2118"/>
      <c r="AH45" s="2115"/>
      <c r="AI45" s="2117"/>
      <c r="AJ45" s="1009"/>
      <c r="AK45" s="1009"/>
      <c r="AL45" s="1009"/>
      <c r="AM45" s="801"/>
    </row>
    <row r="46" spans="1:41" ht="15.75" customHeight="1" x14ac:dyDescent="0.2">
      <c r="A46" s="802"/>
      <c r="B46" s="823"/>
      <c r="C46" s="827"/>
      <c r="D46" s="827"/>
      <c r="E46" s="836"/>
      <c r="F46" s="2120" t="s">
        <v>2642</v>
      </c>
      <c r="G46" s="2162" t="s">
        <v>2622</v>
      </c>
      <c r="H46" s="2232"/>
      <c r="I46" s="2233" t="str">
        <f>IF(Rockbits!F11=0,"-",Rockbits!F11)</f>
        <v>-</v>
      </c>
      <c r="J46" s="2232"/>
      <c r="K46" s="2234" t="str">
        <f>IF(Rockbits!I11=0,"-",Rockbits!I11)</f>
        <v>-</v>
      </c>
      <c r="L46" s="837"/>
      <c r="M46" s="838"/>
      <c r="N46" s="838"/>
      <c r="O46" s="838"/>
      <c r="P46" s="822"/>
      <c r="Q46" s="822"/>
      <c r="R46" s="822"/>
      <c r="S46" s="822"/>
      <c r="T46" s="822"/>
      <c r="U46" s="822"/>
      <c r="V46" s="822"/>
      <c r="W46" s="822"/>
      <c r="X46" s="822"/>
      <c r="Y46" s="822"/>
      <c r="Z46" s="1008"/>
      <c r="AA46" s="1008"/>
      <c r="AB46" s="2114"/>
      <c r="AC46" s="2115"/>
      <c r="AD46" s="2116"/>
      <c r="AE46" s="2115"/>
      <c r="AF46" s="2117"/>
      <c r="AG46" s="2118"/>
      <c r="AH46" s="2115"/>
      <c r="AI46" s="2117"/>
      <c r="AJ46" s="1009"/>
      <c r="AK46" s="1009"/>
      <c r="AL46" s="1009"/>
      <c r="AM46" s="801"/>
    </row>
    <row r="47" spans="1:41" ht="15.75" customHeight="1" x14ac:dyDescent="0.2">
      <c r="A47" s="802"/>
      <c r="B47" s="823"/>
      <c r="C47" s="827"/>
      <c r="D47" s="827"/>
      <c r="E47" s="836"/>
      <c r="F47" s="2120" t="s">
        <v>2642</v>
      </c>
      <c r="G47" s="2162" t="s">
        <v>2623</v>
      </c>
      <c r="H47" s="2232"/>
      <c r="I47" s="2233">
        <f>IF(Rockbits!F12=0,"-",Rockbits!F12)</f>
        <v>22</v>
      </c>
      <c r="J47" s="2232"/>
      <c r="K47" s="2234">
        <f>IF(Rockbits!I12=0,"-",Rockbits!I12)</f>
        <v>1</v>
      </c>
      <c r="L47" s="837"/>
      <c r="M47" s="838"/>
      <c r="N47" s="838"/>
      <c r="O47" s="838"/>
      <c r="P47" s="822"/>
      <c r="Q47" s="822"/>
      <c r="R47" s="822"/>
      <c r="S47" s="822"/>
      <c r="T47" s="822"/>
      <c r="U47" s="822"/>
      <c r="V47" s="822"/>
      <c r="W47" s="822"/>
      <c r="X47" s="822"/>
      <c r="Y47" s="822"/>
      <c r="Z47" s="1008"/>
      <c r="AA47" s="1008"/>
      <c r="AB47" s="2114"/>
      <c r="AC47" s="2115"/>
      <c r="AD47" s="2116"/>
      <c r="AE47" s="2115"/>
      <c r="AF47" s="2117"/>
      <c r="AG47" s="2118"/>
      <c r="AH47" s="2115"/>
      <c r="AI47" s="2117"/>
      <c r="AJ47" s="1009"/>
      <c r="AK47" s="1009"/>
      <c r="AL47" s="1009"/>
      <c r="AM47" s="801"/>
    </row>
    <row r="48" spans="1:41" ht="15.75" customHeight="1" x14ac:dyDescent="0.2">
      <c r="A48" s="802"/>
      <c r="B48" s="823"/>
      <c r="C48" s="827"/>
      <c r="D48" s="827"/>
      <c r="E48" s="836"/>
      <c r="F48" s="2120" t="s">
        <v>2642</v>
      </c>
      <c r="G48" s="2162" t="s">
        <v>2624</v>
      </c>
      <c r="H48" s="2232"/>
      <c r="I48" s="2233" t="str">
        <f>IF(Rockbits!F13=0,"-",Rockbits!F13)</f>
        <v>-</v>
      </c>
      <c r="J48" s="2232"/>
      <c r="K48" s="2234">
        <f>IF(Rockbits!I13=0,"-",Rockbits!I13)</f>
        <v>2</v>
      </c>
      <c r="L48" s="837"/>
      <c r="M48" s="838"/>
      <c r="N48" s="838"/>
      <c r="O48" s="838"/>
      <c r="P48" s="822"/>
      <c r="Q48" s="822"/>
      <c r="R48" s="822"/>
      <c r="S48" s="822"/>
      <c r="T48" s="822"/>
      <c r="U48" s="822"/>
      <c r="V48" s="822"/>
      <c r="W48" s="822"/>
      <c r="X48" s="822"/>
      <c r="Y48" s="822"/>
      <c r="Z48" s="1008"/>
      <c r="AA48" s="1008"/>
      <c r="AB48" s="2114"/>
      <c r="AC48" s="2115"/>
      <c r="AD48" s="2116"/>
      <c r="AE48" s="2115"/>
      <c r="AF48" s="2117"/>
      <c r="AG48" s="2118"/>
      <c r="AH48" s="2115"/>
      <c r="AI48" s="2117"/>
      <c r="AJ48" s="1009"/>
      <c r="AK48" s="1009"/>
      <c r="AL48" s="1009"/>
      <c r="AM48" s="801"/>
    </row>
    <row r="49" spans="1:39" ht="15.75" customHeight="1" x14ac:dyDescent="0.2">
      <c r="A49" s="802"/>
      <c r="B49" s="823"/>
      <c r="C49" s="827"/>
      <c r="D49" s="827"/>
      <c r="E49" s="836"/>
      <c r="F49" s="2120" t="s">
        <v>2642</v>
      </c>
      <c r="G49" s="2162" t="s">
        <v>2625</v>
      </c>
      <c r="H49" s="2232"/>
      <c r="I49" s="2233">
        <f>IF(Rockbits!F14=0,"-",Rockbits!F14)</f>
        <v>12</v>
      </c>
      <c r="J49" s="2232"/>
      <c r="K49" s="2234">
        <f>IF(Rockbits!I14=0,"-",Rockbits!I14)</f>
        <v>6</v>
      </c>
      <c r="L49" s="837"/>
      <c r="M49" s="838"/>
      <c r="N49" s="838"/>
      <c r="O49" s="838"/>
      <c r="P49" s="822"/>
      <c r="Q49" s="822"/>
      <c r="R49" s="822"/>
      <c r="S49" s="822"/>
      <c r="T49" s="822"/>
      <c r="U49" s="822"/>
      <c r="V49" s="822"/>
      <c r="W49" s="822"/>
      <c r="X49" s="822"/>
      <c r="Y49" s="822"/>
      <c r="Z49" s="1008"/>
      <c r="AA49" s="1008"/>
      <c r="AB49" s="2114"/>
      <c r="AC49" s="2115"/>
      <c r="AD49" s="2116"/>
      <c r="AE49" s="2115"/>
      <c r="AF49" s="2117"/>
      <c r="AG49" s="2118"/>
      <c r="AH49" s="2115"/>
      <c r="AI49" s="2117"/>
      <c r="AJ49" s="1009"/>
      <c r="AK49" s="1009"/>
      <c r="AL49" s="1009"/>
      <c r="AM49" s="801"/>
    </row>
    <row r="50" spans="1:39" ht="15.75" customHeight="1" x14ac:dyDescent="0.2">
      <c r="A50" s="802"/>
      <c r="B50" s="823"/>
      <c r="C50" s="827"/>
      <c r="D50" s="827"/>
      <c r="E50" s="836"/>
      <c r="F50" s="2122" t="s">
        <v>2643</v>
      </c>
      <c r="G50" s="2163" t="s">
        <v>2627</v>
      </c>
      <c r="H50" s="2232">
        <v>1</v>
      </c>
      <c r="I50" s="2233">
        <f>IF(Rockbits!F15=0,"-",Rockbits!F15)</f>
        <v>18</v>
      </c>
      <c r="J50" s="2232"/>
      <c r="K50" s="2234">
        <f>IF(Rockbits!I15=0,"-",Rockbits!I15)</f>
        <v>2</v>
      </c>
      <c r="L50" s="837"/>
      <c r="M50" s="838"/>
      <c r="N50" s="838"/>
      <c r="O50" s="838"/>
      <c r="P50" s="822"/>
      <c r="Q50" s="822"/>
      <c r="R50" s="822"/>
      <c r="S50" s="822"/>
      <c r="T50" s="822"/>
      <c r="U50" s="822"/>
      <c r="V50" s="822"/>
      <c r="W50" s="822"/>
      <c r="X50" s="822"/>
      <c r="Y50" s="822"/>
      <c r="Z50" s="1008"/>
      <c r="AA50" s="1008"/>
      <c r="AB50" s="2114"/>
      <c r="AC50" s="2115"/>
      <c r="AD50" s="2116"/>
      <c r="AE50" s="2115"/>
      <c r="AF50" s="2117"/>
      <c r="AG50" s="2118"/>
      <c r="AH50" s="2115"/>
      <c r="AI50" s="2117"/>
      <c r="AJ50" s="1009"/>
      <c r="AK50" s="1009"/>
      <c r="AL50" s="1009"/>
      <c r="AM50" s="801"/>
    </row>
    <row r="51" spans="1:39" ht="15.75" customHeight="1" x14ac:dyDescent="0.2">
      <c r="A51" s="802"/>
      <c r="B51" s="823"/>
      <c r="C51" s="827"/>
      <c r="D51" s="827"/>
      <c r="E51" s="836"/>
      <c r="F51" s="2120" t="s">
        <v>2644</v>
      </c>
      <c r="G51" s="2162" t="s">
        <v>2628</v>
      </c>
      <c r="H51" s="2232"/>
      <c r="I51" s="2233">
        <f>IF(Rockbits!F16=0,"-",Rockbits!F16)</f>
        <v>4</v>
      </c>
      <c r="J51" s="2232"/>
      <c r="K51" s="2234" t="str">
        <f>IF(Rockbits!I16=0,"-",Rockbits!I16)</f>
        <v>-</v>
      </c>
      <c r="L51" s="837"/>
      <c r="M51" s="838"/>
      <c r="N51" s="838"/>
      <c r="O51" s="838"/>
      <c r="P51" s="822"/>
      <c r="Q51" s="822"/>
      <c r="R51" s="822"/>
      <c r="S51" s="822"/>
      <c r="T51" s="822"/>
      <c r="U51" s="822"/>
      <c r="V51" s="822"/>
      <c r="W51" s="822"/>
      <c r="X51" s="822"/>
      <c r="Y51" s="822"/>
      <c r="Z51" s="1008"/>
      <c r="AA51" s="1008"/>
      <c r="AB51" s="2114"/>
      <c r="AC51" s="2115"/>
      <c r="AD51" s="2116"/>
      <c r="AE51" s="2115"/>
      <c r="AF51" s="2117"/>
      <c r="AG51" s="2118"/>
      <c r="AH51" s="2115"/>
      <c r="AI51" s="2117"/>
      <c r="AJ51" s="1009"/>
      <c r="AK51" s="1009"/>
      <c r="AL51" s="1009"/>
      <c r="AM51" s="801"/>
    </row>
    <row r="52" spans="1:39" ht="15.75" customHeight="1" x14ac:dyDescent="0.2">
      <c r="A52" s="802"/>
      <c r="B52" s="823"/>
      <c r="C52" s="827"/>
      <c r="D52" s="827"/>
      <c r="E52" s="836"/>
      <c r="F52" s="2120" t="s">
        <v>2644</v>
      </c>
      <c r="G52" s="2162" t="s">
        <v>2622</v>
      </c>
      <c r="H52" s="2232"/>
      <c r="I52" s="2233" t="str">
        <f>IF(Rockbits!F17=0,"-",Rockbits!F17)</f>
        <v>-</v>
      </c>
      <c r="J52" s="2232"/>
      <c r="K52" s="2234">
        <f>IF(Rockbits!I17=0,"-",Rockbits!I17)</f>
        <v>3</v>
      </c>
      <c r="L52" s="837"/>
      <c r="M52" s="838"/>
      <c r="N52" s="838"/>
      <c r="O52" s="838"/>
      <c r="P52" s="822"/>
      <c r="Q52" s="822"/>
      <c r="R52" s="822"/>
      <c r="S52" s="822"/>
      <c r="T52" s="822"/>
      <c r="U52" s="822"/>
      <c r="V52" s="822"/>
      <c r="W52" s="822"/>
      <c r="X52" s="822"/>
      <c r="Y52" s="822"/>
      <c r="Z52" s="1008"/>
      <c r="AA52" s="1008"/>
      <c r="AB52" s="2114"/>
      <c r="AC52" s="2115"/>
      <c r="AD52" s="2116"/>
      <c r="AE52" s="2115"/>
      <c r="AF52" s="2117"/>
      <c r="AG52" s="2118"/>
      <c r="AH52" s="2115"/>
      <c r="AI52" s="2117"/>
      <c r="AJ52" s="1009"/>
      <c r="AK52" s="1009"/>
      <c r="AL52" s="1009"/>
      <c r="AM52" s="801"/>
    </row>
    <row r="53" spans="1:39" ht="15.75" customHeight="1" x14ac:dyDescent="0.2">
      <c r="A53" s="802"/>
      <c r="B53" s="823"/>
      <c r="C53" s="827"/>
      <c r="D53" s="827"/>
      <c r="E53" s="836"/>
      <c r="F53" s="2120" t="s">
        <v>2644</v>
      </c>
      <c r="G53" s="2162" t="s">
        <v>2623</v>
      </c>
      <c r="H53" s="2232"/>
      <c r="I53" s="2233">
        <f>IF(Rockbits!F18=0,"-",Rockbits!F18)</f>
        <v>2</v>
      </c>
      <c r="J53" s="2232"/>
      <c r="K53" s="2234">
        <f>IF(Rockbits!I18=0,"-",Rockbits!I18)</f>
        <v>10</v>
      </c>
      <c r="L53" s="837"/>
      <c r="M53" s="838"/>
      <c r="N53" s="838"/>
      <c r="O53" s="838"/>
      <c r="P53" s="822"/>
      <c r="Q53" s="822"/>
      <c r="R53" s="822"/>
      <c r="S53" s="822"/>
      <c r="T53" s="822"/>
      <c r="U53" s="822"/>
      <c r="V53" s="822"/>
      <c r="W53" s="822"/>
      <c r="X53" s="822"/>
      <c r="Y53" s="822"/>
      <c r="Z53" s="1008"/>
      <c r="AA53" s="1008"/>
      <c r="AB53" s="2114"/>
      <c r="AC53" s="2115"/>
      <c r="AD53" s="2116"/>
      <c r="AE53" s="2115"/>
      <c r="AF53" s="2117"/>
      <c r="AG53" s="2118"/>
      <c r="AH53" s="2115"/>
      <c r="AI53" s="2117"/>
      <c r="AJ53" s="1009"/>
      <c r="AK53" s="1009"/>
      <c r="AL53" s="1009"/>
      <c r="AM53" s="801"/>
    </row>
    <row r="54" spans="1:39" ht="15.75" customHeight="1" x14ac:dyDescent="0.2">
      <c r="A54" s="802"/>
      <c r="B54" s="823"/>
      <c r="C54" s="827"/>
      <c r="D54" s="827"/>
      <c r="E54" s="836"/>
      <c r="F54" s="2120" t="s">
        <v>2644</v>
      </c>
      <c r="G54" s="2162" t="s">
        <v>2625</v>
      </c>
      <c r="H54" s="2232"/>
      <c r="I54" s="2233">
        <f>IF(Rockbits!F19=0,"-",Rockbits!F19)</f>
        <v>1</v>
      </c>
      <c r="J54" s="2232"/>
      <c r="K54" s="2234">
        <f>IF(Rockbits!I19=0,"-",Rockbits!I19)</f>
        <v>3</v>
      </c>
      <c r="L54" s="837"/>
      <c r="M54" s="838"/>
      <c r="N54" s="838"/>
      <c r="O54" s="838"/>
      <c r="P54" s="822"/>
      <c r="Q54" s="822"/>
      <c r="R54" s="822"/>
      <c r="S54" s="822"/>
      <c r="T54" s="822"/>
      <c r="U54" s="822"/>
      <c r="V54" s="822"/>
      <c r="W54" s="822"/>
      <c r="X54" s="822"/>
      <c r="Y54" s="822"/>
      <c r="Z54" s="1008"/>
      <c r="AA54" s="1008"/>
      <c r="AB54" s="2114"/>
      <c r="AC54" s="2115"/>
      <c r="AD54" s="2116"/>
      <c r="AE54" s="2115"/>
      <c r="AF54" s="2117"/>
      <c r="AG54" s="2118"/>
      <c r="AH54" s="2115"/>
      <c r="AI54" s="2117"/>
      <c r="AJ54" s="1009"/>
      <c r="AK54" s="1009"/>
      <c r="AL54" s="1009"/>
      <c r="AM54" s="801"/>
    </row>
    <row r="55" spans="1:39" ht="15.75" customHeight="1" x14ac:dyDescent="0.2">
      <c r="A55" s="802"/>
      <c r="B55" s="823"/>
      <c r="C55" s="827"/>
      <c r="D55" s="827"/>
      <c r="E55" s="836"/>
      <c r="F55" s="2123" t="s">
        <v>2645</v>
      </c>
      <c r="G55" s="2163" t="s">
        <v>2630</v>
      </c>
      <c r="H55" s="2232"/>
      <c r="I55" s="2233">
        <f>IF(Rockbits!F20=0,"-",Rockbits!F20)</f>
        <v>14</v>
      </c>
      <c r="J55" s="2232"/>
      <c r="K55" s="2234">
        <f>IF(Rockbits!I20=0,"-",Rockbits!I20)</f>
        <v>3</v>
      </c>
      <c r="L55" s="837"/>
      <c r="M55" s="838"/>
      <c r="N55" s="838"/>
      <c r="O55" s="838"/>
      <c r="P55" s="822"/>
      <c r="Q55" s="822"/>
      <c r="R55" s="822"/>
      <c r="S55" s="822"/>
      <c r="T55" s="822"/>
      <c r="U55" s="822"/>
      <c r="V55" s="822"/>
      <c r="W55" s="822"/>
      <c r="X55" s="822"/>
      <c r="Y55" s="822"/>
      <c r="Z55" s="1008"/>
      <c r="AA55" s="1008"/>
      <c r="AB55" s="2114"/>
      <c r="AC55" s="2115"/>
      <c r="AD55" s="2116"/>
      <c r="AE55" s="2115"/>
      <c r="AF55" s="2117"/>
      <c r="AG55" s="2118"/>
      <c r="AH55" s="2115"/>
      <c r="AI55" s="2117"/>
      <c r="AJ55" s="1009"/>
      <c r="AK55" s="1009"/>
      <c r="AL55" s="1009"/>
      <c r="AM55" s="801"/>
    </row>
    <row r="56" spans="1:39" ht="15.75" customHeight="1" x14ac:dyDescent="0.2">
      <c r="A56" s="802"/>
      <c r="B56" s="823"/>
      <c r="C56" s="827"/>
      <c r="D56" s="827"/>
      <c r="E56" s="836"/>
      <c r="F56" s="2121" t="s">
        <v>2646</v>
      </c>
      <c r="G56" s="2162" t="s">
        <v>2631</v>
      </c>
      <c r="H56" s="2232"/>
      <c r="I56" s="2233">
        <f>IF(Rockbits!F21=0,"-",Rockbits!F21)</f>
        <v>1</v>
      </c>
      <c r="J56" s="2232"/>
      <c r="K56" s="2234" t="str">
        <f>IF(Rockbits!I21=0,"-",Rockbits!I21)</f>
        <v>-</v>
      </c>
      <c r="L56" s="837"/>
      <c r="M56" s="838"/>
      <c r="N56" s="838"/>
      <c r="O56" s="838"/>
      <c r="P56" s="822"/>
      <c r="Q56" s="822"/>
      <c r="R56" s="822"/>
      <c r="S56" s="822"/>
      <c r="T56" s="822"/>
      <c r="U56" s="822"/>
      <c r="V56" s="822"/>
      <c r="W56" s="822"/>
      <c r="X56" s="822"/>
      <c r="Y56" s="822"/>
      <c r="Z56" s="1008"/>
      <c r="AA56" s="1008"/>
      <c r="AB56" s="2114"/>
      <c r="AC56" s="2115"/>
      <c r="AD56" s="2116"/>
      <c r="AE56" s="2115"/>
      <c r="AF56" s="2117"/>
      <c r="AG56" s="2118"/>
      <c r="AH56" s="2115"/>
      <c r="AI56" s="2117"/>
      <c r="AJ56" s="1009"/>
      <c r="AK56" s="1009"/>
      <c r="AL56" s="1009"/>
      <c r="AM56" s="801"/>
    </row>
    <row r="57" spans="1:39" ht="15.75" customHeight="1" x14ac:dyDescent="0.2">
      <c r="A57" s="802"/>
      <c r="B57" s="823"/>
      <c r="C57" s="827"/>
      <c r="D57" s="827"/>
      <c r="E57" s="836"/>
      <c r="F57" s="2121" t="s">
        <v>2646</v>
      </c>
      <c r="G57" s="2162" t="s">
        <v>2625</v>
      </c>
      <c r="H57" s="2232"/>
      <c r="I57" s="2233" t="str">
        <f>IF(Rockbits!F22=0,"-",Rockbits!F22)</f>
        <v>-</v>
      </c>
      <c r="J57" s="2232"/>
      <c r="K57" s="2234">
        <f>IF(Rockbits!I22=0,"-",Rockbits!I22)</f>
        <v>9</v>
      </c>
      <c r="L57" s="837"/>
      <c r="M57" s="838"/>
      <c r="N57" s="838"/>
      <c r="O57" s="838"/>
      <c r="P57" s="822"/>
      <c r="Q57" s="822"/>
      <c r="R57" s="822"/>
      <c r="S57" s="822"/>
      <c r="T57" s="822"/>
      <c r="U57" s="822"/>
      <c r="V57" s="822"/>
      <c r="W57" s="822"/>
      <c r="X57" s="822"/>
      <c r="Y57" s="822"/>
      <c r="Z57" s="1008"/>
      <c r="AA57" s="1008"/>
      <c r="AB57" s="2114"/>
      <c r="AC57" s="2115"/>
      <c r="AD57" s="2116"/>
      <c r="AE57" s="2115"/>
      <c r="AF57" s="2117"/>
      <c r="AG57" s="2118"/>
      <c r="AH57" s="2115"/>
      <c r="AI57" s="2117"/>
      <c r="AJ57" s="1009"/>
      <c r="AK57" s="1009"/>
      <c r="AL57" s="1009"/>
      <c r="AM57" s="801"/>
    </row>
    <row r="58" spans="1:39" ht="15.75" customHeight="1" x14ac:dyDescent="0.2">
      <c r="A58" s="802"/>
      <c r="B58" s="823"/>
      <c r="C58" s="827"/>
      <c r="D58" s="827"/>
      <c r="E58" s="836"/>
      <c r="F58" s="2123" t="s">
        <v>2647</v>
      </c>
      <c r="G58" s="2163" t="s">
        <v>2627</v>
      </c>
      <c r="H58" s="2232"/>
      <c r="I58" s="2233">
        <f>IF(Rockbits!F23=0,"-",Rockbits!F23)</f>
        <v>4</v>
      </c>
      <c r="J58" s="2232"/>
      <c r="K58" s="2234" t="str">
        <f>IF(Rockbits!I23=0,"-",Rockbits!I23)</f>
        <v>-</v>
      </c>
      <c r="L58" s="837"/>
      <c r="M58" s="838"/>
      <c r="N58" s="838"/>
      <c r="O58" s="838"/>
      <c r="P58" s="822"/>
      <c r="Q58" s="822"/>
      <c r="R58" s="822"/>
      <c r="S58" s="822"/>
      <c r="T58" s="822"/>
      <c r="U58" s="822"/>
      <c r="V58" s="822"/>
      <c r="W58" s="822"/>
      <c r="X58" s="822"/>
      <c r="Y58" s="822"/>
      <c r="Z58" s="1008"/>
      <c r="AA58" s="1008"/>
      <c r="AB58" s="2114"/>
      <c r="AC58" s="2115"/>
      <c r="AD58" s="2116"/>
      <c r="AE58" s="2115"/>
      <c r="AF58" s="2117"/>
      <c r="AG58" s="2118"/>
      <c r="AH58" s="2115"/>
      <c r="AI58" s="2117"/>
      <c r="AJ58" s="1009"/>
      <c r="AK58" s="1009"/>
      <c r="AL58" s="1009"/>
      <c r="AM58" s="801"/>
    </row>
    <row r="59" spans="1:39" ht="15.75" customHeight="1" x14ac:dyDescent="0.2">
      <c r="A59" s="802"/>
      <c r="B59" s="823"/>
      <c r="C59" s="827"/>
      <c r="D59" s="827"/>
      <c r="E59" s="836"/>
      <c r="F59" s="2121" t="s">
        <v>2648</v>
      </c>
      <c r="G59" s="2162" t="s">
        <v>2621</v>
      </c>
      <c r="H59" s="2232"/>
      <c r="I59" s="2233">
        <f>IF(Rockbits!F24=0,"-",Rockbits!F24)</f>
        <v>3</v>
      </c>
      <c r="J59" s="2232"/>
      <c r="K59" s="2234">
        <f>IF(Rockbits!I24=0,"-",Rockbits!I24)</f>
        <v>2</v>
      </c>
      <c r="L59" s="837"/>
      <c r="M59" s="838"/>
      <c r="N59" s="838"/>
      <c r="O59" s="838"/>
      <c r="P59" s="822"/>
      <c r="Q59" s="822"/>
      <c r="R59" s="822"/>
      <c r="S59" s="822"/>
      <c r="T59" s="822"/>
      <c r="U59" s="822"/>
      <c r="V59" s="822"/>
      <c r="W59" s="822"/>
      <c r="X59" s="822"/>
      <c r="Y59" s="822"/>
      <c r="Z59" s="1008"/>
      <c r="AA59" s="1008"/>
      <c r="AB59" s="2114"/>
      <c r="AC59" s="2115"/>
      <c r="AD59" s="2116"/>
      <c r="AE59" s="2115"/>
      <c r="AF59" s="2117"/>
      <c r="AG59" s="2118"/>
      <c r="AH59" s="2115"/>
      <c r="AI59" s="2117"/>
      <c r="AJ59" s="1009"/>
      <c r="AK59" s="1009"/>
      <c r="AL59" s="1009"/>
      <c r="AM59" s="801"/>
    </row>
    <row r="60" spans="1:39" ht="15.75" customHeight="1" x14ac:dyDescent="0.2">
      <c r="A60" s="802"/>
      <c r="B60" s="823"/>
      <c r="C60" s="827"/>
      <c r="D60" s="827"/>
      <c r="E60" s="836"/>
      <c r="F60" s="2121" t="s">
        <v>2648</v>
      </c>
      <c r="G60" s="2162" t="s">
        <v>2622</v>
      </c>
      <c r="H60" s="2232"/>
      <c r="I60" s="2233">
        <f>IF(Rockbits!F25=0,"-",Rockbits!F25)</f>
        <v>3</v>
      </c>
      <c r="J60" s="2232"/>
      <c r="K60" s="2234" t="str">
        <f>IF(Rockbits!I25=0,"-",Rockbits!I25)</f>
        <v>-</v>
      </c>
      <c r="L60" s="837"/>
      <c r="M60" s="838"/>
      <c r="N60" s="838"/>
      <c r="O60" s="838"/>
      <c r="P60" s="822"/>
      <c r="Q60" s="822"/>
      <c r="R60" s="822"/>
      <c r="S60" s="822"/>
      <c r="T60" s="822"/>
      <c r="U60" s="822"/>
      <c r="V60" s="822"/>
      <c r="W60" s="822"/>
      <c r="X60" s="822"/>
      <c r="Y60" s="822"/>
      <c r="Z60" s="1008"/>
      <c r="AA60" s="1008"/>
      <c r="AB60" s="2114"/>
      <c r="AC60" s="2115"/>
      <c r="AD60" s="2116"/>
      <c r="AE60" s="2115"/>
      <c r="AF60" s="2117"/>
      <c r="AG60" s="2118"/>
      <c r="AH60" s="2115"/>
      <c r="AI60" s="2117"/>
      <c r="AJ60" s="1009"/>
      <c r="AK60" s="1009"/>
      <c r="AL60" s="1009"/>
      <c r="AM60" s="801"/>
    </row>
    <row r="61" spans="1:39" ht="15.75" customHeight="1" x14ac:dyDescent="0.2">
      <c r="A61" s="802"/>
      <c r="B61" s="823"/>
      <c r="C61" s="827"/>
      <c r="D61" s="827"/>
      <c r="E61" s="814"/>
      <c r="F61" s="2121" t="s">
        <v>2648</v>
      </c>
      <c r="G61" s="2162" t="s">
        <v>2623</v>
      </c>
      <c r="H61" s="2232"/>
      <c r="I61" s="2233">
        <f>IF(Rockbits!F26=0,"-",Rockbits!F26)</f>
        <v>1</v>
      </c>
      <c r="J61" s="2232"/>
      <c r="K61" s="2234" t="str">
        <f>IF(Rockbits!I26=0,"-",Rockbits!I26)</f>
        <v>-</v>
      </c>
      <c r="L61" s="811"/>
      <c r="M61" s="803"/>
      <c r="N61" s="803"/>
      <c r="O61" s="803"/>
      <c r="P61" s="803"/>
      <c r="Q61" s="803"/>
      <c r="R61" s="803"/>
      <c r="S61" s="803"/>
      <c r="T61" s="803"/>
      <c r="U61" s="803"/>
      <c r="V61" s="803"/>
      <c r="W61" s="803"/>
      <c r="X61" s="803"/>
      <c r="Y61" s="803"/>
      <c r="Z61" s="1005"/>
      <c r="AA61" s="1005"/>
      <c r="AB61" s="973" t="s">
        <v>76</v>
      </c>
      <c r="AC61" s="1297">
        <v>2</v>
      </c>
      <c r="AD61" s="987">
        <v>2</v>
      </c>
      <c r="AE61" s="1297">
        <v>2</v>
      </c>
      <c r="AF61" s="1298">
        <v>2</v>
      </c>
      <c r="AG61" s="1536">
        <f>Q7</f>
        <v>2</v>
      </c>
      <c r="AH61" s="1536">
        <f t="shared" ref="AG61:AH67" si="6">R7</f>
        <v>4</v>
      </c>
      <c r="AI61" s="1540">
        <f>IF(D18="NO",SUM(AH61,AG61),0)</f>
        <v>0</v>
      </c>
      <c r="AJ61" s="1009"/>
      <c r="AK61" s="1009">
        <v>1</v>
      </c>
      <c r="AL61" s="1009"/>
      <c r="AM61" s="801"/>
    </row>
    <row r="62" spans="1:39" ht="18" x14ac:dyDescent="0.2">
      <c r="A62" s="802"/>
      <c r="B62" s="823"/>
      <c r="C62" s="827"/>
      <c r="D62" s="827"/>
      <c r="E62" s="823"/>
      <c r="F62" s="2121" t="s">
        <v>2648</v>
      </c>
      <c r="G62" s="2162" t="s">
        <v>2625</v>
      </c>
      <c r="H62" s="2232"/>
      <c r="I62" s="2233" t="str">
        <f>IF(Rockbits!F27=0,"-",Rockbits!F27)</f>
        <v>-</v>
      </c>
      <c r="J62" s="2232"/>
      <c r="K62" s="2234" t="str">
        <f>IF(Rockbits!I27=0,"-",Rockbits!I27)</f>
        <v>-</v>
      </c>
      <c r="L62" s="823"/>
      <c r="M62" s="803"/>
      <c r="N62" s="803"/>
      <c r="O62" s="803"/>
      <c r="P62" s="803"/>
      <c r="Q62" s="803"/>
      <c r="R62" s="803"/>
      <c r="S62" s="803"/>
      <c r="T62" s="803"/>
      <c r="U62" s="803"/>
      <c r="V62" s="803"/>
      <c r="W62" s="803"/>
      <c r="X62" s="803"/>
      <c r="Y62" s="803"/>
      <c r="Z62" s="1005"/>
      <c r="AA62" s="1005"/>
      <c r="AB62" s="973" t="s">
        <v>78</v>
      </c>
      <c r="AC62" s="1297">
        <v>4</v>
      </c>
      <c r="AD62" s="1297">
        <v>4</v>
      </c>
      <c r="AE62" s="1297">
        <v>4</v>
      </c>
      <c r="AF62" s="1297">
        <v>4</v>
      </c>
      <c r="AG62" s="1536">
        <f t="shared" si="6"/>
        <v>5</v>
      </c>
      <c r="AH62" s="1536">
        <f t="shared" si="6"/>
        <v>4</v>
      </c>
      <c r="AI62" s="1541">
        <f t="shared" ref="AI62:AI67" si="7">SUM(AH62,AG62)</f>
        <v>9</v>
      </c>
      <c r="AJ62" s="1009"/>
      <c r="AK62" s="1009">
        <v>2</v>
      </c>
      <c r="AL62" s="1276"/>
      <c r="AM62" s="801"/>
    </row>
    <row r="63" spans="1:39" ht="15" customHeight="1" x14ac:dyDescent="0.2">
      <c r="B63" s="801"/>
      <c r="C63" s="801"/>
      <c r="D63" s="801"/>
      <c r="E63" s="801"/>
      <c r="F63" s="2120" t="s">
        <v>2649</v>
      </c>
      <c r="G63" s="2162" t="s">
        <v>2634</v>
      </c>
      <c r="H63" s="2232"/>
      <c r="I63" s="2233">
        <f>IF(Rockbits!F28=0,"-",Rockbits!F28)</f>
        <v>8</v>
      </c>
      <c r="J63" s="2232"/>
      <c r="K63" s="2234" t="str">
        <f>IF(Rockbits!I28=0,"-",Rockbits!I28)</f>
        <v>-</v>
      </c>
      <c r="AB63" s="974" t="s">
        <v>115</v>
      </c>
      <c r="AC63" s="1297">
        <v>3</v>
      </c>
      <c r="AD63" s="987">
        <v>3</v>
      </c>
      <c r="AE63" s="987">
        <v>3</v>
      </c>
      <c r="AF63" s="1298">
        <v>3</v>
      </c>
      <c r="AG63" s="1536">
        <f t="shared" si="6"/>
        <v>10</v>
      </c>
      <c r="AH63" s="1536">
        <f t="shared" si="6"/>
        <v>3</v>
      </c>
      <c r="AI63" s="1541">
        <f t="shared" si="7"/>
        <v>13</v>
      </c>
      <c r="AJ63" s="1009"/>
      <c r="AK63" s="1009">
        <v>3</v>
      </c>
      <c r="AL63" s="1009"/>
      <c r="AM63" s="801"/>
    </row>
    <row r="64" spans="1:39" ht="15" customHeight="1" x14ac:dyDescent="0.2">
      <c r="B64" s="801"/>
      <c r="C64" s="801"/>
      <c r="D64" s="801"/>
      <c r="E64" s="801"/>
      <c r="F64" s="2120" t="s">
        <v>2649</v>
      </c>
      <c r="G64" s="2162" t="s">
        <v>2635</v>
      </c>
      <c r="H64" s="2232"/>
      <c r="I64" s="2233" t="str">
        <f>IF(Rockbits!F29=0,"-",Rockbits!F29)</f>
        <v>-</v>
      </c>
      <c r="J64" s="2232"/>
      <c r="K64" s="2234" t="str">
        <f>IF(Rockbits!I29=0,"-",Rockbits!I29)</f>
        <v>-</v>
      </c>
      <c r="AB64" s="978" t="s">
        <v>81</v>
      </c>
      <c r="AC64" s="987">
        <f>CompletionTest</f>
        <v>0</v>
      </c>
      <c r="AD64" s="987">
        <f>CompletionTest</f>
        <v>0</v>
      </c>
      <c r="AE64" s="987">
        <v>2</v>
      </c>
      <c r="AF64" s="995">
        <v>2</v>
      </c>
      <c r="AG64" s="1536">
        <f t="shared" si="6"/>
        <v>6</v>
      </c>
      <c r="AH64" s="1536">
        <f t="shared" si="6"/>
        <v>2</v>
      </c>
      <c r="AI64" s="1541">
        <f t="shared" si="7"/>
        <v>8</v>
      </c>
      <c r="AJ64" s="1009"/>
      <c r="AK64" s="1009"/>
      <c r="AL64" s="1009"/>
      <c r="AM64" s="801"/>
    </row>
    <row r="65" spans="1:39" ht="15" customHeight="1" x14ac:dyDescent="0.2">
      <c r="B65" s="801"/>
      <c r="C65" s="801"/>
      <c r="D65" s="801"/>
      <c r="E65" s="801"/>
      <c r="F65" s="2120" t="s">
        <v>2650</v>
      </c>
      <c r="G65" s="2162" t="s">
        <v>2634</v>
      </c>
      <c r="H65" s="2232"/>
      <c r="I65" s="2233">
        <f>IF(Rockbits!F30=0,"-",Rockbits!F30)</f>
        <v>3</v>
      </c>
      <c r="J65" s="2232"/>
      <c r="K65" s="2234" t="str">
        <f>IF(Rockbits!I30=0,"-",Rockbits!I30)</f>
        <v>-</v>
      </c>
      <c r="AB65" s="978" t="s">
        <v>82</v>
      </c>
      <c r="AC65" s="987">
        <v>0</v>
      </c>
      <c r="AD65" s="987"/>
      <c r="AE65" s="987">
        <f>CompletionTest</f>
        <v>0</v>
      </c>
      <c r="AF65" s="995">
        <v>7</v>
      </c>
      <c r="AG65" s="1536">
        <f t="shared" si="6"/>
        <v>5</v>
      </c>
      <c r="AH65" s="1536">
        <f t="shared" si="6"/>
        <v>7</v>
      </c>
      <c r="AI65" s="1541">
        <f t="shared" si="7"/>
        <v>12</v>
      </c>
      <c r="AJ65" s="1009"/>
      <c r="AK65" s="1009"/>
      <c r="AL65" s="1009"/>
      <c r="AM65" s="801"/>
    </row>
    <row r="66" spans="1:39" ht="15" customHeight="1" thickBot="1" x14ac:dyDescent="0.25">
      <c r="B66" s="801"/>
      <c r="C66" s="801"/>
      <c r="D66" s="801"/>
      <c r="E66" s="801"/>
      <c r="F66" s="2124" t="s">
        <v>2650</v>
      </c>
      <c r="G66" s="2164" t="s">
        <v>2635</v>
      </c>
      <c r="H66" s="2235"/>
      <c r="I66" s="2236">
        <f>IF(Rockbits!F31=0,"-",Rockbits!F31)</f>
        <v>2</v>
      </c>
      <c r="J66" s="2235"/>
      <c r="K66" s="2237" t="str">
        <f>IF(Rockbits!I31=0,"-",Rockbits!I31)</f>
        <v>-</v>
      </c>
      <c r="AB66" s="998" t="s">
        <v>91</v>
      </c>
      <c r="AC66" s="987">
        <v>0</v>
      </c>
      <c r="AD66" s="987"/>
      <c r="AE66" s="987">
        <f>CompletionTest</f>
        <v>0</v>
      </c>
      <c r="AF66" s="995">
        <v>7</v>
      </c>
      <c r="AG66" s="1536">
        <f t="shared" si="6"/>
        <v>0</v>
      </c>
      <c r="AH66" s="1536">
        <f t="shared" si="6"/>
        <v>0</v>
      </c>
      <c r="AI66" s="1541">
        <f t="shared" si="7"/>
        <v>0</v>
      </c>
      <c r="AJ66" s="1009"/>
      <c r="AK66" s="1009"/>
      <c r="AL66" s="1009"/>
      <c r="AM66" s="801"/>
    </row>
    <row r="67" spans="1:39" ht="15" customHeight="1" thickBot="1" x14ac:dyDescent="0.25">
      <c r="B67" s="831"/>
      <c r="C67" s="801"/>
      <c r="D67" s="801"/>
      <c r="E67" s="801"/>
      <c r="F67" s="2149"/>
      <c r="G67" s="2150"/>
      <c r="H67" s="1534"/>
      <c r="I67" s="1534"/>
      <c r="J67" s="1534"/>
      <c r="K67" s="1534"/>
      <c r="AB67" s="998" t="s">
        <v>1246</v>
      </c>
      <c r="AC67" s="987">
        <v>0</v>
      </c>
      <c r="AD67" s="987"/>
      <c r="AE67" s="987">
        <f>CompletionTest</f>
        <v>0</v>
      </c>
      <c r="AF67" s="995">
        <v>7</v>
      </c>
      <c r="AG67" s="1536">
        <f t="shared" si="6"/>
        <v>0</v>
      </c>
      <c r="AH67" s="1536">
        <f t="shared" si="6"/>
        <v>0</v>
      </c>
      <c r="AI67" s="1541">
        <f t="shared" si="7"/>
        <v>0</v>
      </c>
      <c r="AJ67" s="1009"/>
      <c r="AK67" s="1009"/>
      <c r="AL67" s="1009"/>
      <c r="AM67" s="801"/>
    </row>
    <row r="68" spans="1:39" ht="15" customHeight="1" thickBot="1" x14ac:dyDescent="0.25">
      <c r="B68" s="801"/>
      <c r="C68" s="801"/>
      <c r="D68" s="801"/>
      <c r="E68" s="832"/>
      <c r="I68" s="2251">
        <f>SUM(I39:I66)</f>
        <v>135</v>
      </c>
      <c r="J68" s="2251"/>
      <c r="K68" s="2251">
        <f>SUM(K39:K66)</f>
        <v>99</v>
      </c>
      <c r="AB68" s="979" t="s">
        <v>403</v>
      </c>
      <c r="AC68" s="980"/>
      <c r="AD68" s="980"/>
      <c r="AE68" s="980"/>
      <c r="AF68" s="981"/>
      <c r="AG68" s="979"/>
      <c r="AH68" s="980"/>
      <c r="AI68" s="1535">
        <f>SUM(AI61:AI67)</f>
        <v>42</v>
      </c>
      <c r="AJ68" s="1009"/>
      <c r="AK68" s="1009"/>
      <c r="AL68" s="1009"/>
      <c r="AM68" s="801"/>
    </row>
    <row r="69" spans="1:39" ht="15" customHeight="1" x14ac:dyDescent="0.15">
      <c r="B69" s="801"/>
      <c r="C69" s="801"/>
      <c r="D69" s="801"/>
      <c r="E69" s="833"/>
      <c r="K69" s="2251">
        <f>K68+I68</f>
        <v>234</v>
      </c>
      <c r="AB69" s="1275" t="s">
        <v>1003</v>
      </c>
      <c r="AC69" s="1277">
        <f>ROUNDUP(D6/H7,1)</f>
        <v>41</v>
      </c>
      <c r="AD69" s="1009"/>
      <c r="AE69" s="1009"/>
      <c r="AF69" s="1009"/>
      <c r="AG69" s="1009"/>
      <c r="AH69" s="1009"/>
      <c r="AI69" s="1545">
        <f>AI68-FLINER2</f>
        <v>35</v>
      </c>
      <c r="AJ69" s="1009"/>
      <c r="AK69" s="1009"/>
      <c r="AL69" s="1009"/>
      <c r="AM69" s="801"/>
    </row>
    <row r="70" spans="1:39" ht="15" customHeight="1" x14ac:dyDescent="0.15">
      <c r="A70" s="1513" t="s">
        <v>1113</v>
      </c>
      <c r="B70" s="801"/>
      <c r="C70" s="801"/>
      <c r="D70" s="801"/>
      <c r="E70" s="834"/>
      <c r="AB70" s="1275" t="s">
        <v>1004</v>
      </c>
      <c r="AC70" s="1277">
        <f>TD/(AC69-(SUM(AH62:AH67,2)-7))</f>
        <v>83.333333333333329</v>
      </c>
      <c r="AD70" s="1545"/>
      <c r="AE70" s="1009"/>
      <c r="AF70" s="1009"/>
      <c r="AG70" s="1009"/>
      <c r="AH70" s="1276" t="s">
        <v>982</v>
      </c>
      <c r="AI70" s="1009">
        <f>TD/AI69</f>
        <v>71.428571428571431</v>
      </c>
      <c r="AJ70" s="1009"/>
      <c r="AK70" s="1009"/>
      <c r="AL70" s="1009"/>
      <c r="AM70" s="801"/>
    </row>
    <row r="71" spans="1:39" ht="15" customHeight="1" x14ac:dyDescent="0.15">
      <c r="B71" s="801"/>
      <c r="C71" s="801"/>
      <c r="D71" s="801"/>
      <c r="E71" s="834"/>
      <c r="AB71" s="1009"/>
      <c r="AC71" s="1009"/>
      <c r="AD71" s="1009"/>
      <c r="AE71" s="1009"/>
      <c r="AF71" s="1009"/>
      <c r="AG71" s="1009"/>
      <c r="AH71" s="1276" t="s">
        <v>1245</v>
      </c>
      <c r="AI71" s="1009">
        <f>ROP</f>
        <v>61</v>
      </c>
      <c r="AJ71" s="1009"/>
      <c r="AK71" s="1009"/>
      <c r="AL71" s="1009"/>
      <c r="AM71" s="801"/>
    </row>
    <row r="72" spans="1:39" ht="15" hidden="1" customHeight="1" x14ac:dyDescent="0.15">
      <c r="E72" s="632"/>
      <c r="G72" s="801"/>
      <c r="Z72" s="801"/>
      <c r="AA72" s="801"/>
      <c r="AM72" s="801"/>
    </row>
    <row r="73" spans="1:39" ht="15" hidden="1" customHeight="1" x14ac:dyDescent="0.15">
      <c r="E73" s="629"/>
      <c r="G73" s="801"/>
      <c r="Z73" s="801"/>
      <c r="AA73" s="801"/>
      <c r="AM73" s="801"/>
    </row>
    <row r="74" spans="1:39" ht="15" hidden="1" customHeight="1" x14ac:dyDescent="0.15">
      <c r="E74" s="632"/>
      <c r="G74" s="801"/>
      <c r="Z74" s="801"/>
      <c r="AA74" s="801"/>
      <c r="AM74" s="801"/>
    </row>
    <row r="75" spans="1:39" ht="15" hidden="1" customHeight="1" x14ac:dyDescent="0.15">
      <c r="E75" s="632"/>
      <c r="G75" s="801"/>
      <c r="Z75" s="801"/>
      <c r="AA75" s="801"/>
      <c r="AM75" s="801"/>
    </row>
    <row r="76" spans="1:39" ht="15" hidden="1" customHeight="1" x14ac:dyDescent="0.15">
      <c r="E76" s="630"/>
      <c r="G76" s="801"/>
      <c r="Z76" s="801"/>
      <c r="AA76" s="801"/>
      <c r="AM76" s="801"/>
    </row>
    <row r="77" spans="1:39" ht="15" hidden="1" customHeight="1" x14ac:dyDescent="0.15">
      <c r="B77" s="629"/>
      <c r="C77" s="631"/>
      <c r="D77" s="632"/>
      <c r="E77" s="629"/>
      <c r="G77" s="801"/>
      <c r="Z77" s="801"/>
      <c r="AA77" s="801"/>
      <c r="AM77" s="801"/>
    </row>
    <row r="78" spans="1:39" ht="15" hidden="1" customHeight="1" x14ac:dyDescent="0.15">
      <c r="B78" s="629"/>
      <c r="C78" s="631"/>
      <c r="D78" s="629"/>
      <c r="E78" s="632"/>
      <c r="G78" s="801"/>
      <c r="Z78" s="801"/>
      <c r="AA78" s="801"/>
      <c r="AM78" s="801"/>
    </row>
    <row r="79" spans="1:39" ht="15" hidden="1" customHeight="1" x14ac:dyDescent="0.15">
      <c r="B79" s="629"/>
      <c r="C79" s="631"/>
      <c r="D79" s="632"/>
      <c r="E79" s="629"/>
      <c r="G79" s="801"/>
      <c r="Z79" s="801"/>
      <c r="AA79" s="801"/>
      <c r="AM79" s="801"/>
    </row>
    <row r="80" spans="1:39" ht="15" hidden="1" customHeight="1" x14ac:dyDescent="0.15">
      <c r="B80" s="629"/>
      <c r="C80" s="629"/>
      <c r="D80" s="629"/>
      <c r="E80" s="629"/>
      <c r="G80" s="801"/>
      <c r="Z80" s="801"/>
      <c r="AA80" s="801"/>
      <c r="AM80" s="801"/>
    </row>
    <row r="81" spans="39:39" ht="15" hidden="1" customHeight="1" x14ac:dyDescent="0.15">
      <c r="AM81" s="801"/>
    </row>
  </sheetData>
  <protectedRanges>
    <protectedRange sqref="Q12:R12 Q13 D23:E29 H26:H27" name="Casing and Hole Size"/>
    <protectedRange sqref="D17" name="Range6"/>
    <protectedRange sqref="H39:K67" name="Rockbit"/>
    <protectedRange sqref="H7:I9 D4:D16 D18:D19 H11:I19" name="Well Profile"/>
    <protectedRange sqref="L23:L25 G23:G29" name="Hole and Casing Summary"/>
    <protectedRange sqref="D31:D32 D35" name="Forex Diesel Fliner"/>
  </protectedRanges>
  <mergeCells count="62">
    <mergeCell ref="B4:C4"/>
    <mergeCell ref="B14:C14"/>
    <mergeCell ref="B9:B13"/>
    <mergeCell ref="B16:C16"/>
    <mergeCell ref="F4:G4"/>
    <mergeCell ref="F5:G5"/>
    <mergeCell ref="F6:G6"/>
    <mergeCell ref="F7:G7"/>
    <mergeCell ref="F8:G8"/>
    <mergeCell ref="B5:C5"/>
    <mergeCell ref="B6:C6"/>
    <mergeCell ref="B7:C7"/>
    <mergeCell ref="B8:C8"/>
    <mergeCell ref="H9:I9"/>
    <mergeCell ref="C20:G20"/>
    <mergeCell ref="B15:C15"/>
    <mergeCell ref="B17:C17"/>
    <mergeCell ref="B18:C18"/>
    <mergeCell ref="F13:F14"/>
    <mergeCell ref="F15:G15"/>
    <mergeCell ref="F17:F18"/>
    <mergeCell ref="F10:G10"/>
    <mergeCell ref="F9:G9"/>
    <mergeCell ref="F11:G11"/>
    <mergeCell ref="F12:G12"/>
    <mergeCell ref="F16:G16"/>
    <mergeCell ref="B19:C19"/>
    <mergeCell ref="F19:G19"/>
    <mergeCell ref="AB8:AF8"/>
    <mergeCell ref="P4:R4"/>
    <mergeCell ref="H7:I7"/>
    <mergeCell ref="H5:I5"/>
    <mergeCell ref="H6:I6"/>
    <mergeCell ref="H8:I8"/>
    <mergeCell ref="Q5:S5"/>
    <mergeCell ref="P5:P6"/>
    <mergeCell ref="H4:I4"/>
    <mergeCell ref="C21:C22"/>
    <mergeCell ref="K21:K22"/>
    <mergeCell ref="AC43:AD43"/>
    <mergeCell ref="D21:E21"/>
    <mergeCell ref="F21:G21"/>
    <mergeCell ref="AB43:AB44"/>
    <mergeCell ref="J21:J22"/>
    <mergeCell ref="L21:L22"/>
    <mergeCell ref="H35:K36"/>
    <mergeCell ref="AH10:AJ10"/>
    <mergeCell ref="AI16:AJ16"/>
    <mergeCell ref="H21:H22"/>
    <mergeCell ref="I21:I22"/>
    <mergeCell ref="AG43:AI43"/>
    <mergeCell ref="H13:I13"/>
    <mergeCell ref="H15:I15"/>
    <mergeCell ref="H17:I17"/>
    <mergeCell ref="H16:I16"/>
    <mergeCell ref="H18:I18"/>
    <mergeCell ref="H12:I12"/>
    <mergeCell ref="H14:I14"/>
    <mergeCell ref="AH20:AI20"/>
    <mergeCell ref="H10:I10"/>
    <mergeCell ref="H19:I19"/>
    <mergeCell ref="AE43:AF43"/>
  </mergeCells>
  <conditionalFormatting sqref="D23:D25 D27:D29 E23:L29">
    <cfRule type="cellIs" priority="33" operator="equal">
      <formula>0</formula>
    </cfRule>
    <cfRule type="cellIs" priority="44" operator="equal">
      <formula>0</formula>
    </cfRule>
    <cfRule type="containsBlanks" dxfId="22" priority="49">
      <formula>LEN(TRIM(D23))=0</formula>
    </cfRule>
  </conditionalFormatting>
  <conditionalFormatting sqref="K5:N19">
    <cfRule type="containsBlanks" dxfId="21" priority="48">
      <formula>LEN(TRIM(K5))=0</formula>
    </cfRule>
  </conditionalFormatting>
  <conditionalFormatting sqref="Q7:S13">
    <cfRule type="cellIs" dxfId="20" priority="45" operator="equal">
      <formula>0</formula>
    </cfRule>
    <cfRule type="containsBlanks" dxfId="19" priority="47">
      <formula>LEN(TRIM(Q7))=0</formula>
    </cfRule>
  </conditionalFormatting>
  <conditionalFormatting sqref="H39:I67">
    <cfRule type="cellIs" priority="34" operator="equal">
      <formula>0</formula>
    </cfRule>
    <cfRule type="containsBlanks" dxfId="18" priority="46">
      <formula>LEN(TRIM(H39))=0</formula>
    </cfRule>
  </conditionalFormatting>
  <conditionalFormatting sqref="Q12">
    <cfRule type="cellIs" priority="42" operator="equal">
      <formula>0</formula>
    </cfRule>
    <cfRule type="containsBlanks" dxfId="17" priority="43">
      <formula>LEN(TRIM(Q12))=0</formula>
    </cfRule>
  </conditionalFormatting>
  <conditionalFormatting sqref="R12">
    <cfRule type="cellIs" priority="40" operator="equal">
      <formula>0</formula>
    </cfRule>
    <cfRule type="containsBlanks" dxfId="16" priority="41">
      <formula>LEN(TRIM(R12))=0</formula>
    </cfRule>
  </conditionalFormatting>
  <conditionalFormatting sqref="Q13">
    <cfRule type="cellIs" priority="38" operator="equal">
      <formula>0</formula>
    </cfRule>
    <cfRule type="containsBlanks" dxfId="15" priority="39">
      <formula>LEN(TRIM(Q13))=0</formula>
    </cfRule>
  </conditionalFormatting>
  <conditionalFormatting sqref="L5:N19">
    <cfRule type="cellIs" dxfId="14" priority="37" operator="equal">
      <formula>0</formula>
    </cfRule>
  </conditionalFormatting>
  <conditionalFormatting sqref="J23:K29">
    <cfRule type="cellIs" dxfId="13" priority="35" operator="equal">
      <formula>0</formula>
    </cfRule>
    <cfRule type="cellIs" priority="36" operator="equal">
      <formula>0</formula>
    </cfRule>
  </conditionalFormatting>
  <conditionalFormatting sqref="D26">
    <cfRule type="cellIs" priority="12" operator="equal">
      <formula>0</formula>
    </cfRule>
    <cfRule type="cellIs" priority="13" operator="equal">
      <formula>0</formula>
    </cfRule>
    <cfRule type="containsBlanks" dxfId="12" priority="14">
      <formula>LEN(TRIM(D26))=0</formula>
    </cfRule>
  </conditionalFormatting>
  <conditionalFormatting sqref="D27">
    <cfRule type="cellIs" priority="9" operator="equal">
      <formula>0</formula>
    </cfRule>
    <cfRule type="cellIs" priority="10" operator="equal">
      <formula>0</formula>
    </cfRule>
    <cfRule type="containsBlanks" dxfId="11" priority="11">
      <formula>LEN(TRIM(D27))=0</formula>
    </cfRule>
  </conditionalFormatting>
  <conditionalFormatting sqref="J39:K67">
    <cfRule type="cellIs" priority="7" operator="equal">
      <formula>0</formula>
    </cfRule>
    <cfRule type="containsBlanks" dxfId="10" priority="8">
      <formula>LEN(TRIM(J39))=0</formula>
    </cfRule>
  </conditionalFormatting>
  <conditionalFormatting sqref="K39:K66">
    <cfRule type="cellIs" priority="5" operator="equal">
      <formula>0</formula>
    </cfRule>
    <cfRule type="containsBlanks" dxfId="9" priority="6">
      <formula>LEN(TRIM(K39))=0</formula>
    </cfRule>
  </conditionalFormatting>
  <conditionalFormatting sqref="J39:J66">
    <cfRule type="cellIs" priority="3" operator="equal">
      <formula>0</formula>
    </cfRule>
    <cfRule type="containsBlanks" dxfId="8" priority="4">
      <formula>LEN(TRIM(J39))=0</formula>
    </cfRule>
  </conditionalFormatting>
  <dataValidations count="20">
    <dataValidation type="list" allowBlank="1" showErrorMessage="1" sqref="D7">
      <formula1>AE6:AE7</formula1>
    </dataValidation>
    <dataValidation type="list" allowBlank="1" showErrorMessage="1" sqref="S26">
      <formula1>AH6:AH7</formula1>
    </dataValidation>
    <dataValidation type="list" allowBlank="1" showErrorMessage="1" sqref="H9">
      <formula1>AB10:AB12</formula1>
    </dataValidation>
    <dataValidation type="list" allowBlank="1" showErrorMessage="1" sqref="I9">
      <formula1>AB10:AB12</formula1>
    </dataValidation>
    <dataValidation type="list" allowBlank="1" showErrorMessage="1" sqref="D8">
      <formula1>AE15:AE16</formula1>
    </dataValidation>
    <dataValidation type="list" allowBlank="1" showErrorMessage="1" sqref="H19 D15 D9:D13 D18:D19 L23:L25">
      <formula1>YESORNO</formula1>
    </dataValidation>
    <dataValidation type="whole" operator="greaterThan" allowBlank="1" showInputMessage="1" showErrorMessage="1" sqref="D6 D31:D32 H7:I7 D17 G23:G29">
      <formula1>0</formula1>
    </dataValidation>
    <dataValidation type="list" allowBlank="1" showErrorMessage="1" sqref="D5">
      <formula1>$AB$15:$AB$20</formula1>
    </dataValidation>
    <dataValidation type="list" allowBlank="1" showInputMessage="1" showErrorMessage="1" sqref="D14">
      <formula1>$AE$15:$AE$16</formula1>
    </dataValidation>
    <dataValidation type="list" allowBlank="1" showInputMessage="1" showErrorMessage="1" sqref="H16:H18 H11:H14">
      <formula1>YESORNO</formula1>
    </dataValidation>
    <dataValidation type="list" allowBlank="1" showInputMessage="1" showErrorMessage="1" sqref="H8:I8">
      <formula1>$AH$12:$AH$15</formula1>
    </dataValidation>
    <dataValidation type="date" operator="greaterThan" allowBlank="1" showInputMessage="1" showErrorMessage="1" sqref="L5">
      <formula1>41558</formula1>
    </dataValidation>
    <dataValidation operator="greaterThan" allowBlank="1" showInputMessage="1" showErrorMessage="1" sqref="D35"/>
    <dataValidation type="list" allowBlank="1" showInputMessage="1" showErrorMessage="1" sqref="H4:I4">
      <formula1>$AB$23:$AB$30</formula1>
    </dataValidation>
    <dataValidation type="list" allowBlank="1" showInputMessage="1" showErrorMessage="1" sqref="H15:I15">
      <formula1>$AC$15:$AC$16</formula1>
    </dataValidation>
    <dataValidation type="list" allowBlank="1" showErrorMessage="1" sqref="D16">
      <formula1>$AF$15:$AF$17</formula1>
    </dataValidation>
    <dataValidation type="whole" allowBlank="1" showInputMessage="1" showErrorMessage="1" sqref="H39:I67 K39:K67 J67">
      <formula1>1</formula1>
      <formula2>20</formula2>
    </dataValidation>
    <dataValidation type="list" showInputMessage="1" showErrorMessage="1" sqref="E29">
      <formula1>RELCSG</formula1>
    </dataValidation>
    <dataValidation type="list" allowBlank="1" showInputMessage="1" showErrorMessage="1" sqref="F29">
      <formula1>RELOUTER</formula1>
    </dataValidation>
    <dataValidation type="list" allowBlank="1" showInputMessage="1" showErrorMessage="1" sqref="I11">
      <formula1>$AK$44:$AK$63</formula1>
    </dataValidation>
  </dataValidations>
  <hyperlinks>
    <hyperlink ref="E32" r:id="rId1" display="http://www.doe.gov.ph/oil-price-monitoring"/>
    <hyperlink ref="E33" r:id="rId2"/>
  </hyperlinks>
  <pageMargins left="0.7" right="0.7" top="0.75" bottom="0.75" header="0.3" footer="0.3"/>
  <pageSetup paperSize="9" orientation="portrait" r:id="rId3"/>
  <ignoredErrors>
    <ignoredError sqref="S15" formulaRange="1"/>
  </ignoredErrors>
  <drawing r:id="rId4"/>
  <legacyDrawing r:id="rId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tabColor rgb="FFFFC000"/>
    <pageSetUpPr fitToPage="1"/>
  </sheetPr>
  <dimension ref="A1:T69"/>
  <sheetViews>
    <sheetView showGridLines="0" topLeftCell="A20" zoomScale="90" zoomScaleNormal="90" zoomScaleSheetLayoutView="125" workbookViewId="0">
      <selection activeCell="H50" sqref="H50"/>
    </sheetView>
  </sheetViews>
  <sheetFormatPr baseColWidth="10" defaultColWidth="9.83203125" defaultRowHeight="0" customHeight="1" zeroHeight="1" x14ac:dyDescent="0.15"/>
  <cols>
    <col min="1" max="1" width="22.83203125" style="22" customWidth="1"/>
    <col min="2" max="2" width="7.6640625" style="22" customWidth="1"/>
    <col min="3" max="3" width="7.83203125" style="22" customWidth="1"/>
    <col min="4" max="4" width="7.33203125" style="22" customWidth="1"/>
    <col min="5" max="5" width="12.6640625" style="22" customWidth="1"/>
    <col min="6" max="6" width="2.5" style="22" customWidth="1"/>
    <col min="7" max="7" width="31.1640625" style="22" customWidth="1"/>
    <col min="8" max="8" width="24.83203125" style="22" bestFit="1" customWidth="1"/>
    <col min="9" max="9" width="1.83203125" style="22" customWidth="1"/>
    <col min="10" max="10" width="16.83203125" style="22" bestFit="1" customWidth="1"/>
    <col min="11" max="11" width="15.33203125" style="22" bestFit="1" customWidth="1"/>
    <col min="12" max="12" width="18.1640625" style="22" hidden="1" customWidth="1"/>
    <col min="13" max="13" width="10.6640625" style="22" hidden="1" customWidth="1"/>
    <col min="14" max="14" width="18.6640625" style="22" hidden="1" customWidth="1"/>
    <col min="15" max="15" width="0" hidden="1" customWidth="1"/>
    <col min="17" max="17" width="10.33203125" bestFit="1" customWidth="1"/>
    <col min="19" max="19" width="7.1640625" customWidth="1"/>
  </cols>
  <sheetData>
    <row r="1" spans="1:20" ht="15" x14ac:dyDescent="0.2">
      <c r="A1" s="2422" t="s">
        <v>0</v>
      </c>
      <c r="B1" s="2422"/>
      <c r="C1" s="2422"/>
      <c r="D1" s="2422"/>
      <c r="E1" s="2422"/>
      <c r="F1" s="105"/>
      <c r="G1" s="105"/>
      <c r="H1" s="32"/>
      <c r="I1" s="105"/>
      <c r="J1" s="105"/>
      <c r="K1" s="105"/>
      <c r="L1" s="105"/>
      <c r="M1" s="105"/>
      <c r="N1" s="105"/>
    </row>
    <row r="2" spans="1:20" ht="13.5" customHeight="1" thickBot="1" x14ac:dyDescent="0.25">
      <c r="A2" s="2423"/>
      <c r="B2" s="2423"/>
      <c r="C2" s="2423"/>
      <c r="D2" s="2423"/>
      <c r="E2" s="2423"/>
      <c r="F2" s="19"/>
      <c r="G2" s="87"/>
      <c r="H2" s="54" t="s">
        <v>1</v>
      </c>
      <c r="I2" s="55"/>
      <c r="J2" s="105"/>
      <c r="K2" s="105"/>
      <c r="L2" s="105"/>
      <c r="M2" s="105"/>
      <c r="N2" s="105"/>
    </row>
    <row r="3" spans="1:20" ht="13.5" customHeight="1" thickBot="1" x14ac:dyDescent="0.25">
      <c r="A3" s="99" t="s">
        <v>2</v>
      </c>
      <c r="B3" s="2"/>
      <c r="C3" s="2"/>
      <c r="D3" s="2"/>
      <c r="E3" s="2"/>
      <c r="F3" s="2"/>
      <c r="G3" s="16"/>
      <c r="H3" s="37"/>
      <c r="I3" s="111"/>
      <c r="J3" s="105"/>
      <c r="K3" s="105"/>
      <c r="L3" s="105"/>
      <c r="M3" s="105"/>
      <c r="N3" s="105"/>
      <c r="R3" s="569" t="s">
        <v>2204</v>
      </c>
      <c r="S3" s="569" t="s">
        <v>2205</v>
      </c>
      <c r="T3" s="569" t="s">
        <v>2206</v>
      </c>
    </row>
    <row r="4" spans="1:20" s="35" customFormat="1" ht="15" x14ac:dyDescent="0.2">
      <c r="A4" s="122" t="s">
        <v>3</v>
      </c>
      <c r="B4" s="89"/>
      <c r="C4" s="25"/>
      <c r="D4" s="108" t="s">
        <v>4</v>
      </c>
      <c r="E4" s="89"/>
      <c r="F4" s="89"/>
      <c r="G4" s="25"/>
      <c r="H4" s="126" t="s">
        <v>5</v>
      </c>
      <c r="I4" s="111"/>
      <c r="J4" s="105"/>
      <c r="K4" s="105"/>
      <c r="L4" s="105"/>
      <c r="M4" s="105"/>
      <c r="N4" s="105"/>
      <c r="R4" s="1854" t="s">
        <v>52</v>
      </c>
      <c r="S4" s="1854" t="s">
        <v>383</v>
      </c>
      <c r="T4" s="1854" t="s">
        <v>2171</v>
      </c>
    </row>
    <row r="5" spans="1:20" ht="15" x14ac:dyDescent="0.2">
      <c r="A5" s="2424" t="s">
        <v>6</v>
      </c>
      <c r="B5" s="2425"/>
      <c r="C5" s="2426"/>
      <c r="D5" s="2427" t="str">
        <f>INDEX('COVER SHEET'!$S$4:$S$7,MATCH(INPUT!$H$8,'COVER SHEET'!$R$4:$R$7,0))</f>
        <v>LEYTE GEOTHERMAL PRODUCTION FIELD</v>
      </c>
      <c r="E5" s="2425"/>
      <c r="F5" s="2425"/>
      <c r="G5" s="2426"/>
      <c r="H5" s="272">
        <f ca="1">NOW()</f>
        <v>43168.592878240743</v>
      </c>
      <c r="I5" s="111"/>
      <c r="J5" s="105"/>
      <c r="K5" s="105"/>
      <c r="L5" s="105"/>
      <c r="M5" s="105"/>
      <c r="N5" s="105"/>
      <c r="R5" s="1854" t="s">
        <v>327</v>
      </c>
      <c r="S5" s="1854" t="s">
        <v>2164</v>
      </c>
      <c r="T5" s="1854" t="s">
        <v>2689</v>
      </c>
    </row>
    <row r="6" spans="1:20" ht="15" x14ac:dyDescent="0.2">
      <c r="A6" s="120" t="s">
        <v>7</v>
      </c>
      <c r="B6" s="66"/>
      <c r="C6" s="14"/>
      <c r="D6" s="7" t="s">
        <v>8</v>
      </c>
      <c r="E6" s="66"/>
      <c r="F6" s="66"/>
      <c r="G6" s="14"/>
      <c r="H6" s="97" t="s">
        <v>9</v>
      </c>
      <c r="I6" s="111"/>
      <c r="J6" s="105"/>
      <c r="K6" s="105"/>
      <c r="L6" s="105"/>
      <c r="M6" s="105"/>
      <c r="N6" s="105"/>
      <c r="R6" s="1854" t="s">
        <v>379</v>
      </c>
      <c r="S6" s="1854" t="s">
        <v>2165</v>
      </c>
      <c r="T6" s="1854" t="s">
        <v>2257</v>
      </c>
    </row>
    <row r="7" spans="1:20" ht="15" x14ac:dyDescent="0.2">
      <c r="A7" s="61" t="s">
        <v>10</v>
      </c>
      <c r="B7" s="119" t="s">
        <v>11</v>
      </c>
      <c r="C7" s="125"/>
      <c r="D7" s="2428"/>
      <c r="E7" s="2425"/>
      <c r="F7" s="2425"/>
      <c r="G7" s="2426"/>
      <c r="H7" s="45"/>
      <c r="I7" s="111"/>
      <c r="J7" s="105"/>
      <c r="K7" s="105"/>
      <c r="L7" s="105"/>
      <c r="M7" s="105"/>
      <c r="N7" s="105"/>
      <c r="R7" s="1854" t="s">
        <v>378</v>
      </c>
      <c r="S7" s="1854" t="s">
        <v>2166</v>
      </c>
      <c r="T7" s="1854" t="s">
        <v>2172</v>
      </c>
    </row>
    <row r="8" spans="1:20" ht="15" x14ac:dyDescent="0.2">
      <c r="A8" s="2429" t="s">
        <v>12</v>
      </c>
      <c r="B8" s="2430"/>
      <c r="C8" s="2430"/>
      <c r="D8" s="2430"/>
      <c r="E8" s="2430"/>
      <c r="F8" s="2431"/>
      <c r="G8" s="118" t="s">
        <v>13</v>
      </c>
      <c r="H8" s="96" t="s">
        <v>14</v>
      </c>
      <c r="I8" s="111"/>
      <c r="J8" s="105"/>
      <c r="K8" s="105"/>
      <c r="L8" s="105"/>
      <c r="M8" s="105"/>
      <c r="N8" s="105"/>
    </row>
    <row r="9" spans="1:20" ht="15" x14ac:dyDescent="0.2">
      <c r="A9" s="43"/>
      <c r="B9" s="66"/>
      <c r="C9" s="66"/>
      <c r="D9" s="66"/>
      <c r="E9" s="66"/>
      <c r="F9" s="14"/>
      <c r="G9" s="115">
        <f>INPUT!L6</f>
        <v>43173</v>
      </c>
      <c r="H9" s="6">
        <f>INPUT!M19</f>
        <v>43220</v>
      </c>
      <c r="I9" s="15"/>
      <c r="J9" s="105"/>
      <c r="K9" s="105"/>
      <c r="L9" s="105"/>
      <c r="M9" s="105"/>
      <c r="N9" s="105"/>
    </row>
    <row r="10" spans="1:20" ht="15" x14ac:dyDescent="0.2">
      <c r="A10" s="2432" t="str">
        <f>INPUT!D4</f>
        <v>438D</v>
      </c>
      <c r="B10" s="2433"/>
      <c r="C10" s="2433"/>
      <c r="D10" s="2433"/>
      <c r="E10" s="2433"/>
      <c r="F10" s="2434"/>
      <c r="G10" s="3" t="s">
        <v>15</v>
      </c>
      <c r="H10" s="52"/>
      <c r="I10" s="111"/>
      <c r="J10" s="105"/>
      <c r="K10" s="105"/>
      <c r="L10" s="105"/>
      <c r="M10" s="105"/>
      <c r="N10" s="105"/>
    </row>
    <row r="11" spans="1:20" ht="14.25" customHeight="1" x14ac:dyDescent="0.2">
      <c r="A11" s="2435" t="s">
        <v>16</v>
      </c>
      <c r="B11" s="2436"/>
      <c r="C11" s="2436"/>
      <c r="D11" s="2436"/>
      <c r="E11" s="2436"/>
      <c r="F11" s="2437"/>
      <c r="G11" s="73"/>
      <c r="H11" s="59"/>
      <c r="I11" s="111"/>
      <c r="J11" s="105"/>
      <c r="K11" s="105"/>
      <c r="L11" s="105"/>
      <c r="M11" s="105"/>
      <c r="N11" s="105"/>
    </row>
    <row r="12" spans="1:20" ht="15" x14ac:dyDescent="0.2">
      <c r="A12" s="1908" t="s">
        <v>17</v>
      </c>
      <c r="B12" s="56"/>
      <c r="C12" s="56"/>
      <c r="D12" s="56"/>
      <c r="E12" s="56"/>
      <c r="F12" s="76"/>
      <c r="G12" s="134" t="s">
        <v>18</v>
      </c>
      <c r="H12" s="59"/>
      <c r="I12" s="111"/>
      <c r="J12" s="105"/>
      <c r="K12" s="105"/>
      <c r="L12" s="105"/>
      <c r="M12" s="105"/>
      <c r="N12" s="105"/>
    </row>
    <row r="13" spans="1:20" ht="15" x14ac:dyDescent="0.2">
      <c r="A13" s="845" t="s">
        <v>19</v>
      </c>
      <c r="B13" s="56"/>
      <c r="C13" s="56"/>
      <c r="D13" s="56"/>
      <c r="E13" s="56"/>
      <c r="F13" s="76"/>
      <c r="G13" s="844" t="s">
        <v>20</v>
      </c>
      <c r="H13" s="59"/>
      <c r="I13" s="111"/>
      <c r="J13" s="105"/>
      <c r="K13" s="105"/>
      <c r="L13" s="105"/>
      <c r="M13" s="105"/>
      <c r="N13" s="105"/>
    </row>
    <row r="14" spans="1:20" ht="15" x14ac:dyDescent="0.2">
      <c r="A14" s="36" t="s">
        <v>21</v>
      </c>
      <c r="B14" s="40"/>
      <c r="C14" s="40"/>
      <c r="D14" s="40"/>
      <c r="E14" s="40"/>
      <c r="F14" s="68"/>
      <c r="G14" s="10" t="s">
        <v>22</v>
      </c>
      <c r="H14" s="59"/>
      <c r="I14" s="111"/>
      <c r="J14" s="105"/>
      <c r="K14" s="105"/>
      <c r="L14" s="105"/>
      <c r="M14" s="105"/>
      <c r="N14" s="105"/>
    </row>
    <row r="15" spans="1:20" ht="15" x14ac:dyDescent="0.2">
      <c r="A15" s="2438">
        <f>INPUT!H5</f>
        <v>61</v>
      </c>
      <c r="B15" s="49"/>
      <c r="F15" s="74"/>
      <c r="G15" s="20" t="s">
        <v>23</v>
      </c>
      <c r="H15" s="57"/>
      <c r="I15" s="111"/>
      <c r="J15" s="105"/>
      <c r="K15" s="105"/>
      <c r="L15" s="105"/>
      <c r="M15" s="105"/>
      <c r="N15" s="105"/>
      <c r="Q15" s="1550"/>
    </row>
    <row r="16" spans="1:20" ht="15" x14ac:dyDescent="0.2">
      <c r="A16" s="2439"/>
      <c r="B16" s="70" t="s">
        <v>24</v>
      </c>
      <c r="C16" s="69"/>
      <c r="D16" s="69"/>
      <c r="E16" s="69" t="str">
        <f>INPUT!D5</f>
        <v>Rig 2</v>
      </c>
      <c r="F16" s="95"/>
      <c r="G16" s="48"/>
      <c r="H16" s="109"/>
      <c r="I16" s="111"/>
      <c r="J16" s="105"/>
      <c r="K16" s="105"/>
      <c r="L16" s="105"/>
      <c r="M16" s="105"/>
      <c r="N16" s="105"/>
      <c r="Q16" s="1550"/>
    </row>
    <row r="17" spans="1:15" ht="15" x14ac:dyDescent="0.2">
      <c r="A17" s="33" t="s">
        <v>25</v>
      </c>
      <c r="B17" s="2440" t="s">
        <v>26</v>
      </c>
      <c r="C17" s="2441"/>
      <c r="D17" s="2441"/>
      <c r="E17" s="2441"/>
      <c r="F17" s="2441"/>
      <c r="G17" s="2442"/>
      <c r="H17" s="2443" t="s">
        <v>27</v>
      </c>
      <c r="I17" s="111"/>
      <c r="J17" s="105"/>
      <c r="K17" s="105"/>
      <c r="L17" s="105"/>
      <c r="M17" s="105"/>
      <c r="N17" s="105"/>
    </row>
    <row r="18" spans="1:15" ht="15" x14ac:dyDescent="0.2">
      <c r="A18" s="21"/>
      <c r="B18" s="2441"/>
      <c r="C18" s="2441"/>
      <c r="D18" s="2441"/>
      <c r="E18" s="2441"/>
      <c r="F18" s="2441"/>
      <c r="G18" s="2441"/>
      <c r="H18" s="2444"/>
      <c r="I18" s="111"/>
      <c r="J18" s="105"/>
      <c r="K18" s="105"/>
      <c r="L18" s="105"/>
      <c r="M18" s="105"/>
      <c r="N18" s="105"/>
    </row>
    <row r="19" spans="1:15" s="12" customFormat="1" ht="18" customHeight="1" x14ac:dyDescent="0.2">
      <c r="A19" s="83"/>
      <c r="B19" s="85" t="str">
        <f>'Cost Details'!U26</f>
        <v>MATERIALS AND SUPPLIES</v>
      </c>
      <c r="C19" s="92"/>
      <c r="D19" s="92"/>
      <c r="E19" s="92"/>
      <c r="F19" s="92"/>
      <c r="G19" s="106"/>
      <c r="H19" s="271"/>
      <c r="I19" s="111"/>
      <c r="J19" s="105"/>
      <c r="K19" s="105"/>
      <c r="L19" s="105"/>
      <c r="M19" s="105"/>
      <c r="N19" s="53"/>
    </row>
    <row r="20" spans="1:15" s="30" customFormat="1" ht="18" customHeight="1" x14ac:dyDescent="0.2">
      <c r="A20" s="31" t="str">
        <f>LEFT('Cost Details'!V28,7)</f>
        <v>5202000</v>
      </c>
      <c r="B20" s="317" t="str">
        <f>RIGHT('Cost Details'!V28,LEN('Cost Details'!V28)-10)</f>
        <v xml:space="preserve">Fuels     </v>
      </c>
      <c r="C20" s="11"/>
      <c r="D20" s="11"/>
      <c r="E20" s="11"/>
      <c r="F20" s="11"/>
      <c r="G20" s="88"/>
      <c r="H20" s="848">
        <f ca="1">ROUNDUP('Cost Details'!AM28,-3)</f>
        <v>18782000</v>
      </c>
      <c r="I20" s="111"/>
      <c r="J20" s="105"/>
      <c r="K20" s="151"/>
      <c r="L20" s="848"/>
      <c r="M20" s="1393"/>
      <c r="N20" s="72"/>
      <c r="O20" s="273"/>
    </row>
    <row r="21" spans="1:15" s="30" customFormat="1" ht="18" x14ac:dyDescent="0.2">
      <c r="A21" s="31" t="str">
        <f>LEFT('Cost Details'!V28,7)</f>
        <v>5202000</v>
      </c>
      <c r="B21" s="1837" t="str">
        <f>RIGHT('Cost Details'!V29,LEN('Cost Details'!V29)-10)</f>
        <v xml:space="preserve">Lubricants (Oil, Grease, etc.)     </v>
      </c>
      <c r="C21" s="11"/>
      <c r="D21" s="11"/>
      <c r="E21" s="11"/>
      <c r="F21" s="11"/>
      <c r="G21" s="88"/>
      <c r="H21" s="270">
        <f ca="1">ROUNDUP('Cost Details'!AM29,-3)</f>
        <v>0</v>
      </c>
      <c r="I21" s="111"/>
      <c r="J21" s="105"/>
      <c r="K21" s="105"/>
      <c r="L21" s="848"/>
      <c r="M21" s="1393"/>
      <c r="N21" s="72"/>
      <c r="O21" s="273"/>
    </row>
    <row r="22" spans="1:15" s="30" customFormat="1" ht="18" customHeight="1" x14ac:dyDescent="0.2">
      <c r="A22" s="31" t="str">
        <f>LEFT('Cost Details'!V29,7)</f>
        <v>5203000</v>
      </c>
      <c r="B22" s="1837" t="str">
        <f>RIGHT('Cost Details'!V30,LEN('Cost Details'!V30)-10)</f>
        <v>Mud and Chemicals</v>
      </c>
      <c r="C22" s="11"/>
      <c r="D22" s="11"/>
      <c r="E22" s="11"/>
      <c r="F22" s="11"/>
      <c r="G22" s="88"/>
      <c r="H22" s="270">
        <f>ROUNDUP('Cost Details'!AM30,-3)</f>
        <v>3017000</v>
      </c>
      <c r="I22" s="111"/>
      <c r="J22" s="1538"/>
      <c r="K22" s="1539"/>
      <c r="L22" s="848"/>
      <c r="M22" s="1393"/>
      <c r="N22" s="72"/>
      <c r="O22" s="273"/>
    </row>
    <row r="23" spans="1:15" s="30" customFormat="1" ht="18" customHeight="1" x14ac:dyDescent="0.2">
      <c r="A23" s="31" t="str">
        <f>LEFT('Cost Details'!V30,7)</f>
        <v>5213000</v>
      </c>
      <c r="B23" s="1837" t="str">
        <f>RIGHT('Cost Details'!V31,LEN('Cost Details'!V31)-10)</f>
        <v xml:space="preserve">Cement and Additives          </v>
      </c>
      <c r="C23" s="11"/>
      <c r="D23" s="11"/>
      <c r="E23" s="11"/>
      <c r="F23" s="11"/>
      <c r="G23" s="88"/>
      <c r="H23" s="270">
        <f>ROUNDUP('Cost Details'!AM31,-3)</f>
        <v>16079000</v>
      </c>
      <c r="I23" s="111"/>
      <c r="J23" s="105"/>
      <c r="K23" s="105"/>
      <c r="L23" s="848"/>
      <c r="M23" s="1393"/>
      <c r="N23" s="1455"/>
      <c r="O23" s="273"/>
    </row>
    <row r="24" spans="1:15" s="30" customFormat="1" ht="18" customHeight="1" x14ac:dyDescent="0.2">
      <c r="A24" s="31" t="str">
        <f>LEFT('Cost Details'!V31,7)</f>
        <v>5214000</v>
      </c>
      <c r="B24" s="1837" t="str">
        <f>RIGHT('Cost Details'!V32,LEN('Cost Details'!V32)-10)</f>
        <v xml:space="preserve">Rockbits            </v>
      </c>
      <c r="C24" s="11"/>
      <c r="D24" s="11"/>
      <c r="E24" s="11"/>
      <c r="F24" s="11"/>
      <c r="G24" s="88"/>
      <c r="H24" s="270">
        <f>ROUNDUP('Cost Details'!AM32,-3)</f>
        <v>11764000</v>
      </c>
      <c r="I24" s="111"/>
      <c r="J24" s="105"/>
      <c r="K24" s="105"/>
      <c r="L24" s="848"/>
      <c r="M24" s="1393"/>
      <c r="N24" s="1455"/>
      <c r="O24" s="273"/>
    </row>
    <row r="25" spans="1:15" s="30" customFormat="1" ht="18" customHeight="1" x14ac:dyDescent="0.2">
      <c r="A25" s="31" t="str">
        <f>LEFT('Cost Details'!V32,7)</f>
        <v>5215000</v>
      </c>
      <c r="B25" s="1837" t="str">
        <f>RIGHT('Cost Details'!V33,LEN('Cost Details'!V33)-10)</f>
        <v xml:space="preserve">Drilling Supplies           </v>
      </c>
      <c r="C25" s="11"/>
      <c r="D25" s="11"/>
      <c r="E25" s="11"/>
      <c r="F25" s="11"/>
      <c r="G25" s="88"/>
      <c r="H25" s="270">
        <f>ROUNDUP('Cost Details'!AM33,-3)</f>
        <v>0</v>
      </c>
      <c r="I25" s="111"/>
      <c r="J25" s="105"/>
      <c r="K25" s="105"/>
      <c r="L25" s="848"/>
      <c r="M25" s="1393"/>
      <c r="N25" s="72"/>
      <c r="O25" s="273"/>
    </row>
    <row r="26" spans="1:15" s="30" customFormat="1" ht="18" customHeight="1" x14ac:dyDescent="0.2">
      <c r="A26" s="31" t="str">
        <f>LEFT('Cost Details'!V33,7)</f>
        <v>5216000</v>
      </c>
      <c r="B26" s="1837" t="str">
        <f>RIGHT('Cost Details'!V34,LEN('Cost Details'!V34)-10)</f>
        <v>Casings</v>
      </c>
      <c r="C26" s="11"/>
      <c r="D26" s="11"/>
      <c r="E26" s="11"/>
      <c r="F26" s="11"/>
      <c r="G26" s="88"/>
      <c r="H26" s="270">
        <f>ROUNDUP('Cost Details'!AM34,-3)</f>
        <v>28269000</v>
      </c>
      <c r="I26" s="111"/>
      <c r="J26" s="105"/>
      <c r="K26" s="105"/>
      <c r="L26" s="848"/>
      <c r="M26" s="1393"/>
      <c r="N26" s="72"/>
      <c r="O26" s="273"/>
    </row>
    <row r="27" spans="1:15" s="30" customFormat="1" ht="18" customHeight="1" x14ac:dyDescent="0.2">
      <c r="A27" s="31" t="str">
        <f>LEFT('Cost Details'!V34,7)</f>
        <v>5221000</v>
      </c>
      <c r="B27" s="1837" t="str">
        <f>RIGHT('Cost Details'!V35,LEN('Cost Details'!V35)-10)</f>
        <v>Wellhead</v>
      </c>
      <c r="C27" s="136"/>
      <c r="D27" s="136"/>
      <c r="E27" s="136"/>
      <c r="F27" s="136"/>
      <c r="G27" s="137"/>
      <c r="H27" s="270">
        <f>ROUNDUP('Cost Details'!AM35,-3)</f>
        <v>3505000</v>
      </c>
      <c r="I27" s="846"/>
      <c r="J27" s="105"/>
      <c r="K27" s="105"/>
      <c r="L27" s="848"/>
      <c r="M27" s="1393"/>
      <c r="N27" s="72"/>
      <c r="O27" s="273"/>
    </row>
    <row r="28" spans="1:15" s="30" customFormat="1" ht="18" customHeight="1" x14ac:dyDescent="0.2">
      <c r="A28" s="31" t="str">
        <f>LEFT('Cost Details'!V37,7)</f>
        <v/>
      </c>
      <c r="B28" s="1881" t="str">
        <f>'Cost Details'!U38</f>
        <v>PURCHASED SERVICES</v>
      </c>
      <c r="C28" s="1882"/>
      <c r="D28" s="1882"/>
      <c r="E28" s="1882"/>
      <c r="F28" s="1882"/>
      <c r="G28" s="1883"/>
      <c r="H28" s="270"/>
      <c r="I28" s="111"/>
      <c r="J28" s="105"/>
      <c r="K28" s="105"/>
      <c r="L28" s="848"/>
      <c r="M28" s="1393"/>
      <c r="N28" s="1455"/>
      <c r="O28" s="273"/>
    </row>
    <row r="29" spans="1:15" s="30" customFormat="1" ht="18" customHeight="1" x14ac:dyDescent="0.2">
      <c r="A29" s="31" t="str">
        <f>LEFT('Cost Details'!V41,7)</f>
        <v>5467000</v>
      </c>
      <c r="B29" s="1884" t="str">
        <f>RIGHT('Cost Details'!V41,LEN('Cost Details'!V41)-10)</f>
        <v>Cementing Services</v>
      </c>
      <c r="C29" s="1885"/>
      <c r="D29" s="1885"/>
      <c r="E29" s="1885"/>
      <c r="F29" s="1885"/>
      <c r="G29" s="1886"/>
      <c r="H29" s="270">
        <f ca="1">ROUNDUP('Cost Details'!AM41,-3)</f>
        <v>6363000</v>
      </c>
      <c r="I29" s="111"/>
      <c r="J29" s="1925"/>
      <c r="K29" s="105"/>
      <c r="L29" s="848"/>
      <c r="M29" s="1393"/>
      <c r="N29" s="72"/>
      <c r="O29" s="273"/>
    </row>
    <row r="30" spans="1:15" ht="18" customHeight="1" x14ac:dyDescent="0.2">
      <c r="A30" s="31" t="str">
        <f>LEFT('Cost Details'!V42,7)</f>
        <v>5466000</v>
      </c>
      <c r="B30" s="1884" t="str">
        <f>CONCATENATE(RIGHT('Cost Details'!V42,LEN('Cost Details'!V42)-10)," ",'Cost Details'!W42)</f>
        <v>Directional Drilling Services (with PWD)</v>
      </c>
      <c r="C30" s="1885"/>
      <c r="D30" s="1885"/>
      <c r="E30" s="1885"/>
      <c r="F30" s="1885"/>
      <c r="G30" s="1886"/>
      <c r="H30" s="270">
        <f ca="1">ROUNDUP('Cost Details'!AM42,-3)</f>
        <v>23804000</v>
      </c>
      <c r="I30" s="111"/>
      <c r="J30" s="1924"/>
      <c r="K30" s="1539"/>
      <c r="L30" s="848"/>
      <c r="M30" s="1393"/>
      <c r="N30" s="1455"/>
    </row>
    <row r="31" spans="1:15" ht="18" customHeight="1" x14ac:dyDescent="0.2">
      <c r="A31" s="31" t="str">
        <f>LEFT('Cost Details'!V43,7)</f>
        <v>5468000</v>
      </c>
      <c r="B31" s="1884" t="str">
        <f>RIGHT('Cost Details'!V43,LEN('Cost Details'!V43)-10)</f>
        <v>Mud Engineering Services</v>
      </c>
      <c r="C31" s="1885"/>
      <c r="D31" s="1885"/>
      <c r="E31" s="1885"/>
      <c r="F31" s="1885"/>
      <c r="G31" s="1886"/>
      <c r="H31" s="270">
        <f>ROUNDUP('Cost Details'!AM43,-3)</f>
        <v>2362000</v>
      </c>
      <c r="I31" s="111"/>
      <c r="J31" s="1925"/>
      <c r="K31" s="105"/>
      <c r="L31" s="848"/>
      <c r="M31" s="1393"/>
      <c r="N31" s="72"/>
    </row>
    <row r="32" spans="1:15" ht="18" customHeight="1" x14ac:dyDescent="0.2">
      <c r="A32" s="31" t="str">
        <f>LEFT('Cost Details'!V44,7)</f>
        <v>5470000</v>
      </c>
      <c r="B32" s="1884" t="str">
        <f>RIGHT('Cost Details'!V44,LEN('Cost Details'!V44)-10)</f>
        <v xml:space="preserve">Aerated Drilling Services         </v>
      </c>
      <c r="C32" s="1885"/>
      <c r="D32" s="1885"/>
      <c r="E32" s="1885"/>
      <c r="F32" s="1885"/>
      <c r="G32" s="1886"/>
      <c r="H32" s="270">
        <f ca="1">ROUNDUP('Cost Details'!AM44,-3)</f>
        <v>30239000</v>
      </c>
      <c r="I32" s="111"/>
      <c r="J32" s="1539"/>
      <c r="K32" s="105"/>
      <c r="L32" s="848"/>
      <c r="M32" s="1393"/>
      <c r="N32" s="1455"/>
    </row>
    <row r="33" spans="1:14" ht="18" customHeight="1" x14ac:dyDescent="0.2">
      <c r="A33" s="31" t="str">
        <f>LEFT('Cost Details'!V45,7)</f>
        <v>5469000</v>
      </c>
      <c r="B33" s="1884" t="str">
        <f>RIGHT('Cost Details'!V45,LEN('Cost Details'!V45)-10)</f>
        <v>Jars and Shock Tools</v>
      </c>
      <c r="C33" s="1885"/>
      <c r="D33" s="1885"/>
      <c r="E33" s="1885"/>
      <c r="F33" s="1885"/>
      <c r="G33" s="1886"/>
      <c r="H33" s="270">
        <f ca="1">ROUNDUP('Cost Details'!AM45,-3)</f>
        <v>6292000</v>
      </c>
      <c r="I33" s="111"/>
      <c r="J33" s="151"/>
      <c r="K33" s="105"/>
      <c r="L33" s="848"/>
      <c r="M33" s="1393"/>
      <c r="N33" s="1455"/>
    </row>
    <row r="34" spans="1:14" ht="18" customHeight="1" x14ac:dyDescent="0.2">
      <c r="A34" s="31" t="str">
        <f>LEFT('Cost Details'!V46,7)</f>
        <v>5425000</v>
      </c>
      <c r="B34" s="1884" t="str">
        <f>RIGHT('Cost Details'!V46,LEN('Cost Details'!V46)-10)</f>
        <v>CHF Welding Services</v>
      </c>
      <c r="C34" s="1885"/>
      <c r="D34" s="1885"/>
      <c r="E34" s="1885"/>
      <c r="F34" s="1885"/>
      <c r="G34" s="1886"/>
      <c r="H34" s="270">
        <f>ROUNDUP('Cost Details'!AM46,-3)</f>
        <v>1377000</v>
      </c>
      <c r="I34" s="111"/>
      <c r="J34" s="105"/>
      <c r="K34" s="105"/>
      <c r="L34" s="848"/>
      <c r="M34" s="1393"/>
      <c r="N34" s="72"/>
    </row>
    <row r="35" spans="1:14" ht="18" customHeight="1" x14ac:dyDescent="0.2">
      <c r="A35" s="31" t="str">
        <f>LEFT('Cost Details'!V47,7)</f>
        <v>5472000</v>
      </c>
      <c r="B35" s="1884" t="str">
        <f>RIGHT('Cost Details'!V47,LEN('Cost Details'!V47)-10)</f>
        <v>Mud Logging Services</v>
      </c>
      <c r="C35" s="1885"/>
      <c r="D35" s="1885"/>
      <c r="E35" s="1885"/>
      <c r="F35" s="1885"/>
      <c r="G35" s="1886"/>
      <c r="H35" s="270">
        <f ca="1">ROUNDUP('Cost Details'!AM47,-3)</f>
        <v>2836000</v>
      </c>
      <c r="I35" s="111"/>
      <c r="J35" s="105"/>
      <c r="K35" s="105"/>
      <c r="L35" s="848"/>
      <c r="M35" s="1393"/>
      <c r="N35" s="72"/>
    </row>
    <row r="36" spans="1:14" ht="18" customHeight="1" x14ac:dyDescent="0.2">
      <c r="A36" s="31" t="str">
        <f>LEFT('Cost Details'!V48,7)</f>
        <v>5471000</v>
      </c>
      <c r="B36" s="1884" t="str">
        <f>RIGHT('Cost Details'!V48,LEN('Cost Details'!V48)-10)</f>
        <v xml:space="preserve">Casing Running Services         </v>
      </c>
      <c r="C36" s="1885"/>
      <c r="D36" s="1885"/>
      <c r="E36" s="1885"/>
      <c r="F36" s="1885"/>
      <c r="G36" s="1886"/>
      <c r="H36" s="270">
        <f>ROUNDUP('Cost Details'!AM48,-3)</f>
        <v>6955000</v>
      </c>
      <c r="I36" s="111"/>
      <c r="J36" s="105"/>
      <c r="K36" s="105"/>
      <c r="L36" s="848"/>
      <c r="M36" s="1393"/>
      <c r="N36" s="72"/>
    </row>
    <row r="37" spans="1:14" ht="15" x14ac:dyDescent="0.2">
      <c r="A37" s="31" t="str">
        <f>LEFT('Cost Details'!V49,7)</f>
        <v>5463000</v>
      </c>
      <c r="B37" s="1884" t="str">
        <f>RIGHT('Cost Details'!V49,LEN('Cost Details'!V49)-10)</f>
        <v>Drilling Rig Services</v>
      </c>
      <c r="C37" s="1885"/>
      <c r="D37" s="1885"/>
      <c r="E37" s="1885"/>
      <c r="F37" s="1885"/>
      <c r="G37" s="1886"/>
      <c r="H37" s="270">
        <f ca="1">ROUNDUP('Cost Details'!AM49,-3)</f>
        <v>94036000</v>
      </c>
      <c r="I37" s="111"/>
      <c r="J37" s="105"/>
      <c r="K37" s="105"/>
      <c r="L37" s="848"/>
      <c r="M37" s="1393"/>
      <c r="N37" s="72"/>
    </row>
    <row r="38" spans="1:14" s="315" customFormat="1" ht="18" customHeight="1" x14ac:dyDescent="0.2">
      <c r="A38" s="31" t="str">
        <f>LEFT('Cost Details'!V50,7)</f>
        <v>5503000</v>
      </c>
      <c r="B38" s="1884" t="str">
        <f>RIGHT('Cost Details'!V50,LEN('Cost Details'!V50)-10)</f>
        <v>Drill Pipes</v>
      </c>
      <c r="C38" s="1885"/>
      <c r="D38" s="1885"/>
      <c r="E38" s="1885"/>
      <c r="F38" s="1885"/>
      <c r="G38" s="1886"/>
      <c r="H38" s="270">
        <f ca="1">ROUNDUP('Cost Details'!AM50,-3)</f>
        <v>0</v>
      </c>
      <c r="I38" s="846"/>
      <c r="J38" s="105"/>
      <c r="K38" s="105"/>
      <c r="L38" s="848"/>
      <c r="M38" s="1393"/>
      <c r="N38" s="72"/>
    </row>
    <row r="39" spans="1:14" s="315" customFormat="1" ht="18" customHeight="1" x14ac:dyDescent="0.2">
      <c r="A39" s="31" t="str">
        <f>LEFT('Cost Details'!V51,7)</f>
        <v>5465000</v>
      </c>
      <c r="B39" s="1884" t="str">
        <f>CONCATENATE(RIGHT('Cost Details'!V51,LEN('Cost Details'!V51)-10)," ", 'Cost Details'!W51)</f>
        <v xml:space="preserve">Completion Test -Wireline </v>
      </c>
      <c r="C39" s="1885"/>
      <c r="D39" s="1885"/>
      <c r="E39" s="1885"/>
      <c r="F39" s="1885"/>
      <c r="G39" s="1886"/>
      <c r="H39" s="270">
        <f>ROUNDUP('Cost Details'!AM51,-3)</f>
        <v>2500000</v>
      </c>
      <c r="I39" s="846"/>
      <c r="J39" s="105"/>
      <c r="K39" s="105"/>
      <c r="L39" s="848"/>
      <c r="M39" s="1393"/>
      <c r="N39" s="72"/>
    </row>
    <row r="40" spans="1:14" s="315" customFormat="1" ht="18" customHeight="1" x14ac:dyDescent="0.2">
      <c r="A40" s="31" t="str">
        <f>LEFT('Cost Details'!V52,7)</f>
        <v>5465000</v>
      </c>
      <c r="B40" s="1884" t="str">
        <f>RIGHT('Cost Details'!V52,LEN('Cost Details'!V52)-10)</f>
        <v>Other Cementing Services</v>
      </c>
      <c r="C40" s="1885"/>
      <c r="D40" s="1885"/>
      <c r="E40" s="1885"/>
      <c r="F40" s="1885"/>
      <c r="G40" s="1886"/>
      <c r="H40" s="270">
        <f>ROUNDUP('Cost Details'!AM52,-3)</f>
        <v>65000</v>
      </c>
      <c r="I40" s="846"/>
      <c r="J40" s="105"/>
      <c r="K40" s="105"/>
      <c r="L40" s="848"/>
      <c r="M40" s="1393"/>
      <c r="N40" s="1455"/>
    </row>
    <row r="41" spans="1:14" ht="18" customHeight="1" x14ac:dyDescent="0.2">
      <c r="A41" s="31" t="str">
        <f>LEFT('Cost Details'!V53,7)</f>
        <v>5411000</v>
      </c>
      <c r="B41" s="1884" t="str">
        <f>RIGHT('Cost Details'!V53,LEN('Cost Details'!V53)-10)</f>
        <v xml:space="preserve">Handling, Hauling, Towing &amp; Del.        </v>
      </c>
      <c r="C41" s="1885"/>
      <c r="D41" s="1885"/>
      <c r="E41" s="1885"/>
      <c r="F41" s="1885"/>
      <c r="G41" s="1886"/>
      <c r="H41" s="270">
        <f ca="1">ROUNDUP('Cost Details'!AM53,-3)</f>
        <v>2206000</v>
      </c>
      <c r="I41" s="111"/>
      <c r="J41" s="105"/>
      <c r="K41" s="105"/>
      <c r="L41" s="848"/>
      <c r="M41" s="1393"/>
      <c r="N41" s="72"/>
    </row>
    <row r="42" spans="1:14" ht="18" customHeight="1" x14ac:dyDescent="0.2">
      <c r="A42" s="31" t="str">
        <f>LEFT('Cost Details'!V54,7)</f>
        <v>5431000</v>
      </c>
      <c r="B42" s="1884" t="str">
        <f>RIGHT('Cost Details'!V54,LEN('Cost Details'!V54)-10)</f>
        <v>Rig Mobilization Charges</v>
      </c>
      <c r="C42" s="1885"/>
      <c r="D42" s="1885"/>
      <c r="E42" s="1885"/>
      <c r="F42" s="1885"/>
      <c r="G42" s="1886"/>
      <c r="H42" s="270">
        <f ca="1">ROUNDUP('Cost Details'!AM54,-3)</f>
        <v>38669000</v>
      </c>
      <c r="I42" s="111"/>
      <c r="J42" s="127" t="s">
        <v>2691</v>
      </c>
      <c r="K42" s="105"/>
      <c r="L42" s="848"/>
      <c r="M42" s="1393"/>
      <c r="N42" s="1455"/>
    </row>
    <row r="43" spans="1:14" s="12" customFormat="1" ht="18" customHeight="1" x14ac:dyDescent="0.2">
      <c r="A43" s="31" t="str">
        <f>LEFT('Cost Details'!V58,7)</f>
        <v/>
      </c>
      <c r="B43" s="85" t="s">
        <v>1053</v>
      </c>
      <c r="C43" s="92"/>
      <c r="D43" s="92"/>
      <c r="E43" s="92"/>
      <c r="F43" s="92"/>
      <c r="G43" s="106"/>
      <c r="H43" s="271"/>
      <c r="I43" s="111"/>
      <c r="J43" s="105"/>
      <c r="K43" s="105"/>
      <c r="L43" s="848"/>
      <c r="M43" s="1393"/>
      <c r="N43" s="53"/>
    </row>
    <row r="44" spans="1:14" s="30" customFormat="1" ht="18" customHeight="1" x14ac:dyDescent="0.2">
      <c r="A44" s="31" t="str">
        <f>LEFT('Cost Details'!V56,7)</f>
        <v/>
      </c>
      <c r="B44" s="1857" t="str">
        <f>'Cost Details'!V845</f>
        <v>RIG OML DAILY RATE</v>
      </c>
      <c r="C44" s="1858"/>
      <c r="D44" s="138"/>
      <c r="E44" s="138"/>
      <c r="F44" s="138"/>
      <c r="G44" s="139"/>
      <c r="H44" s="1860">
        <f>ROUNDUP('Cost Details'!AM845,-3)</f>
        <v>0</v>
      </c>
      <c r="I44" s="111"/>
      <c r="J44" s="105"/>
      <c r="K44" s="105"/>
      <c r="L44" s="848"/>
      <c r="M44" s="1393"/>
      <c r="N44" s="72"/>
    </row>
    <row r="45" spans="1:14" s="30" customFormat="1" ht="18" customHeight="1" x14ac:dyDescent="0.2">
      <c r="A45" s="31" t="str">
        <f>LEFT('Cost Details'!V57,7)</f>
        <v/>
      </c>
      <c r="B45" s="1857" t="str">
        <f>'Cost Details'!V846</f>
        <v>DEPRECIATION</v>
      </c>
      <c r="C45" s="1858"/>
      <c r="D45" s="138"/>
      <c r="E45" s="138"/>
      <c r="F45" s="138"/>
      <c r="G45" s="139"/>
      <c r="H45" s="1860">
        <f>ROUNDUP('Cost Details'!AM846,-3)</f>
        <v>0</v>
      </c>
      <c r="I45" s="111"/>
      <c r="J45" s="105"/>
      <c r="K45" s="105"/>
      <c r="L45" s="848"/>
      <c r="M45" s="1393"/>
      <c r="N45" s="72"/>
    </row>
    <row r="46" spans="1:14" ht="18" customHeight="1" x14ac:dyDescent="0.2">
      <c r="A46" s="31" t="str">
        <f>LEFT('Cost Details'!V58,7)</f>
        <v/>
      </c>
      <c r="B46" s="1857" t="str">
        <f>'Cost Details'!V847</f>
        <v>INSURANCE</v>
      </c>
      <c r="C46" s="1858"/>
      <c r="D46" s="138"/>
      <c r="E46" s="138"/>
      <c r="F46" s="138"/>
      <c r="G46" s="139"/>
      <c r="H46" s="1860">
        <f>ROUNDUP('Cost Details'!AM847,-3)</f>
        <v>0</v>
      </c>
      <c r="I46" s="111"/>
      <c r="J46" s="105"/>
      <c r="K46" s="105"/>
      <c r="L46" s="848"/>
      <c r="M46" s="1393"/>
      <c r="N46" s="72"/>
    </row>
    <row r="47" spans="1:14" ht="15" x14ac:dyDescent="0.2">
      <c r="A47" s="31"/>
      <c r="B47" s="1857" t="str">
        <f>CONCATENATE('Cost Details'!V848," ","(",INPUT!H8,")")</f>
        <v>GENEX DAILY RATE (LGBU)</v>
      </c>
      <c r="C47" s="1858"/>
      <c r="D47" s="138"/>
      <c r="E47" s="138"/>
      <c r="F47" s="138"/>
      <c r="G47" s="139"/>
      <c r="H47" s="1860">
        <f>ROUNDUP('Cost Details'!AM848,-3)</f>
        <v>8858000</v>
      </c>
      <c r="I47" s="111"/>
      <c r="J47" s="105"/>
      <c r="K47" s="105"/>
      <c r="L47" s="848"/>
      <c r="M47" s="1393"/>
      <c r="N47" s="72"/>
    </row>
    <row r="48" spans="1:14" s="315" customFormat="1" ht="15" x14ac:dyDescent="0.2">
      <c r="A48" s="31"/>
      <c r="B48" s="1857" t="str">
        <f>'Cost Details'!V849</f>
        <v>THERMAPRIME</v>
      </c>
      <c r="C48" s="1858"/>
      <c r="D48" s="138"/>
      <c r="E48" s="138"/>
      <c r="F48" s="138"/>
      <c r="G48" s="139"/>
      <c r="H48" s="1860">
        <f>ROUNDUP('Cost Details'!AM849,-3)</f>
        <v>0</v>
      </c>
      <c r="I48" s="846"/>
      <c r="J48" s="105"/>
      <c r="K48" s="105"/>
      <c r="L48" s="1651"/>
      <c r="M48" s="1393"/>
      <c r="N48" s="72"/>
    </row>
    <row r="49" spans="1:16" ht="15" x14ac:dyDescent="0.2">
      <c r="A49" s="31"/>
      <c r="B49" s="1857" t="str">
        <f>'Cost Details'!V850</f>
        <v>DG</v>
      </c>
      <c r="C49" s="1859"/>
      <c r="D49" s="136"/>
      <c r="E49" s="136"/>
      <c r="F49" s="136"/>
      <c r="G49" s="137"/>
      <c r="H49" s="1860">
        <f>ROUNDUP('Cost Details'!AM850,-3)</f>
        <v>25135000</v>
      </c>
      <c r="I49" s="111"/>
      <c r="J49" s="105"/>
      <c r="K49" s="105"/>
      <c r="L49" s="848"/>
      <c r="M49" s="1393"/>
      <c r="N49" s="72"/>
    </row>
    <row r="50" spans="1:16" s="30" customFormat="1" ht="18" x14ac:dyDescent="0.2">
      <c r="A50" s="31" t="str">
        <f>LEFT('Cost Details'!V62,7)</f>
        <v/>
      </c>
      <c r="B50" s="1857" t="str">
        <f>'Cost Details'!V851</f>
        <v>INTER-ISLAND COST</v>
      </c>
      <c r="C50" s="1859"/>
      <c r="D50" s="136"/>
      <c r="E50" s="136"/>
      <c r="F50" s="136"/>
      <c r="G50" s="137"/>
      <c r="H50" s="1860">
        <f>ROUNDUP('Cost Details'!AM851,-3)</f>
        <v>1689000</v>
      </c>
      <c r="I50" s="111"/>
      <c r="J50" s="127" t="s">
        <v>2688</v>
      </c>
      <c r="K50" s="105"/>
      <c r="L50" s="848"/>
      <c r="M50" s="1393"/>
      <c r="N50" s="72"/>
    </row>
    <row r="51" spans="1:16" s="100" customFormat="1" ht="16" x14ac:dyDescent="0.2">
      <c r="A51" s="140"/>
      <c r="B51" s="2481" t="s">
        <v>28</v>
      </c>
      <c r="C51" s="2481"/>
      <c r="D51" s="2481"/>
      <c r="E51" s="141"/>
      <c r="F51" s="141"/>
      <c r="G51" s="847"/>
      <c r="H51" s="849">
        <f ca="1">SUBTOTAL(109,H20:H50)</f>
        <v>334802000</v>
      </c>
      <c r="I51" s="111"/>
      <c r="J51" s="2207">
        <f ca="1">J54/TD</f>
        <v>111014.62974165459</v>
      </c>
      <c r="K51" s="127" t="s">
        <v>2693</v>
      </c>
      <c r="L51" s="848"/>
      <c r="M51" s="1393"/>
      <c r="N51" s="105"/>
    </row>
    <row r="52" spans="1:16" s="100" customFormat="1" ht="15" customHeight="1" x14ac:dyDescent="0.2">
      <c r="A52" s="2482" t="s">
        <v>29</v>
      </c>
      <c r="B52" s="2483"/>
      <c r="C52" s="2484"/>
      <c r="D52" s="142"/>
      <c r="E52" s="143"/>
      <c r="F52" s="2485" t="s">
        <v>30</v>
      </c>
      <c r="G52" s="2483"/>
      <c r="H52" s="2486"/>
      <c r="I52" s="111"/>
      <c r="J52" s="127"/>
      <c r="K52" s="127" t="s">
        <v>2697</v>
      </c>
      <c r="M52" s="105"/>
      <c r="N52" s="105"/>
    </row>
    <row r="53" spans="1:16" s="100" customFormat="1" ht="23.25" customHeight="1" x14ac:dyDescent="0.2">
      <c r="A53" s="2445"/>
      <c r="B53" s="2446"/>
      <c r="C53" s="2447"/>
      <c r="D53" s="2487" t="s">
        <v>31</v>
      </c>
      <c r="E53" s="2488"/>
      <c r="F53" s="84" t="s">
        <v>32</v>
      </c>
      <c r="G53" s="144"/>
      <c r="H53" s="145"/>
      <c r="I53" s="111"/>
      <c r="J53" s="2209">
        <f ca="1">'Cost Details'!X63</f>
        <v>57265425.645863518</v>
      </c>
      <c r="K53" s="2208" t="s">
        <v>2692</v>
      </c>
      <c r="M53" s="105"/>
      <c r="N53" s="105"/>
    </row>
    <row r="54" spans="1:16" s="100" customFormat="1" ht="15" customHeight="1" x14ac:dyDescent="0.2">
      <c r="A54" s="2445" t="s">
        <v>33</v>
      </c>
      <c r="B54" s="2446"/>
      <c r="C54" s="2447"/>
      <c r="D54" s="2458"/>
      <c r="E54" s="2459"/>
      <c r="F54" s="2460" t="s">
        <v>2173</v>
      </c>
      <c r="G54" s="2461"/>
      <c r="H54" s="2462"/>
      <c r="I54" s="111"/>
      <c r="J54" s="2209">
        <f ca="1">H51-J53</f>
        <v>277536574.35413647</v>
      </c>
      <c r="K54" s="127" t="s">
        <v>2242</v>
      </c>
      <c r="M54" s="105"/>
      <c r="N54" s="105"/>
      <c r="P54" s="1927"/>
    </row>
    <row r="55" spans="1:16" s="100" customFormat="1" ht="10.5" customHeight="1" x14ac:dyDescent="0.2">
      <c r="A55" s="2445" t="s">
        <v>34</v>
      </c>
      <c r="B55" s="2446"/>
      <c r="C55" s="2447"/>
      <c r="D55" s="2463"/>
      <c r="E55" s="2452"/>
      <c r="F55" s="84" t="s">
        <v>35</v>
      </c>
      <c r="G55" s="146"/>
      <c r="H55" s="147"/>
      <c r="I55" s="111"/>
      <c r="J55" s="105"/>
      <c r="K55" s="105"/>
      <c r="L55" s="105"/>
      <c r="M55" s="105"/>
      <c r="N55" s="105"/>
    </row>
    <row r="56" spans="1:16" s="100" customFormat="1" ht="15" customHeight="1" x14ac:dyDescent="0.2">
      <c r="A56" s="2445"/>
      <c r="B56" s="2446"/>
      <c r="C56" s="2447"/>
      <c r="D56" s="2451"/>
      <c r="E56" s="2452"/>
      <c r="F56" s="2464" t="str">
        <f>INDEX($T$4:$T$7,MATCH(INPUT!$H$8,'COVER SHEET'!$R$4:$R$7,0))</f>
        <v>JA VILLAROMAN</v>
      </c>
      <c r="G56" s="2465"/>
      <c r="H56" s="2466"/>
      <c r="I56" s="111"/>
      <c r="J56" s="274"/>
      <c r="K56" s="105"/>
      <c r="L56" s="105"/>
      <c r="M56" s="105"/>
      <c r="N56" s="105"/>
    </row>
    <row r="57" spans="1:16" s="100" customFormat="1" ht="15" customHeight="1" x14ac:dyDescent="0.2">
      <c r="A57" s="2445" t="s">
        <v>36</v>
      </c>
      <c r="B57" s="2446"/>
      <c r="C57" s="2447"/>
      <c r="D57" s="2470"/>
      <c r="E57" s="2471"/>
      <c r="F57" s="2467"/>
      <c r="G57" s="2468"/>
      <c r="H57" s="2469"/>
      <c r="I57" s="111"/>
      <c r="J57" s="1926"/>
      <c r="K57" s="105"/>
      <c r="L57" s="105"/>
      <c r="M57" s="105"/>
      <c r="N57" s="105"/>
    </row>
    <row r="58" spans="1:16" ht="16" x14ac:dyDescent="0.2">
      <c r="A58" s="2445"/>
      <c r="B58" s="2446"/>
      <c r="C58" s="2447"/>
      <c r="D58" s="2472"/>
      <c r="E58" s="2471"/>
      <c r="F58" s="84" t="s">
        <v>37</v>
      </c>
      <c r="G58" s="146"/>
      <c r="H58" s="147"/>
      <c r="I58" s="111"/>
      <c r="J58" s="105"/>
      <c r="K58" s="105"/>
      <c r="L58" s="105"/>
      <c r="M58" s="105"/>
      <c r="N58" s="105"/>
    </row>
    <row r="59" spans="1:16" ht="15" x14ac:dyDescent="0.2">
      <c r="A59" s="2445" t="s">
        <v>38</v>
      </c>
      <c r="B59" s="2446"/>
      <c r="C59" s="2447"/>
      <c r="D59" s="2473">
        <f ca="1">-H51</f>
        <v>-334802000</v>
      </c>
      <c r="E59" s="2474"/>
      <c r="F59" s="2475" t="s">
        <v>381</v>
      </c>
      <c r="G59" s="2476"/>
      <c r="H59" s="2477"/>
      <c r="I59" s="111"/>
      <c r="J59" s="105"/>
      <c r="K59" s="105"/>
      <c r="L59" s="105"/>
      <c r="M59" s="105"/>
      <c r="N59" s="105"/>
    </row>
    <row r="60" spans="1:16" ht="15" x14ac:dyDescent="0.2">
      <c r="A60" s="2445"/>
      <c r="B60" s="2446"/>
      <c r="C60" s="2447"/>
      <c r="D60" s="2473"/>
      <c r="E60" s="2474"/>
      <c r="F60" s="2478"/>
      <c r="G60" s="2479"/>
      <c r="H60" s="2480"/>
      <c r="I60" s="111"/>
      <c r="J60" s="105"/>
      <c r="K60" s="105"/>
      <c r="L60" s="105"/>
      <c r="M60" s="105"/>
      <c r="N60" s="105"/>
    </row>
    <row r="61" spans="1:16" ht="21.75" customHeight="1" x14ac:dyDescent="0.2">
      <c r="A61" s="2445" t="s">
        <v>39</v>
      </c>
      <c r="B61" s="2446"/>
      <c r="C61" s="2447"/>
      <c r="D61" s="2451"/>
      <c r="E61" s="2452"/>
      <c r="F61" s="84" t="s">
        <v>40</v>
      </c>
      <c r="G61" s="144"/>
      <c r="H61" s="145"/>
      <c r="I61" s="111"/>
      <c r="J61" s="105"/>
      <c r="K61" s="105"/>
      <c r="L61" s="105"/>
      <c r="M61" s="105"/>
      <c r="N61" s="105"/>
    </row>
    <row r="62" spans="1:16" ht="12.75" customHeight="1" thickBot="1" x14ac:dyDescent="0.2">
      <c r="A62" s="2448"/>
      <c r="B62" s="2449"/>
      <c r="C62" s="2450"/>
      <c r="D62" s="2453"/>
      <c r="E62" s="2454"/>
      <c r="F62" s="2455" t="s">
        <v>382</v>
      </c>
      <c r="G62" s="2456"/>
      <c r="H62" s="2457"/>
    </row>
    <row r="63" spans="1:16" ht="12.75" customHeight="1" x14ac:dyDescent="0.15"/>
    <row r="64" spans="1:16" ht="12.75" customHeight="1" x14ac:dyDescent="0.15"/>
    <row r="65" spans="8:8" ht="12.75" customHeight="1" x14ac:dyDescent="0.15"/>
    <row r="66" spans="8:8" ht="12.75" customHeight="1" x14ac:dyDescent="0.15"/>
    <row r="67" spans="8:8" ht="12.75" customHeight="1" x14ac:dyDescent="0.15"/>
    <row r="68" spans="8:8" ht="12.75" customHeight="1" x14ac:dyDescent="0.15">
      <c r="H68" s="135"/>
    </row>
    <row r="69" spans="8:8" ht="0" hidden="1" customHeight="1" x14ac:dyDescent="0.15"/>
  </sheetData>
  <mergeCells count="29">
    <mergeCell ref="B51:D51"/>
    <mergeCell ref="A52:C52"/>
    <mergeCell ref="F52:H52"/>
    <mergeCell ref="A53:C53"/>
    <mergeCell ref="D53:E53"/>
    <mergeCell ref="A61:C62"/>
    <mergeCell ref="D61:E62"/>
    <mergeCell ref="F62:H62"/>
    <mergeCell ref="A54:C54"/>
    <mergeCell ref="D54:E54"/>
    <mergeCell ref="F54:H54"/>
    <mergeCell ref="A55:C56"/>
    <mergeCell ref="D55:E56"/>
    <mergeCell ref="F56:H57"/>
    <mergeCell ref="A57:C58"/>
    <mergeCell ref="D57:E58"/>
    <mergeCell ref="A59:C60"/>
    <mergeCell ref="D59:E60"/>
    <mergeCell ref="F59:H60"/>
    <mergeCell ref="A10:F10"/>
    <mergeCell ref="A11:F11"/>
    <mergeCell ref="A15:A16"/>
    <mergeCell ref="B17:G18"/>
    <mergeCell ref="H17:H18"/>
    <mergeCell ref="A1:E2"/>
    <mergeCell ref="A5:C5"/>
    <mergeCell ref="D5:G5"/>
    <mergeCell ref="D7:G7"/>
    <mergeCell ref="A8:F8"/>
  </mergeCells>
  <conditionalFormatting sqref="M20:M51">
    <cfRule type="cellIs" dxfId="7" priority="1" operator="equal">
      <formula>"increased"</formula>
    </cfRule>
  </conditionalFormatting>
  <printOptions horizontalCentered="1"/>
  <pageMargins left="0.51" right="0.5" top="0.5" bottom="0.38" header="0" footer="0"/>
  <pageSetup paperSize="9" scale="78"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enableFormatConditionsCalculation="0"/>
  <dimension ref="A1:W164"/>
  <sheetViews>
    <sheetView showGridLines="0" topLeftCell="C30" zoomScale="80" zoomScaleNormal="80" zoomScalePageLayoutView="120" workbookViewId="0">
      <selection activeCell="I85" sqref="I85"/>
    </sheetView>
  </sheetViews>
  <sheetFormatPr baseColWidth="10" defaultColWidth="0" defaultRowHeight="0" customHeight="1" zeroHeight="1" x14ac:dyDescent="0.2"/>
  <cols>
    <col min="1" max="1" width="17.83203125" style="117" customWidth="1"/>
    <col min="2" max="2" width="40.83203125" style="117" customWidth="1"/>
    <col min="3" max="3" width="14.1640625" customWidth="1"/>
    <col min="4" max="4" width="13.6640625" style="112" customWidth="1"/>
    <col min="5" max="5" width="14.1640625" style="112" customWidth="1"/>
    <col min="6" max="6" width="17.5" customWidth="1"/>
    <col min="7" max="7" width="28.6640625" style="117" customWidth="1"/>
    <col min="8" max="8" width="12.5" style="157" customWidth="1"/>
    <col min="9" max="9" width="27.5" style="167" customWidth="1"/>
    <col min="10" max="10" width="14.5" style="153" customWidth="1"/>
    <col min="11" max="12" width="14.1640625" style="169" customWidth="1"/>
    <col min="13" max="13" width="14.1640625" customWidth="1"/>
    <col min="14" max="18" width="11.1640625" style="315" hidden="1" customWidth="1"/>
    <col min="19" max="23" width="0" hidden="1" customWidth="1"/>
    <col min="24" max="16384" width="9.83203125" hidden="1"/>
  </cols>
  <sheetData>
    <row r="1" spans="1:19" ht="15" x14ac:dyDescent="0.2">
      <c r="B1" s="82"/>
      <c r="C1" s="80"/>
      <c r="D1" s="80"/>
      <c r="E1" s="80"/>
      <c r="F1" s="105"/>
      <c r="H1" s="156"/>
      <c r="I1" s="161"/>
      <c r="J1" s="152"/>
      <c r="K1" s="168"/>
      <c r="L1" s="168"/>
      <c r="M1" s="105"/>
      <c r="N1" s="105"/>
      <c r="O1" s="105"/>
      <c r="P1" s="105"/>
      <c r="Q1" s="105"/>
      <c r="R1" s="105"/>
      <c r="S1" s="105"/>
    </row>
    <row r="2" spans="1:19" ht="15" x14ac:dyDescent="0.2">
      <c r="B2" s="2489" t="s">
        <v>277</v>
      </c>
      <c r="C2" s="2489"/>
      <c r="D2" s="2489"/>
      <c r="E2" s="2489"/>
      <c r="F2" s="105"/>
      <c r="H2" s="2490"/>
      <c r="I2" s="2490"/>
      <c r="J2" s="2490"/>
      <c r="K2" s="2490"/>
      <c r="L2" s="1031"/>
      <c r="M2" s="105"/>
      <c r="N2" s="105"/>
      <c r="O2" s="105"/>
      <c r="P2" s="105"/>
      <c r="Q2" s="105"/>
      <c r="R2" s="105"/>
      <c r="S2" s="105"/>
    </row>
    <row r="3" spans="1:19" ht="15" x14ac:dyDescent="0.2">
      <c r="A3" s="101"/>
      <c r="B3" s="2491" t="s">
        <v>54</v>
      </c>
      <c r="C3" s="2492"/>
      <c r="D3" s="2491" t="s">
        <v>59</v>
      </c>
      <c r="E3" s="2492"/>
      <c r="F3" s="55"/>
      <c r="H3" s="2493"/>
      <c r="I3" s="2493"/>
      <c r="J3" s="2493"/>
      <c r="K3" s="2493"/>
      <c r="L3" s="1032"/>
      <c r="M3" s="105"/>
      <c r="N3" s="105"/>
      <c r="O3" s="105"/>
      <c r="P3" s="105"/>
      <c r="Q3" s="105"/>
      <c r="R3" s="105"/>
      <c r="S3" s="105"/>
    </row>
    <row r="4" spans="1:19" s="58" customFormat="1" ht="15" x14ac:dyDescent="0.2">
      <c r="A4" s="113"/>
      <c r="B4" s="880" t="s">
        <v>138</v>
      </c>
      <c r="C4" s="881" t="s">
        <v>209</v>
      </c>
      <c r="D4" s="880" t="s">
        <v>138</v>
      </c>
      <c r="E4" s="880" t="s">
        <v>209</v>
      </c>
      <c r="F4" s="560"/>
      <c r="G4" s="82"/>
      <c r="H4" s="153"/>
      <c r="I4" s="161"/>
      <c r="J4" s="153"/>
      <c r="K4" s="169"/>
      <c r="L4" s="169"/>
    </row>
    <row r="5" spans="1:19" ht="15" x14ac:dyDescent="0.2">
      <c r="A5" s="50" t="s">
        <v>278</v>
      </c>
      <c r="B5" s="561">
        <v>1</v>
      </c>
      <c r="C5" s="562">
        <v>145</v>
      </c>
      <c r="D5" s="561">
        <v>1</v>
      </c>
      <c r="E5" s="562">
        <v>145</v>
      </c>
      <c r="F5" s="55"/>
      <c r="H5" s="153"/>
      <c r="I5" s="162"/>
      <c r="K5" s="170"/>
      <c r="L5" s="170"/>
      <c r="M5" s="105"/>
      <c r="N5" s="105"/>
      <c r="O5" s="105"/>
      <c r="P5" s="105"/>
      <c r="Q5" s="105"/>
      <c r="R5" s="105"/>
      <c r="S5" s="105"/>
    </row>
    <row r="6" spans="1:19" ht="15" x14ac:dyDescent="0.2">
      <c r="A6" s="668" t="s">
        <v>2709</v>
      </c>
      <c r="B6" s="561">
        <v>3</v>
      </c>
      <c r="C6" s="562">
        <v>135</v>
      </c>
      <c r="D6" s="561">
        <v>3</v>
      </c>
      <c r="E6" s="562">
        <v>135</v>
      </c>
      <c r="F6" s="55"/>
      <c r="H6" s="153"/>
      <c r="I6" s="162"/>
      <c r="K6" s="170"/>
      <c r="L6" s="170"/>
      <c r="M6" s="105"/>
      <c r="N6" s="105"/>
      <c r="O6" s="105"/>
      <c r="P6" s="105"/>
      <c r="Q6" s="105"/>
      <c r="R6" s="105"/>
      <c r="S6" s="105"/>
    </row>
    <row r="7" spans="1:19" ht="15" x14ac:dyDescent="0.2">
      <c r="A7" s="668" t="s">
        <v>2708</v>
      </c>
      <c r="B7" s="561">
        <v>3</v>
      </c>
      <c r="C7" s="562">
        <v>135</v>
      </c>
      <c r="D7" s="561">
        <v>3</v>
      </c>
      <c r="E7" s="562">
        <v>135</v>
      </c>
      <c r="F7" s="55"/>
      <c r="G7" s="2225"/>
      <c r="H7" s="153"/>
      <c r="I7" s="162"/>
      <c r="K7" s="170"/>
      <c r="L7" s="170"/>
      <c r="M7" s="105"/>
      <c r="N7" s="105"/>
      <c r="O7" s="105"/>
      <c r="P7" s="105"/>
      <c r="Q7" s="105"/>
      <c r="R7" s="105"/>
      <c r="S7" s="105"/>
    </row>
    <row r="8" spans="1:19" ht="15" x14ac:dyDescent="0.2">
      <c r="A8" s="668" t="s">
        <v>279</v>
      </c>
      <c r="B8" s="561">
        <v>0</v>
      </c>
      <c r="C8" s="562">
        <v>135</v>
      </c>
      <c r="D8" s="561">
        <v>0</v>
      </c>
      <c r="E8" s="562">
        <v>135</v>
      </c>
      <c r="F8" s="55"/>
      <c r="H8" s="153"/>
      <c r="I8" s="162"/>
      <c r="K8" s="170"/>
      <c r="L8" s="170"/>
      <c r="M8" s="105"/>
      <c r="N8" s="105"/>
      <c r="O8" s="105"/>
      <c r="P8" s="105"/>
      <c r="Q8" s="105"/>
      <c r="R8" s="105"/>
      <c r="S8" s="105"/>
    </row>
    <row r="9" spans="1:19" ht="15" x14ac:dyDescent="0.2">
      <c r="A9" s="50" t="s">
        <v>280</v>
      </c>
      <c r="B9" s="128">
        <f>SUM(B5:B8)</f>
        <v>7</v>
      </c>
      <c r="C9" s="562">
        <v>3100</v>
      </c>
      <c r="D9" s="128">
        <f>SUM(D5:D8)</f>
        <v>7</v>
      </c>
      <c r="E9" s="562">
        <v>3100</v>
      </c>
      <c r="F9" s="55"/>
      <c r="H9" s="153"/>
      <c r="I9" s="162"/>
      <c r="K9" s="170"/>
      <c r="L9" s="170"/>
      <c r="M9" s="105"/>
      <c r="N9" s="105"/>
      <c r="O9" s="105"/>
      <c r="P9" s="105"/>
      <c r="Q9" s="105"/>
      <c r="R9" s="105"/>
      <c r="S9" s="127" t="s">
        <v>64</v>
      </c>
    </row>
    <row r="10" spans="1:19" ht="15" x14ac:dyDescent="0.2">
      <c r="A10" s="27"/>
      <c r="B10" s="27"/>
      <c r="C10" s="86"/>
      <c r="D10" s="41"/>
      <c r="E10" s="41"/>
      <c r="F10" s="105"/>
      <c r="I10" s="163"/>
      <c r="M10" s="105"/>
      <c r="N10" s="105"/>
      <c r="O10" s="105"/>
      <c r="P10" s="105"/>
      <c r="Q10" s="105"/>
      <c r="R10" s="105"/>
      <c r="S10" s="127" t="s">
        <v>75</v>
      </c>
    </row>
    <row r="11" spans="1:19" s="315" customFormat="1" ht="15" x14ac:dyDescent="0.2">
      <c r="A11" s="1033"/>
      <c r="B11" s="1033"/>
      <c r="C11" s="1034"/>
      <c r="D11" s="1035"/>
      <c r="E11" s="1035"/>
      <c r="F11" s="105"/>
      <c r="G11" s="117"/>
      <c r="H11" s="157"/>
      <c r="I11" s="163"/>
      <c r="J11" s="153"/>
      <c r="K11" s="169"/>
      <c r="L11" s="169"/>
      <c r="M11" s="105"/>
      <c r="N11" s="105"/>
      <c r="O11" s="105"/>
      <c r="P11" s="105"/>
      <c r="Q11" s="105"/>
      <c r="R11" s="105"/>
      <c r="S11" s="127"/>
    </row>
    <row r="12" spans="1:19" s="315" customFormat="1" ht="26.25" customHeight="1" x14ac:dyDescent="0.2">
      <c r="B12" s="2494" t="s">
        <v>243</v>
      </c>
      <c r="C12" s="2495"/>
      <c r="D12" s="2495"/>
      <c r="E12" s="2495"/>
      <c r="F12" s="2496"/>
      <c r="G12" s="1036"/>
      <c r="H12" s="127"/>
      <c r="I12" s="2494" t="s">
        <v>242</v>
      </c>
      <c r="J12" s="2495"/>
      <c r="K12" s="2495"/>
      <c r="L12" s="2495"/>
      <c r="M12" s="2495"/>
      <c r="N12" s="2496"/>
      <c r="O12" s="105"/>
      <c r="P12" s="105"/>
      <c r="Q12" s="105"/>
      <c r="R12" s="105"/>
      <c r="S12" s="127"/>
    </row>
    <row r="13" spans="1:19" s="315" customFormat="1" ht="16" thickBot="1" x14ac:dyDescent="0.25">
      <c r="B13" s="1037" t="s">
        <v>911</v>
      </c>
      <c r="C13" s="1038" t="s">
        <v>138</v>
      </c>
      <c r="D13" s="1039" t="s">
        <v>447</v>
      </c>
      <c r="E13" s="1040" t="s">
        <v>138</v>
      </c>
      <c r="F13" s="1040" t="s">
        <v>367</v>
      </c>
      <c r="G13" s="1036"/>
      <c r="I13" s="1037" t="s">
        <v>911</v>
      </c>
      <c r="J13" s="1038" t="s">
        <v>138</v>
      </c>
      <c r="K13" s="1039" t="s">
        <v>447</v>
      </c>
      <c r="L13" s="1038" t="s">
        <v>138</v>
      </c>
      <c r="M13" s="1040" t="s">
        <v>367</v>
      </c>
      <c r="N13" s="1040" t="s">
        <v>367</v>
      </c>
      <c r="O13" s="105"/>
      <c r="P13" s="105"/>
      <c r="Q13" s="105"/>
      <c r="R13" s="105"/>
      <c r="S13" s="127"/>
    </row>
    <row r="14" spans="1:19" s="315" customFormat="1" ht="16" thickBot="1" x14ac:dyDescent="0.25">
      <c r="B14" s="1041" t="s">
        <v>912</v>
      </c>
      <c r="C14" s="1042"/>
      <c r="D14" s="1043"/>
      <c r="E14" s="1044"/>
      <c r="F14" s="1045"/>
      <c r="G14" s="1036"/>
      <c r="H14" s="127"/>
      <c r="I14" s="1046" t="s">
        <v>913</v>
      </c>
      <c r="J14" s="1047"/>
      <c r="K14" s="1048"/>
      <c r="L14" s="1047"/>
      <c r="M14" s="1047"/>
      <c r="N14" s="1049"/>
      <c r="O14" s="105"/>
      <c r="P14" s="105"/>
      <c r="Q14" s="105"/>
      <c r="R14" s="105"/>
      <c r="S14" s="127"/>
    </row>
    <row r="15" spans="1:19" s="315" customFormat="1" ht="15" x14ac:dyDescent="0.2">
      <c r="A15" s="315" t="s">
        <v>377</v>
      </c>
      <c r="B15" s="1050" t="s">
        <v>281</v>
      </c>
      <c r="C15" s="1051">
        <f>'[4]BH SDI'!I6</f>
        <v>2</v>
      </c>
      <c r="D15" s="1052">
        <f>'[4]BH SDI'!H6</f>
        <v>1390</v>
      </c>
      <c r="E15" s="1051">
        <f>'[4]BH HB'!G6</f>
        <v>2</v>
      </c>
      <c r="F15" s="1052">
        <f>'[4]BH HB'!F6</f>
        <v>850</v>
      </c>
      <c r="G15" s="1053"/>
      <c r="H15" s="127" t="s">
        <v>377</v>
      </c>
      <c r="I15" s="1050" t="s">
        <v>281</v>
      </c>
      <c r="J15" s="1051">
        <f>'[4]RH SDI'!I13</f>
        <v>2</v>
      </c>
      <c r="K15" s="1052">
        <f xml:space="preserve"> '[4]RH SDI'!H13</f>
        <v>1390</v>
      </c>
      <c r="L15" s="1051">
        <f>'[4]RH HB'!G13</f>
        <v>2</v>
      </c>
      <c r="M15" s="1052">
        <f>'[4]RH HB'!F13</f>
        <v>850</v>
      </c>
      <c r="N15" s="1052">
        <v>1390</v>
      </c>
      <c r="O15" s="105"/>
      <c r="P15" s="105"/>
      <c r="Q15" s="105"/>
      <c r="R15" s="105"/>
      <c r="S15" s="127"/>
    </row>
    <row r="16" spans="1:19" s="315" customFormat="1" ht="15" x14ac:dyDescent="0.2">
      <c r="A16" s="315" t="s">
        <v>377</v>
      </c>
      <c r="B16" s="951" t="s">
        <v>282</v>
      </c>
      <c r="C16" s="1051">
        <f>'[4]BH SDI'!I7</f>
        <v>2</v>
      </c>
      <c r="D16" s="1052">
        <f>'[4]BH SDI'!H7</f>
        <v>800</v>
      </c>
      <c r="E16" s="1051">
        <f>'[4]BH HB'!G7</f>
        <v>2</v>
      </c>
      <c r="F16" s="1052">
        <f>'[4]BH HB'!F7</f>
        <v>850</v>
      </c>
      <c r="G16" s="1053"/>
      <c r="H16" s="127" t="s">
        <v>377</v>
      </c>
      <c r="I16" s="951" t="s">
        <v>282</v>
      </c>
      <c r="J16" s="1051">
        <f>'[4]RH SDI'!I14</f>
        <v>2</v>
      </c>
      <c r="K16" s="1052">
        <f xml:space="preserve"> '[4]RH SDI'!H14</f>
        <v>800</v>
      </c>
      <c r="L16" s="1051">
        <f>'[4]RH HB'!G14</f>
        <v>2</v>
      </c>
      <c r="M16" s="1052">
        <f>'[4]RH HB'!F14</f>
        <v>850</v>
      </c>
      <c r="N16" s="1054">
        <v>800</v>
      </c>
      <c r="O16" s="105"/>
      <c r="P16" s="105"/>
      <c r="Q16" s="105"/>
      <c r="R16" s="105"/>
      <c r="S16" s="127"/>
    </row>
    <row r="17" spans="1:19" s="315" customFormat="1" ht="15" x14ac:dyDescent="0.2">
      <c r="A17" s="315" t="s">
        <v>914</v>
      </c>
      <c r="B17" s="883" t="s">
        <v>491</v>
      </c>
      <c r="C17" s="1051">
        <f>'[4]BH SDI'!I8</f>
        <v>0</v>
      </c>
      <c r="D17" s="1052">
        <f>'[4]BH SDI'!H8</f>
        <v>0</v>
      </c>
      <c r="E17" s="1051">
        <f>'[4]BH HB'!G8</f>
        <v>0</v>
      </c>
      <c r="F17" s="1052">
        <f>'[4]BH HB'!F8</f>
        <v>0</v>
      </c>
      <c r="G17" s="1053"/>
      <c r="H17" s="127" t="s">
        <v>914</v>
      </c>
      <c r="I17" s="883" t="s">
        <v>491</v>
      </c>
      <c r="J17" s="1051">
        <f>'[4]RH SDI'!I15</f>
        <v>0</v>
      </c>
      <c r="K17" s="1052">
        <f xml:space="preserve"> '[4]RH SDI'!H15</f>
        <v>0</v>
      </c>
      <c r="L17" s="1051">
        <f>'[4]RH HB'!G15</f>
        <v>0</v>
      </c>
      <c r="M17" s="1052">
        <f>'[4]RH HB'!F15</f>
        <v>0</v>
      </c>
      <c r="N17" s="1054"/>
      <c r="O17" s="105"/>
      <c r="P17" s="105"/>
      <c r="Q17" s="105"/>
      <c r="R17" s="105"/>
      <c r="S17" s="127"/>
    </row>
    <row r="18" spans="1:19" s="315" customFormat="1" ht="15" x14ac:dyDescent="0.2">
      <c r="A18" s="315" t="s">
        <v>914</v>
      </c>
      <c r="B18" s="951" t="s">
        <v>283</v>
      </c>
      <c r="C18" s="1051">
        <f>'[4]BH SDI'!I9</f>
        <v>3</v>
      </c>
      <c r="D18" s="1052">
        <f>'[4]BH SDI'!H9</f>
        <v>160</v>
      </c>
      <c r="E18" s="1051">
        <f>'[4]BH HB'!G9</f>
        <v>2</v>
      </c>
      <c r="F18" s="1052">
        <f>'[4]BH HB'!F9</f>
        <v>700</v>
      </c>
      <c r="G18" s="1053"/>
      <c r="H18" s="127" t="s">
        <v>914</v>
      </c>
      <c r="I18" s="951" t="s">
        <v>283</v>
      </c>
      <c r="J18" s="1051">
        <f>'[4]RH SDI'!I16</f>
        <v>3</v>
      </c>
      <c r="K18" s="1052">
        <f xml:space="preserve"> '[4]RH SDI'!H16</f>
        <v>160</v>
      </c>
      <c r="L18" s="1051">
        <f>'[4]RH HB'!G16</f>
        <v>2</v>
      </c>
      <c r="M18" s="1052">
        <f>'[4]RH HB'!F16</f>
        <v>700</v>
      </c>
      <c r="N18" s="1054">
        <v>160</v>
      </c>
      <c r="O18" s="105"/>
      <c r="P18" s="105"/>
      <c r="Q18" s="105"/>
      <c r="R18" s="105"/>
      <c r="S18" s="127"/>
    </row>
    <row r="19" spans="1:19" s="315" customFormat="1" ht="15" x14ac:dyDescent="0.2">
      <c r="A19" s="315" t="s">
        <v>914</v>
      </c>
      <c r="B19" s="951" t="s">
        <v>284</v>
      </c>
      <c r="C19" s="1051">
        <f>'[4]BH SDI'!I10</f>
        <v>1</v>
      </c>
      <c r="D19" s="1052">
        <f>'[4]BH SDI'!H10</f>
        <v>117</v>
      </c>
      <c r="E19" s="1051">
        <f>'[4]BH HB'!G10</f>
        <v>2</v>
      </c>
      <c r="F19" s="1052">
        <f>'[4]BH HB'!F10</f>
        <v>5</v>
      </c>
      <c r="G19" s="1053"/>
      <c r="H19" s="127" t="s">
        <v>914</v>
      </c>
      <c r="I19" s="951" t="s">
        <v>284</v>
      </c>
      <c r="J19" s="1051">
        <f>'[4]RH SDI'!I17</f>
        <v>1</v>
      </c>
      <c r="K19" s="1052">
        <f xml:space="preserve"> '[4]RH SDI'!H17</f>
        <v>117</v>
      </c>
      <c r="L19" s="1051">
        <f>'[4]RH HB'!G17</f>
        <v>1</v>
      </c>
      <c r="M19" s="1052">
        <f>'[4]RH HB'!F17</f>
        <v>5</v>
      </c>
      <c r="N19" s="1054">
        <v>117</v>
      </c>
      <c r="O19" s="105"/>
      <c r="P19" s="105"/>
      <c r="Q19" s="105"/>
      <c r="R19" s="105"/>
      <c r="S19" s="127"/>
    </row>
    <row r="20" spans="1:19" s="315" customFormat="1" ht="15" x14ac:dyDescent="0.2">
      <c r="A20" s="315" t="s">
        <v>914</v>
      </c>
      <c r="B20" s="883" t="s">
        <v>285</v>
      </c>
      <c r="C20" s="1051">
        <f>'[4]BH SDI'!I11</f>
        <v>0</v>
      </c>
      <c r="D20" s="1052">
        <f>'[4]BH SDI'!H11</f>
        <v>0</v>
      </c>
      <c r="E20" s="1051">
        <f>'[4]BH HB'!G11</f>
        <v>0</v>
      </c>
      <c r="F20" s="1052">
        <f>'[4]BH HB'!F11</f>
        <v>0</v>
      </c>
      <c r="G20" s="1053"/>
      <c r="H20" s="127" t="s">
        <v>914</v>
      </c>
      <c r="I20" s="883" t="s">
        <v>285</v>
      </c>
      <c r="J20" s="1051">
        <f>'[4]RH SDI'!I18</f>
        <v>2</v>
      </c>
      <c r="K20" s="1052">
        <f xml:space="preserve"> '[4]RH SDI'!H18</f>
        <v>0</v>
      </c>
      <c r="L20" s="1051">
        <f>'[4]RH HB'!G18</f>
        <v>2</v>
      </c>
      <c r="M20" s="1052">
        <f>'[4]RH HB'!F18</f>
        <v>0</v>
      </c>
      <c r="N20" s="1054">
        <v>0</v>
      </c>
      <c r="O20" s="105"/>
      <c r="P20" s="105"/>
      <c r="Q20" s="105"/>
      <c r="R20" s="105"/>
      <c r="S20" s="127"/>
    </row>
    <row r="21" spans="1:19" s="315" customFormat="1" ht="15" x14ac:dyDescent="0.2">
      <c r="A21" s="315" t="s">
        <v>914</v>
      </c>
      <c r="B21" s="951" t="s">
        <v>294</v>
      </c>
      <c r="C21" s="1051">
        <f>'[4]BH SDI'!I12</f>
        <v>1</v>
      </c>
      <c r="D21" s="1052">
        <f>'[4]BH SDI'!H12</f>
        <v>86.5</v>
      </c>
      <c r="E21" s="1051">
        <f>'[4]BH HB'!G12</f>
        <v>1</v>
      </c>
      <c r="F21" s="1052">
        <f>'[4]BH HB'!F12</f>
        <v>5</v>
      </c>
      <c r="G21" s="1053"/>
      <c r="H21" s="127" t="s">
        <v>914</v>
      </c>
      <c r="I21" s="951" t="s">
        <v>294</v>
      </c>
      <c r="J21" s="1051">
        <f>'[4]RH SDI'!I19</f>
        <v>1</v>
      </c>
      <c r="K21" s="1052">
        <f xml:space="preserve"> '[4]RH SDI'!H19</f>
        <v>86.5</v>
      </c>
      <c r="L21" s="1051">
        <f>'[4]RH HB'!G19</f>
        <v>1</v>
      </c>
      <c r="M21" s="1052">
        <f>'[4]RH HB'!F19</f>
        <v>5</v>
      </c>
      <c r="N21" s="1054">
        <v>86.5</v>
      </c>
      <c r="O21" s="105"/>
      <c r="P21" s="105"/>
      <c r="Q21" s="105"/>
      <c r="R21" s="105"/>
      <c r="S21" s="127"/>
    </row>
    <row r="22" spans="1:19" s="315" customFormat="1" ht="15" x14ac:dyDescent="0.2">
      <c r="A22" s="315" t="s">
        <v>914</v>
      </c>
      <c r="B22" s="951" t="s">
        <v>295</v>
      </c>
      <c r="C22" s="1051">
        <f>'[4]BH SDI'!I13</f>
        <v>2</v>
      </c>
      <c r="D22" s="1052">
        <f>'[4]BH SDI'!H13</f>
        <v>1390</v>
      </c>
      <c r="E22" s="1051">
        <f>'[4]BH HB'!G13</f>
        <v>2</v>
      </c>
      <c r="F22" s="1052">
        <f>'[4]BH HB'!F13</f>
        <v>850</v>
      </c>
      <c r="G22" s="1053"/>
      <c r="H22" s="127" t="s">
        <v>914</v>
      </c>
      <c r="I22" s="951" t="s">
        <v>295</v>
      </c>
      <c r="J22" s="1051">
        <f>'[4]RH SDI'!I20</f>
        <v>1</v>
      </c>
      <c r="K22" s="1052">
        <f xml:space="preserve"> '[4]RH SDI'!H20</f>
        <v>855</v>
      </c>
      <c r="L22" s="1051">
        <f>'[4]RH HB'!G20</f>
        <v>1</v>
      </c>
      <c r="M22" s="1052">
        <f>'[4]RH HB'!F20</f>
        <v>3136</v>
      </c>
      <c r="N22" s="1054">
        <v>855</v>
      </c>
      <c r="O22" s="105"/>
      <c r="P22" s="105"/>
      <c r="Q22" s="105"/>
      <c r="R22" s="105"/>
      <c r="S22" s="127"/>
    </row>
    <row r="23" spans="1:19" s="315" customFormat="1" ht="15" x14ac:dyDescent="0.2">
      <c r="A23" s="315" t="s">
        <v>914</v>
      </c>
      <c r="B23" s="883" t="s">
        <v>372</v>
      </c>
      <c r="C23" s="1051">
        <f>'[4]BH SDI'!I14</f>
        <v>2</v>
      </c>
      <c r="D23" s="1052">
        <f>'[4]BH SDI'!H14</f>
        <v>800</v>
      </c>
      <c r="E23" s="1051">
        <f>'[4]BH HB'!G14</f>
        <v>2</v>
      </c>
      <c r="F23" s="1052">
        <f>'[4]BH HB'!F14</f>
        <v>850</v>
      </c>
      <c r="G23" s="1053"/>
      <c r="H23" s="127" t="s">
        <v>914</v>
      </c>
      <c r="I23" s="883" t="s">
        <v>372</v>
      </c>
      <c r="J23" s="1051">
        <f>'[4]RH SDI'!I21</f>
        <v>2</v>
      </c>
      <c r="K23" s="1052">
        <f xml:space="preserve"> '[4]RH SDI'!H21</f>
        <v>0</v>
      </c>
      <c r="L23" s="1051">
        <f>'[4]RH HB'!G21</f>
        <v>2</v>
      </c>
      <c r="M23" s="1052">
        <f>'[4]RH HB'!F21</f>
        <v>338.4</v>
      </c>
      <c r="N23" s="1054">
        <v>366</v>
      </c>
      <c r="O23" s="105"/>
      <c r="P23" s="105"/>
      <c r="Q23" s="105"/>
      <c r="R23" s="105"/>
      <c r="S23" s="127"/>
    </row>
    <row r="24" spans="1:19" s="315" customFormat="1" ht="15" x14ac:dyDescent="0.2">
      <c r="A24" s="315" t="s">
        <v>914</v>
      </c>
      <c r="B24" s="951" t="s">
        <v>302</v>
      </c>
      <c r="C24" s="1051">
        <v>0</v>
      </c>
      <c r="D24" s="1052">
        <f>'[4]BH SDI'!H15</f>
        <v>0</v>
      </c>
      <c r="E24" s="1051">
        <f>'[4]BH HB'!G15</f>
        <v>0</v>
      </c>
      <c r="F24" s="1052">
        <f>'[4]BH HB'!F15</f>
        <v>0</v>
      </c>
      <c r="G24" s="1036"/>
      <c r="H24" s="127" t="s">
        <v>914</v>
      </c>
      <c r="I24" s="951" t="s">
        <v>302</v>
      </c>
      <c r="J24" s="1051">
        <f>'[4]RH SDI'!I22</f>
        <v>1</v>
      </c>
      <c r="K24" s="1052">
        <f xml:space="preserve"> '[4]RH SDI'!H22</f>
        <v>150</v>
      </c>
      <c r="L24" s="1051">
        <f>'[4]RH HB'!G22</f>
        <v>0</v>
      </c>
      <c r="M24" s="1052">
        <f>'[4]RH HB'!F22</f>
        <v>0</v>
      </c>
      <c r="N24" s="1055"/>
      <c r="O24" s="105"/>
      <c r="P24" s="105"/>
      <c r="Q24" s="105"/>
      <c r="R24" s="105"/>
      <c r="S24" s="127"/>
    </row>
    <row r="25" spans="1:19" s="315" customFormat="1" ht="15" x14ac:dyDescent="0.2">
      <c r="A25" s="315" t="s">
        <v>914</v>
      </c>
      <c r="B25" s="951" t="s">
        <v>304</v>
      </c>
      <c r="C25" s="1051">
        <f>'[4]BH SDI'!I16</f>
        <v>3</v>
      </c>
      <c r="D25" s="1052">
        <f>'[4]BH SDI'!H16</f>
        <v>160</v>
      </c>
      <c r="E25" s="1051">
        <f>'[4]BH HB'!G16</f>
        <v>2</v>
      </c>
      <c r="F25" s="1052">
        <f>'[4]BH HB'!F16</f>
        <v>700</v>
      </c>
      <c r="G25" s="1036"/>
      <c r="H25" s="127" t="s">
        <v>914</v>
      </c>
      <c r="I25" s="951" t="s">
        <v>304</v>
      </c>
      <c r="J25" s="1051">
        <f>'[4]RH SDI'!I23</f>
        <v>0</v>
      </c>
      <c r="K25" s="1052">
        <f xml:space="preserve"> '[4]RH SDI'!H23</f>
        <v>16000</v>
      </c>
      <c r="L25" s="1051">
        <f>'[4]RH HB'!G23</f>
        <v>0</v>
      </c>
      <c r="M25" s="1052">
        <f>'[4]RH HB'!F23</f>
        <v>0</v>
      </c>
      <c r="N25" s="1055"/>
      <c r="O25" s="105"/>
      <c r="P25" s="105"/>
      <c r="Q25" s="105"/>
      <c r="R25" s="105"/>
      <c r="S25" s="127"/>
    </row>
    <row r="26" spans="1:19" s="315" customFormat="1" ht="15" x14ac:dyDescent="0.2">
      <c r="A26" s="315" t="s">
        <v>914</v>
      </c>
      <c r="B26" s="951" t="s">
        <v>915</v>
      </c>
      <c r="C26" s="1051">
        <v>1</v>
      </c>
      <c r="D26" s="1052">
        <f>'[4]BH SDI'!H17</f>
        <v>117</v>
      </c>
      <c r="E26" s="1051">
        <f>'[4]BH HB'!G17</f>
        <v>1</v>
      </c>
      <c r="F26" s="1052">
        <f>'[4]BH HB'!F17</f>
        <v>5</v>
      </c>
      <c r="G26" s="695"/>
      <c r="H26" s="127" t="s">
        <v>914</v>
      </c>
      <c r="I26" s="951" t="s">
        <v>915</v>
      </c>
      <c r="J26" s="1051">
        <f>'[4]RH SDI'!I24</f>
        <v>1</v>
      </c>
      <c r="K26" s="1052">
        <f xml:space="preserve"> '[4]RH SDI'!H24</f>
        <v>200</v>
      </c>
      <c r="L26" s="1051">
        <f>'[4]RH HB'!G24</f>
        <v>2</v>
      </c>
      <c r="M26" s="1052">
        <f>'[4]RH HB'!F24</f>
        <v>357.2</v>
      </c>
      <c r="N26" s="901"/>
      <c r="O26" s="105"/>
      <c r="P26" s="105"/>
      <c r="Q26" s="105"/>
      <c r="R26" s="105"/>
      <c r="S26" s="127"/>
    </row>
    <row r="27" spans="1:19" s="315" customFormat="1" ht="15" x14ac:dyDescent="0.2">
      <c r="A27" s="315" t="s">
        <v>914</v>
      </c>
      <c r="B27" s="951" t="s">
        <v>916</v>
      </c>
      <c r="C27" s="1051">
        <f>'[4]BH SDI'!I18</f>
        <v>2</v>
      </c>
      <c r="D27" s="1052">
        <f>'[4]BH SDI'!H18</f>
        <v>0</v>
      </c>
      <c r="E27" s="1051">
        <f>'[4]BH HB'!G18</f>
        <v>2</v>
      </c>
      <c r="F27" s="1052">
        <f>'[4]BH HB'!F18</f>
        <v>0</v>
      </c>
      <c r="G27" s="1053"/>
      <c r="H27" s="127" t="s">
        <v>914</v>
      </c>
      <c r="I27" s="951" t="s">
        <v>916</v>
      </c>
      <c r="J27" s="1051">
        <f>'[4]RH SDI'!I25</f>
        <v>2</v>
      </c>
      <c r="K27" s="1052">
        <f xml:space="preserve"> '[4]RH SDI'!H25</f>
        <v>200</v>
      </c>
      <c r="L27" s="1051">
        <f>'[4]RH HB'!G25</f>
        <v>1</v>
      </c>
      <c r="M27" s="1052">
        <f>'[4]RH HB'!F25</f>
        <v>380</v>
      </c>
      <c r="N27" s="1054">
        <v>200</v>
      </c>
      <c r="O27" s="105"/>
      <c r="P27" s="105"/>
      <c r="Q27" s="105"/>
      <c r="R27" s="105"/>
      <c r="S27" s="127"/>
    </row>
    <row r="28" spans="1:19" s="315" customFormat="1" ht="15" x14ac:dyDescent="0.2">
      <c r="A28" s="315" t="s">
        <v>914</v>
      </c>
      <c r="B28" s="951" t="s">
        <v>865</v>
      </c>
      <c r="C28" s="1051">
        <f>'[4]BH SDI'!I19</f>
        <v>1</v>
      </c>
      <c r="D28" s="1052">
        <f>'[4]BH SDI'!H19</f>
        <v>86.5</v>
      </c>
      <c r="E28" s="1051">
        <f>'[4]BH HB'!G19</f>
        <v>1</v>
      </c>
      <c r="F28" s="1052">
        <v>380</v>
      </c>
      <c r="G28" s="695"/>
      <c r="H28" s="127" t="s">
        <v>914</v>
      </c>
      <c r="I28" s="1056" t="s">
        <v>867</v>
      </c>
      <c r="J28" s="1051">
        <f>'[4]RH SDI'!I26</f>
        <v>3</v>
      </c>
      <c r="K28" s="1052">
        <f xml:space="preserve"> '[4]RH SDI'!H26</f>
        <v>180</v>
      </c>
      <c r="L28" s="1051">
        <f>'[4]RH HB'!G26</f>
        <v>2</v>
      </c>
      <c r="M28" s="1052">
        <f>'[4]RH HB'!F26</f>
        <v>308</v>
      </c>
      <c r="N28" s="1057">
        <v>200</v>
      </c>
      <c r="O28" s="105"/>
      <c r="P28" s="105"/>
      <c r="Q28" s="105"/>
      <c r="R28" s="105"/>
      <c r="S28" s="127"/>
    </row>
    <row r="29" spans="1:19" s="315" customFormat="1" ht="16" x14ac:dyDescent="0.2">
      <c r="A29" s="315" t="s">
        <v>914</v>
      </c>
      <c r="B29" s="951" t="s">
        <v>866</v>
      </c>
      <c r="C29" s="1051">
        <f>'[4]BH SDI'!I20</f>
        <v>1</v>
      </c>
      <c r="D29" s="1052">
        <f>'[4]BH SDI'!H20</f>
        <v>855</v>
      </c>
      <c r="E29" s="1051">
        <f>'[4]BH HB'!G20</f>
        <v>1</v>
      </c>
      <c r="F29" s="1052">
        <v>380</v>
      </c>
      <c r="G29" s="1053"/>
      <c r="H29" s="127"/>
      <c r="I29" s="1058" t="s">
        <v>917</v>
      </c>
      <c r="J29" s="1047"/>
      <c r="K29" s="1059"/>
      <c r="L29" s="1047"/>
      <c r="M29" s="1047"/>
      <c r="N29" s="1049"/>
      <c r="O29" s="105"/>
      <c r="P29" s="105"/>
      <c r="Q29" s="105"/>
      <c r="R29" s="105"/>
      <c r="S29" s="127"/>
    </row>
    <row r="30" spans="1:19" s="315" customFormat="1" ht="15" x14ac:dyDescent="0.2">
      <c r="A30" s="315" t="s">
        <v>914</v>
      </c>
      <c r="B30" s="1056" t="s">
        <v>867</v>
      </c>
      <c r="C30" s="1051">
        <f>'[4]BH SDI'!I21</f>
        <v>2</v>
      </c>
      <c r="D30" s="1052">
        <f>'[4]BH SDI'!H21</f>
        <v>0</v>
      </c>
      <c r="E30" s="1051">
        <f>'[4]BH HB'!G21</f>
        <v>2</v>
      </c>
      <c r="F30" s="1052">
        <v>308</v>
      </c>
      <c r="G30" s="1053"/>
      <c r="H30" s="127" t="s">
        <v>918</v>
      </c>
      <c r="I30" s="1050" t="s">
        <v>286</v>
      </c>
      <c r="J30" s="1051">
        <f>'[4]RH SDI'!I28</f>
        <v>3</v>
      </c>
      <c r="K30" s="1052">
        <f xml:space="preserve"> '[4]RH SDI'!H28</f>
        <v>140</v>
      </c>
      <c r="L30" s="1051">
        <f>'[4]RH HB'!G28</f>
        <v>2</v>
      </c>
      <c r="M30" s="1052">
        <f>'[4]RH HB'!F28</f>
        <v>200</v>
      </c>
      <c r="N30" s="1052">
        <v>140</v>
      </c>
      <c r="O30" s="105"/>
      <c r="P30" s="105"/>
      <c r="Q30" s="105"/>
      <c r="R30" s="105"/>
      <c r="S30" s="127"/>
    </row>
    <row r="31" spans="1:19" s="315" customFormat="1" ht="16" x14ac:dyDescent="0.2">
      <c r="B31" s="1058" t="s">
        <v>919</v>
      </c>
      <c r="C31" s="1060"/>
      <c r="D31" s="1061"/>
      <c r="E31" s="1062"/>
      <c r="F31" s="1063"/>
      <c r="G31" s="1053"/>
      <c r="H31" s="127" t="s">
        <v>918</v>
      </c>
      <c r="I31" s="951" t="s">
        <v>287</v>
      </c>
      <c r="J31" s="1051">
        <f>'[4]RH SDI'!I29</f>
        <v>1</v>
      </c>
      <c r="K31" s="1052">
        <f xml:space="preserve"> '[4]RH SDI'!H29</f>
        <v>102</v>
      </c>
      <c r="L31" s="1051">
        <f>'[4]RH HB'!G29</f>
        <v>1</v>
      </c>
      <c r="M31" s="1052">
        <f>'[4]RH HB'!F29</f>
        <v>5</v>
      </c>
      <c r="N31" s="1054">
        <v>102</v>
      </c>
      <c r="O31" s="105"/>
      <c r="P31" s="105"/>
      <c r="Q31" s="105"/>
      <c r="R31" s="105"/>
      <c r="S31" s="127"/>
    </row>
    <row r="32" spans="1:19" s="315" customFormat="1" ht="15" x14ac:dyDescent="0.2">
      <c r="A32" s="315" t="s">
        <v>918</v>
      </c>
      <c r="B32" s="1050" t="s">
        <v>286</v>
      </c>
      <c r="C32" s="1051">
        <f>'[4]BH SDI'!I23</f>
        <v>0</v>
      </c>
      <c r="D32" s="1052">
        <f>'[4]BH SDI'!H23</f>
        <v>16000</v>
      </c>
      <c r="E32" s="1051">
        <f>'[4]BH HB'!G23</f>
        <v>0</v>
      </c>
      <c r="F32" s="1052">
        <f>'[4]BH HB'!F23</f>
        <v>0</v>
      </c>
      <c r="G32" s="1065"/>
      <c r="H32" s="127" t="s">
        <v>918</v>
      </c>
      <c r="I32" s="883" t="s">
        <v>288</v>
      </c>
      <c r="J32" s="1051">
        <f>'[4]RH SDI'!I30</f>
        <v>2</v>
      </c>
      <c r="K32" s="1052">
        <f xml:space="preserve"> '[4]RH SDI'!H30</f>
        <v>0</v>
      </c>
      <c r="L32" s="1051">
        <f>'[4]RH HB'!G30</f>
        <v>2</v>
      </c>
      <c r="M32" s="1052">
        <f>'[4]RH HB'!F30</f>
        <v>200</v>
      </c>
      <c r="N32" s="1054">
        <v>0</v>
      </c>
      <c r="O32" s="105"/>
      <c r="P32" s="105"/>
      <c r="Q32" s="105"/>
      <c r="R32" s="105"/>
      <c r="S32" s="127"/>
    </row>
    <row r="33" spans="1:19" s="315" customFormat="1" ht="15" x14ac:dyDescent="0.2">
      <c r="A33" s="315" t="s">
        <v>918</v>
      </c>
      <c r="B33" s="951" t="s">
        <v>287</v>
      </c>
      <c r="C33" s="1051">
        <f>'[4]BH SDI'!I24</f>
        <v>1</v>
      </c>
      <c r="D33" s="1052">
        <f>'[4]BH SDI'!H24</f>
        <v>200</v>
      </c>
      <c r="E33" s="1051">
        <f>'[4]BH HB'!G24</f>
        <v>2</v>
      </c>
      <c r="F33" s="1052">
        <f>'[4]BH HB'!F24</f>
        <v>357.2</v>
      </c>
      <c r="G33" s="1065"/>
      <c r="H33" s="127" t="s">
        <v>918</v>
      </c>
      <c r="I33" s="883" t="s">
        <v>298</v>
      </c>
      <c r="J33" s="1051">
        <f>'[4]RH SDI'!I31</f>
        <v>1</v>
      </c>
      <c r="K33" s="1052">
        <f xml:space="preserve"> '[4]RH SDI'!H31</f>
        <v>0</v>
      </c>
      <c r="L33" s="1051">
        <f>'[4]RH HB'!G31</f>
        <v>1</v>
      </c>
      <c r="M33" s="1052">
        <f>'[4]RH HB'!F31</f>
        <v>338.4</v>
      </c>
      <c r="N33" s="1054">
        <v>360</v>
      </c>
      <c r="O33" s="105"/>
      <c r="P33" s="105"/>
      <c r="Q33" s="105"/>
      <c r="R33" s="105"/>
      <c r="S33" s="127"/>
    </row>
    <row r="34" spans="1:19" s="315" customFormat="1" ht="15" x14ac:dyDescent="0.2">
      <c r="A34" s="315" t="s">
        <v>918</v>
      </c>
      <c r="B34" s="883" t="s">
        <v>288</v>
      </c>
      <c r="C34" s="1051">
        <f>'[4]BH SDI'!I25</f>
        <v>2</v>
      </c>
      <c r="D34" s="1052">
        <f>'[4]BH SDI'!H25</f>
        <v>200</v>
      </c>
      <c r="E34" s="1051">
        <f>'[4]BH HB'!G25</f>
        <v>1</v>
      </c>
      <c r="F34" s="1052">
        <f>'[4]BH HB'!F25</f>
        <v>380</v>
      </c>
      <c r="G34" s="1065"/>
      <c r="H34" s="127" t="s">
        <v>918</v>
      </c>
      <c r="I34" s="883" t="s">
        <v>299</v>
      </c>
      <c r="J34" s="1051">
        <f>'[4]RH SDI'!I32</f>
        <v>2</v>
      </c>
      <c r="K34" s="1052">
        <f xml:space="preserve"> '[4]RH SDI'!H32</f>
        <v>0</v>
      </c>
      <c r="L34" s="1051">
        <f>'[4]RH HB'!G32</f>
        <v>2</v>
      </c>
      <c r="M34" s="1052">
        <f>'[4]RH HB'!F32</f>
        <v>338.4</v>
      </c>
      <c r="N34" s="1054">
        <v>360</v>
      </c>
      <c r="O34" s="105"/>
      <c r="P34" s="105"/>
      <c r="Q34" s="105"/>
      <c r="R34" s="105"/>
      <c r="S34" s="127"/>
    </row>
    <row r="35" spans="1:19" s="315" customFormat="1" ht="15" x14ac:dyDescent="0.2">
      <c r="A35" s="315" t="s">
        <v>918</v>
      </c>
      <c r="B35" s="883" t="s">
        <v>298</v>
      </c>
      <c r="C35" s="1051">
        <f>'[4]BH SDI'!I26</f>
        <v>3</v>
      </c>
      <c r="D35" s="1052">
        <f>'[4]BH SDI'!H26</f>
        <v>180</v>
      </c>
      <c r="E35" s="1051">
        <f>'[4]BH HB'!G26</f>
        <v>2</v>
      </c>
      <c r="F35" s="1052">
        <f>'[4]BH HB'!F26</f>
        <v>308</v>
      </c>
      <c r="G35" s="1053"/>
      <c r="H35" s="127" t="s">
        <v>918</v>
      </c>
      <c r="I35" s="951" t="s">
        <v>296</v>
      </c>
      <c r="J35" s="1051">
        <f>'[4]RH SDI'!I33</f>
        <v>1</v>
      </c>
      <c r="K35" s="1052">
        <f xml:space="preserve"> '[4]RH SDI'!H33</f>
        <v>125</v>
      </c>
      <c r="L35" s="1051">
        <f>'[4]RH HB'!G33</f>
        <v>1</v>
      </c>
      <c r="M35" s="1052">
        <f>'[4]RH HB'!F33</f>
        <v>250</v>
      </c>
      <c r="N35" s="1067">
        <v>250</v>
      </c>
      <c r="O35" s="105"/>
      <c r="P35" s="105"/>
      <c r="Q35" s="105"/>
      <c r="R35" s="105"/>
      <c r="S35" s="127"/>
    </row>
    <row r="36" spans="1:19" s="315" customFormat="1" ht="15" x14ac:dyDescent="0.2">
      <c r="A36" s="315" t="s">
        <v>918</v>
      </c>
      <c r="B36" s="883" t="s">
        <v>299</v>
      </c>
      <c r="C36" s="1051">
        <f>'[4]BH SDI'!I27</f>
        <v>2</v>
      </c>
      <c r="D36" s="1052">
        <f>'[4]BH SDI'!H27</f>
        <v>0</v>
      </c>
      <c r="E36" s="1051">
        <f>'[4]BH HB'!G27</f>
        <v>2</v>
      </c>
      <c r="F36" s="1052">
        <f>'[4]BH HB'!F27</f>
        <v>338.4</v>
      </c>
      <c r="G36" s="1053"/>
      <c r="H36" s="127" t="s">
        <v>918</v>
      </c>
      <c r="I36" s="951" t="s">
        <v>297</v>
      </c>
      <c r="J36" s="1051">
        <f>'[4]RH SDI'!I34</f>
        <v>1</v>
      </c>
      <c r="K36" s="1052">
        <f xml:space="preserve"> '[4]RH SDI'!H34</f>
        <v>0</v>
      </c>
      <c r="L36" s="1051">
        <f>'[4]RH HB'!G34</f>
        <v>1</v>
      </c>
      <c r="M36" s="1052">
        <f>'[4]RH HB'!F34</f>
        <v>0</v>
      </c>
      <c r="N36" s="1067">
        <v>0</v>
      </c>
      <c r="O36" s="105"/>
      <c r="P36" s="105"/>
      <c r="Q36" s="105"/>
      <c r="R36" s="105"/>
      <c r="S36" s="127"/>
    </row>
    <row r="37" spans="1:19" s="315" customFormat="1" ht="15" x14ac:dyDescent="0.2">
      <c r="A37" s="315" t="s">
        <v>918</v>
      </c>
      <c r="B37" s="951" t="s">
        <v>296</v>
      </c>
      <c r="C37" s="1051">
        <f>'[4]BH SDI'!I28</f>
        <v>3</v>
      </c>
      <c r="D37" s="1052">
        <f>'[4]BH SDI'!H28</f>
        <v>140</v>
      </c>
      <c r="E37" s="1051">
        <f>'[4]BH HB'!G28</f>
        <v>2</v>
      </c>
      <c r="F37" s="1052">
        <f>'[4]BH HB'!F28</f>
        <v>200</v>
      </c>
      <c r="G37" s="1068"/>
      <c r="H37" s="127" t="s">
        <v>918</v>
      </c>
      <c r="I37" s="1050" t="s">
        <v>920</v>
      </c>
      <c r="J37" s="1051">
        <f>'[4]RH SDI'!I35</f>
        <v>3</v>
      </c>
      <c r="K37" s="1052">
        <f xml:space="preserve"> '[4]RH SDI'!H35</f>
        <v>130</v>
      </c>
      <c r="L37" s="1051">
        <f>'[4]RH HB'!G35</f>
        <v>3</v>
      </c>
      <c r="M37" s="1052">
        <f>'[4]RH HB'!F35</f>
        <v>150</v>
      </c>
      <c r="N37" s="1064">
        <v>150</v>
      </c>
      <c r="O37" s="105"/>
      <c r="P37" s="105"/>
      <c r="Q37" s="105"/>
      <c r="R37" s="105"/>
      <c r="S37" s="127"/>
    </row>
    <row r="38" spans="1:19" s="315" customFormat="1" ht="15" x14ac:dyDescent="0.2">
      <c r="A38" s="315" t="s">
        <v>918</v>
      </c>
      <c r="B38" s="951" t="s">
        <v>297</v>
      </c>
      <c r="C38" s="1051">
        <f>'[4]BH SDI'!I29</f>
        <v>1</v>
      </c>
      <c r="D38" s="1052">
        <f>'[4]BH SDI'!H29</f>
        <v>102</v>
      </c>
      <c r="E38" s="1051">
        <f>'[4]BH HB'!G29</f>
        <v>1</v>
      </c>
      <c r="F38" s="1052">
        <f>'[4]BH HB'!F29</f>
        <v>5</v>
      </c>
      <c r="G38" s="1068"/>
      <c r="H38" s="127" t="s">
        <v>918</v>
      </c>
      <c r="I38" s="951" t="s">
        <v>921</v>
      </c>
      <c r="J38" s="1051">
        <f>'[4]RH SDI'!I36</f>
        <v>1</v>
      </c>
      <c r="K38" s="1052">
        <f xml:space="preserve"> '[4]RH SDI'!H36</f>
        <v>85</v>
      </c>
      <c r="L38" s="1051">
        <f>'[4]RH HB'!G36</f>
        <v>1</v>
      </c>
      <c r="M38" s="1052">
        <f>'[4]RH HB'!F36</f>
        <v>5</v>
      </c>
      <c r="N38" s="1064">
        <v>5</v>
      </c>
      <c r="O38" s="105"/>
      <c r="P38" s="105"/>
      <c r="Q38" s="105"/>
      <c r="R38" s="105"/>
      <c r="S38" s="127"/>
    </row>
    <row r="39" spans="1:19" s="315" customFormat="1" ht="15" x14ac:dyDescent="0.2">
      <c r="B39" s="1069" t="s">
        <v>922</v>
      </c>
      <c r="C39" s="1047"/>
      <c r="D39" s="1070"/>
      <c r="E39" s="1071"/>
      <c r="F39" s="1072"/>
      <c r="G39" s="1036"/>
      <c r="H39" s="127" t="s">
        <v>918</v>
      </c>
      <c r="I39" s="883" t="s">
        <v>923</v>
      </c>
      <c r="J39" s="1051">
        <f>'[4]RH SDI'!I37</f>
        <v>3</v>
      </c>
      <c r="K39" s="1052">
        <f xml:space="preserve"> '[4]RH SDI'!H37</f>
        <v>0</v>
      </c>
      <c r="L39" s="1051">
        <f>'[4]RH HB'!G37</f>
        <v>3</v>
      </c>
      <c r="M39" s="1052">
        <f>'[4]RH HB'!F37</f>
        <v>0</v>
      </c>
      <c r="N39" s="1064">
        <v>0</v>
      </c>
      <c r="O39" s="105"/>
      <c r="P39" s="105"/>
      <c r="Q39" s="105"/>
      <c r="R39" s="105"/>
      <c r="S39" s="127"/>
    </row>
    <row r="40" spans="1:19" s="315" customFormat="1" ht="15" x14ac:dyDescent="0.2">
      <c r="A40" s="315" t="s">
        <v>924</v>
      </c>
      <c r="B40" s="1050" t="s">
        <v>920</v>
      </c>
      <c r="C40" s="1051">
        <f>'[4]BH SDI'!I31</f>
        <v>1</v>
      </c>
      <c r="D40" s="1052">
        <f>'[4]BH SDI'!H31</f>
        <v>0</v>
      </c>
      <c r="E40" s="1051">
        <f>'[4]BH HB'!G31</f>
        <v>1</v>
      </c>
      <c r="F40" s="1052">
        <f>'[4]BH HB'!F31</f>
        <v>338.4</v>
      </c>
      <c r="G40" s="1053"/>
      <c r="H40" s="127" t="s">
        <v>918</v>
      </c>
      <c r="I40" s="883" t="s">
        <v>300</v>
      </c>
      <c r="J40" s="1051">
        <f>'[4]RH SDI'!I38</f>
        <v>2</v>
      </c>
      <c r="K40" s="1052">
        <f xml:space="preserve"> '[4]RH SDI'!H38</f>
        <v>0</v>
      </c>
      <c r="L40" s="1051">
        <f>'[4]RH HB'!G38</f>
        <v>2</v>
      </c>
      <c r="M40" s="1052">
        <f>'[4]RH HB'!F38</f>
        <v>338.4</v>
      </c>
      <c r="N40" s="1066">
        <v>360</v>
      </c>
      <c r="O40" s="105"/>
      <c r="P40" s="105"/>
      <c r="Q40" s="105"/>
      <c r="R40" s="105"/>
      <c r="S40" s="127"/>
    </row>
    <row r="41" spans="1:19" s="315" customFormat="1" ht="15" x14ac:dyDescent="0.2">
      <c r="A41" s="315" t="s">
        <v>924</v>
      </c>
      <c r="B41" s="951" t="s">
        <v>921</v>
      </c>
      <c r="C41" s="1051">
        <f>'[4]BH SDI'!I32</f>
        <v>2</v>
      </c>
      <c r="D41" s="1052">
        <f>'[4]BH SDI'!H32</f>
        <v>0</v>
      </c>
      <c r="E41" s="1051">
        <f>'[4]BH HB'!G32</f>
        <v>2</v>
      </c>
      <c r="F41" s="1052">
        <f>'[4]BH HB'!F32</f>
        <v>338.4</v>
      </c>
      <c r="G41" s="1053"/>
      <c r="H41" s="127" t="s">
        <v>918</v>
      </c>
      <c r="I41" s="883" t="s">
        <v>301</v>
      </c>
      <c r="J41" s="1051">
        <f>'[4]RH SDI'!I39</f>
        <v>2</v>
      </c>
      <c r="K41" s="1052">
        <f xml:space="preserve"> '[4]RH SDI'!H39</f>
        <v>0</v>
      </c>
      <c r="L41" s="1051">
        <f>'[4]RH HB'!G39</f>
        <v>2</v>
      </c>
      <c r="M41" s="1052">
        <f>'[4]RH HB'!F39</f>
        <v>338.4</v>
      </c>
      <c r="N41" s="1066">
        <v>360</v>
      </c>
      <c r="O41" s="105"/>
      <c r="P41" s="105"/>
      <c r="Q41" s="105"/>
      <c r="R41" s="105"/>
      <c r="S41" s="127"/>
    </row>
    <row r="42" spans="1:19" s="315" customFormat="1" ht="15" x14ac:dyDescent="0.2">
      <c r="A42" s="315" t="s">
        <v>924</v>
      </c>
      <c r="B42" s="883" t="s">
        <v>923</v>
      </c>
      <c r="C42" s="1051">
        <f>'[4]BH SDI'!I33</f>
        <v>1</v>
      </c>
      <c r="D42" s="1052">
        <f>'[4]BH SDI'!H33</f>
        <v>125</v>
      </c>
      <c r="E42" s="1051">
        <f>'[4]BH HB'!G33</f>
        <v>1</v>
      </c>
      <c r="F42" s="1052">
        <f>'[4]BH HB'!F33</f>
        <v>250</v>
      </c>
      <c r="G42" s="1053"/>
      <c r="H42" s="127" t="s">
        <v>918</v>
      </c>
      <c r="I42" s="951" t="s">
        <v>868</v>
      </c>
      <c r="J42" s="1051">
        <f>'[4]RH SDI'!I40</f>
        <v>3</v>
      </c>
      <c r="K42" s="1052">
        <f xml:space="preserve"> '[4]RH SDI'!H40</f>
        <v>160</v>
      </c>
      <c r="L42" s="1051">
        <f>'[4]RH HB'!G40</f>
        <v>3</v>
      </c>
      <c r="M42" s="1052">
        <f>'[4]RH HB'!F40</f>
        <v>200</v>
      </c>
      <c r="N42" s="1054">
        <v>200</v>
      </c>
      <c r="O42" s="105"/>
      <c r="P42" s="105"/>
      <c r="Q42" s="105"/>
      <c r="R42" s="105"/>
      <c r="S42" s="127"/>
    </row>
    <row r="43" spans="1:19" s="315" customFormat="1" ht="15" x14ac:dyDescent="0.2">
      <c r="A43" s="315" t="s">
        <v>924</v>
      </c>
      <c r="B43" s="883" t="s">
        <v>300</v>
      </c>
      <c r="C43" s="1051">
        <f>'[4]BH SDI'!I34</f>
        <v>1</v>
      </c>
      <c r="D43" s="1052">
        <f>'[4]BH SDI'!H34</f>
        <v>0</v>
      </c>
      <c r="E43" s="1051">
        <f>'[4]BH HB'!G34</f>
        <v>1</v>
      </c>
      <c r="F43" s="1052">
        <f>'[4]BH HB'!F34</f>
        <v>338.4</v>
      </c>
      <c r="G43" s="1053"/>
      <c r="H43" s="127" t="s">
        <v>918</v>
      </c>
      <c r="I43" s="951" t="s">
        <v>870</v>
      </c>
      <c r="J43" s="1051">
        <f>'[4]RH SDI'!I41</f>
        <v>2</v>
      </c>
      <c r="K43" s="1052">
        <f xml:space="preserve"> '[4]RH SDI'!H41</f>
        <v>145</v>
      </c>
      <c r="L43" s="1051">
        <f>'[4]RH HB'!G41</f>
        <v>2</v>
      </c>
      <c r="M43" s="1052">
        <f>'[4]RH HB'!F41</f>
        <v>200</v>
      </c>
      <c r="N43" s="1054">
        <v>200</v>
      </c>
      <c r="O43" s="105"/>
      <c r="P43" s="105"/>
      <c r="Q43" s="105"/>
      <c r="R43" s="105"/>
      <c r="S43" s="127"/>
    </row>
    <row r="44" spans="1:19" s="315" customFormat="1" ht="15" x14ac:dyDescent="0.2">
      <c r="A44" s="315" t="s">
        <v>924</v>
      </c>
      <c r="B44" s="883" t="s">
        <v>301</v>
      </c>
      <c r="C44" s="1051">
        <f>'[4]BH SDI'!I35</f>
        <v>3</v>
      </c>
      <c r="D44" s="1052">
        <f>'[4]BH SDI'!H35</f>
        <v>130</v>
      </c>
      <c r="E44" s="1051">
        <f>'[4]BH HB'!G35</f>
        <v>3</v>
      </c>
      <c r="F44" s="1052">
        <f>'[4]BH HB'!F35</f>
        <v>150</v>
      </c>
      <c r="G44" s="1053"/>
      <c r="H44" s="127"/>
      <c r="I44" s="1073" t="s">
        <v>925</v>
      </c>
      <c r="J44" s="1074"/>
      <c r="K44" s="1075"/>
      <c r="L44" s="1074"/>
      <c r="M44" s="1074"/>
      <c r="N44" s="1076"/>
      <c r="O44" s="105"/>
      <c r="P44" s="105"/>
      <c r="Q44" s="105"/>
      <c r="R44" s="105"/>
      <c r="S44" s="127"/>
    </row>
    <row r="45" spans="1:19" s="315" customFormat="1" ht="15" x14ac:dyDescent="0.2">
      <c r="A45" s="315" t="s">
        <v>924</v>
      </c>
      <c r="B45" s="951" t="s">
        <v>868</v>
      </c>
      <c r="C45" s="1051">
        <f>'[4]BH SDI'!I36</f>
        <v>1</v>
      </c>
      <c r="D45" s="1052">
        <f>'[4]BH SDI'!H36</f>
        <v>85</v>
      </c>
      <c r="E45" s="1051">
        <f>'[4]BH HB'!G36</f>
        <v>1</v>
      </c>
      <c r="F45" s="1052">
        <f>'[4]BH HB'!F36</f>
        <v>5</v>
      </c>
      <c r="G45" s="1053"/>
      <c r="H45" s="127"/>
      <c r="J45" s="1077"/>
      <c r="L45" s="1077"/>
      <c r="O45" s="105"/>
      <c r="P45" s="105"/>
      <c r="Q45" s="105"/>
      <c r="R45" s="105"/>
      <c r="S45" s="127"/>
    </row>
    <row r="46" spans="1:19" s="315" customFormat="1" ht="15" x14ac:dyDescent="0.2">
      <c r="A46" s="315" t="s">
        <v>924</v>
      </c>
      <c r="B46" s="951" t="s">
        <v>869</v>
      </c>
      <c r="C46" s="1051">
        <f>'[4]BH SDI'!I37</f>
        <v>3</v>
      </c>
      <c r="D46" s="1052">
        <f>'[4]BH SDI'!H37</f>
        <v>0</v>
      </c>
      <c r="E46" s="1051">
        <f>'[4]BH HB'!G37</f>
        <v>3</v>
      </c>
      <c r="F46" s="1052">
        <f>'[4]BH HB'!F37</f>
        <v>0</v>
      </c>
      <c r="G46" s="1053"/>
      <c r="H46" s="127"/>
      <c r="I46" s="1078"/>
      <c r="J46" s="1079"/>
      <c r="K46" s="1080"/>
      <c r="L46" s="1080"/>
      <c r="M46" s="1079"/>
      <c r="N46" s="1081"/>
      <c r="O46" s="105"/>
      <c r="P46" s="105"/>
      <c r="Q46" s="105"/>
      <c r="R46" s="105"/>
      <c r="S46" s="127"/>
    </row>
    <row r="47" spans="1:19" s="315" customFormat="1" ht="15" x14ac:dyDescent="0.2">
      <c r="A47" s="315" t="s">
        <v>924</v>
      </c>
      <c r="B47" s="951" t="s">
        <v>870</v>
      </c>
      <c r="C47" s="1051">
        <f>'[4]BH SDI'!I38</f>
        <v>2</v>
      </c>
      <c r="D47" s="1052">
        <f>'[4]BH SDI'!H38</f>
        <v>0</v>
      </c>
      <c r="E47" s="1051">
        <f>'[4]BH HB'!G38</f>
        <v>2</v>
      </c>
      <c r="F47" s="1052">
        <f>'[4]BH HB'!F38</f>
        <v>338.4</v>
      </c>
      <c r="G47" s="1053"/>
      <c r="H47" s="127"/>
      <c r="I47" s="1078"/>
      <c r="J47" s="1079"/>
      <c r="K47" s="1080"/>
      <c r="L47" s="1080"/>
      <c r="M47" s="1079"/>
      <c r="N47" s="1081"/>
      <c r="O47" s="105"/>
      <c r="P47" s="105"/>
      <c r="Q47" s="105"/>
      <c r="R47" s="105"/>
      <c r="S47" s="127"/>
    </row>
    <row r="48" spans="1:19" s="315" customFormat="1" ht="15" x14ac:dyDescent="0.2">
      <c r="B48" s="1073" t="s">
        <v>925</v>
      </c>
      <c r="C48" s="1074"/>
      <c r="D48" s="1075"/>
      <c r="E48" s="1076"/>
      <c r="F48" s="1076"/>
      <c r="G48" s="1036"/>
      <c r="H48" s="127"/>
      <c r="I48" s="1078"/>
      <c r="J48" s="1079"/>
      <c r="K48" s="1080"/>
      <c r="L48" s="1080"/>
      <c r="M48" s="1079"/>
      <c r="N48" s="1081"/>
      <c r="O48" s="105"/>
      <c r="P48" s="105"/>
      <c r="Q48" s="105"/>
      <c r="R48" s="105"/>
      <c r="S48" s="127"/>
    </row>
    <row r="49" spans="1:19" s="315" customFormat="1" ht="15" x14ac:dyDescent="0.2">
      <c r="A49" s="315" t="s">
        <v>926</v>
      </c>
      <c r="B49" s="883" t="s">
        <v>492</v>
      </c>
      <c r="C49" s="1051">
        <f t="shared" ref="C49:C70" si="0">VLOOKUP($B49,$A$82:$E$136,4,FALSE)</f>
        <v>0</v>
      </c>
      <c r="D49" s="1052">
        <f t="shared" ref="D49:D70" si="1">VLOOKUP($B49,$A$82:$E$136,5,FALSE)</f>
        <v>0</v>
      </c>
      <c r="E49" s="1082"/>
      <c r="F49" s="1054">
        <f t="shared" ref="F49:F70" si="2">D49</f>
        <v>0</v>
      </c>
      <c r="G49" s="1053"/>
      <c r="H49" s="127"/>
      <c r="I49" s="1078"/>
      <c r="J49" s="1079"/>
      <c r="K49" s="1080"/>
      <c r="L49" s="1080"/>
      <c r="M49" s="1079"/>
      <c r="N49" s="1081"/>
      <c r="O49" s="105"/>
      <c r="P49" s="105"/>
      <c r="Q49" s="105"/>
      <c r="R49" s="105"/>
      <c r="S49" s="127"/>
    </row>
    <row r="50" spans="1:19" s="315" customFormat="1" ht="15" x14ac:dyDescent="0.2">
      <c r="A50" s="315" t="s">
        <v>926</v>
      </c>
      <c r="B50" s="883" t="s">
        <v>493</v>
      </c>
      <c r="C50" s="1051">
        <f t="shared" si="0"/>
        <v>0</v>
      </c>
      <c r="D50" s="1052">
        <f t="shared" si="1"/>
        <v>0</v>
      </c>
      <c r="E50" s="1082"/>
      <c r="F50" s="1054">
        <f t="shared" si="2"/>
        <v>0</v>
      </c>
      <c r="G50" s="1053"/>
      <c r="H50" s="127"/>
      <c r="I50" s="1078"/>
      <c r="J50" s="1079"/>
      <c r="K50" s="1080"/>
      <c r="L50" s="1080"/>
      <c r="M50" s="1079"/>
      <c r="N50" s="1081"/>
      <c r="O50" s="105"/>
      <c r="P50" s="105"/>
      <c r="Q50" s="105"/>
      <c r="R50" s="105"/>
      <c r="S50" s="127"/>
    </row>
    <row r="51" spans="1:19" s="315" customFormat="1" ht="15" x14ac:dyDescent="0.2">
      <c r="A51" s="315" t="s">
        <v>926</v>
      </c>
      <c r="B51" s="883" t="s">
        <v>494</v>
      </c>
      <c r="C51" s="1051">
        <f t="shared" si="0"/>
        <v>0</v>
      </c>
      <c r="D51" s="1052">
        <f t="shared" si="1"/>
        <v>0</v>
      </c>
      <c r="E51" s="1082"/>
      <c r="F51" s="1054">
        <f t="shared" si="2"/>
        <v>0</v>
      </c>
      <c r="G51" s="1053"/>
      <c r="H51" s="127"/>
      <c r="I51" s="1078"/>
      <c r="J51" s="1079"/>
      <c r="K51" s="1080"/>
      <c r="L51" s="1080"/>
      <c r="M51" s="1079"/>
      <c r="N51" s="1081"/>
      <c r="O51" s="105"/>
      <c r="P51" s="105"/>
      <c r="Q51" s="105"/>
      <c r="R51" s="105"/>
      <c r="S51" s="127"/>
    </row>
    <row r="52" spans="1:19" s="315" customFormat="1" ht="15" x14ac:dyDescent="0.2">
      <c r="A52" s="315" t="s">
        <v>926</v>
      </c>
      <c r="B52" s="883" t="s">
        <v>668</v>
      </c>
      <c r="C52" s="1051">
        <f t="shared" si="0"/>
        <v>0</v>
      </c>
      <c r="D52" s="1052">
        <f t="shared" si="1"/>
        <v>0</v>
      </c>
      <c r="E52" s="1082"/>
      <c r="F52" s="1054">
        <f t="shared" si="2"/>
        <v>0</v>
      </c>
      <c r="G52" s="1053"/>
      <c r="H52" s="127"/>
      <c r="I52" s="1078"/>
      <c r="J52" s="1079"/>
      <c r="K52" s="1080"/>
      <c r="L52" s="1080"/>
      <c r="M52" s="1079"/>
      <c r="N52" s="1081"/>
      <c r="O52" s="105"/>
      <c r="P52" s="105"/>
      <c r="Q52" s="105"/>
      <c r="R52" s="105"/>
      <c r="S52" s="127"/>
    </row>
    <row r="53" spans="1:19" s="315" customFormat="1" ht="15" x14ac:dyDescent="0.2">
      <c r="A53" s="315" t="s">
        <v>926</v>
      </c>
      <c r="B53" s="883" t="s">
        <v>667</v>
      </c>
      <c r="C53" s="1051">
        <f t="shared" si="0"/>
        <v>0</v>
      </c>
      <c r="D53" s="1052">
        <f t="shared" si="1"/>
        <v>0</v>
      </c>
      <c r="E53" s="1082"/>
      <c r="F53" s="1054">
        <f t="shared" si="2"/>
        <v>0</v>
      </c>
      <c r="G53" s="1053"/>
      <c r="H53" s="127"/>
      <c r="I53" s="1078"/>
      <c r="J53" s="1079"/>
      <c r="K53" s="1080"/>
      <c r="L53" s="1080"/>
      <c r="M53" s="1079"/>
      <c r="N53" s="1081"/>
      <c r="O53" s="105"/>
      <c r="P53" s="105"/>
      <c r="Q53" s="105"/>
      <c r="R53" s="105"/>
      <c r="S53" s="127"/>
    </row>
    <row r="54" spans="1:19" s="315" customFormat="1" ht="15" x14ac:dyDescent="0.2">
      <c r="A54" s="315" t="s">
        <v>926</v>
      </c>
      <c r="B54" s="883" t="s">
        <v>497</v>
      </c>
      <c r="C54" s="1051">
        <f t="shared" si="0"/>
        <v>0</v>
      </c>
      <c r="D54" s="1052">
        <f t="shared" si="1"/>
        <v>0</v>
      </c>
      <c r="E54" s="1082"/>
      <c r="F54" s="1054">
        <f t="shared" si="2"/>
        <v>0</v>
      </c>
      <c r="G54" s="1053"/>
      <c r="H54" s="127"/>
      <c r="I54" s="1078"/>
      <c r="J54" s="1079"/>
      <c r="K54" s="1080"/>
      <c r="L54" s="1080"/>
      <c r="M54" s="1079"/>
      <c r="N54" s="1081"/>
      <c r="O54" s="105"/>
      <c r="P54" s="105"/>
      <c r="Q54" s="105"/>
      <c r="R54" s="105"/>
      <c r="S54" s="127"/>
    </row>
    <row r="55" spans="1:19" s="315" customFormat="1" ht="15" x14ac:dyDescent="0.2">
      <c r="A55" s="315" t="s">
        <v>926</v>
      </c>
      <c r="B55" s="883" t="s">
        <v>498</v>
      </c>
      <c r="C55" s="1051">
        <f t="shared" si="0"/>
        <v>0</v>
      </c>
      <c r="D55" s="1052">
        <f t="shared" si="1"/>
        <v>0</v>
      </c>
      <c r="E55" s="1082"/>
      <c r="F55" s="1054">
        <f t="shared" si="2"/>
        <v>0</v>
      </c>
      <c r="G55" s="1053"/>
      <c r="H55" s="127"/>
      <c r="I55" s="1078"/>
      <c r="J55" s="1079"/>
      <c r="K55" s="1080"/>
      <c r="L55" s="1080"/>
      <c r="M55" s="1079"/>
      <c r="N55" s="1081"/>
      <c r="O55" s="105"/>
      <c r="P55" s="105"/>
      <c r="Q55" s="105"/>
      <c r="R55" s="105"/>
      <c r="S55" s="127"/>
    </row>
    <row r="56" spans="1:19" s="315" customFormat="1" ht="15" x14ac:dyDescent="0.2">
      <c r="A56" s="315" t="s">
        <v>926</v>
      </c>
      <c r="B56" s="883" t="s">
        <v>499</v>
      </c>
      <c r="C56" s="1051">
        <f t="shared" si="0"/>
        <v>0</v>
      </c>
      <c r="D56" s="1052">
        <f t="shared" si="1"/>
        <v>0</v>
      </c>
      <c r="E56" s="1082"/>
      <c r="F56" s="1054">
        <f t="shared" si="2"/>
        <v>0</v>
      </c>
      <c r="G56" s="1053"/>
      <c r="H56" s="127"/>
      <c r="I56" s="1078"/>
      <c r="J56" s="1079"/>
      <c r="K56" s="1080"/>
      <c r="L56" s="1080"/>
      <c r="M56" s="1079"/>
      <c r="N56" s="1081"/>
      <c r="O56" s="105"/>
      <c r="P56" s="105"/>
      <c r="Q56" s="105"/>
      <c r="R56" s="105"/>
      <c r="S56" s="127"/>
    </row>
    <row r="57" spans="1:19" s="315" customFormat="1" ht="15" x14ac:dyDescent="0.2">
      <c r="A57" s="315" t="s">
        <v>926</v>
      </c>
      <c r="B57" s="883" t="s">
        <v>305</v>
      </c>
      <c r="C57" s="1051">
        <f t="shared" si="0"/>
        <v>0</v>
      </c>
      <c r="D57" s="1052">
        <f t="shared" si="1"/>
        <v>0</v>
      </c>
      <c r="E57" s="1082"/>
      <c r="F57" s="1054">
        <f t="shared" si="2"/>
        <v>0</v>
      </c>
      <c r="G57" s="1053"/>
      <c r="H57" s="127"/>
      <c r="I57" s="1078"/>
      <c r="J57" s="1079"/>
      <c r="K57" s="1080"/>
      <c r="L57" s="1080"/>
      <c r="M57" s="1079"/>
      <c r="N57" s="1081"/>
      <c r="O57" s="105"/>
      <c r="P57" s="105"/>
      <c r="Q57" s="105"/>
      <c r="R57" s="105"/>
      <c r="S57" s="127"/>
    </row>
    <row r="58" spans="1:19" s="315" customFormat="1" ht="15" x14ac:dyDescent="0.2">
      <c r="A58" s="315" t="s">
        <v>926</v>
      </c>
      <c r="B58" s="883" t="s">
        <v>502</v>
      </c>
      <c r="C58" s="1051">
        <f t="shared" si="0"/>
        <v>0</v>
      </c>
      <c r="D58" s="1052">
        <f t="shared" si="1"/>
        <v>0</v>
      </c>
      <c r="E58" s="1082"/>
      <c r="F58" s="1054">
        <f t="shared" si="2"/>
        <v>0</v>
      </c>
      <c r="G58" s="1053"/>
      <c r="H58" s="127"/>
      <c r="I58" s="1078"/>
      <c r="J58" s="1079"/>
      <c r="K58" s="1080"/>
      <c r="L58" s="1080"/>
      <c r="M58" s="1079"/>
      <c r="N58" s="1081"/>
      <c r="O58" s="105"/>
      <c r="P58" s="105"/>
      <c r="Q58" s="105"/>
      <c r="R58" s="105"/>
      <c r="S58" s="127"/>
    </row>
    <row r="59" spans="1:19" s="315" customFormat="1" ht="15" x14ac:dyDescent="0.2">
      <c r="A59" s="315" t="s">
        <v>926</v>
      </c>
      <c r="B59" s="883" t="s">
        <v>313</v>
      </c>
      <c r="C59" s="1051">
        <f t="shared" si="0"/>
        <v>0</v>
      </c>
      <c r="D59" s="1052">
        <f t="shared" si="1"/>
        <v>0</v>
      </c>
      <c r="E59" s="1082"/>
      <c r="F59" s="1054">
        <f t="shared" si="2"/>
        <v>0</v>
      </c>
      <c r="G59" s="1053"/>
      <c r="H59" s="127"/>
      <c r="I59" s="1078"/>
      <c r="J59" s="1079"/>
      <c r="K59" s="1080"/>
      <c r="L59" s="1080"/>
      <c r="M59" s="1079"/>
      <c r="N59" s="1081"/>
      <c r="O59" s="105"/>
      <c r="P59" s="105"/>
      <c r="Q59" s="105"/>
      <c r="R59" s="105"/>
      <c r="S59" s="127"/>
    </row>
    <row r="60" spans="1:19" s="315" customFormat="1" ht="15" x14ac:dyDescent="0.2">
      <c r="A60" s="315" t="s">
        <v>926</v>
      </c>
      <c r="B60" s="883" t="s">
        <v>500</v>
      </c>
      <c r="C60" s="1051">
        <f t="shared" si="0"/>
        <v>0</v>
      </c>
      <c r="D60" s="1052">
        <f t="shared" si="1"/>
        <v>0</v>
      </c>
      <c r="E60" s="1082"/>
      <c r="F60" s="1054">
        <f t="shared" si="2"/>
        <v>0</v>
      </c>
      <c r="G60" s="1053"/>
      <c r="H60" s="127"/>
      <c r="I60" s="335"/>
      <c r="J60" s="1083"/>
      <c r="K60" s="1084"/>
      <c r="L60" s="1084"/>
      <c r="M60" s="1083"/>
      <c r="N60" s="1085"/>
      <c r="O60" s="105"/>
      <c r="P60" s="105"/>
      <c r="Q60" s="105"/>
      <c r="R60" s="105"/>
      <c r="S60" s="127"/>
    </row>
    <row r="61" spans="1:19" s="315" customFormat="1" ht="15" x14ac:dyDescent="0.2">
      <c r="A61" s="315" t="s">
        <v>926</v>
      </c>
      <c r="B61" s="883" t="s">
        <v>501</v>
      </c>
      <c r="C61" s="1051">
        <f t="shared" si="0"/>
        <v>0</v>
      </c>
      <c r="D61" s="1052">
        <f t="shared" si="1"/>
        <v>0</v>
      </c>
      <c r="E61" s="1082"/>
      <c r="F61" s="1054">
        <f t="shared" si="2"/>
        <v>0</v>
      </c>
      <c r="G61" s="1086"/>
      <c r="H61" s="345"/>
      <c r="I61" s="335"/>
      <c r="J61" s="1083"/>
      <c r="K61" s="1084"/>
      <c r="L61" s="1084"/>
      <c r="M61" s="1083"/>
      <c r="N61" s="1085"/>
      <c r="O61" s="105"/>
      <c r="P61" s="105"/>
      <c r="Q61" s="105"/>
      <c r="R61" s="105"/>
      <c r="S61" s="127"/>
    </row>
    <row r="62" spans="1:19" s="315" customFormat="1" ht="15" x14ac:dyDescent="0.2">
      <c r="A62" s="315" t="s">
        <v>926</v>
      </c>
      <c r="B62" s="883" t="s">
        <v>306</v>
      </c>
      <c r="C62" s="1051">
        <f t="shared" si="0"/>
        <v>0</v>
      </c>
      <c r="D62" s="1052">
        <f t="shared" si="1"/>
        <v>0</v>
      </c>
      <c r="E62" s="1082"/>
      <c r="F62" s="1054">
        <f t="shared" si="2"/>
        <v>0</v>
      </c>
      <c r="G62" s="1086"/>
      <c r="H62" s="591"/>
      <c r="I62" s="629"/>
      <c r="J62" s="1087"/>
      <c r="K62" s="629"/>
      <c r="L62" s="629"/>
      <c r="M62" s="1087"/>
      <c r="N62" s="629"/>
      <c r="O62" s="105"/>
      <c r="P62" s="105"/>
      <c r="Q62" s="105"/>
      <c r="R62" s="105"/>
      <c r="S62" s="127"/>
    </row>
    <row r="63" spans="1:19" s="315" customFormat="1" ht="15" x14ac:dyDescent="0.2">
      <c r="A63" s="315" t="s">
        <v>926</v>
      </c>
      <c r="B63" s="883" t="s">
        <v>307</v>
      </c>
      <c r="C63" s="1051">
        <f t="shared" si="0"/>
        <v>0</v>
      </c>
      <c r="D63" s="1052">
        <f t="shared" si="1"/>
        <v>0</v>
      </c>
      <c r="E63" s="1082"/>
      <c r="F63" s="1054">
        <f t="shared" si="2"/>
        <v>0</v>
      </c>
      <c r="G63" s="1086"/>
      <c r="H63" s="1092"/>
      <c r="I63" s="629"/>
      <c r="J63" s="1087"/>
      <c r="K63" s="629"/>
      <c r="L63" s="629"/>
      <c r="M63" s="1087"/>
      <c r="N63" s="629"/>
      <c r="O63" s="105"/>
      <c r="P63" s="105"/>
      <c r="Q63" s="105"/>
      <c r="R63" s="105"/>
      <c r="S63" s="127"/>
    </row>
    <row r="64" spans="1:19" s="315" customFormat="1" ht="15" x14ac:dyDescent="0.2">
      <c r="A64" s="315" t="s">
        <v>926</v>
      </c>
      <c r="B64" s="883" t="s">
        <v>308</v>
      </c>
      <c r="C64" s="1051">
        <f t="shared" si="0"/>
        <v>0</v>
      </c>
      <c r="D64" s="1052">
        <f t="shared" si="1"/>
        <v>0</v>
      </c>
      <c r="E64" s="1082"/>
      <c r="F64" s="1054">
        <f t="shared" si="2"/>
        <v>0</v>
      </c>
      <c r="G64" s="1086"/>
      <c r="H64" s="1092"/>
      <c r="I64" s="1088"/>
      <c r="J64" s="1089"/>
      <c r="K64" s="1090"/>
      <c r="L64" s="1090"/>
      <c r="M64" s="1089"/>
      <c r="N64" s="1091"/>
      <c r="O64" s="105"/>
      <c r="P64" s="105"/>
      <c r="Q64" s="105"/>
      <c r="R64" s="105"/>
      <c r="S64" s="127"/>
    </row>
    <row r="65" spans="1:20" s="315" customFormat="1" ht="15" x14ac:dyDescent="0.2">
      <c r="A65" s="315" t="s">
        <v>926</v>
      </c>
      <c r="B65" s="883" t="s">
        <v>508</v>
      </c>
      <c r="C65" s="1051">
        <f t="shared" si="0"/>
        <v>0</v>
      </c>
      <c r="D65" s="1052">
        <f t="shared" si="1"/>
        <v>0</v>
      </c>
      <c r="E65" s="1082"/>
      <c r="F65" s="1054">
        <f t="shared" si="2"/>
        <v>0</v>
      </c>
      <c r="G65" s="1086"/>
      <c r="H65" s="1092"/>
      <c r="I65" s="1088"/>
      <c r="J65" s="1089"/>
      <c r="K65" s="1090"/>
      <c r="L65" s="1090"/>
      <c r="M65" s="1089"/>
      <c r="N65" s="1091"/>
      <c r="O65" s="105"/>
      <c r="P65" s="105"/>
      <c r="Q65" s="105"/>
      <c r="R65" s="105"/>
      <c r="S65" s="127"/>
    </row>
    <row r="66" spans="1:20" s="315" customFormat="1" ht="15" x14ac:dyDescent="0.2">
      <c r="A66" s="315" t="s">
        <v>926</v>
      </c>
      <c r="B66" s="883" t="s">
        <v>309</v>
      </c>
      <c r="C66" s="1051">
        <f t="shared" si="0"/>
        <v>0</v>
      </c>
      <c r="D66" s="1052">
        <f t="shared" si="1"/>
        <v>0</v>
      </c>
      <c r="E66" s="1082"/>
      <c r="F66" s="1054">
        <f t="shared" si="2"/>
        <v>0</v>
      </c>
      <c r="G66" s="1086"/>
      <c r="H66" s="1092"/>
      <c r="I66" s="1088"/>
      <c r="J66" s="1089"/>
      <c r="K66" s="1090"/>
      <c r="L66" s="1090"/>
      <c r="M66" s="1089"/>
      <c r="N66" s="1091"/>
      <c r="O66" s="105"/>
      <c r="P66" s="105"/>
      <c r="Q66" s="105"/>
      <c r="R66" s="105"/>
      <c r="S66" s="127"/>
    </row>
    <row r="67" spans="1:20" s="315" customFormat="1" ht="15" x14ac:dyDescent="0.2">
      <c r="A67" s="315" t="s">
        <v>926</v>
      </c>
      <c r="B67" s="883" t="s">
        <v>310</v>
      </c>
      <c r="C67" s="1051">
        <f t="shared" si="0"/>
        <v>0</v>
      </c>
      <c r="D67" s="1052">
        <f t="shared" si="1"/>
        <v>0</v>
      </c>
      <c r="E67" s="1082"/>
      <c r="F67" s="1054">
        <f t="shared" si="2"/>
        <v>0</v>
      </c>
      <c r="G67" s="1086"/>
      <c r="H67" s="1092"/>
      <c r="I67" s="1088"/>
      <c r="J67" s="1089"/>
      <c r="K67" s="1090"/>
      <c r="L67" s="1090"/>
      <c r="M67" s="1089"/>
      <c r="N67" s="1091"/>
      <c r="O67" s="105"/>
      <c r="P67" s="105"/>
      <c r="Q67" s="105"/>
      <c r="R67" s="105"/>
      <c r="S67" s="127"/>
    </row>
    <row r="68" spans="1:20" s="315" customFormat="1" ht="15" x14ac:dyDescent="0.2">
      <c r="A68" s="315" t="s">
        <v>926</v>
      </c>
      <c r="B68" s="883" t="s">
        <v>311</v>
      </c>
      <c r="C68" s="1051">
        <f t="shared" si="0"/>
        <v>0</v>
      </c>
      <c r="D68" s="1052">
        <f t="shared" si="1"/>
        <v>0</v>
      </c>
      <c r="E68" s="1082"/>
      <c r="F68" s="1054">
        <f t="shared" si="2"/>
        <v>0</v>
      </c>
      <c r="G68" s="1086"/>
      <c r="H68" s="1092"/>
      <c r="I68" s="1088"/>
      <c r="J68" s="1089"/>
      <c r="K68" s="1090"/>
      <c r="L68" s="1090"/>
      <c r="M68" s="1089"/>
      <c r="N68" s="1091"/>
      <c r="O68" s="105"/>
      <c r="P68" s="105"/>
      <c r="Q68" s="105"/>
      <c r="R68" s="105"/>
      <c r="S68" s="127"/>
    </row>
    <row r="69" spans="1:20" s="315" customFormat="1" ht="15" x14ac:dyDescent="0.2">
      <c r="A69" s="315" t="s">
        <v>926</v>
      </c>
      <c r="B69" s="883" t="s">
        <v>312</v>
      </c>
      <c r="C69" s="1051">
        <f t="shared" si="0"/>
        <v>0</v>
      </c>
      <c r="D69" s="1052">
        <f t="shared" si="1"/>
        <v>0</v>
      </c>
      <c r="E69" s="1082"/>
      <c r="F69" s="1054">
        <f t="shared" si="2"/>
        <v>0</v>
      </c>
      <c r="G69" s="1086"/>
      <c r="H69" s="1092"/>
      <c r="I69" s="335"/>
      <c r="J69" s="1083"/>
      <c r="K69" s="1084"/>
      <c r="L69" s="1084"/>
      <c r="M69" s="1083"/>
      <c r="N69" s="1085"/>
      <c r="O69" s="105"/>
      <c r="P69" s="105"/>
      <c r="Q69" s="105"/>
      <c r="R69" s="105"/>
      <c r="S69" s="127"/>
    </row>
    <row r="70" spans="1:20" s="315" customFormat="1" ht="15" x14ac:dyDescent="0.2">
      <c r="A70" s="315" t="s">
        <v>926</v>
      </c>
      <c r="B70" s="883" t="s">
        <v>503</v>
      </c>
      <c r="C70" s="1051">
        <f t="shared" si="0"/>
        <v>0</v>
      </c>
      <c r="D70" s="1052">
        <f t="shared" si="1"/>
        <v>0</v>
      </c>
      <c r="E70" s="1082"/>
      <c r="F70" s="1054">
        <f t="shared" si="2"/>
        <v>0</v>
      </c>
      <c r="G70" s="1086"/>
      <c r="H70" s="1092"/>
      <c r="I70" s="335"/>
      <c r="J70" s="1083"/>
      <c r="K70" s="1084"/>
      <c r="L70" s="1084"/>
      <c r="M70" s="1083"/>
      <c r="N70" s="1085"/>
      <c r="O70" s="105"/>
      <c r="P70" s="105"/>
      <c r="Q70" s="105"/>
      <c r="R70" s="105"/>
      <c r="S70" s="127"/>
    </row>
    <row r="71" spans="1:20" s="315" customFormat="1" ht="15" x14ac:dyDescent="0.2">
      <c r="A71" s="315" t="s">
        <v>926</v>
      </c>
      <c r="B71" s="883" t="s">
        <v>1155</v>
      </c>
      <c r="C71" s="1051">
        <v>1</v>
      </c>
      <c r="D71" s="1052">
        <v>0</v>
      </c>
      <c r="E71" s="1082"/>
      <c r="F71" s="1054">
        <v>60</v>
      </c>
      <c r="G71" s="1086"/>
      <c r="H71" s="1092"/>
      <c r="I71" s="335"/>
      <c r="J71" s="1083"/>
      <c r="K71" s="1084"/>
      <c r="L71" s="1084"/>
      <c r="M71" s="1083"/>
      <c r="N71" s="1085"/>
      <c r="O71" s="105"/>
      <c r="P71" s="105"/>
      <c r="Q71" s="105"/>
      <c r="R71" s="105"/>
      <c r="S71" s="127"/>
    </row>
    <row r="72" spans="1:20" s="315" customFormat="1" ht="15" x14ac:dyDescent="0.2">
      <c r="A72" s="315" t="s">
        <v>926</v>
      </c>
      <c r="B72" s="883" t="s">
        <v>1154</v>
      </c>
      <c r="C72" s="1051">
        <v>1</v>
      </c>
      <c r="D72" s="1052">
        <v>0</v>
      </c>
      <c r="E72" s="1082"/>
      <c r="F72" s="1054">
        <v>24957</v>
      </c>
      <c r="G72" s="1086"/>
      <c r="H72" s="1092"/>
      <c r="I72" s="335"/>
      <c r="J72" s="1083"/>
      <c r="K72" s="1084"/>
      <c r="L72" s="1084"/>
      <c r="M72" s="1089"/>
      <c r="N72" s="1091"/>
      <c r="O72" s="105"/>
      <c r="P72" s="105"/>
      <c r="Q72" s="105"/>
      <c r="R72" s="105"/>
      <c r="S72" s="127"/>
    </row>
    <row r="73" spans="1:20" s="315" customFormat="1" ht="15" x14ac:dyDescent="0.2">
      <c r="A73" s="1033"/>
      <c r="B73" s="1033"/>
      <c r="C73" s="1034"/>
      <c r="D73" s="1035"/>
      <c r="E73" s="1035"/>
      <c r="F73" s="105"/>
      <c r="G73" s="117"/>
      <c r="H73" s="157"/>
      <c r="I73" s="163"/>
      <c r="J73" s="153"/>
      <c r="K73" s="169"/>
      <c r="L73" s="169"/>
      <c r="M73" s="105"/>
      <c r="N73" s="105"/>
      <c r="O73" s="105"/>
      <c r="P73" s="105"/>
      <c r="Q73" s="105"/>
      <c r="R73" s="105"/>
      <c r="S73" s="127"/>
    </row>
    <row r="74" spans="1:20" s="315" customFormat="1" ht="15" x14ac:dyDescent="0.2">
      <c r="A74" s="1033"/>
      <c r="B74" s="1033"/>
      <c r="C74" s="1161"/>
      <c r="D74" s="1035"/>
      <c r="E74" s="1035"/>
      <c r="F74" s="105"/>
      <c r="G74" s="117"/>
      <c r="H74" s="157"/>
      <c r="I74" s="163"/>
      <c r="J74" s="153"/>
      <c r="K74" s="169"/>
      <c r="L74" s="169"/>
      <c r="M74" s="105"/>
      <c r="N74" s="105"/>
      <c r="O74" s="105"/>
      <c r="P74" s="105"/>
      <c r="Q74" s="105"/>
      <c r="R74" s="105"/>
      <c r="S74" s="127"/>
    </row>
    <row r="75" spans="1:20" s="315" customFormat="1" ht="15" x14ac:dyDescent="0.2">
      <c r="A75" s="1033"/>
      <c r="B75" s="1033"/>
      <c r="C75" s="1161"/>
      <c r="D75" s="1035"/>
      <c r="E75" s="1035"/>
      <c r="F75" s="105"/>
      <c r="G75" s="117"/>
      <c r="H75" s="157"/>
      <c r="I75" s="163"/>
      <c r="J75" s="153"/>
      <c r="K75" s="169"/>
      <c r="L75" s="169"/>
      <c r="M75" s="105"/>
      <c r="N75" s="105"/>
      <c r="O75" s="105"/>
      <c r="P75" s="105"/>
      <c r="Q75" s="105"/>
      <c r="R75" s="105"/>
      <c r="S75" s="127"/>
    </row>
    <row r="76" spans="1:20" s="315" customFormat="1" ht="15" x14ac:dyDescent="0.2">
      <c r="A76" s="1033"/>
      <c r="B76" s="1033"/>
      <c r="C76" s="1161"/>
      <c r="D76" s="1035"/>
      <c r="E76" s="1035"/>
      <c r="F76" s="105"/>
      <c r="G76" s="117"/>
      <c r="H76" s="157"/>
      <c r="I76" s="163"/>
      <c r="J76" s="153"/>
      <c r="K76" s="169"/>
      <c r="L76" s="169"/>
      <c r="M76" s="105"/>
      <c r="N76" s="105"/>
      <c r="O76" s="105"/>
      <c r="P76" s="105"/>
      <c r="Q76" s="105"/>
      <c r="R76" s="105"/>
      <c r="S76" s="127"/>
    </row>
    <row r="77" spans="1:20" s="315" customFormat="1" ht="15" x14ac:dyDescent="0.2">
      <c r="A77" s="1033"/>
      <c r="B77" s="1033"/>
      <c r="C77" s="1161"/>
      <c r="D77" s="1035"/>
      <c r="E77" s="1035"/>
      <c r="F77" s="105"/>
      <c r="G77" s="117"/>
      <c r="H77" s="157"/>
      <c r="I77" s="163"/>
      <c r="J77" s="153"/>
      <c r="K77" s="169"/>
      <c r="L77" s="169"/>
      <c r="M77" s="105"/>
      <c r="N77" s="105"/>
      <c r="O77" s="105"/>
      <c r="P77" s="105"/>
      <c r="Q77" s="105"/>
      <c r="R77" s="105"/>
      <c r="S77" s="127"/>
    </row>
    <row r="78" spans="1:20" s="315" customFormat="1" ht="15" x14ac:dyDescent="0.2">
      <c r="A78" s="1033"/>
      <c r="B78" s="1033"/>
      <c r="C78" s="1034"/>
      <c r="D78" s="1035"/>
      <c r="E78" s="1035"/>
      <c r="F78" s="105"/>
      <c r="G78" s="117"/>
      <c r="H78" s="157"/>
      <c r="I78" s="163"/>
      <c r="J78" s="153"/>
      <c r="K78" s="169"/>
      <c r="L78" s="169"/>
      <c r="M78" s="105"/>
      <c r="N78" s="105"/>
      <c r="O78" s="105"/>
      <c r="P78" s="105"/>
      <c r="Q78" s="105"/>
      <c r="R78" s="105"/>
      <c r="S78" s="127"/>
    </row>
    <row r="79" spans="1:20" ht="26.25" customHeight="1" x14ac:dyDescent="0.2">
      <c r="B79" s="2497" t="s">
        <v>64</v>
      </c>
      <c r="C79" s="2497"/>
      <c r="D79" s="2497"/>
      <c r="E79" s="2497"/>
      <c r="F79" s="105"/>
      <c r="H79" s="2497" t="s">
        <v>75</v>
      </c>
      <c r="I79" s="2497"/>
      <c r="J79" s="2497"/>
      <c r="K79" s="2497"/>
      <c r="L79" s="1093"/>
      <c r="M79" s="105"/>
      <c r="N79" s="127" t="s">
        <v>510</v>
      </c>
      <c r="O79" s="105"/>
      <c r="P79" s="105"/>
      <c r="Q79" s="105"/>
      <c r="R79" s="105"/>
      <c r="S79" s="105"/>
    </row>
    <row r="80" spans="1:20" ht="15" x14ac:dyDescent="0.2">
      <c r="A80" s="101"/>
      <c r="B80" s="2491" t="s">
        <v>54</v>
      </c>
      <c r="C80" s="2492"/>
      <c r="D80" s="2491" t="s">
        <v>59</v>
      </c>
      <c r="E80" s="2492"/>
      <c r="F80" s="55"/>
      <c r="G80" s="101"/>
      <c r="H80" s="1824" t="s">
        <v>54</v>
      </c>
      <c r="I80" s="1824" t="s">
        <v>54</v>
      </c>
      <c r="J80" s="1824" t="s">
        <v>59</v>
      </c>
      <c r="K80" s="1824" t="s">
        <v>59</v>
      </c>
      <c r="L80" s="1824" t="s">
        <v>59</v>
      </c>
      <c r="M80" s="1094"/>
      <c r="N80" s="55"/>
      <c r="O80" s="345" t="s">
        <v>447</v>
      </c>
      <c r="P80" s="309"/>
      <c r="Q80" s="309"/>
      <c r="R80" s="309"/>
      <c r="S80" s="309"/>
      <c r="T80" s="105"/>
    </row>
    <row r="81" spans="1:20" s="90" customFormat="1" ht="12" customHeight="1" x14ac:dyDescent="0.2">
      <c r="A81" s="104"/>
      <c r="B81" s="94" t="s">
        <v>138</v>
      </c>
      <c r="C81" s="94" t="s">
        <v>209</v>
      </c>
      <c r="D81" s="94" t="s">
        <v>138</v>
      </c>
      <c r="E81" s="94" t="s">
        <v>209</v>
      </c>
      <c r="F81" s="75"/>
      <c r="G81" s="104"/>
      <c r="H81" s="154" t="s">
        <v>138</v>
      </c>
      <c r="I81" s="164" t="s">
        <v>209</v>
      </c>
      <c r="J81" s="1823"/>
      <c r="K81" s="154" t="s">
        <v>138</v>
      </c>
      <c r="L81" s="171" t="s">
        <v>209</v>
      </c>
      <c r="M81" s="1095"/>
      <c r="N81" s="75"/>
      <c r="O81" s="591"/>
      <c r="P81" s="591"/>
      <c r="Q81" s="344"/>
      <c r="R81" s="344"/>
      <c r="S81" s="344"/>
      <c r="T81" s="58"/>
    </row>
    <row r="82" spans="1:20" ht="14" x14ac:dyDescent="0.2">
      <c r="A82" s="949" t="s">
        <v>281</v>
      </c>
      <c r="B82" s="1307">
        <v>2</v>
      </c>
      <c r="C82" s="1054">
        <v>1390</v>
      </c>
      <c r="D82" s="1307">
        <v>2</v>
      </c>
      <c r="E82" s="129">
        <f>C82</f>
        <v>1390</v>
      </c>
      <c r="F82" s="343"/>
      <c r="G82" s="79" t="s">
        <v>281</v>
      </c>
      <c r="H82" s="1825">
        <v>2</v>
      </c>
      <c r="I82" s="477">
        <v>552.5</v>
      </c>
      <c r="J82" s="79" t="s">
        <v>281</v>
      </c>
      <c r="K82" s="155">
        <v>2</v>
      </c>
      <c r="L82" s="129">
        <v>552.5</v>
      </c>
      <c r="M82" s="1096"/>
      <c r="N82" s="29"/>
      <c r="O82" s="334">
        <v>4</v>
      </c>
      <c r="P82" s="334"/>
      <c r="Q82" s="334"/>
      <c r="R82" s="334"/>
      <c r="S82" s="334"/>
      <c r="T82" s="18" t="s">
        <v>495</v>
      </c>
    </row>
    <row r="83" spans="1:20" ht="14" x14ac:dyDescent="0.2">
      <c r="A83" s="949" t="s">
        <v>282</v>
      </c>
      <c r="B83" s="1307">
        <v>2</v>
      </c>
      <c r="C83" s="1054">
        <v>800</v>
      </c>
      <c r="D83" s="1307">
        <v>2</v>
      </c>
      <c r="E83" s="129">
        <f t="shared" ref="E83:E136" si="3">C83</f>
        <v>800</v>
      </c>
      <c r="F83" s="343"/>
      <c r="G83" s="79" t="s">
        <v>282</v>
      </c>
      <c r="H83" s="1825">
        <v>2</v>
      </c>
      <c r="I83" s="477">
        <v>552.5</v>
      </c>
      <c r="J83" s="79" t="s">
        <v>282</v>
      </c>
      <c r="K83" s="155">
        <v>2</v>
      </c>
      <c r="L83" s="129">
        <v>552.5</v>
      </c>
      <c r="M83" s="1096"/>
      <c r="N83" s="29"/>
      <c r="O83" s="334">
        <v>4</v>
      </c>
      <c r="P83" s="334"/>
      <c r="Q83" s="334"/>
      <c r="R83" s="334"/>
      <c r="S83" s="334"/>
      <c r="T83" s="18" t="s">
        <v>496</v>
      </c>
    </row>
    <row r="84" spans="1:20" ht="14" x14ac:dyDescent="0.2">
      <c r="A84" s="882" t="s">
        <v>491</v>
      </c>
      <c r="B84" s="1307"/>
      <c r="C84" s="1054"/>
      <c r="D84" s="1307"/>
      <c r="E84" s="129">
        <f t="shared" si="3"/>
        <v>0</v>
      </c>
      <c r="F84" s="343" t="s">
        <v>2143</v>
      </c>
      <c r="G84" s="79" t="s">
        <v>283</v>
      </c>
      <c r="H84" s="1826">
        <v>4</v>
      </c>
      <c r="I84" s="477">
        <v>455</v>
      </c>
      <c r="J84" s="79" t="s">
        <v>283</v>
      </c>
      <c r="K84" s="155">
        <v>4</v>
      </c>
      <c r="L84" s="129">
        <v>455</v>
      </c>
      <c r="M84" s="1096"/>
      <c r="N84" s="29"/>
      <c r="O84" s="334">
        <v>5</v>
      </c>
      <c r="P84" s="334"/>
      <c r="Q84" s="334"/>
      <c r="R84" s="334"/>
      <c r="S84" s="334"/>
      <c r="T84" s="18"/>
    </row>
    <row r="85" spans="1:20" ht="14" x14ac:dyDescent="0.2">
      <c r="A85" s="949" t="s">
        <v>283</v>
      </c>
      <c r="B85" s="1307">
        <v>3</v>
      </c>
      <c r="C85" s="1054">
        <v>160</v>
      </c>
      <c r="D85" s="1307">
        <v>3</v>
      </c>
      <c r="E85" s="129">
        <f t="shared" si="3"/>
        <v>160</v>
      </c>
      <c r="F85" s="343" t="s">
        <v>2143</v>
      </c>
      <c r="G85" s="79" t="s">
        <v>284</v>
      </c>
      <c r="H85" s="1825">
        <v>1</v>
      </c>
      <c r="I85" s="477">
        <v>3.25</v>
      </c>
      <c r="J85" s="79" t="s">
        <v>284</v>
      </c>
      <c r="K85" s="155">
        <v>1</v>
      </c>
      <c r="L85" s="129">
        <v>3.25</v>
      </c>
      <c r="M85" s="1096"/>
      <c r="N85" s="29"/>
      <c r="O85" s="334">
        <v>5</v>
      </c>
      <c r="P85" s="334"/>
      <c r="Q85" s="334"/>
      <c r="R85" s="334"/>
      <c r="S85" s="334"/>
      <c r="T85" s="18"/>
    </row>
    <row r="86" spans="1:20" ht="14" x14ac:dyDescent="0.2">
      <c r="A86" s="949" t="s">
        <v>284</v>
      </c>
      <c r="B86" s="1307">
        <v>1</v>
      </c>
      <c r="C86" s="1054">
        <v>117</v>
      </c>
      <c r="D86" s="1307">
        <v>1</v>
      </c>
      <c r="E86" s="129">
        <f t="shared" si="3"/>
        <v>117</v>
      </c>
      <c r="F86" s="343" t="s">
        <v>934</v>
      </c>
      <c r="G86" s="79" t="s">
        <v>286</v>
      </c>
      <c r="H86" s="1825">
        <v>2</v>
      </c>
      <c r="I86" s="477">
        <v>130</v>
      </c>
      <c r="J86" s="79" t="s">
        <v>286</v>
      </c>
      <c r="K86" s="155">
        <v>2</v>
      </c>
      <c r="L86" s="129">
        <v>130</v>
      </c>
      <c r="M86" s="1096"/>
      <c r="N86" s="29"/>
      <c r="O86" s="334"/>
      <c r="P86" s="334"/>
      <c r="Q86" s="334"/>
      <c r="R86" s="334"/>
      <c r="S86" s="334"/>
      <c r="T86" s="18"/>
    </row>
    <row r="87" spans="1:20" ht="14" x14ac:dyDescent="0.2">
      <c r="A87" s="882" t="s">
        <v>285</v>
      </c>
      <c r="B87" s="1307"/>
      <c r="C87" s="1054"/>
      <c r="D87" s="1307"/>
      <c r="E87" s="129">
        <f t="shared" si="3"/>
        <v>0</v>
      </c>
      <c r="F87" s="343" t="s">
        <v>934</v>
      </c>
      <c r="G87" s="79" t="s">
        <v>287</v>
      </c>
      <c r="H87" s="1825">
        <v>1</v>
      </c>
      <c r="I87" s="477">
        <v>3.25</v>
      </c>
      <c r="J87" s="79" t="s">
        <v>287</v>
      </c>
      <c r="K87" s="155">
        <v>1</v>
      </c>
      <c r="L87" s="129">
        <v>3.25</v>
      </c>
      <c r="M87" s="1096"/>
      <c r="N87" s="29"/>
      <c r="O87" s="334"/>
      <c r="P87" s="334"/>
      <c r="Q87" s="334"/>
      <c r="R87" s="334"/>
      <c r="S87" s="334"/>
      <c r="T87" s="18"/>
    </row>
    <row r="88" spans="1:20" ht="14" x14ac:dyDescent="0.2">
      <c r="A88" s="949" t="s">
        <v>286</v>
      </c>
      <c r="B88" s="1307">
        <v>2</v>
      </c>
      <c r="C88" s="1054">
        <v>140</v>
      </c>
      <c r="D88" s="1307">
        <v>3</v>
      </c>
      <c r="E88" s="129">
        <f t="shared" si="3"/>
        <v>140</v>
      </c>
      <c r="F88" s="343" t="s">
        <v>2144</v>
      </c>
      <c r="G88" s="160" t="s">
        <v>290</v>
      </c>
      <c r="H88" s="1826">
        <v>2</v>
      </c>
      <c r="I88" s="477">
        <v>97.5</v>
      </c>
      <c r="J88" s="160" t="s">
        <v>290</v>
      </c>
      <c r="K88" s="155">
        <v>2</v>
      </c>
      <c r="L88" s="129">
        <v>97.5</v>
      </c>
      <c r="M88" s="1096"/>
      <c r="N88" s="29"/>
      <c r="O88" s="334">
        <v>5</v>
      </c>
      <c r="P88" s="334"/>
      <c r="Q88" s="334"/>
      <c r="R88" s="334"/>
      <c r="S88" s="334"/>
      <c r="T88" s="18"/>
    </row>
    <row r="89" spans="1:20" ht="14" x14ac:dyDescent="0.2">
      <c r="A89" s="949" t="s">
        <v>287</v>
      </c>
      <c r="B89" s="1307">
        <v>1</v>
      </c>
      <c r="C89" s="1054">
        <v>102</v>
      </c>
      <c r="D89" s="1307">
        <v>1</v>
      </c>
      <c r="E89" s="129">
        <f t="shared" si="3"/>
        <v>102</v>
      </c>
      <c r="F89" s="343" t="s">
        <v>2144</v>
      </c>
      <c r="G89" s="79" t="s">
        <v>292</v>
      </c>
      <c r="H89" s="1825">
        <v>1</v>
      </c>
      <c r="I89" s="477">
        <v>3.25</v>
      </c>
      <c r="J89" s="79" t="s">
        <v>292</v>
      </c>
      <c r="K89" s="155">
        <v>1</v>
      </c>
      <c r="L89" s="129">
        <v>3.25</v>
      </c>
      <c r="M89" s="1096"/>
      <c r="N89" s="29"/>
      <c r="O89" s="334"/>
      <c r="P89" s="334"/>
      <c r="Q89" s="334"/>
      <c r="R89" s="334"/>
      <c r="S89" s="334"/>
      <c r="T89" s="18"/>
    </row>
    <row r="90" spans="1:20" ht="14" x14ac:dyDescent="0.2">
      <c r="A90" s="882" t="s">
        <v>288</v>
      </c>
      <c r="B90" s="1307"/>
      <c r="C90" s="1054"/>
      <c r="D90" s="1307"/>
      <c r="E90" s="129">
        <f t="shared" si="3"/>
        <v>0</v>
      </c>
      <c r="F90" s="343"/>
      <c r="G90" s="79" t="s">
        <v>294</v>
      </c>
      <c r="H90" s="1825">
        <v>1</v>
      </c>
      <c r="I90" s="477">
        <v>3.25</v>
      </c>
      <c r="J90" s="79" t="s">
        <v>294</v>
      </c>
      <c r="K90" s="155">
        <v>1</v>
      </c>
      <c r="L90" s="129">
        <v>3.25</v>
      </c>
      <c r="M90" s="1096"/>
      <c r="N90" s="29"/>
      <c r="O90" s="334"/>
      <c r="P90" s="334"/>
      <c r="Q90" s="334"/>
      <c r="R90" s="334"/>
      <c r="S90" s="334"/>
      <c r="T90" s="18"/>
    </row>
    <row r="91" spans="1:20" ht="14" x14ac:dyDescent="0.2">
      <c r="A91" s="949" t="s">
        <v>289</v>
      </c>
      <c r="B91" s="1307">
        <v>3</v>
      </c>
      <c r="C91" s="1054">
        <v>130</v>
      </c>
      <c r="D91" s="1307">
        <v>3</v>
      </c>
      <c r="E91" s="129">
        <f t="shared" si="3"/>
        <v>130</v>
      </c>
      <c r="F91" s="343"/>
      <c r="G91" s="79" t="s">
        <v>295</v>
      </c>
      <c r="H91" s="1825">
        <v>1</v>
      </c>
      <c r="I91" s="477">
        <v>2038.4</v>
      </c>
      <c r="J91" s="79" t="s">
        <v>295</v>
      </c>
      <c r="K91" s="155">
        <v>1</v>
      </c>
      <c r="L91" s="129">
        <v>2038.4</v>
      </c>
      <c r="M91" s="1096"/>
      <c r="N91" s="29"/>
      <c r="O91" s="334">
        <v>7</v>
      </c>
      <c r="P91" s="334"/>
      <c r="Q91" s="334"/>
      <c r="R91" s="334"/>
      <c r="S91" s="334"/>
      <c r="T91" s="18"/>
    </row>
    <row r="92" spans="1:20" ht="14" x14ac:dyDescent="0.2">
      <c r="A92" s="949" t="s">
        <v>291</v>
      </c>
      <c r="B92" s="1307">
        <v>1</v>
      </c>
      <c r="C92" s="1054">
        <v>85</v>
      </c>
      <c r="D92" s="1307">
        <v>1</v>
      </c>
      <c r="E92" s="129">
        <f t="shared" si="3"/>
        <v>85</v>
      </c>
      <c r="F92" s="343"/>
      <c r="G92" s="160" t="s">
        <v>296</v>
      </c>
      <c r="H92" s="1825">
        <v>1</v>
      </c>
      <c r="I92" s="477">
        <v>162.5</v>
      </c>
      <c r="J92" s="160" t="s">
        <v>296</v>
      </c>
      <c r="K92" s="155">
        <v>1</v>
      </c>
      <c r="L92" s="129">
        <v>162.5</v>
      </c>
      <c r="M92" s="1096"/>
      <c r="N92" s="29"/>
      <c r="O92" s="334"/>
      <c r="P92" s="334"/>
      <c r="Q92" s="334"/>
      <c r="R92" s="334"/>
      <c r="S92" s="334"/>
      <c r="T92" s="18"/>
    </row>
    <row r="93" spans="1:20" ht="14" x14ac:dyDescent="0.2">
      <c r="A93" s="882" t="s">
        <v>293</v>
      </c>
      <c r="B93" s="1307"/>
      <c r="C93" s="1054"/>
      <c r="D93" s="1307"/>
      <c r="E93" s="129">
        <f t="shared" si="3"/>
        <v>0</v>
      </c>
      <c r="F93" s="343"/>
      <c r="G93" s="160" t="s">
        <v>368</v>
      </c>
      <c r="H93" s="1827">
        <v>1</v>
      </c>
      <c r="I93" s="165">
        <v>0</v>
      </c>
      <c r="J93" s="160" t="s">
        <v>368</v>
      </c>
      <c r="K93" s="155">
        <v>1</v>
      </c>
      <c r="L93" s="129">
        <v>0</v>
      </c>
      <c r="M93" s="1096"/>
      <c r="N93" s="29"/>
      <c r="O93" s="334"/>
      <c r="P93" s="334"/>
      <c r="Q93" s="334"/>
      <c r="R93" s="334"/>
      <c r="S93" s="334"/>
      <c r="T93" s="18"/>
    </row>
    <row r="94" spans="1:20" ht="14" x14ac:dyDescent="0.2">
      <c r="A94" s="949" t="s">
        <v>294</v>
      </c>
      <c r="B94" s="1307">
        <v>1</v>
      </c>
      <c r="C94" s="1054">
        <v>86.5</v>
      </c>
      <c r="D94" s="1307">
        <v>1</v>
      </c>
      <c r="E94" s="129">
        <f t="shared" si="3"/>
        <v>86.5</v>
      </c>
      <c r="F94" s="343"/>
      <c r="G94" s="46" t="s">
        <v>375</v>
      </c>
      <c r="H94" s="1825">
        <v>1</v>
      </c>
      <c r="I94" s="477">
        <v>0</v>
      </c>
      <c r="J94" s="46" t="s">
        <v>375</v>
      </c>
      <c r="K94" s="155">
        <v>1</v>
      </c>
      <c r="L94" s="129">
        <v>0</v>
      </c>
      <c r="M94" s="1096"/>
      <c r="N94" s="29"/>
      <c r="O94" s="334">
        <v>5</v>
      </c>
      <c r="P94" s="334"/>
      <c r="Q94" s="334"/>
      <c r="R94" s="334"/>
      <c r="S94" s="334"/>
      <c r="T94" s="18"/>
    </row>
    <row r="95" spans="1:20" ht="14" x14ac:dyDescent="0.2">
      <c r="A95" s="949" t="s">
        <v>295</v>
      </c>
      <c r="B95" s="1307">
        <v>1</v>
      </c>
      <c r="C95" s="1054">
        <v>855</v>
      </c>
      <c r="D95" s="1307">
        <v>1</v>
      </c>
      <c r="E95" s="129">
        <f t="shared" si="3"/>
        <v>855</v>
      </c>
      <c r="F95" s="8"/>
      <c r="G95" s="79" t="s">
        <v>299</v>
      </c>
      <c r="H95" s="1826">
        <v>2</v>
      </c>
      <c r="I95" s="477">
        <v>219.95999999999998</v>
      </c>
      <c r="J95" s="79" t="s">
        <v>299</v>
      </c>
      <c r="K95" s="155">
        <v>2</v>
      </c>
      <c r="L95" s="129">
        <v>219.95999999999998</v>
      </c>
      <c r="M95" s="1096"/>
      <c r="N95" s="29"/>
      <c r="O95" s="334">
        <v>5</v>
      </c>
      <c r="P95" s="334"/>
      <c r="Q95" s="334"/>
      <c r="R95" s="334"/>
      <c r="S95" s="334"/>
      <c r="T95" s="18"/>
    </row>
    <row r="96" spans="1:20" ht="14" x14ac:dyDescent="0.2">
      <c r="A96" s="949" t="s">
        <v>296</v>
      </c>
      <c r="B96" s="635">
        <v>1</v>
      </c>
      <c r="C96" s="129">
        <v>125</v>
      </c>
      <c r="D96" s="635">
        <v>1</v>
      </c>
      <c r="E96" s="129">
        <f t="shared" si="3"/>
        <v>125</v>
      </c>
      <c r="F96" s="8"/>
      <c r="G96" s="79" t="s">
        <v>300</v>
      </c>
      <c r="H96" s="1826">
        <v>2</v>
      </c>
      <c r="I96" s="165">
        <v>219.95999999999998</v>
      </c>
      <c r="J96" s="79" t="s">
        <v>300</v>
      </c>
      <c r="K96" s="155">
        <v>2</v>
      </c>
      <c r="L96" s="129">
        <v>219.95999999999998</v>
      </c>
      <c r="M96" s="1096"/>
      <c r="N96" s="29"/>
      <c r="O96" s="334">
        <v>5</v>
      </c>
      <c r="P96" s="334"/>
      <c r="Q96" s="334"/>
      <c r="R96" s="334"/>
      <c r="S96" s="334"/>
      <c r="T96" s="18"/>
    </row>
    <row r="97" spans="1:20" ht="14" x14ac:dyDescent="0.2">
      <c r="A97" s="949" t="s">
        <v>297</v>
      </c>
      <c r="B97" s="635">
        <v>1</v>
      </c>
      <c r="C97" s="129"/>
      <c r="D97" s="635">
        <v>1</v>
      </c>
      <c r="E97" s="129">
        <f t="shared" si="3"/>
        <v>0</v>
      </c>
      <c r="F97" s="8"/>
      <c r="G97" s="79" t="s">
        <v>301</v>
      </c>
      <c r="H97" s="1825">
        <v>2</v>
      </c>
      <c r="I97" s="477">
        <v>219.95999999999998</v>
      </c>
      <c r="J97" s="79" t="s">
        <v>301</v>
      </c>
      <c r="K97" s="155">
        <v>2</v>
      </c>
      <c r="L97" s="129">
        <v>219.95999999999998</v>
      </c>
      <c r="M97" s="1096"/>
      <c r="N97" s="29"/>
      <c r="O97" s="334"/>
      <c r="P97" s="334"/>
      <c r="Q97" s="334"/>
      <c r="R97" s="334"/>
      <c r="S97" s="334"/>
      <c r="T97" s="18"/>
    </row>
    <row r="98" spans="1:20" s="315" customFormat="1" ht="14" x14ac:dyDescent="0.2">
      <c r="A98" s="883" t="s">
        <v>372</v>
      </c>
      <c r="B98" s="636"/>
      <c r="C98" s="320"/>
      <c r="D98" s="636"/>
      <c r="E98" s="129">
        <f t="shared" si="3"/>
        <v>0</v>
      </c>
      <c r="F98" s="346"/>
      <c r="G98" s="46" t="s">
        <v>369</v>
      </c>
      <c r="H98" s="1825">
        <v>2</v>
      </c>
      <c r="I98" s="477">
        <v>232.18</v>
      </c>
      <c r="J98" s="46" t="s">
        <v>369</v>
      </c>
      <c r="K98" s="155">
        <v>2</v>
      </c>
      <c r="L98" s="129">
        <v>232.18</v>
      </c>
      <c r="M98" s="1096"/>
      <c r="N98" s="319"/>
      <c r="O98" s="334">
        <v>4</v>
      </c>
      <c r="P98" s="334"/>
      <c r="Q98" s="334"/>
      <c r="R98" s="334"/>
      <c r="S98" s="334"/>
      <c r="T98" s="18"/>
    </row>
    <row r="99" spans="1:20" ht="15" x14ac:dyDescent="0.2">
      <c r="A99" s="882" t="s">
        <v>298</v>
      </c>
      <c r="B99" s="635"/>
      <c r="C99" s="129"/>
      <c r="D99" s="635"/>
      <c r="E99" s="129">
        <f t="shared" si="3"/>
        <v>0</v>
      </c>
      <c r="F99" s="13"/>
      <c r="G99" s="46" t="s">
        <v>370</v>
      </c>
      <c r="H99" s="1825">
        <v>3</v>
      </c>
      <c r="I99" s="477">
        <v>247</v>
      </c>
      <c r="J99" s="46" t="s">
        <v>370</v>
      </c>
      <c r="K99" s="155">
        <v>3</v>
      </c>
      <c r="L99" s="129">
        <v>247</v>
      </c>
      <c r="M99" s="1096"/>
      <c r="N99" s="29"/>
      <c r="O99" s="334"/>
      <c r="P99" s="334"/>
      <c r="Q99" s="334"/>
      <c r="R99" s="334"/>
      <c r="S99" s="334"/>
      <c r="T99" s="18"/>
    </row>
    <row r="100" spans="1:20" ht="14" x14ac:dyDescent="0.2">
      <c r="A100" s="882" t="s">
        <v>299</v>
      </c>
      <c r="B100" s="635"/>
      <c r="C100" s="129"/>
      <c r="D100" s="635"/>
      <c r="E100" s="129">
        <f t="shared" si="3"/>
        <v>0</v>
      </c>
      <c r="F100" s="343"/>
      <c r="G100" s="46" t="s">
        <v>371</v>
      </c>
      <c r="H100" s="1825">
        <v>3</v>
      </c>
      <c r="I100" s="477">
        <v>200.20000000000002</v>
      </c>
      <c r="J100" s="46" t="s">
        <v>371</v>
      </c>
      <c r="K100" s="155">
        <v>3</v>
      </c>
      <c r="L100" s="129">
        <v>200.20000000000002</v>
      </c>
      <c r="M100" s="1096"/>
      <c r="N100" s="29"/>
      <c r="O100" s="334">
        <v>5</v>
      </c>
      <c r="P100" s="334"/>
      <c r="Q100" s="334"/>
      <c r="R100" s="334"/>
      <c r="S100" s="334"/>
      <c r="T100" s="18"/>
    </row>
    <row r="101" spans="1:20" ht="15" x14ac:dyDescent="0.2">
      <c r="A101" s="882" t="s">
        <v>300</v>
      </c>
      <c r="B101" s="635"/>
      <c r="C101" s="129"/>
      <c r="D101" s="635"/>
      <c r="E101" s="129">
        <f t="shared" si="3"/>
        <v>0</v>
      </c>
      <c r="F101" s="13"/>
      <c r="G101" s="46" t="s">
        <v>373</v>
      </c>
      <c r="H101" s="1825">
        <v>3</v>
      </c>
      <c r="I101" s="477">
        <v>130</v>
      </c>
      <c r="J101" s="46" t="s">
        <v>373</v>
      </c>
      <c r="K101" s="155">
        <v>3</v>
      </c>
      <c r="L101" s="129">
        <v>130</v>
      </c>
      <c r="M101" s="1096"/>
      <c r="N101" s="29"/>
      <c r="O101" s="334"/>
      <c r="P101" s="334"/>
      <c r="Q101" s="334"/>
      <c r="R101" s="334"/>
      <c r="S101" s="334"/>
      <c r="T101" s="18"/>
    </row>
    <row r="102" spans="1:20" ht="14" x14ac:dyDescent="0.2">
      <c r="A102" s="882" t="s">
        <v>301</v>
      </c>
      <c r="B102" s="635"/>
      <c r="C102" s="129"/>
      <c r="D102" s="635"/>
      <c r="E102" s="129">
        <f t="shared" si="3"/>
        <v>0</v>
      </c>
      <c r="F102" s="346"/>
      <c r="G102" s="46" t="s">
        <v>909</v>
      </c>
      <c r="H102" s="1825">
        <v>3</v>
      </c>
      <c r="I102" s="477">
        <v>130</v>
      </c>
      <c r="J102" s="46" t="s">
        <v>909</v>
      </c>
      <c r="K102" s="155">
        <v>3</v>
      </c>
      <c r="L102" s="129">
        <v>130</v>
      </c>
      <c r="M102" s="1096"/>
      <c r="N102" s="29"/>
      <c r="O102" s="334">
        <v>2</v>
      </c>
      <c r="P102" s="334"/>
      <c r="Q102" s="334"/>
      <c r="R102" s="334"/>
      <c r="S102" s="334"/>
      <c r="T102" s="18"/>
    </row>
    <row r="103" spans="1:20" ht="14" x14ac:dyDescent="0.2">
      <c r="A103" s="949" t="s">
        <v>302</v>
      </c>
      <c r="B103" s="637">
        <v>1</v>
      </c>
      <c r="C103" s="129">
        <v>150</v>
      </c>
      <c r="D103" s="637">
        <v>1</v>
      </c>
      <c r="E103" s="129">
        <f t="shared" si="3"/>
        <v>150</v>
      </c>
      <c r="F103" s="346"/>
      <c r="G103" s="46" t="s">
        <v>374</v>
      </c>
      <c r="H103" s="1825">
        <v>3</v>
      </c>
      <c r="I103" s="477">
        <v>130</v>
      </c>
      <c r="J103" s="46" t="s">
        <v>374</v>
      </c>
      <c r="K103" s="155">
        <v>3</v>
      </c>
      <c r="L103" s="129">
        <v>130</v>
      </c>
      <c r="M103" s="1096"/>
      <c r="N103" s="29"/>
      <c r="O103" s="334">
        <v>4</v>
      </c>
      <c r="P103" s="334"/>
      <c r="Q103" s="334"/>
      <c r="R103" s="334"/>
      <c r="S103" s="334"/>
      <c r="T103" s="18"/>
    </row>
    <row r="104" spans="1:20" ht="14" x14ac:dyDescent="0.2">
      <c r="A104" s="949" t="s">
        <v>304</v>
      </c>
      <c r="B104" s="637">
        <v>1</v>
      </c>
      <c r="C104" s="129">
        <v>16000</v>
      </c>
      <c r="D104" s="637">
        <v>1</v>
      </c>
      <c r="E104" s="129">
        <f t="shared" si="3"/>
        <v>16000</v>
      </c>
      <c r="F104" s="346"/>
      <c r="G104" s="46" t="s">
        <v>910</v>
      </c>
      <c r="H104" s="1825">
        <v>3</v>
      </c>
      <c r="I104" s="477">
        <v>260</v>
      </c>
      <c r="J104" s="46" t="s">
        <v>910</v>
      </c>
      <c r="K104" s="155">
        <v>3</v>
      </c>
      <c r="L104" s="129">
        <v>260</v>
      </c>
      <c r="M104" s="1096"/>
      <c r="N104" s="29"/>
      <c r="O104" s="334">
        <v>4</v>
      </c>
      <c r="P104" s="334"/>
      <c r="Q104" s="334"/>
      <c r="R104" s="334"/>
      <c r="S104" s="334"/>
      <c r="T104" s="18"/>
    </row>
    <row r="105" spans="1:20" s="315" customFormat="1" ht="14" x14ac:dyDescent="0.2">
      <c r="A105" s="950" t="s">
        <v>864</v>
      </c>
      <c r="B105" s="637">
        <v>1</v>
      </c>
      <c r="C105" s="129">
        <v>200</v>
      </c>
      <c r="D105" s="637">
        <v>1</v>
      </c>
      <c r="E105" s="129">
        <f t="shared" si="3"/>
        <v>200</v>
      </c>
      <c r="F105" s="346"/>
      <c r="G105" s="46" t="s">
        <v>372</v>
      </c>
      <c r="H105" s="1825">
        <v>2</v>
      </c>
      <c r="I105" s="477">
        <v>219.95999999999998</v>
      </c>
      <c r="J105" s="46" t="s">
        <v>372</v>
      </c>
      <c r="K105" s="155">
        <v>2</v>
      </c>
      <c r="L105" s="129">
        <v>219.95999999999998</v>
      </c>
      <c r="M105" s="1096"/>
      <c r="N105" s="319"/>
      <c r="O105" s="334"/>
      <c r="P105" s="334"/>
      <c r="Q105" s="334"/>
      <c r="R105" s="334"/>
      <c r="S105" s="334"/>
      <c r="T105" s="18"/>
    </row>
    <row r="106" spans="1:20" ht="14" x14ac:dyDescent="0.2">
      <c r="A106" s="949" t="s">
        <v>865</v>
      </c>
      <c r="B106" s="637">
        <v>0</v>
      </c>
      <c r="C106" s="129">
        <v>185</v>
      </c>
      <c r="D106" s="637">
        <v>1</v>
      </c>
      <c r="E106" s="129">
        <f t="shared" si="3"/>
        <v>185</v>
      </c>
      <c r="F106" s="346"/>
      <c r="G106" s="79" t="s">
        <v>298</v>
      </c>
      <c r="H106" s="1827">
        <v>2</v>
      </c>
      <c r="I106" s="165">
        <v>219.95999999999998</v>
      </c>
      <c r="J106" s="79" t="s">
        <v>298</v>
      </c>
      <c r="K106" s="155">
        <v>2</v>
      </c>
      <c r="L106" s="129">
        <v>219.95999999999998</v>
      </c>
      <c r="M106" s="1096"/>
      <c r="N106" s="29"/>
      <c r="O106" s="334"/>
      <c r="P106" s="334"/>
      <c r="Q106" s="334"/>
      <c r="R106" s="334"/>
      <c r="S106" s="334"/>
      <c r="T106" s="18"/>
    </row>
    <row r="107" spans="1:20" s="315" customFormat="1" ht="14" x14ac:dyDescent="0.2">
      <c r="A107" s="949" t="s">
        <v>866</v>
      </c>
      <c r="B107" s="637">
        <v>0</v>
      </c>
      <c r="C107" s="129">
        <v>285</v>
      </c>
      <c r="D107" s="637">
        <v>1</v>
      </c>
      <c r="E107" s="129">
        <f t="shared" si="3"/>
        <v>285</v>
      </c>
      <c r="F107" s="346"/>
      <c r="M107" s="1096"/>
      <c r="N107" s="319"/>
      <c r="O107" s="334">
        <v>4</v>
      </c>
      <c r="P107" s="334"/>
      <c r="Q107" s="334"/>
      <c r="R107" s="334"/>
      <c r="S107" s="334"/>
      <c r="T107" s="18"/>
    </row>
    <row r="108" spans="1:20" s="315" customFormat="1" ht="15" x14ac:dyDescent="0.2">
      <c r="A108" s="951" t="s">
        <v>867</v>
      </c>
      <c r="B108" s="638">
        <v>2</v>
      </c>
      <c r="C108" s="320">
        <v>180</v>
      </c>
      <c r="D108" s="638">
        <v>2</v>
      </c>
      <c r="E108" s="129">
        <f t="shared" si="3"/>
        <v>180</v>
      </c>
      <c r="F108" s="346"/>
      <c r="G108" s="1817" t="s">
        <v>2136</v>
      </c>
      <c r="H108" s="1817" t="s">
        <v>2114</v>
      </c>
      <c r="I108" s="1818" t="s">
        <v>2137</v>
      </c>
      <c r="J108" s="1818" t="s">
        <v>1133</v>
      </c>
      <c r="K108" s="1818" t="s">
        <v>2138</v>
      </c>
      <c r="L108" s="169"/>
      <c r="M108" s="1096"/>
      <c r="N108" s="319"/>
      <c r="O108" s="334">
        <v>4</v>
      </c>
      <c r="P108" s="334"/>
      <c r="Q108" s="334"/>
      <c r="R108" s="334"/>
      <c r="S108" s="334"/>
      <c r="T108" s="18"/>
    </row>
    <row r="109" spans="1:20" s="315" customFormat="1" ht="15" x14ac:dyDescent="0.2">
      <c r="A109" s="951" t="s">
        <v>868</v>
      </c>
      <c r="B109" s="638">
        <v>2</v>
      </c>
      <c r="C109" s="320">
        <v>160</v>
      </c>
      <c r="D109" s="638">
        <v>2</v>
      </c>
      <c r="E109" s="129">
        <f t="shared" si="3"/>
        <v>160</v>
      </c>
      <c r="F109" s="1828" t="s">
        <v>2145</v>
      </c>
      <c r="G109" s="1819" t="s">
        <v>1154</v>
      </c>
      <c r="H109" s="1819">
        <v>1</v>
      </c>
      <c r="I109" s="1820">
        <v>24957</v>
      </c>
      <c r="J109" s="1820">
        <v>1664</v>
      </c>
      <c r="K109" s="1821"/>
      <c r="L109" s="169"/>
      <c r="M109" s="1096"/>
      <c r="N109" s="319"/>
      <c r="O109" s="334"/>
      <c r="P109" s="334"/>
      <c r="Q109" s="334"/>
      <c r="R109" s="334"/>
      <c r="S109" s="334"/>
      <c r="T109" s="18"/>
    </row>
    <row r="110" spans="1:20" s="315" customFormat="1" ht="14" x14ac:dyDescent="0.2">
      <c r="A110" s="951" t="s">
        <v>869</v>
      </c>
      <c r="B110" s="637">
        <v>0</v>
      </c>
      <c r="C110" s="129">
        <v>150</v>
      </c>
      <c r="D110" s="637">
        <v>2</v>
      </c>
      <c r="E110" s="129">
        <f t="shared" si="3"/>
        <v>150</v>
      </c>
      <c r="F110" s="343" t="s">
        <v>2144</v>
      </c>
      <c r="G110" s="1819" t="s">
        <v>2139</v>
      </c>
      <c r="H110" s="1819">
        <v>1</v>
      </c>
      <c r="I110" s="1820">
        <v>24957</v>
      </c>
      <c r="J110" s="1820">
        <v>1664</v>
      </c>
      <c r="K110" s="1821"/>
      <c r="L110" s="337"/>
      <c r="M110" s="1096"/>
      <c r="N110" s="319"/>
      <c r="O110" s="334"/>
      <c r="P110" s="334"/>
      <c r="Q110" s="334"/>
      <c r="R110" s="334"/>
      <c r="S110" s="334"/>
      <c r="T110" s="18"/>
    </row>
    <row r="111" spans="1:20" s="315" customFormat="1" ht="15" x14ac:dyDescent="0.2">
      <c r="A111" s="951" t="s">
        <v>870</v>
      </c>
      <c r="B111" s="637">
        <v>2</v>
      </c>
      <c r="C111" s="129">
        <v>145</v>
      </c>
      <c r="D111" s="637"/>
      <c r="E111" s="129">
        <f t="shared" si="3"/>
        <v>145</v>
      </c>
      <c r="F111" s="879"/>
      <c r="G111" s="1819" t="s">
        <v>2140</v>
      </c>
      <c r="H111" s="1819">
        <v>1</v>
      </c>
      <c r="I111" s="1821"/>
      <c r="J111" s="1821"/>
      <c r="K111" s="1820">
        <v>60</v>
      </c>
      <c r="L111" s="337"/>
      <c r="M111" s="334"/>
      <c r="N111" s="334"/>
      <c r="O111" s="334"/>
      <c r="P111" s="334"/>
      <c r="Q111" s="334"/>
      <c r="R111" s="334"/>
      <c r="S111" s="18"/>
    </row>
    <row r="112" spans="1:20" ht="15" x14ac:dyDescent="0.2">
      <c r="A112" s="951" t="s">
        <v>871</v>
      </c>
      <c r="B112" s="637"/>
      <c r="C112" s="129">
        <v>160</v>
      </c>
      <c r="D112" s="637"/>
      <c r="E112" s="129">
        <f t="shared" si="3"/>
        <v>160</v>
      </c>
      <c r="F112" s="879"/>
      <c r="G112" s="1819" t="s">
        <v>2141</v>
      </c>
      <c r="H112" s="1819">
        <v>1</v>
      </c>
      <c r="I112" s="1821"/>
      <c r="J112" s="1820">
        <v>850</v>
      </c>
      <c r="K112" s="1821"/>
      <c r="L112" s="315"/>
      <c r="M112" s="334"/>
      <c r="N112" s="334"/>
      <c r="O112" s="334"/>
      <c r="P112" s="334"/>
      <c r="Q112" s="334"/>
      <c r="R112" s="334"/>
      <c r="S112" s="18"/>
    </row>
    <row r="113" spans="1:23" ht="15" x14ac:dyDescent="0.2">
      <c r="A113" s="882" t="s">
        <v>492</v>
      </c>
      <c r="B113" s="637"/>
      <c r="C113" s="129"/>
      <c r="D113" s="637"/>
      <c r="E113" s="129">
        <f t="shared" si="3"/>
        <v>0</v>
      </c>
      <c r="F113" s="879"/>
      <c r="G113" s="1819" t="s">
        <v>2142</v>
      </c>
      <c r="H113" s="1819">
        <v>1</v>
      </c>
      <c r="I113" s="1822">
        <v>9375</v>
      </c>
      <c r="J113" s="1819"/>
      <c r="K113" s="1819"/>
      <c r="L113" s="315"/>
      <c r="M113" s="334"/>
      <c r="N113" s="334"/>
      <c r="O113" s="334"/>
      <c r="P113" s="334"/>
      <c r="Q113" s="334"/>
      <c r="R113" s="334"/>
      <c r="S113" s="18"/>
    </row>
    <row r="114" spans="1:23" s="315" customFormat="1" ht="15" x14ac:dyDescent="0.2">
      <c r="A114" s="882" t="s">
        <v>493</v>
      </c>
      <c r="B114" s="637"/>
      <c r="C114" s="129"/>
      <c r="D114" s="637"/>
      <c r="E114" s="129">
        <f t="shared" si="3"/>
        <v>0</v>
      </c>
      <c r="F114" s="332"/>
      <c r="G114" s="335"/>
      <c r="H114" s="157"/>
      <c r="I114" s="167"/>
      <c r="J114" s="153"/>
      <c r="K114" s="169"/>
      <c r="L114" s="169"/>
      <c r="M114" s="334"/>
      <c r="N114" s="334"/>
      <c r="O114" s="334"/>
      <c r="P114" s="334"/>
      <c r="Q114" s="334"/>
      <c r="R114" s="334"/>
      <c r="S114" s="18"/>
    </row>
    <row r="115" spans="1:23" s="315" customFormat="1" ht="15" x14ac:dyDescent="0.2">
      <c r="A115" s="882" t="s">
        <v>494</v>
      </c>
      <c r="B115" s="637"/>
      <c r="C115" s="129"/>
      <c r="D115" s="637"/>
      <c r="E115" s="129">
        <f t="shared" si="3"/>
        <v>0</v>
      </c>
      <c r="F115" s="347"/>
      <c r="G115" s="132" t="s">
        <v>2268</v>
      </c>
      <c r="H115" s="1963" t="s">
        <v>719</v>
      </c>
      <c r="I115" s="1964" t="s">
        <v>11</v>
      </c>
      <c r="J115" s="153"/>
      <c r="K115" s="169"/>
      <c r="L115" s="169"/>
      <c r="M115" s="334"/>
      <c r="N115" s="334">
        <v>5</v>
      </c>
      <c r="O115" s="334"/>
      <c r="P115" s="334"/>
      <c r="Q115" s="334"/>
      <c r="R115" s="334"/>
      <c r="S115" s="18"/>
    </row>
    <row r="116" spans="1:23" s="315" customFormat="1" ht="19" x14ac:dyDescent="0.2">
      <c r="A116" s="882" t="s">
        <v>668</v>
      </c>
      <c r="B116" s="637"/>
      <c r="C116" s="129"/>
      <c r="D116" s="637"/>
      <c r="E116" s="129">
        <f t="shared" si="3"/>
        <v>0</v>
      </c>
      <c r="F116" s="347"/>
      <c r="G116" s="335" t="s">
        <v>1178</v>
      </c>
      <c r="H116" s="508">
        <v>950</v>
      </c>
      <c r="I116" s="508">
        <v>1075</v>
      </c>
      <c r="J116" s="153"/>
      <c r="K116" s="169"/>
      <c r="L116" s="169"/>
      <c r="M116" s="334"/>
      <c r="N116" s="334">
        <v>2</v>
      </c>
      <c r="O116" s="334"/>
      <c r="P116" s="334"/>
      <c r="Q116" s="334"/>
      <c r="R116" s="334"/>
      <c r="S116" s="18"/>
    </row>
    <row r="117" spans="1:23" s="315" customFormat="1" ht="15" x14ac:dyDescent="0.2">
      <c r="A117" s="883" t="s">
        <v>667</v>
      </c>
      <c r="B117" s="637"/>
      <c r="C117" s="129"/>
      <c r="D117" s="637"/>
      <c r="E117" s="129">
        <f t="shared" si="3"/>
        <v>0</v>
      </c>
      <c r="F117" s="332"/>
      <c r="G117" s="132" t="s">
        <v>1177</v>
      </c>
      <c r="H117" s="157">
        <v>820.8</v>
      </c>
      <c r="I117" s="167">
        <v>931.2</v>
      </c>
      <c r="J117" s="153"/>
      <c r="K117" s="169"/>
      <c r="L117" s="169"/>
      <c r="M117" s="334"/>
      <c r="N117" s="334"/>
      <c r="O117" s="334"/>
      <c r="P117" s="334"/>
      <c r="Q117" s="334"/>
      <c r="R117" s="334"/>
      <c r="S117" s="18"/>
    </row>
    <row r="118" spans="1:23" ht="15" x14ac:dyDescent="0.2">
      <c r="A118" s="883" t="s">
        <v>497</v>
      </c>
      <c r="B118" s="637"/>
      <c r="C118" s="129"/>
      <c r="D118" s="637"/>
      <c r="E118" s="129">
        <f t="shared" si="3"/>
        <v>0</v>
      </c>
      <c r="F118" s="332"/>
      <c r="M118" s="334"/>
      <c r="N118" s="334"/>
      <c r="O118" s="334"/>
      <c r="P118" s="334"/>
      <c r="Q118" s="334"/>
      <c r="R118" s="334"/>
      <c r="S118" s="18"/>
    </row>
    <row r="119" spans="1:23" ht="15" x14ac:dyDescent="0.2">
      <c r="A119" s="883" t="s">
        <v>498</v>
      </c>
      <c r="B119" s="637"/>
      <c r="C119" s="129"/>
      <c r="D119" s="637"/>
      <c r="E119" s="129">
        <f t="shared" si="3"/>
        <v>0</v>
      </c>
      <c r="F119" s="332"/>
      <c r="G119" s="335"/>
      <c r="I119" s="336"/>
      <c r="J119" s="331"/>
      <c r="K119" s="337"/>
      <c r="L119" s="337"/>
      <c r="M119" s="334"/>
      <c r="N119" s="334"/>
      <c r="O119" s="334"/>
      <c r="P119" s="334"/>
      <c r="Q119" s="334"/>
      <c r="R119" s="334"/>
      <c r="S119" s="18"/>
    </row>
    <row r="120" spans="1:23" ht="15" x14ac:dyDescent="0.2">
      <c r="A120" s="883" t="s">
        <v>499</v>
      </c>
      <c r="B120" s="637"/>
      <c r="C120" s="129"/>
      <c r="D120" s="637"/>
      <c r="E120" s="129">
        <f t="shared" si="3"/>
        <v>0</v>
      </c>
      <c r="F120" s="332"/>
      <c r="G120" s="335"/>
      <c r="I120" s="336"/>
      <c r="J120" s="331"/>
      <c r="K120" s="337"/>
      <c r="L120" s="337"/>
      <c r="M120" s="334"/>
      <c r="N120" s="334"/>
      <c r="O120" s="334"/>
      <c r="P120" s="334"/>
      <c r="Q120" s="334"/>
      <c r="R120" s="334"/>
      <c r="S120" s="18"/>
    </row>
    <row r="121" spans="1:23" ht="14" x14ac:dyDescent="0.2">
      <c r="A121" s="884" t="s">
        <v>305</v>
      </c>
      <c r="B121" s="639"/>
      <c r="C121" s="62"/>
      <c r="D121" s="637"/>
      <c r="E121" s="129">
        <f t="shared" si="3"/>
        <v>0</v>
      </c>
      <c r="F121" s="333"/>
      <c r="G121" s="335"/>
      <c r="H121" s="331"/>
      <c r="I121" s="336"/>
      <c r="J121" s="331"/>
      <c r="K121" s="337"/>
      <c r="L121" s="337"/>
      <c r="M121" s="334"/>
      <c r="N121" s="334"/>
      <c r="O121" s="334"/>
      <c r="P121" s="334"/>
      <c r="Q121" s="334"/>
      <c r="R121" s="334"/>
      <c r="S121" s="18"/>
    </row>
    <row r="122" spans="1:23" ht="15" x14ac:dyDescent="0.2">
      <c r="A122" s="882" t="s">
        <v>502</v>
      </c>
      <c r="B122" s="637"/>
      <c r="C122" s="129"/>
      <c r="D122" s="637"/>
      <c r="E122" s="129">
        <f t="shared" si="3"/>
        <v>0</v>
      </c>
      <c r="F122" s="333"/>
      <c r="G122" s="335"/>
      <c r="H122" s="331"/>
      <c r="I122" s="336"/>
      <c r="J122" s="338"/>
      <c r="K122" s="339"/>
      <c r="L122" s="339"/>
      <c r="M122" s="334"/>
      <c r="N122" s="334"/>
      <c r="O122" s="334"/>
      <c r="P122" s="334"/>
      <c r="Q122" s="334"/>
      <c r="R122" s="334"/>
      <c r="S122" s="46" t="s">
        <v>376</v>
      </c>
      <c r="T122" s="155">
        <v>4</v>
      </c>
      <c r="U122" s="62">
        <v>6500</v>
      </c>
      <c r="V122" s="155">
        <v>5</v>
      </c>
      <c r="W122" s="62">
        <v>6500</v>
      </c>
    </row>
    <row r="123" spans="1:23" ht="15" x14ac:dyDescent="0.2">
      <c r="A123" s="882" t="s">
        <v>313</v>
      </c>
      <c r="B123" s="637"/>
      <c r="C123" s="129"/>
      <c r="D123" s="637"/>
      <c r="E123" s="129">
        <f t="shared" si="3"/>
        <v>0</v>
      </c>
      <c r="F123" s="332"/>
      <c r="G123" s="335"/>
      <c r="H123" s="331"/>
      <c r="I123" s="336"/>
      <c r="J123" s="338"/>
      <c r="K123" s="339"/>
      <c r="L123" s="339"/>
      <c r="M123" s="334"/>
      <c r="N123" s="334"/>
      <c r="O123" s="334"/>
      <c r="P123" s="334"/>
      <c r="Q123" s="334"/>
      <c r="R123" s="334"/>
      <c r="S123" s="18"/>
    </row>
    <row r="124" spans="1:23" ht="15" x14ac:dyDescent="0.2">
      <c r="A124" s="882" t="s">
        <v>500</v>
      </c>
      <c r="B124" s="637"/>
      <c r="C124" s="129"/>
      <c r="D124" s="637"/>
      <c r="E124" s="129">
        <f t="shared" si="3"/>
        <v>0</v>
      </c>
      <c r="F124" s="332"/>
      <c r="G124" s="335"/>
      <c r="H124" s="331"/>
      <c r="I124" s="336"/>
      <c r="J124" s="338"/>
      <c r="K124" s="339"/>
      <c r="L124" s="339"/>
      <c r="M124" s="334"/>
      <c r="N124" s="334"/>
      <c r="O124" s="334"/>
      <c r="P124" s="334"/>
      <c r="Q124" s="334"/>
      <c r="R124" s="334"/>
      <c r="S124" s="330"/>
    </row>
    <row r="125" spans="1:23" s="315" customFormat="1" ht="15" x14ac:dyDescent="0.2">
      <c r="A125" s="882" t="s">
        <v>501</v>
      </c>
      <c r="B125" s="637"/>
      <c r="C125" s="129"/>
      <c r="D125" s="637"/>
      <c r="E125" s="129">
        <f t="shared" si="3"/>
        <v>0</v>
      </c>
      <c r="F125" s="332"/>
      <c r="G125" s="65"/>
      <c r="H125" s="158"/>
      <c r="I125" s="166"/>
      <c r="J125" s="153"/>
      <c r="K125" s="169"/>
      <c r="L125" s="169"/>
      <c r="M125" s="334"/>
      <c r="N125" s="334"/>
      <c r="O125" s="334"/>
      <c r="P125" s="334"/>
      <c r="Q125" s="334"/>
      <c r="R125" s="334"/>
      <c r="S125" s="18"/>
    </row>
    <row r="126" spans="1:23" ht="15" x14ac:dyDescent="0.2">
      <c r="A126" s="884" t="s">
        <v>306</v>
      </c>
      <c r="B126" s="639"/>
      <c r="C126" s="62"/>
      <c r="D126" s="637"/>
      <c r="E126" s="129">
        <f t="shared" si="3"/>
        <v>0</v>
      </c>
      <c r="F126" s="332"/>
      <c r="G126" s="65"/>
      <c r="H126" s="158"/>
      <c r="I126" s="166"/>
      <c r="M126" s="334"/>
      <c r="N126" s="334"/>
      <c r="O126" s="334"/>
      <c r="P126" s="334"/>
      <c r="Q126" s="334"/>
      <c r="R126" s="334"/>
      <c r="S126" s="18"/>
    </row>
    <row r="127" spans="1:23" s="315" customFormat="1" ht="15" x14ac:dyDescent="0.2">
      <c r="A127" s="882" t="s">
        <v>307</v>
      </c>
      <c r="B127" s="637"/>
      <c r="C127" s="129"/>
      <c r="D127" s="637"/>
      <c r="E127" s="129">
        <f t="shared" si="3"/>
        <v>0</v>
      </c>
      <c r="F127" s="332"/>
      <c r="G127" s="65"/>
      <c r="H127" s="158"/>
      <c r="I127" s="166"/>
      <c r="J127" s="153"/>
      <c r="K127" s="169"/>
      <c r="L127" s="169"/>
      <c r="M127" s="334"/>
      <c r="N127" s="334"/>
      <c r="O127" s="334"/>
      <c r="P127" s="334"/>
      <c r="Q127" s="334"/>
      <c r="R127" s="334"/>
      <c r="S127" s="18"/>
    </row>
    <row r="128" spans="1:23" s="315" customFormat="1" ht="15" x14ac:dyDescent="0.2">
      <c r="A128" s="882" t="s">
        <v>308</v>
      </c>
      <c r="B128" s="637"/>
      <c r="C128" s="129"/>
      <c r="D128" s="637"/>
      <c r="E128" s="129">
        <f t="shared" si="3"/>
        <v>0</v>
      </c>
      <c r="F128" s="332"/>
      <c r="G128" s="65"/>
      <c r="H128" s="158"/>
      <c r="I128" s="166"/>
      <c r="J128" s="153"/>
      <c r="K128" s="169"/>
      <c r="L128" s="169"/>
      <c r="M128" s="334"/>
      <c r="N128" s="334"/>
      <c r="O128" s="334"/>
      <c r="P128" s="334"/>
      <c r="Q128" s="334"/>
      <c r="R128" s="334"/>
      <c r="S128" s="18"/>
    </row>
    <row r="129" spans="1:19" s="315" customFormat="1" ht="15" x14ac:dyDescent="0.2">
      <c r="A129" s="883" t="s">
        <v>508</v>
      </c>
      <c r="B129" s="637"/>
      <c r="C129" s="129"/>
      <c r="D129" s="637"/>
      <c r="E129" s="129">
        <f t="shared" si="3"/>
        <v>0</v>
      </c>
      <c r="F129" s="105"/>
      <c r="G129" s="65"/>
      <c r="H129" s="158"/>
      <c r="I129" s="166"/>
      <c r="J129" s="153"/>
      <c r="K129" s="169"/>
      <c r="L129" s="169"/>
      <c r="M129" s="105"/>
      <c r="N129" s="105"/>
      <c r="O129" s="105"/>
      <c r="P129" s="105"/>
      <c r="Q129" s="105"/>
      <c r="R129" s="105"/>
      <c r="S129" s="105"/>
    </row>
    <row r="130" spans="1:19" s="315" customFormat="1" ht="15" x14ac:dyDescent="0.2">
      <c r="A130" s="882" t="s">
        <v>309</v>
      </c>
      <c r="B130" s="637"/>
      <c r="C130" s="129"/>
      <c r="D130" s="637"/>
      <c r="E130" s="129">
        <f t="shared" si="3"/>
        <v>0</v>
      </c>
      <c r="F130" s="105"/>
      <c r="G130" s="65"/>
      <c r="H130" s="158"/>
      <c r="I130" s="166"/>
      <c r="J130" s="153"/>
      <c r="K130" s="169"/>
      <c r="L130" s="169"/>
      <c r="M130" s="105"/>
      <c r="N130" s="105"/>
      <c r="O130" s="105"/>
      <c r="P130" s="105"/>
      <c r="Q130" s="105"/>
      <c r="R130" s="105"/>
      <c r="S130" s="105"/>
    </row>
    <row r="131" spans="1:19" s="315" customFormat="1" ht="15" x14ac:dyDescent="0.2">
      <c r="A131" s="882" t="s">
        <v>310</v>
      </c>
      <c r="B131" s="637"/>
      <c r="C131" s="129"/>
      <c r="D131" s="637"/>
      <c r="E131" s="129">
        <f t="shared" si="3"/>
        <v>0</v>
      </c>
      <c r="F131" s="105"/>
      <c r="G131" s="65"/>
      <c r="H131" s="158"/>
      <c r="I131" s="166"/>
      <c r="J131" s="153"/>
      <c r="K131" s="169"/>
      <c r="L131" s="169"/>
      <c r="M131" s="105"/>
      <c r="N131" s="105"/>
      <c r="O131" s="105"/>
      <c r="P131" s="105"/>
      <c r="Q131" s="105"/>
      <c r="R131" s="105"/>
      <c r="S131" s="105"/>
    </row>
    <row r="132" spans="1:19" s="315" customFormat="1" ht="15" x14ac:dyDescent="0.2">
      <c r="A132" s="882" t="s">
        <v>311</v>
      </c>
      <c r="B132" s="637"/>
      <c r="C132" s="129"/>
      <c r="D132" s="637"/>
      <c r="E132" s="129">
        <f t="shared" si="3"/>
        <v>0</v>
      </c>
      <c r="F132" s="105"/>
      <c r="G132" s="65"/>
      <c r="H132" s="158"/>
      <c r="I132" s="163"/>
      <c r="J132" s="153"/>
      <c r="K132" s="169"/>
      <c r="L132" s="169"/>
      <c r="M132" s="105"/>
      <c r="N132" s="105"/>
      <c r="O132" s="105"/>
      <c r="P132" s="105"/>
      <c r="Q132" s="105"/>
      <c r="R132" s="105"/>
      <c r="S132" s="105"/>
    </row>
    <row r="133" spans="1:19" ht="15" x14ac:dyDescent="0.2">
      <c r="A133" s="882" t="s">
        <v>312</v>
      </c>
      <c r="B133" s="637"/>
      <c r="C133" s="129"/>
      <c r="D133" s="637"/>
      <c r="E133" s="129">
        <f t="shared" si="3"/>
        <v>0</v>
      </c>
      <c r="F133" s="105"/>
      <c r="G133" s="65"/>
      <c r="H133" s="158"/>
      <c r="I133" s="163"/>
      <c r="M133" s="105"/>
      <c r="N133" s="105"/>
      <c r="O133" s="105"/>
      <c r="P133" s="105"/>
      <c r="Q133" s="105"/>
      <c r="R133" s="105"/>
      <c r="S133" s="105"/>
    </row>
    <row r="134" spans="1:19" ht="15" x14ac:dyDescent="0.2">
      <c r="A134" s="883" t="s">
        <v>503</v>
      </c>
      <c r="B134" s="637"/>
      <c r="C134" s="129"/>
      <c r="D134" s="637"/>
      <c r="E134" s="129">
        <f t="shared" si="3"/>
        <v>0</v>
      </c>
      <c r="F134" s="105"/>
      <c r="G134" s="65"/>
      <c r="H134" s="158"/>
      <c r="I134" s="163"/>
      <c r="M134" s="105"/>
      <c r="N134" s="105"/>
      <c r="O134" s="105"/>
      <c r="P134" s="105"/>
      <c r="Q134" s="105"/>
      <c r="R134" s="105"/>
      <c r="S134" s="105"/>
    </row>
    <row r="135" spans="1:19" ht="15" x14ac:dyDescent="0.2">
      <c r="A135" s="883" t="s">
        <v>505</v>
      </c>
      <c r="B135" s="637"/>
      <c r="C135" s="129"/>
      <c r="D135" s="637"/>
      <c r="E135" s="129">
        <f t="shared" si="3"/>
        <v>0</v>
      </c>
      <c r="F135" s="105"/>
      <c r="G135" s="65"/>
      <c r="H135" s="158"/>
      <c r="I135" s="163"/>
      <c r="M135" s="105"/>
      <c r="N135" s="105"/>
      <c r="O135" s="105"/>
      <c r="P135" s="105"/>
      <c r="Q135" s="105"/>
      <c r="R135" s="105"/>
      <c r="S135" s="105"/>
    </row>
    <row r="136" spans="1:19" ht="15" x14ac:dyDescent="0.2">
      <c r="A136" s="883" t="s">
        <v>504</v>
      </c>
      <c r="B136" s="637"/>
      <c r="C136" s="129"/>
      <c r="D136" s="637"/>
      <c r="E136" s="129">
        <f t="shared" si="3"/>
        <v>0</v>
      </c>
      <c r="F136" s="105"/>
      <c r="G136" s="65"/>
      <c r="H136" s="158"/>
      <c r="I136" s="163"/>
      <c r="M136" s="105"/>
      <c r="N136" s="105"/>
      <c r="O136" s="105"/>
      <c r="P136" s="105"/>
      <c r="Q136" s="105"/>
      <c r="R136" s="105"/>
      <c r="S136" s="105"/>
    </row>
    <row r="137" spans="1:19" ht="15" x14ac:dyDescent="0.2">
      <c r="A137" s="65"/>
      <c r="B137" s="65"/>
      <c r="C137" s="105"/>
      <c r="D137" s="1032"/>
      <c r="E137" s="1032"/>
      <c r="F137" s="105"/>
      <c r="G137" s="65"/>
      <c r="H137" s="158"/>
      <c r="I137" s="163"/>
      <c r="M137" s="105"/>
      <c r="N137" s="105"/>
      <c r="O137" s="105"/>
      <c r="P137" s="105"/>
      <c r="Q137" s="105"/>
      <c r="R137" s="105"/>
      <c r="S137" s="105"/>
    </row>
    <row r="138" spans="1:19" ht="15" x14ac:dyDescent="0.2">
      <c r="A138" s="65"/>
      <c r="B138" s="65"/>
      <c r="C138" s="105"/>
      <c r="D138" s="1032"/>
      <c r="E138" s="1032"/>
      <c r="F138" s="105"/>
      <c r="G138" s="65"/>
      <c r="H138" s="158"/>
      <c r="I138" s="163"/>
      <c r="M138" s="105"/>
      <c r="N138" s="105"/>
      <c r="O138" s="105"/>
      <c r="P138" s="105"/>
      <c r="Q138" s="105"/>
      <c r="R138" s="105"/>
      <c r="S138" s="105"/>
    </row>
    <row r="139" spans="1:19" ht="15" x14ac:dyDescent="0.2">
      <c r="A139" s="65"/>
      <c r="B139" s="65"/>
      <c r="C139" s="105"/>
      <c r="D139" s="1032"/>
      <c r="E139" s="1032"/>
      <c r="F139" s="105"/>
      <c r="G139" s="65"/>
      <c r="H139" s="158"/>
      <c r="I139" s="163"/>
      <c r="M139" s="105"/>
      <c r="N139" s="105"/>
      <c r="O139" s="105"/>
      <c r="P139" s="105"/>
      <c r="Q139" s="105"/>
      <c r="R139" s="105"/>
      <c r="S139" s="105"/>
    </row>
    <row r="140" spans="1:19" ht="15" x14ac:dyDescent="0.2">
      <c r="A140" s="65"/>
      <c r="B140" s="65"/>
      <c r="C140" s="105"/>
      <c r="F140" s="105"/>
      <c r="G140" s="65"/>
      <c r="H140" s="158"/>
      <c r="I140" s="163"/>
      <c r="M140" s="105"/>
      <c r="N140" s="105"/>
      <c r="O140" s="105"/>
      <c r="P140" s="105"/>
      <c r="Q140" s="105"/>
      <c r="R140" s="105"/>
      <c r="S140" s="105"/>
    </row>
    <row r="141" spans="1:19" ht="15" hidden="1" x14ac:dyDescent="0.2">
      <c r="A141" s="65"/>
      <c r="B141" s="65"/>
      <c r="C141" s="105"/>
      <c r="F141" s="105"/>
      <c r="G141" s="65"/>
      <c r="H141" s="158"/>
      <c r="I141" s="163"/>
      <c r="M141" s="105"/>
      <c r="N141" s="105"/>
      <c r="O141" s="105"/>
      <c r="P141" s="105"/>
      <c r="Q141" s="105"/>
      <c r="R141" s="105"/>
      <c r="S141" s="105"/>
    </row>
    <row r="142" spans="1:19" ht="15" hidden="1" x14ac:dyDescent="0.2">
      <c r="A142" s="65"/>
      <c r="B142" s="65"/>
      <c r="C142" s="105"/>
      <c r="F142" s="105"/>
      <c r="G142" s="65"/>
      <c r="H142" s="158"/>
      <c r="I142" s="163"/>
      <c r="M142" s="105"/>
      <c r="N142" s="105"/>
      <c r="O142" s="105"/>
      <c r="P142" s="105"/>
      <c r="Q142" s="105"/>
      <c r="R142" s="105"/>
      <c r="S142" s="105"/>
    </row>
    <row r="143" spans="1:19" ht="15" hidden="1" x14ac:dyDescent="0.2">
      <c r="A143" s="65"/>
      <c r="B143" s="65"/>
      <c r="C143" s="105"/>
      <c r="F143" s="105"/>
      <c r="G143" s="65"/>
      <c r="H143" s="158"/>
      <c r="I143" s="163"/>
      <c r="M143" s="105"/>
      <c r="N143" s="105"/>
      <c r="O143" s="105"/>
      <c r="P143" s="105"/>
      <c r="Q143" s="105"/>
      <c r="R143" s="105"/>
      <c r="S143" s="105"/>
    </row>
    <row r="144" spans="1:19" ht="15" hidden="1" x14ac:dyDescent="0.2">
      <c r="A144" s="65"/>
      <c r="B144" s="65"/>
      <c r="C144" s="105"/>
      <c r="F144" s="105"/>
      <c r="G144" s="65"/>
      <c r="H144" s="158"/>
      <c r="I144" s="163"/>
      <c r="M144" s="105"/>
      <c r="N144" s="105"/>
      <c r="O144" s="105"/>
      <c r="P144" s="105"/>
      <c r="Q144" s="105"/>
      <c r="R144" s="105"/>
      <c r="S144" s="105"/>
    </row>
    <row r="145" spans="1:19" ht="15" hidden="1" x14ac:dyDescent="0.2">
      <c r="A145" s="65"/>
      <c r="B145" s="65"/>
      <c r="C145" s="105"/>
      <c r="F145" s="105"/>
      <c r="G145" s="65"/>
      <c r="H145" s="158"/>
      <c r="I145" s="163"/>
      <c r="M145" s="105"/>
      <c r="N145" s="105"/>
      <c r="O145" s="105"/>
      <c r="P145" s="105"/>
      <c r="Q145" s="105"/>
      <c r="R145" s="105"/>
      <c r="S145" s="105"/>
    </row>
    <row r="146" spans="1:19" ht="15" hidden="1" x14ac:dyDescent="0.2">
      <c r="A146" s="65"/>
      <c r="B146" s="65"/>
      <c r="C146" s="105"/>
      <c r="F146" s="105"/>
      <c r="G146" s="65"/>
      <c r="H146" s="158"/>
      <c r="I146" s="163"/>
      <c r="M146" s="105"/>
      <c r="N146" s="105"/>
      <c r="O146" s="105"/>
      <c r="P146" s="105"/>
      <c r="Q146" s="105"/>
      <c r="R146" s="105"/>
      <c r="S146" s="105"/>
    </row>
    <row r="147" spans="1:19" ht="15" hidden="1" x14ac:dyDescent="0.2">
      <c r="A147" s="65"/>
      <c r="B147" s="65"/>
      <c r="C147" s="105"/>
      <c r="F147" s="105"/>
      <c r="G147" s="91" t="s">
        <v>314</v>
      </c>
      <c r="H147" s="159"/>
      <c r="I147" s="163"/>
      <c r="M147" s="105"/>
      <c r="N147" s="105"/>
      <c r="O147" s="105"/>
      <c r="P147" s="105"/>
      <c r="Q147" s="105"/>
      <c r="R147" s="105"/>
      <c r="S147" s="105"/>
    </row>
    <row r="148" spans="1:19" ht="15" hidden="1" x14ac:dyDescent="0.2">
      <c r="A148" s="65"/>
      <c r="B148" s="65"/>
      <c r="C148" s="105"/>
      <c r="F148" s="105"/>
      <c r="G148" s="65" t="s">
        <v>303</v>
      </c>
      <c r="H148" s="158"/>
      <c r="I148" s="163"/>
      <c r="M148" s="105"/>
      <c r="N148" s="105"/>
      <c r="O148" s="105"/>
      <c r="P148" s="105"/>
      <c r="Q148" s="105"/>
      <c r="R148" s="105"/>
      <c r="S148" s="105"/>
    </row>
    <row r="149" spans="1:19" ht="15" hidden="1" x14ac:dyDescent="0.2">
      <c r="A149" s="65"/>
      <c r="B149" s="65"/>
      <c r="C149" s="105"/>
      <c r="F149" s="105"/>
      <c r="G149" s="65" t="s">
        <v>302</v>
      </c>
      <c r="H149" s="158"/>
      <c r="I149" s="163"/>
      <c r="M149" s="105"/>
      <c r="N149" s="105"/>
      <c r="O149" s="105"/>
      <c r="P149" s="105"/>
      <c r="Q149" s="105"/>
      <c r="R149" s="105"/>
      <c r="S149" s="105"/>
    </row>
    <row r="150" spans="1:19" ht="15" hidden="1" x14ac:dyDescent="0.2">
      <c r="A150" s="65"/>
      <c r="B150" s="65"/>
      <c r="C150" s="105"/>
      <c r="F150" s="105"/>
      <c r="G150" s="65" t="s">
        <v>315</v>
      </c>
      <c r="H150" s="158"/>
      <c r="I150" s="163"/>
      <c r="M150" s="105"/>
      <c r="N150" s="105"/>
      <c r="O150" s="105"/>
      <c r="P150" s="105"/>
      <c r="Q150" s="105"/>
      <c r="R150" s="105"/>
      <c r="S150" s="105"/>
    </row>
    <row r="151" spans="1:19" ht="15" hidden="1" x14ac:dyDescent="0.2">
      <c r="A151" s="91" t="s">
        <v>314</v>
      </c>
      <c r="B151" s="91"/>
      <c r="C151" s="105"/>
      <c r="F151" s="105"/>
      <c r="G151" s="65" t="s">
        <v>316</v>
      </c>
      <c r="H151" s="158"/>
      <c r="I151" s="163"/>
      <c r="M151" s="105"/>
      <c r="N151" s="105"/>
      <c r="O151" s="105"/>
      <c r="P151" s="105"/>
      <c r="Q151" s="105"/>
      <c r="R151" s="105"/>
      <c r="S151" s="105"/>
    </row>
    <row r="152" spans="1:19" ht="15" hidden="1" x14ac:dyDescent="0.2">
      <c r="A152" s="65" t="s">
        <v>303</v>
      </c>
      <c r="B152" s="65"/>
      <c r="C152" s="105"/>
      <c r="F152" s="105"/>
      <c r="G152" s="65" t="s">
        <v>317</v>
      </c>
      <c r="H152" s="158"/>
      <c r="I152" s="163"/>
      <c r="M152" s="105"/>
      <c r="N152" s="105"/>
      <c r="O152" s="105"/>
      <c r="P152" s="105"/>
      <c r="Q152" s="105"/>
      <c r="R152" s="105"/>
      <c r="S152" s="105"/>
    </row>
    <row r="153" spans="1:19" ht="15" hidden="1" x14ac:dyDescent="0.2">
      <c r="A153" s="65" t="s">
        <v>302</v>
      </c>
      <c r="B153" s="65"/>
      <c r="C153" s="105"/>
      <c r="F153" s="105"/>
      <c r="G153" s="65" t="s">
        <v>318</v>
      </c>
      <c r="H153" s="158"/>
      <c r="I153" s="163"/>
      <c r="M153" s="105"/>
      <c r="N153" s="105"/>
      <c r="O153" s="105"/>
      <c r="P153" s="105"/>
      <c r="Q153" s="105"/>
      <c r="R153" s="105"/>
      <c r="S153" s="105"/>
    </row>
    <row r="154" spans="1:19" ht="15" hidden="1" x14ac:dyDescent="0.2">
      <c r="A154" s="65" t="s">
        <v>315</v>
      </c>
      <c r="B154" s="65"/>
      <c r="C154" s="105"/>
      <c r="F154" s="105"/>
      <c r="G154" s="65" t="s">
        <v>319</v>
      </c>
      <c r="H154" s="158"/>
      <c r="I154" s="163"/>
      <c r="M154" s="105"/>
      <c r="N154" s="105"/>
      <c r="O154" s="105"/>
      <c r="P154" s="105"/>
      <c r="Q154" s="105"/>
      <c r="R154" s="105"/>
      <c r="S154" s="105"/>
    </row>
    <row r="155" spans="1:19" ht="15" hidden="1" x14ac:dyDescent="0.2">
      <c r="A155" s="65" t="s">
        <v>316</v>
      </c>
      <c r="B155" s="65"/>
      <c r="C155" s="105"/>
      <c r="F155" s="105"/>
      <c r="G155" s="65" t="s">
        <v>320</v>
      </c>
      <c r="H155" s="158"/>
      <c r="I155" s="163"/>
      <c r="M155" s="105"/>
      <c r="N155" s="105"/>
      <c r="O155" s="105"/>
      <c r="P155" s="105"/>
      <c r="Q155" s="105"/>
      <c r="R155" s="105"/>
      <c r="S155" s="105"/>
    </row>
    <row r="156" spans="1:19" ht="15" hidden="1" x14ac:dyDescent="0.2">
      <c r="A156" s="65" t="s">
        <v>317</v>
      </c>
      <c r="B156" s="65"/>
      <c r="C156" s="105"/>
      <c r="F156" s="105"/>
      <c r="M156" s="105"/>
      <c r="N156" s="105"/>
      <c r="O156" s="105"/>
      <c r="P156" s="105"/>
      <c r="Q156" s="105"/>
      <c r="R156" s="105"/>
      <c r="S156" s="105"/>
    </row>
    <row r="157" spans="1:19" ht="15" hidden="1" x14ac:dyDescent="0.2">
      <c r="A157" s="65" t="s">
        <v>318</v>
      </c>
      <c r="B157" s="65"/>
      <c r="C157" s="105"/>
      <c r="F157" s="105"/>
      <c r="M157" s="105"/>
      <c r="N157" s="105"/>
      <c r="O157" s="105"/>
      <c r="P157" s="105"/>
      <c r="Q157" s="105"/>
      <c r="R157" s="105"/>
      <c r="S157" s="105"/>
    </row>
    <row r="158" spans="1:19" ht="15" hidden="1" x14ac:dyDescent="0.2">
      <c r="A158" s="65" t="s">
        <v>319</v>
      </c>
      <c r="B158" s="65"/>
      <c r="C158" s="105"/>
      <c r="F158" s="105"/>
      <c r="M158" s="105"/>
      <c r="N158" s="105"/>
      <c r="O158" s="105"/>
      <c r="P158" s="105"/>
      <c r="Q158" s="105"/>
      <c r="R158" s="105"/>
      <c r="S158" s="105"/>
    </row>
    <row r="159" spans="1:19" ht="15" hidden="1" x14ac:dyDescent="0.2">
      <c r="A159" s="65" t="s">
        <v>320</v>
      </c>
      <c r="B159" s="65"/>
      <c r="C159" s="105"/>
      <c r="F159" s="105"/>
      <c r="M159" s="105"/>
      <c r="N159" s="105"/>
      <c r="O159" s="105"/>
      <c r="P159" s="105"/>
      <c r="Q159" s="105"/>
      <c r="R159" s="105"/>
      <c r="S159" s="105"/>
    </row>
    <row r="160" spans="1:19" ht="15" hidden="1" customHeight="1" x14ac:dyDescent="0.2"/>
    <row r="161" ht="15" hidden="1" customHeight="1" x14ac:dyDescent="0.2"/>
    <row r="162" ht="15" hidden="1" customHeight="1" x14ac:dyDescent="0.2"/>
    <row r="163" ht="15" hidden="1" customHeight="1" x14ac:dyDescent="0.2"/>
    <row r="164" ht="15" hidden="1" customHeight="1" x14ac:dyDescent="0.2"/>
  </sheetData>
  <mergeCells count="12">
    <mergeCell ref="B12:F12"/>
    <mergeCell ref="I12:N12"/>
    <mergeCell ref="B79:E79"/>
    <mergeCell ref="H79:K79"/>
    <mergeCell ref="B80:C80"/>
    <mergeCell ref="D80:E80"/>
    <mergeCell ref="B2:E2"/>
    <mergeCell ref="H2:K2"/>
    <mergeCell ref="B3:C3"/>
    <mergeCell ref="D3:E3"/>
    <mergeCell ref="H3:I3"/>
    <mergeCell ref="J3:K3"/>
  </mergeCells>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enableFormatConditionsCalculation="0"/>
  <dimension ref="A1:L24"/>
  <sheetViews>
    <sheetView showGridLines="0" workbookViewId="0">
      <selection activeCell="C13" sqref="C13"/>
    </sheetView>
  </sheetViews>
  <sheetFormatPr baseColWidth="10" defaultColWidth="0" defaultRowHeight="15" customHeight="1" zeroHeight="1" x14ac:dyDescent="0.15"/>
  <cols>
    <col min="1" max="1" width="42.33203125" customWidth="1"/>
    <col min="2" max="2" width="13.33203125" customWidth="1"/>
    <col min="3" max="3" width="12.1640625" customWidth="1"/>
    <col min="4" max="12" width="9.83203125" customWidth="1"/>
    <col min="13" max="16384" width="9.83203125" hidden="1"/>
  </cols>
  <sheetData>
    <row r="1" spans="1:11" ht="15" customHeight="1" thickBot="1" x14ac:dyDescent="0.25">
      <c r="A1" s="885"/>
      <c r="B1" s="885"/>
      <c r="C1" s="885"/>
      <c r="D1" s="105"/>
      <c r="E1" s="105"/>
      <c r="F1" s="105"/>
    </row>
    <row r="2" spans="1:11" ht="15" customHeight="1" x14ac:dyDescent="0.2">
      <c r="A2" s="886" t="s">
        <v>185</v>
      </c>
      <c r="B2" s="887" t="s">
        <v>177</v>
      </c>
      <c r="C2" s="1835">
        <v>3203.5</v>
      </c>
      <c r="D2" s="309"/>
      <c r="E2" s="105">
        <v>0.86</v>
      </c>
      <c r="F2" s="105"/>
    </row>
    <row r="3" spans="1:11" ht="15" customHeight="1" x14ac:dyDescent="0.2">
      <c r="A3" s="888" t="s">
        <v>186</v>
      </c>
      <c r="B3" s="889" t="s">
        <v>177</v>
      </c>
      <c r="C3" s="1836">
        <v>2214.5</v>
      </c>
      <c r="D3" s="309"/>
      <c r="E3" s="105"/>
      <c r="F3" s="105"/>
    </row>
    <row r="4" spans="1:11" s="315" customFormat="1" ht="15" customHeight="1" x14ac:dyDescent="0.2">
      <c r="A4" s="888" t="s">
        <v>506</v>
      </c>
      <c r="B4" s="891" t="s">
        <v>199</v>
      </c>
      <c r="C4" s="890">
        <v>67000</v>
      </c>
      <c r="D4" s="309"/>
      <c r="E4" s="105"/>
      <c r="F4" s="105"/>
    </row>
    <row r="5" spans="1:11" s="315" customFormat="1" ht="15" customHeight="1" x14ac:dyDescent="0.2">
      <c r="A5" s="888" t="s">
        <v>507</v>
      </c>
      <c r="B5" s="891" t="s">
        <v>199</v>
      </c>
      <c r="C5" s="890">
        <v>67000</v>
      </c>
      <c r="D5" s="309"/>
      <c r="E5" s="105"/>
      <c r="F5" s="105"/>
    </row>
    <row r="6" spans="1:11" ht="15" customHeight="1" x14ac:dyDescent="0.2">
      <c r="A6" s="888" t="s">
        <v>673</v>
      </c>
      <c r="B6" s="889" t="s">
        <v>187</v>
      </c>
      <c r="C6" s="890">
        <v>1097.5</v>
      </c>
      <c r="D6" s="309"/>
      <c r="E6" s="105"/>
      <c r="F6" s="105"/>
    </row>
    <row r="7" spans="1:11" ht="15" customHeight="1" x14ac:dyDescent="0.2">
      <c r="A7" s="888" t="s">
        <v>674</v>
      </c>
      <c r="B7" s="889" t="s">
        <v>188</v>
      </c>
      <c r="C7" s="890">
        <v>351.25</v>
      </c>
      <c r="D7" s="309"/>
      <c r="E7" s="105"/>
      <c r="F7" s="105"/>
    </row>
    <row r="8" spans="1:11" s="315" customFormat="1" ht="15" customHeight="1" x14ac:dyDescent="0.2">
      <c r="A8" s="888" t="s">
        <v>1108</v>
      </c>
      <c r="B8" s="889" t="s">
        <v>187</v>
      </c>
      <c r="C8" s="890">
        <v>2900</v>
      </c>
      <c r="D8" s="309"/>
      <c r="E8" s="105"/>
      <c r="F8" s="105"/>
    </row>
    <row r="9" spans="1:11" ht="15" customHeight="1" x14ac:dyDescent="0.2">
      <c r="A9" s="1473" t="s">
        <v>1103</v>
      </c>
      <c r="B9" s="889"/>
      <c r="C9" s="892"/>
      <c r="D9" s="309"/>
      <c r="E9" s="105"/>
      <c r="F9" s="105"/>
    </row>
    <row r="10" spans="1:11" ht="15" customHeight="1" x14ac:dyDescent="0.2">
      <c r="A10" s="888" t="s">
        <v>1104</v>
      </c>
      <c r="B10" s="889" t="s">
        <v>177</v>
      </c>
      <c r="C10" s="1836">
        <v>879.78</v>
      </c>
      <c r="D10" s="309"/>
      <c r="E10" s="105"/>
      <c r="F10" s="105"/>
    </row>
    <row r="11" spans="1:11" ht="15" customHeight="1" x14ac:dyDescent="0.2">
      <c r="A11" s="888" t="s">
        <v>1105</v>
      </c>
      <c r="B11" s="889" t="s">
        <v>177</v>
      </c>
      <c r="C11" s="1836">
        <v>1173.04</v>
      </c>
      <c r="D11" s="309"/>
      <c r="E11" s="105"/>
      <c r="F11" s="105"/>
    </row>
    <row r="12" spans="1:11" ht="15" customHeight="1" x14ac:dyDescent="0.2">
      <c r="A12" s="888" t="s">
        <v>1106</v>
      </c>
      <c r="B12" s="889" t="s">
        <v>177</v>
      </c>
      <c r="C12" s="1836">
        <v>244.24</v>
      </c>
      <c r="D12" s="309"/>
      <c r="E12" s="105"/>
      <c r="F12" s="105"/>
    </row>
    <row r="13" spans="1:11" ht="15" customHeight="1" x14ac:dyDescent="0.2">
      <c r="A13" s="888" t="s">
        <v>1107</v>
      </c>
      <c r="B13" s="889" t="s">
        <v>177</v>
      </c>
      <c r="C13" s="1836">
        <v>391.3</v>
      </c>
      <c r="D13" s="309"/>
      <c r="E13" s="105"/>
      <c r="F13" s="105"/>
      <c r="H13" s="629"/>
      <c r="I13" s="629"/>
      <c r="J13" s="629"/>
      <c r="K13" s="629"/>
    </row>
    <row r="14" spans="1:11" ht="15" customHeight="1" x14ac:dyDescent="0.2">
      <c r="A14" s="893" t="s">
        <v>672</v>
      </c>
      <c r="B14" s="889" t="s">
        <v>177</v>
      </c>
      <c r="C14" s="1836">
        <v>236.5</v>
      </c>
      <c r="D14" s="1308" t="s">
        <v>1011</v>
      </c>
      <c r="E14" s="1308"/>
      <c r="F14" s="1308"/>
      <c r="G14" s="1309"/>
      <c r="H14" s="1310"/>
      <c r="I14" s="1310"/>
      <c r="J14" s="1310"/>
      <c r="K14" s="1310"/>
    </row>
    <row r="15" spans="1:11" ht="15" customHeight="1" x14ac:dyDescent="0.2">
      <c r="A15" s="893" t="s">
        <v>534</v>
      </c>
      <c r="B15" s="889" t="s">
        <v>177</v>
      </c>
      <c r="C15" s="1836">
        <v>258</v>
      </c>
      <c r="D15" s="2498" t="s">
        <v>1012</v>
      </c>
      <c r="E15" s="2498"/>
      <c r="F15" s="2498"/>
      <c r="G15" s="2499"/>
      <c r="H15" s="630"/>
      <c r="I15" s="630"/>
      <c r="J15" s="630"/>
      <c r="K15" s="630"/>
    </row>
    <row r="16" spans="1:11" ht="15" customHeight="1" x14ac:dyDescent="0.2">
      <c r="A16" s="894" t="s">
        <v>189</v>
      </c>
      <c r="B16" s="895"/>
      <c r="C16" s="892"/>
      <c r="D16" s="1366" t="s">
        <v>395</v>
      </c>
      <c r="E16" s="900" t="s">
        <v>397</v>
      </c>
      <c r="F16" s="900" t="s">
        <v>670</v>
      </c>
      <c r="G16" s="900" t="s">
        <v>669</v>
      </c>
      <c r="H16" s="591"/>
      <c r="I16" s="591"/>
      <c r="J16" s="591"/>
      <c r="K16" s="591"/>
    </row>
    <row r="17" spans="1:11" ht="15" customHeight="1" x14ac:dyDescent="0.2">
      <c r="A17" s="888" t="s">
        <v>190</v>
      </c>
      <c r="B17" s="895" t="s">
        <v>191</v>
      </c>
      <c r="C17" s="890">
        <v>1450</v>
      </c>
      <c r="D17" s="1370"/>
      <c r="E17" s="148"/>
      <c r="F17" s="148"/>
      <c r="G17" s="901"/>
      <c r="H17" s="629"/>
      <c r="I17" s="629"/>
      <c r="J17" s="629"/>
      <c r="K17" s="629"/>
    </row>
    <row r="18" spans="1:11" ht="15" customHeight="1" x14ac:dyDescent="0.2">
      <c r="A18" s="888" t="s">
        <v>192</v>
      </c>
      <c r="B18" s="895" t="s">
        <v>193</v>
      </c>
      <c r="C18" s="890">
        <v>1050</v>
      </c>
      <c r="D18" s="1370">
        <v>9</v>
      </c>
      <c r="E18" s="148">
        <v>9</v>
      </c>
      <c r="F18" s="148">
        <v>9</v>
      </c>
      <c r="G18" s="901">
        <v>9</v>
      </c>
      <c r="H18" s="629"/>
      <c r="I18" s="629"/>
      <c r="J18" s="629"/>
      <c r="K18" s="629"/>
    </row>
    <row r="19" spans="1:11" ht="15" customHeight="1" x14ac:dyDescent="0.2">
      <c r="A19" s="888" t="s">
        <v>194</v>
      </c>
      <c r="B19" s="895" t="s">
        <v>193</v>
      </c>
      <c r="C19" s="890">
        <v>950</v>
      </c>
      <c r="D19" s="1370">
        <v>10</v>
      </c>
      <c r="E19" s="148">
        <v>5</v>
      </c>
      <c r="F19" s="148"/>
      <c r="G19" s="901"/>
      <c r="H19" s="629"/>
      <c r="I19" s="629"/>
      <c r="J19" s="629"/>
      <c r="K19" s="629"/>
    </row>
    <row r="20" spans="1:11" ht="15" customHeight="1" x14ac:dyDescent="0.2">
      <c r="A20" s="888" t="s">
        <v>195</v>
      </c>
      <c r="B20" s="895" t="s">
        <v>193</v>
      </c>
      <c r="C20" s="890">
        <v>950</v>
      </c>
      <c r="D20" s="1370"/>
      <c r="E20" s="148">
        <v>5</v>
      </c>
      <c r="F20" s="148">
        <v>10</v>
      </c>
      <c r="G20" s="901">
        <v>10</v>
      </c>
      <c r="H20" s="629"/>
      <c r="I20" s="629"/>
      <c r="J20" s="629"/>
      <c r="K20" s="629"/>
    </row>
    <row r="21" spans="1:11" ht="15" customHeight="1" x14ac:dyDescent="0.2">
      <c r="A21" s="888" t="s">
        <v>196</v>
      </c>
      <c r="B21" s="896" t="s">
        <v>197</v>
      </c>
      <c r="C21" s="890">
        <v>7500</v>
      </c>
      <c r="D21" s="309"/>
      <c r="E21" s="105"/>
      <c r="F21" s="105"/>
      <c r="H21" s="629"/>
      <c r="I21" s="629"/>
      <c r="J21" s="629"/>
      <c r="K21" s="629"/>
    </row>
    <row r="22" spans="1:11" ht="15" customHeight="1" thickBot="1" x14ac:dyDescent="0.25">
      <c r="A22" s="897" t="s">
        <v>198</v>
      </c>
      <c r="B22" s="898" t="s">
        <v>197</v>
      </c>
      <c r="C22" s="899">
        <v>800</v>
      </c>
      <c r="D22" s="309"/>
      <c r="E22" s="105"/>
      <c r="F22" s="105"/>
      <c r="H22" s="629"/>
      <c r="I22" s="629"/>
      <c r="J22" s="629"/>
      <c r="K22" s="629"/>
    </row>
    <row r="23" spans="1:11" ht="15" customHeight="1" thickBot="1" x14ac:dyDescent="0.2">
      <c r="A23" s="1339"/>
      <c r="B23" s="1340"/>
      <c r="C23" s="1341"/>
    </row>
    <row r="24" spans="1:11" ht="15" customHeight="1" x14ac:dyDescent="0.15"/>
  </sheetData>
  <mergeCells count="1">
    <mergeCell ref="D15:G15"/>
  </mergeCell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E14"/>
  <sheetViews>
    <sheetView showGridLines="0" workbookViewId="0">
      <selection activeCell="D4" sqref="D4"/>
    </sheetView>
  </sheetViews>
  <sheetFormatPr baseColWidth="10" defaultColWidth="0" defaultRowHeight="12.75" customHeight="1" zeroHeight="1" x14ac:dyDescent="0.15"/>
  <cols>
    <col min="1" max="1" width="45.5" customWidth="1"/>
    <col min="2" max="2" width="5.5" customWidth="1"/>
    <col min="3" max="4" width="17.1640625" customWidth="1"/>
    <col min="5" max="5" width="5.6640625" customWidth="1"/>
    <col min="6" max="16384" width="17.1640625" hidden="1"/>
  </cols>
  <sheetData>
    <row r="1" spans="1:4" ht="12.75" customHeight="1" x14ac:dyDescent="0.15"/>
    <row r="2" spans="1:4" ht="12.75" customHeight="1" x14ac:dyDescent="0.15">
      <c r="A2" s="132" t="s">
        <v>239</v>
      </c>
      <c r="C2" t="s">
        <v>54</v>
      </c>
      <c r="D2" s="563">
        <f>69300/31</f>
        <v>2235.483870967742</v>
      </c>
    </row>
    <row r="3" spans="1:4" ht="12.75" customHeight="1" x14ac:dyDescent="0.15">
      <c r="A3" t="s">
        <v>240</v>
      </c>
      <c r="C3" t="s">
        <v>59</v>
      </c>
      <c r="D3" s="563">
        <f>69300/31</f>
        <v>2235.483870967742</v>
      </c>
    </row>
    <row r="4" spans="1:4" ht="12.75" customHeight="1" x14ac:dyDescent="0.15"/>
    <row r="5" spans="1:4" ht="41" customHeight="1" x14ac:dyDescent="0.15">
      <c r="A5" s="1326" t="s">
        <v>1056</v>
      </c>
    </row>
    <row r="6" spans="1:4" ht="12.75" customHeight="1" x14ac:dyDescent="0.15"/>
    <row r="7" spans="1:4" ht="12.75" hidden="1" customHeight="1" x14ac:dyDescent="0.15"/>
    <row r="8" spans="1:4" ht="12.75" hidden="1" customHeight="1" x14ac:dyDescent="0.15"/>
    <row r="9" spans="1:4" ht="12.75" hidden="1" customHeight="1" x14ac:dyDescent="0.15"/>
    <row r="10" spans="1:4" ht="12.75" hidden="1" customHeight="1" x14ac:dyDescent="0.15">
      <c r="A10">
        <f>11000+34000</f>
        <v>45000</v>
      </c>
    </row>
    <row r="11" spans="1:4" ht="12.75" hidden="1" customHeight="1" x14ac:dyDescent="0.15">
      <c r="A11">
        <f>A10/30</f>
        <v>1500</v>
      </c>
    </row>
    <row r="12" spans="1:4" ht="12.75" hidden="1" customHeight="1" x14ac:dyDescent="0.15"/>
    <row r="13" spans="1:4" ht="12.75" hidden="1" customHeight="1" x14ac:dyDescent="0.15">
      <c r="A13">
        <f>34000+50000</f>
        <v>84000</v>
      </c>
    </row>
    <row r="14" spans="1:4" ht="12.75" hidden="1" customHeight="1" x14ac:dyDescent="0.15">
      <c r="A14">
        <f>A13/30</f>
        <v>2800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enableFormatConditionsCalculation="0"/>
  <dimension ref="A1:P60"/>
  <sheetViews>
    <sheetView topLeftCell="A47" workbookViewId="0">
      <selection activeCell="E51" sqref="E51"/>
    </sheetView>
  </sheetViews>
  <sheetFormatPr baseColWidth="10" defaultColWidth="9.83203125" defaultRowHeight="15" customHeight="1" x14ac:dyDescent="0.15"/>
  <cols>
    <col min="1" max="1" width="17.5" customWidth="1"/>
    <col min="2" max="2" width="19.1640625" customWidth="1"/>
    <col min="3" max="3" width="23.6640625" customWidth="1"/>
    <col min="4" max="4" width="16.1640625" bestFit="1" customWidth="1"/>
    <col min="5" max="5" width="19.5" bestFit="1" customWidth="1"/>
    <col min="6" max="6" width="21.1640625" customWidth="1"/>
    <col min="7" max="7" width="16.5" customWidth="1"/>
    <col min="8" max="8" width="14.83203125" bestFit="1" customWidth="1"/>
  </cols>
  <sheetData>
    <row r="1" spans="1:16" ht="15.75" customHeight="1" x14ac:dyDescent="0.2">
      <c r="A1" s="682"/>
      <c r="B1" s="34"/>
      <c r="C1" s="34"/>
      <c r="D1" s="34"/>
      <c r="E1" s="34"/>
      <c r="F1" s="34"/>
      <c r="G1" s="34"/>
      <c r="H1" s="34"/>
      <c r="I1" s="34"/>
      <c r="J1" s="34"/>
      <c r="K1" s="34"/>
      <c r="L1" s="34"/>
      <c r="M1" s="34"/>
      <c r="N1" s="34"/>
      <c r="O1" s="34"/>
      <c r="P1" s="34"/>
    </row>
    <row r="2" spans="1:16" ht="18.75" customHeight="1" x14ac:dyDescent="0.15">
      <c r="A2" s="2500" t="s">
        <v>331</v>
      </c>
      <c r="B2" s="2501"/>
      <c r="C2" s="2502" t="s">
        <v>332</v>
      </c>
      <c r="D2" s="2503"/>
      <c r="E2" s="2503"/>
      <c r="F2" s="2503"/>
      <c r="G2" s="2503"/>
      <c r="H2" s="2503"/>
      <c r="I2" s="2504"/>
      <c r="J2" s="2505" t="s">
        <v>333</v>
      </c>
      <c r="K2" s="2503"/>
      <c r="L2" s="2503"/>
      <c r="M2" s="2503"/>
      <c r="N2" s="2503"/>
      <c r="O2" s="2503"/>
      <c r="P2" s="2506"/>
    </row>
    <row r="3" spans="1:16" ht="15.75" customHeight="1" x14ac:dyDescent="0.15">
      <c r="A3" s="63" t="s">
        <v>181</v>
      </c>
      <c r="B3" s="63" t="s">
        <v>148</v>
      </c>
      <c r="C3" s="1204" t="s">
        <v>79</v>
      </c>
      <c r="D3" s="1205" t="s">
        <v>902</v>
      </c>
      <c r="E3" s="1205" t="s">
        <v>903</v>
      </c>
      <c r="F3" s="1016" t="s">
        <v>66</v>
      </c>
      <c r="G3" s="38" t="s">
        <v>328</v>
      </c>
      <c r="H3" s="38" t="s">
        <v>74</v>
      </c>
      <c r="I3" s="71" t="s">
        <v>77</v>
      </c>
      <c r="J3" s="1">
        <v>3</v>
      </c>
      <c r="K3" s="38">
        <v>4</v>
      </c>
      <c r="L3" s="38">
        <v>5</v>
      </c>
      <c r="M3" s="38">
        <v>8</v>
      </c>
      <c r="N3" s="38">
        <v>10</v>
      </c>
      <c r="O3" s="38">
        <v>12</v>
      </c>
      <c r="P3" s="71">
        <v>14</v>
      </c>
    </row>
    <row r="4" spans="1:16" ht="14" x14ac:dyDescent="0.15">
      <c r="A4" s="64" t="s">
        <v>212</v>
      </c>
      <c r="B4" s="564">
        <v>8300</v>
      </c>
      <c r="C4" s="1206">
        <v>75</v>
      </c>
      <c r="D4" s="1206"/>
      <c r="E4" s="1207">
        <v>30</v>
      </c>
      <c r="F4" s="39">
        <v>30</v>
      </c>
      <c r="G4" s="114">
        <v>50</v>
      </c>
      <c r="H4" s="114">
        <v>49</v>
      </c>
      <c r="I4" s="77"/>
      <c r="J4" s="39"/>
      <c r="K4" s="114"/>
      <c r="L4" s="114"/>
      <c r="M4" s="114"/>
      <c r="N4" s="114"/>
      <c r="O4" s="114"/>
      <c r="P4" s="77"/>
    </row>
    <row r="5" spans="1:16" ht="14" x14ac:dyDescent="0.15">
      <c r="A5" s="93" t="s">
        <v>213</v>
      </c>
      <c r="B5" s="565">
        <v>16000</v>
      </c>
      <c r="C5" s="1208">
        <v>36</v>
      </c>
      <c r="D5" s="1208">
        <v>36</v>
      </c>
      <c r="E5" s="1209">
        <v>12</v>
      </c>
      <c r="F5" s="5">
        <v>12</v>
      </c>
      <c r="G5" s="102">
        <v>14</v>
      </c>
      <c r="H5" s="102">
        <v>12</v>
      </c>
      <c r="I5" s="78">
        <v>36</v>
      </c>
      <c r="J5" s="5"/>
      <c r="K5" s="102"/>
      <c r="L5" s="102"/>
      <c r="M5" s="102"/>
      <c r="N5" s="102"/>
      <c r="O5" s="102"/>
      <c r="P5" s="78"/>
    </row>
    <row r="6" spans="1:16" ht="14" x14ac:dyDescent="0.15">
      <c r="A6" s="93" t="s">
        <v>214</v>
      </c>
      <c r="B6" s="565">
        <v>25000</v>
      </c>
      <c r="C6" s="1208">
        <v>21</v>
      </c>
      <c r="D6" s="1208">
        <v>21</v>
      </c>
      <c r="E6" s="1209">
        <v>15</v>
      </c>
      <c r="F6" s="5">
        <v>15</v>
      </c>
      <c r="G6" s="102">
        <v>4</v>
      </c>
      <c r="H6" s="102">
        <v>3</v>
      </c>
      <c r="I6" s="78">
        <v>21</v>
      </c>
      <c r="J6" s="5"/>
      <c r="K6" s="102"/>
      <c r="L6" s="102"/>
      <c r="M6" s="102"/>
      <c r="N6" s="102"/>
      <c r="O6" s="102"/>
      <c r="P6" s="78"/>
    </row>
    <row r="7" spans="1:16" ht="14" x14ac:dyDescent="0.15">
      <c r="A7" s="93" t="s">
        <v>215</v>
      </c>
      <c r="B7" s="565">
        <v>3000000</v>
      </c>
      <c r="C7" s="1208">
        <v>0</v>
      </c>
      <c r="D7" s="1208">
        <v>0</v>
      </c>
      <c r="E7" s="1209">
        <v>0</v>
      </c>
      <c r="F7" s="5">
        <v>0</v>
      </c>
      <c r="G7" s="102">
        <v>0</v>
      </c>
      <c r="H7" s="102">
        <v>0</v>
      </c>
      <c r="I7" s="78">
        <v>0</v>
      </c>
      <c r="J7" s="5"/>
      <c r="K7" s="102"/>
      <c r="L7" s="102"/>
      <c r="M7" s="102"/>
      <c r="N7" s="102"/>
      <c r="O7" s="102"/>
      <c r="P7" s="78"/>
    </row>
    <row r="8" spans="1:16" ht="14" x14ac:dyDescent="0.15">
      <c r="A8" s="131" t="s">
        <v>729</v>
      </c>
      <c r="B8" s="565">
        <v>15000</v>
      </c>
      <c r="C8" s="1208">
        <v>1</v>
      </c>
      <c r="D8" s="1208">
        <v>1</v>
      </c>
      <c r="E8" s="1209"/>
      <c r="F8" s="5"/>
      <c r="G8" s="102"/>
      <c r="H8" s="102"/>
      <c r="I8" s="78"/>
      <c r="J8" s="5"/>
      <c r="K8" s="102"/>
      <c r="L8" s="102"/>
      <c r="M8" s="102"/>
      <c r="N8" s="102"/>
      <c r="O8" s="102"/>
      <c r="P8" s="78"/>
    </row>
    <row r="9" spans="1:16" ht="14" x14ac:dyDescent="0.15">
      <c r="A9" s="130" t="s">
        <v>216</v>
      </c>
      <c r="B9" s="565">
        <v>4888</v>
      </c>
      <c r="C9" s="1208">
        <v>1</v>
      </c>
      <c r="D9" s="1208">
        <v>1</v>
      </c>
      <c r="E9" s="1209">
        <v>1</v>
      </c>
      <c r="F9" s="5">
        <v>1</v>
      </c>
      <c r="G9" s="102">
        <v>1</v>
      </c>
      <c r="H9" s="102">
        <v>1</v>
      </c>
      <c r="I9" s="78">
        <v>1</v>
      </c>
      <c r="J9" s="5">
        <v>4</v>
      </c>
      <c r="K9" s="102">
        <v>4</v>
      </c>
      <c r="L9" s="102">
        <v>4</v>
      </c>
      <c r="M9" s="102">
        <v>4</v>
      </c>
      <c r="N9" s="102">
        <v>4</v>
      </c>
      <c r="O9" s="102">
        <v>4</v>
      </c>
      <c r="P9" s="78">
        <v>4</v>
      </c>
    </row>
    <row r="10" spans="1:16" ht="14" x14ac:dyDescent="0.15">
      <c r="A10" s="130" t="s">
        <v>217</v>
      </c>
      <c r="B10" s="565">
        <v>2388</v>
      </c>
      <c r="C10" s="1208">
        <v>1</v>
      </c>
      <c r="D10" s="1208">
        <v>1</v>
      </c>
      <c r="E10" s="1209">
        <v>1</v>
      </c>
      <c r="F10" s="5">
        <v>1</v>
      </c>
      <c r="G10" s="102">
        <v>1</v>
      </c>
      <c r="H10" s="102">
        <v>1</v>
      </c>
      <c r="I10" s="78">
        <v>1</v>
      </c>
      <c r="J10" s="5">
        <v>22</v>
      </c>
      <c r="K10" s="102">
        <v>22</v>
      </c>
      <c r="L10" s="102">
        <v>22</v>
      </c>
      <c r="M10" s="102">
        <v>22</v>
      </c>
      <c r="N10" s="102">
        <v>22</v>
      </c>
      <c r="O10" s="102">
        <v>22</v>
      </c>
      <c r="P10" s="78">
        <v>22</v>
      </c>
    </row>
    <row r="11" spans="1:16" ht="14" x14ac:dyDescent="0.15">
      <c r="A11" s="93" t="s">
        <v>218</v>
      </c>
      <c r="B11" s="565">
        <v>2500</v>
      </c>
      <c r="C11" s="1209"/>
      <c r="D11" s="1210"/>
      <c r="E11" s="1210"/>
      <c r="F11" s="102"/>
      <c r="G11" s="102"/>
      <c r="H11" s="102">
        <v>1</v>
      </c>
      <c r="I11" s="78"/>
      <c r="J11" s="5"/>
      <c r="K11" s="102"/>
      <c r="L11" s="102"/>
      <c r="M11" s="102"/>
      <c r="N11" s="102"/>
      <c r="O11" s="102">
        <v>12</v>
      </c>
      <c r="P11" s="78"/>
    </row>
    <row r="12" spans="1:16" ht="14" x14ac:dyDescent="0.15">
      <c r="A12" s="93" t="s">
        <v>219</v>
      </c>
      <c r="B12" s="565">
        <v>1800</v>
      </c>
      <c r="C12" s="1209"/>
      <c r="D12" s="1210"/>
      <c r="E12" s="1210"/>
      <c r="F12" s="102"/>
      <c r="G12" s="102"/>
      <c r="H12" s="102"/>
      <c r="I12" s="78"/>
      <c r="J12" s="5"/>
      <c r="K12" s="102"/>
      <c r="L12" s="102"/>
      <c r="M12" s="102">
        <v>12</v>
      </c>
      <c r="N12" s="102"/>
      <c r="O12" s="102"/>
      <c r="P12" s="78"/>
    </row>
    <row r="13" spans="1:16" ht="14" x14ac:dyDescent="0.15">
      <c r="A13" s="93" t="s">
        <v>220</v>
      </c>
      <c r="B13" s="1214">
        <v>1000</v>
      </c>
      <c r="C13" s="1215"/>
      <c r="D13" s="1216"/>
      <c r="E13" s="1216">
        <v>2</v>
      </c>
      <c r="F13" s="1217">
        <v>2</v>
      </c>
      <c r="G13" s="1217"/>
      <c r="H13" s="1217"/>
      <c r="I13" s="1218"/>
      <c r="J13" s="1219"/>
      <c r="K13" s="1217"/>
      <c r="L13" s="1217"/>
      <c r="M13" s="1217"/>
      <c r="N13" s="1217"/>
      <c r="O13" s="1217"/>
      <c r="P13" s="1218"/>
    </row>
    <row r="14" spans="1:16" s="315" customFormat="1" ht="14" x14ac:dyDescent="0.15">
      <c r="A14" s="1220" t="s">
        <v>221</v>
      </c>
      <c r="B14" s="1227">
        <v>700</v>
      </c>
      <c r="C14" s="1228"/>
      <c r="D14" s="1228"/>
      <c r="E14" s="1228">
        <v>1</v>
      </c>
      <c r="F14" s="1229">
        <v>1</v>
      </c>
      <c r="G14" s="1229"/>
      <c r="H14" s="1229"/>
      <c r="I14" s="1230"/>
      <c r="J14" s="1231"/>
      <c r="K14" s="1229"/>
      <c r="L14" s="1229"/>
      <c r="M14" s="1229"/>
      <c r="N14" s="1229"/>
      <c r="O14" s="1229"/>
      <c r="P14" s="1230"/>
    </row>
    <row r="15" spans="1:16" ht="15.75" customHeight="1" thickBot="1" x14ac:dyDescent="0.2">
      <c r="A15" s="1202" t="s">
        <v>225</v>
      </c>
      <c r="B15" s="1221">
        <v>1800</v>
      </c>
      <c r="C15" s="1222"/>
      <c r="D15" s="1223"/>
      <c r="E15" s="1223">
        <v>1</v>
      </c>
      <c r="F15" s="1224">
        <v>1</v>
      </c>
      <c r="G15" s="1224"/>
      <c r="H15" s="1224"/>
      <c r="I15" s="1225"/>
      <c r="J15" s="1226"/>
      <c r="K15" s="1224"/>
      <c r="L15" s="1224"/>
      <c r="M15" s="1224"/>
      <c r="N15" s="1224"/>
      <c r="O15" s="1224"/>
      <c r="P15" s="1225"/>
    </row>
    <row r="16" spans="1:16" x14ac:dyDescent="0.2">
      <c r="A16" s="1245" t="s">
        <v>955</v>
      </c>
      <c r="B16" s="107"/>
      <c r="C16" s="107">
        <f>SUM(C4:C6)</f>
        <v>132</v>
      </c>
      <c r="D16" s="107">
        <f t="shared" ref="D16:I16" si="0">SUM(D4:D6)</f>
        <v>57</v>
      </c>
      <c r="E16" s="107">
        <f t="shared" si="0"/>
        <v>57</v>
      </c>
      <c r="F16" s="107">
        <f t="shared" si="0"/>
        <v>57</v>
      </c>
      <c r="G16" s="107">
        <f t="shared" si="0"/>
        <v>68</v>
      </c>
      <c r="H16" s="107">
        <f t="shared" si="0"/>
        <v>64</v>
      </c>
      <c r="I16" s="107">
        <f t="shared" si="0"/>
        <v>57</v>
      </c>
      <c r="J16" s="107"/>
      <c r="K16" s="107"/>
      <c r="L16" s="107"/>
      <c r="M16" s="107"/>
      <c r="N16" s="107"/>
      <c r="O16" s="107"/>
      <c r="P16" s="107"/>
    </row>
    <row r="17" spans="1:16" x14ac:dyDescent="0.2">
      <c r="A17" s="105"/>
      <c r="B17" s="105"/>
      <c r="C17" s="105"/>
      <c r="D17" s="105"/>
      <c r="E17" s="105"/>
      <c r="F17" s="105"/>
      <c r="G17" s="105"/>
      <c r="H17" s="105"/>
      <c r="I17" s="105"/>
      <c r="J17" s="105"/>
      <c r="K17" s="105"/>
      <c r="L17" s="105"/>
      <c r="M17" s="105"/>
      <c r="N17" s="105"/>
      <c r="O17" s="105"/>
      <c r="P17" s="105"/>
    </row>
    <row r="18" spans="1:16" x14ac:dyDescent="0.2">
      <c r="A18" s="105"/>
      <c r="B18" s="105"/>
      <c r="C18" s="105"/>
      <c r="D18" s="105"/>
      <c r="E18" s="105"/>
      <c r="F18" s="105"/>
      <c r="G18" s="116" t="s">
        <v>334</v>
      </c>
      <c r="H18" s="116" t="s">
        <v>335</v>
      </c>
      <c r="I18" s="116" t="s">
        <v>336</v>
      </c>
      <c r="J18" s="116" t="s">
        <v>337</v>
      </c>
      <c r="K18" s="105"/>
      <c r="L18" s="105"/>
      <c r="M18" s="105"/>
      <c r="N18" s="105"/>
      <c r="O18" s="105"/>
      <c r="P18" s="105"/>
    </row>
    <row r="19" spans="1:16" x14ac:dyDescent="0.2">
      <c r="A19" s="116"/>
      <c r="B19" s="23"/>
      <c r="C19" s="23"/>
      <c r="D19" s="105"/>
      <c r="E19" s="105"/>
      <c r="F19" s="23" t="s">
        <v>338</v>
      </c>
      <c r="G19" s="116">
        <v>4</v>
      </c>
      <c r="H19" s="116">
        <v>9</v>
      </c>
      <c r="I19" s="116">
        <v>6</v>
      </c>
      <c r="J19" s="116"/>
      <c r="K19" s="105"/>
      <c r="L19" s="105"/>
      <c r="M19" s="105"/>
      <c r="N19" s="105"/>
      <c r="O19" s="105"/>
      <c r="P19" s="105"/>
    </row>
    <row r="20" spans="1:16" x14ac:dyDescent="0.2">
      <c r="A20" s="24"/>
      <c r="B20" s="23"/>
      <c r="C20" s="23"/>
      <c r="D20" s="105"/>
      <c r="E20" s="105"/>
      <c r="F20" s="23" t="s">
        <v>339</v>
      </c>
      <c r="G20" s="116">
        <v>4</v>
      </c>
      <c r="H20" s="116"/>
      <c r="I20" s="116">
        <v>5</v>
      </c>
      <c r="J20" s="116">
        <v>7</v>
      </c>
      <c r="K20" s="105"/>
      <c r="L20" s="105"/>
      <c r="M20" s="105"/>
      <c r="N20" s="105"/>
      <c r="O20" s="105"/>
      <c r="P20" s="105"/>
    </row>
    <row r="21" spans="1:16" x14ac:dyDescent="0.2">
      <c r="A21" s="23"/>
      <c r="B21" s="23"/>
      <c r="C21" s="23"/>
      <c r="D21" s="105"/>
      <c r="E21" s="105"/>
      <c r="F21" s="23" t="s">
        <v>340</v>
      </c>
      <c r="G21" s="116"/>
      <c r="H21" s="116"/>
      <c r="I21" s="116">
        <v>1</v>
      </c>
      <c r="J21" s="116">
        <v>5</v>
      </c>
      <c r="K21" s="105"/>
      <c r="L21" s="105"/>
      <c r="M21" s="105"/>
      <c r="N21" s="105"/>
      <c r="O21" s="105"/>
      <c r="P21" s="105"/>
    </row>
    <row r="22" spans="1:16" x14ac:dyDescent="0.2">
      <c r="A22" s="23"/>
      <c r="B22" s="23"/>
      <c r="C22" s="23"/>
      <c r="D22" s="105"/>
      <c r="E22" s="105"/>
      <c r="F22" s="105"/>
      <c r="G22" s="105"/>
      <c r="H22" s="105"/>
      <c r="I22" s="105"/>
      <c r="J22" s="105"/>
      <c r="K22" s="105"/>
      <c r="L22" s="105"/>
      <c r="M22" s="105"/>
      <c r="N22" s="105"/>
      <c r="O22" s="105"/>
      <c r="P22" s="105"/>
    </row>
    <row r="23" spans="1:16" ht="15.75" customHeight="1" x14ac:dyDescent="0.2">
      <c r="A23" s="105"/>
      <c r="B23" s="19"/>
      <c r="C23" s="19"/>
      <c r="D23" s="19"/>
      <c r="E23" s="19"/>
      <c r="F23" s="19"/>
      <c r="G23" s="19"/>
      <c r="H23" s="19"/>
      <c r="I23" s="105"/>
      <c r="J23" s="105"/>
      <c r="K23" s="105"/>
      <c r="L23" s="105"/>
      <c r="M23" s="105"/>
      <c r="N23" s="105"/>
      <c r="O23" s="105"/>
      <c r="P23" s="105"/>
    </row>
    <row r="24" spans="1:16" x14ac:dyDescent="0.2">
      <c r="A24" s="123"/>
      <c r="B24" s="2507" t="s">
        <v>341</v>
      </c>
      <c r="C24" s="2508"/>
      <c r="D24" s="2508"/>
      <c r="E24" s="2508" t="s">
        <v>342</v>
      </c>
      <c r="F24" s="2508"/>
      <c r="G24" s="2508"/>
      <c r="H24" s="42" t="s">
        <v>343</v>
      </c>
      <c r="I24" s="124"/>
      <c r="J24" s="23"/>
      <c r="K24" s="23"/>
      <c r="L24" s="23"/>
      <c r="M24" s="23"/>
      <c r="N24" s="23"/>
      <c r="O24" s="23" t="s">
        <v>344</v>
      </c>
      <c r="P24" s="105"/>
    </row>
    <row r="25" spans="1:16" x14ac:dyDescent="0.2">
      <c r="A25" s="81">
        <v>1</v>
      </c>
      <c r="B25" s="60" t="s">
        <v>345</v>
      </c>
      <c r="C25" s="103" t="s">
        <v>346</v>
      </c>
      <c r="D25" s="81" t="s">
        <v>347</v>
      </c>
      <c r="E25" s="60" t="s">
        <v>345</v>
      </c>
      <c r="F25" s="103" t="s">
        <v>346</v>
      </c>
      <c r="G25" s="81" t="s">
        <v>347</v>
      </c>
      <c r="H25" s="47"/>
      <c r="I25" s="124"/>
      <c r="J25" s="23"/>
      <c r="K25" s="23"/>
      <c r="L25" s="23"/>
      <c r="M25" s="23"/>
      <c r="N25" s="23"/>
      <c r="O25" s="105"/>
      <c r="P25" s="105"/>
    </row>
    <row r="26" spans="1:16" x14ac:dyDescent="0.2">
      <c r="A26" s="121" t="s">
        <v>348</v>
      </c>
      <c r="B26" s="684">
        <v>11960</v>
      </c>
      <c r="C26" s="685">
        <v>18500</v>
      </c>
      <c r="D26" s="686">
        <v>20000</v>
      </c>
      <c r="E26" s="684">
        <v>8300</v>
      </c>
      <c r="F26" s="685">
        <v>10800</v>
      </c>
      <c r="G26" s="686">
        <v>15000</v>
      </c>
      <c r="H26" s="687">
        <v>20000</v>
      </c>
      <c r="I26" s="124"/>
      <c r="J26" s="23"/>
      <c r="K26" s="23"/>
      <c r="L26" s="23"/>
      <c r="M26" s="23"/>
      <c r="N26" s="23"/>
      <c r="O26" s="23">
        <v>25000</v>
      </c>
      <c r="P26" s="105"/>
    </row>
    <row r="27" spans="1:16" ht="26" x14ac:dyDescent="0.2">
      <c r="A27" s="121" t="s">
        <v>349</v>
      </c>
      <c r="B27" s="684">
        <v>22000</v>
      </c>
      <c r="C27" s="685">
        <v>23500</v>
      </c>
      <c r="D27" s="686">
        <v>25000</v>
      </c>
      <c r="E27" s="684">
        <v>16000</v>
      </c>
      <c r="F27" s="685">
        <v>18000</v>
      </c>
      <c r="G27" s="686">
        <v>20000</v>
      </c>
      <c r="H27" s="687">
        <v>25000</v>
      </c>
      <c r="I27" s="124"/>
      <c r="J27" s="23"/>
      <c r="K27" s="23"/>
      <c r="L27" s="23"/>
      <c r="M27" s="23"/>
      <c r="N27" s="23"/>
      <c r="O27" s="105"/>
      <c r="P27" s="105"/>
    </row>
    <row r="28" spans="1:16" ht="15.75" customHeight="1" x14ac:dyDescent="0.2">
      <c r="A28" s="121" t="s">
        <v>350</v>
      </c>
      <c r="B28" s="688">
        <v>22000</v>
      </c>
      <c r="C28" s="689">
        <v>24000</v>
      </c>
      <c r="D28" s="690">
        <v>35000</v>
      </c>
      <c r="E28" s="688">
        <v>25000</v>
      </c>
      <c r="F28" s="689">
        <v>30000</v>
      </c>
      <c r="G28" s="690">
        <v>30000</v>
      </c>
      <c r="H28" s="691">
        <v>35000</v>
      </c>
      <c r="I28" s="124"/>
      <c r="J28" s="23"/>
      <c r="K28" s="23"/>
      <c r="L28" s="23"/>
      <c r="M28" s="23"/>
      <c r="N28" s="23"/>
      <c r="O28" s="23">
        <v>25000</v>
      </c>
      <c r="P28" s="105"/>
    </row>
    <row r="29" spans="1:16" x14ac:dyDescent="0.2">
      <c r="A29" s="121" t="s">
        <v>215</v>
      </c>
      <c r="B29" s="17"/>
      <c r="C29" s="2508"/>
      <c r="D29" s="2508"/>
      <c r="E29" s="2508"/>
      <c r="F29" s="2508"/>
      <c r="G29" s="28"/>
      <c r="H29" s="4"/>
      <c r="I29" s="23"/>
      <c r="J29" s="23"/>
      <c r="K29" s="23"/>
      <c r="L29" s="23"/>
      <c r="M29" s="2509"/>
      <c r="N29" s="2509"/>
      <c r="O29" s="105"/>
      <c r="P29" s="105"/>
    </row>
    <row r="30" spans="1:16" x14ac:dyDescent="0.2">
      <c r="A30" s="121" t="s">
        <v>351</v>
      </c>
      <c r="B30" s="60"/>
      <c r="C30" s="2510"/>
      <c r="D30" s="2510"/>
      <c r="E30" s="2510"/>
      <c r="F30" s="2510"/>
      <c r="G30" s="44"/>
      <c r="H30" s="98"/>
      <c r="I30" s="23"/>
      <c r="J30" s="23"/>
      <c r="K30" s="23"/>
      <c r="L30" s="23"/>
      <c r="M30" s="2509"/>
      <c r="N30" s="2509"/>
      <c r="O30" s="105"/>
      <c r="P30" s="105"/>
    </row>
    <row r="31" spans="1:16" x14ac:dyDescent="0.2">
      <c r="A31" s="121" t="s">
        <v>149</v>
      </c>
      <c r="B31" s="60"/>
      <c r="C31" s="2510"/>
      <c r="D31" s="2510"/>
      <c r="E31" s="2510"/>
      <c r="F31" s="2510"/>
      <c r="G31" s="44"/>
      <c r="H31" s="98"/>
      <c r="I31" s="23"/>
      <c r="J31" s="23"/>
      <c r="K31" s="23"/>
      <c r="L31" s="23"/>
      <c r="M31" s="2509"/>
      <c r="N31" s="2509"/>
      <c r="O31" s="105"/>
      <c r="P31" s="105"/>
    </row>
    <row r="32" spans="1:16" x14ac:dyDescent="0.2">
      <c r="A32" s="121" t="s">
        <v>352</v>
      </c>
      <c r="B32" s="60"/>
      <c r="C32" s="2510"/>
      <c r="D32" s="2510"/>
      <c r="E32" s="2510"/>
      <c r="F32" s="2510"/>
      <c r="G32" s="44"/>
      <c r="H32" s="98"/>
      <c r="I32" s="23"/>
      <c r="J32" s="23"/>
      <c r="K32" s="23"/>
      <c r="L32" s="23"/>
      <c r="M32" s="2509"/>
      <c r="N32" s="2509"/>
      <c r="O32" s="105"/>
      <c r="P32" s="105"/>
    </row>
    <row r="33" spans="1:16" x14ac:dyDescent="0.2">
      <c r="A33" s="121" t="s">
        <v>145</v>
      </c>
      <c r="B33" s="60"/>
      <c r="C33" s="2510"/>
      <c r="D33" s="2510"/>
      <c r="E33" s="2510"/>
      <c r="F33" s="2510"/>
      <c r="G33" s="44"/>
      <c r="H33" s="98"/>
      <c r="I33" s="23"/>
      <c r="J33" s="23"/>
      <c r="K33" s="23"/>
      <c r="L33" s="23"/>
      <c r="M33" s="2509"/>
      <c r="N33" s="2509"/>
      <c r="O33" s="105"/>
      <c r="P33" s="105"/>
    </row>
    <row r="34" spans="1:16" x14ac:dyDescent="0.2">
      <c r="A34" s="121" t="s">
        <v>353</v>
      </c>
      <c r="B34" s="60"/>
      <c r="C34" s="2510"/>
      <c r="D34" s="2510"/>
      <c r="E34" s="2510"/>
      <c r="F34" s="2510"/>
      <c r="G34" s="44"/>
      <c r="H34" s="98"/>
      <c r="I34" s="23"/>
      <c r="J34" s="23"/>
      <c r="K34" s="23"/>
      <c r="L34" s="23"/>
      <c r="M34" s="2509"/>
      <c r="N34" s="2509"/>
      <c r="O34" s="105"/>
      <c r="P34" s="105"/>
    </row>
    <row r="35" spans="1:16" ht="15.75" customHeight="1" x14ac:dyDescent="0.2">
      <c r="A35" s="121" t="s">
        <v>354</v>
      </c>
      <c r="B35" s="9"/>
      <c r="C35" s="2511"/>
      <c r="D35" s="2511"/>
      <c r="E35" s="2511"/>
      <c r="F35" s="2511"/>
      <c r="G35" s="2511"/>
      <c r="H35" s="2511"/>
      <c r="I35" s="2512"/>
      <c r="J35" s="2509"/>
      <c r="K35" s="2509"/>
      <c r="L35" s="2509"/>
      <c r="M35" s="2509"/>
      <c r="N35" s="2509"/>
      <c r="O35" s="105"/>
      <c r="P35" s="105"/>
    </row>
    <row r="37" spans="1:16" ht="15" customHeight="1" x14ac:dyDescent="0.15">
      <c r="A37" s="353" t="s">
        <v>1086</v>
      </c>
    </row>
    <row r="38" spans="1:16" ht="15" customHeight="1" x14ac:dyDescent="0.2">
      <c r="A38" s="1294" t="s">
        <v>321</v>
      </c>
      <c r="B38" s="1294" t="s">
        <v>991</v>
      </c>
      <c r="C38" s="1295" t="s">
        <v>43</v>
      </c>
      <c r="D38" s="1294" t="s">
        <v>677</v>
      </c>
      <c r="E38" s="1294" t="s">
        <v>147</v>
      </c>
      <c r="F38" s="1294" t="s">
        <v>992</v>
      </c>
      <c r="G38" s="1296" t="s">
        <v>101</v>
      </c>
    </row>
    <row r="39" spans="1:16" ht="15" customHeight="1" x14ac:dyDescent="0.2">
      <c r="A39" s="1288" t="s">
        <v>903</v>
      </c>
      <c r="B39" s="1288" t="s">
        <v>993</v>
      </c>
      <c r="C39" s="901" t="str">
        <f t="shared" ref="C39:C44" si="1">CONCATENATE(A39," ","(",B39,")")</f>
        <v>RIG 2 (NIGBU - MAGBU)</v>
      </c>
      <c r="D39" s="1288">
        <v>36</v>
      </c>
      <c r="E39" s="1289">
        <v>54125691.666666664</v>
      </c>
      <c r="F39" s="1289">
        <v>62244545.416666657</v>
      </c>
      <c r="G39" s="903">
        <f>F39</f>
        <v>62244545.416666657</v>
      </c>
    </row>
    <row r="40" spans="1:16" ht="15" customHeight="1" x14ac:dyDescent="0.2">
      <c r="A40" s="1288" t="s">
        <v>902</v>
      </c>
      <c r="B40" s="1288" t="s">
        <v>994</v>
      </c>
      <c r="C40" s="901" t="str">
        <f t="shared" si="1"/>
        <v>RIG 1 (LGBU - MAGBU)</v>
      </c>
      <c r="D40" s="1288">
        <v>36</v>
      </c>
      <c r="E40" s="1289">
        <v>48686471.666666664</v>
      </c>
      <c r="F40" s="1289">
        <v>55989442.416666657</v>
      </c>
      <c r="G40" s="903">
        <f>F40</f>
        <v>55989442.416666657</v>
      </c>
    </row>
    <row r="41" spans="1:16" ht="15" customHeight="1" x14ac:dyDescent="0.2">
      <c r="A41" s="1288" t="s">
        <v>902</v>
      </c>
      <c r="B41" s="1288" t="s">
        <v>995</v>
      </c>
      <c r="C41" s="901" t="str">
        <f t="shared" si="1"/>
        <v>RIG 1 (LGBU - NIGBU)</v>
      </c>
      <c r="D41" s="1288">
        <v>31</v>
      </c>
      <c r="E41" s="1289">
        <v>39595046.666666664</v>
      </c>
      <c r="F41" s="1289">
        <v>45534303.666666657</v>
      </c>
      <c r="G41" s="903">
        <f>F41</f>
        <v>45534303.666666657</v>
      </c>
    </row>
    <row r="42" spans="1:16" ht="15" customHeight="1" x14ac:dyDescent="0.2">
      <c r="A42" s="1288" t="s">
        <v>903</v>
      </c>
      <c r="B42" s="1288" t="s">
        <v>996</v>
      </c>
      <c r="C42" s="901" t="str">
        <f t="shared" si="1"/>
        <v>RIG 2 (NIGBU - BGBU)</v>
      </c>
      <c r="D42" s="1288">
        <v>31</v>
      </c>
      <c r="E42" s="1289">
        <v>44669005</v>
      </c>
      <c r="F42" s="1289">
        <v>51369355.749999993</v>
      </c>
      <c r="G42" s="903">
        <f>F42</f>
        <v>51369355.749999993</v>
      </c>
    </row>
    <row r="43" spans="1:16" ht="15" customHeight="1" x14ac:dyDescent="0.2">
      <c r="A43" s="1288" t="s">
        <v>657</v>
      </c>
      <c r="B43" s="1288" t="s">
        <v>993</v>
      </c>
      <c r="C43" s="901" t="str">
        <f t="shared" si="1"/>
        <v>Rig 12 (NIGBU - MAGBU)</v>
      </c>
      <c r="D43" s="1288">
        <v>36</v>
      </c>
      <c r="E43" s="1289">
        <v>54125691.666666664</v>
      </c>
      <c r="F43" s="1289"/>
      <c r="G43" s="903">
        <f>E43</f>
        <v>54125691.666666664</v>
      </c>
    </row>
    <row r="44" spans="1:16" ht="15" customHeight="1" x14ac:dyDescent="0.2">
      <c r="A44" s="1288" t="s">
        <v>77</v>
      </c>
      <c r="B44" s="1288" t="s">
        <v>949</v>
      </c>
      <c r="C44" s="901" t="str">
        <f t="shared" si="1"/>
        <v>RIG 14 (PAD TO PAD)</v>
      </c>
      <c r="D44" s="1288">
        <v>13</v>
      </c>
      <c r="E44" s="1289">
        <v>15355322</v>
      </c>
      <c r="F44" s="1289"/>
      <c r="G44" s="903">
        <f>E44</f>
        <v>15355322</v>
      </c>
    </row>
    <row r="46" spans="1:16" ht="15" customHeight="1" x14ac:dyDescent="0.15">
      <c r="A46" s="150" t="s">
        <v>1005</v>
      </c>
    </row>
    <row r="48" spans="1:16" ht="15" customHeight="1" x14ac:dyDescent="0.15">
      <c r="A48" s="353" t="s">
        <v>1130</v>
      </c>
    </row>
    <row r="49" spans="1:5" s="315" customFormat="1" ht="15" customHeight="1" x14ac:dyDescent="0.2">
      <c r="A49" s="1294" t="s">
        <v>1131</v>
      </c>
      <c r="B49" s="1294" t="s">
        <v>1132</v>
      </c>
      <c r="C49" s="1294" t="s">
        <v>1136</v>
      </c>
      <c r="D49" s="1294" t="s">
        <v>1137</v>
      </c>
      <c r="E49" s="1294" t="s">
        <v>1133</v>
      </c>
    </row>
    <row r="50" spans="1:5" ht="15" customHeight="1" x14ac:dyDescent="0.2">
      <c r="A50" s="904" t="s">
        <v>379</v>
      </c>
      <c r="B50" s="1289">
        <v>805899.51</v>
      </c>
      <c r="C50" s="1542">
        <v>90</v>
      </c>
      <c r="D50" s="1542">
        <v>1</v>
      </c>
      <c r="E50" s="1289">
        <f>B50/(C50*D50)</f>
        <v>8954.4390000000003</v>
      </c>
    </row>
    <row r="51" spans="1:5" ht="15" customHeight="1" x14ac:dyDescent="0.2">
      <c r="A51" s="904" t="s">
        <v>52</v>
      </c>
      <c r="B51" s="1289">
        <v>7377000</v>
      </c>
      <c r="C51" s="1542">
        <v>547</v>
      </c>
      <c r="D51" s="1542">
        <v>10</v>
      </c>
      <c r="E51" s="1289">
        <f>B51/365</f>
        <v>20210.95890410959</v>
      </c>
    </row>
    <row r="52" spans="1:5" ht="15" customHeight="1" x14ac:dyDescent="0.2">
      <c r="A52" s="904" t="s">
        <v>378</v>
      </c>
      <c r="B52" s="1289"/>
      <c r="C52" s="1542"/>
      <c r="D52" s="1542"/>
      <c r="E52" s="1289">
        <f>B52/365</f>
        <v>0</v>
      </c>
    </row>
    <row r="53" spans="1:5" x14ac:dyDescent="0.2">
      <c r="A53" s="904" t="s">
        <v>327</v>
      </c>
      <c r="B53" s="1289"/>
      <c r="C53" s="1542"/>
      <c r="D53" s="1542"/>
      <c r="E53" s="1289">
        <f>B53/365</f>
        <v>0</v>
      </c>
    </row>
    <row r="55" spans="1:5" ht="15" customHeight="1" x14ac:dyDescent="0.15">
      <c r="A55" s="353" t="s">
        <v>1135</v>
      </c>
      <c r="B55" s="315"/>
      <c r="D55" s="315"/>
    </row>
    <row r="56" spans="1:5" ht="15" customHeight="1" x14ac:dyDescent="0.2">
      <c r="A56" s="1294" t="s">
        <v>1131</v>
      </c>
      <c r="B56" s="1294" t="s">
        <v>1132</v>
      </c>
      <c r="C56" s="1294" t="s">
        <v>1136</v>
      </c>
      <c r="D56" s="1294" t="s">
        <v>1133</v>
      </c>
    </row>
    <row r="57" spans="1:5" ht="15" customHeight="1" x14ac:dyDescent="0.2">
      <c r="A57" s="904" t="s">
        <v>379</v>
      </c>
      <c r="B57" s="1289">
        <v>164101082.25999999</v>
      </c>
      <c r="C57" s="1542">
        <v>365</v>
      </c>
      <c r="D57" s="1289">
        <f>B57/C57</f>
        <v>449592.00619178079</v>
      </c>
    </row>
    <row r="58" spans="1:5" ht="15" customHeight="1" x14ac:dyDescent="0.2">
      <c r="A58" s="904" t="s">
        <v>52</v>
      </c>
      <c r="B58" s="1289"/>
      <c r="C58" s="901"/>
      <c r="D58" s="1289">
        <f>B58/365</f>
        <v>0</v>
      </c>
    </row>
    <row r="59" spans="1:5" ht="15" customHeight="1" x14ac:dyDescent="0.2">
      <c r="A59" s="904" t="s">
        <v>378</v>
      </c>
      <c r="B59" s="1289"/>
      <c r="C59" s="901"/>
      <c r="D59" s="1289">
        <f>B59/365</f>
        <v>0</v>
      </c>
    </row>
    <row r="60" spans="1:5" ht="15" customHeight="1" x14ac:dyDescent="0.2">
      <c r="A60" s="904" t="s">
        <v>327</v>
      </c>
      <c r="B60" s="1289"/>
      <c r="C60" s="901"/>
      <c r="D60" s="1289">
        <f>B60/365</f>
        <v>0</v>
      </c>
    </row>
  </sheetData>
  <mergeCells count="29">
    <mergeCell ref="M35:N35"/>
    <mergeCell ref="C35:D35"/>
    <mergeCell ref="E35:F35"/>
    <mergeCell ref="G35:H35"/>
    <mergeCell ref="I35:J35"/>
    <mergeCell ref="K35:L35"/>
    <mergeCell ref="C33:D33"/>
    <mergeCell ref="E33:F33"/>
    <mergeCell ref="M33:N33"/>
    <mergeCell ref="C34:D34"/>
    <mergeCell ref="E34:F34"/>
    <mergeCell ref="M34:N34"/>
    <mergeCell ref="C31:D31"/>
    <mergeCell ref="E31:F31"/>
    <mergeCell ref="M31:N31"/>
    <mergeCell ref="C32:D32"/>
    <mergeCell ref="E32:F32"/>
    <mergeCell ref="M32:N32"/>
    <mergeCell ref="C29:D29"/>
    <mergeCell ref="E29:F29"/>
    <mergeCell ref="M29:N29"/>
    <mergeCell ref="C30:D30"/>
    <mergeCell ref="E30:F30"/>
    <mergeCell ref="M30:N30"/>
    <mergeCell ref="A2:B2"/>
    <mergeCell ref="C2:I2"/>
    <mergeCell ref="J2:P2"/>
    <mergeCell ref="B24:D24"/>
    <mergeCell ref="E24:G24"/>
  </mergeCell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M23"/>
  <sheetViews>
    <sheetView topLeftCell="B1" workbookViewId="0">
      <selection activeCell="E5" sqref="E5"/>
    </sheetView>
  </sheetViews>
  <sheetFormatPr baseColWidth="10" defaultColWidth="9.1640625" defaultRowHeight="15" x14ac:dyDescent="0.2"/>
  <cols>
    <col min="1" max="1" width="23.5" style="675" bestFit="1" customWidth="1"/>
    <col min="2" max="2" width="10" style="675" bestFit="1" customWidth="1"/>
    <col min="3" max="3" width="10.5" style="675" bestFit="1" customWidth="1"/>
    <col min="4" max="7" width="11.5" style="675" bestFit="1" customWidth="1"/>
    <col min="8" max="8" width="9.1640625" style="675"/>
    <col min="9" max="9" width="54.83203125" style="675" customWidth="1"/>
    <col min="10" max="16384" width="9.1640625" style="675"/>
  </cols>
  <sheetData>
    <row r="1" spans="1:13" x14ac:dyDescent="0.2">
      <c r="A1" s="674" t="s">
        <v>1102</v>
      </c>
    </row>
    <row r="2" spans="1:13" x14ac:dyDescent="0.2">
      <c r="A2" s="674" t="s">
        <v>736</v>
      </c>
    </row>
    <row r="3" spans="1:13" x14ac:dyDescent="0.2">
      <c r="I3" s="674" t="s">
        <v>737</v>
      </c>
    </row>
    <row r="4" spans="1:13" ht="60" x14ac:dyDescent="0.2">
      <c r="A4" s="675" t="s">
        <v>738</v>
      </c>
      <c r="B4" s="675" t="s">
        <v>177</v>
      </c>
      <c r="C4" s="676">
        <v>2851.3333333333335</v>
      </c>
      <c r="I4" s="677" t="s">
        <v>739</v>
      </c>
    </row>
    <row r="6" spans="1:13" ht="30" x14ac:dyDescent="0.2">
      <c r="A6" s="674" t="s">
        <v>740</v>
      </c>
      <c r="D6" s="674" t="s">
        <v>742</v>
      </c>
      <c r="E6" s="674" t="s">
        <v>741</v>
      </c>
      <c r="F6" s="678" t="s">
        <v>744</v>
      </c>
      <c r="G6" s="678" t="s">
        <v>743</v>
      </c>
      <c r="I6" s="1371" t="s">
        <v>1095</v>
      </c>
    </row>
    <row r="7" spans="1:13" x14ac:dyDescent="0.2">
      <c r="A7" s="675" t="s">
        <v>732</v>
      </c>
      <c r="B7" s="675" t="s">
        <v>745</v>
      </c>
      <c r="D7" s="679">
        <v>33678.333333333336</v>
      </c>
      <c r="E7" s="679">
        <v>22452.666666666668</v>
      </c>
      <c r="F7" s="679">
        <v>34756</v>
      </c>
      <c r="G7" s="679">
        <v>84870</v>
      </c>
    </row>
    <row r="8" spans="1:13" x14ac:dyDescent="0.2">
      <c r="A8" s="675" t="s">
        <v>733</v>
      </c>
      <c r="B8" s="675" t="s">
        <v>745</v>
      </c>
      <c r="D8" s="679">
        <v>46027</v>
      </c>
      <c r="E8" s="676">
        <v>44006.666666666664</v>
      </c>
      <c r="F8" s="679">
        <v>89809.333333333328</v>
      </c>
      <c r="G8" s="679">
        <v>105975.33333333333</v>
      </c>
    </row>
    <row r="9" spans="1:13" x14ac:dyDescent="0.2">
      <c r="A9" s="675" t="s">
        <v>734</v>
      </c>
      <c r="B9" s="675" t="s">
        <v>745</v>
      </c>
      <c r="D9" s="676">
        <v>47149.666666666664</v>
      </c>
      <c r="E9" s="676">
        <v>120874.33333333333</v>
      </c>
      <c r="F9" s="679">
        <v>115486</v>
      </c>
      <c r="G9" s="679">
        <v>140911</v>
      </c>
      <c r="M9" s="675">
        <v>0</v>
      </c>
    </row>
    <row r="10" spans="1:13" x14ac:dyDescent="0.2">
      <c r="A10" s="675" t="s">
        <v>735</v>
      </c>
      <c r="B10" s="675" t="s">
        <v>745</v>
      </c>
      <c r="D10" s="679">
        <v>143695</v>
      </c>
      <c r="E10" s="676">
        <v>148185.66666666666</v>
      </c>
      <c r="F10" s="679">
        <v>141001</v>
      </c>
      <c r="G10" s="679">
        <v>190630.66666666666</v>
      </c>
    </row>
    <row r="12" spans="1:13" x14ac:dyDescent="0.2">
      <c r="A12" s="675" t="s">
        <v>354</v>
      </c>
      <c r="B12" s="676" t="s">
        <v>890</v>
      </c>
      <c r="D12" s="676">
        <v>2290</v>
      </c>
      <c r="E12" s="676">
        <v>2290</v>
      </c>
      <c r="F12" s="676">
        <v>2290</v>
      </c>
      <c r="G12" s="676">
        <v>2290</v>
      </c>
    </row>
    <row r="13" spans="1:13" x14ac:dyDescent="0.2">
      <c r="A13" s="675" t="s">
        <v>746</v>
      </c>
      <c r="B13" s="676" t="s">
        <v>890</v>
      </c>
      <c r="D13" s="679">
        <v>5389</v>
      </c>
      <c r="E13" s="679">
        <v>5389</v>
      </c>
      <c r="F13" s="679">
        <v>5389</v>
      </c>
      <c r="G13" s="679">
        <v>7005</v>
      </c>
    </row>
    <row r="14" spans="1:13" x14ac:dyDescent="0.2">
      <c r="A14" s="675" t="s">
        <v>352</v>
      </c>
      <c r="B14" s="676" t="s">
        <v>890</v>
      </c>
      <c r="D14" s="679">
        <v>2155</v>
      </c>
      <c r="E14" s="679">
        <v>2155</v>
      </c>
      <c r="F14" s="679">
        <v>2155</v>
      </c>
      <c r="G14" s="679">
        <v>2155</v>
      </c>
    </row>
    <row r="16" spans="1:13" x14ac:dyDescent="0.2">
      <c r="A16" s="675" t="s">
        <v>747</v>
      </c>
      <c r="B16" s="675" t="s">
        <v>890</v>
      </c>
      <c r="D16" s="679">
        <v>2813</v>
      </c>
      <c r="E16" s="679">
        <v>3217</v>
      </c>
      <c r="F16" s="679">
        <v>3486</v>
      </c>
      <c r="G16" s="679">
        <v>3756</v>
      </c>
    </row>
    <row r="17" spans="1:9" x14ac:dyDescent="0.2">
      <c r="A17" s="675" t="s">
        <v>748</v>
      </c>
      <c r="B17" s="675" t="s">
        <v>890</v>
      </c>
      <c r="D17" s="679">
        <v>6585</v>
      </c>
      <c r="E17" s="679">
        <v>6585</v>
      </c>
      <c r="F17" s="679">
        <v>6585</v>
      </c>
      <c r="G17" s="679">
        <v>7258</v>
      </c>
    </row>
    <row r="18" spans="1:9" x14ac:dyDescent="0.2">
      <c r="A18" s="675" t="s">
        <v>749</v>
      </c>
      <c r="B18" s="675" t="s">
        <v>890</v>
      </c>
      <c r="D18" s="679">
        <v>18186</v>
      </c>
      <c r="E18" s="679">
        <v>19534</v>
      </c>
      <c r="F18" s="679">
        <v>20207</v>
      </c>
      <c r="G18" s="679">
        <v>21285</v>
      </c>
    </row>
    <row r="19" spans="1:9" x14ac:dyDescent="0.2">
      <c r="A19" s="675" t="s">
        <v>145</v>
      </c>
      <c r="B19" s="675" t="s">
        <v>890</v>
      </c>
      <c r="D19" s="679">
        <v>2021</v>
      </c>
      <c r="E19" s="679">
        <v>2021</v>
      </c>
      <c r="F19" s="679">
        <v>2021</v>
      </c>
      <c r="G19" s="679">
        <v>2021</v>
      </c>
    </row>
    <row r="21" spans="1:9" x14ac:dyDescent="0.2">
      <c r="A21" s="675" t="s">
        <v>750</v>
      </c>
      <c r="B21" s="675" t="s">
        <v>890</v>
      </c>
      <c r="E21" s="679">
        <v>1718</v>
      </c>
    </row>
    <row r="23" spans="1:9" x14ac:dyDescent="0.2">
      <c r="I23" s="680" t="s">
        <v>751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enableFormatConditionsCalculation="0">
    <tabColor rgb="FFFFC000"/>
    <pageSetUpPr fitToPage="1"/>
  </sheetPr>
  <dimension ref="A1:HB1230"/>
  <sheetViews>
    <sheetView showGridLines="0" topLeftCell="U22" zoomScale="87" zoomScaleNormal="60" zoomScaleSheetLayoutView="80" zoomScalePageLayoutView="80" workbookViewId="0">
      <selection activeCell="X53" sqref="X53"/>
    </sheetView>
  </sheetViews>
  <sheetFormatPr baseColWidth="10" defaultColWidth="9.1640625" defaultRowHeight="0" customHeight="1" zeroHeight="1" x14ac:dyDescent="0.2"/>
  <cols>
    <col min="1" max="1" width="9.6640625" style="698" hidden="1" customWidth="1"/>
    <col min="2" max="2" width="41.5" style="1097" hidden="1" customWidth="1"/>
    <col min="3" max="3" width="20.6640625" style="1097" hidden="1" customWidth="1"/>
    <col min="4" max="4" width="47.83203125" style="172" hidden="1" customWidth="1"/>
    <col min="5" max="5" width="35.6640625" style="596" hidden="1" customWidth="1"/>
    <col min="6" max="7" width="19.83203125" style="172" hidden="1" customWidth="1"/>
    <col min="8" max="8" width="15.83203125" style="172" hidden="1" customWidth="1"/>
    <col min="9" max="9" width="21.5" style="228" hidden="1" customWidth="1"/>
    <col min="10" max="10" width="20.5" style="228" hidden="1" customWidth="1"/>
    <col min="11" max="11" width="10.5" style="172" hidden="1" customWidth="1"/>
    <col min="12" max="12" width="26.6640625" style="174" hidden="1" customWidth="1"/>
    <col min="13" max="13" width="16" style="174" hidden="1" customWidth="1"/>
    <col min="14" max="15" width="17.5" style="174" hidden="1" customWidth="1"/>
    <col min="16" max="16" width="16.33203125" style="174" hidden="1" customWidth="1"/>
    <col min="17" max="17" width="20.6640625" style="174" hidden="1" customWidth="1"/>
    <col min="18" max="18" width="8.83203125" style="174" hidden="1" customWidth="1"/>
    <col min="19" max="19" width="3.83203125" style="174" hidden="1" customWidth="1"/>
    <col min="20" max="20" width="5.5" style="174" hidden="1" customWidth="1"/>
    <col min="21" max="21" width="8.5" style="172" customWidth="1"/>
    <col min="22" max="22" width="54.5" style="172" bestFit="1" customWidth="1"/>
    <col min="23" max="23" width="19" style="172" customWidth="1"/>
    <col min="24" max="24" width="23" style="172" customWidth="1"/>
    <col min="25" max="25" width="29.5" style="172" customWidth="1"/>
    <col min="26" max="26" width="24.1640625" style="172" customWidth="1"/>
    <col min="27" max="30" width="20.1640625" style="172" customWidth="1"/>
    <col min="31" max="31" width="26" style="172" bestFit="1" customWidth="1"/>
    <col min="32" max="33" width="19.83203125" style="172" customWidth="1"/>
    <col min="34" max="34" width="28.6640625" style="172" bestFit="1" customWidth="1"/>
    <col min="35" max="37" width="19.83203125" style="172" hidden="1" customWidth="1"/>
    <col min="38" max="38" width="3.5" style="172" customWidth="1"/>
    <col min="39" max="39" width="25.33203125" style="228" customWidth="1"/>
    <col min="40" max="40" width="20.5" style="228" customWidth="1"/>
    <col min="41" max="41" width="20.5" style="172" customWidth="1"/>
    <col min="42" max="42" width="26.6640625" style="174" customWidth="1"/>
    <col min="43" max="43" width="16" style="174" customWidth="1"/>
    <col min="44" max="45" width="17.5" style="174" customWidth="1"/>
    <col min="46" max="46" width="16.33203125" style="174" customWidth="1"/>
    <col min="47" max="47" width="20.6640625" style="174" customWidth="1"/>
    <col min="48" max="199" width="11.83203125" style="172" customWidth="1"/>
    <col min="200" max="200" width="10" style="172" customWidth="1"/>
    <col min="201" max="201" width="2.5" style="172" customWidth="1"/>
    <col min="202" max="202" width="10.6640625" style="172" customWidth="1"/>
    <col min="203" max="203" width="13.5" style="172" customWidth="1"/>
    <col min="204" max="204" width="14.6640625" style="172" customWidth="1"/>
    <col min="205" max="205" width="13.83203125" style="172" customWidth="1"/>
    <col min="206" max="16384" width="9.1640625" style="176"/>
  </cols>
  <sheetData>
    <row r="1" spans="1:47" ht="12.75" customHeight="1" x14ac:dyDescent="0.2">
      <c r="A1" s="696"/>
      <c r="B1" s="1098"/>
      <c r="C1" s="1098"/>
      <c r="D1" s="302"/>
      <c r="E1" s="594"/>
      <c r="F1" s="173"/>
      <c r="G1" s="173"/>
      <c r="H1" s="173"/>
      <c r="I1" s="173"/>
      <c r="J1" s="324"/>
      <c r="M1" s="175"/>
      <c r="N1" s="175"/>
      <c r="O1" s="175"/>
      <c r="P1" s="175"/>
      <c r="Q1" s="175"/>
      <c r="R1" s="175"/>
      <c r="S1" s="175"/>
      <c r="T1" s="175"/>
      <c r="V1" s="173"/>
      <c r="W1" s="173"/>
      <c r="X1" s="173"/>
      <c r="Y1" s="173"/>
      <c r="Z1" s="173"/>
      <c r="AC1" s="173"/>
      <c r="AD1" s="173"/>
      <c r="AE1" s="302"/>
      <c r="AF1" s="302"/>
      <c r="AG1" s="173"/>
      <c r="AH1" s="173"/>
      <c r="AI1" s="173"/>
      <c r="AJ1" s="173"/>
      <c r="AK1" s="173"/>
      <c r="AL1" s="173"/>
      <c r="AM1" s="173"/>
      <c r="AN1" s="1390"/>
      <c r="AQ1" s="175"/>
      <c r="AR1" s="175"/>
      <c r="AS1" s="175"/>
      <c r="AT1" s="175"/>
      <c r="AU1" s="175"/>
    </row>
    <row r="2" spans="1:47" ht="23.25" customHeight="1" x14ac:dyDescent="0.2">
      <c r="A2" s="697"/>
      <c r="B2" s="1099"/>
      <c r="C2" s="1099"/>
      <c r="D2" s="551"/>
      <c r="E2" s="595"/>
      <c r="F2" s="551"/>
      <c r="G2" s="551"/>
      <c r="H2" s="551"/>
      <c r="I2" s="551"/>
      <c r="J2" s="172"/>
      <c r="M2" s="177" t="e">
        <f>#REF!</f>
        <v>#REF!</v>
      </c>
      <c r="N2" s="177" t="e">
        <f>#REF!</f>
        <v>#REF!</v>
      </c>
      <c r="O2" s="177" t="e">
        <f>#REF!</f>
        <v>#REF!</v>
      </c>
      <c r="P2" s="177" t="e">
        <f>#REF!</f>
        <v>#REF!</v>
      </c>
      <c r="Q2" s="177" t="e">
        <f>#REF!</f>
        <v>#REF!</v>
      </c>
      <c r="R2" s="177" t="e">
        <f>#REF!</f>
        <v>#REF!</v>
      </c>
      <c r="S2" s="321" t="s">
        <v>93</v>
      </c>
      <c r="T2" s="175"/>
      <c r="U2" s="2532" t="s">
        <v>92</v>
      </c>
      <c r="V2" s="2532"/>
      <c r="W2" s="2532"/>
      <c r="X2" s="2532"/>
      <c r="Y2" s="2532"/>
      <c r="Z2" s="2532"/>
      <c r="AA2" s="2532"/>
      <c r="AB2" s="2532"/>
      <c r="AC2" s="2532"/>
      <c r="AD2" s="2532"/>
      <c r="AE2" s="2532"/>
      <c r="AF2" s="2532"/>
      <c r="AG2" s="2532"/>
      <c r="AH2" s="2532"/>
      <c r="AI2" s="2532"/>
      <c r="AJ2" s="2532"/>
      <c r="AK2" s="2532"/>
      <c r="AL2" s="2532"/>
      <c r="AM2" s="2532"/>
      <c r="AN2" s="172"/>
      <c r="AQ2" s="177"/>
      <c r="AR2" s="177"/>
      <c r="AS2" s="177"/>
      <c r="AT2" s="177"/>
      <c r="AU2" s="177"/>
    </row>
    <row r="3" spans="1:47" s="172" customFormat="1" ht="12.75" customHeight="1" x14ac:dyDescent="0.25">
      <c r="A3" s="698"/>
      <c r="B3" s="1097"/>
      <c r="C3" s="1097"/>
      <c r="E3" s="596"/>
      <c r="L3" s="174" t="s">
        <v>94</v>
      </c>
      <c r="M3" s="321">
        <f>M8-SUM(M4:M7)</f>
        <v>-1</v>
      </c>
      <c r="N3" s="321" t="e">
        <f>N8-SUM(N4:N7)</f>
        <v>#NAME?</v>
      </c>
      <c r="O3" s="321" t="e">
        <f>O8-SUM(O4:O7)</f>
        <v>#NAME?</v>
      </c>
      <c r="P3" s="321" t="e">
        <f>P8-SUM(P4:P7)</f>
        <v>#REF!</v>
      </c>
      <c r="Q3" s="321">
        <f>IFERROR((Q8-SUM(Q4:Q7)),0)</f>
        <v>0</v>
      </c>
      <c r="R3" s="321" t="e">
        <f>R8-SUM(R4:R7)</f>
        <v>#REF!</v>
      </c>
      <c r="S3" s="178"/>
      <c r="T3" s="174"/>
      <c r="AP3" s="174"/>
      <c r="AQ3" s="321"/>
      <c r="AR3" s="321"/>
      <c r="AS3" s="321"/>
      <c r="AT3" s="321"/>
      <c r="AU3" s="321"/>
    </row>
    <row r="4" spans="1:47" s="172" customFormat="1" ht="23.25" customHeight="1" x14ac:dyDescent="0.25">
      <c r="A4" s="699"/>
      <c r="B4" s="1100"/>
      <c r="C4" s="1100"/>
      <c r="D4" s="552"/>
      <c r="E4" s="597"/>
      <c r="F4" s="552"/>
      <c r="G4" s="552"/>
      <c r="H4" s="552"/>
      <c r="I4" s="552"/>
      <c r="J4" s="552"/>
      <c r="L4" s="174" t="s">
        <v>96</v>
      </c>
      <c r="M4" s="321">
        <v>1</v>
      </c>
      <c r="N4" s="321">
        <v>5</v>
      </c>
      <c r="O4" s="321">
        <v>3</v>
      </c>
      <c r="P4" s="321">
        <v>2</v>
      </c>
      <c r="Q4" s="321">
        <v>2</v>
      </c>
      <c r="R4" s="321">
        <v>0</v>
      </c>
      <c r="S4" s="178"/>
      <c r="T4" s="174"/>
      <c r="U4" s="2533" t="s">
        <v>95</v>
      </c>
      <c r="V4" s="2533"/>
      <c r="W4" s="2533"/>
      <c r="X4" s="2533"/>
      <c r="Y4" s="2533"/>
      <c r="Z4" s="2533"/>
      <c r="AA4" s="2533"/>
      <c r="AB4" s="2533"/>
      <c r="AC4" s="2533"/>
      <c r="AD4" s="2533"/>
      <c r="AE4" s="2533"/>
      <c r="AF4" s="2533"/>
      <c r="AG4" s="2533"/>
      <c r="AH4" s="2533"/>
      <c r="AI4" s="2533"/>
      <c r="AJ4" s="2533"/>
      <c r="AK4" s="2533"/>
      <c r="AL4" s="2533"/>
      <c r="AM4" s="2533"/>
      <c r="AN4" s="2533"/>
      <c r="AP4" s="174"/>
      <c r="AQ4" s="321"/>
      <c r="AR4" s="321"/>
      <c r="AS4" s="321"/>
      <c r="AT4" s="321"/>
      <c r="AU4" s="321"/>
    </row>
    <row r="5" spans="1:47" s="172" customFormat="1" ht="23.25" customHeight="1" x14ac:dyDescent="0.25">
      <c r="A5" s="699"/>
      <c r="B5" s="1100"/>
      <c r="C5" s="1100"/>
      <c r="D5" s="552"/>
      <c r="E5" s="597"/>
      <c r="F5" s="552"/>
      <c r="G5" s="552"/>
      <c r="H5" s="552"/>
      <c r="I5" s="552"/>
      <c r="J5" s="552"/>
      <c r="K5" s="180"/>
      <c r="L5" s="174" t="s">
        <v>98</v>
      </c>
      <c r="M5" s="321"/>
      <c r="N5" s="174"/>
      <c r="O5" s="321">
        <v>2</v>
      </c>
      <c r="P5" s="174"/>
      <c r="Q5" s="174"/>
      <c r="R5" s="321"/>
      <c r="S5" s="178"/>
      <c r="T5" s="174"/>
      <c r="U5" s="2533" t="s">
        <v>97</v>
      </c>
      <c r="V5" s="2533"/>
      <c r="W5" s="2533"/>
      <c r="X5" s="2533"/>
      <c r="Y5" s="2533"/>
      <c r="Z5" s="2533"/>
      <c r="AA5" s="2533"/>
      <c r="AB5" s="2533"/>
      <c r="AC5" s="2533"/>
      <c r="AD5" s="2533"/>
      <c r="AE5" s="2533"/>
      <c r="AF5" s="2533"/>
      <c r="AG5" s="2533"/>
      <c r="AH5" s="2533"/>
      <c r="AI5" s="2533"/>
      <c r="AJ5" s="2533"/>
      <c r="AK5" s="2533"/>
      <c r="AL5" s="2533"/>
      <c r="AM5" s="2533"/>
      <c r="AN5" s="2533"/>
      <c r="AO5" s="180"/>
      <c r="AP5" s="174"/>
      <c r="AQ5" s="321"/>
      <c r="AR5" s="174"/>
      <c r="AS5" s="321"/>
      <c r="AT5" s="174"/>
      <c r="AU5" s="174"/>
    </row>
    <row r="6" spans="1:47" s="172" customFormat="1" ht="12.75" customHeight="1" x14ac:dyDescent="0.25">
      <c r="A6" s="696"/>
      <c r="B6" s="1098"/>
      <c r="C6" s="1098"/>
      <c r="D6" s="173"/>
      <c r="E6" s="594"/>
      <c r="F6" s="173"/>
      <c r="G6" s="173"/>
      <c r="H6" s="173"/>
      <c r="I6" s="173"/>
      <c r="J6" s="324"/>
      <c r="K6" s="180"/>
      <c r="L6" s="174" t="s">
        <v>99</v>
      </c>
      <c r="M6" s="174"/>
      <c r="N6" s="174"/>
      <c r="O6" s="174"/>
      <c r="P6" s="174"/>
      <c r="Q6" s="174"/>
      <c r="R6" s="174"/>
      <c r="S6" s="178">
        <v>3</v>
      </c>
      <c r="T6" s="174"/>
      <c r="U6" s="2534"/>
      <c r="V6" s="2534"/>
      <c r="W6" s="2534"/>
      <c r="X6" s="2534"/>
      <c r="Y6" s="2534"/>
      <c r="Z6" s="2534"/>
      <c r="AA6" s="2534"/>
      <c r="AB6" s="2534"/>
      <c r="AC6" s="2534"/>
      <c r="AD6" s="2534"/>
      <c r="AE6" s="2534"/>
      <c r="AF6" s="2534"/>
      <c r="AG6" s="2534"/>
      <c r="AH6" s="2534"/>
      <c r="AI6" s="2534"/>
      <c r="AJ6" s="2534"/>
      <c r="AK6" s="2534"/>
      <c r="AL6" s="2534"/>
      <c r="AM6" s="2534"/>
      <c r="AN6" s="1390"/>
      <c r="AO6" s="180"/>
      <c r="AP6" s="174"/>
      <c r="AQ6" s="174"/>
      <c r="AR6" s="174"/>
      <c r="AS6" s="174"/>
      <c r="AT6" s="174"/>
      <c r="AU6" s="174"/>
    </row>
    <row r="7" spans="1:47" s="172" customFormat="1" ht="12.75" customHeight="1" x14ac:dyDescent="0.25">
      <c r="A7" s="698"/>
      <c r="B7" s="1097"/>
      <c r="C7" s="1097"/>
      <c r="E7" s="596"/>
      <c r="K7" s="180"/>
      <c r="L7" s="174" t="s">
        <v>100</v>
      </c>
      <c r="M7" s="174"/>
      <c r="N7" s="174"/>
      <c r="O7" s="174"/>
      <c r="P7" s="174"/>
      <c r="Q7" s="174"/>
      <c r="R7" s="174"/>
      <c r="S7" s="178">
        <v>2</v>
      </c>
      <c r="T7" s="174"/>
      <c r="AO7" s="180"/>
      <c r="AP7" s="174"/>
      <c r="AQ7" s="174"/>
      <c r="AR7" s="174"/>
      <c r="AS7" s="174"/>
      <c r="AT7" s="174"/>
      <c r="AU7" s="174"/>
    </row>
    <row r="8" spans="1:47" s="172" customFormat="1" ht="15.75" customHeight="1" x14ac:dyDescent="0.15">
      <c r="A8" s="698"/>
      <c r="B8" s="1097"/>
      <c r="C8" s="1097"/>
      <c r="E8" s="596"/>
      <c r="J8" s="180"/>
      <c r="L8" s="321" t="s">
        <v>101</v>
      </c>
      <c r="M8" s="321">
        <f>SURFACE</f>
        <v>0</v>
      </c>
      <c r="N8" s="321" t="e">
        <f>anchor</f>
        <v>#NAME?</v>
      </c>
      <c r="O8" s="321" t="e">
        <f>casing</f>
        <v>#NAME?</v>
      </c>
      <c r="P8" s="321" t="e">
        <f>IF((Q8=""),(liner-SUM(S6:S7)),liner)</f>
        <v>#REF!</v>
      </c>
      <c r="Q8" s="182" t="e">
        <f>IF((#REF!=0),"",(#REF!-SUM(S6:S7)))</f>
        <v>#REF!</v>
      </c>
      <c r="R8" s="182" t="e">
        <f>#REF!</f>
        <v>#REF!</v>
      </c>
      <c r="S8" s="321">
        <f>SUM(S3:S7)</f>
        <v>5</v>
      </c>
      <c r="T8" s="174"/>
      <c r="U8" s="2530" t="s">
        <v>44</v>
      </c>
      <c r="V8" s="2530"/>
      <c r="W8" s="181" t="str">
        <f>INPUT!D4</f>
        <v>438D</v>
      </c>
      <c r="Y8" s="173"/>
      <c r="Z8" s="173"/>
      <c r="AN8" s="180"/>
      <c r="AP8" s="321"/>
      <c r="AQ8" s="321"/>
      <c r="AR8" s="321"/>
      <c r="AS8" s="321"/>
      <c r="AT8" s="321"/>
      <c r="AU8" s="182"/>
    </row>
    <row r="9" spans="1:47" s="172" customFormat="1" ht="15.75" customHeight="1" x14ac:dyDescent="0.15">
      <c r="A9" s="698"/>
      <c r="B9" s="1097"/>
      <c r="C9" s="1097"/>
      <c r="E9" s="596"/>
      <c r="J9" s="180"/>
      <c r="L9" s="174"/>
      <c r="M9" s="321" t="s">
        <v>103</v>
      </c>
      <c r="N9" s="321" t="s">
        <v>104</v>
      </c>
      <c r="O9" s="321" t="s">
        <v>105</v>
      </c>
      <c r="P9" s="321" t="s">
        <v>106</v>
      </c>
      <c r="Q9" s="174"/>
      <c r="R9" s="174"/>
      <c r="S9" s="174"/>
      <c r="T9" s="174"/>
      <c r="U9" s="2530" t="s">
        <v>102</v>
      </c>
      <c r="V9" s="2530"/>
      <c r="W9" s="183" t="str">
        <f>INPUT!D5</f>
        <v>Rig 2</v>
      </c>
      <c r="X9" s="184"/>
      <c r="Y9" s="173"/>
      <c r="Z9" s="173"/>
      <c r="AN9" s="180"/>
      <c r="AP9" s="174"/>
      <c r="AQ9" s="321"/>
      <c r="AR9" s="321"/>
      <c r="AS9" s="321"/>
      <c r="AT9" s="321"/>
      <c r="AU9" s="174"/>
    </row>
    <row r="10" spans="1:47" s="172" customFormat="1" ht="15.75" customHeight="1" x14ac:dyDescent="0.15">
      <c r="A10" s="698"/>
      <c r="B10" s="1097"/>
      <c r="C10" s="1097"/>
      <c r="E10" s="596"/>
      <c r="K10" s="180"/>
      <c r="L10" s="185" t="s">
        <v>107</v>
      </c>
      <c r="M10" s="186">
        <f>IFERROR((H23/SURFACE),0)</f>
        <v>0</v>
      </c>
      <c r="N10" s="186">
        <f>I23/M4</f>
        <v>0</v>
      </c>
      <c r="O10" s="186">
        <f>J23/M3</f>
        <v>0</v>
      </c>
      <c r="P10" s="186">
        <f>IFERROR((K23/SUM(#REF!)),0)</f>
        <v>0</v>
      </c>
      <c r="Q10" s="174"/>
      <c r="R10" s="174"/>
      <c r="S10" s="174"/>
      <c r="T10" s="174"/>
      <c r="U10" s="2530"/>
      <c r="V10" s="2530"/>
      <c r="W10" s="181"/>
      <c r="AC10" s="1514"/>
      <c r="AI10" s="1711" t="str">
        <f>IF(INPUT!D19="no","HIDE ME!","")</f>
        <v>HIDE ME!</v>
      </c>
      <c r="AJ10" s="1711" t="str">
        <f>AI10</f>
        <v>HIDE ME!</v>
      </c>
      <c r="AK10" s="1711" t="str">
        <f>IF(INPUT!H19="no","HIDE ME!","")</f>
        <v>HIDE ME!</v>
      </c>
      <c r="AO10" s="180"/>
      <c r="AP10" s="185"/>
      <c r="AQ10" s="186"/>
      <c r="AR10" s="186"/>
      <c r="AS10" s="186"/>
      <c r="AT10" s="186"/>
      <c r="AU10" s="174"/>
    </row>
    <row r="11" spans="1:47" s="172" customFormat="1" ht="15.75" customHeight="1" x14ac:dyDescent="0.15">
      <c r="A11" s="700"/>
      <c r="B11" s="1101"/>
      <c r="C11" s="1101"/>
      <c r="D11" s="514"/>
      <c r="E11" s="596"/>
      <c r="G11" s="323"/>
      <c r="I11" s="181"/>
      <c r="K11" s="180"/>
      <c r="L11" s="185" t="s">
        <v>109</v>
      </c>
      <c r="M11" s="186">
        <f>IFERROR((H24/anchor),0)</f>
        <v>0</v>
      </c>
      <c r="N11" s="186">
        <f>I24/N4</f>
        <v>0</v>
      </c>
      <c r="O11" s="186" t="e">
        <f>J24/N3</f>
        <v>#NAME?</v>
      </c>
      <c r="P11" s="186">
        <f>IFERROR((K24/SUM(#REF!)),0)</f>
        <v>0</v>
      </c>
      <c r="Q11" s="174"/>
      <c r="R11" s="174"/>
      <c r="S11" s="174"/>
      <c r="T11" s="174"/>
      <c r="U11" s="2530" t="s">
        <v>45</v>
      </c>
      <c r="V11" s="2530"/>
      <c r="W11" s="183" t="str">
        <f>CONCATENATE(INPUT!D6,"m")</f>
        <v>2500m</v>
      </c>
      <c r="Y11" s="187"/>
      <c r="Z11" s="187"/>
      <c r="AA11" s="183"/>
      <c r="AB11" s="183"/>
      <c r="AC11" s="183"/>
      <c r="AD11" s="183"/>
      <c r="AF11" s="1391" t="s">
        <v>108</v>
      </c>
      <c r="AG11" s="1392">
        <f>FOREX</f>
        <v>51</v>
      </c>
      <c r="AH11" s="1392"/>
      <c r="AI11" s="1670"/>
      <c r="AJ11" s="1670"/>
      <c r="AK11" s="1670"/>
      <c r="AM11" s="181"/>
      <c r="AO11" s="180"/>
      <c r="AP11" s="185"/>
      <c r="AQ11" s="186"/>
      <c r="AR11" s="186"/>
      <c r="AS11" s="186"/>
      <c r="AT11" s="186"/>
      <c r="AU11" s="174"/>
    </row>
    <row r="12" spans="1:47" s="172" customFormat="1" ht="15.75" customHeight="1" x14ac:dyDescent="0.15">
      <c r="A12" s="700"/>
      <c r="B12" s="1101"/>
      <c r="C12" s="1101"/>
      <c r="D12" s="514"/>
      <c r="E12" s="596"/>
      <c r="G12" s="323"/>
      <c r="I12" s="181"/>
      <c r="K12" s="180"/>
      <c r="L12" s="185" t="s">
        <v>112</v>
      </c>
      <c r="M12" s="186">
        <f>IFERROR((H25/casing),0)</f>
        <v>0</v>
      </c>
      <c r="N12" s="186">
        <f>I25/SUM(O4:O5)</f>
        <v>0</v>
      </c>
      <c r="O12" s="186" t="e">
        <f>J25/O3</f>
        <v>#NAME?</v>
      </c>
      <c r="P12" s="186">
        <f>IFERROR((K25/SUM(#REF!)),0)</f>
        <v>0</v>
      </c>
      <c r="Q12" s="174"/>
      <c r="R12" s="174"/>
      <c r="S12" s="174"/>
      <c r="T12" s="174"/>
      <c r="U12" s="2530" t="s">
        <v>110</v>
      </c>
      <c r="V12" s="2530"/>
      <c r="W12" s="318">
        <f>INPUT!$H$6</f>
        <v>41</v>
      </c>
      <c r="Y12" s="173"/>
      <c r="Z12" s="173"/>
      <c r="AF12" s="1391" t="s">
        <v>111</v>
      </c>
      <c r="AG12" s="1392">
        <f>DIESEL</f>
        <v>36</v>
      </c>
      <c r="AH12" s="1392"/>
      <c r="AI12" s="1670"/>
      <c r="AJ12" s="1670"/>
      <c r="AK12" s="1670"/>
      <c r="AM12" s="181"/>
      <c r="AO12" s="180"/>
      <c r="AP12" s="185"/>
      <c r="AQ12" s="186"/>
      <c r="AR12" s="186"/>
      <c r="AS12" s="186"/>
      <c r="AT12" s="186"/>
      <c r="AU12" s="174"/>
    </row>
    <row r="13" spans="1:47" s="172" customFormat="1" ht="15.75" customHeight="1" x14ac:dyDescent="0.15">
      <c r="A13" s="701"/>
      <c r="B13" s="1102"/>
      <c r="C13" s="1102"/>
      <c r="D13" s="280"/>
      <c r="E13" s="598"/>
      <c r="F13" s="189"/>
      <c r="G13" s="280"/>
      <c r="H13" s="189"/>
      <c r="I13" s="190"/>
      <c r="J13" s="254"/>
      <c r="K13" s="180"/>
      <c r="L13" s="185" t="s">
        <v>114</v>
      </c>
      <c r="M13" s="186">
        <f>IFERROR((G26/liner),0)</f>
        <v>0</v>
      </c>
      <c r="N13" s="186">
        <f>H26/P4</f>
        <v>0</v>
      </c>
      <c r="O13" s="186" t="e">
        <f>I26/P3</f>
        <v>#REF!</v>
      </c>
      <c r="P13" s="186">
        <f>IFERROR((J26/SUM(#REF!)),0)</f>
        <v>0</v>
      </c>
      <c r="Q13" s="174"/>
      <c r="R13" s="174"/>
      <c r="S13" s="174"/>
      <c r="T13" s="174"/>
      <c r="U13" s="2531" t="s">
        <v>113</v>
      </c>
      <c r="V13" s="2531"/>
      <c r="W13" s="188">
        <f>RIGMOVE</f>
        <v>13</v>
      </c>
      <c r="X13" s="189"/>
      <c r="Y13" s="189"/>
      <c r="Z13" s="280"/>
      <c r="AA13" s="189"/>
      <c r="AB13" s="280"/>
      <c r="AC13" s="189"/>
      <c r="AD13" s="280"/>
      <c r="AE13" s="189"/>
      <c r="AF13" s="280"/>
      <c r="AG13" s="189"/>
      <c r="AH13" s="280"/>
      <c r="AI13" s="189"/>
      <c r="AJ13" s="280"/>
      <c r="AK13" s="280"/>
      <c r="AL13" s="189"/>
      <c r="AM13" s="190"/>
      <c r="AN13" s="254"/>
      <c r="AO13" s="180"/>
      <c r="AP13" s="185"/>
      <c r="AQ13" s="186"/>
      <c r="AR13" s="186"/>
      <c r="AS13" s="186"/>
      <c r="AT13" s="186"/>
      <c r="AU13" s="174"/>
    </row>
    <row r="14" spans="1:47" s="172" customFormat="1" ht="22.5" customHeight="1" x14ac:dyDescent="0.15">
      <c r="A14" s="702"/>
      <c r="B14" s="1103" t="s">
        <v>927</v>
      </c>
      <c r="C14" s="1103"/>
      <c r="D14" s="254" t="s">
        <v>665</v>
      </c>
      <c r="E14" s="599" t="s">
        <v>666</v>
      </c>
      <c r="G14" s="185"/>
      <c r="H14" s="186"/>
      <c r="I14" s="186"/>
      <c r="J14" s="186"/>
      <c r="K14" s="186"/>
      <c r="L14" s="174"/>
      <c r="M14" s="174"/>
      <c r="N14" s="174"/>
      <c r="O14" s="174"/>
      <c r="P14" s="179"/>
      <c r="Q14" s="179"/>
      <c r="R14" s="179"/>
      <c r="S14" s="179"/>
      <c r="T14" s="179"/>
      <c r="U14" s="191"/>
      <c r="V14" s="191"/>
      <c r="W14" s="191"/>
      <c r="X14" s="192" t="s">
        <v>675</v>
      </c>
      <c r="Y14" s="192" t="s">
        <v>393</v>
      </c>
      <c r="Z14" s="192" t="s">
        <v>394</v>
      </c>
      <c r="AA14" s="192" t="s">
        <v>395</v>
      </c>
      <c r="AB14" s="192" t="s">
        <v>396</v>
      </c>
      <c r="AC14" s="192" t="s">
        <v>397</v>
      </c>
      <c r="AD14" s="192" t="s">
        <v>398</v>
      </c>
      <c r="AE14" s="192" t="s">
        <v>670</v>
      </c>
      <c r="AF14" s="192" t="s">
        <v>400</v>
      </c>
      <c r="AG14" s="192" t="str">
        <f>IF((INPUT!$D$8="NO"),"","DLINER2")</f>
        <v>DLINER2</v>
      </c>
      <c r="AH14" s="192" t="str">
        <f>IF((INPUT!$D$8="NO"),"","FLINER2")</f>
        <v>FLINER2</v>
      </c>
      <c r="AI14" s="192" t="str">
        <f>IF((INPUT!$D$19="NO"),"","DLINER3")</f>
        <v/>
      </c>
      <c r="AJ14" s="192" t="str">
        <f>IF((INPUT!$D$19="NO"),"","FLINER3")</f>
        <v/>
      </c>
      <c r="AK14" s="192" t="str">
        <f>IF((INPUT!$H$19="NO"),"","FRELINE")</f>
        <v/>
      </c>
      <c r="AL14" s="192"/>
      <c r="AM14" s="191"/>
      <c r="AN14" s="254"/>
      <c r="AP14" s="185"/>
      <c r="AQ14" s="186"/>
      <c r="AR14" s="186"/>
      <c r="AS14" s="186"/>
      <c r="AT14" s="186"/>
      <c r="AU14" s="174"/>
    </row>
    <row r="15" spans="1:47" s="172" customFormat="1" ht="21.75" customHeight="1" x14ac:dyDescent="0.15">
      <c r="A15" s="703"/>
      <c r="B15" s="1104" t="str">
        <f>INPUT!B7</f>
        <v>RH or BH ?</v>
      </c>
      <c r="C15" s="1104" t="str">
        <f>INPUT!D7</f>
        <v>Big Hole</v>
      </c>
      <c r="D15" s="307"/>
      <c r="E15" s="600"/>
      <c r="F15" s="324"/>
      <c r="G15" s="185"/>
      <c r="H15" s="186"/>
      <c r="I15" s="186"/>
      <c r="J15" s="186"/>
      <c r="K15" s="186"/>
      <c r="L15" s="174"/>
      <c r="M15" s="174"/>
      <c r="N15" s="174"/>
      <c r="O15" s="174"/>
      <c r="P15" s="179"/>
      <c r="Q15" s="179"/>
      <c r="R15" s="179"/>
      <c r="S15" s="179"/>
      <c r="T15" s="179"/>
      <c r="U15" s="193" t="s">
        <v>117</v>
      </c>
      <c r="V15" s="194"/>
      <c r="W15" s="194"/>
      <c r="X15" s="1441"/>
      <c r="Y15" s="1441">
        <f>INPUT!D23</f>
        <v>32</v>
      </c>
      <c r="Z15" s="287"/>
      <c r="AA15" s="1441">
        <f>INPUT!D24</f>
        <v>23</v>
      </c>
      <c r="AB15" s="287"/>
      <c r="AC15" s="1441">
        <f>INPUT!D25</f>
        <v>17</v>
      </c>
      <c r="AD15" s="1441"/>
      <c r="AE15" s="1441">
        <f>INPUT!D26</f>
        <v>12.25</v>
      </c>
      <c r="AF15" s="1441">
        <f>INPUT!AY23</f>
        <v>0</v>
      </c>
      <c r="AG15" s="1441">
        <f>IF((INPUT!D8="NO"),"",INPUT!D27)</f>
        <v>9.875</v>
      </c>
      <c r="AH15" s="1441"/>
      <c r="AI15" s="1441" t="str">
        <f>IF((INPUT!D19="yes"),INPUT!D28,"")</f>
        <v/>
      </c>
      <c r="AJ15" s="1441"/>
      <c r="AK15" s="1441"/>
      <c r="AL15" s="1389"/>
      <c r="AM15" s="1389"/>
      <c r="AN15" s="1388"/>
      <c r="AO15" s="1390"/>
      <c r="AP15" s="185"/>
      <c r="AQ15" s="186"/>
      <c r="AR15" s="186"/>
      <c r="AS15" s="186"/>
      <c r="AT15" s="186"/>
      <c r="AU15" s="174"/>
    </row>
    <row r="16" spans="1:47" s="172" customFormat="1" ht="17.25" customHeight="1" x14ac:dyDescent="0.15">
      <c r="A16" s="704"/>
      <c r="B16" s="1105"/>
      <c r="C16" s="1105"/>
      <c r="D16" s="195"/>
      <c r="E16" s="601"/>
      <c r="F16" s="196"/>
      <c r="G16" s="174"/>
      <c r="H16" s="174"/>
      <c r="I16" s="174"/>
      <c r="J16" s="174"/>
      <c r="K16" s="174"/>
      <c r="L16" s="174"/>
      <c r="M16" s="174"/>
      <c r="N16" s="174"/>
      <c r="O16" s="174"/>
      <c r="P16" s="179"/>
      <c r="Q16" s="179"/>
      <c r="R16" s="179"/>
      <c r="S16" s="179"/>
      <c r="T16" s="179"/>
      <c r="U16" s="1391" t="s">
        <v>118</v>
      </c>
      <c r="V16" s="173"/>
      <c r="W16" s="173"/>
      <c r="X16" s="1442"/>
      <c r="Y16" s="1441">
        <f>INPUT!F23</f>
        <v>103</v>
      </c>
      <c r="Z16" s="1441"/>
      <c r="AA16" s="1441">
        <f>INPUT!F24</f>
        <v>563</v>
      </c>
      <c r="AB16" s="1442"/>
      <c r="AC16" s="1441">
        <f>INPUT!F25</f>
        <v>1263</v>
      </c>
      <c r="AD16" s="1442"/>
      <c r="AE16" s="1441">
        <f>INPUT!F26</f>
        <v>1900</v>
      </c>
      <c r="AF16" s="1442"/>
      <c r="AG16" s="1442">
        <f>IF((INPUT!D8="NO"),"",INPUT!F27)</f>
        <v>2500</v>
      </c>
      <c r="AH16" s="1442"/>
      <c r="AI16" s="1442" t="str">
        <f>IF((INPUT!D19="NO"),"",INPUT!F28)</f>
        <v/>
      </c>
      <c r="AJ16" s="1442"/>
      <c r="AK16" s="1442"/>
      <c r="AL16" s="173"/>
      <c r="AM16" s="195"/>
      <c r="AN16" s="196"/>
      <c r="AO16" s="196"/>
      <c r="AP16" s="174"/>
      <c r="AQ16" s="174"/>
      <c r="AR16" s="174"/>
      <c r="AS16" s="174"/>
      <c r="AT16" s="174"/>
      <c r="AU16" s="174"/>
    </row>
    <row r="17" spans="1:47" s="172" customFormat="1" ht="17.25" customHeight="1" x14ac:dyDescent="0.15">
      <c r="A17" s="705"/>
      <c r="B17" s="1106"/>
      <c r="C17" s="1106"/>
      <c r="D17" s="197"/>
      <c r="E17" s="601"/>
      <c r="F17" s="196"/>
      <c r="G17" s="174"/>
      <c r="H17" s="174"/>
      <c r="I17" s="174"/>
      <c r="J17" s="174"/>
      <c r="K17" s="174"/>
      <c r="L17" s="174"/>
      <c r="M17" s="174"/>
      <c r="N17" s="174"/>
      <c r="O17" s="174"/>
      <c r="P17" s="179"/>
      <c r="Q17" s="179"/>
      <c r="R17" s="179"/>
      <c r="S17" s="179"/>
      <c r="T17" s="179"/>
      <c r="U17" s="1391" t="s">
        <v>119</v>
      </c>
      <c r="V17" s="173"/>
      <c r="W17" s="173"/>
      <c r="X17" s="1441"/>
      <c r="Y17" s="287"/>
      <c r="Z17" s="1441">
        <f>INPUT!E23</f>
        <v>26</v>
      </c>
      <c r="AA17" s="287"/>
      <c r="AB17" s="1441">
        <f>INPUT!E24</f>
        <v>18.625</v>
      </c>
      <c r="AC17" s="287"/>
      <c r="AD17" s="1441">
        <f>INPUT!E25</f>
        <v>13.375</v>
      </c>
      <c r="AE17" s="287"/>
      <c r="AF17" s="1441">
        <f>INPUT!E26</f>
        <v>10.75</v>
      </c>
      <c r="AG17" s="287"/>
      <c r="AH17" s="1441">
        <f>IF((INPUT!D8="NO"),"",INPUT!E27)</f>
        <v>8.625</v>
      </c>
      <c r="AI17" s="287"/>
      <c r="AJ17" s="1441" t="str">
        <f>IF((INPUT!D19="yes"),INPUT!E28,"")</f>
        <v/>
      </c>
      <c r="AK17" s="1441" t="str">
        <f>IF((INPUT!H19="yes"),INPUT!E29,"")</f>
        <v/>
      </c>
      <c r="AL17" s="173"/>
      <c r="AM17" s="197"/>
      <c r="AN17" s="196"/>
      <c r="AO17" s="196"/>
      <c r="AP17" s="174"/>
      <c r="AQ17" s="174"/>
      <c r="AR17" s="174"/>
      <c r="AS17" s="174"/>
      <c r="AT17" s="174"/>
      <c r="AU17" s="174"/>
    </row>
    <row r="18" spans="1:47" s="172" customFormat="1" ht="17.25" customHeight="1" x14ac:dyDescent="0.15">
      <c r="A18" s="704"/>
      <c r="B18" s="1105"/>
      <c r="C18" s="1105"/>
      <c r="D18" s="195"/>
      <c r="E18" s="601"/>
      <c r="F18" s="196"/>
      <c r="G18" s="174"/>
      <c r="H18" s="174"/>
      <c r="I18" s="174"/>
      <c r="J18" s="174"/>
      <c r="K18" s="174"/>
      <c r="L18" s="174"/>
      <c r="M18" s="174"/>
      <c r="N18" s="174"/>
      <c r="O18" s="174"/>
      <c r="P18" s="179"/>
      <c r="Q18" s="179"/>
      <c r="R18" s="179"/>
      <c r="S18" s="179"/>
      <c r="T18" s="179"/>
      <c r="U18" s="1391" t="s">
        <v>120</v>
      </c>
      <c r="V18" s="173"/>
      <c r="W18" s="173"/>
      <c r="X18" s="1442"/>
      <c r="Y18" s="287"/>
      <c r="Z18" s="1441">
        <f>INPUT!G23</f>
        <v>100</v>
      </c>
      <c r="AA18" s="287"/>
      <c r="AB18" s="1441">
        <f>INPUT!G24</f>
        <v>560</v>
      </c>
      <c r="AC18" s="287"/>
      <c r="AD18" s="1441">
        <f>INPUT!G25</f>
        <v>1260</v>
      </c>
      <c r="AE18" s="287"/>
      <c r="AF18" s="1441">
        <f>INPUT!G26</f>
        <v>1900</v>
      </c>
      <c r="AG18" s="287"/>
      <c r="AH18" s="1441">
        <f>INPUT!G27</f>
        <v>2500</v>
      </c>
      <c r="AI18" s="287"/>
      <c r="AJ18" s="1441" t="str">
        <f>IF(INPUT!D19="yes",INPUT!G28,"")</f>
        <v/>
      </c>
      <c r="AK18" s="1441" t="str">
        <f>IF(INPUT!H19="yes",INPUT!G29,"")</f>
        <v/>
      </c>
      <c r="AL18" s="173"/>
      <c r="AM18" s="195"/>
      <c r="AN18" s="196"/>
      <c r="AO18" s="196"/>
      <c r="AP18" s="174"/>
      <c r="AQ18" s="174"/>
      <c r="AR18" s="174"/>
      <c r="AS18" s="174"/>
      <c r="AT18" s="174"/>
      <c r="AU18" s="174"/>
    </row>
    <row r="19" spans="1:47" s="172" customFormat="1" ht="17.25" customHeight="1" x14ac:dyDescent="0.15">
      <c r="A19" s="704"/>
      <c r="B19" s="1105"/>
      <c r="C19" s="1105"/>
      <c r="D19" s="195"/>
      <c r="E19" s="601" t="e">
        <f>SUM(#REF!)</f>
        <v>#REF!</v>
      </c>
      <c r="F19" s="196"/>
      <c r="G19" s="174"/>
      <c r="H19" s="174"/>
      <c r="I19" s="174"/>
      <c r="J19" s="174"/>
      <c r="K19" s="174"/>
      <c r="L19" s="174"/>
      <c r="M19" s="174"/>
      <c r="N19" s="174"/>
      <c r="O19" s="174"/>
      <c r="P19" s="179"/>
      <c r="Q19" s="179"/>
      <c r="R19" s="179"/>
      <c r="S19" s="179"/>
      <c r="T19" s="179"/>
      <c r="U19" s="1391" t="s">
        <v>121</v>
      </c>
      <c r="V19" s="173"/>
      <c r="W19" s="173"/>
      <c r="X19" s="1442"/>
      <c r="Y19" s="1442">
        <f>DSURFACE</f>
        <v>2</v>
      </c>
      <c r="Z19" s="1442"/>
      <c r="AA19" s="1442">
        <f>DINTERMEDIATE</f>
        <v>5</v>
      </c>
      <c r="AB19" s="1442"/>
      <c r="AC19" s="1442">
        <f>DPRODUCTION</f>
        <v>10</v>
      </c>
      <c r="AD19" s="1442"/>
      <c r="AE19" s="1442">
        <f>DLINER1</f>
        <v>6</v>
      </c>
      <c r="AF19" s="1442"/>
      <c r="AG19" s="1442">
        <f>DLINER2</f>
        <v>5</v>
      </c>
      <c r="AH19" s="1442"/>
      <c r="AI19" s="1442" t="str">
        <f>IF(INPUT!D19="yes",DLINER3,"")</f>
        <v/>
      </c>
      <c r="AJ19" s="1442"/>
      <c r="AK19" s="1442"/>
      <c r="AL19" s="198"/>
      <c r="AM19" s="195"/>
      <c r="AN19" s="199">
        <f>SUM(X19:AG19)</f>
        <v>28</v>
      </c>
      <c r="AO19" s="196"/>
      <c r="AP19" s="174"/>
      <c r="AQ19" s="174"/>
      <c r="AR19" s="174"/>
      <c r="AS19" s="174"/>
      <c r="AT19" s="174"/>
      <c r="AU19" s="174"/>
    </row>
    <row r="20" spans="1:47" s="172" customFormat="1" ht="17.25" customHeight="1" x14ac:dyDescent="0.15">
      <c r="A20" s="704"/>
      <c r="B20" s="1105"/>
      <c r="C20" s="1105"/>
      <c r="D20" s="195"/>
      <c r="E20" s="601"/>
      <c r="F20" s="196"/>
      <c r="G20" s="174"/>
      <c r="H20" s="174"/>
      <c r="I20" s="174"/>
      <c r="J20" s="174"/>
      <c r="K20" s="174"/>
      <c r="L20" s="174"/>
      <c r="M20" s="174"/>
      <c r="N20" s="174"/>
      <c r="O20" s="174"/>
      <c r="P20" s="179"/>
      <c r="Q20" s="179"/>
      <c r="R20" s="179"/>
      <c r="S20" s="179"/>
      <c r="T20" s="179"/>
      <c r="U20" s="1391" t="s">
        <v>122</v>
      </c>
      <c r="V20" s="173"/>
      <c r="W20" s="173"/>
      <c r="X20" s="1442">
        <f>RIGMOVE</f>
        <v>13</v>
      </c>
      <c r="Y20" s="287"/>
      <c r="Z20" s="1442">
        <f>FSURFACE</f>
        <v>4</v>
      </c>
      <c r="AA20" s="287"/>
      <c r="AB20" s="1442">
        <f>FINTERMEDIATE</f>
        <v>4</v>
      </c>
      <c r="AC20" s="287"/>
      <c r="AD20" s="1442">
        <f>FPRODUCTION</f>
        <v>3</v>
      </c>
      <c r="AE20" s="287"/>
      <c r="AF20" s="1442">
        <f>FLINER1</f>
        <v>2</v>
      </c>
      <c r="AG20" s="287"/>
      <c r="AH20" s="1442">
        <f>FLINER2</f>
        <v>7</v>
      </c>
      <c r="AI20" s="287"/>
      <c r="AJ20" s="1442" t="str">
        <f>IF(INPUT!D19="yes",FLINER3,"")</f>
        <v/>
      </c>
      <c r="AK20" s="1442" t="str">
        <f>IF(INPUT!H19="yes",FRELINE,"")</f>
        <v/>
      </c>
      <c r="AL20" s="198"/>
      <c r="AM20" s="195"/>
      <c r="AN20" s="196"/>
      <c r="AO20" s="196"/>
      <c r="AP20" s="174"/>
      <c r="AQ20" s="174"/>
      <c r="AR20" s="174"/>
      <c r="AS20" s="174"/>
      <c r="AT20" s="174"/>
      <c r="AU20" s="174"/>
    </row>
    <row r="21" spans="1:47" s="172" customFormat="1" ht="17.25" customHeight="1" x14ac:dyDescent="0.15">
      <c r="A21" s="704"/>
      <c r="B21" s="1105"/>
      <c r="C21" s="1105"/>
      <c r="D21" s="195"/>
      <c r="E21" s="601"/>
      <c r="F21" s="196"/>
      <c r="G21" s="174"/>
      <c r="H21" s="174"/>
      <c r="I21" s="174"/>
      <c r="J21" s="174"/>
      <c r="K21" s="174"/>
      <c r="L21" s="174"/>
      <c r="M21" s="174"/>
      <c r="N21" s="174"/>
      <c r="O21" s="174"/>
      <c r="P21" s="179"/>
      <c r="Q21" s="179"/>
      <c r="R21" s="179"/>
      <c r="S21" s="179"/>
      <c r="T21" s="179"/>
      <c r="U21" s="173"/>
      <c r="V21" s="173"/>
      <c r="W21" s="173"/>
      <c r="X21" s="200"/>
      <c r="Y21" s="200"/>
      <c r="Z21" s="200"/>
      <c r="AA21" s="200"/>
      <c r="AB21" s="200"/>
      <c r="AC21" s="200"/>
      <c r="AD21" s="200"/>
      <c r="AG21" s="200"/>
      <c r="AH21" s="200"/>
      <c r="AI21" s="200"/>
      <c r="AJ21" s="200"/>
      <c r="AK21" s="200"/>
      <c r="AL21" s="173"/>
      <c r="AM21" s="200"/>
      <c r="AN21" s="196"/>
      <c r="AO21" s="196"/>
      <c r="AP21" s="174"/>
      <c r="AQ21" s="174"/>
      <c r="AR21" s="174"/>
      <c r="AS21" s="174"/>
      <c r="AT21" s="174"/>
      <c r="AU21" s="174"/>
    </row>
    <row r="22" spans="1:47" s="172" customFormat="1" ht="15" customHeight="1" x14ac:dyDescent="0.15">
      <c r="A22" s="706"/>
      <c r="B22" s="1107"/>
      <c r="C22" s="1107"/>
      <c r="D22" s="200"/>
      <c r="E22" s="601"/>
      <c r="F22" s="196"/>
      <c r="G22" s="174"/>
      <c r="H22" s="174"/>
      <c r="I22" s="174"/>
      <c r="J22" s="174"/>
      <c r="K22" s="174"/>
      <c r="L22" s="174"/>
      <c r="M22" s="174"/>
      <c r="N22" s="174"/>
      <c r="O22" s="174"/>
      <c r="P22" s="179"/>
      <c r="Q22" s="179"/>
      <c r="R22" s="179"/>
      <c r="S22" s="179"/>
      <c r="T22" s="179"/>
      <c r="AM22" s="1390" t="s">
        <v>123</v>
      </c>
      <c r="AO22" s="1390"/>
      <c r="AP22" s="174"/>
      <c r="AQ22" s="186"/>
      <c r="AR22" s="186"/>
      <c r="AS22" s="186"/>
      <c r="AT22" s="201"/>
      <c r="AU22" s="186"/>
    </row>
    <row r="23" spans="1:47" s="172" customFormat="1" ht="12.75" customHeight="1" x14ac:dyDescent="0.15">
      <c r="A23" s="707"/>
      <c r="B23" s="1108"/>
      <c r="C23" s="1108"/>
      <c r="D23" s="515"/>
      <c r="E23" s="596"/>
      <c r="F23" s="324"/>
      <c r="G23" s="174"/>
      <c r="H23" s="186"/>
      <c r="I23" s="186"/>
      <c r="J23" s="186"/>
      <c r="K23" s="201"/>
      <c r="L23" s="186"/>
      <c r="M23" s="174"/>
      <c r="N23" s="174"/>
      <c r="O23" s="174"/>
      <c r="P23" s="179"/>
      <c r="Q23" s="179"/>
      <c r="R23" s="179"/>
      <c r="S23" s="179"/>
      <c r="T23" s="179"/>
      <c r="AN23" s="1390"/>
      <c r="AO23" s="1390"/>
      <c r="AP23" s="174"/>
      <c r="AQ23" s="186"/>
      <c r="AR23" s="186"/>
      <c r="AS23" s="186"/>
      <c r="AT23" s="201"/>
      <c r="AU23" s="186"/>
    </row>
    <row r="24" spans="1:47" s="172" customFormat="1" ht="12.75" customHeight="1" x14ac:dyDescent="0.15">
      <c r="A24" s="698"/>
      <c r="B24" s="1097"/>
      <c r="C24" s="1097"/>
      <c r="E24" s="602"/>
      <c r="F24" s="324"/>
      <c r="G24" s="174"/>
      <c r="H24" s="186"/>
      <c r="I24" s="186"/>
      <c r="J24" s="186"/>
      <c r="K24" s="201"/>
      <c r="L24" s="186"/>
      <c r="M24" s="174"/>
      <c r="N24" s="174"/>
      <c r="O24" s="174"/>
      <c r="P24" s="179"/>
      <c r="Q24" s="179"/>
      <c r="R24" s="179"/>
      <c r="S24" s="179"/>
      <c r="T24" s="179"/>
      <c r="AN24" s="1394"/>
      <c r="AO24" s="1390"/>
      <c r="AP24" s="174"/>
      <c r="AQ24" s="186"/>
      <c r="AR24" s="186"/>
      <c r="AS24" s="186"/>
      <c r="AT24" s="201"/>
      <c r="AU24" s="186"/>
    </row>
    <row r="25" spans="1:47" s="172" customFormat="1" ht="12.75" customHeight="1" x14ac:dyDescent="0.15">
      <c r="A25" s="698"/>
      <c r="B25" s="1097"/>
      <c r="C25" s="1097"/>
      <c r="E25" s="602"/>
      <c r="F25" s="324"/>
      <c r="G25" s="174"/>
      <c r="H25" s="186"/>
      <c r="I25" s="186"/>
      <c r="J25" s="186"/>
      <c r="K25" s="201"/>
      <c r="L25" s="186"/>
      <c r="M25" s="174"/>
      <c r="N25" s="174"/>
      <c r="O25" s="174"/>
      <c r="P25" s="179"/>
      <c r="Q25" s="179"/>
      <c r="R25" s="179"/>
      <c r="S25" s="179"/>
      <c r="T25" s="179"/>
      <c r="AN25" s="1390"/>
      <c r="AO25" s="174"/>
      <c r="AP25" s="186"/>
      <c r="AQ25" s="186"/>
      <c r="AR25" s="186"/>
      <c r="AS25" s="201"/>
      <c r="AT25" s="186"/>
      <c r="AU25" s="174"/>
    </row>
    <row r="26" spans="1:47" s="172" customFormat="1" ht="15.75" customHeight="1" x14ac:dyDescent="0.15">
      <c r="A26" s="698"/>
      <c r="B26" s="1097"/>
      <c r="C26" s="1097"/>
      <c r="E26" s="596"/>
      <c r="F26" s="174"/>
      <c r="G26" s="186"/>
      <c r="H26" s="186"/>
      <c r="I26" s="186"/>
      <c r="J26" s="201"/>
      <c r="K26" s="186"/>
      <c r="L26" s="174"/>
      <c r="M26" s="174"/>
      <c r="N26" s="174"/>
      <c r="O26" s="179"/>
      <c r="P26" s="179"/>
      <c r="Q26" s="179"/>
      <c r="R26" s="179"/>
      <c r="S26" s="179"/>
      <c r="T26" s="179"/>
      <c r="U26" s="173" t="s">
        <v>124</v>
      </c>
      <c r="V26" s="173"/>
      <c r="W26" s="173"/>
      <c r="Y26" s="202"/>
      <c r="Z26" s="202"/>
      <c r="AA26" s="202"/>
      <c r="AB26" s="202"/>
      <c r="AC26" s="202"/>
      <c r="AD26" s="202"/>
      <c r="AE26" s="202"/>
      <c r="AF26" s="202"/>
      <c r="AG26" s="202"/>
      <c r="AH26" s="202"/>
      <c r="AI26" s="202"/>
      <c r="AJ26" s="202"/>
      <c r="AK26" s="202"/>
      <c r="AL26" s="173"/>
      <c r="AO26" s="174"/>
      <c r="AP26" s="186"/>
      <c r="AQ26" s="186"/>
      <c r="AR26" s="186"/>
      <c r="AS26" s="201"/>
      <c r="AT26" s="186"/>
      <c r="AU26" s="174"/>
    </row>
    <row r="27" spans="1:47" s="172" customFormat="1" ht="12.75" customHeight="1" x14ac:dyDescent="0.15">
      <c r="A27" s="698"/>
      <c r="B27" s="1097"/>
      <c r="C27" s="1097"/>
      <c r="E27" s="596"/>
      <c r="F27" s="174"/>
      <c r="G27" s="186"/>
      <c r="H27" s="186"/>
      <c r="I27" s="186"/>
      <c r="J27" s="201"/>
      <c r="K27" s="186"/>
      <c r="L27" s="174"/>
      <c r="M27" s="174"/>
      <c r="N27" s="174"/>
      <c r="O27" s="179"/>
      <c r="P27" s="179"/>
      <c r="Q27" s="179"/>
      <c r="R27" s="179"/>
      <c r="S27" s="179"/>
      <c r="T27" s="179"/>
      <c r="U27" s="172" t="s">
        <v>386</v>
      </c>
      <c r="AO27" s="174"/>
      <c r="AP27" s="186"/>
      <c r="AQ27" s="186"/>
      <c r="AR27" s="186"/>
      <c r="AS27" s="174"/>
      <c r="AT27" s="186"/>
      <c r="AU27" s="174"/>
    </row>
    <row r="28" spans="1:47" s="172" customFormat="1" ht="17.25" customHeight="1" x14ac:dyDescent="0.15">
      <c r="A28" s="708"/>
      <c r="B28" s="1109"/>
      <c r="C28" s="1109"/>
      <c r="D28" s="202"/>
      <c r="E28" s="596"/>
      <c r="F28" s="174"/>
      <c r="G28" s="186"/>
      <c r="H28" s="186"/>
      <c r="I28" s="186"/>
      <c r="J28" s="174"/>
      <c r="K28" s="186"/>
      <c r="L28" s="174"/>
      <c r="M28" s="174"/>
      <c r="N28" s="174"/>
      <c r="O28" s="179"/>
      <c r="P28" s="179"/>
      <c r="Q28" s="179"/>
      <c r="R28" s="179"/>
      <c r="S28" s="179"/>
      <c r="T28" s="179"/>
      <c r="U28" s="203"/>
      <c r="V28" s="249" t="s">
        <v>1022</v>
      </c>
      <c r="X28" s="202">
        <f ca="1">X98</f>
        <v>889200</v>
      </c>
      <c r="Y28" s="1244">
        <f t="shared" ref="Y28:AG28" ca="1" si="0">Y98</f>
        <v>540000</v>
      </c>
      <c r="Z28" s="1244">
        <f ca="1">Z98</f>
        <v>964800</v>
      </c>
      <c r="AA28" s="202">
        <f t="shared" ca="1" si="0"/>
        <v>2412000</v>
      </c>
      <c r="AB28" s="202">
        <f t="shared" ca="1" si="0"/>
        <v>964800</v>
      </c>
      <c r="AC28" s="202">
        <f t="shared" ca="1" si="0"/>
        <v>4824000</v>
      </c>
      <c r="AD28" s="202">
        <f t="shared" ca="1" si="0"/>
        <v>723600</v>
      </c>
      <c r="AE28" s="202">
        <f t="shared" ca="1" si="0"/>
        <v>2894400</v>
      </c>
      <c r="AF28" s="202">
        <f t="shared" ca="1" si="0"/>
        <v>468000</v>
      </c>
      <c r="AG28" s="202">
        <f t="shared" ca="1" si="0"/>
        <v>2412000</v>
      </c>
      <c r="AH28" s="202">
        <f ca="1">AH98</f>
        <v>1688400</v>
      </c>
      <c r="AI28" s="202">
        <f ca="1">AI98</f>
        <v>0</v>
      </c>
      <c r="AJ28" s="202">
        <f ca="1">AJ98</f>
        <v>0</v>
      </c>
      <c r="AK28" s="202">
        <f ca="1">AK98</f>
        <v>0</v>
      </c>
      <c r="AL28" s="202"/>
      <c r="AM28" s="202">
        <f t="shared" ref="AM28:AM35" ca="1" si="1">SUM(X28:AL28)</f>
        <v>18781200</v>
      </c>
      <c r="AO28" s="174"/>
      <c r="AP28" s="174"/>
      <c r="AQ28" s="174"/>
      <c r="AR28" s="174"/>
      <c r="AS28" s="174"/>
      <c r="AT28" s="174"/>
      <c r="AU28" s="174"/>
    </row>
    <row r="29" spans="1:47" s="172" customFormat="1" ht="17.25" customHeight="1" x14ac:dyDescent="0.15">
      <c r="A29" s="708"/>
      <c r="B29" s="1109"/>
      <c r="C29" s="1109"/>
      <c r="D29" s="296"/>
      <c r="E29" s="603"/>
      <c r="F29" s="174"/>
      <c r="G29" s="174"/>
      <c r="H29" s="174"/>
      <c r="I29" s="174"/>
      <c r="J29" s="174"/>
      <c r="K29" s="174"/>
      <c r="L29" s="174"/>
      <c r="M29" s="174"/>
      <c r="N29" s="174"/>
      <c r="O29" s="179"/>
      <c r="P29" s="179"/>
      <c r="Q29" s="179"/>
      <c r="R29" s="179"/>
      <c r="S29" s="179"/>
      <c r="T29" s="179"/>
      <c r="U29" s="203"/>
      <c r="V29" s="249" t="s">
        <v>1023</v>
      </c>
      <c r="W29" s="296"/>
      <c r="X29" s="296">
        <f t="shared" ref="X29:AH29" ca="1" si="2">X103</f>
        <v>0</v>
      </c>
      <c r="Y29" s="1279">
        <f ca="1">Y103</f>
        <v>0</v>
      </c>
      <c r="Z29" s="1279">
        <f ca="1">Z103</f>
        <v>0</v>
      </c>
      <c r="AA29" s="296">
        <f t="shared" ca="1" si="2"/>
        <v>0</v>
      </c>
      <c r="AB29" s="296">
        <f t="shared" ca="1" si="2"/>
        <v>0</v>
      </c>
      <c r="AC29" s="296">
        <f t="shared" ca="1" si="2"/>
        <v>0</v>
      </c>
      <c r="AD29" s="296">
        <f t="shared" ca="1" si="2"/>
        <v>0</v>
      </c>
      <c r="AE29" s="296">
        <f t="shared" ca="1" si="2"/>
        <v>0</v>
      </c>
      <c r="AF29" s="296">
        <f t="shared" ca="1" si="2"/>
        <v>0</v>
      </c>
      <c r="AG29" s="296">
        <f t="shared" ca="1" si="2"/>
        <v>0</v>
      </c>
      <c r="AH29" s="296">
        <f t="shared" ca="1" si="2"/>
        <v>0</v>
      </c>
      <c r="AI29" s="296">
        <f>AI103</f>
        <v>0</v>
      </c>
      <c r="AJ29" s="296">
        <f ca="1">AJ103</f>
        <v>0</v>
      </c>
      <c r="AK29" s="296">
        <f ca="1">AK103</f>
        <v>0</v>
      </c>
      <c r="AL29" s="296"/>
      <c r="AM29" s="296">
        <f t="shared" ca="1" si="1"/>
        <v>0</v>
      </c>
      <c r="AO29" s="174"/>
      <c r="AP29" s="174"/>
      <c r="AQ29" s="174"/>
      <c r="AR29" s="174"/>
      <c r="AS29" s="174"/>
      <c r="AT29" s="174"/>
      <c r="AU29" s="174"/>
    </row>
    <row r="30" spans="1:47" s="172" customFormat="1" ht="17.25" customHeight="1" x14ac:dyDescent="0.15">
      <c r="A30" s="708"/>
      <c r="B30" s="1109"/>
      <c r="C30" s="1109"/>
      <c r="D30" s="202"/>
      <c r="E30" s="603"/>
      <c r="F30" s="174"/>
      <c r="G30" s="174"/>
      <c r="H30" s="174"/>
      <c r="I30" s="174"/>
      <c r="J30" s="174"/>
      <c r="K30" s="174"/>
      <c r="L30" s="174"/>
      <c r="M30" s="174"/>
      <c r="N30" s="174"/>
      <c r="O30" s="179"/>
      <c r="P30" s="179"/>
      <c r="Q30" s="179"/>
      <c r="R30" s="179"/>
      <c r="S30" s="179"/>
      <c r="T30" s="179"/>
      <c r="U30" s="203"/>
      <c r="V30" s="172" t="s">
        <v>1024</v>
      </c>
      <c r="W30" s="202"/>
      <c r="X30" s="1244">
        <f>X171</f>
        <v>0</v>
      </c>
      <c r="Y30" s="1244">
        <f t="shared" ref="Y30:AH30" si="3">Y171</f>
        <v>194987.79</v>
      </c>
      <c r="Z30" s="1244">
        <f t="shared" si="3"/>
        <v>0</v>
      </c>
      <c r="AA30" s="1244">
        <f t="shared" si="3"/>
        <v>377218.44</v>
      </c>
      <c r="AB30" s="1244">
        <f t="shared" si="3"/>
        <v>0</v>
      </c>
      <c r="AC30" s="1244">
        <f t="shared" si="3"/>
        <v>1044087.81</v>
      </c>
      <c r="AD30" s="1244">
        <f t="shared" si="3"/>
        <v>0</v>
      </c>
      <c r="AE30" s="1244">
        <f t="shared" si="3"/>
        <v>861489.45</v>
      </c>
      <c r="AF30" s="1244">
        <f t="shared" si="3"/>
        <v>0</v>
      </c>
      <c r="AG30" s="1244">
        <f t="shared" si="3"/>
        <v>539157.72</v>
      </c>
      <c r="AH30" s="1244">
        <f t="shared" si="3"/>
        <v>0</v>
      </c>
      <c r="AI30" s="1244">
        <f>AI171</f>
        <v>0</v>
      </c>
      <c r="AJ30" s="1244">
        <f>AJ171</f>
        <v>0</v>
      </c>
      <c r="AK30" s="1244">
        <f>AK171</f>
        <v>0</v>
      </c>
      <c r="AL30" s="202"/>
      <c r="AM30" s="202">
        <f t="shared" si="1"/>
        <v>3016941.21</v>
      </c>
      <c r="AO30" s="174"/>
      <c r="AP30" s="174"/>
      <c r="AQ30" s="174"/>
      <c r="AR30" s="174"/>
      <c r="AS30" s="174"/>
      <c r="AT30" s="174"/>
      <c r="AU30" s="174"/>
    </row>
    <row r="31" spans="1:47" s="172" customFormat="1" ht="17.25" customHeight="1" x14ac:dyDescent="0.15">
      <c r="A31" s="708"/>
      <c r="B31" s="1109"/>
      <c r="C31" s="1109"/>
      <c r="D31" s="202"/>
      <c r="E31" s="603"/>
      <c r="F31" s="174"/>
      <c r="G31" s="174"/>
      <c r="H31" s="174"/>
      <c r="I31" s="174"/>
      <c r="J31" s="174"/>
      <c r="K31" s="174"/>
      <c r="L31" s="174"/>
      <c r="M31" s="174"/>
      <c r="N31" s="174"/>
      <c r="O31" s="179"/>
      <c r="P31" s="179"/>
      <c r="Q31" s="179"/>
      <c r="R31" s="179"/>
      <c r="S31" s="179"/>
      <c r="T31" s="179"/>
      <c r="U31" s="203"/>
      <c r="V31" s="172" t="s">
        <v>1025</v>
      </c>
      <c r="W31" s="202"/>
      <c r="X31" s="1548">
        <f t="shared" ref="X31:AK31" si="4">X200</f>
        <v>0</v>
      </c>
      <c r="Y31" s="1915">
        <f t="shared" si="4"/>
        <v>479866.64999999997</v>
      </c>
      <c r="Z31" s="1915">
        <f t="shared" si="4"/>
        <v>1991700.9451636365</v>
      </c>
      <c r="AA31" s="1915">
        <f t="shared" si="4"/>
        <v>479866.64999999997</v>
      </c>
      <c r="AB31" s="1915">
        <f t="shared" si="4"/>
        <v>4623565.3440000005</v>
      </c>
      <c r="AC31" s="1915">
        <f t="shared" si="4"/>
        <v>479866.64999999997</v>
      </c>
      <c r="AD31" s="1915">
        <f t="shared" si="4"/>
        <v>3999991.1851636367</v>
      </c>
      <c r="AE31" s="1915">
        <f t="shared" si="4"/>
        <v>0</v>
      </c>
      <c r="AF31" s="1915">
        <f t="shared" si="4"/>
        <v>569894.40000000002</v>
      </c>
      <c r="AG31" s="1915">
        <f t="shared" si="4"/>
        <v>0</v>
      </c>
      <c r="AH31" s="1915">
        <f t="shared" si="4"/>
        <v>3453890.2125000004</v>
      </c>
      <c r="AI31" s="1915">
        <f t="shared" si="4"/>
        <v>0</v>
      </c>
      <c r="AJ31" s="1915">
        <f t="shared" si="4"/>
        <v>0</v>
      </c>
      <c r="AK31" s="1915">
        <f t="shared" si="4"/>
        <v>0</v>
      </c>
      <c r="AL31" s="202"/>
      <c r="AM31" s="202">
        <f>SUM(X31:AL31)</f>
        <v>16078642.036827274</v>
      </c>
      <c r="AN31" s="202"/>
      <c r="AO31" s="174"/>
      <c r="AP31" s="174"/>
      <c r="AQ31" s="174"/>
      <c r="AR31" s="174"/>
      <c r="AS31" s="174"/>
      <c r="AT31" s="174"/>
      <c r="AU31" s="174"/>
    </row>
    <row r="32" spans="1:47" s="172" customFormat="1" ht="17.25" customHeight="1" x14ac:dyDescent="0.15">
      <c r="A32" s="708"/>
      <c r="B32" s="1109"/>
      <c r="C32" s="1109"/>
      <c r="D32" s="202"/>
      <c r="E32" s="603"/>
      <c r="F32" s="174"/>
      <c r="G32" s="174"/>
      <c r="H32" s="174"/>
      <c r="I32" s="174"/>
      <c r="J32" s="174"/>
      <c r="K32" s="174"/>
      <c r="L32" s="174"/>
      <c r="M32" s="174"/>
      <c r="N32" s="174"/>
      <c r="O32" s="179"/>
      <c r="P32" s="179"/>
      <c r="Q32" s="179"/>
      <c r="R32" s="179"/>
      <c r="S32" s="179"/>
      <c r="T32" s="179"/>
      <c r="U32" s="203"/>
      <c r="V32" s="172" t="s">
        <v>1026</v>
      </c>
      <c r="W32" s="202"/>
      <c r="X32" s="202">
        <f>X263</f>
        <v>0</v>
      </c>
      <c r="Y32" s="1244">
        <f>Y263+Y232</f>
        <v>3048308.8250000002</v>
      </c>
      <c r="Z32" s="1244">
        <f t="shared" ref="Z32:AK32" si="5">Z263+Z232</f>
        <v>0</v>
      </c>
      <c r="AA32" s="1244">
        <f t="shared" si="5"/>
        <v>2112234.9133333336</v>
      </c>
      <c r="AB32" s="1244">
        <f t="shared" si="5"/>
        <v>0</v>
      </c>
      <c r="AC32" s="1244">
        <f t="shared" si="5"/>
        <v>2482997.2792307693</v>
      </c>
      <c r="AD32" s="1244">
        <f t="shared" si="5"/>
        <v>0</v>
      </c>
      <c r="AE32" s="1244">
        <f t="shared" si="5"/>
        <v>2160056.4499999997</v>
      </c>
      <c r="AF32" s="1244">
        <f t="shared" si="5"/>
        <v>0</v>
      </c>
      <c r="AG32" s="1244">
        <f t="shared" si="5"/>
        <v>1960263.7427272729</v>
      </c>
      <c r="AH32" s="1244">
        <f t="shared" si="5"/>
        <v>0</v>
      </c>
      <c r="AI32" s="1244">
        <f t="shared" si="5"/>
        <v>0</v>
      </c>
      <c r="AJ32" s="1244">
        <f t="shared" si="5"/>
        <v>0</v>
      </c>
      <c r="AK32" s="1244">
        <f t="shared" si="5"/>
        <v>0</v>
      </c>
      <c r="AL32" s="202"/>
      <c r="AM32" s="202">
        <f t="shared" si="1"/>
        <v>11763861.210291374</v>
      </c>
      <c r="AO32" s="174"/>
      <c r="AP32" s="174"/>
      <c r="AQ32" s="174"/>
      <c r="AR32" s="174"/>
      <c r="AS32" s="174"/>
      <c r="AT32" s="174"/>
      <c r="AU32" s="174"/>
    </row>
    <row r="33" spans="1:199" s="172" customFormat="1" ht="17.25" customHeight="1" x14ac:dyDescent="0.15">
      <c r="A33" s="708"/>
      <c r="B33" s="1109"/>
      <c r="C33" s="1109"/>
      <c r="D33" s="202"/>
      <c r="E33" s="603"/>
      <c r="F33" s="174"/>
      <c r="G33" s="174"/>
      <c r="H33" s="174"/>
      <c r="I33" s="174"/>
      <c r="J33" s="174"/>
      <c r="K33" s="174"/>
      <c r="L33" s="174"/>
      <c r="M33" s="174"/>
      <c r="N33" s="174"/>
      <c r="O33" s="179"/>
      <c r="P33" s="179"/>
      <c r="Q33" s="179"/>
      <c r="R33" s="179"/>
      <c r="S33" s="179"/>
      <c r="T33" s="179"/>
      <c r="U33" s="203"/>
      <c r="V33" s="172" t="s">
        <v>1027</v>
      </c>
      <c r="W33" s="202"/>
      <c r="X33" s="202">
        <f>X274</f>
        <v>0</v>
      </c>
      <c r="Y33" s="1244">
        <f>Y274</f>
        <v>0</v>
      </c>
      <c r="Z33" s="1244">
        <f>Z274</f>
        <v>0</v>
      </c>
      <c r="AA33" s="202">
        <f>AA274</f>
        <v>0</v>
      </c>
      <c r="AB33" s="202"/>
      <c r="AC33" s="202">
        <f>AC274</f>
        <v>0</v>
      </c>
      <c r="AD33" s="202"/>
      <c r="AE33" s="202">
        <f>AE274</f>
        <v>0</v>
      </c>
      <c r="AF33" s="202"/>
      <c r="AG33" s="202">
        <f>AG274</f>
        <v>0</v>
      </c>
      <c r="AH33" s="202"/>
      <c r="AI33" s="202">
        <f>AI274</f>
        <v>0</v>
      </c>
      <c r="AJ33" s="202">
        <f>AJ274</f>
        <v>0</v>
      </c>
      <c r="AK33" s="202">
        <f>AK274</f>
        <v>0</v>
      </c>
      <c r="AL33" s="202"/>
      <c r="AM33" s="202">
        <f t="shared" si="1"/>
        <v>0</v>
      </c>
      <c r="AO33" s="174"/>
      <c r="AP33" s="174"/>
      <c r="AQ33" s="174"/>
      <c r="AR33" s="174"/>
      <c r="AS33" s="174"/>
      <c r="AT33" s="174"/>
      <c r="AU33" s="174"/>
    </row>
    <row r="34" spans="1:199" s="172" customFormat="1" ht="17.25" customHeight="1" x14ac:dyDescent="0.15">
      <c r="A34" s="708"/>
      <c r="B34" s="1109"/>
      <c r="C34" s="1109"/>
      <c r="D34" s="202"/>
      <c r="E34" s="603"/>
      <c r="F34" s="174"/>
      <c r="G34" s="174"/>
      <c r="H34" s="174"/>
      <c r="I34" s="174"/>
      <c r="J34" s="174"/>
      <c r="K34" s="174"/>
      <c r="L34" s="174"/>
      <c r="M34" s="174"/>
      <c r="N34" s="174"/>
      <c r="O34" s="179"/>
      <c r="P34" s="179"/>
      <c r="Q34" s="179"/>
      <c r="R34" s="179"/>
      <c r="S34" s="179"/>
      <c r="T34" s="179"/>
      <c r="U34" s="203"/>
      <c r="V34" s="172" t="s">
        <v>1028</v>
      </c>
      <c r="W34" s="202"/>
      <c r="X34" s="202">
        <f>X383</f>
        <v>0</v>
      </c>
      <c r="Y34" s="1280"/>
      <c r="Z34" s="1244">
        <f>Z383</f>
        <v>6138173.4549375065</v>
      </c>
      <c r="AB34" s="202">
        <f>AB383</f>
        <v>7161921.7015668498</v>
      </c>
      <c r="AD34" s="202">
        <f>AD383</f>
        <v>9923000.9602692537</v>
      </c>
      <c r="AF34" s="202">
        <f>AF383</f>
        <v>3197721.2179083494</v>
      </c>
      <c r="AH34" s="202">
        <f>AH383</f>
        <v>1847931.96</v>
      </c>
      <c r="AJ34" s="202">
        <f>AJ383</f>
        <v>0</v>
      </c>
      <c r="AK34" s="202">
        <f>AK383</f>
        <v>0</v>
      </c>
      <c r="AL34" s="202"/>
      <c r="AM34" s="202">
        <f t="shared" si="1"/>
        <v>28268749.294681959</v>
      </c>
      <c r="AO34" s="174"/>
      <c r="AP34" s="174"/>
      <c r="AQ34" s="174"/>
      <c r="AR34" s="174"/>
      <c r="AS34" s="174"/>
      <c r="AT34" s="174"/>
      <c r="AU34" s="174"/>
    </row>
    <row r="35" spans="1:199" s="172" customFormat="1" ht="17.25" customHeight="1" thickBot="1" x14ac:dyDescent="0.2">
      <c r="A35" s="708"/>
      <c r="B35" s="1109"/>
      <c r="C35" s="1109"/>
      <c r="D35" s="202"/>
      <c r="E35" s="603"/>
      <c r="F35" s="174"/>
      <c r="G35" s="174"/>
      <c r="H35" s="174"/>
      <c r="I35" s="174"/>
      <c r="J35" s="174"/>
      <c r="K35" s="174"/>
      <c r="L35" s="174"/>
      <c r="M35" s="174"/>
      <c r="N35" s="174"/>
      <c r="O35" s="179"/>
      <c r="P35" s="179"/>
      <c r="Q35" s="179"/>
      <c r="R35" s="179"/>
      <c r="S35" s="179"/>
      <c r="T35" s="179"/>
      <c r="U35" s="203"/>
      <c r="V35" s="172" t="s">
        <v>1040</v>
      </c>
      <c r="W35" s="202"/>
      <c r="X35" s="202">
        <f>X400</f>
        <v>0</v>
      </c>
      <c r="Y35" s="1244">
        <f>Y400</f>
        <v>0</v>
      </c>
      <c r="Z35" s="1244">
        <f>Z400</f>
        <v>0</v>
      </c>
      <c r="AA35" s="202">
        <f t="shared" ref="AA35:AH35" si="6">AA400</f>
        <v>0</v>
      </c>
      <c r="AB35" s="202">
        <f t="shared" si="6"/>
        <v>490690.9</v>
      </c>
      <c r="AC35" s="202">
        <f t="shared" si="6"/>
        <v>0</v>
      </c>
      <c r="AD35" s="202">
        <f t="shared" si="6"/>
        <v>0</v>
      </c>
      <c r="AE35" s="202">
        <f t="shared" si="6"/>
        <v>0</v>
      </c>
      <c r="AF35" s="202">
        <f t="shared" si="6"/>
        <v>0</v>
      </c>
      <c r="AG35" s="202">
        <f t="shared" si="6"/>
        <v>0</v>
      </c>
      <c r="AH35" s="202">
        <f t="shared" si="6"/>
        <v>3014148.2629166665</v>
      </c>
      <c r="AI35" s="202">
        <f>AI400</f>
        <v>0</v>
      </c>
      <c r="AJ35" s="202">
        <f>AJ400</f>
        <v>0</v>
      </c>
      <c r="AK35" s="202">
        <f>AK400</f>
        <v>0</v>
      </c>
      <c r="AL35" s="202"/>
      <c r="AM35" s="202">
        <f t="shared" si="1"/>
        <v>3504839.1629166664</v>
      </c>
      <c r="AO35" s="174"/>
      <c r="AP35" s="174"/>
      <c r="AQ35" s="174"/>
      <c r="AR35" s="174"/>
      <c r="AS35" s="174"/>
      <c r="AT35" s="174"/>
      <c r="AU35" s="174"/>
    </row>
    <row r="36" spans="1:199" s="173" customFormat="1" ht="22.5" customHeight="1" thickBot="1" x14ac:dyDescent="0.2">
      <c r="A36" s="710"/>
      <c r="B36" s="1111"/>
      <c r="C36" s="1111"/>
      <c r="D36" s="520"/>
      <c r="E36" s="604"/>
      <c r="F36" s="209"/>
      <c r="G36" s="209"/>
      <c r="H36" s="209"/>
      <c r="I36" s="209"/>
      <c r="J36" s="209"/>
      <c r="K36" s="209"/>
      <c r="L36" s="209"/>
      <c r="M36" s="209"/>
      <c r="N36" s="209"/>
      <c r="O36" s="210"/>
      <c r="P36" s="210"/>
      <c r="Q36" s="210"/>
      <c r="R36" s="210"/>
      <c r="S36" s="210"/>
      <c r="T36" s="210"/>
      <c r="U36" s="172"/>
      <c r="V36" s="194" t="s">
        <v>101</v>
      </c>
      <c r="W36" s="206"/>
      <c r="X36" s="206">
        <f t="shared" ref="X36:AK36" ca="1" si="7">SUM(X28:X35)</f>
        <v>889200</v>
      </c>
      <c r="Y36" s="206">
        <f t="shared" ca="1" si="7"/>
        <v>4263163.2650000006</v>
      </c>
      <c r="Z36" s="206">
        <f t="shared" ca="1" si="7"/>
        <v>9094674.4001011439</v>
      </c>
      <c r="AA36" s="206">
        <f t="shared" ca="1" si="7"/>
        <v>5381320.0033333339</v>
      </c>
      <c r="AB36" s="206">
        <f t="shared" ca="1" si="7"/>
        <v>13240977.94556685</v>
      </c>
      <c r="AC36" s="206">
        <f t="shared" ca="1" si="7"/>
        <v>8830951.7392307706</v>
      </c>
      <c r="AD36" s="206">
        <f t="shared" ca="1" si="7"/>
        <v>14646592.145432889</v>
      </c>
      <c r="AE36" s="206">
        <f t="shared" ca="1" si="7"/>
        <v>5915945.9000000004</v>
      </c>
      <c r="AF36" s="206">
        <f t="shared" ca="1" si="7"/>
        <v>4235615.6179083493</v>
      </c>
      <c r="AG36" s="206">
        <f t="shared" ca="1" si="7"/>
        <v>4911421.4627272729</v>
      </c>
      <c r="AH36" s="206">
        <f t="shared" ca="1" si="7"/>
        <v>10004370.435416667</v>
      </c>
      <c r="AI36" s="206">
        <f t="shared" ca="1" si="7"/>
        <v>0</v>
      </c>
      <c r="AJ36" s="206">
        <f t="shared" ca="1" si="7"/>
        <v>0</v>
      </c>
      <c r="AK36" s="206">
        <f t="shared" ca="1" si="7"/>
        <v>0</v>
      </c>
      <c r="AL36" s="206"/>
      <c r="AM36" s="207">
        <f ca="1">SUM(AM28:AM35)</f>
        <v>81414232.914717257</v>
      </c>
      <c r="AN36" s="208"/>
      <c r="AO36" s="174"/>
      <c r="AP36" s="174"/>
      <c r="AQ36" s="174"/>
      <c r="AR36" s="174"/>
      <c r="AS36" s="174"/>
      <c r="AT36" s="174"/>
      <c r="AU36" s="174"/>
      <c r="AV36" s="172"/>
      <c r="AW36" s="172"/>
      <c r="AX36" s="172"/>
      <c r="AY36" s="172"/>
      <c r="AZ36" s="172"/>
      <c r="BA36" s="172"/>
      <c r="BB36" s="172"/>
      <c r="BC36" s="172"/>
      <c r="BD36" s="172"/>
      <c r="BE36" s="172"/>
      <c r="BF36" s="172"/>
      <c r="BG36" s="172"/>
      <c r="BH36" s="172"/>
      <c r="BI36" s="172"/>
      <c r="BJ36" s="172"/>
      <c r="BK36" s="172"/>
      <c r="BL36" s="172"/>
      <c r="BM36" s="172"/>
      <c r="BN36" s="172"/>
      <c r="BO36" s="172"/>
      <c r="BP36" s="172"/>
      <c r="BQ36" s="172"/>
      <c r="BR36" s="172"/>
      <c r="BS36" s="172"/>
      <c r="BT36" s="172"/>
      <c r="BU36" s="172"/>
      <c r="BV36" s="172"/>
      <c r="BW36" s="172"/>
      <c r="BX36" s="172"/>
      <c r="BY36" s="172"/>
      <c r="BZ36" s="172"/>
      <c r="CA36" s="172"/>
      <c r="CB36" s="172"/>
      <c r="CC36" s="172"/>
      <c r="CD36" s="172"/>
      <c r="CE36" s="172"/>
      <c r="CF36" s="172"/>
      <c r="CG36" s="172"/>
      <c r="CH36" s="172"/>
      <c r="CI36" s="172"/>
      <c r="CJ36" s="172"/>
      <c r="CK36" s="172"/>
      <c r="CL36" s="172"/>
      <c r="CM36" s="172"/>
      <c r="CN36" s="172"/>
      <c r="CO36" s="172"/>
      <c r="CP36" s="172"/>
      <c r="CQ36" s="172"/>
      <c r="CR36" s="172"/>
      <c r="CS36" s="172"/>
      <c r="CT36" s="172"/>
      <c r="CU36" s="172"/>
      <c r="CV36" s="172"/>
      <c r="CW36" s="172"/>
      <c r="CX36" s="172"/>
      <c r="CY36" s="172"/>
      <c r="CZ36" s="172"/>
      <c r="DA36" s="172"/>
      <c r="DB36" s="172"/>
      <c r="DC36" s="172"/>
      <c r="DD36" s="172"/>
      <c r="DE36" s="172"/>
      <c r="DF36" s="172"/>
      <c r="DG36" s="172"/>
      <c r="DH36" s="172"/>
      <c r="DI36" s="172"/>
      <c r="DJ36" s="172"/>
      <c r="DK36" s="172"/>
      <c r="DL36" s="172"/>
      <c r="DM36" s="172"/>
      <c r="DN36" s="172"/>
      <c r="DO36" s="172"/>
      <c r="DP36" s="172"/>
      <c r="DQ36" s="172"/>
      <c r="DR36" s="172"/>
      <c r="DS36" s="172"/>
      <c r="DT36" s="172"/>
      <c r="DU36" s="172"/>
      <c r="DV36" s="172"/>
      <c r="DW36" s="172"/>
      <c r="DX36" s="172"/>
      <c r="DY36" s="172"/>
      <c r="DZ36" s="172"/>
      <c r="EA36" s="172"/>
      <c r="EB36" s="172"/>
      <c r="EC36" s="172"/>
      <c r="ED36" s="172"/>
      <c r="EE36" s="172"/>
      <c r="EF36" s="172"/>
      <c r="EG36" s="172"/>
      <c r="EH36" s="172"/>
      <c r="EI36" s="172"/>
      <c r="EJ36" s="172"/>
      <c r="EK36" s="172"/>
      <c r="EL36" s="172"/>
      <c r="EM36" s="172"/>
      <c r="EN36" s="172"/>
      <c r="EO36" s="172"/>
      <c r="EP36" s="172"/>
      <c r="EQ36" s="172"/>
      <c r="ER36" s="172"/>
      <c r="ES36" s="172"/>
      <c r="ET36" s="172"/>
      <c r="EU36" s="172"/>
      <c r="EV36" s="172"/>
      <c r="EW36" s="172"/>
      <c r="EX36" s="172"/>
      <c r="EY36" s="172"/>
      <c r="EZ36" s="172"/>
      <c r="FA36" s="172"/>
      <c r="FB36" s="172"/>
      <c r="FC36" s="172"/>
      <c r="FD36" s="172"/>
      <c r="FE36" s="172"/>
      <c r="FF36" s="172"/>
      <c r="FG36" s="172"/>
      <c r="FH36" s="172"/>
      <c r="FI36" s="172"/>
      <c r="FJ36" s="172"/>
      <c r="FK36" s="172"/>
      <c r="FL36" s="172"/>
      <c r="FM36" s="172"/>
      <c r="FN36" s="172"/>
      <c r="FO36" s="172"/>
      <c r="FP36" s="172"/>
      <c r="FQ36" s="172"/>
      <c r="FR36" s="172"/>
      <c r="FS36" s="172"/>
      <c r="FT36" s="172"/>
      <c r="FU36" s="172"/>
      <c r="FV36" s="172"/>
      <c r="FW36" s="172"/>
      <c r="FX36" s="172"/>
      <c r="FY36" s="172"/>
      <c r="FZ36" s="172"/>
      <c r="GA36" s="172"/>
      <c r="GB36" s="172"/>
      <c r="GC36" s="172"/>
      <c r="GD36" s="172"/>
      <c r="GE36" s="172"/>
      <c r="GF36" s="172"/>
      <c r="GG36" s="172"/>
      <c r="GH36" s="172"/>
      <c r="GI36" s="172"/>
      <c r="GJ36" s="172"/>
      <c r="GK36" s="172"/>
      <c r="GL36" s="172"/>
      <c r="GM36" s="172"/>
      <c r="GN36" s="172"/>
      <c r="GO36" s="172"/>
      <c r="GP36" s="172"/>
      <c r="GQ36" s="172"/>
    </row>
    <row r="37" spans="1:199" s="172" customFormat="1" ht="12.75" customHeight="1" x14ac:dyDescent="0.15">
      <c r="A37" s="709"/>
      <c r="B37" s="1110"/>
      <c r="C37" s="1110"/>
      <c r="D37" s="257"/>
      <c r="E37" s="603"/>
      <c r="F37" s="174"/>
      <c r="G37" s="174"/>
      <c r="H37" s="174"/>
      <c r="I37" s="174"/>
      <c r="J37" s="174"/>
      <c r="K37" s="174"/>
      <c r="L37" s="174"/>
      <c r="M37" s="174"/>
      <c r="N37" s="174"/>
      <c r="O37" s="179"/>
      <c r="P37" s="179"/>
      <c r="Q37" s="179"/>
      <c r="R37" s="179"/>
      <c r="S37" s="179"/>
      <c r="T37" s="179"/>
      <c r="U37" s="1392"/>
      <c r="W37" s="202"/>
      <c r="X37" s="202"/>
      <c r="Y37" s="202"/>
      <c r="Z37" s="202"/>
      <c r="AA37" s="202"/>
      <c r="AB37" s="202"/>
      <c r="AC37" s="202"/>
      <c r="AD37" s="202"/>
      <c r="AG37" s="202"/>
      <c r="AH37" s="202"/>
      <c r="AI37" s="202"/>
      <c r="AJ37" s="202"/>
      <c r="AK37" s="202"/>
      <c r="AM37" s="211"/>
      <c r="AN37" s="202"/>
      <c r="AO37" s="174"/>
      <c r="AP37" s="174"/>
      <c r="AQ37" s="174"/>
      <c r="AR37" s="174"/>
      <c r="AS37" s="174"/>
      <c r="AT37" s="174"/>
      <c r="AU37" s="174"/>
    </row>
    <row r="38" spans="1:199" s="172" customFormat="1" ht="15.75" customHeight="1" x14ac:dyDescent="0.15">
      <c r="A38" s="708"/>
      <c r="B38" s="1109"/>
      <c r="C38" s="1109"/>
      <c r="D38" s="202"/>
      <c r="E38" s="603"/>
      <c r="F38" s="174"/>
      <c r="G38" s="174"/>
      <c r="H38" s="174"/>
      <c r="I38" s="174"/>
      <c r="J38" s="174"/>
      <c r="K38" s="174"/>
      <c r="L38" s="174"/>
      <c r="M38" s="174"/>
      <c r="N38" s="174"/>
      <c r="O38" s="179"/>
      <c r="P38" s="179"/>
      <c r="Q38" s="179"/>
      <c r="R38" s="179"/>
      <c r="S38" s="179"/>
      <c r="T38" s="179"/>
      <c r="U38" s="173" t="s">
        <v>127</v>
      </c>
      <c r="V38" s="173"/>
      <c r="W38" s="173"/>
      <c r="X38" s="202"/>
      <c r="Y38" s="202"/>
      <c r="Z38" s="202"/>
      <c r="AA38" s="202"/>
      <c r="AB38" s="202"/>
      <c r="AC38" s="202"/>
      <c r="AD38" s="202"/>
      <c r="AG38" s="202"/>
      <c r="AH38" s="202"/>
      <c r="AI38" s="202"/>
      <c r="AJ38" s="202"/>
      <c r="AK38" s="202"/>
      <c r="AL38" s="173"/>
      <c r="AM38" s="202"/>
      <c r="AN38" s="202"/>
      <c r="AO38" s="174"/>
      <c r="AP38" s="174"/>
      <c r="AQ38" s="174"/>
      <c r="AR38" s="174"/>
      <c r="AS38" s="174"/>
      <c r="AT38" s="174"/>
      <c r="AU38" s="174"/>
    </row>
    <row r="39" spans="1:199" s="172" customFormat="1" ht="12.75" customHeight="1" x14ac:dyDescent="0.15">
      <c r="A39" s="708"/>
      <c r="B39" s="1109"/>
      <c r="C39" s="1109"/>
      <c r="D39" s="202"/>
      <c r="E39" s="603"/>
      <c r="F39" s="174"/>
      <c r="G39" s="174"/>
      <c r="H39" s="174"/>
      <c r="I39" s="174"/>
      <c r="J39" s="174"/>
      <c r="K39" s="174"/>
      <c r="L39" s="174"/>
      <c r="M39" s="174"/>
      <c r="N39" s="174"/>
      <c r="O39" s="179"/>
      <c r="P39" s="179"/>
      <c r="Q39" s="179"/>
      <c r="R39" s="179"/>
      <c r="S39" s="179"/>
      <c r="T39" s="179"/>
      <c r="X39" s="202"/>
      <c r="Y39" s="202"/>
      <c r="Z39" s="202"/>
      <c r="AA39" s="202"/>
      <c r="AB39" s="202"/>
      <c r="AC39" s="202"/>
      <c r="AD39" s="202"/>
      <c r="AG39" s="202"/>
      <c r="AH39" s="202"/>
      <c r="AI39" s="202"/>
      <c r="AJ39" s="202"/>
      <c r="AK39" s="202"/>
      <c r="AM39" s="202"/>
      <c r="AN39" s="202"/>
      <c r="AO39" s="174"/>
      <c r="AP39" s="174"/>
      <c r="AQ39" s="174"/>
      <c r="AR39" s="174"/>
      <c r="AS39" s="174"/>
      <c r="AT39" s="174"/>
      <c r="AU39" s="174"/>
    </row>
    <row r="40" spans="1:199" s="172" customFormat="1" ht="17.25" customHeight="1" x14ac:dyDescent="0.15">
      <c r="A40" s="708"/>
      <c r="B40" s="1109"/>
      <c r="C40" s="1109"/>
      <c r="D40" s="202"/>
      <c r="E40" s="603"/>
      <c r="F40" s="174"/>
      <c r="G40" s="174"/>
      <c r="H40" s="174"/>
      <c r="I40" s="174"/>
      <c r="J40" s="174"/>
      <c r="K40" s="174"/>
      <c r="L40" s="174"/>
      <c r="M40" s="174"/>
      <c r="N40" s="174"/>
      <c r="O40" s="179"/>
      <c r="P40" s="179"/>
      <c r="Q40" s="179"/>
      <c r="R40" s="179"/>
      <c r="S40" s="179"/>
      <c r="T40" s="179"/>
      <c r="U40" s="1392"/>
      <c r="V40" s="172" t="s">
        <v>128</v>
      </c>
      <c r="X40" s="202"/>
      <c r="Y40" s="202"/>
      <c r="Z40" s="202"/>
      <c r="AA40" s="202"/>
      <c r="AB40" s="202"/>
      <c r="AC40" s="202"/>
      <c r="AD40" s="202"/>
      <c r="AG40" s="202"/>
      <c r="AH40" s="202"/>
      <c r="AI40" s="202"/>
      <c r="AJ40" s="202"/>
      <c r="AK40" s="202"/>
      <c r="AM40" s="202"/>
      <c r="AN40" s="202"/>
      <c r="AO40" s="174"/>
      <c r="AP40" s="174"/>
      <c r="AQ40" s="174"/>
      <c r="AR40" s="174"/>
      <c r="AS40" s="174"/>
      <c r="AT40" s="174"/>
      <c r="AU40" s="174"/>
    </row>
    <row r="41" spans="1:199" s="172" customFormat="1" ht="17.25" customHeight="1" x14ac:dyDescent="0.15">
      <c r="A41" s="708"/>
      <c r="B41" s="1109"/>
      <c r="C41" s="1109"/>
      <c r="D41" s="202"/>
      <c r="E41" s="596"/>
      <c r="F41" s="174"/>
      <c r="G41" s="174"/>
      <c r="H41" s="174"/>
      <c r="I41" s="174"/>
      <c r="J41" s="174"/>
      <c r="K41" s="174"/>
      <c r="L41" s="174"/>
      <c r="M41" s="174"/>
      <c r="N41" s="174"/>
      <c r="O41" s="179"/>
      <c r="P41" s="179"/>
      <c r="Q41" s="179"/>
      <c r="R41" s="179"/>
      <c r="S41" s="179"/>
      <c r="T41" s="179"/>
      <c r="U41" s="1392"/>
      <c r="V41" s="181" t="s">
        <v>1029</v>
      </c>
      <c r="W41" s="181"/>
      <c r="X41" s="202">
        <f ca="1">X437</f>
        <v>1026185.26725</v>
      </c>
      <c r="Y41" s="202">
        <f ca="1">Y437</f>
        <v>238488.06149999998</v>
      </c>
      <c r="Z41" s="202">
        <f ca="1">Z437</f>
        <v>402868.46924999997</v>
      </c>
      <c r="AA41" s="202">
        <f t="shared" ref="AA41:AG41" ca="1" si="8">AA437</f>
        <v>494868.17249999999</v>
      </c>
      <c r="AB41" s="202">
        <f t="shared" ca="1" si="8"/>
        <v>402868.46924999997</v>
      </c>
      <c r="AC41" s="202">
        <f t="shared" ca="1" si="8"/>
        <v>974010.81374999997</v>
      </c>
      <c r="AD41" s="202">
        <f t="shared" ca="1" si="8"/>
        <v>307039.94099999993</v>
      </c>
      <c r="AE41" s="202">
        <f t="shared" ca="1" si="8"/>
        <v>574971.16949999996</v>
      </c>
      <c r="AF41" s="202">
        <f t="shared" ca="1" si="8"/>
        <v>191657.05649999998</v>
      </c>
      <c r="AG41" s="202">
        <f t="shared" ca="1" si="8"/>
        <v>479142.64124999999</v>
      </c>
      <c r="AH41" s="202">
        <f ca="1">AH437</f>
        <v>1270358.8852500001</v>
      </c>
      <c r="AI41" s="202">
        <f ca="1">AI437</f>
        <v>0</v>
      </c>
      <c r="AJ41" s="202">
        <f ca="1">AJ437</f>
        <v>0</v>
      </c>
      <c r="AK41" s="202">
        <f ca="1">AK437</f>
        <v>0</v>
      </c>
      <c r="AL41" s="202"/>
      <c r="AM41" s="202">
        <f t="shared" ref="AM41:AM47" ca="1" si="9">SUM(X41:AL41)</f>
        <v>6362458.9470000006</v>
      </c>
      <c r="AO41" s="174"/>
      <c r="AP41" s="174"/>
      <c r="AQ41" s="174"/>
      <c r="AR41" s="174"/>
      <c r="AS41" s="174"/>
      <c r="AT41" s="174"/>
      <c r="AU41" s="174"/>
    </row>
    <row r="42" spans="1:199" s="172" customFormat="1" ht="17.25" customHeight="1" x14ac:dyDescent="0.15">
      <c r="A42" s="708"/>
      <c r="B42" s="1109"/>
      <c r="C42" s="1109"/>
      <c r="D42" s="202"/>
      <c r="E42" s="596"/>
      <c r="F42" s="174"/>
      <c r="G42" s="174"/>
      <c r="H42" s="174"/>
      <c r="I42" s="174"/>
      <c r="J42" s="174"/>
      <c r="K42" s="174"/>
      <c r="L42" s="174"/>
      <c r="M42" s="174"/>
      <c r="N42" s="174"/>
      <c r="O42" s="179"/>
      <c r="P42" s="179"/>
      <c r="Q42" s="179"/>
      <c r="R42" s="179"/>
      <c r="S42" s="179"/>
      <c r="T42" s="179"/>
      <c r="U42" s="1392"/>
      <c r="V42" s="181" t="s">
        <v>2209</v>
      </c>
      <c r="W42" s="181" t="str">
        <f>IF(INPUT!$H$13="Yes","(with PWD)","")</f>
        <v>(with PWD)</v>
      </c>
      <c r="X42" s="202">
        <f>X576</f>
        <v>1983709.26</v>
      </c>
      <c r="Y42" s="202">
        <f ca="1">Y576</f>
        <v>1000612.86</v>
      </c>
      <c r="Z42" s="202">
        <f ca="1">Z576</f>
        <v>1607403.72</v>
      </c>
      <c r="AA42" s="202">
        <f t="shared" ref="AA42:AH42" ca="1" si="10">AA576</f>
        <v>2152091.37</v>
      </c>
      <c r="AB42" s="202">
        <f t="shared" ca="1" si="10"/>
        <v>1575924.48</v>
      </c>
      <c r="AC42" s="202">
        <f t="shared" ca="1" si="10"/>
        <v>3869201.7</v>
      </c>
      <c r="AD42" s="202">
        <f t="shared" ca="1" si="10"/>
        <v>2051247.0299999998</v>
      </c>
      <c r="AE42" s="202">
        <f t="shared" ca="1" si="10"/>
        <v>4503727.38</v>
      </c>
      <c r="AF42" s="202">
        <f t="shared" ca="1" si="10"/>
        <v>1099671.18</v>
      </c>
      <c r="AG42" s="202">
        <f t="shared" ca="1" si="10"/>
        <v>3151430.25</v>
      </c>
      <c r="AH42" s="202">
        <f t="shared" ca="1" si="10"/>
        <v>808066.44</v>
      </c>
      <c r="AI42" s="202">
        <f ca="1">AI576</f>
        <v>0</v>
      </c>
      <c r="AJ42" s="202">
        <f ca="1">AJ576</f>
        <v>0</v>
      </c>
      <c r="AK42" s="202">
        <f>AK576</f>
        <v>0</v>
      </c>
      <c r="AL42" s="202"/>
      <c r="AM42" s="202">
        <f t="shared" ca="1" si="9"/>
        <v>23803085.670000002</v>
      </c>
      <c r="AO42" s="174"/>
      <c r="AP42" s="174"/>
      <c r="AQ42" s="174"/>
      <c r="AR42" s="174"/>
      <c r="AS42" s="174"/>
      <c r="AT42" s="174"/>
      <c r="AU42" s="174"/>
    </row>
    <row r="43" spans="1:199" s="172" customFormat="1" ht="17.25" customHeight="1" x14ac:dyDescent="0.15">
      <c r="A43" s="708"/>
      <c r="B43" s="1109"/>
      <c r="C43" s="1109"/>
      <c r="D43" s="202"/>
      <c r="E43" s="596"/>
      <c r="F43" s="174"/>
      <c r="G43" s="174"/>
      <c r="H43" s="174"/>
      <c r="I43" s="174"/>
      <c r="J43" s="174"/>
      <c r="K43" s="174"/>
      <c r="L43" s="174"/>
      <c r="M43" s="174"/>
      <c r="N43" s="174"/>
      <c r="O43" s="179"/>
      <c r="P43" s="179"/>
      <c r="Q43" s="179"/>
      <c r="R43" s="179"/>
      <c r="S43" s="179"/>
      <c r="T43" s="179"/>
      <c r="U43" s="1392"/>
      <c r="V43" s="181" t="s">
        <v>1030</v>
      </c>
      <c r="W43" s="181"/>
      <c r="X43" s="202">
        <f>X587</f>
        <v>144585</v>
      </c>
      <c r="Y43" s="202">
        <f>Y587</f>
        <v>96390</v>
      </c>
      <c r="Z43" s="202">
        <f>Z587</f>
        <v>192780</v>
      </c>
      <c r="AA43" s="202">
        <f>AA587</f>
        <v>240975</v>
      </c>
      <c r="AB43" s="202">
        <f t="shared" ref="AB43:AH43" si="11">AB587</f>
        <v>192780</v>
      </c>
      <c r="AC43" s="202">
        <f t="shared" si="11"/>
        <v>481950</v>
      </c>
      <c r="AD43" s="202">
        <f t="shared" si="11"/>
        <v>144585</v>
      </c>
      <c r="AE43" s="202">
        <f t="shared" si="11"/>
        <v>289170</v>
      </c>
      <c r="AF43" s="202">
        <f t="shared" si="11"/>
        <v>96390</v>
      </c>
      <c r="AG43" s="202">
        <f t="shared" si="11"/>
        <v>240975</v>
      </c>
      <c r="AH43" s="202">
        <f t="shared" si="11"/>
        <v>240975</v>
      </c>
      <c r="AI43" s="202">
        <f>AI587</f>
        <v>0</v>
      </c>
      <c r="AJ43" s="202">
        <f>AJ587</f>
        <v>0</v>
      </c>
      <c r="AK43" s="202">
        <f>AK587</f>
        <v>0</v>
      </c>
      <c r="AL43" s="202"/>
      <c r="AM43" s="202">
        <f t="shared" si="9"/>
        <v>2361555</v>
      </c>
      <c r="AO43" s="174"/>
      <c r="AP43" s="174"/>
      <c r="AQ43" s="174"/>
      <c r="AR43" s="174"/>
      <c r="AS43" s="174"/>
      <c r="AT43" s="174"/>
      <c r="AU43" s="174"/>
    </row>
    <row r="44" spans="1:199" s="172" customFormat="1" ht="17.25" customHeight="1" x14ac:dyDescent="0.15">
      <c r="A44" s="708"/>
      <c r="B44" s="1109"/>
      <c r="C44" s="1109"/>
      <c r="D44" s="202"/>
      <c r="E44" s="596"/>
      <c r="F44" s="174"/>
      <c r="G44" s="174"/>
      <c r="H44" s="174"/>
      <c r="I44" s="174"/>
      <c r="J44" s="174"/>
      <c r="K44" s="174"/>
      <c r="L44" s="174"/>
      <c r="M44" s="174"/>
      <c r="N44" s="174"/>
      <c r="O44" s="179"/>
      <c r="P44" s="179"/>
      <c r="Q44" s="179"/>
      <c r="R44" s="179"/>
      <c r="S44" s="179"/>
      <c r="T44" s="179"/>
      <c r="U44" s="1392"/>
      <c r="V44" s="181" t="s">
        <v>1031</v>
      </c>
      <c r="W44" s="181"/>
      <c r="X44" s="202">
        <f ca="1">X635</f>
        <v>3808642.2600000002</v>
      </c>
      <c r="Y44" s="202">
        <f ca="1">Y635</f>
        <v>1899446.04</v>
      </c>
      <c r="Z44" s="202">
        <f ca="1">Z635</f>
        <v>1683714</v>
      </c>
      <c r="AA44" s="202">
        <f t="shared" ref="AA44:AH44" ca="1" si="12">AA635</f>
        <v>3188015.0999999996</v>
      </c>
      <c r="AB44" s="202">
        <f t="shared" ca="1" si="12"/>
        <v>1617214.08</v>
      </c>
      <c r="AC44" s="202">
        <f t="shared" ca="1" si="12"/>
        <v>5668930.5</v>
      </c>
      <c r="AD44" s="202">
        <f t="shared" ca="1" si="12"/>
        <v>1288569.06</v>
      </c>
      <c r="AE44" s="202">
        <f t="shared" ca="1" si="12"/>
        <v>3640038.3000000003</v>
      </c>
      <c r="AF44" s="202">
        <f t="shared" ca="1" si="12"/>
        <v>859046.04</v>
      </c>
      <c r="AG44" s="202">
        <f t="shared" ca="1" si="12"/>
        <v>3578165.0999999996</v>
      </c>
      <c r="AH44" s="202">
        <f t="shared" ca="1" si="12"/>
        <v>3006661.14</v>
      </c>
      <c r="AI44" s="202">
        <f ca="1">AI635</f>
        <v>0</v>
      </c>
      <c r="AJ44" s="202">
        <f ca="1">AJ635</f>
        <v>0</v>
      </c>
      <c r="AK44" s="202">
        <f ca="1">AK635</f>
        <v>0</v>
      </c>
      <c r="AL44" s="202"/>
      <c r="AM44" s="202">
        <f t="shared" ca="1" si="9"/>
        <v>30238441.619999997</v>
      </c>
      <c r="AO44" s="174"/>
      <c r="AP44" s="174"/>
      <c r="AQ44" s="174"/>
      <c r="AR44" s="174"/>
      <c r="AS44" s="174"/>
      <c r="AT44" s="174"/>
      <c r="AU44" s="174"/>
    </row>
    <row r="45" spans="1:199" s="172" customFormat="1" ht="17.25" customHeight="1" x14ac:dyDescent="0.15">
      <c r="A45" s="708"/>
      <c r="B45" s="1109"/>
      <c r="C45" s="1109"/>
      <c r="D45" s="202"/>
      <c r="E45" s="603"/>
      <c r="F45" s="174"/>
      <c r="G45" s="174"/>
      <c r="H45" s="174"/>
      <c r="I45" s="174"/>
      <c r="J45" s="174"/>
      <c r="K45" s="174"/>
      <c r="L45" s="174"/>
      <c r="M45" s="174"/>
      <c r="N45" s="174"/>
      <c r="O45" s="179"/>
      <c r="P45" s="179"/>
      <c r="Q45" s="179"/>
      <c r="R45" s="179"/>
      <c r="S45" s="179"/>
      <c r="T45" s="179"/>
      <c r="U45" s="1392"/>
      <c r="V45" s="181" t="s">
        <v>1097</v>
      </c>
      <c r="W45" s="181"/>
      <c r="X45" s="202">
        <f>X656</f>
        <v>633165</v>
      </c>
      <c r="Y45" s="202">
        <f ca="1">Y656</f>
        <v>97410</v>
      </c>
      <c r="Z45" s="202">
        <f ca="1">Z656</f>
        <v>194820</v>
      </c>
      <c r="AA45" s="202">
        <f t="shared" ref="AA45:AH45" ca="1" si="13">AA656</f>
        <v>243525</v>
      </c>
      <c r="AB45" s="202">
        <f t="shared" ca="1" si="13"/>
        <v>194820</v>
      </c>
      <c r="AC45" s="202">
        <f t="shared" ca="1" si="13"/>
        <v>487050</v>
      </c>
      <c r="AD45" s="202">
        <f t="shared" ca="1" si="13"/>
        <v>146115</v>
      </c>
      <c r="AE45" s="202">
        <f t="shared" ca="1" si="13"/>
        <v>292230</v>
      </c>
      <c r="AF45" s="202">
        <f t="shared" ca="1" si="13"/>
        <v>97410</v>
      </c>
      <c r="AG45" s="202">
        <f t="shared" ca="1" si="13"/>
        <v>3563625</v>
      </c>
      <c r="AH45" s="202">
        <f t="shared" si="13"/>
        <v>340935</v>
      </c>
      <c r="AI45" s="202">
        <f ca="1">AI656</f>
        <v>0</v>
      </c>
      <c r="AJ45" s="202">
        <f ca="1">AJ656</f>
        <v>0</v>
      </c>
      <c r="AK45" s="202">
        <f>AK656</f>
        <v>0</v>
      </c>
      <c r="AL45" s="202"/>
      <c r="AM45" s="202">
        <f t="shared" ca="1" si="9"/>
        <v>6291105</v>
      </c>
      <c r="AO45" s="174"/>
      <c r="AP45" s="174"/>
      <c r="AQ45" s="174"/>
      <c r="AR45" s="174"/>
      <c r="AS45" s="174"/>
      <c r="AT45" s="174"/>
      <c r="AU45" s="174"/>
    </row>
    <row r="46" spans="1:199" s="172" customFormat="1" ht="17.25" customHeight="1" x14ac:dyDescent="0.15">
      <c r="A46" s="708"/>
      <c r="B46" s="1109"/>
      <c r="C46" s="1109"/>
      <c r="D46" s="202"/>
      <c r="E46" s="603"/>
      <c r="F46" s="174"/>
      <c r="G46" s="174"/>
      <c r="H46" s="174"/>
      <c r="I46" s="174"/>
      <c r="J46" s="174"/>
      <c r="K46" s="174"/>
      <c r="L46" s="174"/>
      <c r="M46" s="174"/>
      <c r="N46" s="174"/>
      <c r="O46" s="179"/>
      <c r="P46" s="179"/>
      <c r="Q46" s="179"/>
      <c r="R46" s="179"/>
      <c r="S46" s="179"/>
      <c r="T46" s="179"/>
      <c r="U46" s="1392"/>
      <c r="V46" s="181" t="s">
        <v>2167</v>
      </c>
      <c r="W46" s="181"/>
      <c r="X46" s="202">
        <f>X681</f>
        <v>0</v>
      </c>
      <c r="Y46" s="202">
        <f>Y681</f>
        <v>0</v>
      </c>
      <c r="Z46" s="202">
        <f>Z681</f>
        <v>0</v>
      </c>
      <c r="AA46" s="202">
        <f t="shared" ref="AA46:AH46" si="14">AA681</f>
        <v>437500</v>
      </c>
      <c r="AB46" s="202">
        <f t="shared" si="14"/>
        <v>938713</v>
      </c>
      <c r="AC46" s="202">
        <f t="shared" si="14"/>
        <v>0</v>
      </c>
      <c r="AD46" s="202">
        <f t="shared" si="14"/>
        <v>0</v>
      </c>
      <c r="AE46" s="202">
        <f t="shared" si="14"/>
        <v>0</v>
      </c>
      <c r="AF46" s="202">
        <f t="shared" si="14"/>
        <v>0</v>
      </c>
      <c r="AG46" s="202">
        <f t="shared" si="14"/>
        <v>0</v>
      </c>
      <c r="AH46" s="202">
        <f t="shared" si="14"/>
        <v>0</v>
      </c>
      <c r="AI46" s="202">
        <f>AI681</f>
        <v>0</v>
      </c>
      <c r="AJ46" s="202">
        <f>AJ681</f>
        <v>0</v>
      </c>
      <c r="AK46" s="202">
        <f>AK681</f>
        <v>0</v>
      </c>
      <c r="AL46" s="202"/>
      <c r="AM46" s="202">
        <f t="shared" si="9"/>
        <v>1376213</v>
      </c>
      <c r="AO46" s="174"/>
      <c r="AP46" s="174"/>
      <c r="AQ46" s="174"/>
      <c r="AR46" s="174"/>
      <c r="AS46" s="174"/>
      <c r="AT46" s="174"/>
      <c r="AU46" s="174"/>
    </row>
    <row r="47" spans="1:199" s="172" customFormat="1" ht="17.25" customHeight="1" x14ac:dyDescent="0.15">
      <c r="A47" s="708"/>
      <c r="B47" s="1109"/>
      <c r="C47" s="1109"/>
      <c r="D47" s="202"/>
      <c r="E47" s="603"/>
      <c r="F47" s="174"/>
      <c r="G47" s="174"/>
      <c r="H47" s="174"/>
      <c r="I47" s="174"/>
      <c r="J47" s="174"/>
      <c r="K47" s="174"/>
      <c r="L47" s="174"/>
      <c r="M47" s="174"/>
      <c r="N47" s="174"/>
      <c r="O47" s="179"/>
      <c r="P47" s="179"/>
      <c r="Q47" s="179"/>
      <c r="R47" s="179"/>
      <c r="S47" s="179"/>
      <c r="T47" s="179"/>
      <c r="U47" s="1392"/>
      <c r="V47" s="181" t="s">
        <v>1032</v>
      </c>
      <c r="W47" s="181"/>
      <c r="X47" s="202">
        <f>X692</f>
        <v>555451.19999999995</v>
      </c>
      <c r="Y47" s="202">
        <f ca="1">Y692</f>
        <v>94982.400000000009</v>
      </c>
      <c r="Z47" s="202">
        <f ca="1">Z692</f>
        <v>189964.80000000002</v>
      </c>
      <c r="AA47" s="202">
        <f t="shared" ref="AA47:AH47" ca="1" si="15">AA692</f>
        <v>237456</v>
      </c>
      <c r="AB47" s="202">
        <f t="shared" ca="1" si="15"/>
        <v>189964.80000000002</v>
      </c>
      <c r="AC47" s="202">
        <f t="shared" ca="1" si="15"/>
        <v>474912</v>
      </c>
      <c r="AD47" s="202">
        <f t="shared" ca="1" si="15"/>
        <v>142473.60000000001</v>
      </c>
      <c r="AE47" s="202">
        <f t="shared" ca="1" si="15"/>
        <v>284947.20000000001</v>
      </c>
      <c r="AF47" s="202">
        <f t="shared" ca="1" si="15"/>
        <v>94982.400000000009</v>
      </c>
      <c r="AG47" s="202">
        <f t="shared" ca="1" si="15"/>
        <v>237456</v>
      </c>
      <c r="AH47" s="202">
        <f t="shared" si="15"/>
        <v>332438.40000000002</v>
      </c>
      <c r="AI47" s="202">
        <f ca="1">AI692</f>
        <v>0</v>
      </c>
      <c r="AJ47" s="202">
        <f ca="1">AJ692</f>
        <v>0</v>
      </c>
      <c r="AK47" s="202">
        <f ca="1">AK692</f>
        <v>0</v>
      </c>
      <c r="AL47" s="202"/>
      <c r="AM47" s="202">
        <f t="shared" ca="1" si="9"/>
        <v>2835028.8</v>
      </c>
      <c r="AO47" s="174"/>
      <c r="AP47" s="174"/>
      <c r="AQ47" s="174"/>
      <c r="AR47" s="174"/>
      <c r="AS47" s="174"/>
      <c r="AT47" s="174"/>
      <c r="AU47" s="174"/>
    </row>
    <row r="48" spans="1:199" s="172" customFormat="1" ht="17.25" customHeight="1" x14ac:dyDescent="0.15">
      <c r="A48" s="708"/>
      <c r="B48" s="1109"/>
      <c r="C48" s="1109"/>
      <c r="D48" s="202"/>
      <c r="E48" s="603"/>
      <c r="F48" s="174"/>
      <c r="G48" s="174"/>
      <c r="H48" s="174"/>
      <c r="I48" s="174"/>
      <c r="J48" s="174"/>
      <c r="K48" s="174"/>
      <c r="L48" s="174"/>
      <c r="M48" s="174"/>
      <c r="N48" s="174"/>
      <c r="O48" s="179"/>
      <c r="P48" s="179"/>
      <c r="Q48" s="179"/>
      <c r="R48" s="179"/>
      <c r="S48" s="179"/>
      <c r="T48" s="179"/>
      <c r="U48" s="1392"/>
      <c r="V48" s="181" t="s">
        <v>1033</v>
      </c>
      <c r="W48" s="181"/>
      <c r="X48" s="202">
        <f>X700</f>
        <v>1482125.8064516129</v>
      </c>
      <c r="Y48" s="202">
        <f>Y700</f>
        <v>228019.35483870967</v>
      </c>
      <c r="Z48" s="202">
        <f>Z700</f>
        <v>456038.70967741933</v>
      </c>
      <c r="AA48" s="202">
        <f t="shared" ref="AA48:AH48" si="16">AA700</f>
        <v>570048.38709677418</v>
      </c>
      <c r="AB48" s="202">
        <f t="shared" si="16"/>
        <v>456038.70967741933</v>
      </c>
      <c r="AC48" s="202">
        <f t="shared" si="16"/>
        <v>1140096.7741935484</v>
      </c>
      <c r="AD48" s="202">
        <f t="shared" si="16"/>
        <v>342029.03225806449</v>
      </c>
      <c r="AE48" s="202">
        <f t="shared" si="16"/>
        <v>684058.06451612897</v>
      </c>
      <c r="AF48" s="202">
        <f t="shared" si="16"/>
        <v>228019.35483870967</v>
      </c>
      <c r="AG48" s="202">
        <f t="shared" si="16"/>
        <v>570048.38709677418</v>
      </c>
      <c r="AH48" s="202">
        <f t="shared" si="16"/>
        <v>798067.74193548388</v>
      </c>
      <c r="AI48" s="202">
        <f>AI700</f>
        <v>0</v>
      </c>
      <c r="AJ48" s="202">
        <f>AJ700</f>
        <v>0</v>
      </c>
      <c r="AK48" s="202">
        <f>AK700</f>
        <v>0</v>
      </c>
      <c r="AL48" s="202"/>
      <c r="AM48" s="202">
        <f>SUM(X48:AL48)</f>
        <v>6954590.3225806439</v>
      </c>
      <c r="AO48" s="174"/>
      <c r="AP48" s="174"/>
      <c r="AQ48" s="174"/>
      <c r="AR48" s="174"/>
      <c r="AS48" s="174"/>
      <c r="AT48" s="174"/>
      <c r="AU48" s="174"/>
    </row>
    <row r="49" spans="1:199" s="172" customFormat="1" ht="17.25" customHeight="1" x14ac:dyDescent="0.15">
      <c r="A49" s="708"/>
      <c r="B49" s="1109"/>
      <c r="C49" s="1109"/>
      <c r="D49" s="202"/>
      <c r="E49" s="603"/>
      <c r="F49" s="174"/>
      <c r="G49" s="174"/>
      <c r="H49" s="174"/>
      <c r="I49" s="174"/>
      <c r="J49" s="174"/>
      <c r="K49" s="174"/>
      <c r="L49" s="174"/>
      <c r="M49" s="174"/>
      <c r="N49" s="174"/>
      <c r="O49" s="179"/>
      <c r="P49" s="179"/>
      <c r="Q49" s="179"/>
      <c r="R49" s="179"/>
      <c r="S49" s="179"/>
      <c r="T49" s="179"/>
      <c r="U49" s="1392"/>
      <c r="V49" s="181" t="s">
        <v>1034</v>
      </c>
      <c r="W49" s="181"/>
      <c r="X49" s="202"/>
      <c r="Y49" s="202">
        <f ca="1">Y717</f>
        <v>3376483.7890392994</v>
      </c>
      <c r="Z49" s="202">
        <f ca="1">Z717</f>
        <v>6752967.5780785987</v>
      </c>
      <c r="AA49" s="202">
        <f t="shared" ref="AA49:AH49" ca="1" si="17">AA717</f>
        <v>8441209.4725982491</v>
      </c>
      <c r="AB49" s="202">
        <f t="shared" ca="1" si="17"/>
        <v>6752967.5780785987</v>
      </c>
      <c r="AC49" s="202">
        <f t="shared" ca="1" si="17"/>
        <v>16882418.945196498</v>
      </c>
      <c r="AD49" s="202">
        <f t="shared" ca="1" si="17"/>
        <v>5064725.6835589483</v>
      </c>
      <c r="AE49" s="202">
        <f t="shared" ca="1" si="17"/>
        <v>10129451.367117897</v>
      </c>
      <c r="AF49" s="202">
        <f t="shared" ca="1" si="17"/>
        <v>3376483.7890392994</v>
      </c>
      <c r="AG49" s="202">
        <f t="shared" ca="1" si="17"/>
        <v>8441209.4725982491</v>
      </c>
      <c r="AH49" s="202">
        <f t="shared" ca="1" si="17"/>
        <v>24817443.261637546</v>
      </c>
      <c r="AI49" s="202">
        <f ca="1">AI717</f>
        <v>0</v>
      </c>
      <c r="AJ49" s="202">
        <f ca="1">AJ717</f>
        <v>0</v>
      </c>
      <c r="AK49" s="202">
        <f ca="1">AK717</f>
        <v>0</v>
      </c>
      <c r="AL49" s="202"/>
      <c r="AM49" s="202">
        <f ca="1">SUM(X49:AL49)</f>
        <v>94035360.936943173</v>
      </c>
      <c r="AO49" s="174"/>
      <c r="AP49" s="174"/>
      <c r="AQ49" s="174"/>
      <c r="AR49" s="174"/>
      <c r="AS49" s="174"/>
      <c r="AT49" s="174"/>
      <c r="AU49" s="174"/>
    </row>
    <row r="50" spans="1:199" s="172" customFormat="1" ht="17.25" customHeight="1" x14ac:dyDescent="0.15">
      <c r="A50" s="708"/>
      <c r="B50" s="1109"/>
      <c r="C50" s="1109"/>
      <c r="D50" s="202"/>
      <c r="E50" s="603"/>
      <c r="F50" s="174"/>
      <c r="G50" s="174"/>
      <c r="H50" s="174"/>
      <c r="I50" s="174"/>
      <c r="J50" s="174"/>
      <c r="K50" s="174"/>
      <c r="L50" s="174"/>
      <c r="M50" s="174"/>
      <c r="N50" s="174"/>
      <c r="O50" s="179"/>
      <c r="P50" s="179"/>
      <c r="Q50" s="179"/>
      <c r="R50" s="179"/>
      <c r="S50" s="179"/>
      <c r="T50" s="179"/>
      <c r="U50" s="1392"/>
      <c r="V50" s="181" t="s">
        <v>1035</v>
      </c>
      <c r="W50" s="181"/>
      <c r="X50" s="202">
        <f ca="1">X733</f>
        <v>0</v>
      </c>
      <c r="Y50" s="202">
        <f ca="1">Y733</f>
        <v>0</v>
      </c>
      <c r="Z50" s="202">
        <f ca="1">Z733</f>
        <v>0</v>
      </c>
      <c r="AA50" s="202">
        <f t="shared" ref="AA50:AH50" ca="1" si="18">AA733</f>
        <v>0</v>
      </c>
      <c r="AB50" s="202">
        <f t="shared" ca="1" si="18"/>
        <v>0</v>
      </c>
      <c r="AC50" s="202">
        <f t="shared" ca="1" si="18"/>
        <v>0</v>
      </c>
      <c r="AD50" s="202">
        <f t="shared" ca="1" si="18"/>
        <v>0</v>
      </c>
      <c r="AE50" s="202">
        <f t="shared" ca="1" si="18"/>
        <v>0</v>
      </c>
      <c r="AF50" s="202">
        <f t="shared" ca="1" si="18"/>
        <v>0</v>
      </c>
      <c r="AG50" s="202">
        <f t="shared" ca="1" si="18"/>
        <v>0</v>
      </c>
      <c r="AH50" s="202">
        <f t="shared" ca="1" si="18"/>
        <v>0</v>
      </c>
      <c r="AI50" s="202">
        <f ca="1">AI733</f>
        <v>0</v>
      </c>
      <c r="AJ50" s="202">
        <f ca="1">AJ733</f>
        <v>0</v>
      </c>
      <c r="AK50" s="202">
        <f ca="1">AK733</f>
        <v>0</v>
      </c>
      <c r="AL50" s="202"/>
      <c r="AM50" s="202">
        <f ca="1">SUM(X50:AL50)</f>
        <v>0</v>
      </c>
      <c r="AO50" s="174"/>
      <c r="AP50" s="174"/>
      <c r="AQ50" s="174"/>
      <c r="AR50" s="174"/>
      <c r="AS50" s="174"/>
      <c r="AT50" s="174"/>
      <c r="AU50" s="174"/>
    </row>
    <row r="51" spans="1:199" s="172" customFormat="1" ht="17.25" customHeight="1" x14ac:dyDescent="0.15">
      <c r="A51" s="708"/>
      <c r="B51" s="1109"/>
      <c r="C51" s="1109"/>
      <c r="D51" s="202"/>
      <c r="E51" s="603"/>
      <c r="F51" s="174"/>
      <c r="G51" s="174"/>
      <c r="H51" s="174"/>
      <c r="I51" s="174"/>
      <c r="J51" s="174"/>
      <c r="K51" s="174"/>
      <c r="L51" s="174"/>
      <c r="M51" s="174"/>
      <c r="N51" s="174"/>
      <c r="O51" s="179"/>
      <c r="P51" s="179"/>
      <c r="Q51" s="179"/>
      <c r="R51" s="179"/>
      <c r="S51" s="179"/>
      <c r="T51" s="179"/>
      <c r="U51" s="1392"/>
      <c r="V51" s="181" t="s">
        <v>2210</v>
      </c>
      <c r="W51" s="181" t="str">
        <f>IF(INPUT!$H$11="Yes","(with DHV)","")</f>
        <v/>
      </c>
      <c r="X51" s="202"/>
      <c r="Y51" s="202"/>
      <c r="Z51" s="202"/>
      <c r="AA51" s="202"/>
      <c r="AB51" s="202"/>
      <c r="AC51" s="202"/>
      <c r="AD51" s="202"/>
      <c r="AE51" s="202"/>
      <c r="AF51" s="202">
        <f>AF746</f>
        <v>0</v>
      </c>
      <c r="AG51" s="202"/>
      <c r="AH51" s="202">
        <f>AH746</f>
        <v>2500000</v>
      </c>
      <c r="AI51" s="202"/>
      <c r="AJ51" s="202">
        <f>AJ746</f>
        <v>0</v>
      </c>
      <c r="AK51" s="202">
        <f>AK746</f>
        <v>0</v>
      </c>
      <c r="AL51" s="202"/>
      <c r="AM51" s="202">
        <f>SUM(X51:AL51)</f>
        <v>2500000</v>
      </c>
      <c r="AO51" s="174"/>
      <c r="AP51" s="174"/>
      <c r="AQ51" s="174"/>
      <c r="AR51" s="174"/>
      <c r="AS51" s="174"/>
      <c r="AT51" s="174"/>
      <c r="AU51" s="174"/>
    </row>
    <row r="52" spans="1:199" s="172" customFormat="1" ht="17.25" customHeight="1" x14ac:dyDescent="0.15">
      <c r="A52" s="708"/>
      <c r="B52" s="1109"/>
      <c r="C52" s="1109"/>
      <c r="D52" s="202"/>
      <c r="E52" s="605"/>
      <c r="F52" s="174"/>
      <c r="G52" s="174"/>
      <c r="H52" s="174"/>
      <c r="I52" s="174"/>
      <c r="J52" s="174"/>
      <c r="K52" s="174"/>
      <c r="L52" s="174"/>
      <c r="M52" s="174"/>
      <c r="N52" s="174"/>
      <c r="O52" s="179"/>
      <c r="P52" s="179"/>
      <c r="Q52" s="179"/>
      <c r="R52" s="179"/>
      <c r="S52" s="179"/>
      <c r="T52" s="179"/>
      <c r="U52" s="1392"/>
      <c r="V52" s="181" t="s">
        <v>1036</v>
      </c>
      <c r="X52" s="212">
        <f t="shared" ref="X52:AH52" si="19">X760</f>
        <v>0</v>
      </c>
      <c r="Y52" s="212">
        <f>Y760</f>
        <v>1391</v>
      </c>
      <c r="Z52" s="212">
        <f>Z760</f>
        <v>11180</v>
      </c>
      <c r="AA52" s="212">
        <f t="shared" si="19"/>
        <v>0</v>
      </c>
      <c r="AB52" s="212">
        <f t="shared" si="19"/>
        <v>27911</v>
      </c>
      <c r="AC52" s="212">
        <f t="shared" si="19"/>
        <v>0</v>
      </c>
      <c r="AD52" s="212">
        <f t="shared" si="19"/>
        <v>22932</v>
      </c>
      <c r="AE52" s="212">
        <f t="shared" si="19"/>
        <v>0</v>
      </c>
      <c r="AF52" s="212">
        <f t="shared" si="19"/>
        <v>1560</v>
      </c>
      <c r="AG52" s="212">
        <f t="shared" si="19"/>
        <v>0</v>
      </c>
      <c r="AH52" s="212">
        <f t="shared" si="19"/>
        <v>0</v>
      </c>
      <c r="AI52" s="212">
        <f>AI760</f>
        <v>0</v>
      </c>
      <c r="AJ52" s="212">
        <f>AJ760</f>
        <v>0</v>
      </c>
      <c r="AK52" s="212">
        <f>AK760</f>
        <v>0</v>
      </c>
      <c r="AL52" s="212"/>
      <c r="AM52" s="202">
        <f t="shared" ref="AM52" si="20">SUM(X52:AL52)</f>
        <v>64974</v>
      </c>
      <c r="AO52" s="174"/>
      <c r="AP52" s="174"/>
      <c r="AQ52" s="174"/>
      <c r="AR52" s="174"/>
      <c r="AS52" s="174"/>
      <c r="AT52" s="174"/>
      <c r="AU52" s="174"/>
    </row>
    <row r="53" spans="1:199" s="172" customFormat="1" ht="17.25" customHeight="1" x14ac:dyDescent="0.15">
      <c r="A53" s="708"/>
      <c r="B53" s="1109"/>
      <c r="C53" s="1109"/>
      <c r="D53" s="202"/>
      <c r="E53" s="605"/>
      <c r="F53" s="174"/>
      <c r="G53" s="174"/>
      <c r="H53" s="174"/>
      <c r="I53" s="174"/>
      <c r="J53" s="174"/>
      <c r="K53" s="174"/>
      <c r="L53" s="174"/>
      <c r="M53" s="174"/>
      <c r="N53" s="174"/>
      <c r="O53" s="179"/>
      <c r="P53" s="179"/>
      <c r="Q53" s="179"/>
      <c r="R53" s="179"/>
      <c r="S53" s="179"/>
      <c r="T53" s="179"/>
      <c r="U53" s="1392"/>
      <c r="V53" s="181" t="s">
        <v>1037</v>
      </c>
      <c r="X53" s="212">
        <f ca="1">($Z$777/INPUT!$H$5)*INDIRECT('Cost Details'!X14)</f>
        <v>470019.90163934429</v>
      </c>
      <c r="Y53" s="212">
        <f ca="1">($Z$777/INPUT!$H$5)*INDIRECT('Cost Details'!Y14)</f>
        <v>72310.75409836066</v>
      </c>
      <c r="Z53" s="212">
        <f ca="1">($Z$777/INPUT!$H$5)*INDIRECT('Cost Details'!Z14)</f>
        <v>144621.50819672132</v>
      </c>
      <c r="AA53" s="212">
        <f ca="1">($Z$777/INPUT!$H$5)*INDIRECT('Cost Details'!AA14)</f>
        <v>180776.88524590165</v>
      </c>
      <c r="AB53" s="212">
        <f ca="1">($Z$777/INPUT!$H$5)*INDIRECT('Cost Details'!AB14)</f>
        <v>144621.50819672132</v>
      </c>
      <c r="AC53" s="212">
        <f ca="1">($Z$777/INPUT!$H$5)*INDIRECT('Cost Details'!AC14)</f>
        <v>361553.7704918033</v>
      </c>
      <c r="AD53" s="212">
        <f ca="1">($Z$777/INPUT!$H$5)*INDIRECT('Cost Details'!AD14)</f>
        <v>108466.13114754099</v>
      </c>
      <c r="AE53" s="212">
        <f ca="1">($Z$777/INPUT!$H$5)*INDIRECT('Cost Details'!AE14)</f>
        <v>216932.26229508198</v>
      </c>
      <c r="AF53" s="212">
        <f ca="1">($Z$777/INPUT!$H$5)*INDIRECT('Cost Details'!AF14)</f>
        <v>72310.75409836066</v>
      </c>
      <c r="AG53" s="212">
        <f ca="1">IFERROR(($Z$777/INPUT!$H$5)*INDIRECT('Cost Details'!AG14),0)</f>
        <v>180776.88524590165</v>
      </c>
      <c r="AH53" s="212">
        <f ca="1">IFERROR(($Z$777/INPUT!$H$5)*INDIRECT('Cost Details'!AH14),0)</f>
        <v>253087.63934426231</v>
      </c>
      <c r="AI53" s="212">
        <f ca="1">IFERROR(($Z$777/INPUT!$H$5)*INDIRECT('Cost Details'!AI14),0)</f>
        <v>0</v>
      </c>
      <c r="AJ53" s="212">
        <f ca="1">IFERROR(($Z$777/INPUT!$H$5)*INDIRECT('Cost Details'!AJ14),0)</f>
        <v>0</v>
      </c>
      <c r="AK53" s="212">
        <f ca="1">IFERROR(($Z$777/INPUT!$H$5)*INDIRECT('Cost Details'!AK14),0)</f>
        <v>0</v>
      </c>
      <c r="AL53" s="212"/>
      <c r="AM53" s="202">
        <f ca="1">SUM(X53:AL53)</f>
        <v>2205478</v>
      </c>
      <c r="AO53" s="174"/>
      <c r="AP53" s="174"/>
      <c r="AQ53" s="174"/>
      <c r="AR53" s="174"/>
      <c r="AS53" s="174"/>
      <c r="AT53" s="174"/>
      <c r="AU53" s="174"/>
    </row>
    <row r="54" spans="1:199" s="172" customFormat="1" ht="17.25" customHeight="1" thickBot="1" x14ac:dyDescent="0.2">
      <c r="A54" s="709"/>
      <c r="B54" s="1110"/>
      <c r="C54" s="1110"/>
      <c r="D54" s="257"/>
      <c r="E54" s="605"/>
      <c r="F54" s="174"/>
      <c r="G54" s="174"/>
      <c r="H54" s="174"/>
      <c r="I54" s="174"/>
      <c r="J54" s="174"/>
      <c r="K54" s="174"/>
      <c r="L54" s="174"/>
      <c r="M54" s="174"/>
      <c r="N54" s="174"/>
      <c r="O54" s="179"/>
      <c r="P54" s="179"/>
      <c r="Q54" s="179"/>
      <c r="R54" s="179"/>
      <c r="S54" s="179"/>
      <c r="T54" s="179"/>
      <c r="U54" s="1392"/>
      <c r="V54" s="181" t="s">
        <v>1038</v>
      </c>
      <c r="W54" s="189"/>
      <c r="X54" s="214">
        <f ca="1">X812</f>
        <v>38668144.628755443</v>
      </c>
      <c r="Y54" s="214">
        <f>Y812</f>
        <v>0</v>
      </c>
      <c r="Z54" s="214">
        <f>Z812</f>
        <v>0</v>
      </c>
      <c r="AA54" s="214">
        <f>AA812</f>
        <v>0</v>
      </c>
      <c r="AB54" s="281"/>
      <c r="AC54" s="214">
        <f>AC812</f>
        <v>0</v>
      </c>
      <c r="AD54" s="281"/>
      <c r="AE54" s="214">
        <f>AE812</f>
        <v>0</v>
      </c>
      <c r="AF54" s="281"/>
      <c r="AG54" s="214">
        <f>AG812</f>
        <v>0</v>
      </c>
      <c r="AH54" s="281"/>
      <c r="AI54" s="214">
        <f>AI812</f>
        <v>0</v>
      </c>
      <c r="AJ54" s="281"/>
      <c r="AK54" s="281"/>
      <c r="AL54" s="214"/>
      <c r="AM54" s="205">
        <f ca="1">SUM(X54:AL54)</f>
        <v>38668144.628755443</v>
      </c>
      <c r="AO54" s="209"/>
      <c r="AP54" s="209"/>
      <c r="AQ54" s="209"/>
      <c r="AR54" s="209"/>
      <c r="AS54" s="209"/>
      <c r="AT54" s="209"/>
      <c r="AU54" s="209"/>
    </row>
    <row r="55" spans="1:199" s="173" customFormat="1" ht="22.5" customHeight="1" thickBot="1" x14ac:dyDescent="0.2">
      <c r="A55" s="710"/>
      <c r="B55" s="1111"/>
      <c r="C55" s="1111"/>
      <c r="D55" s="520"/>
      <c r="E55" s="604"/>
      <c r="F55" s="209"/>
      <c r="G55" s="209"/>
      <c r="H55" s="209"/>
      <c r="I55" s="209"/>
      <c r="J55" s="209"/>
      <c r="K55" s="209"/>
      <c r="L55" s="209"/>
      <c r="M55" s="209"/>
      <c r="N55" s="209"/>
      <c r="O55" s="210"/>
      <c r="P55" s="210"/>
      <c r="Q55" s="210"/>
      <c r="R55" s="210"/>
      <c r="S55" s="210"/>
      <c r="T55" s="210"/>
      <c r="U55" s="172"/>
      <c r="V55" s="194" t="s">
        <v>101</v>
      </c>
      <c r="W55" s="194"/>
      <c r="X55" s="206">
        <f t="shared" ref="X55:AK55" ca="1" si="21">SUM(X41:X54)</f>
        <v>48772028.324096397</v>
      </c>
      <c r="Y55" s="206">
        <f t="shared" ca="1" si="21"/>
        <v>7105534.2594763702</v>
      </c>
      <c r="Z55" s="206">
        <f t="shared" ca="1" si="21"/>
        <v>11636358.78520274</v>
      </c>
      <c r="AA55" s="206">
        <f t="shared" ca="1" si="21"/>
        <v>16186465.387440925</v>
      </c>
      <c r="AB55" s="206">
        <f t="shared" ca="1" si="21"/>
        <v>12493823.62520274</v>
      </c>
      <c r="AC55" s="206">
        <f t="shared" ca="1" si="21"/>
        <v>30340124.503631849</v>
      </c>
      <c r="AD55" s="206">
        <f t="shared" ca="1" si="21"/>
        <v>9618182.477964554</v>
      </c>
      <c r="AE55" s="206">
        <f t="shared" ca="1" si="21"/>
        <v>20615525.743429109</v>
      </c>
      <c r="AF55" s="206">
        <f t="shared" ca="1" si="21"/>
        <v>6117530.5744763697</v>
      </c>
      <c r="AG55" s="206">
        <f t="shared" ca="1" si="21"/>
        <v>20442828.736190923</v>
      </c>
      <c r="AH55" s="206">
        <f t="shared" ca="1" si="21"/>
        <v>34368033.508167289</v>
      </c>
      <c r="AI55" s="206">
        <f t="shared" ca="1" si="21"/>
        <v>0</v>
      </c>
      <c r="AJ55" s="206">
        <f t="shared" ca="1" si="21"/>
        <v>0</v>
      </c>
      <c r="AK55" s="206">
        <f t="shared" ca="1" si="21"/>
        <v>0</v>
      </c>
      <c r="AL55" s="206"/>
      <c r="AM55" s="207">
        <f ca="1">SUM(AM41:AM54)</f>
        <v>217696435.92527926</v>
      </c>
      <c r="AN55" s="208"/>
      <c r="AO55" s="185"/>
      <c r="AP55" s="185"/>
      <c r="AQ55" s="185"/>
      <c r="AR55" s="185"/>
      <c r="AS55" s="185"/>
      <c r="AT55" s="185"/>
      <c r="AU55" s="185"/>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72"/>
      <c r="CU55" s="172"/>
      <c r="CV55" s="172"/>
      <c r="CW55" s="172"/>
      <c r="CX55" s="172"/>
      <c r="CY55" s="172"/>
      <c r="CZ55" s="172"/>
      <c r="DA55" s="172"/>
      <c r="DB55" s="172"/>
      <c r="DC55" s="172"/>
      <c r="DD55" s="172"/>
      <c r="DE55" s="172"/>
      <c r="DF55" s="172"/>
      <c r="DG55" s="172"/>
      <c r="DH55" s="172"/>
      <c r="DI55" s="172"/>
      <c r="DJ55" s="172"/>
      <c r="DK55" s="172"/>
      <c r="DL55" s="172"/>
      <c r="DM55" s="172"/>
      <c r="DN55" s="172"/>
      <c r="DO55" s="172"/>
      <c r="DP55" s="172"/>
      <c r="DQ55" s="172"/>
      <c r="DR55" s="172"/>
      <c r="DS55" s="172"/>
      <c r="DT55" s="172"/>
      <c r="DU55" s="172"/>
      <c r="DV55" s="172"/>
      <c r="DW55" s="172"/>
      <c r="DX55" s="172"/>
      <c r="DY55" s="172"/>
      <c r="DZ55" s="172"/>
      <c r="EA55" s="172"/>
      <c r="EB55" s="172"/>
      <c r="EC55" s="172"/>
      <c r="ED55" s="172"/>
      <c r="EE55" s="172"/>
      <c r="EF55" s="172"/>
      <c r="EG55" s="172"/>
      <c r="EH55" s="172"/>
      <c r="EI55" s="172"/>
      <c r="EJ55" s="172"/>
      <c r="EK55" s="172"/>
      <c r="EL55" s="172"/>
      <c r="EM55" s="172"/>
      <c r="EN55" s="172"/>
      <c r="EO55" s="172"/>
      <c r="EP55" s="172"/>
      <c r="EQ55" s="172"/>
      <c r="ER55" s="172"/>
      <c r="ES55" s="172"/>
      <c r="ET55" s="172"/>
      <c r="EU55" s="172"/>
      <c r="EV55" s="172"/>
      <c r="EW55" s="172"/>
      <c r="EX55" s="172"/>
      <c r="EY55" s="172"/>
      <c r="EZ55" s="172"/>
      <c r="FA55" s="172"/>
      <c r="FB55" s="172"/>
      <c r="FC55" s="172"/>
      <c r="FD55" s="172"/>
      <c r="FE55" s="172"/>
      <c r="FF55" s="172"/>
      <c r="FG55" s="172"/>
      <c r="FH55" s="172"/>
      <c r="FI55" s="172"/>
      <c r="FJ55" s="172"/>
      <c r="FK55" s="172"/>
      <c r="FL55" s="172"/>
      <c r="FM55" s="172"/>
      <c r="FN55" s="172"/>
      <c r="FO55" s="172"/>
      <c r="FP55" s="172"/>
      <c r="FQ55" s="172"/>
      <c r="FR55" s="172"/>
      <c r="FS55" s="172"/>
      <c r="FT55" s="172"/>
      <c r="FU55" s="172"/>
      <c r="FV55" s="172"/>
      <c r="FW55" s="172"/>
      <c r="FX55" s="172"/>
      <c r="FY55" s="172"/>
      <c r="FZ55" s="172"/>
      <c r="GA55" s="172"/>
      <c r="GB55" s="172"/>
      <c r="GC55" s="172"/>
      <c r="GD55" s="172"/>
      <c r="GE55" s="172"/>
      <c r="GF55" s="172"/>
      <c r="GG55" s="172"/>
      <c r="GH55" s="172"/>
      <c r="GI55" s="172"/>
      <c r="GJ55" s="172"/>
      <c r="GK55" s="172"/>
      <c r="GL55" s="172"/>
      <c r="GM55" s="172"/>
      <c r="GN55" s="172"/>
      <c r="GO55" s="172"/>
      <c r="GP55" s="172"/>
      <c r="GQ55" s="172"/>
    </row>
    <row r="56" spans="1:199" s="172" customFormat="1" ht="12.75" customHeight="1" x14ac:dyDescent="0.15">
      <c r="A56" s="711"/>
      <c r="B56" s="1112"/>
      <c r="C56" s="1112"/>
      <c r="D56" s="521"/>
      <c r="E56" s="605"/>
      <c r="F56" s="185"/>
      <c r="G56" s="185"/>
      <c r="H56" s="185"/>
      <c r="I56" s="185"/>
      <c r="J56" s="185"/>
      <c r="K56" s="185"/>
      <c r="L56" s="185"/>
      <c r="M56" s="185"/>
      <c r="N56" s="185"/>
      <c r="O56" s="216"/>
      <c r="P56" s="216"/>
      <c r="Q56" s="216"/>
      <c r="R56" s="216"/>
      <c r="S56" s="216"/>
      <c r="T56" s="216"/>
      <c r="U56" s="1392"/>
      <c r="V56" s="1391"/>
      <c r="W56" s="1391"/>
      <c r="X56" s="212"/>
      <c r="Y56" s="212"/>
      <c r="Z56" s="212"/>
      <c r="AA56" s="212"/>
      <c r="AB56" s="212"/>
      <c r="AC56" s="212"/>
      <c r="AD56" s="212"/>
      <c r="AG56" s="202"/>
      <c r="AH56" s="202"/>
      <c r="AI56" s="202"/>
      <c r="AJ56" s="202"/>
      <c r="AK56" s="202"/>
      <c r="AL56" s="212"/>
      <c r="AM56" s="215"/>
      <c r="AN56" s="213"/>
      <c r="AO56" s="185"/>
      <c r="AP56" s="185"/>
      <c r="AQ56" s="185"/>
      <c r="AR56" s="185"/>
      <c r="AS56" s="185"/>
      <c r="AT56" s="185"/>
      <c r="AU56" s="185"/>
    </row>
    <row r="57" spans="1:199" s="181" customFormat="1" ht="15.75" customHeight="1" x14ac:dyDescent="0.15">
      <c r="A57" s="708"/>
      <c r="B57" s="1109"/>
      <c r="C57" s="1109"/>
      <c r="D57" s="202"/>
      <c r="E57" s="603"/>
      <c r="F57" s="185"/>
      <c r="G57" s="185"/>
      <c r="H57" s="185"/>
      <c r="I57" s="185"/>
      <c r="J57" s="185"/>
      <c r="K57" s="185"/>
      <c r="L57" s="185"/>
      <c r="M57" s="185"/>
      <c r="N57" s="185"/>
      <c r="O57" s="216"/>
      <c r="P57" s="216"/>
      <c r="Q57" s="216"/>
      <c r="R57" s="216"/>
      <c r="S57" s="216"/>
      <c r="T57" s="216"/>
      <c r="U57" s="173" t="s">
        <v>130</v>
      </c>
      <c r="V57" s="173"/>
      <c r="W57" s="173"/>
      <c r="X57" s="172"/>
      <c r="Y57" s="172"/>
      <c r="Z57" s="172"/>
      <c r="AA57" s="202"/>
      <c r="AB57" s="202"/>
      <c r="AC57" s="202"/>
      <c r="AD57" s="202"/>
      <c r="AE57" s="172"/>
      <c r="AF57" s="172"/>
      <c r="AG57" s="202"/>
      <c r="AH57" s="202"/>
      <c r="AI57" s="202"/>
      <c r="AJ57" s="202"/>
      <c r="AK57" s="202"/>
      <c r="AL57" s="173"/>
      <c r="AM57" s="202"/>
      <c r="AN57" s="202"/>
      <c r="AO57" s="185"/>
      <c r="AP57" s="185"/>
      <c r="AQ57" s="185"/>
      <c r="AR57" s="185"/>
      <c r="AS57" s="185"/>
      <c r="AT57" s="185"/>
      <c r="AU57" s="185"/>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172"/>
      <c r="BS57" s="172"/>
      <c r="BT57" s="172"/>
      <c r="BU57" s="172"/>
      <c r="BV57" s="172"/>
      <c r="BW57" s="172"/>
      <c r="BX57" s="172"/>
      <c r="BY57" s="172"/>
      <c r="BZ57" s="172"/>
      <c r="CA57" s="172"/>
      <c r="CB57" s="172"/>
      <c r="CC57" s="172"/>
      <c r="CD57" s="172"/>
      <c r="CE57" s="172"/>
      <c r="CF57" s="172"/>
      <c r="CG57" s="172"/>
      <c r="CH57" s="172"/>
      <c r="CI57" s="172"/>
      <c r="CJ57" s="172"/>
      <c r="CK57" s="172"/>
      <c r="CL57" s="172"/>
      <c r="CM57" s="172"/>
      <c r="CN57" s="172"/>
      <c r="CO57" s="172"/>
      <c r="CP57" s="172"/>
      <c r="CQ57" s="172"/>
      <c r="CR57" s="172"/>
      <c r="CS57" s="172"/>
      <c r="CT57" s="172"/>
      <c r="CU57" s="172"/>
      <c r="CV57" s="172"/>
      <c r="CW57" s="172"/>
      <c r="CX57" s="172"/>
      <c r="CY57" s="172"/>
      <c r="CZ57" s="172"/>
      <c r="DA57" s="172"/>
      <c r="DB57" s="172"/>
      <c r="DC57" s="172"/>
      <c r="DD57" s="172"/>
      <c r="DE57" s="172"/>
      <c r="DF57" s="172"/>
      <c r="DG57" s="172"/>
      <c r="DH57" s="172"/>
      <c r="DI57" s="172"/>
      <c r="DJ57" s="172"/>
      <c r="DK57" s="172"/>
      <c r="DL57" s="172"/>
      <c r="DM57" s="172"/>
      <c r="DN57" s="172"/>
      <c r="DO57" s="172"/>
      <c r="DP57" s="172"/>
      <c r="DQ57" s="172"/>
      <c r="DR57" s="172"/>
      <c r="DS57" s="172"/>
      <c r="DT57" s="172"/>
      <c r="DU57" s="172"/>
      <c r="DV57" s="172"/>
      <c r="DW57" s="172"/>
      <c r="DX57" s="172"/>
      <c r="DY57" s="172"/>
      <c r="DZ57" s="172"/>
      <c r="EA57" s="172"/>
      <c r="EB57" s="172"/>
      <c r="EC57" s="172"/>
      <c r="ED57" s="172"/>
      <c r="EE57" s="172"/>
      <c r="EF57" s="172"/>
      <c r="EG57" s="172"/>
      <c r="EH57" s="172"/>
      <c r="EI57" s="172"/>
      <c r="EJ57" s="172"/>
      <c r="EK57" s="172"/>
      <c r="EL57" s="172"/>
      <c r="EM57" s="172"/>
      <c r="EN57" s="172"/>
      <c r="EO57" s="172"/>
      <c r="EP57" s="172"/>
      <c r="EQ57" s="172"/>
      <c r="ER57" s="172"/>
      <c r="ES57" s="172"/>
      <c r="ET57" s="172"/>
      <c r="EU57" s="172"/>
      <c r="EV57" s="172"/>
      <c r="EW57" s="172"/>
      <c r="EX57" s="172"/>
      <c r="EY57" s="172"/>
      <c r="EZ57" s="172"/>
      <c r="FA57" s="172"/>
      <c r="FB57" s="172"/>
      <c r="FC57" s="172"/>
      <c r="FD57" s="172"/>
      <c r="FE57" s="172"/>
      <c r="FF57" s="172"/>
      <c r="FG57" s="172"/>
      <c r="FH57" s="172"/>
      <c r="FI57" s="172"/>
      <c r="FJ57" s="172"/>
      <c r="FK57" s="172"/>
      <c r="FL57" s="172"/>
      <c r="FM57" s="172"/>
      <c r="FN57" s="172"/>
      <c r="FO57" s="172"/>
      <c r="FP57" s="172"/>
      <c r="FQ57" s="172"/>
      <c r="FR57" s="172"/>
      <c r="FS57" s="172"/>
      <c r="FT57" s="172"/>
      <c r="FU57" s="172"/>
      <c r="FV57" s="172"/>
      <c r="FW57" s="172"/>
      <c r="FX57" s="172"/>
      <c r="FY57" s="172"/>
      <c r="FZ57" s="172"/>
      <c r="GA57" s="172"/>
      <c r="GB57" s="172"/>
      <c r="GC57" s="172"/>
      <c r="GD57" s="172"/>
      <c r="GE57" s="172"/>
      <c r="GF57" s="172"/>
      <c r="GG57" s="172"/>
      <c r="GH57" s="172"/>
      <c r="GI57" s="172"/>
      <c r="GJ57" s="172"/>
      <c r="GK57" s="172"/>
      <c r="GL57" s="172"/>
      <c r="GM57" s="172"/>
      <c r="GN57" s="172"/>
      <c r="GO57" s="172"/>
      <c r="GP57" s="172"/>
      <c r="GQ57" s="172"/>
    </row>
    <row r="58" spans="1:199" s="181" customFormat="1" ht="12.75" customHeight="1" x14ac:dyDescent="0.15">
      <c r="A58" s="708"/>
      <c r="B58" s="1109"/>
      <c r="C58" s="1109"/>
      <c r="D58" s="202"/>
      <c r="E58" s="603"/>
      <c r="F58" s="185"/>
      <c r="G58" s="185"/>
      <c r="H58" s="185"/>
      <c r="I58" s="185"/>
      <c r="J58" s="185"/>
      <c r="K58" s="185"/>
      <c r="L58" s="185"/>
      <c r="M58" s="185"/>
      <c r="N58" s="185"/>
      <c r="O58" s="216"/>
      <c r="P58" s="216"/>
      <c r="Q58" s="216"/>
      <c r="R58" s="216"/>
      <c r="S58" s="216"/>
      <c r="T58" s="216"/>
      <c r="U58" s="172"/>
      <c r="V58" s="172"/>
      <c r="W58" s="172"/>
      <c r="X58" s="172"/>
      <c r="Y58" s="172"/>
      <c r="Z58" s="172"/>
      <c r="AA58" s="202"/>
      <c r="AB58" s="202"/>
      <c r="AC58" s="202"/>
      <c r="AD58" s="202"/>
      <c r="AE58" s="172"/>
      <c r="AF58" s="172"/>
      <c r="AG58" s="202"/>
      <c r="AH58" s="202"/>
      <c r="AI58" s="202"/>
      <c r="AJ58" s="202"/>
      <c r="AK58" s="202"/>
      <c r="AL58" s="172"/>
      <c r="AM58" s="202"/>
      <c r="AN58" s="202"/>
      <c r="AO58" s="185"/>
      <c r="AP58" s="185"/>
      <c r="AQ58" s="185"/>
      <c r="AR58" s="185"/>
      <c r="AS58" s="185"/>
      <c r="AT58" s="185"/>
      <c r="AU58" s="185"/>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172"/>
      <c r="DC58" s="172"/>
      <c r="DD58" s="172"/>
      <c r="DE58" s="172"/>
      <c r="DF58" s="172"/>
      <c r="DG58" s="172"/>
      <c r="DH58" s="172"/>
      <c r="DI58" s="172"/>
      <c r="DJ58" s="172"/>
      <c r="DK58" s="172"/>
      <c r="DL58" s="172"/>
      <c r="DM58" s="172"/>
      <c r="DN58" s="172"/>
      <c r="DO58" s="172"/>
      <c r="DP58" s="172"/>
      <c r="DQ58" s="172"/>
      <c r="DR58" s="172"/>
      <c r="DS58" s="172"/>
      <c r="DT58" s="172"/>
      <c r="DU58" s="172"/>
      <c r="DV58" s="172"/>
      <c r="DW58" s="172"/>
      <c r="DX58" s="172"/>
      <c r="DY58" s="172"/>
      <c r="DZ58" s="172"/>
      <c r="EA58" s="172"/>
      <c r="EB58" s="172"/>
      <c r="EC58" s="172"/>
      <c r="ED58" s="172"/>
      <c r="EE58" s="172"/>
      <c r="EF58" s="172"/>
      <c r="EG58" s="172"/>
      <c r="EH58" s="172"/>
      <c r="EI58" s="172"/>
      <c r="EJ58" s="172"/>
      <c r="EK58" s="172"/>
      <c r="EL58" s="172"/>
      <c r="EM58" s="172"/>
      <c r="EN58" s="172"/>
      <c r="EO58" s="172"/>
      <c r="EP58" s="172"/>
      <c r="EQ58" s="172"/>
      <c r="ER58" s="172"/>
      <c r="ES58" s="172"/>
      <c r="ET58" s="172"/>
      <c r="EU58" s="172"/>
      <c r="EV58" s="172"/>
      <c r="EW58" s="172"/>
      <c r="EX58" s="172"/>
      <c r="EY58" s="172"/>
      <c r="EZ58" s="172"/>
      <c r="FA58" s="172"/>
      <c r="FB58" s="172"/>
      <c r="FC58" s="172"/>
      <c r="FD58" s="172"/>
      <c r="FE58" s="172"/>
      <c r="FF58" s="172"/>
      <c r="FG58" s="172"/>
      <c r="FH58" s="172"/>
      <c r="FI58" s="172"/>
      <c r="FJ58" s="172"/>
      <c r="FK58" s="172"/>
      <c r="FL58" s="172"/>
      <c r="FM58" s="172"/>
      <c r="FN58" s="172"/>
      <c r="FO58" s="172"/>
      <c r="FP58" s="172"/>
      <c r="FQ58" s="172"/>
      <c r="FR58" s="172"/>
      <c r="FS58" s="172"/>
      <c r="FT58" s="172"/>
      <c r="FU58" s="172"/>
      <c r="FV58" s="172"/>
      <c r="FW58" s="172"/>
      <c r="FX58" s="172"/>
      <c r="FY58" s="172"/>
      <c r="FZ58" s="172"/>
      <c r="GA58" s="172"/>
      <c r="GB58" s="172"/>
      <c r="GC58" s="172"/>
      <c r="GD58" s="172"/>
      <c r="GE58" s="172"/>
      <c r="GF58" s="172"/>
      <c r="GG58" s="172"/>
      <c r="GH58" s="172"/>
      <c r="GI58" s="172"/>
      <c r="GJ58" s="172"/>
      <c r="GK58" s="172"/>
      <c r="GL58" s="172"/>
      <c r="GM58" s="172"/>
      <c r="GN58" s="172"/>
      <c r="GO58" s="172"/>
      <c r="GP58" s="172"/>
      <c r="GQ58" s="172"/>
    </row>
    <row r="59" spans="1:199" s="181" customFormat="1" ht="17.25" customHeight="1" x14ac:dyDescent="0.15">
      <c r="A59" s="708"/>
      <c r="B59" s="1109"/>
      <c r="C59" s="1109"/>
      <c r="D59" s="202"/>
      <c r="E59" s="603"/>
      <c r="F59" s="185"/>
      <c r="G59" s="185"/>
      <c r="H59" s="185"/>
      <c r="I59" s="185"/>
      <c r="J59" s="185"/>
      <c r="K59" s="185"/>
      <c r="L59" s="185"/>
      <c r="M59" s="185"/>
      <c r="N59" s="185"/>
      <c r="O59" s="216"/>
      <c r="P59" s="216"/>
      <c r="Q59" s="216"/>
      <c r="R59" s="216"/>
      <c r="S59" s="216"/>
      <c r="T59" s="216"/>
      <c r="U59" s="1392"/>
      <c r="V59" s="172" t="s">
        <v>1039</v>
      </c>
      <c r="W59" s="172"/>
      <c r="X59" s="212">
        <f>X837</f>
        <v>0</v>
      </c>
      <c r="Y59" s="212">
        <f>Y837</f>
        <v>0</v>
      </c>
      <c r="Z59" s="212">
        <f>Z837</f>
        <v>0</v>
      </c>
      <c r="AA59" s="212">
        <f>AA837</f>
        <v>0</v>
      </c>
      <c r="AB59" s="212">
        <f t="shared" ref="AB59:AH59" si="22">AB837</f>
        <v>0</v>
      </c>
      <c r="AC59" s="212">
        <f t="shared" si="22"/>
        <v>0</v>
      </c>
      <c r="AD59" s="212">
        <f t="shared" si="22"/>
        <v>0</v>
      </c>
      <c r="AE59" s="212">
        <f t="shared" si="22"/>
        <v>0</v>
      </c>
      <c r="AF59" s="212">
        <f t="shared" si="22"/>
        <v>0</v>
      </c>
      <c r="AG59" s="212">
        <f t="shared" si="22"/>
        <v>0</v>
      </c>
      <c r="AH59" s="212">
        <f t="shared" si="22"/>
        <v>0</v>
      </c>
      <c r="AI59" s="212">
        <f>AI837</f>
        <v>0</v>
      </c>
      <c r="AJ59" s="212">
        <f>AJ837</f>
        <v>0</v>
      </c>
      <c r="AK59" s="212">
        <f>AK837</f>
        <v>0</v>
      </c>
      <c r="AL59" s="217"/>
      <c r="AM59" s="202">
        <f>SUM(X59:AL59)</f>
        <v>0</v>
      </c>
      <c r="AN59" s="172"/>
      <c r="AO59" s="1293"/>
      <c r="AP59" s="185"/>
      <c r="AQ59" s="185"/>
      <c r="AR59" s="185"/>
      <c r="AS59" s="185"/>
      <c r="AT59" s="185"/>
      <c r="AU59" s="185"/>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172"/>
      <c r="DC59" s="172"/>
      <c r="DD59" s="172"/>
      <c r="DE59" s="172"/>
      <c r="DF59" s="172"/>
      <c r="DG59" s="172"/>
      <c r="DH59" s="172"/>
      <c r="DI59" s="172"/>
      <c r="DJ59" s="172"/>
      <c r="DK59" s="172"/>
      <c r="DL59" s="172"/>
      <c r="DM59" s="172"/>
      <c r="DN59" s="172"/>
      <c r="DO59" s="172"/>
      <c r="DP59" s="172"/>
      <c r="DQ59" s="172"/>
      <c r="DR59" s="172"/>
      <c r="DS59" s="172"/>
      <c r="DT59" s="172"/>
      <c r="DU59" s="172"/>
      <c r="DV59" s="172"/>
      <c r="DW59" s="172"/>
      <c r="DX59" s="172"/>
      <c r="DY59" s="172"/>
      <c r="DZ59" s="172"/>
      <c r="EA59" s="172"/>
      <c r="EB59" s="172"/>
      <c r="EC59" s="172"/>
      <c r="ED59" s="172"/>
      <c r="EE59" s="172"/>
      <c r="EF59" s="172"/>
      <c r="EG59" s="172"/>
      <c r="EH59" s="172"/>
      <c r="EI59" s="172"/>
      <c r="EJ59" s="172"/>
      <c r="EK59" s="172"/>
      <c r="EL59" s="172"/>
      <c r="EM59" s="172"/>
      <c r="EN59" s="172"/>
      <c r="EO59" s="172"/>
      <c r="EP59" s="172"/>
      <c r="EQ59" s="172"/>
      <c r="ER59" s="172"/>
      <c r="ES59" s="172"/>
      <c r="ET59" s="172"/>
      <c r="EU59" s="172"/>
      <c r="EV59" s="172"/>
      <c r="EW59" s="172"/>
      <c r="EX59" s="172"/>
      <c r="EY59" s="172"/>
      <c r="EZ59" s="172"/>
      <c r="FA59" s="172"/>
      <c r="FB59" s="172"/>
      <c r="FC59" s="172"/>
      <c r="FD59" s="172"/>
      <c r="FE59" s="172"/>
      <c r="FF59" s="172"/>
      <c r="FG59" s="172"/>
      <c r="FH59" s="172"/>
      <c r="FI59" s="172"/>
      <c r="FJ59" s="172"/>
      <c r="FK59" s="172"/>
      <c r="FL59" s="172"/>
      <c r="FM59" s="172"/>
      <c r="FN59" s="172"/>
      <c r="FO59" s="172"/>
      <c r="FP59" s="172"/>
      <c r="FQ59" s="172"/>
      <c r="FR59" s="172"/>
      <c r="FS59" s="172"/>
      <c r="FT59" s="172"/>
      <c r="FU59" s="172"/>
      <c r="FV59" s="172"/>
      <c r="FW59" s="172"/>
      <c r="FX59" s="172"/>
      <c r="FY59" s="172"/>
      <c r="FZ59" s="172"/>
      <c r="GA59" s="172"/>
      <c r="GB59" s="172"/>
      <c r="GC59" s="172"/>
      <c r="GD59" s="172"/>
      <c r="GE59" s="172"/>
      <c r="GF59" s="172"/>
      <c r="GG59" s="172"/>
      <c r="GH59" s="172"/>
      <c r="GI59" s="172"/>
      <c r="GJ59" s="172"/>
      <c r="GK59" s="172"/>
      <c r="GL59" s="172"/>
      <c r="GM59" s="172"/>
      <c r="GN59" s="172"/>
      <c r="GO59" s="172"/>
      <c r="GP59" s="172"/>
      <c r="GQ59" s="172"/>
    </row>
    <row r="60" spans="1:199" s="181" customFormat="1" ht="17.25" customHeight="1" thickBot="1" x14ac:dyDescent="0.2">
      <c r="A60" s="709"/>
      <c r="B60" s="1110"/>
      <c r="C60" s="1110"/>
      <c r="D60" s="257"/>
      <c r="E60" s="603"/>
      <c r="F60" s="185"/>
      <c r="G60" s="185"/>
      <c r="H60" s="185"/>
      <c r="I60" s="185"/>
      <c r="J60" s="185"/>
      <c r="K60" s="185"/>
      <c r="L60" s="185"/>
      <c r="M60" s="185"/>
      <c r="N60" s="185"/>
      <c r="O60" s="216"/>
      <c r="P60" s="216"/>
      <c r="Q60" s="216"/>
      <c r="R60" s="216"/>
      <c r="S60" s="216"/>
      <c r="T60" s="216"/>
      <c r="U60" s="1392"/>
      <c r="V60" s="189" t="s">
        <v>906</v>
      </c>
      <c r="W60" s="189"/>
      <c r="X60" s="204">
        <f t="shared" ref="X60:AH60" si="23">X853</f>
        <v>7604197.3217671234</v>
      </c>
      <c r="Y60" s="204">
        <f>Y853</f>
        <v>1169876.5110410959</v>
      </c>
      <c r="Z60" s="204">
        <f>Z853</f>
        <v>2339753.0220821919</v>
      </c>
      <c r="AA60" s="204">
        <f t="shared" si="23"/>
        <v>2924691.2776027401</v>
      </c>
      <c r="AB60" s="204">
        <f t="shared" si="23"/>
        <v>2339753.0220821919</v>
      </c>
      <c r="AC60" s="1880">
        <f t="shared" si="23"/>
        <v>5849382.5552054802</v>
      </c>
      <c r="AD60" s="204">
        <f t="shared" si="23"/>
        <v>1754814.7665616437</v>
      </c>
      <c r="AE60" s="204">
        <f t="shared" si="23"/>
        <v>3509629.5331232874</v>
      </c>
      <c r="AF60" s="204">
        <f t="shared" si="23"/>
        <v>1169876.5110410959</v>
      </c>
      <c r="AG60" s="204">
        <f t="shared" si="23"/>
        <v>2924691.2776027401</v>
      </c>
      <c r="AH60" s="204">
        <f t="shared" si="23"/>
        <v>4094567.7886438356</v>
      </c>
      <c r="AI60" s="204">
        <f>AI853</f>
        <v>0</v>
      </c>
      <c r="AJ60" s="204">
        <f>AJ853</f>
        <v>0</v>
      </c>
      <c r="AK60" s="204">
        <f>AK853</f>
        <v>0</v>
      </c>
      <c r="AL60" s="204"/>
      <c r="AM60" s="202">
        <f>SUM(X60:AL60)</f>
        <v>35681233.586753421</v>
      </c>
      <c r="AN60" s="172"/>
      <c r="AO60" s="185"/>
      <c r="AP60" s="185"/>
      <c r="AQ60" s="185"/>
      <c r="AR60" s="185"/>
      <c r="AS60" s="185"/>
      <c r="AT60" s="185"/>
      <c r="AU60" s="185"/>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172"/>
      <c r="DC60" s="172"/>
      <c r="DD60" s="172"/>
      <c r="DE60" s="172"/>
      <c r="DF60" s="172"/>
      <c r="DG60" s="172"/>
      <c r="DH60" s="172"/>
      <c r="DI60" s="172"/>
      <c r="DJ60" s="172"/>
      <c r="DK60" s="172"/>
      <c r="DL60" s="172"/>
      <c r="DM60" s="172"/>
      <c r="DN60" s="172"/>
      <c r="DO60" s="172"/>
      <c r="DP60" s="172"/>
      <c r="DQ60" s="172"/>
      <c r="DR60" s="172"/>
      <c r="DS60" s="172"/>
      <c r="DT60" s="172"/>
      <c r="DU60" s="172"/>
      <c r="DV60" s="172"/>
      <c r="DW60" s="172"/>
      <c r="DX60" s="172"/>
      <c r="DY60" s="172"/>
      <c r="DZ60" s="172"/>
      <c r="EA60" s="172"/>
      <c r="EB60" s="172"/>
      <c r="EC60" s="172"/>
      <c r="ED60" s="172"/>
      <c r="EE60" s="172"/>
      <c r="EF60" s="172"/>
      <c r="EG60" s="172"/>
      <c r="EH60" s="172"/>
      <c r="EI60" s="172"/>
      <c r="EJ60" s="172"/>
      <c r="EK60" s="172"/>
      <c r="EL60" s="172"/>
      <c r="EM60" s="172"/>
      <c r="EN60" s="172"/>
      <c r="EO60" s="172"/>
      <c r="EP60" s="172"/>
      <c r="EQ60" s="172"/>
      <c r="ER60" s="172"/>
      <c r="ES60" s="172"/>
      <c r="ET60" s="172"/>
      <c r="EU60" s="172"/>
      <c r="EV60" s="172"/>
      <c r="EW60" s="172"/>
      <c r="EX60" s="172"/>
      <c r="EY60" s="172"/>
      <c r="EZ60" s="172"/>
      <c r="FA60" s="172"/>
      <c r="FB60" s="172"/>
      <c r="FC60" s="172"/>
      <c r="FD60" s="172"/>
      <c r="FE60" s="172"/>
      <c r="FF60" s="172"/>
      <c r="FG60" s="172"/>
      <c r="FH60" s="172"/>
      <c r="FI60" s="172"/>
      <c r="FJ60" s="172"/>
      <c r="FK60" s="172"/>
      <c r="FL60" s="172"/>
      <c r="FM60" s="172"/>
      <c r="FN60" s="172"/>
      <c r="FO60" s="172"/>
      <c r="FP60" s="172"/>
      <c r="FQ60" s="172"/>
      <c r="FR60" s="172"/>
      <c r="FS60" s="172"/>
      <c r="FT60" s="172"/>
      <c r="FU60" s="172"/>
      <c r="FV60" s="172"/>
      <c r="FW60" s="172"/>
      <c r="FX60" s="172"/>
      <c r="FY60" s="172"/>
      <c r="FZ60" s="172"/>
      <c r="GA60" s="172"/>
      <c r="GB60" s="172"/>
      <c r="GC60" s="172"/>
      <c r="GD60" s="172"/>
      <c r="GE60" s="172"/>
      <c r="GF60" s="172"/>
      <c r="GG60" s="172"/>
      <c r="GH60" s="172"/>
      <c r="GI60" s="172"/>
      <c r="GJ60" s="172"/>
      <c r="GK60" s="172"/>
      <c r="GL60" s="172"/>
      <c r="GM60" s="172"/>
      <c r="GN60" s="172"/>
      <c r="GO60" s="172"/>
      <c r="GP60" s="172"/>
      <c r="GQ60" s="172"/>
    </row>
    <row r="61" spans="1:199" s="181" customFormat="1" ht="22.5" customHeight="1" thickBot="1" x14ac:dyDescent="0.2">
      <c r="A61" s="710"/>
      <c r="B61" s="1111"/>
      <c r="C61" s="1111"/>
      <c r="D61" s="520"/>
      <c r="E61" s="604"/>
      <c r="F61" s="185"/>
      <c r="G61" s="185"/>
      <c r="H61" s="185"/>
      <c r="I61" s="185"/>
      <c r="J61" s="185"/>
      <c r="K61" s="185"/>
      <c r="L61" s="185"/>
      <c r="M61" s="185"/>
      <c r="N61" s="185"/>
      <c r="O61" s="216"/>
      <c r="P61" s="216"/>
      <c r="Q61" s="216"/>
      <c r="R61" s="216"/>
      <c r="S61" s="216"/>
      <c r="T61" s="216"/>
      <c r="U61" s="1392"/>
      <c r="V61" s="194" t="s">
        <v>101</v>
      </c>
      <c r="W61" s="218"/>
      <c r="X61" s="206">
        <f t="shared" ref="X61:AH61" si="24">SUM(X59:X60)</f>
        <v>7604197.3217671234</v>
      </c>
      <c r="Y61" s="206">
        <f>SUM(Y59:Y60)</f>
        <v>1169876.5110410959</v>
      </c>
      <c r="Z61" s="206">
        <f>SUM(Z59:Z60)</f>
        <v>2339753.0220821919</v>
      </c>
      <c r="AA61" s="206">
        <f t="shared" si="24"/>
        <v>2924691.2776027401</v>
      </c>
      <c r="AB61" s="206">
        <f t="shared" si="24"/>
        <v>2339753.0220821919</v>
      </c>
      <c r="AC61" s="206">
        <f t="shared" si="24"/>
        <v>5849382.5552054802</v>
      </c>
      <c r="AD61" s="206">
        <f t="shared" si="24"/>
        <v>1754814.7665616437</v>
      </c>
      <c r="AE61" s="206">
        <f t="shared" si="24"/>
        <v>3509629.5331232874</v>
      </c>
      <c r="AF61" s="206">
        <f t="shared" si="24"/>
        <v>1169876.5110410959</v>
      </c>
      <c r="AG61" s="206">
        <f t="shared" si="24"/>
        <v>2924691.2776027401</v>
      </c>
      <c r="AH61" s="206">
        <f t="shared" si="24"/>
        <v>4094567.7886438356</v>
      </c>
      <c r="AI61" s="206">
        <f>SUM(AI59:AI60)</f>
        <v>0</v>
      </c>
      <c r="AJ61" s="206">
        <f>SUM(AJ59:AJ60)</f>
        <v>0</v>
      </c>
      <c r="AK61" s="206">
        <f>SUM(AK59:AK60)</f>
        <v>0</v>
      </c>
      <c r="AL61" s="206"/>
      <c r="AM61" s="207">
        <f>SUM(AM59:AM60)</f>
        <v>35681233.586753421</v>
      </c>
      <c r="AN61" s="172"/>
      <c r="AO61" s="185"/>
      <c r="AP61" s="185"/>
      <c r="AQ61" s="185"/>
      <c r="AR61" s="185"/>
      <c r="AS61" s="185"/>
      <c r="AT61" s="185"/>
      <c r="AU61" s="185"/>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172"/>
      <c r="DC61" s="172"/>
      <c r="DD61" s="172"/>
      <c r="DE61" s="172"/>
      <c r="DF61" s="172"/>
      <c r="DG61" s="172"/>
      <c r="DH61" s="172"/>
      <c r="DI61" s="172"/>
      <c r="DJ61" s="172"/>
      <c r="DK61" s="172"/>
      <c r="DL61" s="172"/>
      <c r="DM61" s="172"/>
      <c r="DN61" s="172"/>
      <c r="DO61" s="172"/>
      <c r="DP61" s="172"/>
      <c r="DQ61" s="172"/>
      <c r="DR61" s="172"/>
      <c r="DS61" s="172"/>
      <c r="DT61" s="172"/>
      <c r="DU61" s="172"/>
      <c r="DV61" s="172"/>
      <c r="DW61" s="172"/>
      <c r="DX61" s="172"/>
      <c r="DY61" s="172"/>
      <c r="DZ61" s="172"/>
      <c r="EA61" s="172"/>
      <c r="EB61" s="172"/>
      <c r="EC61" s="172"/>
      <c r="ED61" s="172"/>
      <c r="EE61" s="172"/>
      <c r="EF61" s="172"/>
      <c r="EG61" s="172"/>
      <c r="EH61" s="172"/>
      <c r="EI61" s="172"/>
      <c r="EJ61" s="172"/>
      <c r="EK61" s="172"/>
      <c r="EL61" s="172"/>
      <c r="EM61" s="172"/>
      <c r="EN61" s="172"/>
      <c r="EO61" s="172"/>
      <c r="EP61" s="172"/>
      <c r="EQ61" s="172"/>
      <c r="ER61" s="172"/>
      <c r="ES61" s="172"/>
      <c r="ET61" s="172"/>
      <c r="EU61" s="172"/>
      <c r="EV61" s="172"/>
      <c r="EW61" s="172"/>
      <c r="EX61" s="172"/>
      <c r="EY61" s="172"/>
      <c r="EZ61" s="172"/>
      <c r="FA61" s="172"/>
      <c r="FB61" s="172"/>
      <c r="FC61" s="172"/>
      <c r="FD61" s="172"/>
      <c r="FE61" s="172"/>
      <c r="FF61" s="172"/>
      <c r="FG61" s="172"/>
      <c r="FH61" s="172"/>
      <c r="FI61" s="172"/>
      <c r="FJ61" s="172"/>
      <c r="FK61" s="172"/>
      <c r="FL61" s="172"/>
      <c r="FM61" s="172"/>
      <c r="FN61" s="172"/>
      <c r="FO61" s="172"/>
      <c r="FP61" s="172"/>
      <c r="FQ61" s="172"/>
      <c r="FR61" s="172"/>
      <c r="FS61" s="172"/>
      <c r="FT61" s="172"/>
      <c r="FU61" s="172"/>
      <c r="FV61" s="172"/>
      <c r="FW61" s="172"/>
      <c r="FX61" s="172"/>
      <c r="FY61" s="172"/>
      <c r="FZ61" s="172"/>
      <c r="GA61" s="172"/>
      <c r="GB61" s="172"/>
      <c r="GC61" s="172"/>
      <c r="GD61" s="172"/>
      <c r="GE61" s="172"/>
      <c r="GF61" s="172"/>
      <c r="GG61" s="172"/>
      <c r="GH61" s="172"/>
      <c r="GI61" s="172"/>
      <c r="GJ61" s="172"/>
      <c r="GK61" s="172"/>
      <c r="GL61" s="172"/>
      <c r="GM61" s="172"/>
      <c r="GN61" s="172"/>
      <c r="GO61" s="172"/>
      <c r="GP61" s="172"/>
      <c r="GQ61" s="172"/>
    </row>
    <row r="62" spans="1:199" s="181" customFormat="1" ht="12.75" customHeight="1" x14ac:dyDescent="0.15">
      <c r="A62" s="712"/>
      <c r="B62" s="1113"/>
      <c r="C62" s="1113"/>
      <c r="D62" s="522"/>
      <c r="E62" s="606"/>
      <c r="F62" s="185"/>
      <c r="G62" s="185"/>
      <c r="H62" s="185"/>
      <c r="I62" s="185"/>
      <c r="J62" s="185"/>
      <c r="K62" s="185"/>
      <c r="L62" s="185"/>
      <c r="M62" s="185"/>
      <c r="N62" s="185"/>
      <c r="O62" s="216"/>
      <c r="P62" s="216"/>
      <c r="Q62" s="216"/>
      <c r="R62" s="216"/>
      <c r="S62" s="216"/>
      <c r="T62" s="216"/>
      <c r="U62" s="1392"/>
      <c r="V62" s="172"/>
      <c r="W62" s="172"/>
      <c r="X62" s="202"/>
      <c r="Y62" s="202"/>
      <c r="Z62" s="202"/>
      <c r="AA62" s="202"/>
      <c r="AB62" s="202"/>
      <c r="AC62" s="202"/>
      <c r="AD62" s="202"/>
      <c r="AE62" s="172"/>
      <c r="AF62" s="172"/>
      <c r="AG62" s="202"/>
      <c r="AH62" s="202"/>
      <c r="AI62" s="202"/>
      <c r="AJ62" s="202"/>
      <c r="AK62" s="202"/>
      <c r="AL62" s="202"/>
      <c r="AM62" s="219"/>
      <c r="AN62" s="220"/>
      <c r="AO62" s="174"/>
      <c r="AP62" s="174"/>
      <c r="AQ62" s="174"/>
      <c r="AR62" s="174"/>
      <c r="AS62" s="174"/>
      <c r="AT62" s="174"/>
      <c r="AU62" s="174"/>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172"/>
      <c r="DC62" s="172"/>
      <c r="DD62" s="172"/>
      <c r="DE62" s="172"/>
      <c r="DF62" s="172"/>
      <c r="DG62" s="172"/>
      <c r="DH62" s="172"/>
      <c r="DI62" s="172"/>
      <c r="DJ62" s="172"/>
      <c r="DK62" s="172"/>
      <c r="DL62" s="172"/>
      <c r="DM62" s="172"/>
      <c r="DN62" s="172"/>
      <c r="DO62" s="172"/>
      <c r="DP62" s="172"/>
      <c r="DQ62" s="172"/>
      <c r="DR62" s="172"/>
      <c r="DS62" s="172"/>
      <c r="DT62" s="172"/>
      <c r="DU62" s="172"/>
      <c r="DV62" s="172"/>
      <c r="DW62" s="172"/>
      <c r="DX62" s="172"/>
      <c r="DY62" s="172"/>
      <c r="DZ62" s="172"/>
      <c r="EA62" s="172"/>
      <c r="EB62" s="172"/>
      <c r="EC62" s="172"/>
      <c r="ED62" s="172"/>
      <c r="EE62" s="172"/>
      <c r="EF62" s="172"/>
      <c r="EG62" s="172"/>
      <c r="EH62" s="172"/>
      <c r="EI62" s="172"/>
      <c r="EJ62" s="172"/>
      <c r="EK62" s="172"/>
      <c r="EL62" s="172"/>
      <c r="EM62" s="172"/>
      <c r="EN62" s="172"/>
      <c r="EO62" s="172"/>
      <c r="EP62" s="172"/>
      <c r="EQ62" s="172"/>
      <c r="ER62" s="172"/>
      <c r="ES62" s="172"/>
      <c r="ET62" s="172"/>
      <c r="EU62" s="172"/>
      <c r="EV62" s="172"/>
      <c r="EW62" s="172"/>
      <c r="EX62" s="172"/>
      <c r="EY62" s="172"/>
      <c r="EZ62" s="172"/>
      <c r="FA62" s="172"/>
      <c r="FB62" s="172"/>
      <c r="FC62" s="172"/>
      <c r="FD62" s="172"/>
      <c r="FE62" s="172"/>
      <c r="FF62" s="172"/>
      <c r="FG62" s="172"/>
      <c r="FH62" s="172"/>
      <c r="FI62" s="172"/>
      <c r="FJ62" s="172"/>
      <c r="FK62" s="172"/>
      <c r="FL62" s="172"/>
      <c r="FM62" s="172"/>
      <c r="FN62" s="172"/>
      <c r="FO62" s="172"/>
      <c r="FP62" s="172"/>
      <c r="FQ62" s="172"/>
      <c r="FR62" s="172"/>
      <c r="FS62" s="172"/>
      <c r="FT62" s="172"/>
      <c r="FU62" s="172"/>
      <c r="FV62" s="172"/>
      <c r="FW62" s="172"/>
      <c r="FX62" s="172"/>
      <c r="FY62" s="172"/>
      <c r="FZ62" s="172"/>
      <c r="GA62" s="172"/>
      <c r="GB62" s="172"/>
      <c r="GC62" s="172"/>
      <c r="GD62" s="172"/>
      <c r="GE62" s="172"/>
      <c r="GF62" s="172"/>
      <c r="GG62" s="172"/>
      <c r="GH62" s="172"/>
      <c r="GI62" s="172"/>
      <c r="GJ62" s="172"/>
      <c r="GK62" s="172"/>
      <c r="GL62" s="172"/>
      <c r="GM62" s="172"/>
      <c r="GN62" s="172"/>
      <c r="GO62" s="172"/>
      <c r="GP62" s="172"/>
      <c r="GQ62" s="172"/>
    </row>
    <row r="63" spans="1:199" s="172" customFormat="1" ht="13.5" customHeight="1" thickBot="1" x14ac:dyDescent="0.2">
      <c r="A63" s="712"/>
      <c r="B63" s="1113"/>
      <c r="C63" s="1113"/>
      <c r="D63" s="523"/>
      <c r="E63" s="603"/>
      <c r="F63" s="174"/>
      <c r="G63" s="174"/>
      <c r="H63" s="174"/>
      <c r="I63" s="174"/>
      <c r="J63" s="174"/>
      <c r="K63" s="174"/>
      <c r="L63" s="174"/>
      <c r="M63" s="174"/>
      <c r="N63" s="174"/>
      <c r="O63" s="179"/>
      <c r="P63" s="179"/>
      <c r="Q63" s="179"/>
      <c r="R63" s="179"/>
      <c r="S63" s="179"/>
      <c r="T63" s="179"/>
      <c r="U63" s="310" t="s">
        <v>388</v>
      </c>
      <c r="V63" s="311"/>
      <c r="W63" s="311"/>
      <c r="X63" s="312">
        <f ca="1">SUM(X36,X55,X61)</f>
        <v>57265425.645863518</v>
      </c>
      <c r="Y63" s="312">
        <f ca="1">SUM(Y36,Y55,Y61)</f>
        <v>12538574.035517467</v>
      </c>
      <c r="Z63" s="312">
        <f t="shared" ref="Z63:AH63" ca="1" si="25">SUM(Z36,Z55,Z61)</f>
        <v>23070786.207386073</v>
      </c>
      <c r="AA63" s="312">
        <f t="shared" ca="1" si="25"/>
        <v>24492476.668376997</v>
      </c>
      <c r="AB63" s="312">
        <f t="shared" ca="1" si="25"/>
        <v>28074554.59285178</v>
      </c>
      <c r="AC63" s="312">
        <f t="shared" ca="1" si="25"/>
        <v>45020458.798068099</v>
      </c>
      <c r="AD63" s="312">
        <f t="shared" ca="1" si="25"/>
        <v>26019589.389959086</v>
      </c>
      <c r="AE63" s="312">
        <f t="shared" ca="1" si="25"/>
        <v>30041101.176552396</v>
      </c>
      <c r="AF63" s="312">
        <f t="shared" ca="1" si="25"/>
        <v>11523022.703425815</v>
      </c>
      <c r="AG63" s="312">
        <f t="shared" ca="1" si="25"/>
        <v>28278941.476520933</v>
      </c>
      <c r="AH63" s="312">
        <f t="shared" ca="1" si="25"/>
        <v>48466971.732227795</v>
      </c>
      <c r="AI63" s="312">
        <f t="shared" ref="AI63:AJ63" ca="1" si="26">SUM(AI36,AI55,AI61)</f>
        <v>0</v>
      </c>
      <c r="AJ63" s="312">
        <f t="shared" ca="1" si="26"/>
        <v>0</v>
      </c>
      <c r="AK63" s="312">
        <f ca="1">SUM(AK36,AK55,AK61)</f>
        <v>0</v>
      </c>
      <c r="AL63" s="311"/>
      <c r="AM63" s="313">
        <f ca="1">(AM61+AM55)+AM36</f>
        <v>334791902.42674994</v>
      </c>
      <c r="AO63" s="186"/>
      <c r="AP63" s="174"/>
      <c r="AQ63" s="174"/>
      <c r="AR63" s="174"/>
      <c r="AS63" s="174"/>
      <c r="AT63" s="174"/>
      <c r="AU63" s="174"/>
    </row>
    <row r="64" spans="1:199" s="172" customFormat="1" ht="16.5" customHeight="1" x14ac:dyDescent="0.15">
      <c r="A64" s="698"/>
      <c r="B64" s="1097"/>
      <c r="C64" s="1097"/>
      <c r="E64" s="604"/>
      <c r="F64" s="186"/>
      <c r="G64" s="174"/>
      <c r="H64" s="174"/>
      <c r="I64" s="174"/>
      <c r="J64" s="174"/>
      <c r="K64" s="174"/>
      <c r="L64" s="174"/>
      <c r="M64" s="174"/>
      <c r="N64" s="174"/>
      <c r="O64" s="179"/>
      <c r="P64" s="179"/>
      <c r="Q64" s="179"/>
      <c r="R64" s="179"/>
      <c r="S64" s="179"/>
      <c r="T64" s="179"/>
      <c r="U64" s="1391"/>
      <c r="X64" s="350"/>
      <c r="Y64" s="2539">
        <f ca="1">Y63+Z63</f>
        <v>35609360.242903538</v>
      </c>
      <c r="Z64" s="2539"/>
      <c r="AA64" s="2535">
        <f ca="1">AA63+AB63</f>
        <v>52567031.261228777</v>
      </c>
      <c r="AB64" s="2535"/>
      <c r="AC64" s="2535">
        <f ca="1">AC63+AD63</f>
        <v>71040048.188027188</v>
      </c>
      <c r="AD64" s="2535"/>
      <c r="AE64" s="2535">
        <f ca="1">AE63+AF63</f>
        <v>41564123.87997821</v>
      </c>
      <c r="AF64" s="2535"/>
      <c r="AG64" s="2535">
        <f ca="1">AG63+AH63</f>
        <v>76745913.208748728</v>
      </c>
      <c r="AH64" s="2535"/>
      <c r="AI64" s="2535">
        <f ca="1">AI63+AJ63</f>
        <v>0</v>
      </c>
      <c r="AJ64" s="2535"/>
      <c r="AK64" s="1688"/>
      <c r="AL64" s="254"/>
      <c r="AN64" s="208"/>
      <c r="AO64" s="174"/>
      <c r="AP64" s="174"/>
      <c r="AQ64" s="174"/>
      <c r="AR64" s="174"/>
      <c r="AS64" s="174"/>
      <c r="AT64" s="174"/>
      <c r="AU64" s="174"/>
    </row>
    <row r="65" spans="1:205" s="172" customFormat="1" ht="12.75" customHeight="1" x14ac:dyDescent="0.15">
      <c r="A65" s="709"/>
      <c r="B65" s="1110"/>
      <c r="C65" s="1110"/>
      <c r="D65" s="257"/>
      <c r="E65" s="596"/>
      <c r="G65" s="174"/>
      <c r="H65" s="174"/>
      <c r="I65" s="174"/>
      <c r="J65" s="174"/>
      <c r="K65" s="174"/>
      <c r="L65" s="174"/>
      <c r="M65" s="174"/>
      <c r="N65" s="174"/>
      <c r="O65" s="174"/>
      <c r="P65" s="179"/>
      <c r="Q65" s="179"/>
      <c r="R65" s="179"/>
      <c r="S65" s="179"/>
      <c r="T65" s="179"/>
      <c r="U65" s="1392"/>
      <c r="W65" s="172" t="s">
        <v>2703</v>
      </c>
      <c r="X65" s="350">
        <f ca="1">X63/X20</f>
        <v>4405032.7419895018</v>
      </c>
      <c r="Y65" s="350">
        <f ca="1">Y63/Y19</f>
        <v>6269287.0177587336</v>
      </c>
      <c r="Z65" s="350">
        <f ca="1">Z63/Z20</f>
        <v>5767696.5518465182</v>
      </c>
      <c r="AA65" s="350">
        <f ca="1">AA63/AA19</f>
        <v>4898495.3336753994</v>
      </c>
      <c r="AB65" s="350">
        <f ca="1">AB63/AB20</f>
        <v>7018638.6482129451</v>
      </c>
      <c r="AC65" s="350">
        <f ca="1">AC63/AC19</f>
        <v>4502045.8798068101</v>
      </c>
      <c r="AD65" s="350">
        <f ca="1">AD63/AD20</f>
        <v>8673196.4633196946</v>
      </c>
      <c r="AE65" s="350">
        <f ca="1">AE63/AE19</f>
        <v>5006850.1960920664</v>
      </c>
      <c r="AF65" s="350">
        <f ca="1">AF63/AF20</f>
        <v>5761511.3517129077</v>
      </c>
      <c r="AG65" s="350">
        <f ca="1">AG63/AG19</f>
        <v>5655788.2953041866</v>
      </c>
      <c r="AH65" s="314" t="s">
        <v>389</v>
      </c>
      <c r="AI65" s="350"/>
      <c r="AJ65" s="257"/>
      <c r="AK65" s="257"/>
      <c r="AL65" s="257"/>
      <c r="AM65" s="314">
        <f ca="1">AM63-'Cost Details'!X64</f>
        <v>334791902.42674994</v>
      </c>
      <c r="AO65" s="174"/>
      <c r="AP65" s="174"/>
      <c r="AQ65" s="174"/>
      <c r="AR65" s="174"/>
      <c r="AS65" s="174"/>
      <c r="AT65" s="174"/>
      <c r="AU65" s="174"/>
    </row>
    <row r="66" spans="1:205" s="172" customFormat="1" ht="12.75" customHeight="1" x14ac:dyDescent="0.15">
      <c r="A66" s="708"/>
      <c r="B66" s="1109"/>
      <c r="C66" s="1109"/>
      <c r="D66" s="202"/>
      <c r="E66" s="603"/>
      <c r="F66" s="202"/>
      <c r="G66" s="202"/>
      <c r="H66" s="202"/>
      <c r="I66" s="202"/>
      <c r="K66" s="174"/>
      <c r="L66" s="174"/>
      <c r="M66" s="174"/>
      <c r="N66" s="174"/>
      <c r="O66" s="174"/>
      <c r="P66" s="174"/>
      <c r="Q66" s="174"/>
      <c r="R66" s="174"/>
      <c r="S66" s="174"/>
      <c r="T66" s="179"/>
      <c r="U66" s="1392"/>
      <c r="X66" s="350"/>
      <c r="Y66" s="350"/>
      <c r="Z66" s="350"/>
      <c r="AA66" s="350"/>
      <c r="AB66" s="350"/>
      <c r="AC66" s="350"/>
      <c r="AD66" s="350"/>
      <c r="AE66" s="350"/>
      <c r="AF66" s="350"/>
      <c r="AG66" s="350"/>
      <c r="AH66" s="202"/>
      <c r="AI66" s="350"/>
      <c r="AJ66" s="202"/>
      <c r="AK66" s="202"/>
      <c r="AL66" s="202"/>
      <c r="AM66" s="202"/>
      <c r="AO66" s="174"/>
      <c r="AP66" s="174"/>
      <c r="AQ66" s="174"/>
      <c r="AR66" s="174"/>
      <c r="AS66" s="174"/>
      <c r="AT66" s="174"/>
      <c r="AU66" s="174"/>
    </row>
    <row r="67" spans="1:205" s="172" customFormat="1" ht="12.75" customHeight="1" x14ac:dyDescent="0.15">
      <c r="A67" s="713"/>
      <c r="B67" s="1114"/>
      <c r="C67" s="1114"/>
      <c r="D67" s="199"/>
      <c r="E67" s="601"/>
      <c r="F67" s="199" t="e">
        <f>#REF!</f>
        <v>#REF!</v>
      </c>
      <c r="G67" s="199"/>
      <c r="H67" s="221"/>
      <c r="I67" s="202"/>
      <c r="K67" s="174"/>
      <c r="L67" s="174"/>
      <c r="M67" s="174"/>
      <c r="N67" s="174"/>
      <c r="O67" s="174"/>
      <c r="P67" s="174"/>
      <c r="Q67" s="174"/>
      <c r="R67" s="174"/>
      <c r="S67" s="174"/>
      <c r="T67" s="179"/>
      <c r="U67" s="1392"/>
      <c r="W67" s="180"/>
      <c r="X67" s="351"/>
      <c r="Y67" s="2247"/>
      <c r="Z67" s="351"/>
      <c r="AA67" s="351"/>
      <c r="AB67" s="351"/>
      <c r="AC67" s="351"/>
      <c r="AD67" s="351"/>
      <c r="AE67" s="351"/>
      <c r="AF67" s="351"/>
      <c r="AG67" s="351"/>
      <c r="AH67" s="199"/>
      <c r="AI67" s="351"/>
      <c r="AJ67" s="199"/>
      <c r="AK67" s="199"/>
      <c r="AL67" s="1244"/>
      <c r="AM67" s="202"/>
      <c r="AO67" s="174"/>
      <c r="AP67" s="174"/>
      <c r="AQ67" s="174"/>
      <c r="AR67" s="174"/>
      <c r="AS67" s="174"/>
      <c r="AT67" s="174"/>
      <c r="AU67" s="174"/>
    </row>
    <row r="68" spans="1:205" s="172" customFormat="1" ht="12.75" customHeight="1" x14ac:dyDescent="0.15">
      <c r="A68" s="714"/>
      <c r="B68" s="1115"/>
      <c r="C68" s="1115"/>
      <c r="D68" s="221"/>
      <c r="E68" s="603"/>
      <c r="F68" s="221" t="e">
        <f>(#REF!+#REF!)+#REF!</f>
        <v>#REF!</v>
      </c>
      <c r="G68" s="221"/>
      <c r="H68" s="221"/>
      <c r="I68" s="202"/>
      <c r="K68" s="174"/>
      <c r="L68" s="174"/>
      <c r="M68" s="174"/>
      <c r="N68" s="174"/>
      <c r="O68" s="174"/>
      <c r="P68" s="174"/>
      <c r="Q68" s="174"/>
      <c r="R68" s="174"/>
      <c r="S68" s="174"/>
      <c r="T68" s="179"/>
      <c r="U68" s="1392"/>
      <c r="W68" s="222" t="s">
        <v>132</v>
      </c>
      <c r="X68" s="350"/>
      <c r="Y68" s="350"/>
      <c r="Z68" s="350"/>
      <c r="AA68" s="350"/>
      <c r="AB68" s="350"/>
      <c r="AC68" s="350"/>
      <c r="AD68" s="350"/>
      <c r="AE68" s="350"/>
      <c r="AF68" s="350"/>
      <c r="AG68" s="350"/>
      <c r="AH68" s="221"/>
      <c r="AI68" s="350"/>
      <c r="AJ68" s="221"/>
      <c r="AK68" s="221"/>
      <c r="AL68" s="221"/>
      <c r="AM68" s="202"/>
      <c r="AO68" s="174"/>
      <c r="AP68" s="174"/>
      <c r="AQ68" s="174"/>
      <c r="AR68" s="174"/>
      <c r="AS68" s="174"/>
      <c r="AT68" s="174"/>
      <c r="AU68" s="174"/>
    </row>
    <row r="69" spans="1:205" s="172" customFormat="1" ht="12.75" customHeight="1" x14ac:dyDescent="0.15">
      <c r="A69" s="714"/>
      <c r="B69" s="1115"/>
      <c r="C69" s="1115"/>
      <c r="D69" s="221"/>
      <c r="E69" s="603"/>
      <c r="F69" s="221"/>
      <c r="G69" s="221"/>
      <c r="H69" s="221"/>
      <c r="K69" s="174"/>
      <c r="L69" s="174"/>
      <c r="M69" s="174"/>
      <c r="N69" s="174"/>
      <c r="O69" s="174"/>
      <c r="P69" s="174"/>
      <c r="Q69" s="174"/>
      <c r="R69" s="174"/>
      <c r="S69" s="174"/>
      <c r="T69" s="179"/>
      <c r="U69" s="1392"/>
      <c r="W69" s="222" t="s">
        <v>133</v>
      </c>
      <c r="X69" s="350"/>
      <c r="Y69" s="350"/>
      <c r="Z69" s="350"/>
      <c r="AA69" s="350"/>
      <c r="AB69" s="350"/>
      <c r="AC69" s="350"/>
      <c r="AD69" s="350"/>
      <c r="AE69" s="350"/>
      <c r="AF69" s="350"/>
      <c r="AG69" s="350"/>
      <c r="AH69" s="221"/>
      <c r="AI69" s="350"/>
      <c r="AJ69" s="221"/>
      <c r="AK69" s="221"/>
      <c r="AL69" s="221"/>
      <c r="AP69" s="174"/>
      <c r="AQ69" s="174"/>
      <c r="AR69" s="174"/>
      <c r="AS69" s="174"/>
      <c r="AT69" s="174"/>
      <c r="AU69" s="174"/>
    </row>
    <row r="70" spans="1:205" s="172" customFormat="1" ht="12.75" customHeight="1" x14ac:dyDescent="0.15">
      <c r="A70" s="715"/>
      <c r="B70" s="1116"/>
      <c r="C70" s="1116"/>
      <c r="D70" s="180"/>
      <c r="E70" s="596"/>
      <c r="F70" s="180"/>
      <c r="G70" s="180"/>
      <c r="H70" s="221"/>
      <c r="I70" s="221"/>
      <c r="L70" s="174"/>
      <c r="M70" s="174"/>
      <c r="N70" s="174"/>
      <c r="O70" s="174"/>
      <c r="P70" s="174"/>
      <c r="Q70" s="174"/>
      <c r="R70" s="174"/>
      <c r="S70" s="174"/>
      <c r="T70" s="174"/>
      <c r="W70" s="180"/>
      <c r="X70" s="226"/>
      <c r="Y70" s="226"/>
      <c r="Z70" s="226"/>
      <c r="AA70" s="226"/>
      <c r="AB70" s="226"/>
      <c r="AC70" s="226"/>
      <c r="AD70" s="226"/>
      <c r="AE70" s="226"/>
      <c r="AF70" s="226"/>
      <c r="AG70" s="226"/>
      <c r="AH70" s="180"/>
      <c r="AI70" s="226"/>
      <c r="AJ70" s="180"/>
      <c r="AK70" s="180"/>
      <c r="AL70" s="221"/>
      <c r="AM70" s="221"/>
      <c r="AP70" s="174"/>
      <c r="AQ70" s="174"/>
      <c r="AR70" s="174"/>
      <c r="AS70" s="174"/>
      <c r="AT70" s="174"/>
      <c r="AU70" s="174"/>
    </row>
    <row r="71" spans="1:205" s="172" customFormat="1" ht="13.5" customHeight="1" thickBot="1" x14ac:dyDescent="0.2">
      <c r="A71" s="716"/>
      <c r="B71" s="1117"/>
      <c r="C71" s="1117"/>
      <c r="D71" s="236"/>
      <c r="E71" s="607"/>
      <c r="F71" s="223"/>
      <c r="G71" s="236"/>
      <c r="H71" s="223"/>
      <c r="I71" s="223"/>
      <c r="J71" s="254"/>
      <c r="L71" s="174"/>
      <c r="M71" s="174"/>
      <c r="N71" s="174"/>
      <c r="O71" s="174"/>
      <c r="P71" s="174"/>
      <c r="Q71" s="174"/>
      <c r="R71" s="174"/>
      <c r="S71" s="174"/>
      <c r="T71" s="174"/>
      <c r="U71" s="223"/>
      <c r="V71" s="223"/>
      <c r="W71" s="223"/>
      <c r="X71" s="223"/>
      <c r="Y71" s="223"/>
      <c r="Z71" s="236"/>
      <c r="AA71" s="223"/>
      <c r="AB71" s="236"/>
      <c r="AC71" s="223"/>
      <c r="AD71" s="236"/>
      <c r="AE71" s="223"/>
      <c r="AF71" s="236"/>
      <c r="AG71" s="223"/>
      <c r="AH71" s="236"/>
      <c r="AI71" s="223"/>
      <c r="AJ71" s="236"/>
      <c r="AK71" s="236"/>
      <c r="AL71" s="223"/>
      <c r="AM71" s="223"/>
      <c r="AN71" s="254"/>
      <c r="AO71" s="254"/>
      <c r="AP71" s="175"/>
      <c r="AQ71" s="175"/>
      <c r="AR71" s="175"/>
      <c r="AS71" s="175"/>
      <c r="AT71" s="175"/>
      <c r="AU71" s="175"/>
    </row>
    <row r="72" spans="1:205" ht="12.75" customHeight="1" x14ac:dyDescent="0.2">
      <c r="A72" s="717"/>
      <c r="B72" s="1118"/>
      <c r="C72" s="1118"/>
      <c r="D72" s="553"/>
      <c r="E72" s="608"/>
      <c r="F72" s="553"/>
      <c r="G72" s="553"/>
      <c r="H72" s="553"/>
      <c r="I72" s="554"/>
      <c r="J72" s="294"/>
      <c r="K72" s="254"/>
      <c r="L72" s="175"/>
      <c r="M72" s="175"/>
      <c r="N72" s="175"/>
      <c r="O72" s="175"/>
      <c r="P72" s="175"/>
      <c r="Q72" s="175"/>
      <c r="R72" s="175"/>
      <c r="S72" s="175"/>
      <c r="T72" s="175"/>
      <c r="U72" s="2540" t="s">
        <v>134</v>
      </c>
      <c r="V72" s="2541"/>
      <c r="W72" s="2541"/>
      <c r="X72" s="2541"/>
      <c r="Y72" s="2541"/>
      <c r="Z72" s="2541"/>
      <c r="AA72" s="2541"/>
      <c r="AB72" s="2541"/>
      <c r="AC72" s="2541"/>
      <c r="AD72" s="2541"/>
      <c r="AE72" s="2541"/>
      <c r="AF72" s="2541"/>
      <c r="AG72" s="2541"/>
      <c r="AH72" s="2541"/>
      <c r="AI72" s="2541"/>
      <c r="AJ72" s="2541"/>
      <c r="AK72" s="2541"/>
      <c r="AL72" s="2541"/>
      <c r="AM72" s="2542"/>
      <c r="AN72" s="294"/>
      <c r="AO72" s="254"/>
      <c r="AP72" s="175"/>
      <c r="AQ72" s="175"/>
      <c r="AR72" s="175"/>
      <c r="AS72" s="175"/>
      <c r="AT72" s="175"/>
      <c r="AU72" s="175"/>
    </row>
    <row r="73" spans="1:205" ht="12.75" customHeight="1" x14ac:dyDescent="0.2">
      <c r="A73" s="718"/>
      <c r="B73" s="1119"/>
      <c r="C73" s="1119"/>
      <c r="D73" s="555"/>
      <c r="E73" s="609"/>
      <c r="F73" s="555"/>
      <c r="G73" s="555"/>
      <c r="H73" s="555"/>
      <c r="I73" s="556"/>
      <c r="J73" s="294"/>
      <c r="K73" s="254"/>
      <c r="L73" s="175"/>
      <c r="M73" s="175"/>
      <c r="N73" s="175"/>
      <c r="O73" s="175"/>
      <c r="P73" s="175"/>
      <c r="Q73" s="175"/>
      <c r="R73" s="175"/>
      <c r="S73" s="175"/>
      <c r="T73" s="175"/>
      <c r="U73" s="2543"/>
      <c r="V73" s="2544"/>
      <c r="W73" s="2544"/>
      <c r="X73" s="2544"/>
      <c r="Y73" s="2544"/>
      <c r="Z73" s="2544"/>
      <c r="AA73" s="2544"/>
      <c r="AB73" s="2544"/>
      <c r="AC73" s="2544"/>
      <c r="AD73" s="2544"/>
      <c r="AE73" s="2544"/>
      <c r="AF73" s="2544"/>
      <c r="AG73" s="2544"/>
      <c r="AH73" s="2544"/>
      <c r="AI73" s="2544"/>
      <c r="AJ73" s="2544"/>
      <c r="AK73" s="2544"/>
      <c r="AL73" s="2544"/>
      <c r="AM73" s="2545"/>
      <c r="AN73" s="294"/>
      <c r="AO73" s="254"/>
      <c r="AP73" s="175"/>
    </row>
    <row r="74" spans="1:205" ht="13.5" customHeight="1" thickBot="1" x14ac:dyDescent="0.25">
      <c r="A74" s="719"/>
      <c r="B74" s="1120"/>
      <c r="C74" s="1120"/>
      <c r="D74" s="557"/>
      <c r="E74" s="610"/>
      <c r="F74" s="557"/>
      <c r="G74" s="557"/>
      <c r="H74" s="557"/>
      <c r="I74" s="558"/>
      <c r="J74" s="294"/>
      <c r="K74" s="254"/>
      <c r="L74" s="175"/>
      <c r="U74" s="2546"/>
      <c r="V74" s="2547"/>
      <c r="W74" s="2547"/>
      <c r="X74" s="2547"/>
      <c r="Y74" s="2547"/>
      <c r="Z74" s="2547"/>
      <c r="AA74" s="2547"/>
      <c r="AB74" s="2547"/>
      <c r="AC74" s="2547"/>
      <c r="AD74" s="2547"/>
      <c r="AE74" s="2547"/>
      <c r="AF74" s="2547"/>
      <c r="AG74" s="2547"/>
      <c r="AH74" s="2547"/>
      <c r="AI74" s="2547"/>
      <c r="AJ74" s="2547"/>
      <c r="AK74" s="2547"/>
      <c r="AL74" s="2547"/>
      <c r="AM74" s="2548"/>
      <c r="AN74" s="294"/>
    </row>
    <row r="75" spans="1:205" s="172" customFormat="1" ht="12.75" customHeight="1" x14ac:dyDescent="0.15">
      <c r="A75" s="720"/>
      <c r="B75" s="1121"/>
      <c r="C75" s="1121"/>
      <c r="D75" s="282"/>
      <c r="E75" s="611"/>
      <c r="F75" s="225"/>
      <c r="G75" s="282"/>
      <c r="H75" s="225"/>
      <c r="I75" s="225"/>
      <c r="J75" s="254"/>
      <c r="L75" s="174"/>
      <c r="M75" s="174"/>
      <c r="N75" s="174"/>
      <c r="O75" s="174"/>
      <c r="P75" s="174"/>
      <c r="Q75" s="174"/>
      <c r="R75" s="174"/>
      <c r="S75" s="174"/>
      <c r="T75" s="174"/>
      <c r="U75" s="225"/>
      <c r="V75" s="225"/>
      <c r="W75" s="225"/>
      <c r="X75" s="225"/>
      <c r="Y75" s="225"/>
      <c r="Z75" s="282"/>
      <c r="AA75" s="225"/>
      <c r="AB75" s="282"/>
      <c r="AC75" s="225"/>
      <c r="AD75" s="282"/>
      <c r="AE75" s="225"/>
      <c r="AF75" s="282"/>
      <c r="AG75" s="225"/>
      <c r="AH75" s="282"/>
      <c r="AI75" s="225"/>
      <c r="AJ75" s="282"/>
      <c r="AK75" s="282"/>
      <c r="AL75" s="225"/>
      <c r="AM75" s="225"/>
      <c r="AN75" s="254"/>
      <c r="AO75" s="226"/>
      <c r="AP75" s="174"/>
      <c r="AQ75" s="174"/>
      <c r="AR75" s="174"/>
      <c r="AS75" s="174"/>
      <c r="AT75" s="174"/>
      <c r="AU75" s="174"/>
    </row>
    <row r="76" spans="1:205" s="226" customFormat="1" ht="12.75" customHeight="1" x14ac:dyDescent="0.15">
      <c r="A76" s="698"/>
      <c r="B76" s="1097"/>
      <c r="C76" s="1097"/>
      <c r="D76" s="172"/>
      <c r="E76" s="596"/>
      <c r="F76" s="172"/>
      <c r="G76" s="172"/>
      <c r="H76" s="172"/>
      <c r="I76" s="202"/>
      <c r="J76" s="202"/>
      <c r="L76" s="174"/>
      <c r="M76" s="174"/>
      <c r="N76" s="174"/>
      <c r="O76" s="174"/>
      <c r="P76" s="174"/>
      <c r="Q76" s="174"/>
      <c r="R76" s="174"/>
      <c r="S76" s="174"/>
      <c r="T76" s="174"/>
      <c r="U76" s="172"/>
      <c r="V76" s="172"/>
      <c r="W76" s="172"/>
      <c r="X76" s="172"/>
      <c r="Y76" s="172"/>
      <c r="Z76" s="172"/>
      <c r="AA76" s="172"/>
      <c r="AB76" s="172"/>
      <c r="AC76" s="172"/>
      <c r="AD76" s="172"/>
      <c r="AE76" s="172"/>
      <c r="AF76" s="172"/>
      <c r="AG76" s="172"/>
      <c r="AH76" s="172"/>
      <c r="AI76" s="172"/>
      <c r="AJ76" s="172"/>
      <c r="AK76" s="172"/>
      <c r="AL76" s="172"/>
      <c r="AM76" s="202"/>
      <c r="AN76" s="202"/>
      <c r="AO76" s="172"/>
      <c r="AP76" s="174"/>
      <c r="AQ76" s="174"/>
      <c r="AR76" s="174"/>
      <c r="AS76" s="174"/>
      <c r="AT76" s="174"/>
      <c r="AU76" s="174"/>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172"/>
      <c r="DC76" s="172"/>
      <c r="DD76" s="172"/>
      <c r="DE76" s="172"/>
      <c r="DF76" s="172"/>
      <c r="DG76" s="172"/>
      <c r="DH76" s="172"/>
      <c r="DI76" s="172"/>
      <c r="DJ76" s="172"/>
      <c r="DK76" s="172"/>
      <c r="DL76" s="172"/>
      <c r="DM76" s="172"/>
      <c r="DN76" s="172"/>
      <c r="DO76" s="172"/>
      <c r="DP76" s="172"/>
      <c r="DQ76" s="172"/>
      <c r="DR76" s="172"/>
      <c r="DS76" s="172"/>
      <c r="DT76" s="172"/>
      <c r="DU76" s="172"/>
      <c r="DV76" s="172"/>
      <c r="DW76" s="172"/>
      <c r="DX76" s="172"/>
      <c r="DY76" s="172"/>
      <c r="DZ76" s="172"/>
      <c r="EA76" s="172"/>
      <c r="EB76" s="172"/>
      <c r="EC76" s="172"/>
      <c r="ED76" s="172"/>
      <c r="EE76" s="172"/>
      <c r="EF76" s="172"/>
      <c r="EG76" s="172"/>
      <c r="EH76" s="172"/>
      <c r="EI76" s="172"/>
      <c r="EJ76" s="172"/>
      <c r="EK76" s="172"/>
      <c r="EL76" s="172"/>
      <c r="EM76" s="172"/>
      <c r="EN76" s="172"/>
      <c r="EO76" s="172"/>
      <c r="EP76" s="172"/>
      <c r="EQ76" s="172"/>
      <c r="ER76" s="172"/>
      <c r="ES76" s="172"/>
      <c r="ET76" s="172"/>
      <c r="EU76" s="172"/>
      <c r="EV76" s="172"/>
      <c r="EW76" s="172"/>
      <c r="EX76" s="172"/>
      <c r="EY76" s="172"/>
      <c r="EZ76" s="172"/>
      <c r="FA76" s="172"/>
      <c r="FB76" s="172"/>
      <c r="FC76" s="172"/>
      <c r="FD76" s="172"/>
      <c r="FE76" s="172"/>
      <c r="FF76" s="172"/>
      <c r="FG76" s="172"/>
      <c r="FH76" s="172"/>
      <c r="FI76" s="172"/>
      <c r="FJ76" s="172"/>
      <c r="FK76" s="172"/>
      <c r="FL76" s="172"/>
      <c r="FM76" s="172"/>
      <c r="FN76" s="172"/>
      <c r="FO76" s="172"/>
      <c r="FP76" s="172"/>
      <c r="FQ76" s="172"/>
      <c r="FR76" s="172"/>
      <c r="FS76" s="172"/>
      <c r="FT76" s="172"/>
      <c r="FU76" s="172"/>
      <c r="FV76" s="172"/>
      <c r="FW76" s="172"/>
      <c r="FX76" s="172"/>
      <c r="FY76" s="172"/>
      <c r="FZ76" s="172"/>
      <c r="GA76" s="172"/>
      <c r="GB76" s="172"/>
      <c r="GC76" s="172"/>
      <c r="GD76" s="172"/>
      <c r="GE76" s="172"/>
      <c r="GF76" s="172"/>
      <c r="GG76" s="172"/>
      <c r="GH76" s="172"/>
      <c r="GI76" s="172"/>
      <c r="GJ76" s="172"/>
      <c r="GK76" s="172"/>
      <c r="GL76" s="172"/>
      <c r="GM76" s="172"/>
      <c r="GN76" s="172"/>
      <c r="GO76" s="172"/>
      <c r="GP76" s="172"/>
      <c r="GQ76" s="172"/>
      <c r="GR76" s="172"/>
      <c r="GS76" s="172"/>
      <c r="GT76" s="172"/>
      <c r="GU76" s="172"/>
      <c r="GV76" s="172"/>
      <c r="GW76" s="172"/>
    </row>
    <row r="77" spans="1:205" s="172" customFormat="1" ht="12.75" customHeight="1" x14ac:dyDescent="0.15">
      <c r="A77" s="721"/>
      <c r="B77" s="1122"/>
      <c r="C77" s="1122"/>
      <c r="D77" s="228"/>
      <c r="E77" s="612"/>
      <c r="F77" s="228"/>
      <c r="G77" s="228"/>
      <c r="H77" s="228"/>
      <c r="J77" s="220"/>
      <c r="L77" s="174"/>
      <c r="M77" s="174"/>
      <c r="N77" s="174"/>
      <c r="O77" s="174"/>
      <c r="P77" s="174"/>
      <c r="Q77" s="174"/>
      <c r="R77" s="174"/>
      <c r="S77" s="174"/>
      <c r="T77" s="174"/>
      <c r="U77" s="227" t="s">
        <v>135</v>
      </c>
      <c r="V77" s="173"/>
      <c r="W77" s="173"/>
      <c r="AA77" s="228"/>
      <c r="AB77" s="228"/>
      <c r="AC77" s="228"/>
      <c r="AD77" s="228"/>
      <c r="AE77" s="228"/>
      <c r="AF77" s="228"/>
      <c r="AG77" s="228"/>
      <c r="AH77" s="228"/>
      <c r="AI77" s="228"/>
      <c r="AJ77" s="228"/>
      <c r="AK77" s="228"/>
      <c r="AL77" s="228"/>
      <c r="AN77" s="220"/>
      <c r="AP77" s="174"/>
      <c r="AQ77" s="174"/>
      <c r="AR77" s="174"/>
      <c r="AS77" s="174"/>
      <c r="AT77" s="174"/>
      <c r="AU77" s="174"/>
    </row>
    <row r="78" spans="1:205" s="172" customFormat="1" ht="12.75" customHeight="1" x14ac:dyDescent="0.15">
      <c r="A78" s="721"/>
      <c r="B78" s="1122"/>
      <c r="C78" s="1122"/>
      <c r="D78" s="228"/>
      <c r="E78" s="612"/>
      <c r="F78" s="228"/>
      <c r="G78" s="228"/>
      <c r="H78" s="228"/>
      <c r="L78" s="174"/>
      <c r="M78" s="174"/>
      <c r="N78" s="174"/>
      <c r="O78" s="174"/>
      <c r="P78" s="174"/>
      <c r="Q78" s="174"/>
      <c r="R78" s="174"/>
      <c r="S78" s="174"/>
      <c r="T78" s="174"/>
      <c r="AA78" s="228"/>
      <c r="AB78" s="228"/>
      <c r="AC78" s="228"/>
      <c r="AD78" s="228"/>
      <c r="AE78" s="228"/>
      <c r="AF78" s="228"/>
      <c r="AG78" s="228"/>
      <c r="AH78" s="228"/>
      <c r="AI78" s="228"/>
      <c r="AJ78" s="228"/>
      <c r="AK78" s="228"/>
      <c r="AL78" s="228"/>
      <c r="AP78" s="321"/>
      <c r="AQ78" s="321"/>
      <c r="AR78" s="321"/>
      <c r="AS78" s="321"/>
      <c r="AT78" s="321"/>
      <c r="AU78" s="174"/>
    </row>
    <row r="79" spans="1:205" s="172" customFormat="1" ht="13.5" customHeight="1" x14ac:dyDescent="0.15">
      <c r="A79" s="702"/>
      <c r="B79" s="1103"/>
      <c r="C79" s="1103"/>
      <c r="D79" s="254"/>
      <c r="E79" s="596"/>
      <c r="G79" s="321" t="s">
        <v>107</v>
      </c>
      <c r="H79" s="321" t="s">
        <v>137</v>
      </c>
      <c r="I79" s="321" t="s">
        <v>112</v>
      </c>
      <c r="J79" s="321" t="s">
        <v>114</v>
      </c>
      <c r="K79" s="321" t="s">
        <v>116</v>
      </c>
      <c r="L79" s="174"/>
      <c r="M79" s="174"/>
      <c r="N79" s="174"/>
      <c r="O79" s="174"/>
      <c r="P79" s="179"/>
      <c r="Q79" s="179"/>
      <c r="R79" s="179"/>
      <c r="S79" s="179"/>
      <c r="T79" s="179"/>
      <c r="U79" s="1396"/>
      <c r="V79" s="1423" t="s">
        <v>136</v>
      </c>
      <c r="W79" s="2549"/>
      <c r="X79" s="2549"/>
      <c r="Y79" s="254"/>
      <c r="Z79" s="254"/>
      <c r="AA79" s="528"/>
      <c r="AB79" s="528"/>
      <c r="AC79" s="528"/>
      <c r="AD79" s="528"/>
      <c r="AE79" s="528"/>
      <c r="AF79" s="528"/>
      <c r="AG79" s="528"/>
      <c r="AH79" s="528"/>
      <c r="AI79" s="528"/>
      <c r="AJ79" s="528"/>
      <c r="AK79" s="528"/>
      <c r="AL79" s="528"/>
      <c r="AM79" s="254"/>
      <c r="AP79" s="174"/>
      <c r="AQ79" s="174"/>
      <c r="AR79" s="174"/>
      <c r="AS79" s="174"/>
      <c r="AT79" s="174"/>
      <c r="AU79" s="174"/>
    </row>
    <row r="80" spans="1:205" s="172" customFormat="1" ht="13.5" customHeight="1" x14ac:dyDescent="0.15">
      <c r="A80" s="703"/>
      <c r="B80" s="1104" t="s">
        <v>634</v>
      </c>
      <c r="C80" s="1104"/>
      <c r="D80" s="524"/>
      <c r="E80" s="613"/>
      <c r="G80" s="174"/>
      <c r="H80" s="174"/>
      <c r="I80" s="174"/>
      <c r="J80" s="174"/>
      <c r="K80" s="174"/>
      <c r="L80" s="174"/>
      <c r="M80" s="174"/>
      <c r="N80" s="174"/>
      <c r="O80" s="174"/>
      <c r="P80" s="179"/>
      <c r="Q80" s="179"/>
      <c r="R80" s="179"/>
      <c r="S80" s="179"/>
      <c r="T80" s="179"/>
      <c r="U80" s="1424" t="s">
        <v>138</v>
      </c>
      <c r="V80" s="1425" t="s">
        <v>139</v>
      </c>
      <c r="W80" s="1425" t="s">
        <v>140</v>
      </c>
      <c r="X80" s="1426" t="str">
        <f t="shared" ref="X80:AK80" si="27">X$14</f>
        <v>RIGMOVE</v>
      </c>
      <c r="Y80" s="1426" t="str">
        <f t="shared" si="27"/>
        <v>DSURFACE</v>
      </c>
      <c r="Z80" s="1426" t="str">
        <f t="shared" si="27"/>
        <v>FSURFACE</v>
      </c>
      <c r="AA80" s="1426" t="str">
        <f t="shared" si="27"/>
        <v>DINTERMEDIATE</v>
      </c>
      <c r="AB80" s="1426" t="str">
        <f t="shared" si="27"/>
        <v>FINTERMEDIATE</v>
      </c>
      <c r="AC80" s="1426" t="str">
        <f t="shared" si="27"/>
        <v>DPRODUCTION</v>
      </c>
      <c r="AD80" s="1426" t="str">
        <f t="shared" si="27"/>
        <v>FPRODUCTION</v>
      </c>
      <c r="AE80" s="1426" t="str">
        <f t="shared" si="27"/>
        <v>DLINER1</v>
      </c>
      <c r="AF80" s="1426" t="str">
        <f t="shared" si="27"/>
        <v>FLINER1</v>
      </c>
      <c r="AG80" s="1426" t="str">
        <f t="shared" si="27"/>
        <v>DLINER2</v>
      </c>
      <c r="AH80" s="1426" t="str">
        <f t="shared" si="27"/>
        <v>FLINER2</v>
      </c>
      <c r="AI80" s="1426" t="str">
        <f t="shared" si="27"/>
        <v/>
      </c>
      <c r="AJ80" s="1426" t="str">
        <f t="shared" si="27"/>
        <v/>
      </c>
      <c r="AK80" s="1426" t="str">
        <f t="shared" si="27"/>
        <v/>
      </c>
      <c r="AL80" s="1426"/>
      <c r="AM80" s="1427" t="s">
        <v>141</v>
      </c>
      <c r="AN80" s="254"/>
      <c r="AP80" s="174"/>
      <c r="AQ80" s="174"/>
      <c r="AR80" s="174"/>
      <c r="AS80" s="174"/>
      <c r="AT80" s="174"/>
      <c r="AU80" s="174"/>
    </row>
    <row r="81" spans="1:205" s="172" customFormat="1" ht="12.75" customHeight="1" x14ac:dyDescent="0.15">
      <c r="A81" s="722"/>
      <c r="B81" s="1123"/>
      <c r="C81" s="1123"/>
      <c r="D81" s="525"/>
      <c r="E81" s="599"/>
      <c r="G81" s="174"/>
      <c r="H81" s="174"/>
      <c r="I81" s="174"/>
      <c r="J81" s="174"/>
      <c r="K81" s="174"/>
      <c r="L81" s="174"/>
      <c r="M81" s="174"/>
      <c r="N81" s="174"/>
      <c r="O81" s="174"/>
      <c r="P81" s="179"/>
      <c r="Q81" s="179"/>
      <c r="R81" s="179"/>
      <c r="S81" s="179"/>
      <c r="T81" s="179"/>
      <c r="U81" s="797">
        <f>Fuel!A4</f>
        <v>1</v>
      </c>
      <c r="V81" s="1397" t="str">
        <f>Fuel!B4</f>
        <v>Rig</v>
      </c>
      <c r="W81" s="1421"/>
      <c r="X81" s="286">
        <f ca="1">INDIRECT(X$80)*Fuel!E4</f>
        <v>13000</v>
      </c>
      <c r="Y81" s="286">
        <f ca="1">INDIRECT(Y$80)*Fuel!F4</f>
        <v>13000</v>
      </c>
      <c r="Z81" s="286">
        <f ca="1">INDIRECT(Z$80)*Fuel!G4</f>
        <v>22000</v>
      </c>
      <c r="AA81" s="286">
        <f ca="1">INDIRECT(AA$80)*Fuel!H4</f>
        <v>33000</v>
      </c>
      <c r="AB81" s="286">
        <f ca="1">INDIRECT(AB$80)*Fuel!I4</f>
        <v>22000</v>
      </c>
      <c r="AC81" s="286">
        <f ca="1">INDIRECT(AC$80)*Fuel!J4</f>
        <v>66000</v>
      </c>
      <c r="AD81" s="286">
        <f ca="1">INDIRECT(AD$80)*Fuel!K4</f>
        <v>16500</v>
      </c>
      <c r="AE81" s="286">
        <f ca="1">INDIRECT(AE$80)*Fuel!L4</f>
        <v>39600</v>
      </c>
      <c r="AF81" s="286">
        <f ca="1">INDIRECT(AF$80)*Fuel!M4</f>
        <v>11000</v>
      </c>
      <c r="AG81" s="286">
        <f ca="1">IFERROR(INDIRECT(AG$80)*Fuel!N4,0)</f>
        <v>33000</v>
      </c>
      <c r="AH81" s="286">
        <f ca="1">IFERROR(INDIRECT(AH$80)*Fuel!O4,0)</f>
        <v>38500</v>
      </c>
      <c r="AI81" s="286">
        <f ca="1">IFERROR(INDIRECT(AI$80)*Fuel!P4,0)</f>
        <v>0</v>
      </c>
      <c r="AJ81" s="286">
        <f ca="1">IFERROR(INDIRECT(AJ$80)*Fuel!Q4,0)</f>
        <v>0</v>
      </c>
      <c r="AK81" s="286">
        <f ca="1">IFERROR(INDIRECT(AK$80)*Fuel!R4,0)</f>
        <v>0</v>
      </c>
      <c r="AL81" s="243"/>
      <c r="AM81" s="1429">
        <f t="shared" ref="AM81:AM86" ca="1" si="28">SUM(X81:AL81)</f>
        <v>307600</v>
      </c>
      <c r="AN81" s="254"/>
      <c r="AP81" s="174"/>
      <c r="AQ81" s="174"/>
      <c r="AR81" s="174"/>
      <c r="AS81" s="174"/>
      <c r="AT81" s="174"/>
      <c r="AU81" s="174"/>
    </row>
    <row r="82" spans="1:205" s="172" customFormat="1" ht="12.75" customHeight="1" x14ac:dyDescent="0.15">
      <c r="A82" s="722"/>
      <c r="B82" s="1123">
        <f>RIGMOVE</f>
        <v>13</v>
      </c>
      <c r="C82" s="1123"/>
      <c r="D82" s="525"/>
      <c r="E82" s="599"/>
      <c r="G82" s="174"/>
      <c r="H82" s="174"/>
      <c r="I82" s="174"/>
      <c r="J82" s="174"/>
      <c r="K82" s="174"/>
      <c r="L82" s="174"/>
      <c r="M82" s="174"/>
      <c r="N82" s="174"/>
      <c r="O82" s="174"/>
      <c r="P82" s="179"/>
      <c r="Q82" s="179"/>
      <c r="R82" s="179"/>
      <c r="S82" s="179"/>
      <c r="T82" s="179"/>
      <c r="U82" s="797">
        <f>Fuel!A5</f>
        <v>1</v>
      </c>
      <c r="V82" s="1840" t="str">
        <f>Fuel!B5</f>
        <v>Air Drilling Equipment</v>
      </c>
      <c r="W82" s="1421"/>
      <c r="X82" s="286">
        <f ca="1">INDIRECT(X$80)*Fuel!E5</f>
        <v>0</v>
      </c>
      <c r="Y82" s="286">
        <f ca="1">INDIRECT(Y$80)*Fuel!F5</f>
        <v>0</v>
      </c>
      <c r="Z82" s="286">
        <f ca="1">IF(INPUT!$D$10="Yes",INDIRECT(Z$80)*Fuel!G5,0)</f>
        <v>0</v>
      </c>
      <c r="AA82" s="286">
        <f ca="1">INDIRECT(AA$80)*Fuel!H5</f>
        <v>29000</v>
      </c>
      <c r="AB82" s="286">
        <f ca="1">INDIRECT(AB$80)*Fuel!I5</f>
        <v>0</v>
      </c>
      <c r="AC82" s="286">
        <f ca="1">IF(INPUT!$D$11="Yes",INDIRECT(AC$80)*Fuel!J5,0)</f>
        <v>58000</v>
      </c>
      <c r="AD82" s="286">
        <f ca="1">INDIRECT(AD$80)*Fuel!K5</f>
        <v>0</v>
      </c>
      <c r="AE82" s="286">
        <f ca="1">IF(INPUT!$D$12="Yes",INDIRECT(AE$80)*Fuel!L5,0)</f>
        <v>34800</v>
      </c>
      <c r="AF82" s="286">
        <f ca="1">INDIRECT(AF$80)*Fuel!M5</f>
        <v>0</v>
      </c>
      <c r="AG82" s="286">
        <f ca="1">IFERROR(IF(INPUT!$D$13="Yes",INDIRECT(AG$80)*Fuel!N5,0),0)</f>
        <v>29000</v>
      </c>
      <c r="AH82" s="286">
        <f ca="1">IFERROR(INDIRECT(AH$80)*Fuel!O5,0)</f>
        <v>0</v>
      </c>
      <c r="AI82" s="286">
        <f ca="1">IFERROR(INDIRECT(AI$80)*Fuel!P5,0)*IF(AG82="",0,1)</f>
        <v>0</v>
      </c>
      <c r="AJ82" s="286"/>
      <c r="AK82" s="286"/>
      <c r="AL82" s="243"/>
      <c r="AM82" s="1429">
        <f t="shared" ca="1" si="28"/>
        <v>150800</v>
      </c>
      <c r="AN82" s="254"/>
      <c r="AP82" s="174"/>
      <c r="AQ82" s="174"/>
      <c r="AR82" s="174"/>
      <c r="AS82" s="174"/>
      <c r="AT82" s="174"/>
      <c r="AU82" s="174"/>
    </row>
    <row r="83" spans="1:205" s="172" customFormat="1" ht="12.75" customHeight="1" x14ac:dyDescent="0.15">
      <c r="A83" s="722"/>
      <c r="B83" s="1123"/>
      <c r="C83" s="1123"/>
      <c r="D83" s="525"/>
      <c r="E83" s="599"/>
      <c r="G83" s="174"/>
      <c r="H83" s="174"/>
      <c r="I83" s="174"/>
      <c r="J83" s="174"/>
      <c r="K83" s="174"/>
      <c r="L83" s="174"/>
      <c r="M83" s="174"/>
      <c r="N83" s="174"/>
      <c r="O83" s="174"/>
      <c r="P83" s="179"/>
      <c r="Q83" s="179"/>
      <c r="R83" s="179"/>
      <c r="S83" s="179"/>
      <c r="T83" s="179"/>
      <c r="U83" s="797">
        <f>Fuel!A6</f>
        <v>1</v>
      </c>
      <c r="V83" s="1840" t="str">
        <f>Fuel!B6</f>
        <v>Crane</v>
      </c>
      <c r="W83" s="1421"/>
      <c r="X83" s="286">
        <f ca="1">INDIRECT(X$80)*Fuel!E6</f>
        <v>2600</v>
      </c>
      <c r="Y83" s="286">
        <f ca="1">INDIRECT(Y$80)*Fuel!F6</f>
        <v>400</v>
      </c>
      <c r="Z83" s="286">
        <f ca="1">INDIRECT(Z$80)*Fuel!G6</f>
        <v>800</v>
      </c>
      <c r="AA83" s="286">
        <f ca="1">INDIRECT(AA$80)*Fuel!H6</f>
        <v>1000</v>
      </c>
      <c r="AB83" s="286">
        <f ca="1">INDIRECT(AB$80)*Fuel!I6</f>
        <v>800</v>
      </c>
      <c r="AC83" s="286">
        <f ca="1">INDIRECT(AC$80)*Fuel!J6</f>
        <v>2000</v>
      </c>
      <c r="AD83" s="286">
        <f ca="1">INDIRECT(AD$80)*Fuel!K6</f>
        <v>600</v>
      </c>
      <c r="AE83" s="286">
        <f ca="1">INDIRECT(AE$80)*Fuel!L6</f>
        <v>1200</v>
      </c>
      <c r="AF83" s="286">
        <f ca="1">INDIRECT(AF$80)*Fuel!M6</f>
        <v>400</v>
      </c>
      <c r="AG83" s="286">
        <f ca="1">IFERROR(INDIRECT(AG$80)*Fuel!N6,0)</f>
        <v>1000</v>
      </c>
      <c r="AH83" s="286">
        <f ca="1">IFERROR(INDIRECT(AH$80)*Fuel!O6,0)</f>
        <v>1400</v>
      </c>
      <c r="AI83" s="286">
        <f ca="1">IFERROR(INDIRECT(AI$80)*Fuel!P6,0)</f>
        <v>0</v>
      </c>
      <c r="AJ83" s="286">
        <f ca="1">IFERROR(INDIRECT(AJ$80)*Fuel!Q6,0)</f>
        <v>0</v>
      </c>
      <c r="AK83" s="286">
        <f ca="1">IFERROR(INDIRECT(AK$80)*Fuel!R6,0)</f>
        <v>0</v>
      </c>
      <c r="AL83" s="243"/>
      <c r="AM83" s="1429">
        <f t="shared" ca="1" si="28"/>
        <v>12200</v>
      </c>
      <c r="AN83" s="254"/>
      <c r="AP83" s="174"/>
      <c r="AQ83" s="174"/>
      <c r="AR83" s="174"/>
      <c r="AS83" s="174"/>
      <c r="AT83" s="174"/>
      <c r="AU83" s="174"/>
    </row>
    <row r="84" spans="1:205" ht="12.75" customHeight="1" x14ac:dyDescent="0.2">
      <c r="A84" s="722"/>
      <c r="B84" s="1123">
        <f>RIGMOVE</f>
        <v>13</v>
      </c>
      <c r="C84" s="1123"/>
      <c r="D84" s="525"/>
      <c r="E84" s="599"/>
      <c r="G84" s="174"/>
      <c r="H84" s="174"/>
      <c r="I84" s="174"/>
      <c r="J84" s="174"/>
      <c r="K84" s="174"/>
      <c r="P84" s="179"/>
      <c r="Q84" s="179"/>
      <c r="R84" s="179"/>
      <c r="S84" s="175"/>
      <c r="T84" s="175"/>
      <c r="U84" s="797">
        <f>Fuel!A7</f>
        <v>1</v>
      </c>
      <c r="V84" s="1840" t="str">
        <f>Fuel!B7</f>
        <v>Cementing Unit</v>
      </c>
      <c r="W84" s="1421"/>
      <c r="X84" s="286">
        <f ca="1">INDIRECT(X$80)*Fuel!E7</f>
        <v>1300</v>
      </c>
      <c r="Y84" s="286">
        <f ca="1">INDIRECT(Y$80)*Fuel!F7</f>
        <v>0</v>
      </c>
      <c r="Z84" s="286">
        <f ca="1">INDIRECT(Z$80)*Fuel!G7</f>
        <v>800</v>
      </c>
      <c r="AA84" s="286">
        <f ca="1">INDIRECT(AA$80)*Fuel!H7</f>
        <v>0</v>
      </c>
      <c r="AB84" s="286">
        <f ca="1">INDIRECT(AB$80)*Fuel!I7</f>
        <v>800</v>
      </c>
      <c r="AC84" s="286">
        <f ca="1">INDIRECT(AC$80)*Fuel!J7</f>
        <v>0</v>
      </c>
      <c r="AD84" s="286">
        <f ca="1">INDIRECT(AD$80)*Fuel!K7</f>
        <v>600</v>
      </c>
      <c r="AE84" s="286">
        <f ca="1">INDIRECT(AE$80)*Fuel!L7</f>
        <v>0</v>
      </c>
      <c r="AF84" s="286">
        <f ca="1">INDIRECT(AF$80)*Fuel!M7</f>
        <v>0</v>
      </c>
      <c r="AG84" s="286">
        <f ca="1">IFERROR(INDIRECT(AG$80)*Fuel!N7,0)</f>
        <v>0</v>
      </c>
      <c r="AH84" s="286">
        <f ca="1">IFERROR(INDIRECT(AH$80)*Fuel!O7,0)</f>
        <v>1400</v>
      </c>
      <c r="AI84" s="286">
        <f ca="1">IFERROR(INDIRECT(AI$80)*Fuel!P7,0)</f>
        <v>0</v>
      </c>
      <c r="AJ84" s="286">
        <f ca="1">IFERROR(INDIRECT(AJ$80)*Fuel!Q7,0)</f>
        <v>0</v>
      </c>
      <c r="AK84" s="286">
        <f ca="1">IFERROR(INDIRECT(AK$80)*Fuel!R7,0)</f>
        <v>0</v>
      </c>
      <c r="AL84" s="243"/>
      <c r="AM84" s="1429">
        <f t="shared" ca="1" si="28"/>
        <v>4900</v>
      </c>
      <c r="AN84" s="254"/>
      <c r="GS84" s="176"/>
      <c r="GT84" s="176"/>
      <c r="GU84" s="176"/>
      <c r="GV84" s="176"/>
      <c r="GW84" s="176"/>
    </row>
    <row r="85" spans="1:205" ht="13.5" customHeight="1" x14ac:dyDescent="0.2">
      <c r="A85" s="722"/>
      <c r="B85" s="1123">
        <v>1</v>
      </c>
      <c r="C85" s="1123"/>
      <c r="D85" s="525"/>
      <c r="E85" s="599"/>
      <c r="G85" s="174"/>
      <c r="H85" s="174"/>
      <c r="I85" s="174"/>
      <c r="J85" s="174"/>
      <c r="K85" s="174"/>
      <c r="P85" s="179"/>
      <c r="Q85" s="179"/>
      <c r="R85" s="179"/>
      <c r="S85" s="175"/>
      <c r="T85" s="175"/>
      <c r="U85" s="797">
        <f>Fuel!A8</f>
        <v>1</v>
      </c>
      <c r="V85" s="1840" t="str">
        <f>Fuel!B8</f>
        <v>Water Pump</v>
      </c>
      <c r="W85" s="1422"/>
      <c r="X85" s="286">
        <f ca="1">INDIRECT(X$80)*Fuel!E8</f>
        <v>0</v>
      </c>
      <c r="Y85" s="286">
        <f ca="1">INDIRECT(Y$80)*Fuel!F8</f>
        <v>600</v>
      </c>
      <c r="Z85" s="286">
        <f ca="1">INDIRECT(Z$80)*Fuel!G8</f>
        <v>1200</v>
      </c>
      <c r="AA85" s="286">
        <f ca="1">INDIRECT(AA$80)*Fuel!H8</f>
        <v>1500</v>
      </c>
      <c r="AB85" s="286">
        <f ca="1">INDIRECT(AB$80)*Fuel!I8</f>
        <v>1200</v>
      </c>
      <c r="AC85" s="286">
        <f ca="1">INDIRECT(AC$80)*Fuel!J8</f>
        <v>3000</v>
      </c>
      <c r="AD85" s="286">
        <f ca="1">INDIRECT(AD$80)*Fuel!K8</f>
        <v>900</v>
      </c>
      <c r="AE85" s="286">
        <f ca="1">INDIRECT(AE$80)*Fuel!L8</f>
        <v>1800</v>
      </c>
      <c r="AF85" s="286">
        <f ca="1">INDIRECT(AF$80)*Fuel!M8</f>
        <v>600</v>
      </c>
      <c r="AG85" s="286">
        <f ca="1">IFERROR(INDIRECT(AG$80)*Fuel!N8,0)</f>
        <v>1500</v>
      </c>
      <c r="AH85" s="286">
        <f ca="1">IFERROR(INDIRECT(AH$80)*Fuel!O8,0)</f>
        <v>2100</v>
      </c>
      <c r="AI85" s="286">
        <f ca="1">IFERROR(INDIRECT(AI$80)*Fuel!P8,0)</f>
        <v>0</v>
      </c>
      <c r="AJ85" s="286">
        <f ca="1">IFERROR(INDIRECT(AJ$80)*Fuel!Q8,0)</f>
        <v>0</v>
      </c>
      <c r="AK85" s="286">
        <f ca="1">IFERROR(INDIRECT(AK$80)*Fuel!R8,0)</f>
        <v>0</v>
      </c>
      <c r="AL85" s="243"/>
      <c r="AM85" s="1429">
        <f t="shared" ca="1" si="28"/>
        <v>14400</v>
      </c>
      <c r="AN85" s="254"/>
      <c r="GS85" s="176"/>
      <c r="GT85" s="176"/>
      <c r="GU85" s="176"/>
      <c r="GV85" s="176"/>
      <c r="GW85" s="176"/>
    </row>
    <row r="86" spans="1:205" ht="13.5" customHeight="1" x14ac:dyDescent="0.2">
      <c r="A86" s="722"/>
      <c r="B86" s="1123">
        <f>RIGMOVE</f>
        <v>13</v>
      </c>
      <c r="C86" s="1123"/>
      <c r="D86" s="525"/>
      <c r="E86" s="599"/>
      <c r="G86" s="174"/>
      <c r="H86" s="174"/>
      <c r="I86" s="174"/>
      <c r="J86" s="174"/>
      <c r="K86" s="174"/>
      <c r="P86" s="179"/>
      <c r="Q86" s="179"/>
      <c r="R86" s="179"/>
      <c r="S86" s="175"/>
      <c r="T86" s="175"/>
      <c r="U86" s="797">
        <f>Fuel!A9</f>
        <v>1</v>
      </c>
      <c r="V86" s="1840" t="str">
        <f>Fuel!B9</f>
        <v>Rig Trucks (Forkloader, Man lift, Back Hoe, Payloader, Boom Truck)</v>
      </c>
      <c r="W86" s="1422"/>
      <c r="X86" s="286">
        <f ca="1">INDIRECT(X$80)*Fuel!E9</f>
        <v>3900</v>
      </c>
      <c r="Y86" s="286">
        <f ca="1">INDIRECT(Y$80)*Fuel!F9</f>
        <v>600</v>
      </c>
      <c r="Z86" s="286">
        <f ca="1">INDIRECT(Z$80)*Fuel!G9</f>
        <v>1200</v>
      </c>
      <c r="AA86" s="286">
        <f ca="1">INDIRECT(AA$80)*Fuel!H9</f>
        <v>1500</v>
      </c>
      <c r="AB86" s="286">
        <f ca="1">INDIRECT(AB$80)*Fuel!I9</f>
        <v>1200</v>
      </c>
      <c r="AC86" s="286">
        <f ca="1">INDIRECT(AC$80)*Fuel!J9</f>
        <v>3000</v>
      </c>
      <c r="AD86" s="286">
        <f ca="1">INDIRECT(AD$80)*Fuel!K9</f>
        <v>900</v>
      </c>
      <c r="AE86" s="286">
        <f ca="1">INDIRECT(AE$80)*Fuel!L9</f>
        <v>1800</v>
      </c>
      <c r="AF86" s="286">
        <f ca="1">INDIRECT(AF$80)*Fuel!M9</f>
        <v>600</v>
      </c>
      <c r="AG86" s="286">
        <f ca="1">IFERROR(INDIRECT(AG$80)*Fuel!N9,0)</f>
        <v>1500</v>
      </c>
      <c r="AH86" s="286">
        <f ca="1">IFERROR(INDIRECT(AH$80)*Fuel!O9,0)</f>
        <v>2100</v>
      </c>
      <c r="AI86" s="286">
        <f ca="1">IFERROR(INDIRECT(AI$80)*Fuel!P9,0)</f>
        <v>0</v>
      </c>
      <c r="AJ86" s="286">
        <f ca="1">IFERROR(INDIRECT(AJ$80)*Fuel!Q9,0)</f>
        <v>0</v>
      </c>
      <c r="AK86" s="286">
        <f ca="1">IFERROR(INDIRECT(AK$80)*Fuel!R9,0)</f>
        <v>0</v>
      </c>
      <c r="AL86" s="243"/>
      <c r="AM86" s="1429">
        <f t="shared" ca="1" si="28"/>
        <v>18300</v>
      </c>
      <c r="AN86" s="254"/>
      <c r="GS86" s="176"/>
      <c r="GT86" s="176"/>
      <c r="GU86" s="176"/>
      <c r="GV86" s="176"/>
      <c r="GW86" s="176"/>
    </row>
    <row r="87" spans="1:205" ht="13.5" customHeight="1" x14ac:dyDescent="0.2">
      <c r="A87" s="722"/>
      <c r="B87" s="1123">
        <f>RIGMOVE</f>
        <v>13</v>
      </c>
      <c r="C87" s="1123"/>
      <c r="D87" s="525"/>
      <c r="E87" s="599"/>
      <c r="G87" s="174"/>
      <c r="H87" s="174"/>
      <c r="I87" s="174"/>
      <c r="J87" s="174"/>
      <c r="K87" s="174"/>
      <c r="P87" s="179"/>
      <c r="Q87" s="179"/>
      <c r="R87" s="179"/>
      <c r="S87" s="175"/>
      <c r="T87" s="175"/>
      <c r="U87" s="797">
        <f>Fuel!A10</f>
        <v>1</v>
      </c>
      <c r="V87" s="1840" t="str">
        <f>Fuel!B10</f>
        <v>Tower Lights (Genset)</v>
      </c>
      <c r="W87" s="1422"/>
      <c r="X87" s="286">
        <f ca="1">INDIRECT(X$80)*Fuel!E10</f>
        <v>3900</v>
      </c>
      <c r="Y87" s="286">
        <f ca="1">INDIRECT(Y$80)*Fuel!F10</f>
        <v>400</v>
      </c>
      <c r="Z87" s="286">
        <f ca="1">INDIRECT(Z$80)*Fuel!G10</f>
        <v>800</v>
      </c>
      <c r="AA87" s="286">
        <f ca="1">INDIRECT(AA$80)*Fuel!H10</f>
        <v>1000</v>
      </c>
      <c r="AB87" s="286">
        <f ca="1">INDIRECT(AB$80)*Fuel!I10</f>
        <v>800</v>
      </c>
      <c r="AC87" s="286">
        <f ca="1">INDIRECT(AC$80)*Fuel!J10</f>
        <v>2000</v>
      </c>
      <c r="AD87" s="286">
        <f ca="1">INDIRECT(AD$80)*Fuel!K10</f>
        <v>600</v>
      </c>
      <c r="AE87" s="286">
        <f ca="1">INDIRECT(AE$80)*Fuel!L10</f>
        <v>1200</v>
      </c>
      <c r="AF87" s="286">
        <f ca="1">INDIRECT(AF$80)*Fuel!M10</f>
        <v>400</v>
      </c>
      <c r="AG87" s="286">
        <f ca="1">IFERROR(INDIRECT(AG$80)*Fuel!N10,0)</f>
        <v>1000</v>
      </c>
      <c r="AH87" s="286">
        <f ca="1">IFERROR(INDIRECT(AH$80)*Fuel!O10,0)</f>
        <v>1400</v>
      </c>
      <c r="AI87" s="286">
        <f ca="1">IFERROR(INDIRECT(AI$80)*Fuel!P10,0)</f>
        <v>0</v>
      </c>
      <c r="AJ87" s="286">
        <f ca="1">IFERROR(INDIRECT(AJ$80)*Fuel!Q10,0)</f>
        <v>0</v>
      </c>
      <c r="AK87" s="286">
        <f ca="1">IFERROR(INDIRECT(AK$80)*Fuel!R10,0)</f>
        <v>0</v>
      </c>
      <c r="AL87" s="243"/>
      <c r="AM87" s="1429">
        <f ca="1">SUM(X87:AL87)</f>
        <v>13500</v>
      </c>
      <c r="AN87" s="254"/>
      <c r="GS87" s="176"/>
      <c r="GT87" s="176"/>
      <c r="GU87" s="176"/>
      <c r="GV87" s="176"/>
      <c r="GW87" s="176"/>
    </row>
    <row r="88" spans="1:205" ht="13.5" customHeight="1" x14ac:dyDescent="0.2">
      <c r="A88" s="722"/>
      <c r="B88" s="1123"/>
      <c r="C88" s="1123"/>
      <c r="D88" s="525"/>
      <c r="E88" s="613"/>
      <c r="G88" s="174"/>
      <c r="H88" s="174"/>
      <c r="I88" s="174"/>
      <c r="J88" s="174"/>
      <c r="K88" s="174"/>
      <c r="P88" s="179"/>
      <c r="Q88" s="179"/>
      <c r="R88" s="179"/>
      <c r="S88" s="175"/>
      <c r="T88" s="175"/>
      <c r="U88" s="2550"/>
      <c r="V88" s="2550"/>
      <c r="W88" s="525"/>
      <c r="X88" s="1428">
        <f t="shared" ref="X88:AK88" ca="1" si="29">SUM(X81:X87)</f>
        <v>24700</v>
      </c>
      <c r="Y88" s="1428">
        <f t="shared" ca="1" si="29"/>
        <v>15000</v>
      </c>
      <c r="Z88" s="1428">
        <f t="shared" ca="1" si="29"/>
        <v>26800</v>
      </c>
      <c r="AA88" s="1428">
        <f t="shared" ca="1" si="29"/>
        <v>67000</v>
      </c>
      <c r="AB88" s="1428">
        <f t="shared" ca="1" si="29"/>
        <v>26800</v>
      </c>
      <c r="AC88" s="1428">
        <f t="shared" ca="1" si="29"/>
        <v>134000</v>
      </c>
      <c r="AD88" s="1428">
        <f t="shared" ca="1" si="29"/>
        <v>20100</v>
      </c>
      <c r="AE88" s="1428">
        <f t="shared" ca="1" si="29"/>
        <v>80400</v>
      </c>
      <c r="AF88" s="1428">
        <f t="shared" ca="1" si="29"/>
        <v>13000</v>
      </c>
      <c r="AG88" s="286">
        <f ca="1">IFERROR(INDIRECT(AG$80)*Fuel!N11,0)</f>
        <v>0</v>
      </c>
      <c r="AH88" s="286">
        <f ca="1">IFERROR(INDIRECT(AH$80)*Fuel!O11,0)</f>
        <v>0</v>
      </c>
      <c r="AI88" s="1428">
        <f t="shared" ca="1" si="29"/>
        <v>0</v>
      </c>
      <c r="AJ88" s="1428">
        <f t="shared" ca="1" si="29"/>
        <v>0</v>
      </c>
      <c r="AK88" s="1428">
        <f t="shared" ca="1" si="29"/>
        <v>0</v>
      </c>
      <c r="AL88" s="243"/>
      <c r="AM88" s="1429">
        <f ca="1">SUM(AM81:AM87)</f>
        <v>521700</v>
      </c>
      <c r="AN88" s="254"/>
      <c r="GS88" s="176"/>
      <c r="GT88" s="176"/>
      <c r="GU88" s="176"/>
      <c r="GV88" s="176"/>
      <c r="GW88" s="176"/>
    </row>
    <row r="89" spans="1:205" ht="13.5" customHeight="1" x14ac:dyDescent="0.2">
      <c r="A89" s="709"/>
      <c r="B89" s="1110"/>
      <c r="C89" s="1110"/>
      <c r="D89" s="257"/>
      <c r="G89" s="174"/>
      <c r="H89" s="174"/>
      <c r="I89" s="174"/>
      <c r="J89" s="174"/>
      <c r="K89" s="174"/>
      <c r="P89" s="179"/>
      <c r="Q89" s="179"/>
      <c r="R89" s="179"/>
      <c r="S89" s="175"/>
      <c r="T89" s="175"/>
      <c r="U89" s="254"/>
      <c r="V89" s="254"/>
      <c r="W89" s="254"/>
      <c r="X89" s="539"/>
      <c r="Y89" s="673"/>
      <c r="Z89" s="673"/>
      <c r="AA89" s="633"/>
      <c r="AB89" s="633"/>
      <c r="AC89" s="633"/>
      <c r="AD89" s="633"/>
      <c r="AE89" s="633"/>
      <c r="AF89" s="633"/>
      <c r="AG89" s="633"/>
      <c r="AH89" s="633">
        <f ca="1">IF(INPUT!$D$8="YES",INDIRECT(AH$590),0)</f>
        <v>7</v>
      </c>
      <c r="AI89" s="547"/>
      <c r="AJ89" s="547"/>
      <c r="AK89" s="547"/>
      <c r="AL89" s="547"/>
      <c r="AM89" s="257"/>
      <c r="AN89" s="172"/>
      <c r="GS89" s="176"/>
      <c r="GT89" s="176"/>
      <c r="GU89" s="176"/>
      <c r="GV89" s="176"/>
      <c r="GW89" s="176"/>
    </row>
    <row r="90" spans="1:205" ht="13.5" customHeight="1" x14ac:dyDescent="0.2">
      <c r="A90" s="703"/>
      <c r="B90" s="1104"/>
      <c r="C90" s="1104"/>
      <c r="D90" s="524"/>
      <c r="E90" s="613"/>
      <c r="G90" s="174"/>
      <c r="H90" s="174"/>
      <c r="I90" s="174"/>
      <c r="J90" s="174"/>
      <c r="K90" s="174"/>
      <c r="P90" s="179"/>
      <c r="Q90" s="179"/>
      <c r="R90" s="179"/>
      <c r="S90" s="175"/>
      <c r="T90" s="175"/>
      <c r="U90" s="2513" t="s">
        <v>147</v>
      </c>
      <c r="V90" s="2514"/>
      <c r="W90" s="1425" t="s">
        <v>148</v>
      </c>
      <c r="X90" s="1426" t="str">
        <f t="shared" ref="X90:AK90" si="30">X$14</f>
        <v>RIGMOVE</v>
      </c>
      <c r="Y90" s="1426" t="str">
        <f t="shared" si="30"/>
        <v>DSURFACE</v>
      </c>
      <c r="Z90" s="1426" t="str">
        <f t="shared" si="30"/>
        <v>FSURFACE</v>
      </c>
      <c r="AA90" s="1426" t="str">
        <f t="shared" si="30"/>
        <v>DINTERMEDIATE</v>
      </c>
      <c r="AB90" s="1426" t="str">
        <f t="shared" si="30"/>
        <v>FINTERMEDIATE</v>
      </c>
      <c r="AC90" s="1426" t="str">
        <f t="shared" si="30"/>
        <v>DPRODUCTION</v>
      </c>
      <c r="AD90" s="1426" t="str">
        <f t="shared" si="30"/>
        <v>FPRODUCTION</v>
      </c>
      <c r="AE90" s="1426" t="str">
        <f t="shared" si="30"/>
        <v>DLINER1</v>
      </c>
      <c r="AF90" s="1426" t="str">
        <f t="shared" si="30"/>
        <v>FLINER1</v>
      </c>
      <c r="AG90" s="1426" t="str">
        <f t="shared" si="30"/>
        <v>DLINER2</v>
      </c>
      <c r="AH90" s="1426" t="str">
        <f t="shared" si="30"/>
        <v>FLINER2</v>
      </c>
      <c r="AI90" s="1426" t="str">
        <f t="shared" si="30"/>
        <v/>
      </c>
      <c r="AJ90" s="1426" t="str">
        <f t="shared" si="30"/>
        <v/>
      </c>
      <c r="AK90" s="1426" t="str">
        <f t="shared" si="30"/>
        <v/>
      </c>
      <c r="AL90" s="1426"/>
      <c r="AM90" s="1427" t="s">
        <v>46</v>
      </c>
      <c r="AN90" s="254"/>
      <c r="GS90" s="176"/>
      <c r="GT90" s="176"/>
      <c r="GU90" s="176"/>
      <c r="GV90" s="176"/>
      <c r="GW90" s="176"/>
    </row>
    <row r="91" spans="1:205" ht="12.75" customHeight="1" x14ac:dyDescent="0.2">
      <c r="A91" s="709"/>
      <c r="B91" s="1110"/>
      <c r="C91" s="1110"/>
      <c r="D91" s="257"/>
      <c r="E91" s="613"/>
      <c r="G91" s="174"/>
      <c r="H91" s="174"/>
      <c r="I91" s="174"/>
      <c r="J91" s="174"/>
      <c r="K91" s="174"/>
      <c r="P91" s="179"/>
      <c r="Q91" s="179"/>
      <c r="R91" s="179"/>
      <c r="S91" s="175"/>
      <c r="T91" s="175"/>
      <c r="U91" s="2516" t="str">
        <f t="shared" ref="U91:U97" si="31">V81</f>
        <v>Rig</v>
      </c>
      <c r="V91" s="2516"/>
      <c r="W91" s="246">
        <f t="shared" ref="W91:W97" si="32">DIESEL</f>
        <v>36</v>
      </c>
      <c r="X91" s="246">
        <f t="shared" ref="X91:X97" ca="1" si="33">X81*W91</f>
        <v>468000</v>
      </c>
      <c r="Y91" s="246">
        <f t="shared" ref="Y91:Y97" ca="1" si="34">Y81*W91</f>
        <v>468000</v>
      </c>
      <c r="Z91" s="246">
        <f t="shared" ref="Z91:Z97" ca="1" si="35">Z81*W91</f>
        <v>792000</v>
      </c>
      <c r="AA91" s="246">
        <f t="shared" ref="AA91:AA97" ca="1" si="36">AA81*W91</f>
        <v>1188000</v>
      </c>
      <c r="AB91" s="246">
        <f t="shared" ref="AB91:AB97" ca="1" si="37">AB81*W91</f>
        <v>792000</v>
      </c>
      <c r="AC91" s="246">
        <f t="shared" ref="AC91:AC97" ca="1" si="38">AC81*W91</f>
        <v>2376000</v>
      </c>
      <c r="AD91" s="246">
        <f t="shared" ref="AD91:AD97" ca="1" si="39">AD81*W91</f>
        <v>594000</v>
      </c>
      <c r="AE91" s="246">
        <f t="shared" ref="AE91:AE97" ca="1" si="40">AE81*W91</f>
        <v>1425600</v>
      </c>
      <c r="AF91" s="246">
        <f t="shared" ref="AF91:AF97" ca="1" si="41">AF81*W91</f>
        <v>396000</v>
      </c>
      <c r="AG91" s="246">
        <f t="shared" ref="AG91:AG97" ca="1" si="42">AG81*W91</f>
        <v>1188000</v>
      </c>
      <c r="AH91" s="246">
        <f t="shared" ref="AH91:AH97" ca="1" si="43">AH81*W91</f>
        <v>1386000</v>
      </c>
      <c r="AI91" s="246">
        <f ca="1">AI81*W91</f>
        <v>0</v>
      </c>
      <c r="AJ91" s="246">
        <f t="shared" ref="AJ91:AJ97" ca="1" si="44">AJ81*W91</f>
        <v>0</v>
      </c>
      <c r="AK91" s="246">
        <f t="shared" ref="AK91:AK97" ca="1" si="45">AK81*W91</f>
        <v>0</v>
      </c>
      <c r="AL91" s="246"/>
      <c r="AM91" s="1431">
        <f t="shared" ref="AM91:AM97" ca="1" si="46">SUM(X91:AL91)</f>
        <v>11073600</v>
      </c>
      <c r="AN91" s="254"/>
      <c r="GS91" s="176"/>
      <c r="GT91" s="176"/>
      <c r="GU91" s="176"/>
      <c r="GV91" s="176"/>
      <c r="GW91" s="176"/>
    </row>
    <row r="92" spans="1:205" ht="12.75" customHeight="1" x14ac:dyDescent="0.2">
      <c r="A92" s="709"/>
      <c r="B92" s="1110"/>
      <c r="C92" s="1110"/>
      <c r="D92" s="257"/>
      <c r="E92" s="613"/>
      <c r="G92" s="174"/>
      <c r="H92" s="174"/>
      <c r="I92" s="174"/>
      <c r="J92" s="174"/>
      <c r="K92" s="174"/>
      <c r="P92" s="179"/>
      <c r="Q92" s="179"/>
      <c r="R92" s="179"/>
      <c r="S92" s="179"/>
      <c r="T92" s="179"/>
      <c r="U92" s="2516" t="str">
        <f t="shared" si="31"/>
        <v>Air Drilling Equipment</v>
      </c>
      <c r="V92" s="2516"/>
      <c r="W92" s="246">
        <f t="shared" si="32"/>
        <v>36</v>
      </c>
      <c r="X92" s="246">
        <f t="shared" ca="1" si="33"/>
        <v>0</v>
      </c>
      <c r="Y92" s="246">
        <f t="shared" ca="1" si="34"/>
        <v>0</v>
      </c>
      <c r="Z92" s="246">
        <f t="shared" ca="1" si="35"/>
        <v>0</v>
      </c>
      <c r="AA92" s="246">
        <f t="shared" ca="1" si="36"/>
        <v>1044000</v>
      </c>
      <c r="AB92" s="246">
        <f t="shared" ca="1" si="37"/>
        <v>0</v>
      </c>
      <c r="AC92" s="246">
        <f t="shared" ca="1" si="38"/>
        <v>2088000</v>
      </c>
      <c r="AD92" s="246">
        <f t="shared" ca="1" si="39"/>
        <v>0</v>
      </c>
      <c r="AE92" s="246">
        <f t="shared" ca="1" si="40"/>
        <v>1252800</v>
      </c>
      <c r="AF92" s="246">
        <f t="shared" ca="1" si="41"/>
        <v>0</v>
      </c>
      <c r="AG92" s="246">
        <f t="shared" ca="1" si="42"/>
        <v>1044000</v>
      </c>
      <c r="AH92" s="246">
        <f t="shared" ca="1" si="43"/>
        <v>0</v>
      </c>
      <c r="AI92" s="246">
        <f t="shared" ref="AI92:AI97" ca="1" si="47">AI82*W92</f>
        <v>0</v>
      </c>
      <c r="AJ92" s="246">
        <f t="shared" si="44"/>
        <v>0</v>
      </c>
      <c r="AK92" s="246">
        <f t="shared" si="45"/>
        <v>0</v>
      </c>
      <c r="AL92" s="246"/>
      <c r="AM92" s="1431">
        <f t="shared" ca="1" si="46"/>
        <v>5428800</v>
      </c>
      <c r="AN92" s="254"/>
      <c r="GS92" s="176"/>
      <c r="GT92" s="176"/>
      <c r="GU92" s="176"/>
      <c r="GV92" s="176"/>
      <c r="GW92" s="176"/>
    </row>
    <row r="93" spans="1:205" s="172" customFormat="1" ht="12.75" customHeight="1" x14ac:dyDescent="0.15">
      <c r="A93" s="709"/>
      <c r="B93" s="1110"/>
      <c r="C93" s="1110"/>
      <c r="D93" s="257"/>
      <c r="E93" s="613"/>
      <c r="G93" s="174"/>
      <c r="H93" s="174"/>
      <c r="I93" s="174"/>
      <c r="J93" s="174"/>
      <c r="K93" s="174"/>
      <c r="L93" s="174"/>
      <c r="M93" s="174"/>
      <c r="N93" s="174"/>
      <c r="O93" s="174"/>
      <c r="P93" s="179"/>
      <c r="Q93" s="179"/>
      <c r="R93" s="179"/>
      <c r="S93" s="179"/>
      <c r="T93" s="179"/>
      <c r="U93" s="2516" t="str">
        <f t="shared" si="31"/>
        <v>Crane</v>
      </c>
      <c r="V93" s="2516"/>
      <c r="W93" s="246">
        <f t="shared" si="32"/>
        <v>36</v>
      </c>
      <c r="X93" s="246">
        <f t="shared" ca="1" si="33"/>
        <v>93600</v>
      </c>
      <c r="Y93" s="246">
        <f t="shared" ca="1" si="34"/>
        <v>14400</v>
      </c>
      <c r="Z93" s="246">
        <f t="shared" ca="1" si="35"/>
        <v>28800</v>
      </c>
      <c r="AA93" s="246">
        <f t="shared" ca="1" si="36"/>
        <v>36000</v>
      </c>
      <c r="AB93" s="246">
        <f t="shared" ca="1" si="37"/>
        <v>28800</v>
      </c>
      <c r="AC93" s="246">
        <f t="shared" ca="1" si="38"/>
        <v>72000</v>
      </c>
      <c r="AD93" s="246">
        <f t="shared" ca="1" si="39"/>
        <v>21600</v>
      </c>
      <c r="AE93" s="246">
        <f t="shared" ca="1" si="40"/>
        <v>43200</v>
      </c>
      <c r="AF93" s="246">
        <f t="shared" ca="1" si="41"/>
        <v>14400</v>
      </c>
      <c r="AG93" s="246">
        <f t="shared" ca="1" si="42"/>
        <v>36000</v>
      </c>
      <c r="AH93" s="246">
        <f t="shared" ca="1" si="43"/>
        <v>50400</v>
      </c>
      <c r="AI93" s="246">
        <f t="shared" ca="1" si="47"/>
        <v>0</v>
      </c>
      <c r="AJ93" s="246">
        <f t="shared" ca="1" si="44"/>
        <v>0</v>
      </c>
      <c r="AK93" s="246">
        <f t="shared" ca="1" si="45"/>
        <v>0</v>
      </c>
      <c r="AL93" s="246"/>
      <c r="AM93" s="1431">
        <f t="shared" ca="1" si="46"/>
        <v>439200</v>
      </c>
      <c r="AN93" s="254"/>
      <c r="AP93" s="174"/>
      <c r="AQ93" s="174"/>
      <c r="AR93" s="174"/>
      <c r="AS93" s="174"/>
      <c r="AT93" s="174"/>
      <c r="AU93" s="174"/>
    </row>
    <row r="94" spans="1:205" ht="12.75" customHeight="1" thickBot="1" x14ac:dyDescent="0.25">
      <c r="A94" s="709"/>
      <c r="B94" s="1110"/>
      <c r="C94" s="1110"/>
      <c r="D94" s="257"/>
      <c r="E94" s="613"/>
      <c r="G94" s="174"/>
      <c r="H94" s="174"/>
      <c r="I94" s="174"/>
      <c r="J94" s="174"/>
      <c r="K94" s="174"/>
      <c r="P94" s="179"/>
      <c r="Q94" s="179"/>
      <c r="R94" s="179"/>
      <c r="S94" s="175"/>
      <c r="T94" s="175"/>
      <c r="U94" s="2516" t="str">
        <f t="shared" si="31"/>
        <v>Cementing Unit</v>
      </c>
      <c r="V94" s="2516"/>
      <c r="W94" s="246">
        <f t="shared" si="32"/>
        <v>36</v>
      </c>
      <c r="X94" s="246">
        <f t="shared" ca="1" si="33"/>
        <v>46800</v>
      </c>
      <c r="Y94" s="246">
        <f t="shared" ca="1" si="34"/>
        <v>0</v>
      </c>
      <c r="Z94" s="246">
        <f t="shared" ca="1" si="35"/>
        <v>28800</v>
      </c>
      <c r="AA94" s="246">
        <f t="shared" ca="1" si="36"/>
        <v>0</v>
      </c>
      <c r="AB94" s="246">
        <f t="shared" ca="1" si="37"/>
        <v>28800</v>
      </c>
      <c r="AC94" s="246">
        <f t="shared" ca="1" si="38"/>
        <v>0</v>
      </c>
      <c r="AD94" s="246">
        <f t="shared" ca="1" si="39"/>
        <v>21600</v>
      </c>
      <c r="AE94" s="246">
        <f t="shared" ca="1" si="40"/>
        <v>0</v>
      </c>
      <c r="AF94" s="246">
        <f t="shared" ca="1" si="41"/>
        <v>0</v>
      </c>
      <c r="AG94" s="246">
        <f t="shared" ca="1" si="42"/>
        <v>0</v>
      </c>
      <c r="AH94" s="246">
        <f t="shared" ca="1" si="43"/>
        <v>50400</v>
      </c>
      <c r="AI94" s="246">
        <f t="shared" ca="1" si="47"/>
        <v>0</v>
      </c>
      <c r="AJ94" s="246">
        <f t="shared" ca="1" si="44"/>
        <v>0</v>
      </c>
      <c r="AK94" s="246">
        <f t="shared" ca="1" si="45"/>
        <v>0</v>
      </c>
      <c r="AL94" s="246"/>
      <c r="AM94" s="1431">
        <f t="shared" ca="1" si="46"/>
        <v>176400</v>
      </c>
      <c r="AN94" s="254"/>
      <c r="AP94" s="229"/>
      <c r="AQ94" s="229"/>
      <c r="AR94" s="229"/>
      <c r="AS94" s="229"/>
      <c r="AT94" s="229"/>
      <c r="AU94" s="229"/>
      <c r="GS94" s="176"/>
      <c r="GT94" s="176"/>
      <c r="GU94" s="176"/>
      <c r="GV94" s="176"/>
      <c r="GW94" s="176"/>
    </row>
    <row r="95" spans="1:205" ht="13.5" customHeight="1" thickBot="1" x14ac:dyDescent="0.25">
      <c r="A95" s="709"/>
      <c r="B95" s="1110"/>
      <c r="C95" s="1110"/>
      <c r="D95" s="257"/>
      <c r="E95" s="613"/>
      <c r="G95" s="229"/>
      <c r="H95" s="229"/>
      <c r="I95" s="229"/>
      <c r="J95" s="229"/>
      <c r="K95" s="229"/>
      <c r="L95" s="229"/>
      <c r="P95" s="179"/>
      <c r="Q95" s="179"/>
      <c r="R95" s="179"/>
      <c r="S95" s="175"/>
      <c r="T95" s="175"/>
      <c r="U95" s="2516" t="str">
        <f t="shared" si="31"/>
        <v>Water Pump</v>
      </c>
      <c r="V95" s="2516"/>
      <c r="W95" s="246">
        <f t="shared" si="32"/>
        <v>36</v>
      </c>
      <c r="X95" s="246">
        <f t="shared" ca="1" si="33"/>
        <v>0</v>
      </c>
      <c r="Y95" s="246">
        <f t="shared" ca="1" si="34"/>
        <v>21600</v>
      </c>
      <c r="Z95" s="246">
        <f t="shared" ca="1" si="35"/>
        <v>43200</v>
      </c>
      <c r="AA95" s="246">
        <f t="shared" ca="1" si="36"/>
        <v>54000</v>
      </c>
      <c r="AB95" s="246">
        <f t="shared" ca="1" si="37"/>
        <v>43200</v>
      </c>
      <c r="AC95" s="246">
        <f t="shared" ca="1" si="38"/>
        <v>108000</v>
      </c>
      <c r="AD95" s="246">
        <f t="shared" ca="1" si="39"/>
        <v>32400</v>
      </c>
      <c r="AE95" s="246">
        <f t="shared" ca="1" si="40"/>
        <v>64800</v>
      </c>
      <c r="AF95" s="246">
        <f t="shared" ca="1" si="41"/>
        <v>21600</v>
      </c>
      <c r="AG95" s="246">
        <f t="shared" ca="1" si="42"/>
        <v>54000</v>
      </c>
      <c r="AH95" s="246">
        <f t="shared" ca="1" si="43"/>
        <v>75600</v>
      </c>
      <c r="AI95" s="246">
        <f t="shared" ca="1" si="47"/>
        <v>0</v>
      </c>
      <c r="AJ95" s="246">
        <f t="shared" ca="1" si="44"/>
        <v>0</v>
      </c>
      <c r="AK95" s="246">
        <f t="shared" ca="1" si="45"/>
        <v>0</v>
      </c>
      <c r="AL95" s="246"/>
      <c r="AM95" s="1431">
        <f t="shared" ca="1" si="46"/>
        <v>518400</v>
      </c>
      <c r="AN95" s="254"/>
      <c r="AP95" s="513"/>
      <c r="AQ95" s="513"/>
      <c r="AR95" s="513"/>
      <c r="AS95" s="513"/>
      <c r="AT95" s="513"/>
      <c r="AU95" s="513"/>
      <c r="GS95" s="176"/>
      <c r="GT95" s="176"/>
      <c r="GU95" s="176"/>
      <c r="GV95" s="176"/>
      <c r="GW95" s="176"/>
    </row>
    <row r="96" spans="1:205" ht="13.5" customHeight="1" thickBot="1" x14ac:dyDescent="0.25">
      <c r="A96" s="709"/>
      <c r="B96" s="1110"/>
      <c r="C96" s="1110"/>
      <c r="D96" s="257"/>
      <c r="E96" s="614"/>
      <c r="G96" s="513"/>
      <c r="H96" s="513"/>
      <c r="I96" s="513"/>
      <c r="J96" s="513"/>
      <c r="K96" s="513"/>
      <c r="L96" s="513"/>
      <c r="P96" s="179"/>
      <c r="Q96" s="179"/>
      <c r="R96" s="179"/>
      <c r="S96" s="175"/>
      <c r="T96" s="175"/>
      <c r="U96" s="2516" t="str">
        <f t="shared" si="31"/>
        <v>Rig Trucks (Forkloader, Man lift, Back Hoe, Payloader, Boom Truck)</v>
      </c>
      <c r="V96" s="2516"/>
      <c r="W96" s="246">
        <f t="shared" si="32"/>
        <v>36</v>
      </c>
      <c r="X96" s="246">
        <f t="shared" ca="1" si="33"/>
        <v>140400</v>
      </c>
      <c r="Y96" s="246">
        <f t="shared" ca="1" si="34"/>
        <v>21600</v>
      </c>
      <c r="Z96" s="246">
        <f t="shared" ca="1" si="35"/>
        <v>43200</v>
      </c>
      <c r="AA96" s="246">
        <f t="shared" ca="1" si="36"/>
        <v>54000</v>
      </c>
      <c r="AB96" s="246">
        <f t="shared" ca="1" si="37"/>
        <v>43200</v>
      </c>
      <c r="AC96" s="246">
        <f t="shared" ca="1" si="38"/>
        <v>108000</v>
      </c>
      <c r="AD96" s="246">
        <f t="shared" ca="1" si="39"/>
        <v>32400</v>
      </c>
      <c r="AE96" s="246">
        <f t="shared" ca="1" si="40"/>
        <v>64800</v>
      </c>
      <c r="AF96" s="246">
        <f t="shared" ca="1" si="41"/>
        <v>21600</v>
      </c>
      <c r="AG96" s="246">
        <f t="shared" ca="1" si="42"/>
        <v>54000</v>
      </c>
      <c r="AH96" s="246">
        <f t="shared" ca="1" si="43"/>
        <v>75600</v>
      </c>
      <c r="AI96" s="246">
        <f t="shared" ca="1" si="47"/>
        <v>0</v>
      </c>
      <c r="AJ96" s="246">
        <f t="shared" ca="1" si="44"/>
        <v>0</v>
      </c>
      <c r="AK96" s="246">
        <f t="shared" ca="1" si="45"/>
        <v>0</v>
      </c>
      <c r="AL96" s="246"/>
      <c r="AM96" s="1431">
        <f t="shared" ca="1" si="46"/>
        <v>658800</v>
      </c>
      <c r="AN96" s="254"/>
      <c r="AP96" s="513"/>
      <c r="AQ96" s="513"/>
      <c r="AR96" s="513"/>
      <c r="AS96" s="513"/>
      <c r="AT96" s="513"/>
      <c r="AU96" s="513"/>
      <c r="GS96" s="176"/>
      <c r="GT96" s="176"/>
      <c r="GU96" s="176"/>
      <c r="GV96" s="176"/>
      <c r="GW96" s="176"/>
    </row>
    <row r="97" spans="1:205" ht="13.5" customHeight="1" thickBot="1" x14ac:dyDescent="0.25">
      <c r="A97" s="709"/>
      <c r="B97" s="1110"/>
      <c r="C97" s="1110"/>
      <c r="D97" s="257"/>
      <c r="E97" s="614"/>
      <c r="G97" s="513"/>
      <c r="H97" s="513"/>
      <c r="I97" s="513"/>
      <c r="J97" s="513"/>
      <c r="K97" s="513"/>
      <c r="L97" s="513"/>
      <c r="P97" s="179"/>
      <c r="Q97" s="179"/>
      <c r="R97" s="179"/>
      <c r="S97" s="175"/>
      <c r="T97" s="175"/>
      <c r="U97" s="2516" t="str">
        <f t="shared" si="31"/>
        <v>Tower Lights (Genset)</v>
      </c>
      <c r="V97" s="2516"/>
      <c r="W97" s="246">
        <f t="shared" si="32"/>
        <v>36</v>
      </c>
      <c r="X97" s="246">
        <f t="shared" ca="1" si="33"/>
        <v>140400</v>
      </c>
      <c r="Y97" s="246">
        <f t="shared" ca="1" si="34"/>
        <v>14400</v>
      </c>
      <c r="Z97" s="246">
        <f t="shared" ca="1" si="35"/>
        <v>28800</v>
      </c>
      <c r="AA97" s="246">
        <f t="shared" ca="1" si="36"/>
        <v>36000</v>
      </c>
      <c r="AB97" s="246">
        <f t="shared" ca="1" si="37"/>
        <v>28800</v>
      </c>
      <c r="AC97" s="246">
        <f t="shared" ca="1" si="38"/>
        <v>72000</v>
      </c>
      <c r="AD97" s="246">
        <f t="shared" ca="1" si="39"/>
        <v>21600</v>
      </c>
      <c r="AE97" s="246">
        <f t="shared" ca="1" si="40"/>
        <v>43200</v>
      </c>
      <c r="AF97" s="246">
        <f t="shared" ca="1" si="41"/>
        <v>14400</v>
      </c>
      <c r="AG97" s="246">
        <f t="shared" ca="1" si="42"/>
        <v>36000</v>
      </c>
      <c r="AH97" s="246">
        <f t="shared" ca="1" si="43"/>
        <v>50400</v>
      </c>
      <c r="AI97" s="246">
        <f t="shared" ca="1" si="47"/>
        <v>0</v>
      </c>
      <c r="AJ97" s="246">
        <f t="shared" ca="1" si="44"/>
        <v>0</v>
      </c>
      <c r="AK97" s="246">
        <f t="shared" ca="1" si="45"/>
        <v>0</v>
      </c>
      <c r="AL97" s="246"/>
      <c r="AM97" s="1431">
        <f t="shared" ca="1" si="46"/>
        <v>486000</v>
      </c>
      <c r="AN97" s="254"/>
      <c r="AP97" s="513"/>
      <c r="AQ97" s="513"/>
      <c r="AR97" s="513"/>
      <c r="AS97" s="513"/>
      <c r="AT97" s="513"/>
      <c r="AU97" s="513"/>
      <c r="GS97" s="176"/>
      <c r="GT97" s="176"/>
      <c r="GU97" s="176"/>
      <c r="GV97" s="176"/>
      <c r="GW97" s="176"/>
    </row>
    <row r="98" spans="1:205" ht="13.5" customHeight="1" thickBot="1" x14ac:dyDescent="0.25">
      <c r="A98" s="712"/>
      <c r="B98" s="1113"/>
      <c r="C98" s="1113"/>
      <c r="D98" s="526"/>
      <c r="E98" s="613"/>
      <c r="F98" s="230"/>
      <c r="G98" s="231" t="e">
        <f>#REF!</f>
        <v>#REF!</v>
      </c>
      <c r="H98" s="232" t="e">
        <f>#REF!</f>
        <v>#REF!</v>
      </c>
      <c r="I98" s="232" t="e">
        <f>#REF!</f>
        <v>#REF!</v>
      </c>
      <c r="J98" s="232" t="e">
        <f>#REF!</f>
        <v>#REF!</v>
      </c>
      <c r="K98" s="232" t="e">
        <f>#REF!</f>
        <v>#REF!</v>
      </c>
      <c r="L98" s="232" t="e">
        <f>#REF!</f>
        <v>#REF!</v>
      </c>
      <c r="M98" s="233"/>
      <c r="P98" s="179"/>
      <c r="Q98" s="179"/>
      <c r="R98" s="179"/>
      <c r="S98" s="175"/>
      <c r="T98" s="175"/>
      <c r="U98" s="2529"/>
      <c r="V98" s="2529"/>
      <c r="W98" s="257"/>
      <c r="X98" s="1431">
        <f t="shared" ref="X98:AK98" ca="1" si="48">SUM(X91:X97)</f>
        <v>889200</v>
      </c>
      <c r="Y98" s="1432">
        <f t="shared" ca="1" si="48"/>
        <v>540000</v>
      </c>
      <c r="Z98" s="1432">
        <f t="shared" ca="1" si="48"/>
        <v>964800</v>
      </c>
      <c r="AA98" s="1432">
        <f t="shared" ca="1" si="48"/>
        <v>2412000</v>
      </c>
      <c r="AB98" s="1432">
        <f t="shared" ca="1" si="48"/>
        <v>964800</v>
      </c>
      <c r="AC98" s="1432">
        <f t="shared" ca="1" si="48"/>
        <v>4824000</v>
      </c>
      <c r="AD98" s="1432">
        <f t="shared" ca="1" si="48"/>
        <v>723600</v>
      </c>
      <c r="AE98" s="1432">
        <f t="shared" ca="1" si="48"/>
        <v>2894400</v>
      </c>
      <c r="AF98" s="1432">
        <f ca="1">SUM(AF91:AF97)</f>
        <v>468000</v>
      </c>
      <c r="AG98" s="1432">
        <f t="shared" ca="1" si="48"/>
        <v>2412000</v>
      </c>
      <c r="AH98" s="1432">
        <f t="shared" ca="1" si="48"/>
        <v>1688400</v>
      </c>
      <c r="AI98" s="1432">
        <f t="shared" ca="1" si="48"/>
        <v>0</v>
      </c>
      <c r="AJ98" s="1432">
        <f t="shared" ca="1" si="48"/>
        <v>0</v>
      </c>
      <c r="AK98" s="1432">
        <f t="shared" ca="1" si="48"/>
        <v>0</v>
      </c>
      <c r="AL98" s="286"/>
      <c r="AM98" s="1430">
        <f ca="1">SUM(AM91:AM97)</f>
        <v>18781200</v>
      </c>
      <c r="AN98" s="254"/>
      <c r="AP98" s="234"/>
      <c r="AQ98" s="234"/>
      <c r="AR98" s="234"/>
      <c r="AS98" s="234"/>
      <c r="AT98" s="234"/>
      <c r="AU98" s="234"/>
      <c r="GS98" s="176"/>
      <c r="GT98" s="176"/>
      <c r="GU98" s="176"/>
      <c r="GV98" s="176"/>
      <c r="GW98" s="176"/>
    </row>
    <row r="99" spans="1:205" ht="12.75" customHeight="1" x14ac:dyDescent="0.2">
      <c r="A99" s="723"/>
      <c r="B99" s="1124"/>
      <c r="C99" s="1124"/>
      <c r="D99" s="527"/>
      <c r="G99" s="234"/>
      <c r="H99" s="234"/>
      <c r="I99" s="234"/>
      <c r="J99" s="234"/>
      <c r="K99" s="234"/>
      <c r="L99" s="234"/>
      <c r="P99" s="179"/>
      <c r="Q99" s="179"/>
      <c r="R99" s="179"/>
      <c r="S99" s="175"/>
      <c r="T99" s="175"/>
      <c r="U99" s="1390"/>
      <c r="V99" s="1390"/>
      <c r="X99" s="257"/>
      <c r="Y99" s="542"/>
      <c r="Z99" s="542"/>
      <c r="AA99" s="542"/>
      <c r="AB99" s="542"/>
      <c r="AC99" s="542"/>
      <c r="AD99" s="542"/>
      <c r="AE99" s="542"/>
      <c r="AF99" s="542"/>
      <c r="AG99" s="542"/>
      <c r="AH99" s="542"/>
      <c r="AI99" s="542"/>
      <c r="AJ99" s="542"/>
      <c r="AK99" s="542"/>
      <c r="AL99" s="542"/>
      <c r="AM99" s="527"/>
      <c r="AN99" s="172"/>
      <c r="GS99" s="176"/>
      <c r="GT99" s="176"/>
      <c r="GU99" s="176"/>
      <c r="GV99" s="176"/>
      <c r="GW99" s="176"/>
    </row>
    <row r="100" spans="1:205" ht="12.75" customHeight="1" x14ac:dyDescent="0.2">
      <c r="A100" s="721"/>
      <c r="B100" s="1122"/>
      <c r="C100" s="1122"/>
      <c r="D100" s="228"/>
      <c r="G100" s="174"/>
      <c r="H100" s="174"/>
      <c r="I100" s="174"/>
      <c r="J100" s="174"/>
      <c r="K100" s="174"/>
      <c r="P100" s="179"/>
      <c r="Q100" s="179"/>
      <c r="R100" s="179"/>
      <c r="S100" s="175"/>
      <c r="T100" s="175"/>
      <c r="Y100" s="220"/>
      <c r="Z100" s="173"/>
      <c r="AA100" s="228"/>
      <c r="AB100" s="228"/>
      <c r="AN100" s="172"/>
      <c r="GS100" s="176"/>
      <c r="GT100" s="176"/>
      <c r="GU100" s="176"/>
      <c r="GV100" s="176"/>
      <c r="GW100" s="176"/>
    </row>
    <row r="101" spans="1:205" ht="13.5" customHeight="1" x14ac:dyDescent="0.2">
      <c r="A101" s="724"/>
      <c r="B101" s="1125"/>
      <c r="C101" s="1125"/>
      <c r="D101" s="528"/>
      <c r="G101" s="174"/>
      <c r="H101" s="174"/>
      <c r="I101" s="174"/>
      <c r="J101" s="174"/>
      <c r="K101" s="174"/>
      <c r="P101" s="179"/>
      <c r="Q101" s="179"/>
      <c r="R101" s="179"/>
      <c r="S101" s="175"/>
      <c r="T101" s="175"/>
      <c r="U101" s="1396"/>
      <c r="V101" s="1423" t="s">
        <v>150</v>
      </c>
      <c r="W101" s="1423"/>
      <c r="X101" s="665"/>
      <c r="Y101" s="673"/>
      <c r="Z101" s="673"/>
      <c r="AA101" s="542"/>
      <c r="AB101" s="542"/>
      <c r="AC101" s="254"/>
      <c r="AD101" s="254"/>
      <c r="AE101" s="254"/>
      <c r="AF101" s="254"/>
      <c r="AG101" s="254"/>
      <c r="AH101" s="254"/>
      <c r="AI101" s="254"/>
      <c r="AJ101" s="254"/>
      <c r="AK101" s="254"/>
      <c r="AL101" s="254"/>
      <c r="AM101" s="528"/>
      <c r="AN101" s="172"/>
      <c r="GS101" s="176"/>
      <c r="GT101" s="176"/>
      <c r="GU101" s="176"/>
      <c r="GV101" s="176"/>
      <c r="GW101" s="176"/>
    </row>
    <row r="102" spans="1:205" ht="13.5" customHeight="1" x14ac:dyDescent="0.2">
      <c r="A102" s="703"/>
      <c r="B102" s="1104"/>
      <c r="C102" s="1104"/>
      <c r="D102" s="529"/>
      <c r="E102" s="613"/>
      <c r="G102" s="174"/>
      <c r="H102" s="174"/>
      <c r="I102" s="174"/>
      <c r="J102" s="174"/>
      <c r="K102" s="174"/>
      <c r="P102" s="179"/>
      <c r="Q102" s="179"/>
      <c r="R102" s="179"/>
      <c r="S102" s="175"/>
      <c r="T102" s="175"/>
      <c r="U102" s="2526" t="s">
        <v>147</v>
      </c>
      <c r="V102" s="2527"/>
      <c r="W102" s="1433" t="s">
        <v>509</v>
      </c>
      <c r="X102" s="1426" t="str">
        <f t="shared" ref="X102:AK102" si="49">X$14</f>
        <v>RIGMOVE</v>
      </c>
      <c r="Y102" s="1426" t="str">
        <f t="shared" si="49"/>
        <v>DSURFACE</v>
      </c>
      <c r="Z102" s="1426" t="str">
        <f t="shared" si="49"/>
        <v>FSURFACE</v>
      </c>
      <c r="AA102" s="1426" t="str">
        <f t="shared" si="49"/>
        <v>DINTERMEDIATE</v>
      </c>
      <c r="AB102" s="1426" t="str">
        <f t="shared" si="49"/>
        <v>FINTERMEDIATE</v>
      </c>
      <c r="AC102" s="1426" t="str">
        <f t="shared" si="49"/>
        <v>DPRODUCTION</v>
      </c>
      <c r="AD102" s="1426" t="str">
        <f t="shared" si="49"/>
        <v>FPRODUCTION</v>
      </c>
      <c r="AE102" s="1426" t="str">
        <f t="shared" si="49"/>
        <v>DLINER1</v>
      </c>
      <c r="AF102" s="1426" t="str">
        <f t="shared" si="49"/>
        <v>FLINER1</v>
      </c>
      <c r="AG102" s="1426" t="str">
        <f t="shared" si="49"/>
        <v>DLINER2</v>
      </c>
      <c r="AH102" s="1426" t="str">
        <f t="shared" si="49"/>
        <v>FLINER2</v>
      </c>
      <c r="AI102" s="1426" t="str">
        <f t="shared" si="49"/>
        <v/>
      </c>
      <c r="AJ102" s="1426" t="str">
        <f t="shared" si="49"/>
        <v/>
      </c>
      <c r="AK102" s="1426" t="str">
        <f t="shared" si="49"/>
        <v/>
      </c>
      <c r="AL102" s="1426"/>
      <c r="AM102" s="1434" t="s">
        <v>46</v>
      </c>
      <c r="AN102" s="254"/>
      <c r="AP102" s="186"/>
      <c r="AQ102" s="186"/>
      <c r="AR102" s="186"/>
      <c r="AS102" s="186"/>
      <c r="AT102" s="186"/>
      <c r="AU102" s="186"/>
      <c r="GS102" s="176"/>
      <c r="GT102" s="176"/>
      <c r="GU102" s="176"/>
      <c r="GV102" s="176"/>
      <c r="GW102" s="176"/>
    </row>
    <row r="103" spans="1:205" ht="13.5" customHeight="1" x14ac:dyDescent="0.2">
      <c r="A103" s="712"/>
      <c r="B103" s="1113"/>
      <c r="C103" s="1113"/>
      <c r="D103" s="526"/>
      <c r="E103" s="613"/>
      <c r="G103" s="186" t="e">
        <f>#REF!</f>
        <v>#REF!</v>
      </c>
      <c r="H103" s="186" t="e">
        <f>#REF!</f>
        <v>#REF!</v>
      </c>
      <c r="I103" s="186" t="e">
        <f>#REF!</f>
        <v>#REF!</v>
      </c>
      <c r="J103" s="186" t="e">
        <f>#REF!</f>
        <v>#REF!</v>
      </c>
      <c r="K103" s="186" t="e">
        <f>#REF!</f>
        <v>#REF!</v>
      </c>
      <c r="L103" s="186" t="e">
        <f>#REF!</f>
        <v>#REF!</v>
      </c>
      <c r="P103" s="179"/>
      <c r="Q103" s="179"/>
      <c r="R103" s="179"/>
      <c r="S103" s="175"/>
      <c r="T103" s="175"/>
      <c r="U103" s="2528" t="s">
        <v>635</v>
      </c>
      <c r="V103" s="2528"/>
      <c r="W103" s="1435">
        <f>IF(INPUT!D5="Rig 5",5%,0%)</f>
        <v>0</v>
      </c>
      <c r="X103" s="799">
        <f ca="1">$W$103*X98</f>
        <v>0</v>
      </c>
      <c r="Y103" s="799">
        <f t="shared" ref="Y103:AH103" ca="1" si="50">$W$103*Y98</f>
        <v>0</v>
      </c>
      <c r="Z103" s="799">
        <f t="shared" ca="1" si="50"/>
        <v>0</v>
      </c>
      <c r="AA103" s="799">
        <f t="shared" ca="1" si="50"/>
        <v>0</v>
      </c>
      <c r="AB103" s="799">
        <f t="shared" ca="1" si="50"/>
        <v>0</v>
      </c>
      <c r="AC103" s="799">
        <f t="shared" ca="1" si="50"/>
        <v>0</v>
      </c>
      <c r="AD103" s="799">
        <f t="shared" ca="1" si="50"/>
        <v>0</v>
      </c>
      <c r="AE103" s="799">
        <f t="shared" ca="1" si="50"/>
        <v>0</v>
      </c>
      <c r="AF103" s="799">
        <f t="shared" ca="1" si="50"/>
        <v>0</v>
      </c>
      <c r="AG103" s="799">
        <f t="shared" ca="1" si="50"/>
        <v>0</v>
      </c>
      <c r="AH103" s="799">
        <f t="shared" ca="1" si="50"/>
        <v>0</v>
      </c>
      <c r="AI103" s="799">
        <f>IF(AI102="",0,$W$103*AI98)</f>
        <v>0</v>
      </c>
      <c r="AJ103" s="799">
        <f ca="1">$W$103*AJ98</f>
        <v>0</v>
      </c>
      <c r="AK103" s="799">
        <f ca="1">$W$103*AK98</f>
        <v>0</v>
      </c>
      <c r="AL103" s="799"/>
      <c r="AM103" s="1430">
        <f ca="1">SUM(X103:AL103)</f>
        <v>0</v>
      </c>
      <c r="AN103" s="254"/>
      <c r="GS103" s="176"/>
      <c r="GT103" s="176"/>
      <c r="GU103" s="176"/>
      <c r="GV103" s="176"/>
      <c r="GW103" s="176"/>
    </row>
    <row r="104" spans="1:205" ht="12.75" customHeight="1" x14ac:dyDescent="0.2">
      <c r="A104" s="725"/>
      <c r="B104" s="1126"/>
      <c r="C104" s="1126"/>
      <c r="D104" s="530"/>
      <c r="G104" s="174"/>
      <c r="H104" s="174"/>
      <c r="I104" s="174"/>
      <c r="J104" s="174"/>
      <c r="K104" s="174"/>
      <c r="P104" s="179"/>
      <c r="Q104" s="179"/>
      <c r="R104" s="179"/>
      <c r="S104" s="175"/>
      <c r="T104" s="175"/>
      <c r="U104" s="254"/>
      <c r="V104" s="254"/>
      <c r="W104" s="254"/>
      <c r="X104" s="254"/>
      <c r="Y104" s="254"/>
      <c r="Z104" s="254"/>
      <c r="AA104" s="542"/>
      <c r="AB104" s="542"/>
      <c r="AC104" s="542"/>
      <c r="AD104" s="542"/>
      <c r="AE104" s="542"/>
      <c r="AF104" s="542"/>
      <c r="AG104" s="542"/>
      <c r="AH104" s="542"/>
      <c r="AI104" s="542"/>
      <c r="AJ104" s="542"/>
      <c r="AK104" s="542"/>
      <c r="AL104" s="542"/>
      <c r="AM104" s="530"/>
      <c r="AN104" s="172"/>
      <c r="GS104" s="176"/>
      <c r="GT104" s="176"/>
      <c r="GU104" s="176"/>
      <c r="GV104" s="176"/>
      <c r="GW104" s="176"/>
    </row>
    <row r="105" spans="1:205" ht="12.75" customHeight="1" x14ac:dyDescent="0.2">
      <c r="A105" s="726"/>
      <c r="B105" s="1127"/>
      <c r="C105" s="1127"/>
      <c r="D105" s="235"/>
      <c r="E105" s="615"/>
      <c r="F105" s="235"/>
      <c r="G105" s="235"/>
      <c r="H105" s="235"/>
      <c r="I105" s="196"/>
      <c r="J105" s="172"/>
      <c r="AA105" s="235"/>
      <c r="AB105" s="235"/>
      <c r="AC105" s="235"/>
      <c r="AD105" s="235"/>
      <c r="AE105" s="235"/>
      <c r="AF105" s="235"/>
      <c r="AG105" s="235"/>
      <c r="AH105" s="235"/>
      <c r="AI105" s="235"/>
      <c r="AJ105" s="235"/>
      <c r="AK105" s="235"/>
      <c r="AL105" s="235"/>
      <c r="AM105" s="196"/>
      <c r="AN105" s="172"/>
      <c r="AO105" s="305"/>
      <c r="AP105" s="305"/>
      <c r="AQ105" s="305"/>
      <c r="AR105" s="306"/>
      <c r="AS105" s="172"/>
      <c r="AT105" s="172"/>
    </row>
    <row r="106" spans="1:205" ht="13.5" customHeight="1" x14ac:dyDescent="0.2">
      <c r="A106" s="727"/>
      <c r="B106" s="1128"/>
      <c r="C106" s="1128"/>
      <c r="D106" s="305"/>
      <c r="E106" s="616"/>
      <c r="F106" s="305"/>
      <c r="G106" s="305"/>
      <c r="H106" s="305"/>
      <c r="I106" s="306"/>
      <c r="J106" s="172"/>
      <c r="U106" s="1396"/>
      <c r="V106" s="1423" t="s">
        <v>151</v>
      </c>
      <c r="W106" s="1436"/>
      <c r="X106" s="254"/>
      <c r="Y106" s="1280">
        <f>DSURFACEHOLE</f>
        <v>103</v>
      </c>
      <c r="Z106" s="254"/>
      <c r="AA106" s="1358">
        <f>DINTERHOLE-INPUT!$G$23</f>
        <v>463</v>
      </c>
      <c r="AB106" s="254"/>
      <c r="AC106" s="1720">
        <f>DPRODHOLE-INPUT!$G$24</f>
        <v>703</v>
      </c>
      <c r="AD106" s="542"/>
      <c r="AE106" s="1720">
        <f>DPL1HOLE-INPUT!$G$25</f>
        <v>640</v>
      </c>
      <c r="AF106" s="542"/>
      <c r="AG106" s="1720">
        <f>DPL2HOLE-DPL1HOLE</f>
        <v>600</v>
      </c>
      <c r="AH106" s="305"/>
      <c r="AI106" s="1720">
        <f>IFERROR(DPL3HOLE-DPL2HOLE,0)</f>
        <v>0</v>
      </c>
      <c r="AJ106" s="305"/>
      <c r="AK106" s="1720">
        <f>IF(INPUT!$H$19="no",0,DRELHOLE)</f>
        <v>0</v>
      </c>
      <c r="AL106" s="305"/>
      <c r="AM106" s="305"/>
      <c r="AN106" s="305"/>
      <c r="AO106" s="249"/>
      <c r="AP106" s="250"/>
      <c r="AQ106" s="250"/>
      <c r="AR106" s="250"/>
      <c r="AS106" s="250"/>
      <c r="AT106" s="250"/>
      <c r="AU106" s="250"/>
    </row>
    <row r="107" spans="1:205" s="252" customFormat="1" ht="13.5" customHeight="1" x14ac:dyDescent="0.2">
      <c r="A107" s="728"/>
      <c r="B107" s="1129"/>
      <c r="C107" s="1129"/>
      <c r="D107" s="531"/>
      <c r="E107" s="613"/>
      <c r="F107" s="249"/>
      <c r="G107" s="250"/>
      <c r="H107" s="250"/>
      <c r="I107" s="250"/>
      <c r="J107" s="250"/>
      <c r="K107" s="250"/>
      <c r="L107" s="250"/>
      <c r="M107" s="250"/>
      <c r="N107" s="250"/>
      <c r="O107" s="250"/>
      <c r="P107" s="251"/>
      <c r="Q107" s="251"/>
      <c r="R107" s="251"/>
      <c r="S107" s="251"/>
      <c r="T107" s="251"/>
      <c r="U107" s="2513" t="s">
        <v>152</v>
      </c>
      <c r="V107" s="2514"/>
      <c r="W107" s="1425" t="s">
        <v>153</v>
      </c>
      <c r="X107" s="1426" t="str">
        <f t="shared" ref="X107:AK107" si="51">X$14</f>
        <v>RIGMOVE</v>
      </c>
      <c r="Y107" s="1426" t="str">
        <f t="shared" si="51"/>
        <v>DSURFACE</v>
      </c>
      <c r="Z107" s="1426" t="str">
        <f t="shared" si="51"/>
        <v>FSURFACE</v>
      </c>
      <c r="AA107" s="1426" t="str">
        <f t="shared" si="51"/>
        <v>DINTERMEDIATE</v>
      </c>
      <c r="AB107" s="1426" t="str">
        <f t="shared" si="51"/>
        <v>FINTERMEDIATE</v>
      </c>
      <c r="AC107" s="1426" t="str">
        <f t="shared" si="51"/>
        <v>DPRODUCTION</v>
      </c>
      <c r="AD107" s="1426" t="str">
        <f t="shared" si="51"/>
        <v>FPRODUCTION</v>
      </c>
      <c r="AE107" s="1426" t="str">
        <f t="shared" si="51"/>
        <v>DLINER1</v>
      </c>
      <c r="AF107" s="1426" t="str">
        <f t="shared" si="51"/>
        <v>FLINER1</v>
      </c>
      <c r="AG107" s="1426" t="str">
        <f t="shared" si="51"/>
        <v>DLINER2</v>
      </c>
      <c r="AH107" s="1426" t="str">
        <f t="shared" si="51"/>
        <v>FLINER2</v>
      </c>
      <c r="AI107" s="1426" t="str">
        <f t="shared" si="51"/>
        <v/>
      </c>
      <c r="AJ107" s="1426" t="str">
        <f t="shared" si="51"/>
        <v/>
      </c>
      <c r="AK107" s="1426" t="str">
        <f t="shared" si="51"/>
        <v/>
      </c>
      <c r="AL107" s="1426"/>
      <c r="AM107" s="1437" t="s">
        <v>101</v>
      </c>
      <c r="AN107" s="254"/>
      <c r="AO107" s="249"/>
      <c r="AP107" s="250"/>
      <c r="AQ107" s="250"/>
      <c r="AR107" s="250"/>
      <c r="AS107" s="250"/>
      <c r="AT107" s="250"/>
      <c r="AU107" s="250"/>
      <c r="AV107" s="249"/>
      <c r="AW107" s="249"/>
      <c r="AX107" s="249"/>
      <c r="AY107" s="249"/>
      <c r="AZ107" s="249"/>
      <c r="BA107" s="249"/>
      <c r="BB107" s="249"/>
      <c r="BC107" s="249"/>
      <c r="BD107" s="249"/>
      <c r="BE107" s="249"/>
      <c r="BF107" s="249"/>
      <c r="BG107" s="249"/>
      <c r="BH107" s="249"/>
      <c r="BI107" s="249"/>
      <c r="BJ107" s="249"/>
      <c r="BK107" s="249"/>
      <c r="BL107" s="249"/>
      <c r="BM107" s="249"/>
      <c r="BN107" s="249"/>
      <c r="BO107" s="249"/>
      <c r="BP107" s="249"/>
      <c r="BQ107" s="249"/>
      <c r="BR107" s="249"/>
      <c r="BS107" s="249"/>
      <c r="BT107" s="249"/>
      <c r="BU107" s="249"/>
      <c r="BV107" s="249"/>
      <c r="BW107" s="249"/>
      <c r="BX107" s="249"/>
      <c r="BY107" s="249"/>
      <c r="BZ107" s="249"/>
      <c r="CA107" s="249"/>
      <c r="CB107" s="249"/>
      <c r="CC107" s="249"/>
      <c r="CD107" s="249"/>
      <c r="CE107" s="249"/>
      <c r="CF107" s="249"/>
      <c r="CG107" s="249"/>
      <c r="CH107" s="249"/>
      <c r="CI107" s="249"/>
      <c r="CJ107" s="249"/>
      <c r="CK107" s="249"/>
      <c r="CL107" s="249"/>
      <c r="CM107" s="249"/>
      <c r="CN107" s="249"/>
      <c r="CO107" s="249"/>
      <c r="CP107" s="249"/>
      <c r="CQ107" s="249"/>
      <c r="CR107" s="249"/>
      <c r="CS107" s="249"/>
      <c r="CT107" s="249"/>
      <c r="CU107" s="249"/>
      <c r="CV107" s="249"/>
      <c r="CW107" s="249"/>
      <c r="CX107" s="249"/>
      <c r="CY107" s="249"/>
      <c r="CZ107" s="249"/>
      <c r="DA107" s="249"/>
      <c r="DB107" s="249"/>
      <c r="DC107" s="249"/>
      <c r="DD107" s="249"/>
      <c r="DE107" s="249"/>
      <c r="DF107" s="249"/>
      <c r="DG107" s="249"/>
      <c r="DH107" s="249"/>
      <c r="DI107" s="249"/>
      <c r="DJ107" s="249"/>
      <c r="DK107" s="249"/>
      <c r="DL107" s="249"/>
      <c r="DM107" s="249"/>
      <c r="DN107" s="249"/>
      <c r="DO107" s="249"/>
      <c r="DP107" s="249"/>
      <c r="DQ107" s="249"/>
      <c r="DR107" s="249"/>
      <c r="DS107" s="249"/>
      <c r="DT107" s="249"/>
      <c r="DU107" s="249"/>
      <c r="DV107" s="249"/>
      <c r="DW107" s="249"/>
      <c r="DX107" s="249"/>
      <c r="DY107" s="249"/>
      <c r="DZ107" s="249"/>
      <c r="EA107" s="249"/>
      <c r="EB107" s="249"/>
      <c r="EC107" s="249"/>
      <c r="ED107" s="249"/>
      <c r="EE107" s="249"/>
      <c r="EF107" s="249"/>
      <c r="EG107" s="249"/>
      <c r="EH107" s="249"/>
      <c r="EI107" s="249"/>
      <c r="EJ107" s="249"/>
      <c r="EK107" s="249"/>
      <c r="EL107" s="249"/>
      <c r="EM107" s="249"/>
      <c r="EN107" s="249"/>
      <c r="EO107" s="249"/>
      <c r="EP107" s="249"/>
      <c r="EQ107" s="249"/>
      <c r="ER107" s="249"/>
      <c r="ES107" s="249"/>
      <c r="ET107" s="249"/>
      <c r="EU107" s="249"/>
      <c r="EV107" s="249"/>
      <c r="EW107" s="249"/>
      <c r="EX107" s="249"/>
      <c r="EY107" s="249"/>
      <c r="EZ107" s="249"/>
      <c r="FA107" s="249"/>
      <c r="FB107" s="249"/>
      <c r="FC107" s="249"/>
      <c r="FD107" s="249"/>
      <c r="FE107" s="249"/>
      <c r="FF107" s="249"/>
      <c r="FG107" s="249"/>
      <c r="FH107" s="249"/>
      <c r="FI107" s="249"/>
      <c r="FJ107" s="249"/>
      <c r="FK107" s="249"/>
      <c r="FL107" s="249"/>
      <c r="FM107" s="249"/>
      <c r="FN107" s="249"/>
      <c r="FO107" s="249"/>
      <c r="FP107" s="249"/>
      <c r="FQ107" s="249"/>
      <c r="FR107" s="249"/>
      <c r="FS107" s="249"/>
      <c r="FT107" s="249"/>
      <c r="FU107" s="249"/>
      <c r="FV107" s="249"/>
      <c r="FW107" s="249"/>
      <c r="FX107" s="249"/>
      <c r="FY107" s="249"/>
      <c r="FZ107" s="249"/>
      <c r="GA107" s="249"/>
      <c r="GB107" s="249"/>
      <c r="GC107" s="249"/>
      <c r="GD107" s="249"/>
      <c r="GE107" s="249"/>
      <c r="GF107" s="249"/>
      <c r="GG107" s="249"/>
      <c r="GH107" s="249"/>
      <c r="GI107" s="249"/>
      <c r="GJ107" s="249"/>
      <c r="GK107" s="249"/>
      <c r="GL107" s="249"/>
      <c r="GM107" s="249"/>
      <c r="GN107" s="249"/>
      <c r="GO107" s="249"/>
      <c r="GP107" s="249"/>
      <c r="GQ107" s="249"/>
      <c r="GR107" s="249"/>
    </row>
    <row r="108" spans="1:205" s="252" customFormat="1" ht="12.75" customHeight="1" x14ac:dyDescent="0.2">
      <c r="A108" s="729"/>
      <c r="B108" s="1130"/>
      <c r="C108" s="1130"/>
      <c r="D108" s="532"/>
      <c r="E108" s="613"/>
      <c r="F108" s="249"/>
      <c r="G108" s="250"/>
      <c r="H108" s="250"/>
      <c r="I108" s="250"/>
      <c r="J108" s="250"/>
      <c r="K108" s="250"/>
      <c r="L108" s="250"/>
      <c r="M108" s="250"/>
      <c r="N108" s="250"/>
      <c r="O108" s="250"/>
      <c r="P108" s="251"/>
      <c r="Q108" s="251"/>
      <c r="R108" s="251"/>
      <c r="S108" s="251"/>
      <c r="T108" s="251"/>
      <c r="U108" s="133">
        <f>IF(RH_BH="Big Hole",0.7,0.5)</f>
        <v>0.7</v>
      </c>
      <c r="V108" s="1920" t="str">
        <f>'MUD Consumables'!E3</f>
        <v>ALUMINUM STEARATE</v>
      </c>
      <c r="W108" s="1922" t="s">
        <v>1267</v>
      </c>
      <c r="X108" s="1163"/>
      <c r="Y108" s="246">
        <f>IFERROR(ROUNDUP(INDEX('MUD Consumables'!$E$7:$E$11,MATCH(Y$107,'MUD Consumables'!$C$7:$C$14,0))*Y$106*$U$108,0),0)</f>
        <v>0</v>
      </c>
      <c r="Z108" s="246"/>
      <c r="AA108" s="246">
        <f>IFERROR(ROUNDUP(INDEX('MUD Consumables'!$E$7:$E$11,MATCH(AA$107,'MUD Consumables'!$C$7:$C$14,0))*AA$106*$U$108,0),0)</f>
        <v>0</v>
      </c>
      <c r="AB108" s="246"/>
      <c r="AC108" s="246">
        <f>IFERROR(ROUNDUP(INDEX('MUD Consumables'!$E$7:$E$11,MATCH(AC$107,'MUD Consumables'!$C$7:$C$14,0))*AC$106*$U$108,0),0)</f>
        <v>23</v>
      </c>
      <c r="AD108" s="246"/>
      <c r="AE108" s="246">
        <f>IFERROR(ROUNDUP(INDEX('MUD Consumables'!$E$7:$E$11,MATCH(AE$107,'MUD Consumables'!$C$7:$C$14,0))*AE$106*$U$108,0),0)</f>
        <v>3</v>
      </c>
      <c r="AF108" s="246">
        <f>IFERROR(INDEX('MUD Consumables'!$E$7:$E$11,MATCH(AF$107,'MUD Consumables'!$C$7:$C$14))*DSURFACEHOLE*$U$108,0)</f>
        <v>0</v>
      </c>
      <c r="AG108" s="246">
        <f>IFERROR(ROUNDUP(INDEX('MUD Consumables'!$E$7:$E$11,MATCH(AG$107,'MUD Consumables'!$C$7:$C$14,0))*AG$106*$U$108,0),0)</f>
        <v>0</v>
      </c>
      <c r="AH108" s="246">
        <f>IFERROR(INDEX('MUD Consumables'!$E$7:$E$11,MATCH(AH$107,'MUD Consumables'!$C$7:$C$14))*DSURFACEHOLE*$U$108,0)</f>
        <v>0</v>
      </c>
      <c r="AI108" s="246">
        <f>IFERROR(ROUNDUP(INDEX('MUD Consumables'!$E$7:$E$11,MATCH(AI$107,'MUD Consumables'!$C$7:$C$14,0))*AI$106*$U$108,0),0)</f>
        <v>0</v>
      </c>
      <c r="AJ108" s="246">
        <f>IFERROR(INDEX('MUD Consumables'!$E$7:$E$11,MATCH(AJ$107,'MUD Consumables'!$C$7:$C$14))*DSURFACEHOLE*$U$108,0)</f>
        <v>0</v>
      </c>
      <c r="AK108" s="246">
        <f>IFERROR(ROUNDUP(INDEX('MUD Consumables'!$E$7:$E$11,MATCH(AK$107,'MUD Consumables'!$C$7:$C$14,0))*AK$106*$U$108,0),0)</f>
        <v>0</v>
      </c>
      <c r="AL108" s="1163"/>
      <c r="AM108" s="1438">
        <f>SUM(Y108:AK108)</f>
        <v>26</v>
      </c>
      <c r="AN108" s="254"/>
      <c r="AO108" s="249"/>
      <c r="AP108" s="250"/>
      <c r="AQ108" s="250"/>
      <c r="AR108" s="250"/>
      <c r="AS108" s="250"/>
      <c r="AT108" s="250"/>
      <c r="AU108" s="250"/>
      <c r="AV108" s="249"/>
      <c r="AW108" s="249"/>
      <c r="AX108" s="249"/>
      <c r="AY108" s="249"/>
      <c r="AZ108" s="249"/>
      <c r="BA108" s="249"/>
      <c r="BB108" s="249"/>
      <c r="BC108" s="249"/>
      <c r="BD108" s="249"/>
      <c r="BE108" s="249"/>
      <c r="BF108" s="249"/>
      <c r="BG108" s="249"/>
      <c r="BH108" s="249"/>
      <c r="BI108" s="249"/>
      <c r="BJ108" s="249"/>
      <c r="BK108" s="249"/>
      <c r="BL108" s="249"/>
      <c r="BM108" s="249"/>
      <c r="BN108" s="249"/>
      <c r="BO108" s="249"/>
      <c r="BP108" s="249"/>
      <c r="BQ108" s="249"/>
      <c r="BR108" s="249"/>
      <c r="BS108" s="249"/>
      <c r="BT108" s="249"/>
      <c r="BU108" s="249"/>
      <c r="BV108" s="249"/>
      <c r="BW108" s="249"/>
      <c r="BX108" s="249"/>
      <c r="BY108" s="249"/>
      <c r="BZ108" s="249"/>
      <c r="CA108" s="249"/>
      <c r="CB108" s="249"/>
      <c r="CC108" s="249"/>
      <c r="CD108" s="249"/>
      <c r="CE108" s="249"/>
      <c r="CF108" s="249"/>
      <c r="CG108" s="249"/>
      <c r="CH108" s="249"/>
      <c r="CI108" s="249"/>
      <c r="CJ108" s="249"/>
      <c r="CK108" s="249"/>
      <c r="CL108" s="249"/>
      <c r="CM108" s="249"/>
      <c r="CN108" s="249"/>
      <c r="CO108" s="249"/>
      <c r="CP108" s="249"/>
      <c r="CQ108" s="249"/>
      <c r="CR108" s="249"/>
      <c r="CS108" s="249"/>
      <c r="CT108" s="249"/>
      <c r="CU108" s="249"/>
      <c r="CV108" s="249"/>
      <c r="CW108" s="249"/>
      <c r="CX108" s="249"/>
      <c r="CY108" s="249"/>
      <c r="CZ108" s="249"/>
      <c r="DA108" s="249"/>
      <c r="DB108" s="249"/>
      <c r="DC108" s="249"/>
      <c r="DD108" s="249"/>
      <c r="DE108" s="249"/>
      <c r="DF108" s="249"/>
      <c r="DG108" s="249"/>
      <c r="DH108" s="249"/>
      <c r="DI108" s="249"/>
      <c r="DJ108" s="249"/>
      <c r="DK108" s="249"/>
      <c r="DL108" s="249"/>
      <c r="DM108" s="249"/>
      <c r="DN108" s="249"/>
      <c r="DO108" s="249"/>
      <c r="DP108" s="249"/>
      <c r="DQ108" s="249"/>
      <c r="DR108" s="249"/>
      <c r="DS108" s="249"/>
      <c r="DT108" s="249"/>
      <c r="DU108" s="249"/>
      <c r="DV108" s="249"/>
      <c r="DW108" s="249"/>
      <c r="DX108" s="249"/>
      <c r="DY108" s="249"/>
      <c r="DZ108" s="249"/>
      <c r="EA108" s="249"/>
      <c r="EB108" s="249"/>
      <c r="EC108" s="249"/>
      <c r="ED108" s="249"/>
      <c r="EE108" s="249"/>
      <c r="EF108" s="249"/>
      <c r="EG108" s="249"/>
      <c r="EH108" s="249"/>
      <c r="EI108" s="249"/>
      <c r="EJ108" s="249"/>
      <c r="EK108" s="249"/>
      <c r="EL108" s="249"/>
      <c r="EM108" s="249"/>
      <c r="EN108" s="249"/>
      <c r="EO108" s="249"/>
      <c r="EP108" s="249"/>
      <c r="EQ108" s="249"/>
      <c r="ER108" s="249"/>
      <c r="ES108" s="249"/>
      <c r="ET108" s="249"/>
      <c r="EU108" s="249"/>
      <c r="EV108" s="249"/>
      <c r="EW108" s="249"/>
      <c r="EX108" s="249"/>
      <c r="EY108" s="249"/>
      <c r="EZ108" s="249"/>
      <c r="FA108" s="249"/>
      <c r="FB108" s="249"/>
      <c r="FC108" s="249"/>
      <c r="FD108" s="249"/>
      <c r="FE108" s="249"/>
      <c r="FF108" s="249"/>
      <c r="FG108" s="249"/>
      <c r="FH108" s="249"/>
      <c r="FI108" s="249"/>
      <c r="FJ108" s="249"/>
      <c r="FK108" s="249"/>
      <c r="FL108" s="249"/>
      <c r="FM108" s="249"/>
      <c r="FN108" s="249"/>
      <c r="FO108" s="249"/>
      <c r="FP108" s="249"/>
      <c r="FQ108" s="249"/>
      <c r="FR108" s="249"/>
      <c r="FS108" s="249"/>
      <c r="FT108" s="249"/>
      <c r="FU108" s="249"/>
      <c r="FV108" s="249"/>
      <c r="FW108" s="249"/>
      <c r="FX108" s="249"/>
      <c r="FY108" s="249"/>
      <c r="FZ108" s="249"/>
      <c r="GA108" s="249"/>
      <c r="GB108" s="249"/>
      <c r="GC108" s="249"/>
      <c r="GD108" s="249"/>
      <c r="GE108" s="249"/>
      <c r="GF108" s="249"/>
      <c r="GG108" s="249"/>
      <c r="GH108" s="249"/>
      <c r="GI108" s="249"/>
      <c r="GJ108" s="249"/>
      <c r="GK108" s="249"/>
      <c r="GL108" s="249"/>
      <c r="GM108" s="249"/>
      <c r="GN108" s="249"/>
      <c r="GO108" s="249"/>
      <c r="GP108" s="249"/>
      <c r="GQ108" s="249"/>
      <c r="GR108" s="249"/>
    </row>
    <row r="109" spans="1:205" s="252" customFormat="1" ht="12.75" customHeight="1" x14ac:dyDescent="0.2">
      <c r="A109" s="729"/>
      <c r="B109" s="1130"/>
      <c r="C109" s="1130"/>
      <c r="D109" s="532"/>
      <c r="E109" s="613"/>
      <c r="F109" s="249"/>
      <c r="G109" s="250"/>
      <c r="H109" s="250"/>
      <c r="I109" s="250"/>
      <c r="J109" s="250"/>
      <c r="K109" s="250"/>
      <c r="L109" s="250"/>
      <c r="M109" s="250"/>
      <c r="N109" s="250"/>
      <c r="O109" s="250"/>
      <c r="P109" s="251"/>
      <c r="Q109" s="251"/>
      <c r="R109" s="251"/>
      <c r="S109" s="251"/>
      <c r="T109" s="251"/>
      <c r="U109" s="133"/>
      <c r="V109" s="1920" t="s">
        <v>1116</v>
      </c>
      <c r="W109" s="1922" t="s">
        <v>1268</v>
      </c>
      <c r="X109" s="1163"/>
      <c r="Y109" s="246">
        <f>IFERROR(ROUNDUP(INDEX('MUD Consumables'!$F$7:$F$14,MATCH(Y$107,'MUD Consumables'!$C$7:$C$14,0))*Y$106*$U$108,0),0)</f>
        <v>12</v>
      </c>
      <c r="Z109" s="1163"/>
      <c r="AA109" s="246">
        <f>IFERROR(ROUNDUP(INDEX('MUD Consumables'!$F$7:$F$14,MATCH(AA$107,'MUD Consumables'!$C$7:$C$14,0))*AA$106*$U$108,0),0)</f>
        <v>4</v>
      </c>
      <c r="AB109" s="1163"/>
      <c r="AC109" s="246">
        <f>IFERROR(ROUNDUP(INDEX('MUD Consumables'!$F$7:$F$14,MATCH(AC$107,'MUD Consumables'!$C$7:$C$14,0))*AC$106*$U$108,0),0)</f>
        <v>7</v>
      </c>
      <c r="AD109" s="1163"/>
      <c r="AE109" s="246">
        <f>IFERROR(ROUNDUP(INDEX('MUD Consumables'!$F$7:$F$14,MATCH(AE$107,'MUD Consumables'!$C$7:$C$14,0))*AE$106*$U$108,0),0)</f>
        <v>3</v>
      </c>
      <c r="AF109" s="1163"/>
      <c r="AG109" s="246">
        <f>IFERROR(ROUNDUP(INDEX('MUD Consumables'!$F$7:$F$14,MATCH(AG$107,'MUD Consumables'!$C$7:$C$14,0))*AG$106*$U$108,0),0)</f>
        <v>0</v>
      </c>
      <c r="AH109" s="1163"/>
      <c r="AI109" s="246">
        <f>IFERROR(ROUNDUP(INDEX('MUD Consumables'!$F$7:$F$14,MATCH(AI$107,'MUD Consumables'!$C$7:$C$14,0))*AI$106*$U$108,0),0)</f>
        <v>0</v>
      </c>
      <c r="AJ109" s="1163"/>
      <c r="AK109" s="246">
        <f>IFERROR(ROUNDUP(INDEX('MUD Consumables'!$F$7:$F$14,MATCH(AK$107,'MUD Consumables'!$C$7:$C$14,0))*AK$106*$U$108,0),0)</f>
        <v>0</v>
      </c>
      <c r="AL109" s="1163"/>
      <c r="AM109" s="1438">
        <f t="shared" ref="AM109:AM136" si="52">SUM(Y109:AK109)</f>
        <v>26</v>
      </c>
      <c r="AN109" s="254"/>
      <c r="AO109" s="249"/>
      <c r="AP109" s="250"/>
      <c r="AQ109" s="250"/>
      <c r="AR109" s="250"/>
      <c r="AS109" s="250"/>
      <c r="AT109" s="250"/>
      <c r="AU109" s="250"/>
      <c r="AV109" s="249"/>
      <c r="AW109" s="249"/>
      <c r="AX109" s="249"/>
      <c r="AY109" s="249"/>
      <c r="AZ109" s="249"/>
      <c r="BA109" s="249"/>
      <c r="BB109" s="249"/>
      <c r="BC109" s="249"/>
      <c r="BD109" s="249"/>
      <c r="BE109" s="249"/>
      <c r="BF109" s="249"/>
      <c r="BG109" s="249"/>
      <c r="BH109" s="249"/>
      <c r="BI109" s="249"/>
      <c r="BJ109" s="249"/>
      <c r="BK109" s="249"/>
      <c r="BL109" s="249"/>
      <c r="BM109" s="249"/>
      <c r="BN109" s="249"/>
      <c r="BO109" s="249"/>
      <c r="BP109" s="249"/>
      <c r="BQ109" s="249"/>
      <c r="BR109" s="249"/>
      <c r="BS109" s="249"/>
      <c r="BT109" s="249"/>
      <c r="BU109" s="249"/>
      <c r="BV109" s="249"/>
      <c r="BW109" s="249"/>
      <c r="BX109" s="249"/>
      <c r="BY109" s="249"/>
      <c r="BZ109" s="249"/>
      <c r="CA109" s="249"/>
      <c r="CB109" s="249"/>
      <c r="CC109" s="249"/>
      <c r="CD109" s="249"/>
      <c r="CE109" s="249"/>
      <c r="CF109" s="249"/>
      <c r="CG109" s="249"/>
      <c r="CH109" s="249"/>
      <c r="CI109" s="249"/>
      <c r="CJ109" s="249"/>
      <c r="CK109" s="249"/>
      <c r="CL109" s="249"/>
      <c r="CM109" s="249"/>
      <c r="CN109" s="249"/>
      <c r="CO109" s="249"/>
      <c r="CP109" s="249"/>
      <c r="CQ109" s="249"/>
      <c r="CR109" s="249"/>
      <c r="CS109" s="249"/>
      <c r="CT109" s="249"/>
      <c r="CU109" s="249"/>
      <c r="CV109" s="249"/>
      <c r="CW109" s="249"/>
      <c r="CX109" s="249"/>
      <c r="CY109" s="249"/>
      <c r="CZ109" s="249"/>
      <c r="DA109" s="249"/>
      <c r="DB109" s="249"/>
      <c r="DC109" s="249"/>
      <c r="DD109" s="249"/>
      <c r="DE109" s="249"/>
      <c r="DF109" s="249"/>
      <c r="DG109" s="249"/>
      <c r="DH109" s="249"/>
      <c r="DI109" s="249"/>
      <c r="DJ109" s="249"/>
      <c r="DK109" s="249"/>
      <c r="DL109" s="249"/>
      <c r="DM109" s="249"/>
      <c r="DN109" s="249"/>
      <c r="DO109" s="249"/>
      <c r="DP109" s="249"/>
      <c r="DQ109" s="249"/>
      <c r="DR109" s="249"/>
      <c r="DS109" s="249"/>
      <c r="DT109" s="249"/>
      <c r="DU109" s="249"/>
      <c r="DV109" s="249"/>
      <c r="DW109" s="249"/>
      <c r="DX109" s="249"/>
      <c r="DY109" s="249"/>
      <c r="DZ109" s="249"/>
      <c r="EA109" s="249"/>
      <c r="EB109" s="249"/>
      <c r="EC109" s="249"/>
      <c r="ED109" s="249"/>
      <c r="EE109" s="249"/>
      <c r="EF109" s="249"/>
      <c r="EG109" s="249"/>
      <c r="EH109" s="249"/>
      <c r="EI109" s="249"/>
      <c r="EJ109" s="249"/>
      <c r="EK109" s="249"/>
      <c r="EL109" s="249"/>
      <c r="EM109" s="249"/>
      <c r="EN109" s="249"/>
      <c r="EO109" s="249"/>
      <c r="EP109" s="249"/>
      <c r="EQ109" s="249"/>
      <c r="ER109" s="249"/>
      <c r="ES109" s="249"/>
      <c r="ET109" s="249"/>
      <c r="EU109" s="249"/>
      <c r="EV109" s="249"/>
      <c r="EW109" s="249"/>
      <c r="EX109" s="249"/>
      <c r="EY109" s="249"/>
      <c r="EZ109" s="249"/>
      <c r="FA109" s="249"/>
      <c r="FB109" s="249"/>
      <c r="FC109" s="249"/>
      <c r="FD109" s="249"/>
      <c r="FE109" s="249"/>
      <c r="FF109" s="249"/>
      <c r="FG109" s="249"/>
      <c r="FH109" s="249"/>
      <c r="FI109" s="249"/>
      <c r="FJ109" s="249"/>
      <c r="FK109" s="249"/>
      <c r="FL109" s="249"/>
      <c r="FM109" s="249"/>
      <c r="FN109" s="249"/>
      <c r="FO109" s="249"/>
      <c r="FP109" s="249"/>
      <c r="FQ109" s="249"/>
      <c r="FR109" s="249"/>
      <c r="FS109" s="249"/>
      <c r="FT109" s="249"/>
      <c r="FU109" s="249"/>
      <c r="FV109" s="249"/>
      <c r="FW109" s="249"/>
      <c r="FX109" s="249"/>
      <c r="FY109" s="249"/>
      <c r="FZ109" s="249"/>
      <c r="GA109" s="249"/>
      <c r="GB109" s="249"/>
      <c r="GC109" s="249"/>
      <c r="GD109" s="249"/>
      <c r="GE109" s="249"/>
      <c r="GF109" s="249"/>
      <c r="GG109" s="249"/>
      <c r="GH109" s="249"/>
      <c r="GI109" s="249"/>
      <c r="GJ109" s="249"/>
      <c r="GK109" s="249"/>
      <c r="GL109" s="249"/>
      <c r="GM109" s="249"/>
      <c r="GN109" s="249"/>
      <c r="GO109" s="249"/>
      <c r="GP109" s="249"/>
      <c r="GQ109" s="249"/>
      <c r="GR109" s="249"/>
    </row>
    <row r="110" spans="1:205" s="252" customFormat="1" ht="12.75" customHeight="1" x14ac:dyDescent="0.2">
      <c r="A110" s="729"/>
      <c r="B110" s="1130"/>
      <c r="C110" s="1130"/>
      <c r="D110" s="532"/>
      <c r="E110" s="613"/>
      <c r="F110" s="249"/>
      <c r="G110" s="250"/>
      <c r="H110" s="250"/>
      <c r="I110" s="250"/>
      <c r="J110" s="250"/>
      <c r="K110" s="250"/>
      <c r="L110" s="250"/>
      <c r="M110" s="250"/>
      <c r="N110" s="250"/>
      <c r="O110" s="250"/>
      <c r="P110" s="251"/>
      <c r="Q110" s="251"/>
      <c r="R110" s="251"/>
      <c r="S110" s="251"/>
      <c r="T110" s="251"/>
      <c r="U110" s="133"/>
      <c r="V110" s="1920" t="s">
        <v>1117</v>
      </c>
      <c r="W110" s="1922" t="s">
        <v>1269</v>
      </c>
      <c r="X110" s="1163"/>
      <c r="Y110" s="246">
        <f>IFERROR(ROUNDUP(INDEX('MUD Consumables'!$G$7:$G$14,MATCH(Y$107,'MUD Consumables'!$C$7:$C$14,0))*Y$106*$U$108,0),0)</f>
        <v>7</v>
      </c>
      <c r="Z110" s="1163"/>
      <c r="AA110" s="246">
        <f>IFERROR(ROUNDUP(INDEX('MUD Consumables'!$G$7:$G$14,MATCH(AA$107,'MUD Consumables'!$C$7:$C$14,0))*AA$106*$U$108,0),0)</f>
        <v>14</v>
      </c>
      <c r="AB110" s="1163"/>
      <c r="AC110" s="246">
        <f>IFERROR(ROUNDUP(INDEX('MUD Consumables'!$G$7:$G$14,MATCH(AC$107,'MUD Consumables'!$C$7:$C$14,0))*AC$106*$U$108,0),0)</f>
        <v>26</v>
      </c>
      <c r="AD110" s="1163"/>
      <c r="AE110" s="246">
        <f>IFERROR(ROUNDUP(INDEX('MUD Consumables'!$G$7:$G$14,MATCH(AE$107,'MUD Consumables'!$C$7:$C$14,0))*AE$106*$U$108,0),0)</f>
        <v>24</v>
      </c>
      <c r="AF110" s="1163"/>
      <c r="AG110" s="246">
        <f>IFERROR(ROUNDUP(INDEX('MUD Consumables'!$G$7:$G$14,MATCH(AG$107,'MUD Consumables'!$C$7:$C$14,0))*AG$106*$U$108,0),0)</f>
        <v>33</v>
      </c>
      <c r="AH110" s="1163"/>
      <c r="AI110" s="246">
        <f>IFERROR(ROUNDUP(INDEX('MUD Consumables'!$G$7:$G$14,MATCH(AI$107,'MUD Consumables'!$C$7:$C$14,0))*AI$106*$U$108,0),0)</f>
        <v>0</v>
      </c>
      <c r="AJ110" s="1163"/>
      <c r="AK110" s="246">
        <f>IFERROR(ROUNDUP(INDEX('MUD Consumables'!$G$7:$G$14,MATCH(AK$107,'MUD Consumables'!$C$7:$C$14,0))*AK$106*$U$108,0),0)</f>
        <v>0</v>
      </c>
      <c r="AL110" s="1163"/>
      <c r="AM110" s="1438">
        <f t="shared" si="52"/>
        <v>104</v>
      </c>
      <c r="AN110" s="254"/>
      <c r="AO110" s="249"/>
      <c r="AP110" s="250"/>
      <c r="AQ110" s="250"/>
      <c r="AR110" s="250"/>
      <c r="AS110" s="250"/>
      <c r="AT110" s="250"/>
      <c r="AU110" s="250"/>
      <c r="AV110" s="249"/>
      <c r="AW110" s="249"/>
      <c r="AX110" s="249"/>
      <c r="AY110" s="249"/>
      <c r="AZ110" s="249"/>
      <c r="BA110" s="249"/>
      <c r="BB110" s="249"/>
      <c r="BC110" s="249"/>
      <c r="BD110" s="249"/>
      <c r="BE110" s="249"/>
      <c r="BF110" s="249"/>
      <c r="BG110" s="249"/>
      <c r="BH110" s="249"/>
      <c r="BI110" s="249"/>
      <c r="BJ110" s="249"/>
      <c r="BK110" s="249"/>
      <c r="BL110" s="249"/>
      <c r="BM110" s="249"/>
      <c r="BN110" s="249"/>
      <c r="BO110" s="249"/>
      <c r="BP110" s="249"/>
      <c r="BQ110" s="249"/>
      <c r="BR110" s="249"/>
      <c r="BS110" s="249"/>
      <c r="BT110" s="249"/>
      <c r="BU110" s="249"/>
      <c r="BV110" s="249"/>
      <c r="BW110" s="249"/>
      <c r="BX110" s="249"/>
      <c r="BY110" s="249"/>
      <c r="BZ110" s="249"/>
      <c r="CA110" s="249"/>
      <c r="CB110" s="249"/>
      <c r="CC110" s="249"/>
      <c r="CD110" s="249"/>
      <c r="CE110" s="249"/>
      <c r="CF110" s="249"/>
      <c r="CG110" s="249"/>
      <c r="CH110" s="249"/>
      <c r="CI110" s="249"/>
      <c r="CJ110" s="249"/>
      <c r="CK110" s="249"/>
      <c r="CL110" s="249"/>
      <c r="CM110" s="249"/>
      <c r="CN110" s="249"/>
      <c r="CO110" s="249"/>
      <c r="CP110" s="249"/>
      <c r="CQ110" s="249"/>
      <c r="CR110" s="249"/>
      <c r="CS110" s="249"/>
      <c r="CT110" s="249"/>
      <c r="CU110" s="249"/>
      <c r="CV110" s="249"/>
      <c r="CW110" s="249"/>
      <c r="CX110" s="249"/>
      <c r="CY110" s="249"/>
      <c r="CZ110" s="249"/>
      <c r="DA110" s="249"/>
      <c r="DB110" s="249"/>
      <c r="DC110" s="249"/>
      <c r="DD110" s="249"/>
      <c r="DE110" s="249"/>
      <c r="DF110" s="249"/>
      <c r="DG110" s="249"/>
      <c r="DH110" s="249"/>
      <c r="DI110" s="249"/>
      <c r="DJ110" s="249"/>
      <c r="DK110" s="249"/>
      <c r="DL110" s="249"/>
      <c r="DM110" s="249"/>
      <c r="DN110" s="249"/>
      <c r="DO110" s="249"/>
      <c r="DP110" s="249"/>
      <c r="DQ110" s="249"/>
      <c r="DR110" s="249"/>
      <c r="DS110" s="249"/>
      <c r="DT110" s="249"/>
      <c r="DU110" s="249"/>
      <c r="DV110" s="249"/>
      <c r="DW110" s="249"/>
      <c r="DX110" s="249"/>
      <c r="DY110" s="249"/>
      <c r="DZ110" s="249"/>
      <c r="EA110" s="249"/>
      <c r="EB110" s="249"/>
      <c r="EC110" s="249"/>
      <c r="ED110" s="249"/>
      <c r="EE110" s="249"/>
      <c r="EF110" s="249"/>
      <c r="EG110" s="249"/>
      <c r="EH110" s="249"/>
      <c r="EI110" s="249"/>
      <c r="EJ110" s="249"/>
      <c r="EK110" s="249"/>
      <c r="EL110" s="249"/>
      <c r="EM110" s="249"/>
      <c r="EN110" s="249"/>
      <c r="EO110" s="249"/>
      <c r="EP110" s="249"/>
      <c r="EQ110" s="249"/>
      <c r="ER110" s="249"/>
      <c r="ES110" s="249"/>
      <c r="ET110" s="249"/>
      <c r="EU110" s="249"/>
      <c r="EV110" s="249"/>
      <c r="EW110" s="249"/>
      <c r="EX110" s="249"/>
      <c r="EY110" s="249"/>
      <c r="EZ110" s="249"/>
      <c r="FA110" s="249"/>
      <c r="FB110" s="249"/>
      <c r="FC110" s="249"/>
      <c r="FD110" s="249"/>
      <c r="FE110" s="249"/>
      <c r="FF110" s="249"/>
      <c r="FG110" s="249"/>
      <c r="FH110" s="249"/>
      <c r="FI110" s="249"/>
      <c r="FJ110" s="249"/>
      <c r="FK110" s="249"/>
      <c r="FL110" s="249"/>
      <c r="FM110" s="249"/>
      <c r="FN110" s="249"/>
      <c r="FO110" s="249"/>
      <c r="FP110" s="249"/>
      <c r="FQ110" s="249"/>
      <c r="FR110" s="249"/>
      <c r="FS110" s="249"/>
      <c r="FT110" s="249"/>
      <c r="FU110" s="249"/>
      <c r="FV110" s="249"/>
      <c r="FW110" s="249"/>
      <c r="FX110" s="249"/>
      <c r="FY110" s="249"/>
      <c r="FZ110" s="249"/>
      <c r="GA110" s="249"/>
      <c r="GB110" s="249"/>
      <c r="GC110" s="249"/>
      <c r="GD110" s="249"/>
      <c r="GE110" s="249"/>
      <c r="GF110" s="249"/>
      <c r="GG110" s="249"/>
      <c r="GH110" s="249"/>
      <c r="GI110" s="249"/>
      <c r="GJ110" s="249"/>
      <c r="GK110" s="249"/>
      <c r="GL110" s="249"/>
      <c r="GM110" s="249"/>
      <c r="GN110" s="249"/>
      <c r="GO110" s="249"/>
      <c r="GP110" s="249"/>
      <c r="GQ110" s="249"/>
      <c r="GR110" s="249"/>
    </row>
    <row r="111" spans="1:205" s="252" customFormat="1" ht="12.75" customHeight="1" x14ac:dyDescent="0.2">
      <c r="A111" s="729"/>
      <c r="B111" s="1130"/>
      <c r="C111" s="1130"/>
      <c r="D111" s="532"/>
      <c r="E111" s="613"/>
      <c r="F111" s="249"/>
      <c r="G111" s="250"/>
      <c r="H111" s="250"/>
      <c r="I111" s="250"/>
      <c r="J111" s="250"/>
      <c r="K111" s="250"/>
      <c r="L111" s="250"/>
      <c r="M111" s="250"/>
      <c r="N111" s="250"/>
      <c r="O111" s="250"/>
      <c r="P111" s="251"/>
      <c r="Q111" s="251"/>
      <c r="R111" s="251"/>
      <c r="S111" s="251"/>
      <c r="T111" s="251"/>
      <c r="U111" s="133"/>
      <c r="V111" s="1920" t="s">
        <v>1119</v>
      </c>
      <c r="W111" s="1922" t="s">
        <v>1269</v>
      </c>
      <c r="X111" s="1163"/>
      <c r="Y111" s="246">
        <f>IFERROR(ROUNDUP(INDEX('MUD Consumables'!$H$7:$H$14,MATCH(Y$107,'MUD Consumables'!$C$7:$C$14,0))*Y$106*$U$108,0),0)</f>
        <v>0</v>
      </c>
      <c r="Z111" s="1163"/>
      <c r="AA111" s="246">
        <f>IFERROR(ROUNDUP(INDEX('MUD Consumables'!$H$7:$H$14,MATCH(AA$107,'MUD Consumables'!$C$7:$C$14,0))*AA$106*$U$108,0),0)</f>
        <v>0</v>
      </c>
      <c r="AB111" s="1163"/>
      <c r="AC111" s="246">
        <f>IFERROR(ROUNDUP(INDEX('MUD Consumables'!$H$7:$H$14,MATCH(AC$107,'MUD Consumables'!$C$7:$C$14,0))*AC$106*$U$108,0),0)</f>
        <v>0</v>
      </c>
      <c r="AD111" s="1163"/>
      <c r="AE111" s="246">
        <f>IFERROR(ROUNDUP(INDEX('MUD Consumables'!$H$7:$H$14,MATCH(AE$107,'MUD Consumables'!$C$7:$C$14,0))*AE$106*$U$108,0),0)</f>
        <v>0</v>
      </c>
      <c r="AF111" s="1163"/>
      <c r="AG111" s="246">
        <f>IFERROR(ROUNDUP(INDEX('MUD Consumables'!$H$7:$H$14,MATCH(AG$107,'MUD Consumables'!$C$7:$C$14,0))*AG$106*$U$108,0),0)</f>
        <v>0</v>
      </c>
      <c r="AH111" s="1163"/>
      <c r="AI111" s="246">
        <f>IFERROR(ROUNDUP(INDEX('MUD Consumables'!$H$7:$H$14,MATCH(AI$107,'MUD Consumables'!$C$7:$C$14,0))*AI$106*$U$108,0),0)</f>
        <v>0</v>
      </c>
      <c r="AJ111" s="1163"/>
      <c r="AK111" s="246">
        <f>IFERROR(ROUNDUP(INDEX('MUD Consumables'!$H$7:$H$14,MATCH(AK$107,'MUD Consumables'!$C$7:$C$14,0))*AK$106*$U$108,0),0)</f>
        <v>0</v>
      </c>
      <c r="AL111" s="1163"/>
      <c r="AM111" s="1438">
        <f t="shared" si="52"/>
        <v>0</v>
      </c>
      <c r="AN111" s="254"/>
      <c r="AO111" s="249"/>
      <c r="AP111" s="250"/>
      <c r="AQ111" s="250"/>
      <c r="AR111" s="250"/>
      <c r="AS111" s="250"/>
      <c r="AT111" s="250"/>
      <c r="AU111" s="250"/>
      <c r="AV111" s="249"/>
      <c r="AW111" s="249"/>
      <c r="AX111" s="249"/>
      <c r="AY111" s="249"/>
      <c r="AZ111" s="249"/>
      <c r="BA111" s="249"/>
      <c r="BB111" s="249"/>
      <c r="BC111" s="249"/>
      <c r="BD111" s="249"/>
      <c r="BE111" s="249"/>
      <c r="BF111" s="249"/>
      <c r="BG111" s="249"/>
      <c r="BH111" s="249"/>
      <c r="BI111" s="249"/>
      <c r="BJ111" s="249"/>
      <c r="BK111" s="249"/>
      <c r="BL111" s="249"/>
      <c r="BM111" s="249"/>
      <c r="BN111" s="249"/>
      <c r="BO111" s="249"/>
      <c r="BP111" s="249"/>
      <c r="BQ111" s="249"/>
      <c r="BR111" s="249"/>
      <c r="BS111" s="249"/>
      <c r="BT111" s="249"/>
      <c r="BU111" s="249"/>
      <c r="BV111" s="249"/>
      <c r="BW111" s="249"/>
      <c r="BX111" s="249"/>
      <c r="BY111" s="249"/>
      <c r="BZ111" s="249"/>
      <c r="CA111" s="249"/>
      <c r="CB111" s="249"/>
      <c r="CC111" s="249"/>
      <c r="CD111" s="249"/>
      <c r="CE111" s="249"/>
      <c r="CF111" s="249"/>
      <c r="CG111" s="249"/>
      <c r="CH111" s="249"/>
      <c r="CI111" s="249"/>
      <c r="CJ111" s="249"/>
      <c r="CK111" s="249"/>
      <c r="CL111" s="249"/>
      <c r="CM111" s="249"/>
      <c r="CN111" s="249"/>
      <c r="CO111" s="249"/>
      <c r="CP111" s="249"/>
      <c r="CQ111" s="249"/>
      <c r="CR111" s="249"/>
      <c r="CS111" s="249"/>
      <c r="CT111" s="249"/>
      <c r="CU111" s="249"/>
      <c r="CV111" s="249"/>
      <c r="CW111" s="249"/>
      <c r="CX111" s="249"/>
      <c r="CY111" s="249"/>
      <c r="CZ111" s="249"/>
      <c r="DA111" s="249"/>
      <c r="DB111" s="249"/>
      <c r="DC111" s="249"/>
      <c r="DD111" s="249"/>
      <c r="DE111" s="249"/>
      <c r="DF111" s="249"/>
      <c r="DG111" s="249"/>
      <c r="DH111" s="249"/>
      <c r="DI111" s="249"/>
      <c r="DJ111" s="249"/>
      <c r="DK111" s="249"/>
      <c r="DL111" s="249"/>
      <c r="DM111" s="249"/>
      <c r="DN111" s="249"/>
      <c r="DO111" s="249"/>
      <c r="DP111" s="249"/>
      <c r="DQ111" s="249"/>
      <c r="DR111" s="249"/>
      <c r="DS111" s="249"/>
      <c r="DT111" s="249"/>
      <c r="DU111" s="249"/>
      <c r="DV111" s="249"/>
      <c r="DW111" s="249"/>
      <c r="DX111" s="249"/>
      <c r="DY111" s="249"/>
      <c r="DZ111" s="249"/>
      <c r="EA111" s="249"/>
      <c r="EB111" s="249"/>
      <c r="EC111" s="249"/>
      <c r="ED111" s="249"/>
      <c r="EE111" s="249"/>
      <c r="EF111" s="249"/>
      <c r="EG111" s="249"/>
      <c r="EH111" s="249"/>
      <c r="EI111" s="249"/>
      <c r="EJ111" s="249"/>
      <c r="EK111" s="249"/>
      <c r="EL111" s="249"/>
      <c r="EM111" s="249"/>
      <c r="EN111" s="249"/>
      <c r="EO111" s="249"/>
      <c r="EP111" s="249"/>
      <c r="EQ111" s="249"/>
      <c r="ER111" s="249"/>
      <c r="ES111" s="249"/>
      <c r="ET111" s="249"/>
      <c r="EU111" s="249"/>
      <c r="EV111" s="249"/>
      <c r="EW111" s="249"/>
      <c r="EX111" s="249"/>
      <c r="EY111" s="249"/>
      <c r="EZ111" s="249"/>
      <c r="FA111" s="249"/>
      <c r="FB111" s="249"/>
      <c r="FC111" s="249"/>
      <c r="FD111" s="249"/>
      <c r="FE111" s="249"/>
      <c r="FF111" s="249"/>
      <c r="FG111" s="249"/>
      <c r="FH111" s="249"/>
      <c r="FI111" s="249"/>
      <c r="FJ111" s="249"/>
      <c r="FK111" s="249"/>
      <c r="FL111" s="249"/>
      <c r="FM111" s="249"/>
      <c r="FN111" s="249"/>
      <c r="FO111" s="249"/>
      <c r="FP111" s="249"/>
      <c r="FQ111" s="249"/>
      <c r="FR111" s="249"/>
      <c r="FS111" s="249"/>
      <c r="FT111" s="249"/>
      <c r="FU111" s="249"/>
      <c r="FV111" s="249"/>
      <c r="FW111" s="249"/>
      <c r="FX111" s="249"/>
      <c r="FY111" s="249"/>
      <c r="FZ111" s="249"/>
      <c r="GA111" s="249"/>
      <c r="GB111" s="249"/>
      <c r="GC111" s="249"/>
      <c r="GD111" s="249"/>
      <c r="GE111" s="249"/>
      <c r="GF111" s="249"/>
      <c r="GG111" s="249"/>
      <c r="GH111" s="249"/>
      <c r="GI111" s="249"/>
      <c r="GJ111" s="249"/>
      <c r="GK111" s="249"/>
      <c r="GL111" s="249"/>
      <c r="GM111" s="249"/>
      <c r="GN111" s="249"/>
      <c r="GO111" s="249"/>
      <c r="GP111" s="249"/>
      <c r="GQ111" s="249"/>
      <c r="GR111" s="249"/>
    </row>
    <row r="112" spans="1:205" s="252" customFormat="1" ht="12.75" customHeight="1" x14ac:dyDescent="0.2">
      <c r="A112" s="729"/>
      <c r="B112" s="1130"/>
      <c r="C112" s="1130"/>
      <c r="D112" s="532"/>
      <c r="E112" s="613"/>
      <c r="F112" s="249"/>
      <c r="G112" s="250"/>
      <c r="H112" s="250"/>
      <c r="I112" s="250"/>
      <c r="J112" s="250"/>
      <c r="K112" s="250"/>
      <c r="L112" s="250"/>
      <c r="M112" s="250"/>
      <c r="N112" s="250"/>
      <c r="O112" s="250"/>
      <c r="P112" s="251"/>
      <c r="Q112" s="251"/>
      <c r="R112" s="251"/>
      <c r="S112" s="251"/>
      <c r="T112" s="251"/>
      <c r="U112" s="133"/>
      <c r="V112" s="1920" t="s">
        <v>1124</v>
      </c>
      <c r="W112" s="1922" t="s">
        <v>1270</v>
      </c>
      <c r="X112" s="1163"/>
      <c r="Y112" s="246">
        <f>IFERROR(ROUNDUP(INDEX('MUD Consumables'!$I$7:$I$14,MATCH(Y$107,'MUD Consumables'!$C$7:$C$14,0))*Y$106*$U$108,0),0)</f>
        <v>0</v>
      </c>
      <c r="Z112" s="1163"/>
      <c r="AA112" s="246">
        <f>IFERROR(ROUNDUP(INDEX('MUD Consumables'!$I$7:$I$14,MATCH(AA$107,'MUD Consumables'!$C$7:$C$14,0))*AA$106*$U$108,0),0)</f>
        <v>0</v>
      </c>
      <c r="AB112" s="1163"/>
      <c r="AC112" s="246">
        <f>IFERROR(ROUNDUP(INDEX('MUD Consumables'!$I$7:$I$14,MATCH(AC$107,'MUD Consumables'!$C$7:$C$14,0))*AC$106*$U$108,0),0)</f>
        <v>0</v>
      </c>
      <c r="AD112" s="1163"/>
      <c r="AE112" s="246">
        <f>IFERROR(ROUNDUP(INDEX('MUD Consumables'!$I$7:$I$14,MATCH(AE$107,'MUD Consumables'!$C$7:$C$14,0))*AE$106*$U$108,0),0)</f>
        <v>0</v>
      </c>
      <c r="AF112" s="1163"/>
      <c r="AG112" s="246">
        <f>IFERROR(ROUNDUP(INDEX('MUD Consumables'!$I$7:$I$14,MATCH(AG$107,'MUD Consumables'!$C$7:$C$14,0))*AG$106*$U$108,0),0)</f>
        <v>0</v>
      </c>
      <c r="AH112" s="1163"/>
      <c r="AI112" s="246">
        <f>IFERROR(ROUNDUP(INDEX('MUD Consumables'!$I$7:$I$14,MATCH(AI$107,'MUD Consumables'!$C$7:$C$14,0))*AI$106*$U$108,0),0)</f>
        <v>0</v>
      </c>
      <c r="AJ112" s="1163"/>
      <c r="AK112" s="246">
        <f>IFERROR(ROUNDUP(INDEX('MUD Consumables'!$I$7:$I$14,MATCH(AK$107,'MUD Consumables'!$C$7:$C$14,0))*AK$106*$U$108,0),0)</f>
        <v>0</v>
      </c>
      <c r="AL112" s="1163"/>
      <c r="AM112" s="1438">
        <f t="shared" si="52"/>
        <v>0</v>
      </c>
      <c r="AN112" s="254"/>
      <c r="AO112" s="249"/>
      <c r="AP112" s="250"/>
      <c r="AQ112" s="250"/>
      <c r="AR112" s="250"/>
      <c r="AS112" s="250"/>
      <c r="AT112" s="250"/>
      <c r="AU112" s="250"/>
      <c r="AV112" s="249"/>
      <c r="AW112" s="249"/>
      <c r="AX112" s="249"/>
      <c r="AY112" s="249"/>
      <c r="AZ112" s="249"/>
      <c r="BA112" s="249"/>
      <c r="BB112" s="249"/>
      <c r="BC112" s="249"/>
      <c r="BD112" s="249"/>
      <c r="BE112" s="249"/>
      <c r="BF112" s="249"/>
      <c r="BG112" s="249"/>
      <c r="BH112" s="249"/>
      <c r="BI112" s="249"/>
      <c r="BJ112" s="249"/>
      <c r="BK112" s="249"/>
      <c r="BL112" s="249"/>
      <c r="BM112" s="249"/>
      <c r="BN112" s="249"/>
      <c r="BO112" s="249"/>
      <c r="BP112" s="249"/>
      <c r="BQ112" s="249"/>
      <c r="BR112" s="249"/>
      <c r="BS112" s="249"/>
      <c r="BT112" s="249"/>
      <c r="BU112" s="249"/>
      <c r="BV112" s="249"/>
      <c r="BW112" s="249"/>
      <c r="BX112" s="249"/>
      <c r="BY112" s="249"/>
      <c r="BZ112" s="249"/>
      <c r="CA112" s="249"/>
      <c r="CB112" s="249"/>
      <c r="CC112" s="249"/>
      <c r="CD112" s="249"/>
      <c r="CE112" s="249"/>
      <c r="CF112" s="249"/>
      <c r="CG112" s="249"/>
      <c r="CH112" s="249"/>
      <c r="CI112" s="249"/>
      <c r="CJ112" s="249"/>
      <c r="CK112" s="249"/>
      <c r="CL112" s="249"/>
      <c r="CM112" s="249"/>
      <c r="CN112" s="249"/>
      <c r="CO112" s="249"/>
      <c r="CP112" s="249"/>
      <c r="CQ112" s="249"/>
      <c r="CR112" s="249"/>
      <c r="CS112" s="249"/>
      <c r="CT112" s="249"/>
      <c r="CU112" s="249"/>
      <c r="CV112" s="249"/>
      <c r="CW112" s="249"/>
      <c r="CX112" s="249"/>
      <c r="CY112" s="249"/>
      <c r="CZ112" s="249"/>
      <c r="DA112" s="249"/>
      <c r="DB112" s="249"/>
      <c r="DC112" s="249"/>
      <c r="DD112" s="249"/>
      <c r="DE112" s="249"/>
      <c r="DF112" s="249"/>
      <c r="DG112" s="249"/>
      <c r="DH112" s="249"/>
      <c r="DI112" s="249"/>
      <c r="DJ112" s="249"/>
      <c r="DK112" s="249"/>
      <c r="DL112" s="249"/>
      <c r="DM112" s="249"/>
      <c r="DN112" s="249"/>
      <c r="DO112" s="249"/>
      <c r="DP112" s="249"/>
      <c r="DQ112" s="249"/>
      <c r="DR112" s="249"/>
      <c r="DS112" s="249"/>
      <c r="DT112" s="249"/>
      <c r="DU112" s="249"/>
      <c r="DV112" s="249"/>
      <c r="DW112" s="249"/>
      <c r="DX112" s="249"/>
      <c r="DY112" s="249"/>
      <c r="DZ112" s="249"/>
      <c r="EA112" s="249"/>
      <c r="EB112" s="249"/>
      <c r="EC112" s="249"/>
      <c r="ED112" s="249"/>
      <c r="EE112" s="249"/>
      <c r="EF112" s="249"/>
      <c r="EG112" s="249"/>
      <c r="EH112" s="249"/>
      <c r="EI112" s="249"/>
      <c r="EJ112" s="249"/>
      <c r="EK112" s="249"/>
      <c r="EL112" s="249"/>
      <c r="EM112" s="249"/>
      <c r="EN112" s="249"/>
      <c r="EO112" s="249"/>
      <c r="EP112" s="249"/>
      <c r="EQ112" s="249"/>
      <c r="ER112" s="249"/>
      <c r="ES112" s="249"/>
      <c r="ET112" s="249"/>
      <c r="EU112" s="249"/>
      <c r="EV112" s="249"/>
      <c r="EW112" s="249"/>
      <c r="EX112" s="249"/>
      <c r="EY112" s="249"/>
      <c r="EZ112" s="249"/>
      <c r="FA112" s="249"/>
      <c r="FB112" s="249"/>
      <c r="FC112" s="249"/>
      <c r="FD112" s="249"/>
      <c r="FE112" s="249"/>
      <c r="FF112" s="249"/>
      <c r="FG112" s="249"/>
      <c r="FH112" s="249"/>
      <c r="FI112" s="249"/>
      <c r="FJ112" s="249"/>
      <c r="FK112" s="249"/>
      <c r="FL112" s="249"/>
      <c r="FM112" s="249"/>
      <c r="FN112" s="249"/>
      <c r="FO112" s="249"/>
      <c r="FP112" s="249"/>
      <c r="FQ112" s="249"/>
      <c r="FR112" s="249"/>
      <c r="FS112" s="249"/>
      <c r="FT112" s="249"/>
      <c r="FU112" s="249"/>
      <c r="FV112" s="249"/>
      <c r="FW112" s="249"/>
      <c r="FX112" s="249"/>
      <c r="FY112" s="249"/>
      <c r="FZ112" s="249"/>
      <c r="GA112" s="249"/>
      <c r="GB112" s="249"/>
      <c r="GC112" s="249"/>
      <c r="GD112" s="249"/>
      <c r="GE112" s="249"/>
      <c r="GF112" s="249"/>
      <c r="GG112" s="249"/>
      <c r="GH112" s="249"/>
      <c r="GI112" s="249"/>
      <c r="GJ112" s="249"/>
      <c r="GK112" s="249"/>
      <c r="GL112" s="249"/>
      <c r="GM112" s="249"/>
      <c r="GN112" s="249"/>
      <c r="GO112" s="249"/>
      <c r="GP112" s="249"/>
      <c r="GQ112" s="249"/>
      <c r="GR112" s="249"/>
    </row>
    <row r="113" spans="1:200" s="252" customFormat="1" ht="12.75" customHeight="1" x14ac:dyDescent="0.2">
      <c r="A113" s="729"/>
      <c r="B113" s="1130"/>
      <c r="C113" s="1130"/>
      <c r="D113" s="532"/>
      <c r="E113" s="613"/>
      <c r="F113" s="249"/>
      <c r="G113" s="250"/>
      <c r="H113" s="250"/>
      <c r="I113" s="250"/>
      <c r="J113" s="250"/>
      <c r="K113" s="250"/>
      <c r="L113" s="250"/>
      <c r="M113" s="250"/>
      <c r="N113" s="250"/>
      <c r="O113" s="250"/>
      <c r="P113" s="251"/>
      <c r="Q113" s="251"/>
      <c r="R113" s="251"/>
      <c r="S113" s="251"/>
      <c r="T113" s="251"/>
      <c r="U113" s="133"/>
      <c r="V113" s="1920" t="s">
        <v>1125</v>
      </c>
      <c r="W113" s="1922" t="s">
        <v>1270</v>
      </c>
      <c r="X113" s="1163"/>
      <c r="Y113" s="246">
        <f>IFERROR(ROUNDUP(INDEX('MUD Consumables'!$J$7:$J$14,MATCH(Y$107,'MUD Consumables'!$C$7:$C$14,0))*Y$106*$U$108,0),0)</f>
        <v>0</v>
      </c>
      <c r="Z113" s="1163"/>
      <c r="AA113" s="246">
        <f>IFERROR(ROUNDUP(INDEX('MUD Consumables'!$J$7:$J$14,MATCH(AA$107,'MUD Consumables'!$C$7:$C$14,0))*AA$106*$U$108,0),0)</f>
        <v>0</v>
      </c>
      <c r="AB113" s="1163"/>
      <c r="AC113" s="246">
        <f>IFERROR(ROUNDUP(INDEX('MUD Consumables'!$J$7:$J$14,MATCH(AC$107,'MUD Consumables'!$C$7:$C$14,0))*AC$106*$U$108,0),0)</f>
        <v>0</v>
      </c>
      <c r="AD113" s="1163"/>
      <c r="AE113" s="246">
        <f>IFERROR(ROUNDUP(INDEX('MUD Consumables'!$J$7:$J$14,MATCH(AE$107,'MUD Consumables'!$C$7:$C$14,0))*AE$106*$U$108,0),0)</f>
        <v>0</v>
      </c>
      <c r="AF113" s="1163"/>
      <c r="AG113" s="246">
        <f>IFERROR(ROUNDUP(INDEX('MUD Consumables'!$J$7:$J$14,MATCH(AG$107,'MUD Consumables'!$C$7:$C$14,0))*AG$106*$U$108,0),0)</f>
        <v>0</v>
      </c>
      <c r="AH113" s="1163"/>
      <c r="AI113" s="246">
        <f>IFERROR(ROUNDUP(INDEX('MUD Consumables'!$J$7:$J$14,MATCH(AI$107,'MUD Consumables'!$C$7:$C$14,0))*AI$106*$U$108,0),0)</f>
        <v>0</v>
      </c>
      <c r="AJ113" s="1163"/>
      <c r="AK113" s="246">
        <f>IFERROR(ROUNDUP(INDEX('MUD Consumables'!$J$7:$J$14,MATCH(AK$107,'MUD Consumables'!$C$7:$C$14,0))*AK$106*$U$108,0),0)</f>
        <v>0</v>
      </c>
      <c r="AL113" s="1163"/>
      <c r="AM113" s="1438">
        <f t="shared" si="52"/>
        <v>0</v>
      </c>
      <c r="AN113" s="254"/>
      <c r="AO113" s="249"/>
      <c r="AP113" s="250"/>
      <c r="AQ113" s="250"/>
      <c r="AR113" s="250"/>
      <c r="AS113" s="250"/>
      <c r="AT113" s="250"/>
      <c r="AU113" s="250"/>
      <c r="AV113" s="249"/>
      <c r="AW113" s="249"/>
      <c r="AX113" s="249"/>
      <c r="AY113" s="249"/>
      <c r="AZ113" s="249"/>
      <c r="BA113" s="249"/>
      <c r="BB113" s="249"/>
      <c r="BC113" s="249"/>
      <c r="BD113" s="249"/>
      <c r="BE113" s="249"/>
      <c r="BF113" s="249"/>
      <c r="BG113" s="249"/>
      <c r="BH113" s="249"/>
      <c r="BI113" s="249"/>
      <c r="BJ113" s="249"/>
      <c r="BK113" s="249"/>
      <c r="BL113" s="249"/>
      <c r="BM113" s="249"/>
      <c r="BN113" s="249"/>
      <c r="BO113" s="249"/>
      <c r="BP113" s="249"/>
      <c r="BQ113" s="249"/>
      <c r="BR113" s="249"/>
      <c r="BS113" s="249"/>
      <c r="BT113" s="249"/>
      <c r="BU113" s="249"/>
      <c r="BV113" s="249"/>
      <c r="BW113" s="249"/>
      <c r="BX113" s="249"/>
      <c r="BY113" s="249"/>
      <c r="BZ113" s="249"/>
      <c r="CA113" s="249"/>
      <c r="CB113" s="249"/>
      <c r="CC113" s="249"/>
      <c r="CD113" s="249"/>
      <c r="CE113" s="249"/>
      <c r="CF113" s="249"/>
      <c r="CG113" s="249"/>
      <c r="CH113" s="249"/>
      <c r="CI113" s="249"/>
      <c r="CJ113" s="249"/>
      <c r="CK113" s="249"/>
      <c r="CL113" s="249"/>
      <c r="CM113" s="249"/>
      <c r="CN113" s="249"/>
      <c r="CO113" s="249"/>
      <c r="CP113" s="249"/>
      <c r="CQ113" s="249"/>
      <c r="CR113" s="249"/>
      <c r="CS113" s="249"/>
      <c r="CT113" s="249"/>
      <c r="CU113" s="249"/>
      <c r="CV113" s="249"/>
      <c r="CW113" s="249"/>
      <c r="CX113" s="249"/>
      <c r="CY113" s="249"/>
      <c r="CZ113" s="249"/>
      <c r="DA113" s="249"/>
      <c r="DB113" s="249"/>
      <c r="DC113" s="249"/>
      <c r="DD113" s="249"/>
      <c r="DE113" s="249"/>
      <c r="DF113" s="249"/>
      <c r="DG113" s="249"/>
      <c r="DH113" s="249"/>
      <c r="DI113" s="249"/>
      <c r="DJ113" s="249"/>
      <c r="DK113" s="249"/>
      <c r="DL113" s="249"/>
      <c r="DM113" s="249"/>
      <c r="DN113" s="249"/>
      <c r="DO113" s="249"/>
      <c r="DP113" s="249"/>
      <c r="DQ113" s="249"/>
      <c r="DR113" s="249"/>
      <c r="DS113" s="249"/>
      <c r="DT113" s="249"/>
      <c r="DU113" s="249"/>
      <c r="DV113" s="249"/>
      <c r="DW113" s="249"/>
      <c r="DX113" s="249"/>
      <c r="DY113" s="249"/>
      <c r="DZ113" s="249"/>
      <c r="EA113" s="249"/>
      <c r="EB113" s="249"/>
      <c r="EC113" s="249"/>
      <c r="ED113" s="249"/>
      <c r="EE113" s="249"/>
      <c r="EF113" s="249"/>
      <c r="EG113" s="249"/>
      <c r="EH113" s="249"/>
      <c r="EI113" s="249"/>
      <c r="EJ113" s="249"/>
      <c r="EK113" s="249"/>
      <c r="EL113" s="249"/>
      <c r="EM113" s="249"/>
      <c r="EN113" s="249"/>
      <c r="EO113" s="249"/>
      <c r="EP113" s="249"/>
      <c r="EQ113" s="249"/>
      <c r="ER113" s="249"/>
      <c r="ES113" s="249"/>
      <c r="ET113" s="249"/>
      <c r="EU113" s="249"/>
      <c r="EV113" s="249"/>
      <c r="EW113" s="249"/>
      <c r="EX113" s="249"/>
      <c r="EY113" s="249"/>
      <c r="EZ113" s="249"/>
      <c r="FA113" s="249"/>
      <c r="FB113" s="249"/>
      <c r="FC113" s="249"/>
      <c r="FD113" s="249"/>
      <c r="FE113" s="249"/>
      <c r="FF113" s="249"/>
      <c r="FG113" s="249"/>
      <c r="FH113" s="249"/>
      <c r="FI113" s="249"/>
      <c r="FJ113" s="249"/>
      <c r="FK113" s="249"/>
      <c r="FL113" s="249"/>
      <c r="FM113" s="249"/>
      <c r="FN113" s="249"/>
      <c r="FO113" s="249"/>
      <c r="FP113" s="249"/>
      <c r="FQ113" s="249"/>
      <c r="FR113" s="249"/>
      <c r="FS113" s="249"/>
      <c r="FT113" s="249"/>
      <c r="FU113" s="249"/>
      <c r="FV113" s="249"/>
      <c r="FW113" s="249"/>
      <c r="FX113" s="249"/>
      <c r="FY113" s="249"/>
      <c r="FZ113" s="249"/>
      <c r="GA113" s="249"/>
      <c r="GB113" s="249"/>
      <c r="GC113" s="249"/>
      <c r="GD113" s="249"/>
      <c r="GE113" s="249"/>
      <c r="GF113" s="249"/>
      <c r="GG113" s="249"/>
      <c r="GH113" s="249"/>
      <c r="GI113" s="249"/>
      <c r="GJ113" s="249"/>
      <c r="GK113" s="249"/>
      <c r="GL113" s="249"/>
      <c r="GM113" s="249"/>
      <c r="GN113" s="249"/>
      <c r="GO113" s="249"/>
      <c r="GP113" s="249"/>
      <c r="GQ113" s="249"/>
      <c r="GR113" s="249"/>
    </row>
    <row r="114" spans="1:200" s="252" customFormat="1" ht="12.75" customHeight="1" x14ac:dyDescent="0.2">
      <c r="A114" s="729"/>
      <c r="B114" s="1130"/>
      <c r="C114" s="1130"/>
      <c r="D114" s="532"/>
      <c r="E114" s="613"/>
      <c r="F114" s="249"/>
      <c r="G114" s="250"/>
      <c r="H114" s="250"/>
      <c r="I114" s="250"/>
      <c r="J114" s="250"/>
      <c r="K114" s="250"/>
      <c r="L114" s="250"/>
      <c r="M114" s="250"/>
      <c r="N114" s="250"/>
      <c r="O114" s="250"/>
      <c r="P114" s="251"/>
      <c r="Q114" s="251"/>
      <c r="R114" s="251"/>
      <c r="S114" s="251"/>
      <c r="T114" s="251"/>
      <c r="U114" s="133"/>
      <c r="V114" s="1920" t="s">
        <v>1256</v>
      </c>
      <c r="W114" s="1922" t="s">
        <v>1270</v>
      </c>
      <c r="X114" s="1163"/>
      <c r="Y114" s="246">
        <f>IFERROR(ROUNDUP(INDEX('MUD Consumables'!$K$7:$K$14,MATCH(Y$107,'MUD Consumables'!$C$7:$C$14,0))*Y$106*$U$108,0),0)</f>
        <v>0</v>
      </c>
      <c r="Z114" s="1163"/>
      <c r="AA114" s="246">
        <f>IFERROR(ROUNDUP(INDEX('MUD Consumables'!$K$7:$K$14,MATCH(AA$107,'MUD Consumables'!$C$7:$C$14,0))*AA$106*$U$108,0),0)</f>
        <v>0</v>
      </c>
      <c r="AB114" s="1163"/>
      <c r="AC114" s="246">
        <f>IFERROR(ROUNDUP(INDEX('MUD Consumables'!$K$7:$K$14,MATCH(AC$107,'MUD Consumables'!$C$7:$C$14,0))*AC$106*$U$108,0),0)</f>
        <v>4</v>
      </c>
      <c r="AD114" s="1163"/>
      <c r="AE114" s="246">
        <f>IFERROR(ROUNDUP(INDEX('MUD Consumables'!$K$7:$K$14,MATCH(AE$107,'MUD Consumables'!$C$7:$C$14,0))*AE$106*$U$108,0),0)</f>
        <v>1</v>
      </c>
      <c r="AF114" s="1163"/>
      <c r="AG114" s="246">
        <f>IFERROR(ROUNDUP(INDEX('MUD Consumables'!$K$7:$K$14,MATCH(AG$107,'MUD Consumables'!$C$7:$C$14,0))*AG$106*$U$108,0),0)</f>
        <v>2</v>
      </c>
      <c r="AH114" s="1163"/>
      <c r="AI114" s="246">
        <f>IFERROR(ROUNDUP(INDEX('MUD Consumables'!$K$7:$K$14,MATCH(AI$107,'MUD Consumables'!$C$7:$C$14,0))*AI$106*$U$108,0),0)</f>
        <v>0</v>
      </c>
      <c r="AJ114" s="1163"/>
      <c r="AK114" s="246">
        <f>IFERROR(ROUNDUP(INDEX('MUD Consumables'!$K$7:$K$14,MATCH(AK$107,'MUD Consumables'!$C$7:$C$14,0))*AK$106*$U$108,0),0)</f>
        <v>0</v>
      </c>
      <c r="AL114" s="1163"/>
      <c r="AM114" s="1438">
        <f t="shared" si="52"/>
        <v>7</v>
      </c>
      <c r="AN114" s="254"/>
      <c r="AO114" s="249"/>
      <c r="AP114" s="250"/>
      <c r="AQ114" s="250"/>
      <c r="AR114" s="250"/>
      <c r="AS114" s="250"/>
      <c r="AT114" s="250"/>
      <c r="AU114" s="250"/>
      <c r="AV114" s="249"/>
      <c r="AW114" s="249"/>
      <c r="AX114" s="249"/>
      <c r="AY114" s="249"/>
      <c r="AZ114" s="249"/>
      <c r="BA114" s="249"/>
      <c r="BB114" s="249"/>
      <c r="BC114" s="249"/>
      <c r="BD114" s="249"/>
      <c r="BE114" s="249"/>
      <c r="BF114" s="249"/>
      <c r="BG114" s="249"/>
      <c r="BH114" s="249"/>
      <c r="BI114" s="249"/>
      <c r="BJ114" s="249"/>
      <c r="BK114" s="249"/>
      <c r="BL114" s="249"/>
      <c r="BM114" s="249"/>
      <c r="BN114" s="249"/>
      <c r="BO114" s="249"/>
      <c r="BP114" s="249"/>
      <c r="BQ114" s="249"/>
      <c r="BR114" s="249"/>
      <c r="BS114" s="249"/>
      <c r="BT114" s="249"/>
      <c r="BU114" s="249"/>
      <c r="BV114" s="249"/>
      <c r="BW114" s="249"/>
      <c r="BX114" s="249"/>
      <c r="BY114" s="249"/>
      <c r="BZ114" s="249"/>
      <c r="CA114" s="249"/>
      <c r="CB114" s="249"/>
      <c r="CC114" s="249"/>
      <c r="CD114" s="249"/>
      <c r="CE114" s="249"/>
      <c r="CF114" s="249"/>
      <c r="CG114" s="249"/>
      <c r="CH114" s="249"/>
      <c r="CI114" s="249"/>
      <c r="CJ114" s="249"/>
      <c r="CK114" s="249"/>
      <c r="CL114" s="249"/>
      <c r="CM114" s="249"/>
      <c r="CN114" s="249"/>
      <c r="CO114" s="249"/>
      <c r="CP114" s="249"/>
      <c r="CQ114" s="249"/>
      <c r="CR114" s="249"/>
      <c r="CS114" s="249"/>
      <c r="CT114" s="249"/>
      <c r="CU114" s="249"/>
      <c r="CV114" s="249"/>
      <c r="CW114" s="249"/>
      <c r="CX114" s="249"/>
      <c r="CY114" s="249"/>
      <c r="CZ114" s="249"/>
      <c r="DA114" s="249"/>
      <c r="DB114" s="249"/>
      <c r="DC114" s="249"/>
      <c r="DD114" s="249"/>
      <c r="DE114" s="249"/>
      <c r="DF114" s="249"/>
      <c r="DG114" s="249"/>
      <c r="DH114" s="249"/>
      <c r="DI114" s="249"/>
      <c r="DJ114" s="249"/>
      <c r="DK114" s="249"/>
      <c r="DL114" s="249"/>
      <c r="DM114" s="249"/>
      <c r="DN114" s="249"/>
      <c r="DO114" s="249"/>
      <c r="DP114" s="249"/>
      <c r="DQ114" s="249"/>
      <c r="DR114" s="249"/>
      <c r="DS114" s="249"/>
      <c r="DT114" s="249"/>
      <c r="DU114" s="249"/>
      <c r="DV114" s="249"/>
      <c r="DW114" s="249"/>
      <c r="DX114" s="249"/>
      <c r="DY114" s="249"/>
      <c r="DZ114" s="249"/>
      <c r="EA114" s="249"/>
      <c r="EB114" s="249"/>
      <c r="EC114" s="249"/>
      <c r="ED114" s="249"/>
      <c r="EE114" s="249"/>
      <c r="EF114" s="249"/>
      <c r="EG114" s="249"/>
      <c r="EH114" s="249"/>
      <c r="EI114" s="249"/>
      <c r="EJ114" s="249"/>
      <c r="EK114" s="249"/>
      <c r="EL114" s="249"/>
      <c r="EM114" s="249"/>
      <c r="EN114" s="249"/>
      <c r="EO114" s="249"/>
      <c r="EP114" s="249"/>
      <c r="EQ114" s="249"/>
      <c r="ER114" s="249"/>
      <c r="ES114" s="249"/>
      <c r="ET114" s="249"/>
      <c r="EU114" s="249"/>
      <c r="EV114" s="249"/>
      <c r="EW114" s="249"/>
      <c r="EX114" s="249"/>
      <c r="EY114" s="249"/>
      <c r="EZ114" s="249"/>
      <c r="FA114" s="249"/>
      <c r="FB114" s="249"/>
      <c r="FC114" s="249"/>
      <c r="FD114" s="249"/>
      <c r="FE114" s="249"/>
      <c r="FF114" s="249"/>
      <c r="FG114" s="249"/>
      <c r="FH114" s="249"/>
      <c r="FI114" s="249"/>
      <c r="FJ114" s="249"/>
      <c r="FK114" s="249"/>
      <c r="FL114" s="249"/>
      <c r="FM114" s="249"/>
      <c r="FN114" s="249"/>
      <c r="FO114" s="249"/>
      <c r="FP114" s="249"/>
      <c r="FQ114" s="249"/>
      <c r="FR114" s="249"/>
      <c r="FS114" s="249"/>
      <c r="FT114" s="249"/>
      <c r="FU114" s="249"/>
      <c r="FV114" s="249"/>
      <c r="FW114" s="249"/>
      <c r="FX114" s="249"/>
      <c r="FY114" s="249"/>
      <c r="FZ114" s="249"/>
      <c r="GA114" s="249"/>
      <c r="GB114" s="249"/>
      <c r="GC114" s="249"/>
      <c r="GD114" s="249"/>
      <c r="GE114" s="249"/>
      <c r="GF114" s="249"/>
      <c r="GG114" s="249"/>
      <c r="GH114" s="249"/>
      <c r="GI114" s="249"/>
      <c r="GJ114" s="249"/>
      <c r="GK114" s="249"/>
      <c r="GL114" s="249"/>
      <c r="GM114" s="249"/>
      <c r="GN114" s="249"/>
      <c r="GO114" s="249"/>
      <c r="GP114" s="249"/>
      <c r="GQ114" s="249"/>
      <c r="GR114" s="249"/>
    </row>
    <row r="115" spans="1:200" s="252" customFormat="1" ht="12.75" customHeight="1" x14ac:dyDescent="0.2">
      <c r="A115" s="729"/>
      <c r="B115" s="1130"/>
      <c r="C115" s="1130"/>
      <c r="D115" s="532"/>
      <c r="E115" s="613"/>
      <c r="F115" s="249"/>
      <c r="G115" s="250"/>
      <c r="H115" s="250"/>
      <c r="I115" s="250"/>
      <c r="J115" s="250"/>
      <c r="K115" s="250"/>
      <c r="L115" s="250"/>
      <c r="M115" s="250"/>
      <c r="N115" s="250"/>
      <c r="O115" s="250"/>
      <c r="P115" s="251"/>
      <c r="Q115" s="251"/>
      <c r="R115" s="251"/>
      <c r="S115" s="251"/>
      <c r="T115" s="251"/>
      <c r="U115" s="133"/>
      <c r="V115" s="1920" t="s">
        <v>1123</v>
      </c>
      <c r="W115" s="1922" t="s">
        <v>1270</v>
      </c>
      <c r="X115" s="1163"/>
      <c r="Y115" s="246">
        <f>IFERROR(ROUNDUP(INDEX('MUD Consumables'!$L$7:$L$14,MATCH(Y$107,'MUD Consumables'!$C$7:$C$14,0))*Y$106*$U$108,0),0)</f>
        <v>0</v>
      </c>
      <c r="Z115" s="1163"/>
      <c r="AA115" s="246">
        <f>IFERROR(ROUNDUP(INDEX('MUD Consumables'!$L$7:$L$14,MATCH(AA$107,'MUD Consumables'!$C$7:$C$14,0))*AA$106*$U$108,0),0)</f>
        <v>0</v>
      </c>
      <c r="AB115" s="1163"/>
      <c r="AC115" s="246">
        <f>IFERROR(ROUNDUP(INDEX('MUD Consumables'!$L$7:$L$14,MATCH(AC$107,'MUD Consumables'!$C$7:$C$14,0))*AC$106*$U$108,0),0)</f>
        <v>0</v>
      </c>
      <c r="AD115" s="1163"/>
      <c r="AE115" s="246">
        <f>IFERROR(ROUNDUP(INDEX('MUD Consumables'!$L$7:$L$14,MATCH(AE$107,'MUD Consumables'!$C$7:$C$14,0))*AE$106*$U$108,0),0)</f>
        <v>4</v>
      </c>
      <c r="AF115" s="1163"/>
      <c r="AG115" s="246">
        <f>IFERROR(ROUNDUP(INDEX('MUD Consumables'!$L$7:$L$14,MATCH(AG$107,'MUD Consumables'!$C$7:$C$14,0))*AG$106*$U$108,0),0)</f>
        <v>0</v>
      </c>
      <c r="AH115" s="1163"/>
      <c r="AI115" s="246">
        <f>IFERROR(ROUNDUP(INDEX('MUD Consumables'!$L$7:$L$14,MATCH(AI$107,'MUD Consumables'!$C$7:$C$14,0))*AI$106*$U$108,0),0)</f>
        <v>0</v>
      </c>
      <c r="AJ115" s="1163"/>
      <c r="AK115" s="246">
        <f>IFERROR(ROUNDUP(INDEX('MUD Consumables'!$L$7:$L$14,MATCH(AK$107,'MUD Consumables'!$C$7:$C$14,0))*AK$106*$U$108,0),0)</f>
        <v>0</v>
      </c>
      <c r="AL115" s="1163"/>
      <c r="AM115" s="1438">
        <f t="shared" si="52"/>
        <v>4</v>
      </c>
      <c r="AN115" s="254"/>
      <c r="AO115" s="249"/>
      <c r="AP115" s="250"/>
      <c r="AQ115" s="250"/>
      <c r="AR115" s="250"/>
      <c r="AS115" s="250"/>
      <c r="AT115" s="250"/>
      <c r="AU115" s="250"/>
      <c r="AV115" s="249"/>
      <c r="AW115" s="249"/>
      <c r="AX115" s="249"/>
      <c r="AY115" s="249"/>
      <c r="AZ115" s="249"/>
      <c r="BA115" s="249"/>
      <c r="BB115" s="249"/>
      <c r="BC115" s="249"/>
      <c r="BD115" s="249"/>
      <c r="BE115" s="249"/>
      <c r="BF115" s="249"/>
      <c r="BG115" s="249"/>
      <c r="BH115" s="249"/>
      <c r="BI115" s="249"/>
      <c r="BJ115" s="249"/>
      <c r="BK115" s="249"/>
      <c r="BL115" s="249"/>
      <c r="BM115" s="249"/>
      <c r="BN115" s="249"/>
      <c r="BO115" s="249"/>
      <c r="BP115" s="249"/>
      <c r="BQ115" s="249"/>
      <c r="BR115" s="249"/>
      <c r="BS115" s="249"/>
      <c r="BT115" s="249"/>
      <c r="BU115" s="249"/>
      <c r="BV115" s="249"/>
      <c r="BW115" s="249"/>
      <c r="BX115" s="249"/>
      <c r="BY115" s="249"/>
      <c r="BZ115" s="249"/>
      <c r="CA115" s="249"/>
      <c r="CB115" s="249"/>
      <c r="CC115" s="249"/>
      <c r="CD115" s="249"/>
      <c r="CE115" s="249"/>
      <c r="CF115" s="249"/>
      <c r="CG115" s="249"/>
      <c r="CH115" s="249"/>
      <c r="CI115" s="249"/>
      <c r="CJ115" s="249"/>
      <c r="CK115" s="249"/>
      <c r="CL115" s="249"/>
      <c r="CM115" s="249"/>
      <c r="CN115" s="249"/>
      <c r="CO115" s="249"/>
      <c r="CP115" s="249"/>
      <c r="CQ115" s="249"/>
      <c r="CR115" s="249"/>
      <c r="CS115" s="249"/>
      <c r="CT115" s="249"/>
      <c r="CU115" s="249"/>
      <c r="CV115" s="249"/>
      <c r="CW115" s="249"/>
      <c r="CX115" s="249"/>
      <c r="CY115" s="249"/>
      <c r="CZ115" s="249"/>
      <c r="DA115" s="249"/>
      <c r="DB115" s="249"/>
      <c r="DC115" s="249"/>
      <c r="DD115" s="249"/>
      <c r="DE115" s="249"/>
      <c r="DF115" s="249"/>
      <c r="DG115" s="249"/>
      <c r="DH115" s="249"/>
      <c r="DI115" s="249"/>
      <c r="DJ115" s="249"/>
      <c r="DK115" s="249"/>
      <c r="DL115" s="249"/>
      <c r="DM115" s="249"/>
      <c r="DN115" s="249"/>
      <c r="DO115" s="249"/>
      <c r="DP115" s="249"/>
      <c r="DQ115" s="249"/>
      <c r="DR115" s="249"/>
      <c r="DS115" s="249"/>
      <c r="DT115" s="249"/>
      <c r="DU115" s="249"/>
      <c r="DV115" s="249"/>
      <c r="DW115" s="249"/>
      <c r="DX115" s="249"/>
      <c r="DY115" s="249"/>
      <c r="DZ115" s="249"/>
      <c r="EA115" s="249"/>
      <c r="EB115" s="249"/>
      <c r="EC115" s="249"/>
      <c r="ED115" s="249"/>
      <c r="EE115" s="249"/>
      <c r="EF115" s="249"/>
      <c r="EG115" s="249"/>
      <c r="EH115" s="249"/>
      <c r="EI115" s="249"/>
      <c r="EJ115" s="249"/>
      <c r="EK115" s="249"/>
      <c r="EL115" s="249"/>
      <c r="EM115" s="249"/>
      <c r="EN115" s="249"/>
      <c r="EO115" s="249"/>
      <c r="EP115" s="249"/>
      <c r="EQ115" s="249"/>
      <c r="ER115" s="249"/>
      <c r="ES115" s="249"/>
      <c r="ET115" s="249"/>
      <c r="EU115" s="249"/>
      <c r="EV115" s="249"/>
      <c r="EW115" s="249"/>
      <c r="EX115" s="249"/>
      <c r="EY115" s="249"/>
      <c r="EZ115" s="249"/>
      <c r="FA115" s="249"/>
      <c r="FB115" s="249"/>
      <c r="FC115" s="249"/>
      <c r="FD115" s="249"/>
      <c r="FE115" s="249"/>
      <c r="FF115" s="249"/>
      <c r="FG115" s="249"/>
      <c r="FH115" s="249"/>
      <c r="FI115" s="249"/>
      <c r="FJ115" s="249"/>
      <c r="FK115" s="249"/>
      <c r="FL115" s="249"/>
      <c r="FM115" s="249"/>
      <c r="FN115" s="249"/>
      <c r="FO115" s="249"/>
      <c r="FP115" s="249"/>
      <c r="FQ115" s="249"/>
      <c r="FR115" s="249"/>
      <c r="FS115" s="249"/>
      <c r="FT115" s="249"/>
      <c r="FU115" s="249"/>
      <c r="FV115" s="249"/>
      <c r="FW115" s="249"/>
      <c r="FX115" s="249"/>
      <c r="FY115" s="249"/>
      <c r="FZ115" s="249"/>
      <c r="GA115" s="249"/>
      <c r="GB115" s="249"/>
      <c r="GC115" s="249"/>
      <c r="GD115" s="249"/>
      <c r="GE115" s="249"/>
      <c r="GF115" s="249"/>
      <c r="GG115" s="249"/>
      <c r="GH115" s="249"/>
      <c r="GI115" s="249"/>
      <c r="GJ115" s="249"/>
      <c r="GK115" s="249"/>
      <c r="GL115" s="249"/>
      <c r="GM115" s="249"/>
      <c r="GN115" s="249"/>
      <c r="GO115" s="249"/>
      <c r="GP115" s="249"/>
      <c r="GQ115" s="249"/>
      <c r="GR115" s="249"/>
    </row>
    <row r="116" spans="1:200" s="252" customFormat="1" ht="12.75" customHeight="1" x14ac:dyDescent="0.2">
      <c r="A116" s="729"/>
      <c r="B116" s="1130"/>
      <c r="C116" s="1130"/>
      <c r="D116" s="532"/>
      <c r="E116" s="613"/>
      <c r="F116" s="249"/>
      <c r="G116" s="250"/>
      <c r="H116" s="250"/>
      <c r="I116" s="250"/>
      <c r="J116" s="250"/>
      <c r="K116" s="250"/>
      <c r="L116" s="250"/>
      <c r="M116" s="250"/>
      <c r="N116" s="250"/>
      <c r="O116" s="250"/>
      <c r="P116" s="251"/>
      <c r="Q116" s="251"/>
      <c r="R116" s="251"/>
      <c r="S116" s="251"/>
      <c r="T116" s="251"/>
      <c r="U116" s="133"/>
      <c r="V116" s="1920" t="s">
        <v>1126</v>
      </c>
      <c r="W116" s="1922" t="s">
        <v>1269</v>
      </c>
      <c r="X116" s="1163"/>
      <c r="Y116" s="246">
        <f>IFERROR(ROUNDUP(INDEX('MUD Consumables'!$M$7:$M$14,MATCH(Y$107,'MUD Consumables'!$C$7:$C$14,0))*Y$106*$U$108,0),0)</f>
        <v>6</v>
      </c>
      <c r="Z116" s="1163"/>
      <c r="AA116" s="246">
        <f>IFERROR(ROUNDUP(INDEX('MUD Consumables'!$M$7:$M$14,MATCH(AA$107,'MUD Consumables'!$C$7:$C$14,0))*AA$106*$U$108,0),0)</f>
        <v>6</v>
      </c>
      <c r="AB116" s="1163"/>
      <c r="AC116" s="246">
        <f>IFERROR(ROUNDUP(INDEX('MUD Consumables'!$M$7:$M$14,MATCH(AC$107,'MUD Consumables'!$C$7:$C$14,0))*AC$106*$U$108,0),0)</f>
        <v>22</v>
      </c>
      <c r="AD116" s="1163"/>
      <c r="AE116" s="246">
        <f>IFERROR(ROUNDUP(INDEX('MUD Consumables'!$M$7:$M$14,MATCH(AE$107,'MUD Consumables'!$C$7:$C$14,0))*AE$106*$U$108,0),0)</f>
        <v>44</v>
      </c>
      <c r="AF116" s="1163"/>
      <c r="AG116" s="246">
        <f>IFERROR(ROUNDUP(INDEX('MUD Consumables'!$M$7:$M$14,MATCH(AG$107,'MUD Consumables'!$C$7:$C$14,0))*AG$106*$U$108,0),0)</f>
        <v>50</v>
      </c>
      <c r="AH116" s="1163"/>
      <c r="AI116" s="246">
        <f>IFERROR(ROUNDUP(INDEX('MUD Consumables'!$M$7:$M$14,MATCH(AI$107,'MUD Consumables'!$C$7:$C$14,0))*AI$106*$U$108,0),0)</f>
        <v>0</v>
      </c>
      <c r="AJ116" s="1163"/>
      <c r="AK116" s="246">
        <f>IFERROR(ROUNDUP(INDEX('MUD Consumables'!$M$7:$M$14,MATCH(AK$107,'MUD Consumables'!$C$7:$C$14,0))*AK$106*$U$108,0),0)</f>
        <v>0</v>
      </c>
      <c r="AL116" s="1163"/>
      <c r="AM116" s="1438">
        <f t="shared" si="52"/>
        <v>128</v>
      </c>
      <c r="AN116" s="254"/>
      <c r="AO116" s="249"/>
      <c r="AP116" s="250"/>
      <c r="AQ116" s="250"/>
      <c r="AR116" s="250"/>
      <c r="AS116" s="250"/>
      <c r="AT116" s="250"/>
      <c r="AU116" s="250"/>
      <c r="AV116" s="249"/>
      <c r="AW116" s="249"/>
      <c r="AX116" s="249"/>
      <c r="AY116" s="249"/>
      <c r="AZ116" s="249"/>
      <c r="BA116" s="249"/>
      <c r="BB116" s="249"/>
      <c r="BC116" s="249"/>
      <c r="BD116" s="249"/>
      <c r="BE116" s="249"/>
      <c r="BF116" s="249"/>
      <c r="BG116" s="249"/>
      <c r="BH116" s="249"/>
      <c r="BI116" s="249"/>
      <c r="BJ116" s="249"/>
      <c r="BK116" s="249"/>
      <c r="BL116" s="249"/>
      <c r="BM116" s="249"/>
      <c r="BN116" s="249"/>
      <c r="BO116" s="249"/>
      <c r="BP116" s="249"/>
      <c r="BQ116" s="249"/>
      <c r="BR116" s="249"/>
      <c r="BS116" s="249"/>
      <c r="BT116" s="249"/>
      <c r="BU116" s="249"/>
      <c r="BV116" s="249"/>
      <c r="BW116" s="249"/>
      <c r="BX116" s="249"/>
      <c r="BY116" s="249"/>
      <c r="BZ116" s="249"/>
      <c r="CA116" s="249"/>
      <c r="CB116" s="249"/>
      <c r="CC116" s="249"/>
      <c r="CD116" s="249"/>
      <c r="CE116" s="249"/>
      <c r="CF116" s="249"/>
      <c r="CG116" s="249"/>
      <c r="CH116" s="249"/>
      <c r="CI116" s="249"/>
      <c r="CJ116" s="249"/>
      <c r="CK116" s="249"/>
      <c r="CL116" s="249"/>
      <c r="CM116" s="249"/>
      <c r="CN116" s="249"/>
      <c r="CO116" s="249"/>
      <c r="CP116" s="249"/>
      <c r="CQ116" s="249"/>
      <c r="CR116" s="249"/>
      <c r="CS116" s="249"/>
      <c r="CT116" s="249"/>
      <c r="CU116" s="249"/>
      <c r="CV116" s="249"/>
      <c r="CW116" s="249"/>
      <c r="CX116" s="249"/>
      <c r="CY116" s="249"/>
      <c r="CZ116" s="249"/>
      <c r="DA116" s="249"/>
      <c r="DB116" s="249"/>
      <c r="DC116" s="249"/>
      <c r="DD116" s="249"/>
      <c r="DE116" s="249"/>
      <c r="DF116" s="249"/>
      <c r="DG116" s="249"/>
      <c r="DH116" s="249"/>
      <c r="DI116" s="249"/>
      <c r="DJ116" s="249"/>
      <c r="DK116" s="249"/>
      <c r="DL116" s="249"/>
      <c r="DM116" s="249"/>
      <c r="DN116" s="249"/>
      <c r="DO116" s="249"/>
      <c r="DP116" s="249"/>
      <c r="DQ116" s="249"/>
      <c r="DR116" s="249"/>
      <c r="DS116" s="249"/>
      <c r="DT116" s="249"/>
      <c r="DU116" s="249"/>
      <c r="DV116" s="249"/>
      <c r="DW116" s="249"/>
      <c r="DX116" s="249"/>
      <c r="DY116" s="249"/>
      <c r="DZ116" s="249"/>
      <c r="EA116" s="249"/>
      <c r="EB116" s="249"/>
      <c r="EC116" s="249"/>
      <c r="ED116" s="249"/>
      <c r="EE116" s="249"/>
      <c r="EF116" s="249"/>
      <c r="EG116" s="249"/>
      <c r="EH116" s="249"/>
      <c r="EI116" s="249"/>
      <c r="EJ116" s="249"/>
      <c r="EK116" s="249"/>
      <c r="EL116" s="249"/>
      <c r="EM116" s="249"/>
      <c r="EN116" s="249"/>
      <c r="EO116" s="249"/>
      <c r="EP116" s="249"/>
      <c r="EQ116" s="249"/>
      <c r="ER116" s="249"/>
      <c r="ES116" s="249"/>
      <c r="ET116" s="249"/>
      <c r="EU116" s="249"/>
      <c r="EV116" s="249"/>
      <c r="EW116" s="249"/>
      <c r="EX116" s="249"/>
      <c r="EY116" s="249"/>
      <c r="EZ116" s="249"/>
      <c r="FA116" s="249"/>
      <c r="FB116" s="249"/>
      <c r="FC116" s="249"/>
      <c r="FD116" s="249"/>
      <c r="FE116" s="249"/>
      <c r="FF116" s="249"/>
      <c r="FG116" s="249"/>
      <c r="FH116" s="249"/>
      <c r="FI116" s="249"/>
      <c r="FJ116" s="249"/>
      <c r="FK116" s="249"/>
      <c r="FL116" s="249"/>
      <c r="FM116" s="249"/>
      <c r="FN116" s="249"/>
      <c r="FO116" s="249"/>
      <c r="FP116" s="249"/>
      <c r="FQ116" s="249"/>
      <c r="FR116" s="249"/>
      <c r="FS116" s="249"/>
      <c r="FT116" s="249"/>
      <c r="FU116" s="249"/>
      <c r="FV116" s="249"/>
      <c r="FW116" s="249"/>
      <c r="FX116" s="249"/>
      <c r="FY116" s="249"/>
      <c r="FZ116" s="249"/>
      <c r="GA116" s="249"/>
      <c r="GB116" s="249"/>
      <c r="GC116" s="249"/>
      <c r="GD116" s="249"/>
      <c r="GE116" s="249"/>
      <c r="GF116" s="249"/>
      <c r="GG116" s="249"/>
      <c r="GH116" s="249"/>
      <c r="GI116" s="249"/>
      <c r="GJ116" s="249"/>
      <c r="GK116" s="249"/>
      <c r="GL116" s="249"/>
      <c r="GM116" s="249"/>
      <c r="GN116" s="249"/>
      <c r="GO116" s="249"/>
      <c r="GP116" s="249"/>
      <c r="GQ116" s="249"/>
      <c r="GR116" s="249"/>
    </row>
    <row r="117" spans="1:200" s="252" customFormat="1" ht="12.75" customHeight="1" x14ac:dyDescent="0.2">
      <c r="A117" s="729"/>
      <c r="B117" s="1130"/>
      <c r="C117" s="1130"/>
      <c r="D117" s="532"/>
      <c r="E117" s="613"/>
      <c r="F117" s="249"/>
      <c r="G117" s="250"/>
      <c r="H117" s="250"/>
      <c r="I117" s="250"/>
      <c r="J117" s="250"/>
      <c r="K117" s="250"/>
      <c r="L117" s="250"/>
      <c r="M117" s="250"/>
      <c r="N117" s="250"/>
      <c r="O117" s="250"/>
      <c r="P117" s="251"/>
      <c r="Q117" s="251"/>
      <c r="R117" s="251"/>
      <c r="S117" s="251"/>
      <c r="T117" s="251"/>
      <c r="U117" s="133"/>
      <c r="V117" s="1920" t="s">
        <v>1122</v>
      </c>
      <c r="W117" s="1922" t="s">
        <v>1270</v>
      </c>
      <c r="X117" s="1163"/>
      <c r="Y117" s="246">
        <f>IFERROR(INDEX(ROUNDUP('MUD Consumables'!$N$7:$N$14,MATCH(Y$107,'MUD Consumables'!$C$7:$C$14,0))*Y$106*$U$108,0),0)</f>
        <v>0</v>
      </c>
      <c r="Z117" s="1163"/>
      <c r="AA117" s="246">
        <f>IFERROR(INDEX(ROUNDUP('MUD Consumables'!$N$7:$N$14,MATCH(AA$107,'MUD Consumables'!$C$7:$C$14,0))*AA$106*$U$108,0),0)</f>
        <v>0</v>
      </c>
      <c r="AB117" s="1163"/>
      <c r="AC117" s="246">
        <f>IFERROR(INDEX(ROUNDUP('MUD Consumables'!$N$7:$N$14,MATCH(AC$107,'MUD Consumables'!$C$7:$C$14,0))*AC$106*$U$108,0),0)</f>
        <v>0</v>
      </c>
      <c r="AD117" s="1163"/>
      <c r="AE117" s="246">
        <f>IFERROR(INDEX(ROUNDUP('MUD Consumables'!$N$7:$N$14,MATCH(AE$107,'MUD Consumables'!$C$7:$C$14,0))*AE$106*$U$108,0),0)</f>
        <v>0</v>
      </c>
      <c r="AF117" s="1163"/>
      <c r="AG117" s="246">
        <f>IFERROR(INDEX(ROUNDUP('MUD Consumables'!$N$7:$N$14,MATCH(AG$107,'MUD Consumables'!$C$7:$C$14,0))*AG$106*$U$108,0),0)</f>
        <v>0</v>
      </c>
      <c r="AH117" s="1163"/>
      <c r="AI117" s="246">
        <f>IFERROR(INDEX(ROUNDUP('MUD Consumables'!$N$7:$N$14,MATCH(AI$107,'MUD Consumables'!$C$7:$C$14,0))*AI$106*$U$108,0),0)</f>
        <v>0</v>
      </c>
      <c r="AJ117" s="1163"/>
      <c r="AK117" s="246">
        <f>IFERROR(INDEX(ROUNDUP('MUD Consumables'!$N$7:$N$14,MATCH(AK$107,'MUD Consumables'!$C$7:$C$14,0))*AK$106*$U$108,0),0)</f>
        <v>0</v>
      </c>
      <c r="AL117" s="1163"/>
      <c r="AM117" s="1438">
        <f t="shared" si="52"/>
        <v>0</v>
      </c>
      <c r="AN117" s="254"/>
      <c r="AO117" s="249"/>
      <c r="AP117" s="250"/>
      <c r="AQ117" s="250"/>
      <c r="AR117" s="250"/>
      <c r="AS117" s="250"/>
      <c r="AT117" s="250"/>
      <c r="AU117" s="250"/>
      <c r="AV117" s="249"/>
      <c r="AW117" s="249"/>
      <c r="AX117" s="249"/>
      <c r="AY117" s="249"/>
      <c r="AZ117" s="249"/>
      <c r="BA117" s="249"/>
      <c r="BB117" s="249"/>
      <c r="BC117" s="249"/>
      <c r="BD117" s="249"/>
      <c r="BE117" s="249"/>
      <c r="BF117" s="249"/>
      <c r="BG117" s="249"/>
      <c r="BH117" s="249"/>
      <c r="BI117" s="249"/>
      <c r="BJ117" s="249"/>
      <c r="BK117" s="249"/>
      <c r="BL117" s="249"/>
      <c r="BM117" s="249"/>
      <c r="BN117" s="249"/>
      <c r="BO117" s="249"/>
      <c r="BP117" s="249"/>
      <c r="BQ117" s="249"/>
      <c r="BR117" s="249"/>
      <c r="BS117" s="249"/>
      <c r="BT117" s="249"/>
      <c r="BU117" s="249"/>
      <c r="BV117" s="249"/>
      <c r="BW117" s="249"/>
      <c r="BX117" s="249"/>
      <c r="BY117" s="249"/>
      <c r="BZ117" s="249"/>
      <c r="CA117" s="249"/>
      <c r="CB117" s="249"/>
      <c r="CC117" s="249"/>
      <c r="CD117" s="249"/>
      <c r="CE117" s="249"/>
      <c r="CF117" s="249"/>
      <c r="CG117" s="249"/>
      <c r="CH117" s="249"/>
      <c r="CI117" s="249"/>
      <c r="CJ117" s="249"/>
      <c r="CK117" s="249"/>
      <c r="CL117" s="249"/>
      <c r="CM117" s="249"/>
      <c r="CN117" s="249"/>
      <c r="CO117" s="249"/>
      <c r="CP117" s="249"/>
      <c r="CQ117" s="249"/>
      <c r="CR117" s="249"/>
      <c r="CS117" s="249"/>
      <c r="CT117" s="249"/>
      <c r="CU117" s="249"/>
      <c r="CV117" s="249"/>
      <c r="CW117" s="249"/>
      <c r="CX117" s="249"/>
      <c r="CY117" s="249"/>
      <c r="CZ117" s="249"/>
      <c r="DA117" s="249"/>
      <c r="DB117" s="249"/>
      <c r="DC117" s="249"/>
      <c r="DD117" s="249"/>
      <c r="DE117" s="249"/>
      <c r="DF117" s="249"/>
      <c r="DG117" s="249"/>
      <c r="DH117" s="249"/>
      <c r="DI117" s="249"/>
      <c r="DJ117" s="249"/>
      <c r="DK117" s="249"/>
      <c r="DL117" s="249"/>
      <c r="DM117" s="249"/>
      <c r="DN117" s="249"/>
      <c r="DO117" s="249"/>
      <c r="DP117" s="249"/>
      <c r="DQ117" s="249"/>
      <c r="DR117" s="249"/>
      <c r="DS117" s="249"/>
      <c r="DT117" s="249"/>
      <c r="DU117" s="249"/>
      <c r="DV117" s="249"/>
      <c r="DW117" s="249"/>
      <c r="DX117" s="249"/>
      <c r="DY117" s="249"/>
      <c r="DZ117" s="249"/>
      <c r="EA117" s="249"/>
      <c r="EB117" s="249"/>
      <c r="EC117" s="249"/>
      <c r="ED117" s="249"/>
      <c r="EE117" s="249"/>
      <c r="EF117" s="249"/>
      <c r="EG117" s="249"/>
      <c r="EH117" s="249"/>
      <c r="EI117" s="249"/>
      <c r="EJ117" s="249"/>
      <c r="EK117" s="249"/>
      <c r="EL117" s="249"/>
      <c r="EM117" s="249"/>
      <c r="EN117" s="249"/>
      <c r="EO117" s="249"/>
      <c r="EP117" s="249"/>
      <c r="EQ117" s="249"/>
      <c r="ER117" s="249"/>
      <c r="ES117" s="249"/>
      <c r="ET117" s="249"/>
      <c r="EU117" s="249"/>
      <c r="EV117" s="249"/>
      <c r="EW117" s="249"/>
      <c r="EX117" s="249"/>
      <c r="EY117" s="249"/>
      <c r="EZ117" s="249"/>
      <c r="FA117" s="249"/>
      <c r="FB117" s="249"/>
      <c r="FC117" s="249"/>
      <c r="FD117" s="249"/>
      <c r="FE117" s="249"/>
      <c r="FF117" s="249"/>
      <c r="FG117" s="249"/>
      <c r="FH117" s="249"/>
      <c r="FI117" s="249"/>
      <c r="FJ117" s="249"/>
      <c r="FK117" s="249"/>
      <c r="FL117" s="249"/>
      <c r="FM117" s="249"/>
      <c r="FN117" s="249"/>
      <c r="FO117" s="249"/>
      <c r="FP117" s="249"/>
      <c r="FQ117" s="249"/>
      <c r="FR117" s="249"/>
      <c r="FS117" s="249"/>
      <c r="FT117" s="249"/>
      <c r="FU117" s="249"/>
      <c r="FV117" s="249"/>
      <c r="FW117" s="249"/>
      <c r="FX117" s="249"/>
      <c r="FY117" s="249"/>
      <c r="FZ117" s="249"/>
      <c r="GA117" s="249"/>
      <c r="GB117" s="249"/>
      <c r="GC117" s="249"/>
      <c r="GD117" s="249"/>
      <c r="GE117" s="249"/>
      <c r="GF117" s="249"/>
      <c r="GG117" s="249"/>
      <c r="GH117" s="249"/>
      <c r="GI117" s="249"/>
      <c r="GJ117" s="249"/>
      <c r="GK117" s="249"/>
      <c r="GL117" s="249"/>
      <c r="GM117" s="249"/>
      <c r="GN117" s="249"/>
      <c r="GO117" s="249"/>
      <c r="GP117" s="249"/>
      <c r="GQ117" s="249"/>
      <c r="GR117" s="249"/>
    </row>
    <row r="118" spans="1:200" s="252" customFormat="1" ht="12.75" customHeight="1" x14ac:dyDescent="0.2">
      <c r="A118" s="729"/>
      <c r="B118" s="1130"/>
      <c r="C118" s="1130"/>
      <c r="D118" s="532"/>
      <c r="E118" s="613"/>
      <c r="F118" s="249"/>
      <c r="G118" s="250"/>
      <c r="H118" s="250"/>
      <c r="I118" s="250"/>
      <c r="J118" s="250"/>
      <c r="K118" s="250"/>
      <c r="L118" s="250"/>
      <c r="M118" s="250"/>
      <c r="N118" s="250"/>
      <c r="O118" s="250"/>
      <c r="P118" s="251"/>
      <c r="Q118" s="251"/>
      <c r="R118" s="251"/>
      <c r="S118" s="251"/>
      <c r="T118" s="251"/>
      <c r="U118" s="133"/>
      <c r="V118" s="1920" t="s">
        <v>1257</v>
      </c>
      <c r="W118" s="1922" t="s">
        <v>1270</v>
      </c>
      <c r="X118" s="1163"/>
      <c r="Y118" s="246">
        <f>IFERROR(ROUNDUP(INDEX('MUD Consumables'!$O$7:$O$14,MATCH(Y$107,'MUD Consumables'!$C$7:$C$14,0))*Y$106*$U$108,0),0)</f>
        <v>0</v>
      </c>
      <c r="Z118" s="1163"/>
      <c r="AA118" s="246">
        <f>IFERROR(ROUNDUP(INDEX('MUD Consumables'!$O$7:$O$14,MATCH(AA$107,'MUD Consumables'!$C$7:$C$14,0))*AA$106*$U$108,0),0)</f>
        <v>0</v>
      </c>
      <c r="AB118" s="1163"/>
      <c r="AC118" s="246">
        <f>IFERROR(ROUNDUP(INDEX('MUD Consumables'!$O$7:$O$14,MATCH(AC$107,'MUD Consumables'!$C$7:$C$14,0))*AC$106*$U$108,0),0)</f>
        <v>0</v>
      </c>
      <c r="AD118" s="1163"/>
      <c r="AE118" s="246">
        <f>IFERROR(ROUNDUP(INDEX('MUD Consumables'!$O$7:$O$14,MATCH(AE$107,'MUD Consumables'!$C$7:$C$14,0))*AE$106*$U$108,0),0)</f>
        <v>0</v>
      </c>
      <c r="AF118" s="1163"/>
      <c r="AG118" s="246">
        <f>IFERROR(ROUNDUP(INDEX('MUD Consumables'!$O$7:$O$14,MATCH(AG$107,'MUD Consumables'!$C$7:$C$14,0))*AG$106*$U$108,0),0)</f>
        <v>0</v>
      </c>
      <c r="AH118" s="1163"/>
      <c r="AI118" s="246">
        <f>IFERROR(ROUNDUP(INDEX('MUD Consumables'!$O$7:$O$14,MATCH(AI$107,'MUD Consumables'!$C$7:$C$14,0))*AI$106*$U$108,0),0)</f>
        <v>0</v>
      </c>
      <c r="AJ118" s="1163"/>
      <c r="AK118" s="246">
        <f>IFERROR(ROUNDUP(INDEX('MUD Consumables'!$O$7:$O$14,MATCH(AK$107,'MUD Consumables'!$C$7:$C$14,0))*AK$106*$U$108,0),0)</f>
        <v>0</v>
      </c>
      <c r="AL118" s="1163"/>
      <c r="AM118" s="1438">
        <f t="shared" si="52"/>
        <v>0</v>
      </c>
      <c r="AN118" s="254"/>
      <c r="AO118" s="249"/>
      <c r="AP118" s="250"/>
      <c r="AQ118" s="250"/>
      <c r="AR118" s="250"/>
      <c r="AS118" s="250"/>
      <c r="AT118" s="250"/>
      <c r="AU118" s="250"/>
      <c r="AV118" s="249"/>
      <c r="AW118" s="249"/>
      <c r="AX118" s="249"/>
      <c r="AY118" s="249"/>
      <c r="AZ118" s="249"/>
      <c r="BA118" s="249"/>
      <c r="BB118" s="249"/>
      <c r="BC118" s="249"/>
      <c r="BD118" s="249"/>
      <c r="BE118" s="249"/>
      <c r="BF118" s="249"/>
      <c r="BG118" s="249"/>
      <c r="BH118" s="249"/>
      <c r="BI118" s="249"/>
      <c r="BJ118" s="249"/>
      <c r="BK118" s="249"/>
      <c r="BL118" s="249"/>
      <c r="BM118" s="249"/>
      <c r="BN118" s="249"/>
      <c r="BO118" s="249"/>
      <c r="BP118" s="249"/>
      <c r="BQ118" s="249"/>
      <c r="BR118" s="249"/>
      <c r="BS118" s="249"/>
      <c r="BT118" s="249"/>
      <c r="BU118" s="249"/>
      <c r="BV118" s="249"/>
      <c r="BW118" s="249"/>
      <c r="BX118" s="249"/>
      <c r="BY118" s="249"/>
      <c r="BZ118" s="249"/>
      <c r="CA118" s="249"/>
      <c r="CB118" s="249"/>
      <c r="CC118" s="249"/>
      <c r="CD118" s="249"/>
      <c r="CE118" s="249"/>
      <c r="CF118" s="249"/>
      <c r="CG118" s="249"/>
      <c r="CH118" s="249"/>
      <c r="CI118" s="249"/>
      <c r="CJ118" s="249"/>
      <c r="CK118" s="249"/>
      <c r="CL118" s="249"/>
      <c r="CM118" s="249"/>
      <c r="CN118" s="249"/>
      <c r="CO118" s="249"/>
      <c r="CP118" s="249"/>
      <c r="CQ118" s="249"/>
      <c r="CR118" s="249"/>
      <c r="CS118" s="249"/>
      <c r="CT118" s="249"/>
      <c r="CU118" s="249"/>
      <c r="CV118" s="249"/>
      <c r="CW118" s="249"/>
      <c r="CX118" s="249"/>
      <c r="CY118" s="249"/>
      <c r="CZ118" s="249"/>
      <c r="DA118" s="249"/>
      <c r="DB118" s="249"/>
      <c r="DC118" s="249"/>
      <c r="DD118" s="249"/>
      <c r="DE118" s="249"/>
      <c r="DF118" s="249"/>
      <c r="DG118" s="249"/>
      <c r="DH118" s="249"/>
      <c r="DI118" s="249"/>
      <c r="DJ118" s="249"/>
      <c r="DK118" s="249"/>
      <c r="DL118" s="249"/>
      <c r="DM118" s="249"/>
      <c r="DN118" s="249"/>
      <c r="DO118" s="249"/>
      <c r="DP118" s="249"/>
      <c r="DQ118" s="249"/>
      <c r="DR118" s="249"/>
      <c r="DS118" s="249"/>
      <c r="DT118" s="249"/>
      <c r="DU118" s="249"/>
      <c r="DV118" s="249"/>
      <c r="DW118" s="249"/>
      <c r="DX118" s="249"/>
      <c r="DY118" s="249"/>
      <c r="DZ118" s="249"/>
      <c r="EA118" s="249"/>
      <c r="EB118" s="249"/>
      <c r="EC118" s="249"/>
      <c r="ED118" s="249"/>
      <c r="EE118" s="249"/>
      <c r="EF118" s="249"/>
      <c r="EG118" s="249"/>
      <c r="EH118" s="249"/>
      <c r="EI118" s="249"/>
      <c r="EJ118" s="249"/>
      <c r="EK118" s="249"/>
      <c r="EL118" s="249"/>
      <c r="EM118" s="249"/>
      <c r="EN118" s="249"/>
      <c r="EO118" s="249"/>
      <c r="EP118" s="249"/>
      <c r="EQ118" s="249"/>
      <c r="ER118" s="249"/>
      <c r="ES118" s="249"/>
      <c r="ET118" s="249"/>
      <c r="EU118" s="249"/>
      <c r="EV118" s="249"/>
      <c r="EW118" s="249"/>
      <c r="EX118" s="249"/>
      <c r="EY118" s="249"/>
      <c r="EZ118" s="249"/>
      <c r="FA118" s="249"/>
      <c r="FB118" s="249"/>
      <c r="FC118" s="249"/>
      <c r="FD118" s="249"/>
      <c r="FE118" s="249"/>
      <c r="FF118" s="249"/>
      <c r="FG118" s="249"/>
      <c r="FH118" s="249"/>
      <c r="FI118" s="249"/>
      <c r="FJ118" s="249"/>
      <c r="FK118" s="249"/>
      <c r="FL118" s="249"/>
      <c r="FM118" s="249"/>
      <c r="FN118" s="249"/>
      <c r="FO118" s="249"/>
      <c r="FP118" s="249"/>
      <c r="FQ118" s="249"/>
      <c r="FR118" s="249"/>
      <c r="FS118" s="249"/>
      <c r="FT118" s="249"/>
      <c r="FU118" s="249"/>
      <c r="FV118" s="249"/>
      <c r="FW118" s="249"/>
      <c r="FX118" s="249"/>
      <c r="FY118" s="249"/>
      <c r="FZ118" s="249"/>
      <c r="GA118" s="249"/>
      <c r="GB118" s="249"/>
      <c r="GC118" s="249"/>
      <c r="GD118" s="249"/>
      <c r="GE118" s="249"/>
      <c r="GF118" s="249"/>
      <c r="GG118" s="249"/>
      <c r="GH118" s="249"/>
      <c r="GI118" s="249"/>
      <c r="GJ118" s="249"/>
      <c r="GK118" s="249"/>
      <c r="GL118" s="249"/>
      <c r="GM118" s="249"/>
      <c r="GN118" s="249"/>
      <c r="GO118" s="249"/>
      <c r="GP118" s="249"/>
      <c r="GQ118" s="249"/>
      <c r="GR118" s="249"/>
    </row>
    <row r="119" spans="1:200" s="252" customFormat="1" ht="12.75" customHeight="1" x14ac:dyDescent="0.2">
      <c r="A119" s="729"/>
      <c r="B119" s="1130"/>
      <c r="C119" s="1130"/>
      <c r="D119" s="532"/>
      <c r="E119" s="613"/>
      <c r="F119" s="249"/>
      <c r="G119" s="250"/>
      <c r="H119" s="250"/>
      <c r="I119" s="250"/>
      <c r="J119" s="250"/>
      <c r="K119" s="250"/>
      <c r="L119" s="250"/>
      <c r="M119" s="250"/>
      <c r="N119" s="250"/>
      <c r="O119" s="250"/>
      <c r="P119" s="251"/>
      <c r="Q119" s="251"/>
      <c r="R119" s="251"/>
      <c r="S119" s="251"/>
      <c r="T119" s="251"/>
      <c r="U119" s="133"/>
      <c r="V119" s="1920" t="s">
        <v>1258</v>
      </c>
      <c r="W119" s="1922" t="s">
        <v>1269</v>
      </c>
      <c r="X119" s="1163"/>
      <c r="Y119" s="246">
        <f>IFERROR(ROUNDUP(INDEX('MUD Consumables'!$P$7:$P$14,MATCH(Y$107,'MUD Consumables'!$C$7:$C$14,0))*Y$106*$U$108,0),0)</f>
        <v>0</v>
      </c>
      <c r="Z119" s="1163"/>
      <c r="AA119" s="246">
        <f>IFERROR(ROUNDUP(INDEX('MUD Consumables'!$P$7:$P$14,MATCH(AA$107,'MUD Consumables'!$C$7:$C$14,0))*AA$106*$U$108,0),0)</f>
        <v>37</v>
      </c>
      <c r="AB119" s="1163"/>
      <c r="AC119" s="246">
        <f>IFERROR(ROUNDUP(INDEX('MUD Consumables'!$P$7:$P$14,MATCH(AC$107,'MUD Consumables'!$C$7:$C$14,0))*AC$106*$U$108,0),0)</f>
        <v>39</v>
      </c>
      <c r="AD119" s="1163"/>
      <c r="AE119" s="246">
        <f>IFERROR(ROUNDUP(INDEX('MUD Consumables'!$P$7:$P$14,MATCH(AE$107,'MUD Consumables'!$C$7:$C$14,0))*AE$106*$U$108,0),0)</f>
        <v>13</v>
      </c>
      <c r="AF119" s="1163"/>
      <c r="AG119" s="246">
        <f>IFERROR(ROUNDUP(INDEX('MUD Consumables'!$P$7:$P$14,MATCH(AG$107,'MUD Consumables'!$C$7:$C$14,0))*AG$106*$U$108,0),0)</f>
        <v>0</v>
      </c>
      <c r="AH119" s="1163"/>
      <c r="AI119" s="246">
        <f>IFERROR(ROUNDUP(INDEX('MUD Consumables'!$P$7:$P$14,MATCH(AI$107,'MUD Consumables'!$C$7:$C$14,0))*AI$106*$U$108,0),0)</f>
        <v>0</v>
      </c>
      <c r="AJ119" s="1163"/>
      <c r="AK119" s="246">
        <f>IFERROR(ROUNDUP(INDEX('MUD Consumables'!$P$7:$P$14,MATCH(AK$107,'MUD Consumables'!$C$7:$C$14,0))*AK$106*$U$108,0),0)</f>
        <v>0</v>
      </c>
      <c r="AL119" s="1163"/>
      <c r="AM119" s="1438">
        <f t="shared" si="52"/>
        <v>89</v>
      </c>
      <c r="AN119" s="254"/>
      <c r="AO119" s="249"/>
      <c r="AP119" s="250"/>
      <c r="AQ119" s="250"/>
      <c r="AR119" s="250"/>
      <c r="AS119" s="250"/>
      <c r="AT119" s="250"/>
      <c r="AU119" s="250"/>
      <c r="AV119" s="249"/>
      <c r="AW119" s="249"/>
      <c r="AX119" s="249"/>
      <c r="AY119" s="249"/>
      <c r="AZ119" s="249"/>
      <c r="BA119" s="249"/>
      <c r="BB119" s="249"/>
      <c r="BC119" s="249"/>
      <c r="BD119" s="249"/>
      <c r="BE119" s="249"/>
      <c r="BF119" s="249"/>
      <c r="BG119" s="249"/>
      <c r="BH119" s="249"/>
      <c r="BI119" s="249"/>
      <c r="BJ119" s="249"/>
      <c r="BK119" s="249"/>
      <c r="BL119" s="249"/>
      <c r="BM119" s="249"/>
      <c r="BN119" s="249"/>
      <c r="BO119" s="249"/>
      <c r="BP119" s="249"/>
      <c r="BQ119" s="249"/>
      <c r="BR119" s="249"/>
      <c r="BS119" s="249"/>
      <c r="BT119" s="249"/>
      <c r="BU119" s="249"/>
      <c r="BV119" s="249"/>
      <c r="BW119" s="249"/>
      <c r="BX119" s="249"/>
      <c r="BY119" s="249"/>
      <c r="BZ119" s="249"/>
      <c r="CA119" s="249"/>
      <c r="CB119" s="249"/>
      <c r="CC119" s="249"/>
      <c r="CD119" s="249"/>
      <c r="CE119" s="249"/>
      <c r="CF119" s="249"/>
      <c r="CG119" s="249"/>
      <c r="CH119" s="249"/>
      <c r="CI119" s="249"/>
      <c r="CJ119" s="249"/>
      <c r="CK119" s="249"/>
      <c r="CL119" s="249"/>
      <c r="CM119" s="249"/>
      <c r="CN119" s="249"/>
      <c r="CO119" s="249"/>
      <c r="CP119" s="249"/>
      <c r="CQ119" s="249"/>
      <c r="CR119" s="249"/>
      <c r="CS119" s="249"/>
      <c r="CT119" s="249"/>
      <c r="CU119" s="249"/>
      <c r="CV119" s="249"/>
      <c r="CW119" s="249"/>
      <c r="CX119" s="249"/>
      <c r="CY119" s="249"/>
      <c r="CZ119" s="249"/>
      <c r="DA119" s="249"/>
      <c r="DB119" s="249"/>
      <c r="DC119" s="249"/>
      <c r="DD119" s="249"/>
      <c r="DE119" s="249"/>
      <c r="DF119" s="249"/>
      <c r="DG119" s="249"/>
      <c r="DH119" s="249"/>
      <c r="DI119" s="249"/>
      <c r="DJ119" s="249"/>
      <c r="DK119" s="249"/>
      <c r="DL119" s="249"/>
      <c r="DM119" s="249"/>
      <c r="DN119" s="249"/>
      <c r="DO119" s="249"/>
      <c r="DP119" s="249"/>
      <c r="DQ119" s="249"/>
      <c r="DR119" s="249"/>
      <c r="DS119" s="249"/>
      <c r="DT119" s="249"/>
      <c r="DU119" s="249"/>
      <c r="DV119" s="249"/>
      <c r="DW119" s="249"/>
      <c r="DX119" s="249"/>
      <c r="DY119" s="249"/>
      <c r="DZ119" s="249"/>
      <c r="EA119" s="249"/>
      <c r="EB119" s="249"/>
      <c r="EC119" s="249"/>
      <c r="ED119" s="249"/>
      <c r="EE119" s="249"/>
      <c r="EF119" s="249"/>
      <c r="EG119" s="249"/>
      <c r="EH119" s="249"/>
      <c r="EI119" s="249"/>
      <c r="EJ119" s="249"/>
      <c r="EK119" s="249"/>
      <c r="EL119" s="249"/>
      <c r="EM119" s="249"/>
      <c r="EN119" s="249"/>
      <c r="EO119" s="249"/>
      <c r="EP119" s="249"/>
      <c r="EQ119" s="249"/>
      <c r="ER119" s="249"/>
      <c r="ES119" s="249"/>
      <c r="ET119" s="249"/>
      <c r="EU119" s="249"/>
      <c r="EV119" s="249"/>
      <c r="EW119" s="249"/>
      <c r="EX119" s="249"/>
      <c r="EY119" s="249"/>
      <c r="EZ119" s="249"/>
      <c r="FA119" s="249"/>
      <c r="FB119" s="249"/>
      <c r="FC119" s="249"/>
      <c r="FD119" s="249"/>
      <c r="FE119" s="249"/>
      <c r="FF119" s="249"/>
      <c r="FG119" s="249"/>
      <c r="FH119" s="249"/>
      <c r="FI119" s="249"/>
      <c r="FJ119" s="249"/>
      <c r="FK119" s="249"/>
      <c r="FL119" s="249"/>
      <c r="FM119" s="249"/>
      <c r="FN119" s="249"/>
      <c r="FO119" s="249"/>
      <c r="FP119" s="249"/>
      <c r="FQ119" s="249"/>
      <c r="FR119" s="249"/>
      <c r="FS119" s="249"/>
      <c r="FT119" s="249"/>
      <c r="FU119" s="249"/>
      <c r="FV119" s="249"/>
      <c r="FW119" s="249"/>
      <c r="FX119" s="249"/>
      <c r="FY119" s="249"/>
      <c r="FZ119" s="249"/>
      <c r="GA119" s="249"/>
      <c r="GB119" s="249"/>
      <c r="GC119" s="249"/>
      <c r="GD119" s="249"/>
      <c r="GE119" s="249"/>
      <c r="GF119" s="249"/>
      <c r="GG119" s="249"/>
      <c r="GH119" s="249"/>
      <c r="GI119" s="249"/>
      <c r="GJ119" s="249"/>
      <c r="GK119" s="249"/>
      <c r="GL119" s="249"/>
      <c r="GM119" s="249"/>
      <c r="GN119" s="249"/>
      <c r="GO119" s="249"/>
      <c r="GP119" s="249"/>
      <c r="GQ119" s="249"/>
      <c r="GR119" s="249"/>
    </row>
    <row r="120" spans="1:200" s="252" customFormat="1" ht="12.75" customHeight="1" x14ac:dyDescent="0.2">
      <c r="A120" s="729"/>
      <c r="B120" s="1130"/>
      <c r="C120" s="1130"/>
      <c r="D120" s="532"/>
      <c r="E120" s="613"/>
      <c r="F120" s="249"/>
      <c r="G120" s="250"/>
      <c r="H120" s="250"/>
      <c r="I120" s="250"/>
      <c r="J120" s="250"/>
      <c r="K120" s="250"/>
      <c r="L120" s="250"/>
      <c r="M120" s="250"/>
      <c r="N120" s="250"/>
      <c r="O120" s="250"/>
      <c r="P120" s="251"/>
      <c r="Q120" s="251"/>
      <c r="R120" s="251"/>
      <c r="S120" s="251"/>
      <c r="T120" s="251"/>
      <c r="U120" s="133"/>
      <c r="V120" s="1920" t="s">
        <v>154</v>
      </c>
      <c r="W120" s="1922" t="s">
        <v>1269</v>
      </c>
      <c r="X120" s="1163"/>
      <c r="Y120" s="246">
        <f>IFERROR(ROUNDUP(INDEX('MUD Consumables'!$Q$7:$Q$14,MATCH(Y$107,'MUD Consumables'!$C$7:$C$14,0))*Y$106*$U$108,0),0)</f>
        <v>0</v>
      </c>
      <c r="Z120" s="1163"/>
      <c r="AA120" s="246">
        <f>IFERROR(ROUNDUP(INDEX('MUD Consumables'!$Q$7:$Q$14,MATCH(AA$107,'MUD Consumables'!$C$7:$C$14,0))*AA$106*$U$108,0),0)</f>
        <v>0</v>
      </c>
      <c r="AB120" s="1163"/>
      <c r="AC120" s="246">
        <f>IFERROR(ROUNDUP(INDEX('MUD Consumables'!$Q$7:$Q$14,MATCH(AC$107,'MUD Consumables'!$C$7:$C$14,0))*AC$106*$U$108,0),0)</f>
        <v>0</v>
      </c>
      <c r="AD120" s="1163"/>
      <c r="AE120" s="246">
        <f>IFERROR(ROUNDUP(INDEX('MUD Consumables'!$Q$7:$Q$14,MATCH(AE$107,'MUD Consumables'!$C$7:$C$14,0))*AE$106*$U$108,0),0)</f>
        <v>23</v>
      </c>
      <c r="AF120" s="1163"/>
      <c r="AG120" s="246">
        <f>IFERROR(ROUNDUP(INDEX('MUD Consumables'!$Q$7:$Q$14,MATCH(AG$107,'MUD Consumables'!$C$7:$C$14,0))*AG$106*$U$108,0),0)</f>
        <v>21</v>
      </c>
      <c r="AH120" s="1163"/>
      <c r="AI120" s="246">
        <f>IFERROR(ROUNDUP(INDEX('MUD Consumables'!$Q$7:$Q$14,MATCH(AI$107,'MUD Consumables'!$C$7:$C$14,0))*AI$106*$U$108,0),0)</f>
        <v>0</v>
      </c>
      <c r="AJ120" s="1163"/>
      <c r="AK120" s="246">
        <f>IFERROR(ROUNDUP(INDEX('MUD Consumables'!$Q$7:$Q$14,MATCH(AK$107,'MUD Consumables'!$C$7:$C$14,0))*AK$106*$U$108,0),0)</f>
        <v>0</v>
      </c>
      <c r="AL120" s="1163"/>
      <c r="AM120" s="1438">
        <f t="shared" si="52"/>
        <v>44</v>
      </c>
      <c r="AN120" s="254"/>
      <c r="AO120" s="249"/>
      <c r="AP120" s="250"/>
      <c r="AQ120" s="250"/>
      <c r="AR120" s="250"/>
      <c r="AS120" s="250"/>
      <c r="AT120" s="250"/>
      <c r="AU120" s="250"/>
      <c r="AV120" s="249"/>
      <c r="AW120" s="249"/>
      <c r="AX120" s="249"/>
      <c r="AY120" s="249"/>
      <c r="AZ120" s="249"/>
      <c r="BA120" s="249"/>
      <c r="BB120" s="249"/>
      <c r="BC120" s="249"/>
      <c r="BD120" s="249"/>
      <c r="BE120" s="249"/>
      <c r="BF120" s="249"/>
      <c r="BG120" s="249"/>
      <c r="BH120" s="249"/>
      <c r="BI120" s="249"/>
      <c r="BJ120" s="249"/>
      <c r="BK120" s="249"/>
      <c r="BL120" s="249"/>
      <c r="BM120" s="249"/>
      <c r="BN120" s="249"/>
      <c r="BO120" s="249"/>
      <c r="BP120" s="249"/>
      <c r="BQ120" s="249"/>
      <c r="BR120" s="249"/>
      <c r="BS120" s="249"/>
      <c r="BT120" s="249"/>
      <c r="BU120" s="249"/>
      <c r="BV120" s="249"/>
      <c r="BW120" s="249"/>
      <c r="BX120" s="249"/>
      <c r="BY120" s="249"/>
      <c r="BZ120" s="249"/>
      <c r="CA120" s="249"/>
      <c r="CB120" s="249"/>
      <c r="CC120" s="249"/>
      <c r="CD120" s="249"/>
      <c r="CE120" s="249"/>
      <c r="CF120" s="249"/>
      <c r="CG120" s="249"/>
      <c r="CH120" s="249"/>
      <c r="CI120" s="249"/>
      <c r="CJ120" s="249"/>
      <c r="CK120" s="249"/>
      <c r="CL120" s="249"/>
      <c r="CM120" s="249"/>
      <c r="CN120" s="249"/>
      <c r="CO120" s="249"/>
      <c r="CP120" s="249"/>
      <c r="CQ120" s="249"/>
      <c r="CR120" s="249"/>
      <c r="CS120" s="249"/>
      <c r="CT120" s="249"/>
      <c r="CU120" s="249"/>
      <c r="CV120" s="249"/>
      <c r="CW120" s="249"/>
      <c r="CX120" s="249"/>
      <c r="CY120" s="249"/>
      <c r="CZ120" s="249"/>
      <c r="DA120" s="249"/>
      <c r="DB120" s="249"/>
      <c r="DC120" s="249"/>
      <c r="DD120" s="249"/>
      <c r="DE120" s="249"/>
      <c r="DF120" s="249"/>
      <c r="DG120" s="249"/>
      <c r="DH120" s="249"/>
      <c r="DI120" s="249"/>
      <c r="DJ120" s="249"/>
      <c r="DK120" s="249"/>
      <c r="DL120" s="249"/>
      <c r="DM120" s="249"/>
      <c r="DN120" s="249"/>
      <c r="DO120" s="249"/>
      <c r="DP120" s="249"/>
      <c r="DQ120" s="249"/>
      <c r="DR120" s="249"/>
      <c r="DS120" s="249"/>
      <c r="DT120" s="249"/>
      <c r="DU120" s="249"/>
      <c r="DV120" s="249"/>
      <c r="DW120" s="249"/>
      <c r="DX120" s="249"/>
      <c r="DY120" s="249"/>
      <c r="DZ120" s="249"/>
      <c r="EA120" s="249"/>
      <c r="EB120" s="249"/>
      <c r="EC120" s="249"/>
      <c r="ED120" s="249"/>
      <c r="EE120" s="249"/>
      <c r="EF120" s="249"/>
      <c r="EG120" s="249"/>
      <c r="EH120" s="249"/>
      <c r="EI120" s="249"/>
      <c r="EJ120" s="249"/>
      <c r="EK120" s="249"/>
      <c r="EL120" s="249"/>
      <c r="EM120" s="249"/>
      <c r="EN120" s="249"/>
      <c r="EO120" s="249"/>
      <c r="EP120" s="249"/>
      <c r="EQ120" s="249"/>
      <c r="ER120" s="249"/>
      <c r="ES120" s="249"/>
      <c r="ET120" s="249"/>
      <c r="EU120" s="249"/>
      <c r="EV120" s="249"/>
      <c r="EW120" s="249"/>
      <c r="EX120" s="249"/>
      <c r="EY120" s="249"/>
      <c r="EZ120" s="249"/>
      <c r="FA120" s="249"/>
      <c r="FB120" s="249"/>
      <c r="FC120" s="249"/>
      <c r="FD120" s="249"/>
      <c r="FE120" s="249"/>
      <c r="FF120" s="249"/>
      <c r="FG120" s="249"/>
      <c r="FH120" s="249"/>
      <c r="FI120" s="249"/>
      <c r="FJ120" s="249"/>
      <c r="FK120" s="249"/>
      <c r="FL120" s="249"/>
      <c r="FM120" s="249"/>
      <c r="FN120" s="249"/>
      <c r="FO120" s="249"/>
      <c r="FP120" s="249"/>
      <c r="FQ120" s="249"/>
      <c r="FR120" s="249"/>
      <c r="FS120" s="249"/>
      <c r="FT120" s="249"/>
      <c r="FU120" s="249"/>
      <c r="FV120" s="249"/>
      <c r="FW120" s="249"/>
      <c r="FX120" s="249"/>
      <c r="FY120" s="249"/>
      <c r="FZ120" s="249"/>
      <c r="GA120" s="249"/>
      <c r="GB120" s="249"/>
      <c r="GC120" s="249"/>
      <c r="GD120" s="249"/>
      <c r="GE120" s="249"/>
      <c r="GF120" s="249"/>
      <c r="GG120" s="249"/>
      <c r="GH120" s="249"/>
      <c r="GI120" s="249"/>
      <c r="GJ120" s="249"/>
      <c r="GK120" s="249"/>
      <c r="GL120" s="249"/>
      <c r="GM120" s="249"/>
      <c r="GN120" s="249"/>
      <c r="GO120" s="249"/>
      <c r="GP120" s="249"/>
      <c r="GQ120" s="249"/>
      <c r="GR120" s="249"/>
    </row>
    <row r="121" spans="1:200" s="252" customFormat="1" ht="12.75" customHeight="1" x14ac:dyDescent="0.2">
      <c r="A121" s="729"/>
      <c r="B121" s="1130"/>
      <c r="C121" s="1130"/>
      <c r="D121" s="532"/>
      <c r="E121" s="613"/>
      <c r="F121" s="249"/>
      <c r="G121" s="250"/>
      <c r="H121" s="250"/>
      <c r="I121" s="250"/>
      <c r="J121" s="250"/>
      <c r="K121" s="250"/>
      <c r="L121" s="250"/>
      <c r="M121" s="250"/>
      <c r="N121" s="250"/>
      <c r="O121" s="250"/>
      <c r="P121" s="251"/>
      <c r="Q121" s="251"/>
      <c r="R121" s="251"/>
      <c r="S121" s="251"/>
      <c r="T121" s="251"/>
      <c r="U121" s="133"/>
      <c r="V121" s="1920" t="s">
        <v>155</v>
      </c>
      <c r="W121" s="1922" t="s">
        <v>1271</v>
      </c>
      <c r="X121" s="1163"/>
      <c r="Y121" s="246">
        <f>IFERROR(ROUNDUP(INDEX('MUD Consumables'!$R$7:$R$14,MATCH(Y$107,'MUD Consumables'!$C$7:$C$14,0))*Y$106*$U$108,0),0)</f>
        <v>0</v>
      </c>
      <c r="Z121" s="1163"/>
      <c r="AA121" s="246">
        <f>IFERROR(ROUNDUP(INDEX('MUD Consumables'!$R$7:$R$14,MATCH(AA$107,'MUD Consumables'!$C$7:$C$14,0))*AA$106*$U$108,0),0)</f>
        <v>0</v>
      </c>
      <c r="AB121" s="1163"/>
      <c r="AC121" s="246">
        <f>IFERROR(ROUNDUP(INDEX('MUD Consumables'!$R$7:$R$14,MATCH(AC$107,'MUD Consumables'!$C$7:$C$14,0))*AC$106*$U$108,0),0)</f>
        <v>0</v>
      </c>
      <c r="AD121" s="1163"/>
      <c r="AE121" s="246">
        <f>IFERROR(ROUNDUP(INDEX('MUD Consumables'!$R$7:$R$14,MATCH(AE$107,'MUD Consumables'!$C$7:$C$14,0))*AE$106*$U$108,0),0)</f>
        <v>0</v>
      </c>
      <c r="AF121" s="1163"/>
      <c r="AG121" s="246">
        <f>IFERROR(ROUNDUP(INDEX('MUD Consumables'!$R$7:$R$14,MATCH(AG$107,'MUD Consumables'!$C$7:$C$14,0))*AG$106*$U$108,0),0)</f>
        <v>0</v>
      </c>
      <c r="AH121" s="1163"/>
      <c r="AI121" s="246">
        <f>IFERROR(ROUNDUP(INDEX('MUD Consumables'!$R$7:$R$14,MATCH(AI$107,'MUD Consumables'!$C$7:$C$14,0))*AI$106*$U$108,0),0)</f>
        <v>0</v>
      </c>
      <c r="AJ121" s="1163"/>
      <c r="AK121" s="246">
        <f>IFERROR(ROUNDUP(INDEX('MUD Consumables'!$R$7:$R$14,MATCH(AK$107,'MUD Consumables'!$C$7:$C$14,0))*AK$106*$U$108,0),0)</f>
        <v>0</v>
      </c>
      <c r="AL121" s="1163"/>
      <c r="AM121" s="1438">
        <f t="shared" si="52"/>
        <v>0</v>
      </c>
      <c r="AN121" s="254"/>
      <c r="AO121" s="249"/>
      <c r="AP121" s="250"/>
      <c r="AQ121" s="250"/>
      <c r="AR121" s="250"/>
      <c r="AS121" s="250"/>
      <c r="AT121" s="250"/>
      <c r="AU121" s="250"/>
      <c r="AV121" s="249"/>
      <c r="AW121" s="249"/>
      <c r="AX121" s="249"/>
      <c r="AY121" s="249"/>
      <c r="AZ121" s="249"/>
      <c r="BA121" s="249"/>
      <c r="BB121" s="249"/>
      <c r="BC121" s="249"/>
      <c r="BD121" s="249"/>
      <c r="BE121" s="249"/>
      <c r="BF121" s="249"/>
      <c r="BG121" s="249"/>
      <c r="BH121" s="249"/>
      <c r="BI121" s="249"/>
      <c r="BJ121" s="249"/>
      <c r="BK121" s="249"/>
      <c r="BL121" s="249"/>
      <c r="BM121" s="249"/>
      <c r="BN121" s="249"/>
      <c r="BO121" s="249"/>
      <c r="BP121" s="249"/>
      <c r="BQ121" s="249"/>
      <c r="BR121" s="249"/>
      <c r="BS121" s="249"/>
      <c r="BT121" s="249"/>
      <c r="BU121" s="249"/>
      <c r="BV121" s="249"/>
      <c r="BW121" s="249"/>
      <c r="BX121" s="249"/>
      <c r="BY121" s="249"/>
      <c r="BZ121" s="249"/>
      <c r="CA121" s="249"/>
      <c r="CB121" s="249"/>
      <c r="CC121" s="249"/>
      <c r="CD121" s="249"/>
      <c r="CE121" s="249"/>
      <c r="CF121" s="249"/>
      <c r="CG121" s="249"/>
      <c r="CH121" s="249"/>
      <c r="CI121" s="249"/>
      <c r="CJ121" s="249"/>
      <c r="CK121" s="249"/>
      <c r="CL121" s="249"/>
      <c r="CM121" s="249"/>
      <c r="CN121" s="249"/>
      <c r="CO121" s="249"/>
      <c r="CP121" s="249"/>
      <c r="CQ121" s="249"/>
      <c r="CR121" s="249"/>
      <c r="CS121" s="249"/>
      <c r="CT121" s="249"/>
      <c r="CU121" s="249"/>
      <c r="CV121" s="249"/>
      <c r="CW121" s="249"/>
      <c r="CX121" s="249"/>
      <c r="CY121" s="249"/>
      <c r="CZ121" s="249"/>
      <c r="DA121" s="249"/>
      <c r="DB121" s="249"/>
      <c r="DC121" s="249"/>
      <c r="DD121" s="249"/>
      <c r="DE121" s="249"/>
      <c r="DF121" s="249"/>
      <c r="DG121" s="249"/>
      <c r="DH121" s="249"/>
      <c r="DI121" s="249"/>
      <c r="DJ121" s="249"/>
      <c r="DK121" s="249"/>
      <c r="DL121" s="249"/>
      <c r="DM121" s="249"/>
      <c r="DN121" s="249"/>
      <c r="DO121" s="249"/>
      <c r="DP121" s="249"/>
      <c r="DQ121" s="249"/>
      <c r="DR121" s="249"/>
      <c r="DS121" s="249"/>
      <c r="DT121" s="249"/>
      <c r="DU121" s="249"/>
      <c r="DV121" s="249"/>
      <c r="DW121" s="249"/>
      <c r="DX121" s="249"/>
      <c r="DY121" s="249"/>
      <c r="DZ121" s="249"/>
      <c r="EA121" s="249"/>
      <c r="EB121" s="249"/>
      <c r="EC121" s="249"/>
      <c r="ED121" s="249"/>
      <c r="EE121" s="249"/>
      <c r="EF121" s="249"/>
      <c r="EG121" s="249"/>
      <c r="EH121" s="249"/>
      <c r="EI121" s="249"/>
      <c r="EJ121" s="249"/>
      <c r="EK121" s="249"/>
      <c r="EL121" s="249"/>
      <c r="EM121" s="249"/>
      <c r="EN121" s="249"/>
      <c r="EO121" s="249"/>
      <c r="EP121" s="249"/>
      <c r="EQ121" s="249"/>
      <c r="ER121" s="249"/>
      <c r="ES121" s="249"/>
      <c r="ET121" s="249"/>
      <c r="EU121" s="249"/>
      <c r="EV121" s="249"/>
      <c r="EW121" s="249"/>
      <c r="EX121" s="249"/>
      <c r="EY121" s="249"/>
      <c r="EZ121" s="249"/>
      <c r="FA121" s="249"/>
      <c r="FB121" s="249"/>
      <c r="FC121" s="249"/>
      <c r="FD121" s="249"/>
      <c r="FE121" s="249"/>
      <c r="FF121" s="249"/>
      <c r="FG121" s="249"/>
      <c r="FH121" s="249"/>
      <c r="FI121" s="249"/>
      <c r="FJ121" s="249"/>
      <c r="FK121" s="249"/>
      <c r="FL121" s="249"/>
      <c r="FM121" s="249"/>
      <c r="FN121" s="249"/>
      <c r="FO121" s="249"/>
      <c r="FP121" s="249"/>
      <c r="FQ121" s="249"/>
      <c r="FR121" s="249"/>
      <c r="FS121" s="249"/>
      <c r="FT121" s="249"/>
      <c r="FU121" s="249"/>
      <c r="FV121" s="249"/>
      <c r="FW121" s="249"/>
      <c r="FX121" s="249"/>
      <c r="FY121" s="249"/>
      <c r="FZ121" s="249"/>
      <c r="GA121" s="249"/>
      <c r="GB121" s="249"/>
      <c r="GC121" s="249"/>
      <c r="GD121" s="249"/>
      <c r="GE121" s="249"/>
      <c r="GF121" s="249"/>
      <c r="GG121" s="249"/>
      <c r="GH121" s="249"/>
      <c r="GI121" s="249"/>
      <c r="GJ121" s="249"/>
      <c r="GK121" s="249"/>
      <c r="GL121" s="249"/>
      <c r="GM121" s="249"/>
      <c r="GN121" s="249"/>
      <c r="GO121" s="249"/>
      <c r="GP121" s="249"/>
      <c r="GQ121" s="249"/>
      <c r="GR121" s="249"/>
    </row>
    <row r="122" spans="1:200" s="252" customFormat="1" ht="12.75" customHeight="1" x14ac:dyDescent="0.2">
      <c r="A122" s="729"/>
      <c r="B122" s="1130"/>
      <c r="C122" s="1130"/>
      <c r="D122" s="532"/>
      <c r="E122" s="613"/>
      <c r="F122" s="249"/>
      <c r="G122" s="250"/>
      <c r="H122" s="250"/>
      <c r="I122" s="250"/>
      <c r="J122" s="250"/>
      <c r="K122" s="250"/>
      <c r="L122" s="250"/>
      <c r="M122" s="250"/>
      <c r="N122" s="250"/>
      <c r="O122" s="250"/>
      <c r="P122" s="251"/>
      <c r="Q122" s="251"/>
      <c r="R122" s="251"/>
      <c r="S122" s="251"/>
      <c r="T122" s="251"/>
      <c r="U122" s="133"/>
      <c r="V122" s="1920" t="s">
        <v>1259</v>
      </c>
      <c r="W122" s="1922" t="s">
        <v>1269</v>
      </c>
      <c r="X122" s="1163"/>
      <c r="Y122" s="246">
        <f>IFERROR(ROUNDUP(INDEX('MUD Consumables'!$S$7:$S$14,MATCH(Y$107,'MUD Consumables'!$C$7:$C$14,0))*Y$106*$U$108,0),0)</f>
        <v>5</v>
      </c>
      <c r="Z122" s="1163"/>
      <c r="AA122" s="246">
        <f>IFERROR(ROUNDUP(INDEX('MUD Consumables'!$S$7:$S$14,MATCH(AA$107,'MUD Consumables'!$C$7:$C$14,0))*AA$106*$U$108,0),0)</f>
        <v>7</v>
      </c>
      <c r="AB122" s="1163"/>
      <c r="AC122" s="246">
        <f>IFERROR(ROUNDUP(INDEX('MUD Consumables'!$S$7:$S$14,MATCH(AC$107,'MUD Consumables'!$C$7:$C$14,0))*AC$106*$U$108,0),0)</f>
        <v>31</v>
      </c>
      <c r="AD122" s="1163"/>
      <c r="AE122" s="246">
        <f>IFERROR(ROUNDUP(INDEX('MUD Consumables'!$S$7:$S$14,MATCH(AE$107,'MUD Consumables'!$C$7:$C$14,0))*AE$106*$U$108,0),0)</f>
        <v>21</v>
      </c>
      <c r="AF122" s="1163"/>
      <c r="AG122" s="246">
        <f>IFERROR(ROUNDUP(INDEX('MUD Consumables'!$S$7:$S$14,MATCH(AG$107,'MUD Consumables'!$C$7:$C$14,0))*AG$106*$U$108,0),0)</f>
        <v>11</v>
      </c>
      <c r="AH122" s="1163"/>
      <c r="AI122" s="246">
        <f>IFERROR(ROUNDUP(INDEX('MUD Consumables'!$S$7:$S$14,MATCH(AI$107,'MUD Consumables'!$C$7:$C$14,0))*AI$106*$U$108,0),0)</f>
        <v>0</v>
      </c>
      <c r="AJ122" s="1163"/>
      <c r="AK122" s="246">
        <f>IFERROR(ROUNDUP(INDEX('MUD Consumables'!$S$7:$S$14,MATCH(AK$107,'MUD Consumables'!$C$7:$C$14,0))*AK$106*$U$108,0),0)</f>
        <v>0</v>
      </c>
      <c r="AL122" s="1163"/>
      <c r="AM122" s="1438">
        <f t="shared" si="52"/>
        <v>75</v>
      </c>
      <c r="AN122" s="254"/>
      <c r="AO122" s="249"/>
      <c r="AP122" s="250"/>
      <c r="AQ122" s="250"/>
      <c r="AR122" s="250"/>
      <c r="AS122" s="250"/>
      <c r="AT122" s="250"/>
      <c r="AU122" s="250"/>
      <c r="AV122" s="249"/>
      <c r="AW122" s="249"/>
      <c r="AX122" s="249"/>
      <c r="AY122" s="249"/>
      <c r="AZ122" s="249"/>
      <c r="BA122" s="249"/>
      <c r="BB122" s="249"/>
      <c r="BC122" s="249"/>
      <c r="BD122" s="249"/>
      <c r="BE122" s="249"/>
      <c r="BF122" s="249"/>
      <c r="BG122" s="249"/>
      <c r="BH122" s="249"/>
      <c r="BI122" s="249"/>
      <c r="BJ122" s="249"/>
      <c r="BK122" s="249"/>
      <c r="BL122" s="249"/>
      <c r="BM122" s="249"/>
      <c r="BN122" s="249"/>
      <c r="BO122" s="249"/>
      <c r="BP122" s="249"/>
      <c r="BQ122" s="249"/>
      <c r="BR122" s="249"/>
      <c r="BS122" s="249"/>
      <c r="BT122" s="249"/>
      <c r="BU122" s="249"/>
      <c r="BV122" s="249"/>
      <c r="BW122" s="249"/>
      <c r="BX122" s="249"/>
      <c r="BY122" s="249"/>
      <c r="BZ122" s="249"/>
      <c r="CA122" s="249"/>
      <c r="CB122" s="249"/>
      <c r="CC122" s="249"/>
      <c r="CD122" s="249"/>
      <c r="CE122" s="249"/>
      <c r="CF122" s="249"/>
      <c r="CG122" s="249"/>
      <c r="CH122" s="249"/>
      <c r="CI122" s="249"/>
      <c r="CJ122" s="249"/>
      <c r="CK122" s="249"/>
      <c r="CL122" s="249"/>
      <c r="CM122" s="249"/>
      <c r="CN122" s="249"/>
      <c r="CO122" s="249"/>
      <c r="CP122" s="249"/>
      <c r="CQ122" s="249"/>
      <c r="CR122" s="249"/>
      <c r="CS122" s="249"/>
      <c r="CT122" s="249"/>
      <c r="CU122" s="249"/>
      <c r="CV122" s="249"/>
      <c r="CW122" s="249"/>
      <c r="CX122" s="249"/>
      <c r="CY122" s="249"/>
      <c r="CZ122" s="249"/>
      <c r="DA122" s="249"/>
      <c r="DB122" s="249"/>
      <c r="DC122" s="249"/>
      <c r="DD122" s="249"/>
      <c r="DE122" s="249"/>
      <c r="DF122" s="249"/>
      <c r="DG122" s="249"/>
      <c r="DH122" s="249"/>
      <c r="DI122" s="249"/>
      <c r="DJ122" s="249"/>
      <c r="DK122" s="249"/>
      <c r="DL122" s="249"/>
      <c r="DM122" s="249"/>
      <c r="DN122" s="249"/>
      <c r="DO122" s="249"/>
      <c r="DP122" s="249"/>
      <c r="DQ122" s="249"/>
      <c r="DR122" s="249"/>
      <c r="DS122" s="249"/>
      <c r="DT122" s="249"/>
      <c r="DU122" s="249"/>
      <c r="DV122" s="249"/>
      <c r="DW122" s="249"/>
      <c r="DX122" s="249"/>
      <c r="DY122" s="249"/>
      <c r="DZ122" s="249"/>
      <c r="EA122" s="249"/>
      <c r="EB122" s="249"/>
      <c r="EC122" s="249"/>
      <c r="ED122" s="249"/>
      <c r="EE122" s="249"/>
      <c r="EF122" s="249"/>
      <c r="EG122" s="249"/>
      <c r="EH122" s="249"/>
      <c r="EI122" s="249"/>
      <c r="EJ122" s="249"/>
      <c r="EK122" s="249"/>
      <c r="EL122" s="249"/>
      <c r="EM122" s="249"/>
      <c r="EN122" s="249"/>
      <c r="EO122" s="249"/>
      <c r="EP122" s="249"/>
      <c r="EQ122" s="249"/>
      <c r="ER122" s="249"/>
      <c r="ES122" s="249"/>
      <c r="ET122" s="249"/>
      <c r="EU122" s="249"/>
      <c r="EV122" s="249"/>
      <c r="EW122" s="249"/>
      <c r="EX122" s="249"/>
      <c r="EY122" s="249"/>
      <c r="EZ122" s="249"/>
      <c r="FA122" s="249"/>
      <c r="FB122" s="249"/>
      <c r="FC122" s="249"/>
      <c r="FD122" s="249"/>
      <c r="FE122" s="249"/>
      <c r="FF122" s="249"/>
      <c r="FG122" s="249"/>
      <c r="FH122" s="249"/>
      <c r="FI122" s="249"/>
      <c r="FJ122" s="249"/>
      <c r="FK122" s="249"/>
      <c r="FL122" s="249"/>
      <c r="FM122" s="249"/>
      <c r="FN122" s="249"/>
      <c r="FO122" s="249"/>
      <c r="FP122" s="249"/>
      <c r="FQ122" s="249"/>
      <c r="FR122" s="249"/>
      <c r="FS122" s="249"/>
      <c r="FT122" s="249"/>
      <c r="FU122" s="249"/>
      <c r="FV122" s="249"/>
      <c r="FW122" s="249"/>
      <c r="FX122" s="249"/>
      <c r="FY122" s="249"/>
      <c r="FZ122" s="249"/>
      <c r="GA122" s="249"/>
      <c r="GB122" s="249"/>
      <c r="GC122" s="249"/>
      <c r="GD122" s="249"/>
      <c r="GE122" s="249"/>
      <c r="GF122" s="249"/>
      <c r="GG122" s="249"/>
      <c r="GH122" s="249"/>
      <c r="GI122" s="249"/>
      <c r="GJ122" s="249"/>
      <c r="GK122" s="249"/>
      <c r="GL122" s="249"/>
      <c r="GM122" s="249"/>
      <c r="GN122" s="249"/>
      <c r="GO122" s="249"/>
      <c r="GP122" s="249"/>
      <c r="GQ122" s="249"/>
      <c r="GR122" s="249"/>
    </row>
    <row r="123" spans="1:200" s="252" customFormat="1" ht="12.75" customHeight="1" x14ac:dyDescent="0.2">
      <c r="A123" s="729"/>
      <c r="B123" s="1130"/>
      <c r="C123" s="1130"/>
      <c r="D123" s="532"/>
      <c r="E123" s="613"/>
      <c r="F123" s="249"/>
      <c r="G123" s="250"/>
      <c r="H123" s="250"/>
      <c r="I123" s="250"/>
      <c r="J123" s="250"/>
      <c r="K123" s="250"/>
      <c r="L123" s="250"/>
      <c r="M123" s="250"/>
      <c r="N123" s="250"/>
      <c r="O123" s="250"/>
      <c r="P123" s="251"/>
      <c r="Q123" s="251"/>
      <c r="R123" s="251"/>
      <c r="S123" s="251"/>
      <c r="T123" s="251"/>
      <c r="U123" s="133"/>
      <c r="V123" s="1920" t="s">
        <v>1120</v>
      </c>
      <c r="W123" s="1922" t="s">
        <v>1269</v>
      </c>
      <c r="X123" s="1163"/>
      <c r="Y123" s="246">
        <f>IFERROR(ROUNDUP(INDEX('MUD Consumables'!$T$7:$T$14,MATCH(Y$107,'MUD Consumables'!$C$7:$C$14,0))*Y$106*$U$108,0),0)</f>
        <v>0</v>
      </c>
      <c r="Z123" s="1163"/>
      <c r="AA123" s="246">
        <f>IFERROR(ROUNDUP(INDEX('MUD Consumables'!$T$7:$T$14,MATCH(AA$107,'MUD Consumables'!$C$7:$C$14,0))*AA$106*$U$108,0),0)</f>
        <v>24</v>
      </c>
      <c r="AB123" s="1163"/>
      <c r="AC123" s="246">
        <f>IFERROR(ROUNDUP(INDEX('MUD Consumables'!$T$7:$T$14,MATCH(AC$107,'MUD Consumables'!$C$7:$C$14,0))*AC$106*$U$108,0),0)</f>
        <v>20</v>
      </c>
      <c r="AD123" s="1163"/>
      <c r="AE123" s="246">
        <f>IFERROR(ROUNDUP(INDEX('MUD Consumables'!$T$7:$T$14,MATCH(AE$107,'MUD Consumables'!$C$7:$C$14,0))*AE$106*$U$108,0),0)</f>
        <v>11</v>
      </c>
      <c r="AF123" s="1163"/>
      <c r="AG123" s="246">
        <f>IFERROR(ROUNDUP(INDEX('MUD Consumables'!$T$7:$T$14,MATCH(AG$107,'MUD Consumables'!$C$7:$C$14,0))*AG$106*$U$108,0),0)</f>
        <v>0</v>
      </c>
      <c r="AH123" s="1163"/>
      <c r="AI123" s="246">
        <f>IFERROR(ROUNDUP(INDEX('MUD Consumables'!$T$7:$T$14,MATCH(AI$107,'MUD Consumables'!$C$7:$C$14,0))*AI$106*$U$108,0),0)</f>
        <v>0</v>
      </c>
      <c r="AJ123" s="1163"/>
      <c r="AK123" s="246">
        <f>IFERROR(ROUNDUP(INDEX('MUD Consumables'!$T$7:$T$14,MATCH(AK$107,'MUD Consumables'!$C$7:$C$14,0))*AK$106*$U$108,0),0)</f>
        <v>0</v>
      </c>
      <c r="AL123" s="1163"/>
      <c r="AM123" s="1438">
        <f t="shared" si="52"/>
        <v>55</v>
      </c>
      <c r="AN123" s="254"/>
      <c r="AO123" s="249"/>
      <c r="AP123" s="250"/>
      <c r="AQ123" s="250"/>
      <c r="AR123" s="250"/>
      <c r="AS123" s="250"/>
      <c r="AT123" s="250"/>
      <c r="AU123" s="250"/>
      <c r="AV123" s="249"/>
      <c r="AW123" s="249"/>
      <c r="AX123" s="249"/>
      <c r="AY123" s="249"/>
      <c r="AZ123" s="249"/>
      <c r="BA123" s="249"/>
      <c r="BB123" s="249"/>
      <c r="BC123" s="249"/>
      <c r="BD123" s="249"/>
      <c r="BE123" s="249"/>
      <c r="BF123" s="249"/>
      <c r="BG123" s="249"/>
      <c r="BH123" s="249"/>
      <c r="BI123" s="249"/>
      <c r="BJ123" s="249"/>
      <c r="BK123" s="249"/>
      <c r="BL123" s="249"/>
      <c r="BM123" s="249"/>
      <c r="BN123" s="249"/>
      <c r="BO123" s="249"/>
      <c r="BP123" s="249"/>
      <c r="BQ123" s="249"/>
      <c r="BR123" s="249"/>
      <c r="BS123" s="249"/>
      <c r="BT123" s="249"/>
      <c r="BU123" s="249"/>
      <c r="BV123" s="249"/>
      <c r="BW123" s="249"/>
      <c r="BX123" s="249"/>
      <c r="BY123" s="249"/>
      <c r="BZ123" s="249"/>
      <c r="CA123" s="249"/>
      <c r="CB123" s="249"/>
      <c r="CC123" s="249"/>
      <c r="CD123" s="249"/>
      <c r="CE123" s="249"/>
      <c r="CF123" s="249"/>
      <c r="CG123" s="249"/>
      <c r="CH123" s="249"/>
      <c r="CI123" s="249"/>
      <c r="CJ123" s="249"/>
      <c r="CK123" s="249"/>
      <c r="CL123" s="249"/>
      <c r="CM123" s="249"/>
      <c r="CN123" s="249"/>
      <c r="CO123" s="249"/>
      <c r="CP123" s="249"/>
      <c r="CQ123" s="249"/>
      <c r="CR123" s="249"/>
      <c r="CS123" s="249"/>
      <c r="CT123" s="249"/>
      <c r="CU123" s="249"/>
      <c r="CV123" s="249"/>
      <c r="CW123" s="249"/>
      <c r="CX123" s="249"/>
      <c r="CY123" s="249"/>
      <c r="CZ123" s="249"/>
      <c r="DA123" s="249"/>
      <c r="DB123" s="249"/>
      <c r="DC123" s="249"/>
      <c r="DD123" s="249"/>
      <c r="DE123" s="249"/>
      <c r="DF123" s="249"/>
      <c r="DG123" s="249"/>
      <c r="DH123" s="249"/>
      <c r="DI123" s="249"/>
      <c r="DJ123" s="249"/>
      <c r="DK123" s="249"/>
      <c r="DL123" s="249"/>
      <c r="DM123" s="249"/>
      <c r="DN123" s="249"/>
      <c r="DO123" s="249"/>
      <c r="DP123" s="249"/>
      <c r="DQ123" s="249"/>
      <c r="DR123" s="249"/>
      <c r="DS123" s="249"/>
      <c r="DT123" s="249"/>
      <c r="DU123" s="249"/>
      <c r="DV123" s="249"/>
      <c r="DW123" s="249"/>
      <c r="DX123" s="249"/>
      <c r="DY123" s="249"/>
      <c r="DZ123" s="249"/>
      <c r="EA123" s="249"/>
      <c r="EB123" s="249"/>
      <c r="EC123" s="249"/>
      <c r="ED123" s="249"/>
      <c r="EE123" s="249"/>
      <c r="EF123" s="249"/>
      <c r="EG123" s="249"/>
      <c r="EH123" s="249"/>
      <c r="EI123" s="249"/>
      <c r="EJ123" s="249"/>
      <c r="EK123" s="249"/>
      <c r="EL123" s="249"/>
      <c r="EM123" s="249"/>
      <c r="EN123" s="249"/>
      <c r="EO123" s="249"/>
      <c r="EP123" s="249"/>
      <c r="EQ123" s="249"/>
      <c r="ER123" s="249"/>
      <c r="ES123" s="249"/>
      <c r="ET123" s="249"/>
      <c r="EU123" s="249"/>
      <c r="EV123" s="249"/>
      <c r="EW123" s="249"/>
      <c r="EX123" s="249"/>
      <c r="EY123" s="249"/>
      <c r="EZ123" s="249"/>
      <c r="FA123" s="249"/>
      <c r="FB123" s="249"/>
      <c r="FC123" s="249"/>
      <c r="FD123" s="249"/>
      <c r="FE123" s="249"/>
      <c r="FF123" s="249"/>
      <c r="FG123" s="249"/>
      <c r="FH123" s="249"/>
      <c r="FI123" s="249"/>
      <c r="FJ123" s="249"/>
      <c r="FK123" s="249"/>
      <c r="FL123" s="249"/>
      <c r="FM123" s="249"/>
      <c r="FN123" s="249"/>
      <c r="FO123" s="249"/>
      <c r="FP123" s="249"/>
      <c r="FQ123" s="249"/>
      <c r="FR123" s="249"/>
      <c r="FS123" s="249"/>
      <c r="FT123" s="249"/>
      <c r="FU123" s="249"/>
      <c r="FV123" s="249"/>
      <c r="FW123" s="249"/>
      <c r="FX123" s="249"/>
      <c r="FY123" s="249"/>
      <c r="FZ123" s="249"/>
      <c r="GA123" s="249"/>
      <c r="GB123" s="249"/>
      <c r="GC123" s="249"/>
      <c r="GD123" s="249"/>
      <c r="GE123" s="249"/>
      <c r="GF123" s="249"/>
      <c r="GG123" s="249"/>
      <c r="GH123" s="249"/>
      <c r="GI123" s="249"/>
      <c r="GJ123" s="249"/>
      <c r="GK123" s="249"/>
      <c r="GL123" s="249"/>
      <c r="GM123" s="249"/>
      <c r="GN123" s="249"/>
      <c r="GO123" s="249"/>
      <c r="GP123" s="249"/>
      <c r="GQ123" s="249"/>
      <c r="GR123" s="249"/>
    </row>
    <row r="124" spans="1:200" s="252" customFormat="1" ht="12.75" customHeight="1" x14ac:dyDescent="0.2">
      <c r="A124" s="729"/>
      <c r="B124" s="1130"/>
      <c r="C124" s="1130"/>
      <c r="D124" s="532"/>
      <c r="E124" s="613"/>
      <c r="F124" s="249"/>
      <c r="G124" s="250"/>
      <c r="H124" s="250"/>
      <c r="I124" s="250"/>
      <c r="J124" s="250"/>
      <c r="K124" s="250"/>
      <c r="L124" s="250"/>
      <c r="M124" s="250"/>
      <c r="N124" s="250"/>
      <c r="O124" s="250"/>
      <c r="P124" s="251"/>
      <c r="Q124" s="251"/>
      <c r="R124" s="251"/>
      <c r="S124" s="251"/>
      <c r="T124" s="251"/>
      <c r="U124" s="133"/>
      <c r="V124" s="1920" t="s">
        <v>1260</v>
      </c>
      <c r="W124" s="1922" t="s">
        <v>1271</v>
      </c>
      <c r="X124" s="1163"/>
      <c r="Y124" s="246">
        <f>IFERROR(ROUNDUP(INDEX('MUD Consumables'!$U$7:$U$14,MATCH(Y$107,'MUD Consumables'!$C$7:$C$14,0))*Y$106*$U$108,0),0)</f>
        <v>3</v>
      </c>
      <c r="Z124" s="1163"/>
      <c r="AA124" s="246">
        <f>IFERROR(ROUNDUP(INDEX('MUD Consumables'!$U$7:$U$14,MATCH(AA$107,'MUD Consumables'!$C$7:$C$14,0))*AA$106*$U$108,0),0)</f>
        <v>10</v>
      </c>
      <c r="AB124" s="1163"/>
      <c r="AC124" s="246">
        <f>IFERROR(ROUNDUP(INDEX('MUD Consumables'!$U$7:$U$14,MATCH(AC$107,'MUD Consumables'!$C$7:$C$14,0))*AC$106*$U$108,0),0)</f>
        <v>14</v>
      </c>
      <c r="AD124" s="1163"/>
      <c r="AE124" s="246">
        <f>IFERROR(ROUNDUP(INDEX('MUD Consumables'!$U$7:$U$14,MATCH(AE$107,'MUD Consumables'!$C$7:$C$14,0))*AE$106*$U$108,0),0)</f>
        <v>9</v>
      </c>
      <c r="AF124" s="1163"/>
      <c r="AG124" s="246">
        <f>IFERROR(ROUNDUP(INDEX('MUD Consumables'!$U$7:$U$14,MATCH(AG$107,'MUD Consumables'!$C$7:$C$14,0))*AG$106*$U$108,0),0)</f>
        <v>14</v>
      </c>
      <c r="AH124" s="1163"/>
      <c r="AI124" s="246">
        <f>IFERROR(ROUNDUP(INDEX('MUD Consumables'!$U$7:$U$14,MATCH(AI$107,'MUD Consumables'!$C$7:$C$14,0))*AI$106*$U$108,0),0)</f>
        <v>0</v>
      </c>
      <c r="AJ124" s="1163"/>
      <c r="AK124" s="246">
        <f>IFERROR(ROUNDUP(INDEX('MUD Consumables'!$U$7:$U$14,MATCH(AK$107,'MUD Consumables'!$C$7:$C$14,0))*AK$106*$U$108,0),0)</f>
        <v>0</v>
      </c>
      <c r="AL124" s="1163"/>
      <c r="AM124" s="1438">
        <f t="shared" si="52"/>
        <v>50</v>
      </c>
      <c r="AN124" s="254"/>
      <c r="AO124" s="249"/>
      <c r="AP124" s="250"/>
      <c r="AQ124" s="250"/>
      <c r="AR124" s="250"/>
      <c r="AS124" s="250"/>
      <c r="AT124" s="250"/>
      <c r="AU124" s="250"/>
      <c r="AV124" s="249"/>
      <c r="AW124" s="249"/>
      <c r="AX124" s="249"/>
      <c r="AY124" s="249"/>
      <c r="AZ124" s="249"/>
      <c r="BA124" s="249"/>
      <c r="BB124" s="249"/>
      <c r="BC124" s="249"/>
      <c r="BD124" s="249"/>
      <c r="BE124" s="249"/>
      <c r="BF124" s="249"/>
      <c r="BG124" s="249"/>
      <c r="BH124" s="249"/>
      <c r="BI124" s="249"/>
      <c r="BJ124" s="249"/>
      <c r="BK124" s="249"/>
      <c r="BL124" s="249"/>
      <c r="BM124" s="249"/>
      <c r="BN124" s="249"/>
      <c r="BO124" s="249"/>
      <c r="BP124" s="249"/>
      <c r="BQ124" s="249"/>
      <c r="BR124" s="249"/>
      <c r="BS124" s="249"/>
      <c r="BT124" s="249"/>
      <c r="BU124" s="249"/>
      <c r="BV124" s="249"/>
      <c r="BW124" s="249"/>
      <c r="BX124" s="249"/>
      <c r="BY124" s="249"/>
      <c r="BZ124" s="249"/>
      <c r="CA124" s="249"/>
      <c r="CB124" s="249"/>
      <c r="CC124" s="249"/>
      <c r="CD124" s="249"/>
      <c r="CE124" s="249"/>
      <c r="CF124" s="249"/>
      <c r="CG124" s="249"/>
      <c r="CH124" s="249"/>
      <c r="CI124" s="249"/>
      <c r="CJ124" s="249"/>
      <c r="CK124" s="249"/>
      <c r="CL124" s="249"/>
      <c r="CM124" s="249"/>
      <c r="CN124" s="249"/>
      <c r="CO124" s="249"/>
      <c r="CP124" s="249"/>
      <c r="CQ124" s="249"/>
      <c r="CR124" s="249"/>
      <c r="CS124" s="249"/>
      <c r="CT124" s="249"/>
      <c r="CU124" s="249"/>
      <c r="CV124" s="249"/>
      <c r="CW124" s="249"/>
      <c r="CX124" s="249"/>
      <c r="CY124" s="249"/>
      <c r="CZ124" s="249"/>
      <c r="DA124" s="249"/>
      <c r="DB124" s="249"/>
      <c r="DC124" s="249"/>
      <c r="DD124" s="249"/>
      <c r="DE124" s="249"/>
      <c r="DF124" s="249"/>
      <c r="DG124" s="249"/>
      <c r="DH124" s="249"/>
      <c r="DI124" s="249"/>
      <c r="DJ124" s="249"/>
      <c r="DK124" s="249"/>
      <c r="DL124" s="249"/>
      <c r="DM124" s="249"/>
      <c r="DN124" s="249"/>
      <c r="DO124" s="249"/>
      <c r="DP124" s="249"/>
      <c r="DQ124" s="249"/>
      <c r="DR124" s="249"/>
      <c r="DS124" s="249"/>
      <c r="DT124" s="249"/>
      <c r="DU124" s="249"/>
      <c r="DV124" s="249"/>
      <c r="DW124" s="249"/>
      <c r="DX124" s="249"/>
      <c r="DY124" s="249"/>
      <c r="DZ124" s="249"/>
      <c r="EA124" s="249"/>
      <c r="EB124" s="249"/>
      <c r="EC124" s="249"/>
      <c r="ED124" s="249"/>
      <c r="EE124" s="249"/>
      <c r="EF124" s="249"/>
      <c r="EG124" s="249"/>
      <c r="EH124" s="249"/>
      <c r="EI124" s="249"/>
      <c r="EJ124" s="249"/>
      <c r="EK124" s="249"/>
      <c r="EL124" s="249"/>
      <c r="EM124" s="249"/>
      <c r="EN124" s="249"/>
      <c r="EO124" s="249"/>
      <c r="EP124" s="249"/>
      <c r="EQ124" s="249"/>
      <c r="ER124" s="249"/>
      <c r="ES124" s="249"/>
      <c r="ET124" s="249"/>
      <c r="EU124" s="249"/>
      <c r="EV124" s="249"/>
      <c r="EW124" s="249"/>
      <c r="EX124" s="249"/>
      <c r="EY124" s="249"/>
      <c r="EZ124" s="249"/>
      <c r="FA124" s="249"/>
      <c r="FB124" s="249"/>
      <c r="FC124" s="249"/>
      <c r="FD124" s="249"/>
      <c r="FE124" s="249"/>
      <c r="FF124" s="249"/>
      <c r="FG124" s="249"/>
      <c r="FH124" s="249"/>
      <c r="FI124" s="249"/>
      <c r="FJ124" s="249"/>
      <c r="FK124" s="249"/>
      <c r="FL124" s="249"/>
      <c r="FM124" s="249"/>
      <c r="FN124" s="249"/>
      <c r="FO124" s="249"/>
      <c r="FP124" s="249"/>
      <c r="FQ124" s="249"/>
      <c r="FR124" s="249"/>
      <c r="FS124" s="249"/>
      <c r="FT124" s="249"/>
      <c r="FU124" s="249"/>
      <c r="FV124" s="249"/>
      <c r="FW124" s="249"/>
      <c r="FX124" s="249"/>
      <c r="FY124" s="249"/>
      <c r="FZ124" s="249"/>
      <c r="GA124" s="249"/>
      <c r="GB124" s="249"/>
      <c r="GC124" s="249"/>
      <c r="GD124" s="249"/>
      <c r="GE124" s="249"/>
      <c r="GF124" s="249"/>
      <c r="GG124" s="249"/>
      <c r="GH124" s="249"/>
      <c r="GI124" s="249"/>
      <c r="GJ124" s="249"/>
      <c r="GK124" s="249"/>
      <c r="GL124" s="249"/>
      <c r="GM124" s="249"/>
      <c r="GN124" s="249"/>
      <c r="GO124" s="249"/>
      <c r="GP124" s="249"/>
      <c r="GQ124" s="249"/>
      <c r="GR124" s="249"/>
    </row>
    <row r="125" spans="1:200" s="252" customFormat="1" ht="12.75" customHeight="1" x14ac:dyDescent="0.2">
      <c r="A125" s="729"/>
      <c r="B125" s="1130"/>
      <c r="C125" s="1130"/>
      <c r="D125" s="532"/>
      <c r="E125" s="613"/>
      <c r="F125" s="249"/>
      <c r="G125" s="250"/>
      <c r="H125" s="250"/>
      <c r="I125" s="250"/>
      <c r="J125" s="250"/>
      <c r="K125" s="250"/>
      <c r="L125" s="250"/>
      <c r="M125" s="250"/>
      <c r="N125" s="250"/>
      <c r="O125" s="250"/>
      <c r="P125" s="251"/>
      <c r="Q125" s="251"/>
      <c r="R125" s="251"/>
      <c r="S125" s="251"/>
      <c r="T125" s="251"/>
      <c r="U125" s="133"/>
      <c r="V125" s="1920" t="s">
        <v>1261</v>
      </c>
      <c r="W125" s="1922" t="s">
        <v>1269</v>
      </c>
      <c r="X125" s="1163"/>
      <c r="Y125" s="246">
        <f>IFERROR(ROUNDUP(INDEX('MUD Consumables'!$V$7:$V$14,MATCH(Y$107,'MUD Consumables'!$C$7:$C$14,0))*Y$106*$U$108,0),0)</f>
        <v>0</v>
      </c>
      <c r="Z125" s="1163"/>
      <c r="AA125" s="246">
        <f>IFERROR(ROUNDUP(INDEX('MUD Consumables'!$V$7:$V$14,MATCH(AA$107,'MUD Consumables'!$C$7:$C$14,0))*AA$106*$U$108,0),0)</f>
        <v>0</v>
      </c>
      <c r="AB125" s="1163"/>
      <c r="AC125" s="246">
        <f>IFERROR(ROUNDUP(INDEX('MUD Consumables'!$V$7:$V$14,MATCH(AC$107,'MUD Consumables'!$C$7:$C$14,0))*AC$106*$U$108,0),0)</f>
        <v>4</v>
      </c>
      <c r="AD125" s="1163"/>
      <c r="AE125" s="246">
        <f>IFERROR(ROUNDUP(INDEX('MUD Consumables'!$V$7:$V$14,MATCH(AE$107,'MUD Consumables'!$C$7:$C$14,0))*AE$106*$U$108,0),0)</f>
        <v>12</v>
      </c>
      <c r="AF125" s="1163"/>
      <c r="AG125" s="246">
        <f>IFERROR(ROUNDUP(INDEX('MUD Consumables'!$V$7:$V$14,MATCH(AG$107,'MUD Consumables'!$C$7:$C$14,0))*AG$106*$U$108,0),0)</f>
        <v>0</v>
      </c>
      <c r="AH125" s="1163"/>
      <c r="AI125" s="246">
        <f>IFERROR(ROUNDUP(INDEX('MUD Consumables'!$V$7:$V$14,MATCH(AI$107,'MUD Consumables'!$C$7:$C$14,0))*AI$106*$U$108,0),0)</f>
        <v>0</v>
      </c>
      <c r="AJ125" s="1163"/>
      <c r="AK125" s="246">
        <f>IFERROR(ROUNDUP(INDEX('MUD Consumables'!$V$7:$V$14,MATCH(AK$107,'MUD Consumables'!$C$7:$C$14,0))*AK$106*$U$108,0),0)</f>
        <v>0</v>
      </c>
      <c r="AL125" s="1163"/>
      <c r="AM125" s="1438">
        <f t="shared" si="52"/>
        <v>16</v>
      </c>
      <c r="AN125" s="254"/>
      <c r="AO125" s="249"/>
      <c r="AP125" s="250"/>
      <c r="AQ125" s="250"/>
      <c r="AR125" s="250"/>
      <c r="AS125" s="250"/>
      <c r="AT125" s="250"/>
      <c r="AU125" s="250"/>
      <c r="AV125" s="249"/>
      <c r="AW125" s="249"/>
      <c r="AX125" s="249"/>
      <c r="AY125" s="249"/>
      <c r="AZ125" s="249"/>
      <c r="BA125" s="249"/>
      <c r="BB125" s="249"/>
      <c r="BC125" s="249"/>
      <c r="BD125" s="249"/>
      <c r="BE125" s="249"/>
      <c r="BF125" s="249"/>
      <c r="BG125" s="249"/>
      <c r="BH125" s="249"/>
      <c r="BI125" s="249"/>
      <c r="BJ125" s="249"/>
      <c r="BK125" s="249"/>
      <c r="BL125" s="249"/>
      <c r="BM125" s="249"/>
      <c r="BN125" s="249"/>
      <c r="BO125" s="249"/>
      <c r="BP125" s="249"/>
      <c r="BQ125" s="249"/>
      <c r="BR125" s="249"/>
      <c r="BS125" s="249"/>
      <c r="BT125" s="249"/>
      <c r="BU125" s="249"/>
      <c r="BV125" s="249"/>
      <c r="BW125" s="249"/>
      <c r="BX125" s="249"/>
      <c r="BY125" s="249"/>
      <c r="BZ125" s="249"/>
      <c r="CA125" s="249"/>
      <c r="CB125" s="249"/>
      <c r="CC125" s="249"/>
      <c r="CD125" s="249"/>
      <c r="CE125" s="249"/>
      <c r="CF125" s="249"/>
      <c r="CG125" s="249"/>
      <c r="CH125" s="249"/>
      <c r="CI125" s="249"/>
      <c r="CJ125" s="249"/>
      <c r="CK125" s="249"/>
      <c r="CL125" s="249"/>
      <c r="CM125" s="249"/>
      <c r="CN125" s="249"/>
      <c r="CO125" s="249"/>
      <c r="CP125" s="249"/>
      <c r="CQ125" s="249"/>
      <c r="CR125" s="249"/>
      <c r="CS125" s="249"/>
      <c r="CT125" s="249"/>
      <c r="CU125" s="249"/>
      <c r="CV125" s="249"/>
      <c r="CW125" s="249"/>
      <c r="CX125" s="249"/>
      <c r="CY125" s="249"/>
      <c r="CZ125" s="249"/>
      <c r="DA125" s="249"/>
      <c r="DB125" s="249"/>
      <c r="DC125" s="249"/>
      <c r="DD125" s="249"/>
      <c r="DE125" s="249"/>
      <c r="DF125" s="249"/>
      <c r="DG125" s="249"/>
      <c r="DH125" s="249"/>
      <c r="DI125" s="249"/>
      <c r="DJ125" s="249"/>
      <c r="DK125" s="249"/>
      <c r="DL125" s="249"/>
      <c r="DM125" s="249"/>
      <c r="DN125" s="249"/>
      <c r="DO125" s="249"/>
      <c r="DP125" s="249"/>
      <c r="DQ125" s="249"/>
      <c r="DR125" s="249"/>
      <c r="DS125" s="249"/>
      <c r="DT125" s="249"/>
      <c r="DU125" s="249"/>
      <c r="DV125" s="249"/>
      <c r="DW125" s="249"/>
      <c r="DX125" s="249"/>
      <c r="DY125" s="249"/>
      <c r="DZ125" s="249"/>
      <c r="EA125" s="249"/>
      <c r="EB125" s="249"/>
      <c r="EC125" s="249"/>
      <c r="ED125" s="249"/>
      <c r="EE125" s="249"/>
      <c r="EF125" s="249"/>
      <c r="EG125" s="249"/>
      <c r="EH125" s="249"/>
      <c r="EI125" s="249"/>
      <c r="EJ125" s="249"/>
      <c r="EK125" s="249"/>
      <c r="EL125" s="249"/>
      <c r="EM125" s="249"/>
      <c r="EN125" s="249"/>
      <c r="EO125" s="249"/>
      <c r="EP125" s="249"/>
      <c r="EQ125" s="249"/>
      <c r="ER125" s="249"/>
      <c r="ES125" s="249"/>
      <c r="ET125" s="249"/>
      <c r="EU125" s="249"/>
      <c r="EV125" s="249"/>
      <c r="EW125" s="249"/>
      <c r="EX125" s="249"/>
      <c r="EY125" s="249"/>
      <c r="EZ125" s="249"/>
      <c r="FA125" s="249"/>
      <c r="FB125" s="249"/>
      <c r="FC125" s="249"/>
      <c r="FD125" s="249"/>
      <c r="FE125" s="249"/>
      <c r="FF125" s="249"/>
      <c r="FG125" s="249"/>
      <c r="FH125" s="249"/>
      <c r="FI125" s="249"/>
      <c r="FJ125" s="249"/>
      <c r="FK125" s="249"/>
      <c r="FL125" s="249"/>
      <c r="FM125" s="249"/>
      <c r="FN125" s="249"/>
      <c r="FO125" s="249"/>
      <c r="FP125" s="249"/>
      <c r="FQ125" s="249"/>
      <c r="FR125" s="249"/>
      <c r="FS125" s="249"/>
      <c r="FT125" s="249"/>
      <c r="FU125" s="249"/>
      <c r="FV125" s="249"/>
      <c r="FW125" s="249"/>
      <c r="FX125" s="249"/>
      <c r="FY125" s="249"/>
      <c r="FZ125" s="249"/>
      <c r="GA125" s="249"/>
      <c r="GB125" s="249"/>
      <c r="GC125" s="249"/>
      <c r="GD125" s="249"/>
      <c r="GE125" s="249"/>
      <c r="GF125" s="249"/>
      <c r="GG125" s="249"/>
      <c r="GH125" s="249"/>
      <c r="GI125" s="249"/>
      <c r="GJ125" s="249"/>
      <c r="GK125" s="249"/>
      <c r="GL125" s="249"/>
      <c r="GM125" s="249"/>
      <c r="GN125" s="249"/>
      <c r="GO125" s="249"/>
      <c r="GP125" s="249"/>
      <c r="GQ125" s="249"/>
      <c r="GR125" s="249"/>
    </row>
    <row r="126" spans="1:200" s="252" customFormat="1" ht="12.75" customHeight="1" x14ac:dyDescent="0.2">
      <c r="A126" s="729"/>
      <c r="B126" s="1130"/>
      <c r="C126" s="1130"/>
      <c r="D126" s="532"/>
      <c r="E126" s="613"/>
      <c r="F126" s="249"/>
      <c r="G126" s="250"/>
      <c r="H126" s="250"/>
      <c r="I126" s="250"/>
      <c r="J126" s="250"/>
      <c r="K126" s="250"/>
      <c r="L126" s="250"/>
      <c r="M126" s="250"/>
      <c r="N126" s="250"/>
      <c r="O126" s="250"/>
      <c r="P126" s="251"/>
      <c r="Q126" s="251"/>
      <c r="R126" s="251"/>
      <c r="S126" s="251"/>
      <c r="T126" s="251"/>
      <c r="U126" s="133"/>
      <c r="V126" s="1920" t="s">
        <v>1262</v>
      </c>
      <c r="W126" s="1922" t="s">
        <v>1269</v>
      </c>
      <c r="X126" s="1163"/>
      <c r="Y126" s="246">
        <f>IFERROR(ROUNDUP(INDEX('MUD Consumables'!$W$7:$W$14,MATCH(Y$107,'MUD Consumables'!$C$7:$C$14,0))*Y$106*$U$108,0),0)</f>
        <v>0</v>
      </c>
      <c r="Z126" s="1163"/>
      <c r="AA126" s="246">
        <f>IFERROR(ROUNDUP(INDEX('MUD Consumables'!$W$7:$W$14,MATCH(AA$107,'MUD Consumables'!$C$7:$C$14,0))*AA$106*$U$108,0),0)</f>
        <v>0</v>
      </c>
      <c r="AB126" s="1163"/>
      <c r="AC126" s="246">
        <f>IFERROR(ROUNDUP(INDEX('MUD Consumables'!$W$7:$W$14,MATCH(AC$107,'MUD Consumables'!$C$7:$C$14,0))*AC$106*$U$108,0),0)</f>
        <v>0</v>
      </c>
      <c r="AD126" s="1163"/>
      <c r="AE126" s="246">
        <f>IFERROR(ROUNDUP(INDEX('MUD Consumables'!$W$7:$W$14,MATCH(AE$107,'MUD Consumables'!$C$7:$C$14,0))*AE$106*$U$108,0),0)</f>
        <v>0</v>
      </c>
      <c r="AF126" s="1163"/>
      <c r="AG126" s="246">
        <f>IFERROR(ROUNDUP(INDEX('MUD Consumables'!$W$7:$W$14,MATCH(AG$107,'MUD Consumables'!$C$7:$C$14,0))*AG$106*$U$108,0),0)</f>
        <v>0</v>
      </c>
      <c r="AH126" s="1163"/>
      <c r="AI126" s="246">
        <f>IFERROR(ROUNDUP(INDEX('MUD Consumables'!$W$7:$W$14,MATCH(AI$107,'MUD Consumables'!$C$7:$C$14,0))*AI$106*$U$108,0),0)</f>
        <v>0</v>
      </c>
      <c r="AJ126" s="1163"/>
      <c r="AK126" s="246">
        <f>IFERROR(ROUNDUP(INDEX('MUD Consumables'!$W$7:$W$14,MATCH(AK$107,'MUD Consumables'!$C$7:$C$14,0))*AK$106*$U$108,0),0)</f>
        <v>0</v>
      </c>
      <c r="AL126" s="1163"/>
      <c r="AM126" s="1438">
        <f t="shared" si="52"/>
        <v>0</v>
      </c>
      <c r="AN126" s="254"/>
      <c r="AO126" s="249"/>
      <c r="AP126" s="250"/>
      <c r="AQ126" s="250"/>
      <c r="AR126" s="250"/>
      <c r="AS126" s="250"/>
      <c r="AT126" s="250"/>
      <c r="AU126" s="250"/>
      <c r="AV126" s="249"/>
      <c r="AW126" s="249"/>
      <c r="AX126" s="249"/>
      <c r="AY126" s="249"/>
      <c r="AZ126" s="249"/>
      <c r="BA126" s="249"/>
      <c r="BB126" s="249"/>
      <c r="BC126" s="249"/>
      <c r="BD126" s="249"/>
      <c r="BE126" s="249"/>
      <c r="BF126" s="249"/>
      <c r="BG126" s="249"/>
      <c r="BH126" s="249"/>
      <c r="BI126" s="249"/>
      <c r="BJ126" s="249"/>
      <c r="BK126" s="249"/>
      <c r="BL126" s="249"/>
      <c r="BM126" s="249"/>
      <c r="BN126" s="249"/>
      <c r="BO126" s="249"/>
      <c r="BP126" s="249"/>
      <c r="BQ126" s="249"/>
      <c r="BR126" s="249"/>
      <c r="BS126" s="249"/>
      <c r="BT126" s="249"/>
      <c r="BU126" s="249"/>
      <c r="BV126" s="249"/>
      <c r="BW126" s="249"/>
      <c r="BX126" s="249"/>
      <c r="BY126" s="249"/>
      <c r="BZ126" s="249"/>
      <c r="CA126" s="249"/>
      <c r="CB126" s="249"/>
      <c r="CC126" s="249"/>
      <c r="CD126" s="249"/>
      <c r="CE126" s="249"/>
      <c r="CF126" s="249"/>
      <c r="CG126" s="249"/>
      <c r="CH126" s="249"/>
      <c r="CI126" s="249"/>
      <c r="CJ126" s="249"/>
      <c r="CK126" s="249"/>
      <c r="CL126" s="249"/>
      <c r="CM126" s="249"/>
      <c r="CN126" s="249"/>
      <c r="CO126" s="249"/>
      <c r="CP126" s="249"/>
      <c r="CQ126" s="249"/>
      <c r="CR126" s="249"/>
      <c r="CS126" s="249"/>
      <c r="CT126" s="249"/>
      <c r="CU126" s="249"/>
      <c r="CV126" s="249"/>
      <c r="CW126" s="249"/>
      <c r="CX126" s="249"/>
      <c r="CY126" s="249"/>
      <c r="CZ126" s="249"/>
      <c r="DA126" s="249"/>
      <c r="DB126" s="249"/>
      <c r="DC126" s="249"/>
      <c r="DD126" s="249"/>
      <c r="DE126" s="249"/>
      <c r="DF126" s="249"/>
      <c r="DG126" s="249"/>
      <c r="DH126" s="249"/>
      <c r="DI126" s="249"/>
      <c r="DJ126" s="249"/>
      <c r="DK126" s="249"/>
      <c r="DL126" s="249"/>
      <c r="DM126" s="249"/>
      <c r="DN126" s="249"/>
      <c r="DO126" s="249"/>
      <c r="DP126" s="249"/>
      <c r="DQ126" s="249"/>
      <c r="DR126" s="249"/>
      <c r="DS126" s="249"/>
      <c r="DT126" s="249"/>
      <c r="DU126" s="249"/>
      <c r="DV126" s="249"/>
      <c r="DW126" s="249"/>
      <c r="DX126" s="249"/>
      <c r="DY126" s="249"/>
      <c r="DZ126" s="249"/>
      <c r="EA126" s="249"/>
      <c r="EB126" s="249"/>
      <c r="EC126" s="249"/>
      <c r="ED126" s="249"/>
      <c r="EE126" s="249"/>
      <c r="EF126" s="249"/>
      <c r="EG126" s="249"/>
      <c r="EH126" s="249"/>
      <c r="EI126" s="249"/>
      <c r="EJ126" s="249"/>
      <c r="EK126" s="249"/>
      <c r="EL126" s="249"/>
      <c r="EM126" s="249"/>
      <c r="EN126" s="249"/>
      <c r="EO126" s="249"/>
      <c r="EP126" s="249"/>
      <c r="EQ126" s="249"/>
      <c r="ER126" s="249"/>
      <c r="ES126" s="249"/>
      <c r="ET126" s="249"/>
      <c r="EU126" s="249"/>
      <c r="EV126" s="249"/>
      <c r="EW126" s="249"/>
      <c r="EX126" s="249"/>
      <c r="EY126" s="249"/>
      <c r="EZ126" s="249"/>
      <c r="FA126" s="249"/>
      <c r="FB126" s="249"/>
      <c r="FC126" s="249"/>
      <c r="FD126" s="249"/>
      <c r="FE126" s="249"/>
      <c r="FF126" s="249"/>
      <c r="FG126" s="249"/>
      <c r="FH126" s="249"/>
      <c r="FI126" s="249"/>
      <c r="FJ126" s="249"/>
      <c r="FK126" s="249"/>
      <c r="FL126" s="249"/>
      <c r="FM126" s="249"/>
      <c r="FN126" s="249"/>
      <c r="FO126" s="249"/>
      <c r="FP126" s="249"/>
      <c r="FQ126" s="249"/>
      <c r="FR126" s="249"/>
      <c r="FS126" s="249"/>
      <c r="FT126" s="249"/>
      <c r="FU126" s="249"/>
      <c r="FV126" s="249"/>
      <c r="FW126" s="249"/>
      <c r="FX126" s="249"/>
      <c r="FY126" s="249"/>
      <c r="FZ126" s="249"/>
      <c r="GA126" s="249"/>
      <c r="GB126" s="249"/>
      <c r="GC126" s="249"/>
      <c r="GD126" s="249"/>
      <c r="GE126" s="249"/>
      <c r="GF126" s="249"/>
      <c r="GG126" s="249"/>
      <c r="GH126" s="249"/>
      <c r="GI126" s="249"/>
      <c r="GJ126" s="249"/>
      <c r="GK126" s="249"/>
      <c r="GL126" s="249"/>
      <c r="GM126" s="249"/>
      <c r="GN126" s="249"/>
      <c r="GO126" s="249"/>
      <c r="GP126" s="249"/>
      <c r="GQ126" s="249"/>
      <c r="GR126" s="249"/>
    </row>
    <row r="127" spans="1:200" s="252" customFormat="1" ht="12.75" customHeight="1" x14ac:dyDescent="0.2">
      <c r="A127" s="729"/>
      <c r="B127" s="1130"/>
      <c r="C127" s="1130"/>
      <c r="D127" s="532"/>
      <c r="E127" s="613"/>
      <c r="F127" s="249"/>
      <c r="G127" s="250"/>
      <c r="H127" s="250"/>
      <c r="I127" s="250"/>
      <c r="J127" s="250"/>
      <c r="K127" s="250"/>
      <c r="L127" s="250"/>
      <c r="M127" s="250"/>
      <c r="N127" s="250"/>
      <c r="O127" s="250"/>
      <c r="P127" s="251"/>
      <c r="Q127" s="251"/>
      <c r="R127" s="251"/>
      <c r="S127" s="251"/>
      <c r="T127" s="251"/>
      <c r="U127" s="133"/>
      <c r="V127" s="1920" t="s">
        <v>1127</v>
      </c>
      <c r="W127" s="1922" t="s">
        <v>1272</v>
      </c>
      <c r="X127" s="1163"/>
      <c r="Y127" s="246">
        <f>IFERROR(ROUNDUP(INDEX('MUD Consumables'!$X$7:$X$14,MATCH(Y$107,'MUD Consumables'!$C$7:$C$14,0))*Y$106*$U$108,0),0)</f>
        <v>0</v>
      </c>
      <c r="Z127" s="1163"/>
      <c r="AA127" s="246">
        <f>IFERROR(ROUNDUP(INDEX('MUD Consumables'!$X$7:$X$14,MATCH(AA$107,'MUD Consumables'!$C$7:$C$14,0))*AA$106*$U$108,0),0)</f>
        <v>0</v>
      </c>
      <c r="AB127" s="1163"/>
      <c r="AC127" s="246">
        <f>IFERROR(ROUNDUP(INDEX('MUD Consumables'!$X$7:$X$14,MATCH(AC$107,'MUD Consumables'!$C$7:$C$14,0))*AC$106*$U$108,0),0)</f>
        <v>0</v>
      </c>
      <c r="AD127" s="1163"/>
      <c r="AE127" s="246">
        <f>IFERROR(ROUNDUP(INDEX('MUD Consumables'!$X$7:$X$14,MATCH(AE$107,'MUD Consumables'!$C$7:$C$14,0))*AE$106*$U$108,0),0)</f>
        <v>0</v>
      </c>
      <c r="AF127" s="1163"/>
      <c r="AG127" s="246">
        <f>IFERROR(ROUNDUP(INDEX('MUD Consumables'!$X$7:$X$14,MATCH(AG$107,'MUD Consumables'!$C$7:$C$14,0))*AG$106*$U$108,0),0)</f>
        <v>0</v>
      </c>
      <c r="AH127" s="1163"/>
      <c r="AI127" s="246">
        <f>IFERROR(ROUNDUP(INDEX('MUD Consumables'!$X$7:$X$14,MATCH(AI$107,'MUD Consumables'!$C$7:$C$14,0))*AI$106*$U$108,0),0)</f>
        <v>0</v>
      </c>
      <c r="AJ127" s="1163"/>
      <c r="AK127" s="246">
        <f>IFERROR(ROUNDUP(INDEX('MUD Consumables'!$X$7:$X$14,MATCH(AK$107,'MUD Consumables'!$C$7:$C$14,0))*AK$106*$U$108,0),0)</f>
        <v>0</v>
      </c>
      <c r="AL127" s="1163"/>
      <c r="AM127" s="1438">
        <f t="shared" si="52"/>
        <v>0</v>
      </c>
      <c r="AN127" s="254"/>
      <c r="AO127" s="249"/>
      <c r="AP127" s="250"/>
      <c r="AQ127" s="250"/>
      <c r="AR127" s="250"/>
      <c r="AS127" s="250"/>
      <c r="AT127" s="250"/>
      <c r="AU127" s="250"/>
      <c r="AV127" s="249"/>
      <c r="AW127" s="249"/>
      <c r="AX127" s="249"/>
      <c r="AY127" s="249"/>
      <c r="AZ127" s="249"/>
      <c r="BA127" s="249"/>
      <c r="BB127" s="249"/>
      <c r="BC127" s="249"/>
      <c r="BD127" s="249"/>
      <c r="BE127" s="249"/>
      <c r="BF127" s="249"/>
      <c r="BG127" s="249"/>
      <c r="BH127" s="249"/>
      <c r="BI127" s="249"/>
      <c r="BJ127" s="249"/>
      <c r="BK127" s="249"/>
      <c r="BL127" s="249"/>
      <c r="BM127" s="249"/>
      <c r="BN127" s="249"/>
      <c r="BO127" s="249"/>
      <c r="BP127" s="249"/>
      <c r="BQ127" s="249"/>
      <c r="BR127" s="249"/>
      <c r="BS127" s="249"/>
      <c r="BT127" s="249"/>
      <c r="BU127" s="249"/>
      <c r="BV127" s="249"/>
      <c r="BW127" s="249"/>
      <c r="BX127" s="249"/>
      <c r="BY127" s="249"/>
      <c r="BZ127" s="249"/>
      <c r="CA127" s="249"/>
      <c r="CB127" s="249"/>
      <c r="CC127" s="249"/>
      <c r="CD127" s="249"/>
      <c r="CE127" s="249"/>
      <c r="CF127" s="249"/>
      <c r="CG127" s="249"/>
      <c r="CH127" s="249"/>
      <c r="CI127" s="249"/>
      <c r="CJ127" s="249"/>
      <c r="CK127" s="249"/>
      <c r="CL127" s="249"/>
      <c r="CM127" s="249"/>
      <c r="CN127" s="249"/>
      <c r="CO127" s="249"/>
      <c r="CP127" s="249"/>
      <c r="CQ127" s="249"/>
      <c r="CR127" s="249"/>
      <c r="CS127" s="249"/>
      <c r="CT127" s="249"/>
      <c r="CU127" s="249"/>
      <c r="CV127" s="249"/>
      <c r="CW127" s="249"/>
      <c r="CX127" s="249"/>
      <c r="CY127" s="249"/>
      <c r="CZ127" s="249"/>
      <c r="DA127" s="249"/>
      <c r="DB127" s="249"/>
      <c r="DC127" s="249"/>
      <c r="DD127" s="249"/>
      <c r="DE127" s="249"/>
      <c r="DF127" s="249"/>
      <c r="DG127" s="249"/>
      <c r="DH127" s="249"/>
      <c r="DI127" s="249"/>
      <c r="DJ127" s="249"/>
      <c r="DK127" s="249"/>
      <c r="DL127" s="249"/>
      <c r="DM127" s="249"/>
      <c r="DN127" s="249"/>
      <c r="DO127" s="249"/>
      <c r="DP127" s="249"/>
      <c r="DQ127" s="249"/>
      <c r="DR127" s="249"/>
      <c r="DS127" s="249"/>
      <c r="DT127" s="249"/>
      <c r="DU127" s="249"/>
      <c r="DV127" s="249"/>
      <c r="DW127" s="249"/>
      <c r="DX127" s="249"/>
      <c r="DY127" s="249"/>
      <c r="DZ127" s="249"/>
      <c r="EA127" s="249"/>
      <c r="EB127" s="249"/>
      <c r="EC127" s="249"/>
      <c r="ED127" s="249"/>
      <c r="EE127" s="249"/>
      <c r="EF127" s="249"/>
      <c r="EG127" s="249"/>
      <c r="EH127" s="249"/>
      <c r="EI127" s="249"/>
      <c r="EJ127" s="249"/>
      <c r="EK127" s="249"/>
      <c r="EL127" s="249"/>
      <c r="EM127" s="249"/>
      <c r="EN127" s="249"/>
      <c r="EO127" s="249"/>
      <c r="EP127" s="249"/>
      <c r="EQ127" s="249"/>
      <c r="ER127" s="249"/>
      <c r="ES127" s="249"/>
      <c r="ET127" s="249"/>
      <c r="EU127" s="249"/>
      <c r="EV127" s="249"/>
      <c r="EW127" s="249"/>
      <c r="EX127" s="249"/>
      <c r="EY127" s="249"/>
      <c r="EZ127" s="249"/>
      <c r="FA127" s="249"/>
      <c r="FB127" s="249"/>
      <c r="FC127" s="249"/>
      <c r="FD127" s="249"/>
      <c r="FE127" s="249"/>
      <c r="FF127" s="249"/>
      <c r="FG127" s="249"/>
      <c r="FH127" s="249"/>
      <c r="FI127" s="249"/>
      <c r="FJ127" s="249"/>
      <c r="FK127" s="249"/>
      <c r="FL127" s="249"/>
      <c r="FM127" s="249"/>
      <c r="FN127" s="249"/>
      <c r="FO127" s="249"/>
      <c r="FP127" s="249"/>
      <c r="FQ127" s="249"/>
      <c r="FR127" s="249"/>
      <c r="FS127" s="249"/>
      <c r="FT127" s="249"/>
      <c r="FU127" s="249"/>
      <c r="FV127" s="249"/>
      <c r="FW127" s="249"/>
      <c r="FX127" s="249"/>
      <c r="FY127" s="249"/>
      <c r="FZ127" s="249"/>
      <c r="GA127" s="249"/>
      <c r="GB127" s="249"/>
      <c r="GC127" s="249"/>
      <c r="GD127" s="249"/>
      <c r="GE127" s="249"/>
      <c r="GF127" s="249"/>
      <c r="GG127" s="249"/>
      <c r="GH127" s="249"/>
      <c r="GI127" s="249"/>
      <c r="GJ127" s="249"/>
      <c r="GK127" s="249"/>
      <c r="GL127" s="249"/>
      <c r="GM127" s="249"/>
      <c r="GN127" s="249"/>
      <c r="GO127" s="249"/>
      <c r="GP127" s="249"/>
      <c r="GQ127" s="249"/>
      <c r="GR127" s="249"/>
    </row>
    <row r="128" spans="1:200" s="252" customFormat="1" ht="12.75" customHeight="1" x14ac:dyDescent="0.2">
      <c r="A128" s="729"/>
      <c r="B128" s="1130"/>
      <c r="C128" s="1130"/>
      <c r="D128" s="532"/>
      <c r="E128" s="613"/>
      <c r="F128" s="249"/>
      <c r="G128" s="250"/>
      <c r="H128" s="250"/>
      <c r="I128" s="250"/>
      <c r="J128" s="250"/>
      <c r="K128" s="250"/>
      <c r="L128" s="250"/>
      <c r="M128" s="250"/>
      <c r="N128" s="250"/>
      <c r="O128" s="250"/>
      <c r="P128" s="251"/>
      <c r="Q128" s="251"/>
      <c r="R128" s="251"/>
      <c r="S128" s="251"/>
      <c r="T128" s="251"/>
      <c r="U128" s="133"/>
      <c r="V128" s="1920" t="s">
        <v>1263</v>
      </c>
      <c r="W128" s="1922" t="s">
        <v>1270</v>
      </c>
      <c r="X128" s="1163"/>
      <c r="Y128" s="246">
        <f>IFERROR(ROUNDUP(INDEX('MUD Consumables'!$Y$7:$Y$14,MATCH(Y$107,'MUD Consumables'!$C$7:$C$14,0))*Y$106*$U$108,0),0)</f>
        <v>0</v>
      </c>
      <c r="Z128" s="1163"/>
      <c r="AA128" s="246">
        <f>IFERROR(ROUNDUP(INDEX('MUD Consumables'!$Y$7:$Y$14,MATCH(AA$107,'MUD Consumables'!$C$7:$C$14,0))*AA$106*$U$108,0),0)</f>
        <v>0</v>
      </c>
      <c r="AB128" s="1163"/>
      <c r="AC128" s="246">
        <f>IFERROR(ROUNDUP(INDEX('MUD Consumables'!$Y$7:$Y$14,MATCH(AC$107,'MUD Consumables'!$C$7:$C$14,0))*AC$106*$U$108,0),0)</f>
        <v>5</v>
      </c>
      <c r="AD128" s="1163"/>
      <c r="AE128" s="246">
        <f>IFERROR(ROUNDUP(INDEX('MUD Consumables'!$Y$7:$Y$14,MATCH(AE$107,'MUD Consumables'!$C$7:$C$14,0))*AE$106*$U$108,0),0)</f>
        <v>4</v>
      </c>
      <c r="AF128" s="1163"/>
      <c r="AG128" s="246">
        <f>IFERROR(ROUNDUP(INDEX('MUD Consumables'!$Y$7:$Y$14,MATCH(AG$107,'MUD Consumables'!$C$7:$C$14,0))*AG$106*$U$108,0),0)</f>
        <v>2</v>
      </c>
      <c r="AH128" s="1163"/>
      <c r="AI128" s="246">
        <f>IFERROR(ROUNDUP(INDEX('MUD Consumables'!$Y$7:$Y$14,MATCH(AI$107,'MUD Consumables'!$C$7:$C$14,0))*AI$106*$U$108,0),0)</f>
        <v>0</v>
      </c>
      <c r="AJ128" s="1163"/>
      <c r="AK128" s="246">
        <f>IFERROR(ROUNDUP(INDEX('MUD Consumables'!$Y$7:$Y$14,MATCH(AK$107,'MUD Consumables'!$C$7:$C$14,0))*AK$106*$U$108,0),0)</f>
        <v>0</v>
      </c>
      <c r="AL128" s="1163"/>
      <c r="AM128" s="1438">
        <f t="shared" si="52"/>
        <v>11</v>
      </c>
      <c r="AN128" s="254"/>
      <c r="AO128" s="249"/>
      <c r="AP128" s="250"/>
      <c r="AQ128" s="250"/>
      <c r="AR128" s="250"/>
      <c r="AS128" s="250"/>
      <c r="AT128" s="250"/>
      <c r="AU128" s="250"/>
      <c r="AV128" s="249"/>
      <c r="AW128" s="249"/>
      <c r="AX128" s="249"/>
      <c r="AY128" s="249"/>
      <c r="AZ128" s="249"/>
      <c r="BA128" s="249"/>
      <c r="BB128" s="249"/>
      <c r="BC128" s="249"/>
      <c r="BD128" s="249"/>
      <c r="BE128" s="249"/>
      <c r="BF128" s="249"/>
      <c r="BG128" s="249"/>
      <c r="BH128" s="249"/>
      <c r="BI128" s="249"/>
      <c r="BJ128" s="249"/>
      <c r="BK128" s="249"/>
      <c r="BL128" s="249"/>
      <c r="BM128" s="249"/>
      <c r="BN128" s="249"/>
      <c r="BO128" s="249"/>
      <c r="BP128" s="249"/>
      <c r="BQ128" s="249"/>
      <c r="BR128" s="249"/>
      <c r="BS128" s="249"/>
      <c r="BT128" s="249"/>
      <c r="BU128" s="249"/>
      <c r="BV128" s="249"/>
      <c r="BW128" s="249"/>
      <c r="BX128" s="249"/>
      <c r="BY128" s="249"/>
      <c r="BZ128" s="249"/>
      <c r="CA128" s="249"/>
      <c r="CB128" s="249"/>
      <c r="CC128" s="249"/>
      <c r="CD128" s="249"/>
      <c r="CE128" s="249"/>
      <c r="CF128" s="249"/>
      <c r="CG128" s="249"/>
      <c r="CH128" s="249"/>
      <c r="CI128" s="249"/>
      <c r="CJ128" s="249"/>
      <c r="CK128" s="249"/>
      <c r="CL128" s="249"/>
      <c r="CM128" s="249"/>
      <c r="CN128" s="249"/>
      <c r="CO128" s="249"/>
      <c r="CP128" s="249"/>
      <c r="CQ128" s="249"/>
      <c r="CR128" s="249"/>
      <c r="CS128" s="249"/>
      <c r="CT128" s="249"/>
      <c r="CU128" s="249"/>
      <c r="CV128" s="249"/>
      <c r="CW128" s="249"/>
      <c r="CX128" s="249"/>
      <c r="CY128" s="249"/>
      <c r="CZ128" s="249"/>
      <c r="DA128" s="249"/>
      <c r="DB128" s="249"/>
      <c r="DC128" s="249"/>
      <c r="DD128" s="249"/>
      <c r="DE128" s="249"/>
      <c r="DF128" s="249"/>
      <c r="DG128" s="249"/>
      <c r="DH128" s="249"/>
      <c r="DI128" s="249"/>
      <c r="DJ128" s="249"/>
      <c r="DK128" s="249"/>
      <c r="DL128" s="249"/>
      <c r="DM128" s="249"/>
      <c r="DN128" s="249"/>
      <c r="DO128" s="249"/>
      <c r="DP128" s="249"/>
      <c r="DQ128" s="249"/>
      <c r="DR128" s="249"/>
      <c r="DS128" s="249"/>
      <c r="DT128" s="249"/>
      <c r="DU128" s="249"/>
      <c r="DV128" s="249"/>
      <c r="DW128" s="249"/>
      <c r="DX128" s="249"/>
      <c r="DY128" s="249"/>
      <c r="DZ128" s="249"/>
      <c r="EA128" s="249"/>
      <c r="EB128" s="249"/>
      <c r="EC128" s="249"/>
      <c r="ED128" s="249"/>
      <c r="EE128" s="249"/>
      <c r="EF128" s="249"/>
      <c r="EG128" s="249"/>
      <c r="EH128" s="249"/>
      <c r="EI128" s="249"/>
      <c r="EJ128" s="249"/>
      <c r="EK128" s="249"/>
      <c r="EL128" s="249"/>
      <c r="EM128" s="249"/>
      <c r="EN128" s="249"/>
      <c r="EO128" s="249"/>
      <c r="EP128" s="249"/>
      <c r="EQ128" s="249"/>
      <c r="ER128" s="249"/>
      <c r="ES128" s="249"/>
      <c r="ET128" s="249"/>
      <c r="EU128" s="249"/>
      <c r="EV128" s="249"/>
      <c r="EW128" s="249"/>
      <c r="EX128" s="249"/>
      <c r="EY128" s="249"/>
      <c r="EZ128" s="249"/>
      <c r="FA128" s="249"/>
      <c r="FB128" s="249"/>
      <c r="FC128" s="249"/>
      <c r="FD128" s="249"/>
      <c r="FE128" s="249"/>
      <c r="FF128" s="249"/>
      <c r="FG128" s="249"/>
      <c r="FH128" s="249"/>
      <c r="FI128" s="249"/>
      <c r="FJ128" s="249"/>
      <c r="FK128" s="249"/>
      <c r="FL128" s="249"/>
      <c r="FM128" s="249"/>
      <c r="FN128" s="249"/>
      <c r="FO128" s="249"/>
      <c r="FP128" s="249"/>
      <c r="FQ128" s="249"/>
      <c r="FR128" s="249"/>
      <c r="FS128" s="249"/>
      <c r="FT128" s="249"/>
      <c r="FU128" s="249"/>
      <c r="FV128" s="249"/>
      <c r="FW128" s="249"/>
      <c r="FX128" s="249"/>
      <c r="FY128" s="249"/>
      <c r="FZ128" s="249"/>
      <c r="GA128" s="249"/>
      <c r="GB128" s="249"/>
      <c r="GC128" s="249"/>
      <c r="GD128" s="249"/>
      <c r="GE128" s="249"/>
      <c r="GF128" s="249"/>
      <c r="GG128" s="249"/>
      <c r="GH128" s="249"/>
      <c r="GI128" s="249"/>
      <c r="GJ128" s="249"/>
      <c r="GK128" s="249"/>
      <c r="GL128" s="249"/>
      <c r="GM128" s="249"/>
      <c r="GN128" s="249"/>
      <c r="GO128" s="249"/>
      <c r="GP128" s="249"/>
      <c r="GQ128" s="249"/>
      <c r="GR128" s="249"/>
    </row>
    <row r="129" spans="1:200" s="252" customFormat="1" ht="12.75" customHeight="1" x14ac:dyDescent="0.2">
      <c r="A129" s="729"/>
      <c r="B129" s="1130"/>
      <c r="C129" s="1130"/>
      <c r="D129" s="532"/>
      <c r="E129" s="613"/>
      <c r="F129" s="249"/>
      <c r="G129" s="250"/>
      <c r="H129" s="250"/>
      <c r="I129" s="250"/>
      <c r="J129" s="250"/>
      <c r="K129" s="250"/>
      <c r="L129" s="250"/>
      <c r="M129" s="250"/>
      <c r="N129" s="250"/>
      <c r="O129" s="250"/>
      <c r="P129" s="251"/>
      <c r="Q129" s="251"/>
      <c r="R129" s="251"/>
      <c r="S129" s="251"/>
      <c r="T129" s="251"/>
      <c r="U129" s="133"/>
      <c r="V129" s="1920" t="s">
        <v>1264</v>
      </c>
      <c r="W129" s="1922" t="s">
        <v>1273</v>
      </c>
      <c r="X129" s="1163"/>
      <c r="Y129" s="246">
        <f>IFERROR(ROUNDUP(INDEX('MUD Consumables'!$Z$7:$Z$14,MATCH(Y$107,'MUD Consumables'!$C$7:$C$14,0))*Y$106*$U$108,0),0)</f>
        <v>2</v>
      </c>
      <c r="Z129" s="1163"/>
      <c r="AA129" s="246">
        <f>IFERROR(ROUNDUP(INDEX('MUD Consumables'!$Z$7:$Z$14,MATCH(AA$107,'MUD Consumables'!$C$7:$C$14,0))*AA$106*$U$108,0),0)</f>
        <v>5</v>
      </c>
      <c r="AB129" s="1163"/>
      <c r="AC129" s="246">
        <f>IFERROR(ROUNDUP(INDEX('MUD Consumables'!$Z$7:$Z$14,MATCH(AC$107,'MUD Consumables'!$C$7:$C$14,0))*AC$106*$U$108,0),0)</f>
        <v>10</v>
      </c>
      <c r="AD129" s="1163"/>
      <c r="AE129" s="246">
        <f>IFERROR(ROUNDUP(INDEX('MUD Consumables'!$Z$7:$Z$14,MATCH(AE$107,'MUD Consumables'!$C$7:$C$14,0))*AE$106*$U$108,0),0)</f>
        <v>5</v>
      </c>
      <c r="AF129" s="1163"/>
      <c r="AG129" s="246">
        <f>IFERROR(ROUNDUP(INDEX('MUD Consumables'!$Z$7:$Z$14,MATCH(AG$107,'MUD Consumables'!$C$7:$C$14,0))*AG$106*$U$108,0),0)</f>
        <v>0</v>
      </c>
      <c r="AH129" s="1163"/>
      <c r="AI129" s="246">
        <f>IFERROR(ROUNDUP(INDEX('MUD Consumables'!$Z$7:$Z$14,MATCH(AI$107,'MUD Consumables'!$C$7:$C$14,0))*AI$106*$U$108,0),0)</f>
        <v>0</v>
      </c>
      <c r="AJ129" s="1163"/>
      <c r="AK129" s="246">
        <f>IFERROR(ROUNDUP(INDEX('MUD Consumables'!$Z$7:$Z$14,MATCH(AK$107,'MUD Consumables'!$C$7:$C$14,0))*AK$106*$U$108,0),0)</f>
        <v>0</v>
      </c>
      <c r="AL129" s="1163"/>
      <c r="AM129" s="1438">
        <f t="shared" si="52"/>
        <v>22</v>
      </c>
      <c r="AN129" s="254"/>
      <c r="AO129" s="249"/>
      <c r="AP129" s="250"/>
      <c r="AQ129" s="250"/>
      <c r="AR129" s="250"/>
      <c r="AS129" s="250"/>
      <c r="AT129" s="250"/>
      <c r="AU129" s="250"/>
      <c r="AV129" s="249"/>
      <c r="AW129" s="249"/>
      <c r="AX129" s="249"/>
      <c r="AY129" s="249"/>
      <c r="AZ129" s="249"/>
      <c r="BA129" s="249"/>
      <c r="BB129" s="249"/>
      <c r="BC129" s="249"/>
      <c r="BD129" s="249"/>
      <c r="BE129" s="249"/>
      <c r="BF129" s="249"/>
      <c r="BG129" s="249"/>
      <c r="BH129" s="249"/>
      <c r="BI129" s="249"/>
      <c r="BJ129" s="249"/>
      <c r="BK129" s="249"/>
      <c r="BL129" s="249"/>
      <c r="BM129" s="249"/>
      <c r="BN129" s="249"/>
      <c r="BO129" s="249"/>
      <c r="BP129" s="249"/>
      <c r="BQ129" s="249"/>
      <c r="BR129" s="249"/>
      <c r="BS129" s="249"/>
      <c r="BT129" s="249"/>
      <c r="BU129" s="249"/>
      <c r="BV129" s="249"/>
      <c r="BW129" s="249"/>
      <c r="BX129" s="249"/>
      <c r="BY129" s="249"/>
      <c r="BZ129" s="249"/>
      <c r="CA129" s="249"/>
      <c r="CB129" s="249"/>
      <c r="CC129" s="249"/>
      <c r="CD129" s="249"/>
      <c r="CE129" s="249"/>
      <c r="CF129" s="249"/>
      <c r="CG129" s="249"/>
      <c r="CH129" s="249"/>
      <c r="CI129" s="249"/>
      <c r="CJ129" s="249"/>
      <c r="CK129" s="249"/>
      <c r="CL129" s="249"/>
      <c r="CM129" s="249"/>
      <c r="CN129" s="249"/>
      <c r="CO129" s="249"/>
      <c r="CP129" s="249"/>
      <c r="CQ129" s="249"/>
      <c r="CR129" s="249"/>
      <c r="CS129" s="249"/>
      <c r="CT129" s="249"/>
      <c r="CU129" s="249"/>
      <c r="CV129" s="249"/>
      <c r="CW129" s="249"/>
      <c r="CX129" s="249"/>
      <c r="CY129" s="249"/>
      <c r="CZ129" s="249"/>
      <c r="DA129" s="249"/>
      <c r="DB129" s="249"/>
      <c r="DC129" s="249"/>
      <c r="DD129" s="249"/>
      <c r="DE129" s="249"/>
      <c r="DF129" s="249"/>
      <c r="DG129" s="249"/>
      <c r="DH129" s="249"/>
      <c r="DI129" s="249"/>
      <c r="DJ129" s="249"/>
      <c r="DK129" s="249"/>
      <c r="DL129" s="249"/>
      <c r="DM129" s="249"/>
      <c r="DN129" s="249"/>
      <c r="DO129" s="249"/>
      <c r="DP129" s="249"/>
      <c r="DQ129" s="249"/>
      <c r="DR129" s="249"/>
      <c r="DS129" s="249"/>
      <c r="DT129" s="249"/>
      <c r="DU129" s="249"/>
      <c r="DV129" s="249"/>
      <c r="DW129" s="249"/>
      <c r="DX129" s="249"/>
      <c r="DY129" s="249"/>
      <c r="DZ129" s="249"/>
      <c r="EA129" s="249"/>
      <c r="EB129" s="249"/>
      <c r="EC129" s="249"/>
      <c r="ED129" s="249"/>
      <c r="EE129" s="249"/>
      <c r="EF129" s="249"/>
      <c r="EG129" s="249"/>
      <c r="EH129" s="249"/>
      <c r="EI129" s="249"/>
      <c r="EJ129" s="249"/>
      <c r="EK129" s="249"/>
      <c r="EL129" s="249"/>
      <c r="EM129" s="249"/>
      <c r="EN129" s="249"/>
      <c r="EO129" s="249"/>
      <c r="EP129" s="249"/>
      <c r="EQ129" s="249"/>
      <c r="ER129" s="249"/>
      <c r="ES129" s="249"/>
      <c r="ET129" s="249"/>
      <c r="EU129" s="249"/>
      <c r="EV129" s="249"/>
      <c r="EW129" s="249"/>
      <c r="EX129" s="249"/>
      <c r="EY129" s="249"/>
      <c r="EZ129" s="249"/>
      <c r="FA129" s="249"/>
      <c r="FB129" s="249"/>
      <c r="FC129" s="249"/>
      <c r="FD129" s="249"/>
      <c r="FE129" s="249"/>
      <c r="FF129" s="249"/>
      <c r="FG129" s="249"/>
      <c r="FH129" s="249"/>
      <c r="FI129" s="249"/>
      <c r="FJ129" s="249"/>
      <c r="FK129" s="249"/>
      <c r="FL129" s="249"/>
      <c r="FM129" s="249"/>
      <c r="FN129" s="249"/>
      <c r="FO129" s="249"/>
      <c r="FP129" s="249"/>
      <c r="FQ129" s="249"/>
      <c r="FR129" s="249"/>
      <c r="FS129" s="249"/>
      <c r="FT129" s="249"/>
      <c r="FU129" s="249"/>
      <c r="FV129" s="249"/>
      <c r="FW129" s="249"/>
      <c r="FX129" s="249"/>
      <c r="FY129" s="249"/>
      <c r="FZ129" s="249"/>
      <c r="GA129" s="249"/>
      <c r="GB129" s="249"/>
      <c r="GC129" s="249"/>
      <c r="GD129" s="249"/>
      <c r="GE129" s="249"/>
      <c r="GF129" s="249"/>
      <c r="GG129" s="249"/>
      <c r="GH129" s="249"/>
      <c r="GI129" s="249"/>
      <c r="GJ129" s="249"/>
      <c r="GK129" s="249"/>
      <c r="GL129" s="249"/>
      <c r="GM129" s="249"/>
      <c r="GN129" s="249"/>
      <c r="GO129" s="249"/>
      <c r="GP129" s="249"/>
      <c r="GQ129" s="249"/>
      <c r="GR129" s="249"/>
    </row>
    <row r="130" spans="1:200" s="252" customFormat="1" ht="12.75" customHeight="1" x14ac:dyDescent="0.2">
      <c r="A130" s="729"/>
      <c r="B130" s="1130"/>
      <c r="C130" s="1130"/>
      <c r="D130" s="532"/>
      <c r="E130" s="613"/>
      <c r="F130" s="249"/>
      <c r="G130" s="250"/>
      <c r="H130" s="250"/>
      <c r="I130" s="250"/>
      <c r="J130" s="250"/>
      <c r="K130" s="250"/>
      <c r="L130" s="250"/>
      <c r="M130" s="250"/>
      <c r="N130" s="250"/>
      <c r="O130" s="250"/>
      <c r="P130" s="251"/>
      <c r="Q130" s="251"/>
      <c r="R130" s="251"/>
      <c r="S130" s="251"/>
      <c r="T130" s="251"/>
      <c r="U130" s="133"/>
      <c r="V130" s="1920" t="s">
        <v>158</v>
      </c>
      <c r="W130" s="1922" t="s">
        <v>1269</v>
      </c>
      <c r="X130" s="1163"/>
      <c r="Y130" s="246">
        <f>IFERROR(INDEX(ROUNDUP('MUD Consumables'!$AA$7:$AA$14,MATCH(Y$107,'MUD Consumables'!$C$7:$C$14,0))*Y$106*$U$108,0),0)</f>
        <v>0</v>
      </c>
      <c r="Z130" s="1163"/>
      <c r="AA130" s="246">
        <f>IFERROR(INDEX(ROUNDUP('MUD Consumables'!$AA$7:$AA$14,MATCH(AA$107,'MUD Consumables'!$C$7:$C$14,0))*AA$106*$U$108,0),0)</f>
        <v>0</v>
      </c>
      <c r="AB130" s="1163"/>
      <c r="AC130" s="246">
        <f>IFERROR(INDEX(ROUNDUP('MUD Consumables'!$AA$7:$AA$14,MATCH(AC$107,'MUD Consumables'!$C$7:$C$14,0))*AC$106*$U$108,0),0)</f>
        <v>0</v>
      </c>
      <c r="AD130" s="1163"/>
      <c r="AE130" s="246">
        <f>IFERROR(INDEX(ROUNDUP('MUD Consumables'!$AA$7:$AA$14,MATCH(AE$107,'MUD Consumables'!$C$7:$C$14,0))*AE$106*$U$108,0),0)</f>
        <v>0</v>
      </c>
      <c r="AF130" s="1163"/>
      <c r="AG130" s="246">
        <f>IFERROR(INDEX(ROUNDUP('MUD Consumables'!$AA$7:$AA$14,MATCH(AG$107,'MUD Consumables'!$C$7:$C$14,0))*AG$106*$U$108,0),0)</f>
        <v>0</v>
      </c>
      <c r="AH130" s="1163"/>
      <c r="AI130" s="246">
        <f>IFERROR(INDEX(ROUNDUP('MUD Consumables'!$AA$7:$AA$14,MATCH(AI$107,'MUD Consumables'!$C$7:$C$14,0))*AI$106*$U$108,0),0)</f>
        <v>0</v>
      </c>
      <c r="AJ130" s="1163"/>
      <c r="AK130" s="246">
        <f>IFERROR(INDEX(ROUNDUP('MUD Consumables'!$AA$7:$AA$14,MATCH(AK$107,'MUD Consumables'!$C$7:$C$14,0))*AK$106*$U$108,0),0)</f>
        <v>0</v>
      </c>
      <c r="AL130" s="1163"/>
      <c r="AM130" s="1438">
        <f t="shared" si="52"/>
        <v>0</v>
      </c>
      <c r="AN130" s="254"/>
      <c r="AO130" s="249"/>
      <c r="AP130" s="250"/>
      <c r="AQ130" s="250"/>
      <c r="AR130" s="250"/>
      <c r="AS130" s="250"/>
      <c r="AT130" s="250"/>
      <c r="AU130" s="250"/>
      <c r="AV130" s="249"/>
      <c r="AW130" s="249"/>
      <c r="AX130" s="249"/>
      <c r="AY130" s="249"/>
      <c r="AZ130" s="249"/>
      <c r="BA130" s="249"/>
      <c r="BB130" s="249"/>
      <c r="BC130" s="249"/>
      <c r="BD130" s="249"/>
      <c r="BE130" s="249"/>
      <c r="BF130" s="249"/>
      <c r="BG130" s="249"/>
      <c r="BH130" s="249"/>
      <c r="BI130" s="249"/>
      <c r="BJ130" s="249"/>
      <c r="BK130" s="249"/>
      <c r="BL130" s="249"/>
      <c r="BM130" s="249"/>
      <c r="BN130" s="249"/>
      <c r="BO130" s="249"/>
      <c r="BP130" s="249"/>
      <c r="BQ130" s="249"/>
      <c r="BR130" s="249"/>
      <c r="BS130" s="249"/>
      <c r="BT130" s="249"/>
      <c r="BU130" s="249"/>
      <c r="BV130" s="249"/>
      <c r="BW130" s="249"/>
      <c r="BX130" s="249"/>
      <c r="BY130" s="249"/>
      <c r="BZ130" s="249"/>
      <c r="CA130" s="249"/>
      <c r="CB130" s="249"/>
      <c r="CC130" s="249"/>
      <c r="CD130" s="249"/>
      <c r="CE130" s="249"/>
      <c r="CF130" s="249"/>
      <c r="CG130" s="249"/>
      <c r="CH130" s="249"/>
      <c r="CI130" s="249"/>
      <c r="CJ130" s="249"/>
      <c r="CK130" s="249"/>
      <c r="CL130" s="249"/>
      <c r="CM130" s="249"/>
      <c r="CN130" s="249"/>
      <c r="CO130" s="249"/>
      <c r="CP130" s="249"/>
      <c r="CQ130" s="249"/>
      <c r="CR130" s="249"/>
      <c r="CS130" s="249"/>
      <c r="CT130" s="249"/>
      <c r="CU130" s="249"/>
      <c r="CV130" s="249"/>
      <c r="CW130" s="249"/>
      <c r="CX130" s="249"/>
      <c r="CY130" s="249"/>
      <c r="CZ130" s="249"/>
      <c r="DA130" s="249"/>
      <c r="DB130" s="249"/>
      <c r="DC130" s="249"/>
      <c r="DD130" s="249"/>
      <c r="DE130" s="249"/>
      <c r="DF130" s="249"/>
      <c r="DG130" s="249"/>
      <c r="DH130" s="249"/>
      <c r="DI130" s="249"/>
      <c r="DJ130" s="249"/>
      <c r="DK130" s="249"/>
      <c r="DL130" s="249"/>
      <c r="DM130" s="249"/>
      <c r="DN130" s="249"/>
      <c r="DO130" s="249"/>
      <c r="DP130" s="249"/>
      <c r="DQ130" s="249"/>
      <c r="DR130" s="249"/>
      <c r="DS130" s="249"/>
      <c r="DT130" s="249"/>
      <c r="DU130" s="249"/>
      <c r="DV130" s="249"/>
      <c r="DW130" s="249"/>
      <c r="DX130" s="249"/>
      <c r="DY130" s="249"/>
      <c r="DZ130" s="249"/>
      <c r="EA130" s="249"/>
      <c r="EB130" s="249"/>
      <c r="EC130" s="249"/>
      <c r="ED130" s="249"/>
      <c r="EE130" s="249"/>
      <c r="EF130" s="249"/>
      <c r="EG130" s="249"/>
      <c r="EH130" s="249"/>
      <c r="EI130" s="249"/>
      <c r="EJ130" s="249"/>
      <c r="EK130" s="249"/>
      <c r="EL130" s="249"/>
      <c r="EM130" s="249"/>
      <c r="EN130" s="249"/>
      <c r="EO130" s="249"/>
      <c r="EP130" s="249"/>
      <c r="EQ130" s="249"/>
      <c r="ER130" s="249"/>
      <c r="ES130" s="249"/>
      <c r="ET130" s="249"/>
      <c r="EU130" s="249"/>
      <c r="EV130" s="249"/>
      <c r="EW130" s="249"/>
      <c r="EX130" s="249"/>
      <c r="EY130" s="249"/>
      <c r="EZ130" s="249"/>
      <c r="FA130" s="249"/>
      <c r="FB130" s="249"/>
      <c r="FC130" s="249"/>
      <c r="FD130" s="249"/>
      <c r="FE130" s="249"/>
      <c r="FF130" s="249"/>
      <c r="FG130" s="249"/>
      <c r="FH130" s="249"/>
      <c r="FI130" s="249"/>
      <c r="FJ130" s="249"/>
      <c r="FK130" s="249"/>
      <c r="FL130" s="249"/>
      <c r="FM130" s="249"/>
      <c r="FN130" s="249"/>
      <c r="FO130" s="249"/>
      <c r="FP130" s="249"/>
      <c r="FQ130" s="249"/>
      <c r="FR130" s="249"/>
      <c r="FS130" s="249"/>
      <c r="FT130" s="249"/>
      <c r="FU130" s="249"/>
      <c r="FV130" s="249"/>
      <c r="FW130" s="249"/>
      <c r="FX130" s="249"/>
      <c r="FY130" s="249"/>
      <c r="FZ130" s="249"/>
      <c r="GA130" s="249"/>
      <c r="GB130" s="249"/>
      <c r="GC130" s="249"/>
      <c r="GD130" s="249"/>
      <c r="GE130" s="249"/>
      <c r="GF130" s="249"/>
      <c r="GG130" s="249"/>
      <c r="GH130" s="249"/>
      <c r="GI130" s="249"/>
      <c r="GJ130" s="249"/>
      <c r="GK130" s="249"/>
      <c r="GL130" s="249"/>
      <c r="GM130" s="249"/>
      <c r="GN130" s="249"/>
      <c r="GO130" s="249"/>
      <c r="GP130" s="249"/>
      <c r="GQ130" s="249"/>
      <c r="GR130" s="249"/>
    </row>
    <row r="131" spans="1:200" s="252" customFormat="1" ht="12.75" customHeight="1" x14ac:dyDescent="0.2">
      <c r="A131" s="729"/>
      <c r="B131" s="1130"/>
      <c r="C131" s="1130"/>
      <c r="D131" s="532"/>
      <c r="E131" s="613"/>
      <c r="F131" s="249"/>
      <c r="G131" s="250"/>
      <c r="H131" s="250"/>
      <c r="I131" s="250"/>
      <c r="J131" s="250"/>
      <c r="K131" s="250"/>
      <c r="L131" s="250"/>
      <c r="M131" s="250"/>
      <c r="N131" s="250"/>
      <c r="O131" s="250"/>
      <c r="P131" s="251"/>
      <c r="Q131" s="251"/>
      <c r="R131" s="251"/>
      <c r="S131" s="251"/>
      <c r="T131" s="251"/>
      <c r="U131" s="133"/>
      <c r="V131" s="1920" t="s">
        <v>157</v>
      </c>
      <c r="W131" s="1922" t="s">
        <v>1269</v>
      </c>
      <c r="X131" s="1163"/>
      <c r="Y131" s="246">
        <f>IFERROR(ROUNDUP(INDEX('MUD Consumables'!$AB$7:$AB$14,MATCH(Y$107,'MUD Consumables'!$C$7:$C$14,0))*Y$106*$U$108,0),0)</f>
        <v>23</v>
      </c>
      <c r="Z131" s="1163"/>
      <c r="AA131" s="246">
        <f>IFERROR(ROUNDUP(INDEX('MUD Consumables'!$AB$7:$AB$14,MATCH(AA$107,'MUD Consumables'!$C$7:$C$14,0))*AA$106*$U$108,0),0)</f>
        <v>8</v>
      </c>
      <c r="AB131" s="1163"/>
      <c r="AC131" s="246">
        <f>IFERROR(ROUNDUP(INDEX('MUD Consumables'!$AB$7:$AB$14,MATCH(AC$107,'MUD Consumables'!$C$7:$C$14,0))*AC$106*$U$108,0),0)</f>
        <v>25</v>
      </c>
      <c r="AD131" s="1163"/>
      <c r="AE131" s="246">
        <f>IFERROR(ROUNDUP(INDEX('MUD Consumables'!$AB$7:$AB$14,MATCH(AE$107,'MUD Consumables'!$C$7:$C$14,0))*AE$106*$U$108,0),0)</f>
        <v>6</v>
      </c>
      <c r="AF131" s="1163"/>
      <c r="AG131" s="246">
        <f>IFERROR(ROUNDUP(INDEX('MUD Consumables'!$AB$7:$AB$14,MATCH(AG$107,'MUD Consumables'!$C$7:$C$14,0))*AG$106*$U$108,0),0)</f>
        <v>4</v>
      </c>
      <c r="AH131" s="1163"/>
      <c r="AI131" s="246">
        <f>IFERROR(ROUNDUP(INDEX('MUD Consumables'!$AB$7:$AB$14,MATCH(AI$107,'MUD Consumables'!$C$7:$C$14,0))*AI$106*$U$108,0),0)</f>
        <v>0</v>
      </c>
      <c r="AJ131" s="1163"/>
      <c r="AK131" s="246">
        <f>IFERROR(ROUNDUP(INDEX('MUD Consumables'!$AB$7:$AB$14,MATCH(AK$107,'MUD Consumables'!$C$7:$C$14,0))*AK$106*$U$108,0),0)</f>
        <v>0</v>
      </c>
      <c r="AL131" s="1163"/>
      <c r="AM131" s="1438">
        <f t="shared" si="52"/>
        <v>66</v>
      </c>
      <c r="AN131" s="254"/>
      <c r="AO131" s="249"/>
      <c r="AP131" s="250"/>
      <c r="AQ131" s="250"/>
      <c r="AR131" s="250"/>
      <c r="AS131" s="250"/>
      <c r="AT131" s="250"/>
      <c r="AU131" s="250"/>
      <c r="AV131" s="249"/>
      <c r="AW131" s="249"/>
      <c r="AX131" s="249"/>
      <c r="AY131" s="249"/>
      <c r="AZ131" s="249"/>
      <c r="BA131" s="249"/>
      <c r="BB131" s="249"/>
      <c r="BC131" s="249"/>
      <c r="BD131" s="249"/>
      <c r="BE131" s="249"/>
      <c r="BF131" s="249"/>
      <c r="BG131" s="249"/>
      <c r="BH131" s="249"/>
      <c r="BI131" s="249"/>
      <c r="BJ131" s="249"/>
      <c r="BK131" s="249"/>
      <c r="BL131" s="249"/>
      <c r="BM131" s="249"/>
      <c r="BN131" s="249"/>
      <c r="BO131" s="249"/>
      <c r="BP131" s="249"/>
      <c r="BQ131" s="249"/>
      <c r="BR131" s="249"/>
      <c r="BS131" s="249"/>
      <c r="BT131" s="249"/>
      <c r="BU131" s="249"/>
      <c r="BV131" s="249"/>
      <c r="BW131" s="249"/>
      <c r="BX131" s="249"/>
      <c r="BY131" s="249"/>
      <c r="BZ131" s="249"/>
      <c r="CA131" s="249"/>
      <c r="CB131" s="249"/>
      <c r="CC131" s="249"/>
      <c r="CD131" s="249"/>
      <c r="CE131" s="249"/>
      <c r="CF131" s="249"/>
      <c r="CG131" s="249"/>
      <c r="CH131" s="249"/>
      <c r="CI131" s="249"/>
      <c r="CJ131" s="249"/>
      <c r="CK131" s="249"/>
      <c r="CL131" s="249"/>
      <c r="CM131" s="249"/>
      <c r="CN131" s="249"/>
      <c r="CO131" s="249"/>
      <c r="CP131" s="249"/>
      <c r="CQ131" s="249"/>
      <c r="CR131" s="249"/>
      <c r="CS131" s="249"/>
      <c r="CT131" s="249"/>
      <c r="CU131" s="249"/>
      <c r="CV131" s="249"/>
      <c r="CW131" s="249"/>
      <c r="CX131" s="249"/>
      <c r="CY131" s="249"/>
      <c r="CZ131" s="249"/>
      <c r="DA131" s="249"/>
      <c r="DB131" s="249"/>
      <c r="DC131" s="249"/>
      <c r="DD131" s="249"/>
      <c r="DE131" s="249"/>
      <c r="DF131" s="249"/>
      <c r="DG131" s="249"/>
      <c r="DH131" s="249"/>
      <c r="DI131" s="249"/>
      <c r="DJ131" s="249"/>
      <c r="DK131" s="249"/>
      <c r="DL131" s="249"/>
      <c r="DM131" s="249"/>
      <c r="DN131" s="249"/>
      <c r="DO131" s="249"/>
      <c r="DP131" s="249"/>
      <c r="DQ131" s="249"/>
      <c r="DR131" s="249"/>
      <c r="DS131" s="249"/>
      <c r="DT131" s="249"/>
      <c r="DU131" s="249"/>
      <c r="DV131" s="249"/>
      <c r="DW131" s="249"/>
      <c r="DX131" s="249"/>
      <c r="DY131" s="249"/>
      <c r="DZ131" s="249"/>
      <c r="EA131" s="249"/>
      <c r="EB131" s="249"/>
      <c r="EC131" s="249"/>
      <c r="ED131" s="249"/>
      <c r="EE131" s="249"/>
      <c r="EF131" s="249"/>
      <c r="EG131" s="249"/>
      <c r="EH131" s="249"/>
      <c r="EI131" s="249"/>
      <c r="EJ131" s="249"/>
      <c r="EK131" s="249"/>
      <c r="EL131" s="249"/>
      <c r="EM131" s="249"/>
      <c r="EN131" s="249"/>
      <c r="EO131" s="249"/>
      <c r="EP131" s="249"/>
      <c r="EQ131" s="249"/>
      <c r="ER131" s="249"/>
      <c r="ES131" s="249"/>
      <c r="ET131" s="249"/>
      <c r="EU131" s="249"/>
      <c r="EV131" s="249"/>
      <c r="EW131" s="249"/>
      <c r="EX131" s="249"/>
      <c r="EY131" s="249"/>
      <c r="EZ131" s="249"/>
      <c r="FA131" s="249"/>
      <c r="FB131" s="249"/>
      <c r="FC131" s="249"/>
      <c r="FD131" s="249"/>
      <c r="FE131" s="249"/>
      <c r="FF131" s="249"/>
      <c r="FG131" s="249"/>
      <c r="FH131" s="249"/>
      <c r="FI131" s="249"/>
      <c r="FJ131" s="249"/>
      <c r="FK131" s="249"/>
      <c r="FL131" s="249"/>
      <c r="FM131" s="249"/>
      <c r="FN131" s="249"/>
      <c r="FO131" s="249"/>
      <c r="FP131" s="249"/>
      <c r="FQ131" s="249"/>
      <c r="FR131" s="249"/>
      <c r="FS131" s="249"/>
      <c r="FT131" s="249"/>
      <c r="FU131" s="249"/>
      <c r="FV131" s="249"/>
      <c r="FW131" s="249"/>
      <c r="FX131" s="249"/>
      <c r="FY131" s="249"/>
      <c r="FZ131" s="249"/>
      <c r="GA131" s="249"/>
      <c r="GB131" s="249"/>
      <c r="GC131" s="249"/>
      <c r="GD131" s="249"/>
      <c r="GE131" s="249"/>
      <c r="GF131" s="249"/>
      <c r="GG131" s="249"/>
      <c r="GH131" s="249"/>
      <c r="GI131" s="249"/>
      <c r="GJ131" s="249"/>
      <c r="GK131" s="249"/>
      <c r="GL131" s="249"/>
      <c r="GM131" s="249"/>
      <c r="GN131" s="249"/>
      <c r="GO131" s="249"/>
      <c r="GP131" s="249"/>
      <c r="GQ131" s="249"/>
      <c r="GR131" s="249"/>
    </row>
    <row r="132" spans="1:200" s="252" customFormat="1" ht="12.75" customHeight="1" x14ac:dyDescent="0.2">
      <c r="A132" s="729"/>
      <c r="B132" s="1130"/>
      <c r="C132" s="1130"/>
      <c r="D132" s="532"/>
      <c r="E132" s="613"/>
      <c r="F132" s="249"/>
      <c r="G132" s="250"/>
      <c r="H132" s="250"/>
      <c r="I132" s="250"/>
      <c r="J132" s="250"/>
      <c r="K132" s="250"/>
      <c r="L132" s="250"/>
      <c r="M132" s="250"/>
      <c r="N132" s="250"/>
      <c r="O132" s="250"/>
      <c r="P132" s="251"/>
      <c r="Q132" s="251"/>
      <c r="R132" s="251"/>
      <c r="S132" s="251"/>
      <c r="T132" s="251"/>
      <c r="U132" s="133"/>
      <c r="V132" s="1920" t="s">
        <v>1121</v>
      </c>
      <c r="W132" s="1922" t="s">
        <v>1269</v>
      </c>
      <c r="X132" s="1163"/>
      <c r="Y132" s="246">
        <f>IFERROR(ROUNDUP(INDEX('MUD Consumables'!$AC$7:$AC$14,MATCH(Y$107,'MUD Consumables'!$C$7:$C$14,0))*Y$106*$U$108,0),0)</f>
        <v>0</v>
      </c>
      <c r="Z132" s="1163"/>
      <c r="AA132" s="246">
        <f>IFERROR(ROUNDUP(INDEX('MUD Consumables'!$AC$7:$AC$14,MATCH(AA$107,'MUD Consumables'!$C$7:$C$14,0))*AA$106*$U$108,0),0)</f>
        <v>0</v>
      </c>
      <c r="AB132" s="1163"/>
      <c r="AC132" s="246">
        <f>IFERROR(ROUNDUP(INDEX('MUD Consumables'!$AC$7:$AC$14,MATCH(AC$107,'MUD Consumables'!$C$7:$C$14,0))*AC$106*$U$108,0),0)</f>
        <v>0</v>
      </c>
      <c r="AD132" s="1163"/>
      <c r="AE132" s="246">
        <f>IFERROR(ROUNDUP(INDEX('MUD Consumables'!$AC$7:$AC$14,MATCH(AE$107,'MUD Consumables'!$C$7:$C$14,0))*AE$106*$U$108,0),0)</f>
        <v>12</v>
      </c>
      <c r="AF132" s="1163"/>
      <c r="AG132" s="246">
        <f>IFERROR(ROUNDUP(INDEX('MUD Consumables'!$AC$7:$AC$14,MATCH(AG$107,'MUD Consumables'!$C$7:$C$14,0))*AG$106*$U$108,0),0)</f>
        <v>0</v>
      </c>
      <c r="AH132" s="1163"/>
      <c r="AI132" s="246">
        <f>IFERROR(ROUNDUP(INDEX('MUD Consumables'!$AC$7:$AC$14,MATCH(AI$107,'MUD Consumables'!$C$7:$C$14,0))*AI$106*$U$108,0),0)</f>
        <v>0</v>
      </c>
      <c r="AJ132" s="1163"/>
      <c r="AK132" s="246">
        <f>IFERROR(ROUNDUP(INDEX('MUD Consumables'!$AC$7:$AC$14,MATCH(AK$107,'MUD Consumables'!$C$7:$C$14,0))*AK$106*$U$108,0),0)</f>
        <v>0</v>
      </c>
      <c r="AL132" s="1163"/>
      <c r="AM132" s="1438">
        <f t="shared" si="52"/>
        <v>12</v>
      </c>
      <c r="AN132" s="254"/>
      <c r="AO132" s="249"/>
      <c r="AP132" s="250"/>
      <c r="AQ132" s="250"/>
      <c r="AR132" s="250"/>
      <c r="AS132" s="250"/>
      <c r="AT132" s="250"/>
      <c r="AU132" s="250"/>
      <c r="AV132" s="249"/>
      <c r="AW132" s="249"/>
      <c r="AX132" s="249"/>
      <c r="AY132" s="249"/>
      <c r="AZ132" s="249"/>
      <c r="BA132" s="249"/>
      <c r="BB132" s="249"/>
      <c r="BC132" s="249"/>
      <c r="BD132" s="249"/>
      <c r="BE132" s="249"/>
      <c r="BF132" s="249"/>
      <c r="BG132" s="249"/>
      <c r="BH132" s="249"/>
      <c r="BI132" s="249"/>
      <c r="BJ132" s="249"/>
      <c r="BK132" s="249"/>
      <c r="BL132" s="249"/>
      <c r="BM132" s="249"/>
      <c r="BN132" s="249"/>
      <c r="BO132" s="249"/>
      <c r="BP132" s="249"/>
      <c r="BQ132" s="249"/>
      <c r="BR132" s="249"/>
      <c r="BS132" s="249"/>
      <c r="BT132" s="249"/>
      <c r="BU132" s="249"/>
      <c r="BV132" s="249"/>
      <c r="BW132" s="249"/>
      <c r="BX132" s="249"/>
      <c r="BY132" s="249"/>
      <c r="BZ132" s="249"/>
      <c r="CA132" s="249"/>
      <c r="CB132" s="249"/>
      <c r="CC132" s="249"/>
      <c r="CD132" s="249"/>
      <c r="CE132" s="249"/>
      <c r="CF132" s="249"/>
      <c r="CG132" s="249"/>
      <c r="CH132" s="249"/>
      <c r="CI132" s="249"/>
      <c r="CJ132" s="249"/>
      <c r="CK132" s="249"/>
      <c r="CL132" s="249"/>
      <c r="CM132" s="249"/>
      <c r="CN132" s="249"/>
      <c r="CO132" s="249"/>
      <c r="CP132" s="249"/>
      <c r="CQ132" s="249"/>
      <c r="CR132" s="249"/>
      <c r="CS132" s="249"/>
      <c r="CT132" s="249"/>
      <c r="CU132" s="249"/>
      <c r="CV132" s="249"/>
      <c r="CW132" s="249"/>
      <c r="CX132" s="249"/>
      <c r="CY132" s="249"/>
      <c r="CZ132" s="249"/>
      <c r="DA132" s="249"/>
      <c r="DB132" s="249"/>
      <c r="DC132" s="249"/>
      <c r="DD132" s="249"/>
      <c r="DE132" s="249"/>
      <c r="DF132" s="249"/>
      <c r="DG132" s="249"/>
      <c r="DH132" s="249"/>
      <c r="DI132" s="249"/>
      <c r="DJ132" s="249"/>
      <c r="DK132" s="249"/>
      <c r="DL132" s="249"/>
      <c r="DM132" s="249"/>
      <c r="DN132" s="249"/>
      <c r="DO132" s="249"/>
      <c r="DP132" s="249"/>
      <c r="DQ132" s="249"/>
      <c r="DR132" s="249"/>
      <c r="DS132" s="249"/>
      <c r="DT132" s="249"/>
      <c r="DU132" s="249"/>
      <c r="DV132" s="249"/>
      <c r="DW132" s="249"/>
      <c r="DX132" s="249"/>
      <c r="DY132" s="249"/>
      <c r="DZ132" s="249"/>
      <c r="EA132" s="249"/>
      <c r="EB132" s="249"/>
      <c r="EC132" s="249"/>
      <c r="ED132" s="249"/>
      <c r="EE132" s="249"/>
      <c r="EF132" s="249"/>
      <c r="EG132" s="249"/>
      <c r="EH132" s="249"/>
      <c r="EI132" s="249"/>
      <c r="EJ132" s="249"/>
      <c r="EK132" s="249"/>
      <c r="EL132" s="249"/>
      <c r="EM132" s="249"/>
      <c r="EN132" s="249"/>
      <c r="EO132" s="249"/>
      <c r="EP132" s="249"/>
      <c r="EQ132" s="249"/>
      <c r="ER132" s="249"/>
      <c r="ES132" s="249"/>
      <c r="ET132" s="249"/>
      <c r="EU132" s="249"/>
      <c r="EV132" s="249"/>
      <c r="EW132" s="249"/>
      <c r="EX132" s="249"/>
      <c r="EY132" s="249"/>
      <c r="EZ132" s="249"/>
      <c r="FA132" s="249"/>
      <c r="FB132" s="249"/>
      <c r="FC132" s="249"/>
      <c r="FD132" s="249"/>
      <c r="FE132" s="249"/>
      <c r="FF132" s="249"/>
      <c r="FG132" s="249"/>
      <c r="FH132" s="249"/>
      <c r="FI132" s="249"/>
      <c r="FJ132" s="249"/>
      <c r="FK132" s="249"/>
      <c r="FL132" s="249"/>
      <c r="FM132" s="249"/>
      <c r="FN132" s="249"/>
      <c r="FO132" s="249"/>
      <c r="FP132" s="249"/>
      <c r="FQ132" s="249"/>
      <c r="FR132" s="249"/>
      <c r="FS132" s="249"/>
      <c r="FT132" s="249"/>
      <c r="FU132" s="249"/>
      <c r="FV132" s="249"/>
      <c r="FW132" s="249"/>
      <c r="FX132" s="249"/>
      <c r="FY132" s="249"/>
      <c r="FZ132" s="249"/>
      <c r="GA132" s="249"/>
      <c r="GB132" s="249"/>
      <c r="GC132" s="249"/>
      <c r="GD132" s="249"/>
      <c r="GE132" s="249"/>
      <c r="GF132" s="249"/>
      <c r="GG132" s="249"/>
      <c r="GH132" s="249"/>
      <c r="GI132" s="249"/>
      <c r="GJ132" s="249"/>
      <c r="GK132" s="249"/>
      <c r="GL132" s="249"/>
      <c r="GM132" s="249"/>
      <c r="GN132" s="249"/>
      <c r="GO132" s="249"/>
      <c r="GP132" s="249"/>
      <c r="GQ132" s="249"/>
      <c r="GR132" s="249"/>
    </row>
    <row r="133" spans="1:200" s="252" customFormat="1" ht="12.75" customHeight="1" x14ac:dyDescent="0.2">
      <c r="A133" s="729"/>
      <c r="B133" s="1130"/>
      <c r="C133" s="1130"/>
      <c r="D133" s="532"/>
      <c r="E133" s="613"/>
      <c r="F133" s="249"/>
      <c r="G133" s="250"/>
      <c r="H133" s="250"/>
      <c r="I133" s="250"/>
      <c r="J133" s="250"/>
      <c r="K133" s="250"/>
      <c r="L133" s="250"/>
      <c r="M133" s="250"/>
      <c r="N133" s="250"/>
      <c r="O133" s="250"/>
      <c r="P133" s="251"/>
      <c r="Q133" s="251"/>
      <c r="R133" s="251"/>
      <c r="S133" s="251"/>
      <c r="T133" s="251"/>
      <c r="U133" s="133"/>
      <c r="V133" s="1920" t="s">
        <v>1265</v>
      </c>
      <c r="W133" s="1922" t="s">
        <v>1271</v>
      </c>
      <c r="X133" s="1163"/>
      <c r="Y133" s="246">
        <f>IFERROR(ROUNDUP(INDEX('MUD Consumables'!$AD$7:$AD$14,MATCH(Y$107,'MUD Consumables'!$C$7:$C$14,0))*Y$106*$U$108,0),0)</f>
        <v>0</v>
      </c>
      <c r="Z133" s="1163"/>
      <c r="AA133" s="246">
        <f>IFERROR(ROUNDUP(INDEX('MUD Consumables'!$AD$7:$AD$14,MATCH(AA$107,'MUD Consumables'!$C$7:$C$14,0))*AA$106*$U$108,0),0)</f>
        <v>0</v>
      </c>
      <c r="AB133" s="1163"/>
      <c r="AC133" s="246">
        <f>IFERROR(ROUNDUP(INDEX('MUD Consumables'!$AD$7:$AD$14,MATCH(AC$107,'MUD Consumables'!$C$7:$C$14,0))*AC$106*$U$108,0),0)</f>
        <v>0</v>
      </c>
      <c r="AD133" s="1163"/>
      <c r="AE133" s="246">
        <f>IFERROR(ROUNDUP(INDEX('MUD Consumables'!$AD$7:$AD$14,MATCH(AE$107,'MUD Consumables'!$C$7:$C$14,0))*AE$106*$U$108,0),0)</f>
        <v>3</v>
      </c>
      <c r="AF133" s="1163"/>
      <c r="AG133" s="246">
        <f>IFERROR(ROUNDUP(INDEX('MUD Consumables'!$AD$7:$AD$14,MATCH(AG$107,'MUD Consumables'!$C$7:$C$14,0))*AG$106*$U$108,0),0)</f>
        <v>0</v>
      </c>
      <c r="AH133" s="1163"/>
      <c r="AI133" s="246">
        <f>IFERROR(ROUNDUP(INDEX('MUD Consumables'!$AD$7:$AD$14,MATCH(AI$107,'MUD Consumables'!$C$7:$C$14,0))*AI$106*$U$108,0),0)</f>
        <v>0</v>
      </c>
      <c r="AJ133" s="1163"/>
      <c r="AK133" s="246">
        <f>IFERROR(ROUNDUP(INDEX('MUD Consumables'!$AD$7:$AD$14,MATCH(AK$107,'MUD Consumables'!$C$7:$C$14,0))*AK$106*$U$108,0),0)</f>
        <v>0</v>
      </c>
      <c r="AL133" s="1163"/>
      <c r="AM133" s="1438">
        <f t="shared" si="52"/>
        <v>3</v>
      </c>
      <c r="AN133" s="254"/>
      <c r="AO133" s="249"/>
      <c r="AP133" s="250"/>
      <c r="AQ133" s="250"/>
      <c r="AR133" s="250"/>
      <c r="AS133" s="250"/>
      <c r="AT133" s="250"/>
      <c r="AU133" s="250"/>
      <c r="AV133" s="249"/>
      <c r="AW133" s="249"/>
      <c r="AX133" s="249"/>
      <c r="AY133" s="249"/>
      <c r="AZ133" s="249"/>
      <c r="BA133" s="249"/>
      <c r="BB133" s="249"/>
      <c r="BC133" s="249"/>
      <c r="BD133" s="249"/>
      <c r="BE133" s="249"/>
      <c r="BF133" s="249"/>
      <c r="BG133" s="249"/>
      <c r="BH133" s="249"/>
      <c r="BI133" s="249"/>
      <c r="BJ133" s="249"/>
      <c r="BK133" s="249"/>
      <c r="BL133" s="249"/>
      <c r="BM133" s="249"/>
      <c r="BN133" s="249"/>
      <c r="BO133" s="249"/>
      <c r="BP133" s="249"/>
      <c r="BQ133" s="249"/>
      <c r="BR133" s="249"/>
      <c r="BS133" s="249"/>
      <c r="BT133" s="249"/>
      <c r="BU133" s="249"/>
      <c r="BV133" s="249"/>
      <c r="BW133" s="249"/>
      <c r="BX133" s="249"/>
      <c r="BY133" s="249"/>
      <c r="BZ133" s="249"/>
      <c r="CA133" s="249"/>
      <c r="CB133" s="249"/>
      <c r="CC133" s="249"/>
      <c r="CD133" s="249"/>
      <c r="CE133" s="249"/>
      <c r="CF133" s="249"/>
      <c r="CG133" s="249"/>
      <c r="CH133" s="249"/>
      <c r="CI133" s="249"/>
      <c r="CJ133" s="249"/>
      <c r="CK133" s="249"/>
      <c r="CL133" s="249"/>
      <c r="CM133" s="249"/>
      <c r="CN133" s="249"/>
      <c r="CO133" s="249"/>
      <c r="CP133" s="249"/>
      <c r="CQ133" s="249"/>
      <c r="CR133" s="249"/>
      <c r="CS133" s="249"/>
      <c r="CT133" s="249"/>
      <c r="CU133" s="249"/>
      <c r="CV133" s="249"/>
      <c r="CW133" s="249"/>
      <c r="CX133" s="249"/>
      <c r="CY133" s="249"/>
      <c r="CZ133" s="249"/>
      <c r="DA133" s="249"/>
      <c r="DB133" s="249"/>
      <c r="DC133" s="249"/>
      <c r="DD133" s="249"/>
      <c r="DE133" s="249"/>
      <c r="DF133" s="249"/>
      <c r="DG133" s="249"/>
      <c r="DH133" s="249"/>
      <c r="DI133" s="249"/>
      <c r="DJ133" s="249"/>
      <c r="DK133" s="249"/>
      <c r="DL133" s="249"/>
      <c r="DM133" s="249"/>
      <c r="DN133" s="249"/>
      <c r="DO133" s="249"/>
      <c r="DP133" s="249"/>
      <c r="DQ133" s="249"/>
      <c r="DR133" s="249"/>
      <c r="DS133" s="249"/>
      <c r="DT133" s="249"/>
      <c r="DU133" s="249"/>
      <c r="DV133" s="249"/>
      <c r="DW133" s="249"/>
      <c r="DX133" s="249"/>
      <c r="DY133" s="249"/>
      <c r="DZ133" s="249"/>
      <c r="EA133" s="249"/>
      <c r="EB133" s="249"/>
      <c r="EC133" s="249"/>
      <c r="ED133" s="249"/>
      <c r="EE133" s="249"/>
      <c r="EF133" s="249"/>
      <c r="EG133" s="249"/>
      <c r="EH133" s="249"/>
      <c r="EI133" s="249"/>
      <c r="EJ133" s="249"/>
      <c r="EK133" s="249"/>
      <c r="EL133" s="249"/>
      <c r="EM133" s="249"/>
      <c r="EN133" s="249"/>
      <c r="EO133" s="249"/>
      <c r="EP133" s="249"/>
      <c r="EQ133" s="249"/>
      <c r="ER133" s="249"/>
      <c r="ES133" s="249"/>
      <c r="ET133" s="249"/>
      <c r="EU133" s="249"/>
      <c r="EV133" s="249"/>
      <c r="EW133" s="249"/>
      <c r="EX133" s="249"/>
      <c r="EY133" s="249"/>
      <c r="EZ133" s="249"/>
      <c r="FA133" s="249"/>
      <c r="FB133" s="249"/>
      <c r="FC133" s="249"/>
      <c r="FD133" s="249"/>
      <c r="FE133" s="249"/>
      <c r="FF133" s="249"/>
      <c r="FG133" s="249"/>
      <c r="FH133" s="249"/>
      <c r="FI133" s="249"/>
      <c r="FJ133" s="249"/>
      <c r="FK133" s="249"/>
      <c r="FL133" s="249"/>
      <c r="FM133" s="249"/>
      <c r="FN133" s="249"/>
      <c r="FO133" s="249"/>
      <c r="FP133" s="249"/>
      <c r="FQ133" s="249"/>
      <c r="FR133" s="249"/>
      <c r="FS133" s="249"/>
      <c r="FT133" s="249"/>
      <c r="FU133" s="249"/>
      <c r="FV133" s="249"/>
      <c r="FW133" s="249"/>
      <c r="FX133" s="249"/>
      <c r="FY133" s="249"/>
      <c r="FZ133" s="249"/>
      <c r="GA133" s="249"/>
      <c r="GB133" s="249"/>
      <c r="GC133" s="249"/>
      <c r="GD133" s="249"/>
      <c r="GE133" s="249"/>
      <c r="GF133" s="249"/>
      <c r="GG133" s="249"/>
      <c r="GH133" s="249"/>
      <c r="GI133" s="249"/>
      <c r="GJ133" s="249"/>
      <c r="GK133" s="249"/>
      <c r="GL133" s="249"/>
      <c r="GM133" s="249"/>
      <c r="GN133" s="249"/>
      <c r="GO133" s="249"/>
      <c r="GP133" s="249"/>
      <c r="GQ133" s="249"/>
      <c r="GR133" s="249"/>
    </row>
    <row r="134" spans="1:200" s="252" customFormat="1" ht="12.75" customHeight="1" x14ac:dyDescent="0.2">
      <c r="A134" s="729"/>
      <c r="B134" s="1130"/>
      <c r="C134" s="1130"/>
      <c r="D134" s="532"/>
      <c r="E134" s="613"/>
      <c r="F134" s="249"/>
      <c r="G134" s="250"/>
      <c r="H134" s="250"/>
      <c r="I134" s="250"/>
      <c r="J134" s="250"/>
      <c r="K134" s="250"/>
      <c r="L134" s="250"/>
      <c r="M134" s="250"/>
      <c r="N134" s="250"/>
      <c r="O134" s="250"/>
      <c r="P134" s="251"/>
      <c r="Q134" s="251"/>
      <c r="R134" s="251"/>
      <c r="S134" s="251"/>
      <c r="T134" s="251"/>
      <c r="U134" s="133"/>
      <c r="V134" s="1920" t="s">
        <v>1266</v>
      </c>
      <c r="W134" s="1922" t="s">
        <v>1272</v>
      </c>
      <c r="X134" s="1163"/>
      <c r="Y134" s="246">
        <f>IFERROR(ROUNDUP(INDEX('MUD Consumables'!$AE$7:$AE$14,MATCH(Y$107,'MUD Consumables'!$C$7:$C$14,0))*Y$106*$U$108,0),0)</f>
        <v>0</v>
      </c>
      <c r="Z134" s="1163"/>
      <c r="AA134" s="246">
        <f>IFERROR(ROUNDUP(INDEX('MUD Consumables'!$AE$7:$AE$14,MATCH(AA$107,'MUD Consumables'!$C$7:$C$14,0))*AA$106*$U$108,0),0)</f>
        <v>0</v>
      </c>
      <c r="AB134" s="1163"/>
      <c r="AC134" s="246">
        <f>IFERROR(ROUNDUP(INDEX('MUD Consumables'!$AE$7:$AE$14,MATCH(AC$107,'MUD Consumables'!$C$7:$C$14,0))*AC$106*$U$108,0),0)</f>
        <v>0</v>
      </c>
      <c r="AD134" s="1163"/>
      <c r="AE134" s="246">
        <f>IFERROR(ROUNDUP(INDEX('MUD Consumables'!$AE$7:$AE$14,MATCH(AE$107,'MUD Consumables'!$C$7:$C$14,0))*AE$106*$U$108,0),0)</f>
        <v>0</v>
      </c>
      <c r="AF134" s="1163"/>
      <c r="AG134" s="246">
        <f>IFERROR(ROUNDUP(INDEX('MUD Consumables'!$AE$7:$AE$14,MATCH(AG$107,'MUD Consumables'!$C$7:$C$14,0))*AG$106*$U$108,0),0)</f>
        <v>0</v>
      </c>
      <c r="AH134" s="1163"/>
      <c r="AI134" s="246">
        <f>IFERROR(ROUNDUP(INDEX('MUD Consumables'!$AE$7:$AE$14,MATCH(AI$107,'MUD Consumables'!$C$7:$C$14,0))*AI$106*$U$108,0),0)</f>
        <v>0</v>
      </c>
      <c r="AJ134" s="1163"/>
      <c r="AK134" s="246">
        <f>IFERROR(ROUNDUP(INDEX('MUD Consumables'!$AE$7:$AE$14,MATCH(AK$107,'MUD Consumables'!$C$7:$C$14,0))*AK$106*$U$108,0),0)</f>
        <v>0</v>
      </c>
      <c r="AL134" s="1163"/>
      <c r="AM134" s="1438">
        <f t="shared" si="52"/>
        <v>0</v>
      </c>
      <c r="AN134" s="254"/>
      <c r="AO134" s="249"/>
      <c r="AP134" s="250"/>
      <c r="AQ134" s="250"/>
      <c r="AR134" s="250"/>
      <c r="AS134" s="250"/>
      <c r="AT134" s="250"/>
      <c r="AU134" s="250"/>
      <c r="AV134" s="249"/>
      <c r="AW134" s="249"/>
      <c r="AX134" s="249"/>
      <c r="AY134" s="249"/>
      <c r="AZ134" s="249"/>
      <c r="BA134" s="249"/>
      <c r="BB134" s="249"/>
      <c r="BC134" s="249"/>
      <c r="BD134" s="249"/>
      <c r="BE134" s="249"/>
      <c r="BF134" s="249"/>
      <c r="BG134" s="249"/>
      <c r="BH134" s="249"/>
      <c r="BI134" s="249"/>
      <c r="BJ134" s="249"/>
      <c r="BK134" s="249"/>
      <c r="BL134" s="249"/>
      <c r="BM134" s="249"/>
      <c r="BN134" s="249"/>
      <c r="BO134" s="249"/>
      <c r="BP134" s="249"/>
      <c r="BQ134" s="249"/>
      <c r="BR134" s="249"/>
      <c r="BS134" s="249"/>
      <c r="BT134" s="249"/>
      <c r="BU134" s="249"/>
      <c r="BV134" s="249"/>
      <c r="BW134" s="249"/>
      <c r="BX134" s="249"/>
      <c r="BY134" s="249"/>
      <c r="BZ134" s="249"/>
      <c r="CA134" s="249"/>
      <c r="CB134" s="249"/>
      <c r="CC134" s="249"/>
      <c r="CD134" s="249"/>
      <c r="CE134" s="249"/>
      <c r="CF134" s="249"/>
      <c r="CG134" s="249"/>
      <c r="CH134" s="249"/>
      <c r="CI134" s="249"/>
      <c r="CJ134" s="249"/>
      <c r="CK134" s="249"/>
      <c r="CL134" s="249"/>
      <c r="CM134" s="249"/>
      <c r="CN134" s="249"/>
      <c r="CO134" s="249"/>
      <c r="CP134" s="249"/>
      <c r="CQ134" s="249"/>
      <c r="CR134" s="249"/>
      <c r="CS134" s="249"/>
      <c r="CT134" s="249"/>
      <c r="CU134" s="249"/>
      <c r="CV134" s="249"/>
      <c r="CW134" s="249"/>
      <c r="CX134" s="249"/>
      <c r="CY134" s="249"/>
      <c r="CZ134" s="249"/>
      <c r="DA134" s="249"/>
      <c r="DB134" s="249"/>
      <c r="DC134" s="249"/>
      <c r="DD134" s="249"/>
      <c r="DE134" s="249"/>
      <c r="DF134" s="249"/>
      <c r="DG134" s="249"/>
      <c r="DH134" s="249"/>
      <c r="DI134" s="249"/>
      <c r="DJ134" s="249"/>
      <c r="DK134" s="249"/>
      <c r="DL134" s="249"/>
      <c r="DM134" s="249"/>
      <c r="DN134" s="249"/>
      <c r="DO134" s="249"/>
      <c r="DP134" s="249"/>
      <c r="DQ134" s="249"/>
      <c r="DR134" s="249"/>
      <c r="DS134" s="249"/>
      <c r="DT134" s="249"/>
      <c r="DU134" s="249"/>
      <c r="DV134" s="249"/>
      <c r="DW134" s="249"/>
      <c r="DX134" s="249"/>
      <c r="DY134" s="249"/>
      <c r="DZ134" s="249"/>
      <c r="EA134" s="249"/>
      <c r="EB134" s="249"/>
      <c r="EC134" s="249"/>
      <c r="ED134" s="249"/>
      <c r="EE134" s="249"/>
      <c r="EF134" s="249"/>
      <c r="EG134" s="249"/>
      <c r="EH134" s="249"/>
      <c r="EI134" s="249"/>
      <c r="EJ134" s="249"/>
      <c r="EK134" s="249"/>
      <c r="EL134" s="249"/>
      <c r="EM134" s="249"/>
      <c r="EN134" s="249"/>
      <c r="EO134" s="249"/>
      <c r="EP134" s="249"/>
      <c r="EQ134" s="249"/>
      <c r="ER134" s="249"/>
      <c r="ES134" s="249"/>
      <c r="ET134" s="249"/>
      <c r="EU134" s="249"/>
      <c r="EV134" s="249"/>
      <c r="EW134" s="249"/>
      <c r="EX134" s="249"/>
      <c r="EY134" s="249"/>
      <c r="EZ134" s="249"/>
      <c r="FA134" s="249"/>
      <c r="FB134" s="249"/>
      <c r="FC134" s="249"/>
      <c r="FD134" s="249"/>
      <c r="FE134" s="249"/>
      <c r="FF134" s="249"/>
      <c r="FG134" s="249"/>
      <c r="FH134" s="249"/>
      <c r="FI134" s="249"/>
      <c r="FJ134" s="249"/>
      <c r="FK134" s="249"/>
      <c r="FL134" s="249"/>
      <c r="FM134" s="249"/>
      <c r="FN134" s="249"/>
      <c r="FO134" s="249"/>
      <c r="FP134" s="249"/>
      <c r="FQ134" s="249"/>
      <c r="FR134" s="249"/>
      <c r="FS134" s="249"/>
      <c r="FT134" s="249"/>
      <c r="FU134" s="249"/>
      <c r="FV134" s="249"/>
      <c r="FW134" s="249"/>
      <c r="FX134" s="249"/>
      <c r="FY134" s="249"/>
      <c r="FZ134" s="249"/>
      <c r="GA134" s="249"/>
      <c r="GB134" s="249"/>
      <c r="GC134" s="249"/>
      <c r="GD134" s="249"/>
      <c r="GE134" s="249"/>
      <c r="GF134" s="249"/>
      <c r="GG134" s="249"/>
      <c r="GH134" s="249"/>
      <c r="GI134" s="249"/>
      <c r="GJ134" s="249"/>
      <c r="GK134" s="249"/>
      <c r="GL134" s="249"/>
      <c r="GM134" s="249"/>
      <c r="GN134" s="249"/>
      <c r="GO134" s="249"/>
      <c r="GP134" s="249"/>
      <c r="GQ134" s="249"/>
      <c r="GR134" s="249"/>
    </row>
    <row r="135" spans="1:200" s="252" customFormat="1" ht="12.75" customHeight="1" x14ac:dyDescent="0.2">
      <c r="A135" s="729"/>
      <c r="B135" s="1130"/>
      <c r="C135" s="1130"/>
      <c r="D135" s="532"/>
      <c r="E135" s="613"/>
      <c r="F135" s="249"/>
      <c r="G135" s="250"/>
      <c r="H135" s="250"/>
      <c r="I135" s="250"/>
      <c r="J135" s="250"/>
      <c r="K135" s="250"/>
      <c r="L135" s="250"/>
      <c r="M135" s="250"/>
      <c r="N135" s="250"/>
      <c r="O135" s="250"/>
      <c r="P135" s="251"/>
      <c r="Q135" s="251"/>
      <c r="R135" s="251"/>
      <c r="S135" s="251"/>
      <c r="T135" s="251"/>
      <c r="U135" s="133"/>
      <c r="V135" s="1920" t="s">
        <v>1118</v>
      </c>
      <c r="W135" s="1922" t="s">
        <v>1272</v>
      </c>
      <c r="X135" s="1163"/>
      <c r="Y135" s="246">
        <f>IFERROR(ROUNDUP(INDEX('MUD Consumables'!$AF$7:$AF$14,MATCH(Y$107,'MUD Consumables'!$C$7:$C$14,0))*Y$106*$U$108,0),0)</f>
        <v>0</v>
      </c>
      <c r="Z135" s="1163"/>
      <c r="AA135" s="246">
        <f>IFERROR(ROUNDUP(INDEX('MUD Consumables'!$AF$7:$AF$14,MATCH(AA$107,'MUD Consumables'!$C$7:$C$14,0))*AA$106*$U$108,0),0)</f>
        <v>0</v>
      </c>
      <c r="AB135" s="1163"/>
      <c r="AC135" s="246">
        <f>IFERROR(ROUNDUP(INDEX('MUD Consumables'!$AF$7:$AF$14,MATCH(AC$107,'MUD Consumables'!$C$7:$C$14,0))*AC$106*$U$108,0),0)</f>
        <v>0</v>
      </c>
      <c r="AD135" s="1163"/>
      <c r="AE135" s="246">
        <f>IFERROR(ROUNDUP(INDEX('MUD Consumables'!$AF$7:$AF$14,MATCH(AE$107,'MUD Consumables'!$C$7:$C$14,0))*AE$106*$U$108,0),0)</f>
        <v>0</v>
      </c>
      <c r="AF135" s="1163"/>
      <c r="AG135" s="246">
        <f>IFERROR(ROUNDUP(INDEX('MUD Consumables'!$AF$7:$AF$14,MATCH(AG$107,'MUD Consumables'!$C$7:$C$14,0))*AG$106*$U$108,0),0)</f>
        <v>0</v>
      </c>
      <c r="AH135" s="1163"/>
      <c r="AI135" s="246">
        <f>IFERROR(ROUNDUP(INDEX('MUD Consumables'!$AF$7:$AF$14,MATCH(AI$107,'MUD Consumables'!$C$7:$C$14,0))*AI$106*$U$108,0),0)</f>
        <v>0</v>
      </c>
      <c r="AJ135" s="1163"/>
      <c r="AK135" s="246">
        <f>IFERROR(ROUNDUP(INDEX('MUD Consumables'!$AF$7:$AF$14,MATCH(AK$107,'MUD Consumables'!$C$7:$C$14,0))*AK$106*$U$108,0),0)</f>
        <v>0</v>
      </c>
      <c r="AL135" s="1163"/>
      <c r="AM135" s="1438">
        <f t="shared" si="52"/>
        <v>0</v>
      </c>
      <c r="AN135" s="254"/>
      <c r="AO135" s="249"/>
      <c r="AP135" s="250"/>
      <c r="AQ135" s="250"/>
      <c r="AR135" s="250"/>
      <c r="AS135" s="250"/>
      <c r="AT135" s="250"/>
      <c r="AU135" s="250"/>
      <c r="AV135" s="249"/>
      <c r="AW135" s="249"/>
      <c r="AX135" s="249"/>
      <c r="AY135" s="249"/>
      <c r="AZ135" s="249"/>
      <c r="BA135" s="249"/>
      <c r="BB135" s="249"/>
      <c r="BC135" s="249"/>
      <c r="BD135" s="249"/>
      <c r="BE135" s="249"/>
      <c r="BF135" s="249"/>
      <c r="BG135" s="249"/>
      <c r="BH135" s="249"/>
      <c r="BI135" s="249"/>
      <c r="BJ135" s="249"/>
      <c r="BK135" s="249"/>
      <c r="BL135" s="249"/>
      <c r="BM135" s="249"/>
      <c r="BN135" s="249"/>
      <c r="BO135" s="249"/>
      <c r="BP135" s="249"/>
      <c r="BQ135" s="249"/>
      <c r="BR135" s="249"/>
      <c r="BS135" s="249"/>
      <c r="BT135" s="249"/>
      <c r="BU135" s="249"/>
      <c r="BV135" s="249"/>
      <c r="BW135" s="249"/>
      <c r="BX135" s="249"/>
      <c r="BY135" s="249"/>
      <c r="BZ135" s="249"/>
      <c r="CA135" s="249"/>
      <c r="CB135" s="249"/>
      <c r="CC135" s="249"/>
      <c r="CD135" s="249"/>
      <c r="CE135" s="249"/>
      <c r="CF135" s="249"/>
      <c r="CG135" s="249"/>
      <c r="CH135" s="249"/>
      <c r="CI135" s="249"/>
      <c r="CJ135" s="249"/>
      <c r="CK135" s="249"/>
      <c r="CL135" s="249"/>
      <c r="CM135" s="249"/>
      <c r="CN135" s="249"/>
      <c r="CO135" s="249"/>
      <c r="CP135" s="249"/>
      <c r="CQ135" s="249"/>
      <c r="CR135" s="249"/>
      <c r="CS135" s="249"/>
      <c r="CT135" s="249"/>
      <c r="CU135" s="249"/>
      <c r="CV135" s="249"/>
      <c r="CW135" s="249"/>
      <c r="CX135" s="249"/>
      <c r="CY135" s="249"/>
      <c r="CZ135" s="249"/>
      <c r="DA135" s="249"/>
      <c r="DB135" s="249"/>
      <c r="DC135" s="249"/>
      <c r="DD135" s="249"/>
      <c r="DE135" s="249"/>
      <c r="DF135" s="249"/>
      <c r="DG135" s="249"/>
      <c r="DH135" s="249"/>
      <c r="DI135" s="249"/>
      <c r="DJ135" s="249"/>
      <c r="DK135" s="249"/>
      <c r="DL135" s="249"/>
      <c r="DM135" s="249"/>
      <c r="DN135" s="249"/>
      <c r="DO135" s="249"/>
      <c r="DP135" s="249"/>
      <c r="DQ135" s="249"/>
      <c r="DR135" s="249"/>
      <c r="DS135" s="249"/>
      <c r="DT135" s="249"/>
      <c r="DU135" s="249"/>
      <c r="DV135" s="249"/>
      <c r="DW135" s="249"/>
      <c r="DX135" s="249"/>
      <c r="DY135" s="249"/>
      <c r="DZ135" s="249"/>
      <c r="EA135" s="249"/>
      <c r="EB135" s="249"/>
      <c r="EC135" s="249"/>
      <c r="ED135" s="249"/>
      <c r="EE135" s="249"/>
      <c r="EF135" s="249"/>
      <c r="EG135" s="249"/>
      <c r="EH135" s="249"/>
      <c r="EI135" s="249"/>
      <c r="EJ135" s="249"/>
      <c r="EK135" s="249"/>
      <c r="EL135" s="249"/>
      <c r="EM135" s="249"/>
      <c r="EN135" s="249"/>
      <c r="EO135" s="249"/>
      <c r="EP135" s="249"/>
      <c r="EQ135" s="249"/>
      <c r="ER135" s="249"/>
      <c r="ES135" s="249"/>
      <c r="ET135" s="249"/>
      <c r="EU135" s="249"/>
      <c r="EV135" s="249"/>
      <c r="EW135" s="249"/>
      <c r="EX135" s="249"/>
      <c r="EY135" s="249"/>
      <c r="EZ135" s="249"/>
      <c r="FA135" s="249"/>
      <c r="FB135" s="249"/>
      <c r="FC135" s="249"/>
      <c r="FD135" s="249"/>
      <c r="FE135" s="249"/>
      <c r="FF135" s="249"/>
      <c r="FG135" s="249"/>
      <c r="FH135" s="249"/>
      <c r="FI135" s="249"/>
      <c r="FJ135" s="249"/>
      <c r="FK135" s="249"/>
      <c r="FL135" s="249"/>
      <c r="FM135" s="249"/>
      <c r="FN135" s="249"/>
      <c r="FO135" s="249"/>
      <c r="FP135" s="249"/>
      <c r="FQ135" s="249"/>
      <c r="FR135" s="249"/>
      <c r="FS135" s="249"/>
      <c r="FT135" s="249"/>
      <c r="FU135" s="249"/>
      <c r="FV135" s="249"/>
      <c r="FW135" s="249"/>
      <c r="FX135" s="249"/>
      <c r="FY135" s="249"/>
      <c r="FZ135" s="249"/>
      <c r="GA135" s="249"/>
      <c r="GB135" s="249"/>
      <c r="GC135" s="249"/>
      <c r="GD135" s="249"/>
      <c r="GE135" s="249"/>
      <c r="GF135" s="249"/>
      <c r="GG135" s="249"/>
      <c r="GH135" s="249"/>
      <c r="GI135" s="249"/>
      <c r="GJ135" s="249"/>
      <c r="GK135" s="249"/>
      <c r="GL135" s="249"/>
      <c r="GM135" s="249"/>
      <c r="GN135" s="249"/>
      <c r="GO135" s="249"/>
      <c r="GP135" s="249"/>
      <c r="GQ135" s="249"/>
      <c r="GR135" s="249"/>
    </row>
    <row r="136" spans="1:200" s="252" customFormat="1" ht="12.75" customHeight="1" x14ac:dyDescent="0.2">
      <c r="A136" s="729"/>
      <c r="B136" s="1130"/>
      <c r="C136" s="1130"/>
      <c r="D136" s="532"/>
      <c r="E136" s="613"/>
      <c r="F136" s="249"/>
      <c r="G136" s="250"/>
      <c r="H136" s="250"/>
      <c r="I136" s="250"/>
      <c r="J136" s="250"/>
      <c r="K136" s="250"/>
      <c r="L136" s="250"/>
      <c r="M136" s="250"/>
      <c r="N136" s="250"/>
      <c r="O136" s="250"/>
      <c r="P136" s="251"/>
      <c r="Q136" s="251"/>
      <c r="R136" s="251"/>
      <c r="S136" s="251"/>
      <c r="T136" s="251"/>
      <c r="U136" s="133"/>
      <c r="V136" s="1920" t="s">
        <v>156</v>
      </c>
      <c r="W136" s="1922" t="s">
        <v>1269</v>
      </c>
      <c r="X136" s="1163"/>
      <c r="Y136" s="246">
        <f>IFERROR(ROUNDUP(INDEX('MUD Consumables'!$AG$7:$AG$14,MATCH(Y$107,'MUD Consumables'!$C$7:$C$14,0))*Y$106*$U$108,0),0)</f>
        <v>0</v>
      </c>
      <c r="Z136" s="1163"/>
      <c r="AA136" s="246">
        <f>IFERROR(ROUNDUP(INDEX('MUD Consumables'!$AG$7:$AG$14,MATCH(AA$107,'MUD Consumables'!$C$7:$C$14,0))*AA$106*$U$108,0),0)</f>
        <v>0</v>
      </c>
      <c r="AB136" s="1163"/>
      <c r="AC136" s="246">
        <f>IFERROR(ROUNDUP(INDEX('MUD Consumables'!$AG$7:$AG$14,MATCH(AC$107,'MUD Consumables'!$C$7:$C$14,0))*AC$106*$U$108,0),0)</f>
        <v>0</v>
      </c>
      <c r="AD136" s="1163"/>
      <c r="AE136" s="246">
        <f>IFERROR(ROUNDUP(INDEX('MUD Consumables'!$AG$7:$AG$14,MATCH(AE$107,'MUD Consumables'!$C$7:$C$14,0))*AE$106*$U$108,0),0)</f>
        <v>0</v>
      </c>
      <c r="AF136" s="1163"/>
      <c r="AG136" s="246">
        <f>IFERROR(ROUNDUP(INDEX('MUD Consumables'!$AG$7:$AG$14,MATCH(AG$107,'MUD Consumables'!$C$7:$C$14,0))*AG$106*$U$108,0),0)</f>
        <v>0</v>
      </c>
      <c r="AH136" s="1163"/>
      <c r="AI136" s="246">
        <f>IFERROR(ROUNDUP(INDEX('MUD Consumables'!$AG$7:$AG$14,MATCH(AI$107,'MUD Consumables'!$C$7:$C$14,0))*AI$106*$U$108,0),0)</f>
        <v>0</v>
      </c>
      <c r="AJ136" s="1163"/>
      <c r="AK136" s="246">
        <f>IFERROR(ROUNDUP(INDEX('MUD Consumables'!$AG$7:$AG$14,MATCH(AK$107,'MUD Consumables'!$C$7:$C$14,0))*AK$106*$U$108,0),0)</f>
        <v>0</v>
      </c>
      <c r="AL136" s="1163"/>
      <c r="AM136" s="1438">
        <f t="shared" si="52"/>
        <v>0</v>
      </c>
      <c r="AN136" s="254"/>
      <c r="AO136" s="249"/>
      <c r="AP136" s="250"/>
      <c r="AQ136" s="250"/>
      <c r="AR136" s="250"/>
      <c r="AS136" s="250"/>
      <c r="AT136" s="250"/>
      <c r="AU136" s="250"/>
      <c r="AV136" s="249"/>
      <c r="AW136" s="249"/>
      <c r="AX136" s="249"/>
      <c r="AY136" s="249"/>
      <c r="AZ136" s="249"/>
      <c r="BA136" s="249"/>
      <c r="BB136" s="249"/>
      <c r="BC136" s="249"/>
      <c r="BD136" s="249"/>
      <c r="BE136" s="249"/>
      <c r="BF136" s="249"/>
      <c r="BG136" s="249"/>
      <c r="BH136" s="249"/>
      <c r="BI136" s="249"/>
      <c r="BJ136" s="249"/>
      <c r="BK136" s="249"/>
      <c r="BL136" s="249"/>
      <c r="BM136" s="249"/>
      <c r="BN136" s="249"/>
      <c r="BO136" s="249"/>
      <c r="BP136" s="249"/>
      <c r="BQ136" s="249"/>
      <c r="BR136" s="249"/>
      <c r="BS136" s="249"/>
      <c r="BT136" s="249"/>
      <c r="BU136" s="249"/>
      <c r="BV136" s="249"/>
      <c r="BW136" s="249"/>
      <c r="BX136" s="249"/>
      <c r="BY136" s="249"/>
      <c r="BZ136" s="249"/>
      <c r="CA136" s="249"/>
      <c r="CB136" s="249"/>
      <c r="CC136" s="249"/>
      <c r="CD136" s="249"/>
      <c r="CE136" s="249"/>
      <c r="CF136" s="249"/>
      <c r="CG136" s="249"/>
      <c r="CH136" s="249"/>
      <c r="CI136" s="249"/>
      <c r="CJ136" s="249"/>
      <c r="CK136" s="249"/>
      <c r="CL136" s="249"/>
      <c r="CM136" s="249"/>
      <c r="CN136" s="249"/>
      <c r="CO136" s="249"/>
      <c r="CP136" s="249"/>
      <c r="CQ136" s="249"/>
      <c r="CR136" s="249"/>
      <c r="CS136" s="249"/>
      <c r="CT136" s="249"/>
      <c r="CU136" s="249"/>
      <c r="CV136" s="249"/>
      <c r="CW136" s="249"/>
      <c r="CX136" s="249"/>
      <c r="CY136" s="249"/>
      <c r="CZ136" s="249"/>
      <c r="DA136" s="249"/>
      <c r="DB136" s="249"/>
      <c r="DC136" s="249"/>
      <c r="DD136" s="249"/>
      <c r="DE136" s="249"/>
      <c r="DF136" s="249"/>
      <c r="DG136" s="249"/>
      <c r="DH136" s="249"/>
      <c r="DI136" s="249"/>
      <c r="DJ136" s="249"/>
      <c r="DK136" s="249"/>
      <c r="DL136" s="249"/>
      <c r="DM136" s="249"/>
      <c r="DN136" s="249"/>
      <c r="DO136" s="249"/>
      <c r="DP136" s="249"/>
      <c r="DQ136" s="249"/>
      <c r="DR136" s="249"/>
      <c r="DS136" s="249"/>
      <c r="DT136" s="249"/>
      <c r="DU136" s="249"/>
      <c r="DV136" s="249"/>
      <c r="DW136" s="249"/>
      <c r="DX136" s="249"/>
      <c r="DY136" s="249"/>
      <c r="DZ136" s="249"/>
      <c r="EA136" s="249"/>
      <c r="EB136" s="249"/>
      <c r="EC136" s="249"/>
      <c r="ED136" s="249"/>
      <c r="EE136" s="249"/>
      <c r="EF136" s="249"/>
      <c r="EG136" s="249"/>
      <c r="EH136" s="249"/>
      <c r="EI136" s="249"/>
      <c r="EJ136" s="249"/>
      <c r="EK136" s="249"/>
      <c r="EL136" s="249"/>
      <c r="EM136" s="249"/>
      <c r="EN136" s="249"/>
      <c r="EO136" s="249"/>
      <c r="EP136" s="249"/>
      <c r="EQ136" s="249"/>
      <c r="ER136" s="249"/>
      <c r="ES136" s="249"/>
      <c r="ET136" s="249"/>
      <c r="EU136" s="249"/>
      <c r="EV136" s="249"/>
      <c r="EW136" s="249"/>
      <c r="EX136" s="249"/>
      <c r="EY136" s="249"/>
      <c r="EZ136" s="249"/>
      <c r="FA136" s="249"/>
      <c r="FB136" s="249"/>
      <c r="FC136" s="249"/>
      <c r="FD136" s="249"/>
      <c r="FE136" s="249"/>
      <c r="FF136" s="249"/>
      <c r="FG136" s="249"/>
      <c r="FH136" s="249"/>
      <c r="FI136" s="249"/>
      <c r="FJ136" s="249"/>
      <c r="FK136" s="249"/>
      <c r="FL136" s="249"/>
      <c r="FM136" s="249"/>
      <c r="FN136" s="249"/>
      <c r="FO136" s="249"/>
      <c r="FP136" s="249"/>
      <c r="FQ136" s="249"/>
      <c r="FR136" s="249"/>
      <c r="FS136" s="249"/>
      <c r="FT136" s="249"/>
      <c r="FU136" s="249"/>
      <c r="FV136" s="249"/>
      <c r="FW136" s="249"/>
      <c r="FX136" s="249"/>
      <c r="FY136" s="249"/>
      <c r="FZ136" s="249"/>
      <c r="GA136" s="249"/>
      <c r="GB136" s="249"/>
      <c r="GC136" s="249"/>
      <c r="GD136" s="249"/>
      <c r="GE136" s="249"/>
      <c r="GF136" s="249"/>
      <c r="GG136" s="249"/>
      <c r="GH136" s="249"/>
      <c r="GI136" s="249"/>
      <c r="GJ136" s="249"/>
      <c r="GK136" s="249"/>
      <c r="GL136" s="249"/>
      <c r="GM136" s="249"/>
      <c r="GN136" s="249"/>
      <c r="GO136" s="249"/>
      <c r="GP136" s="249"/>
      <c r="GQ136" s="249"/>
      <c r="GR136" s="249"/>
    </row>
    <row r="137" spans="1:200" s="252" customFormat="1" ht="12.75" customHeight="1" x14ac:dyDescent="0.2">
      <c r="A137" s="729"/>
      <c r="B137" s="1130"/>
      <c r="C137" s="1130"/>
      <c r="D137" s="532"/>
      <c r="E137" s="613"/>
      <c r="F137" s="249"/>
      <c r="G137" s="250"/>
      <c r="H137" s="250"/>
      <c r="I137" s="250"/>
      <c r="J137" s="250"/>
      <c r="K137" s="250"/>
      <c r="L137" s="250"/>
      <c r="M137" s="250"/>
      <c r="N137" s="250"/>
      <c r="O137" s="250"/>
      <c r="P137" s="251"/>
      <c r="Q137" s="251"/>
      <c r="R137" s="251"/>
      <c r="S137" s="251"/>
      <c r="T137" s="251"/>
      <c r="U137" s="133"/>
      <c r="V137" s="149"/>
      <c r="W137" s="329"/>
      <c r="X137" s="1163"/>
      <c r="Y137" s="246">
        <f>IFERROR(INDEX('MUD Consumables'!$AH$7:$AH$14,MATCH(Y$107,'MUD Consumables'!$C$7:$C$14,0))*Y$106*$U$108,0)</f>
        <v>0</v>
      </c>
      <c r="Z137" s="1163"/>
      <c r="AA137" s="246">
        <f>IFERROR(INDEX('MUD Consumables'!$AH$7:$AH$14,MATCH(AA$107,'MUD Consumables'!$C$7:$C$14,0))*AA$106*$U$108,0)</f>
        <v>0</v>
      </c>
      <c r="AB137" s="1163"/>
      <c r="AC137" s="246">
        <f>IFERROR(INDEX('MUD Consumables'!$AH$7:$AH$14,MATCH(AC$107,'MUD Consumables'!$C$7:$C$14,0))*AC$106*$U$108,0)</f>
        <v>0</v>
      </c>
      <c r="AD137" s="1163"/>
      <c r="AE137" s="246">
        <f>IFERROR(INDEX('MUD Consumables'!$AH$7:$AH$14,MATCH(AE$107,'MUD Consumables'!$C$7:$C$14,0))*AE$106*$U$108,0)</f>
        <v>0</v>
      </c>
      <c r="AF137" s="1163"/>
      <c r="AG137" s="246">
        <f>IFERROR(INDEX('MUD Consumables'!$AH$7:$AH$14,MATCH(AG$107,'MUD Consumables'!$C$7:$C$14,0))*AG$106*$U$108,0)</f>
        <v>0</v>
      </c>
      <c r="AH137" s="1163"/>
      <c r="AI137" s="246">
        <f>IFERROR(INDEX('MUD Consumables'!$AH$7:$AH$14,MATCH(AI$107,'MUD Consumables'!$C$7:$C$14,0))*AI$106*$U$108,0)</f>
        <v>0</v>
      </c>
      <c r="AJ137" s="1163"/>
      <c r="AK137" s="246">
        <f>IFERROR(INDEX('MUD Consumables'!$AH$7:$AH$14,MATCH(AK$107,'MUD Consumables'!$C$7:$C$14,0))*AK$106*$U$108,0)</f>
        <v>0</v>
      </c>
      <c r="AL137" s="1163"/>
      <c r="AM137" s="1438"/>
      <c r="AN137" s="254"/>
      <c r="AO137" s="249"/>
      <c r="AP137" s="250"/>
      <c r="AQ137" s="250"/>
      <c r="AR137" s="250"/>
      <c r="AS137" s="250"/>
      <c r="AT137" s="250"/>
      <c r="AU137" s="250"/>
      <c r="AV137" s="249"/>
      <c r="AW137" s="249"/>
      <c r="AX137" s="249"/>
      <c r="AY137" s="249"/>
      <c r="AZ137" s="249"/>
      <c r="BA137" s="249"/>
      <c r="BB137" s="249"/>
      <c r="BC137" s="249"/>
      <c r="BD137" s="249"/>
      <c r="BE137" s="249"/>
      <c r="BF137" s="249"/>
      <c r="BG137" s="249"/>
      <c r="BH137" s="249"/>
      <c r="BI137" s="249"/>
      <c r="BJ137" s="249"/>
      <c r="BK137" s="249"/>
      <c r="BL137" s="249"/>
      <c r="BM137" s="249"/>
      <c r="BN137" s="249"/>
      <c r="BO137" s="249"/>
      <c r="BP137" s="249"/>
      <c r="BQ137" s="249"/>
      <c r="BR137" s="249"/>
      <c r="BS137" s="249"/>
      <c r="BT137" s="249"/>
      <c r="BU137" s="249"/>
      <c r="BV137" s="249"/>
      <c r="BW137" s="249"/>
      <c r="BX137" s="249"/>
      <c r="BY137" s="249"/>
      <c r="BZ137" s="249"/>
      <c r="CA137" s="249"/>
      <c r="CB137" s="249"/>
      <c r="CC137" s="249"/>
      <c r="CD137" s="249"/>
      <c r="CE137" s="249"/>
      <c r="CF137" s="249"/>
      <c r="CG137" s="249"/>
      <c r="CH137" s="249"/>
      <c r="CI137" s="249"/>
      <c r="CJ137" s="249"/>
      <c r="CK137" s="249"/>
      <c r="CL137" s="249"/>
      <c r="CM137" s="249"/>
      <c r="CN137" s="249"/>
      <c r="CO137" s="249"/>
      <c r="CP137" s="249"/>
      <c r="CQ137" s="249"/>
      <c r="CR137" s="249"/>
      <c r="CS137" s="249"/>
      <c r="CT137" s="249"/>
      <c r="CU137" s="249"/>
      <c r="CV137" s="249"/>
      <c r="CW137" s="249"/>
      <c r="CX137" s="249"/>
      <c r="CY137" s="249"/>
      <c r="CZ137" s="249"/>
      <c r="DA137" s="249"/>
      <c r="DB137" s="249"/>
      <c r="DC137" s="249"/>
      <c r="DD137" s="249"/>
      <c r="DE137" s="249"/>
      <c r="DF137" s="249"/>
      <c r="DG137" s="249"/>
      <c r="DH137" s="249"/>
      <c r="DI137" s="249"/>
      <c r="DJ137" s="249"/>
      <c r="DK137" s="249"/>
      <c r="DL137" s="249"/>
      <c r="DM137" s="249"/>
      <c r="DN137" s="249"/>
      <c r="DO137" s="249"/>
      <c r="DP137" s="249"/>
      <c r="DQ137" s="249"/>
      <c r="DR137" s="249"/>
      <c r="DS137" s="249"/>
      <c r="DT137" s="249"/>
      <c r="DU137" s="249"/>
      <c r="DV137" s="249"/>
      <c r="DW137" s="249"/>
      <c r="DX137" s="249"/>
      <c r="DY137" s="249"/>
      <c r="DZ137" s="249"/>
      <c r="EA137" s="249"/>
      <c r="EB137" s="249"/>
      <c r="EC137" s="249"/>
      <c r="ED137" s="249"/>
      <c r="EE137" s="249"/>
      <c r="EF137" s="249"/>
      <c r="EG137" s="249"/>
      <c r="EH137" s="249"/>
      <c r="EI137" s="249"/>
      <c r="EJ137" s="249"/>
      <c r="EK137" s="249"/>
      <c r="EL137" s="249"/>
      <c r="EM137" s="249"/>
      <c r="EN137" s="249"/>
      <c r="EO137" s="249"/>
      <c r="EP137" s="249"/>
      <c r="EQ137" s="249"/>
      <c r="ER137" s="249"/>
      <c r="ES137" s="249"/>
      <c r="ET137" s="249"/>
      <c r="EU137" s="249"/>
      <c r="EV137" s="249"/>
      <c r="EW137" s="249"/>
      <c r="EX137" s="249"/>
      <c r="EY137" s="249"/>
      <c r="EZ137" s="249"/>
      <c r="FA137" s="249"/>
      <c r="FB137" s="249"/>
      <c r="FC137" s="249"/>
      <c r="FD137" s="249"/>
      <c r="FE137" s="249"/>
      <c r="FF137" s="249"/>
      <c r="FG137" s="249"/>
      <c r="FH137" s="249"/>
      <c r="FI137" s="249"/>
      <c r="FJ137" s="249"/>
      <c r="FK137" s="249"/>
      <c r="FL137" s="249"/>
      <c r="FM137" s="249"/>
      <c r="FN137" s="249"/>
      <c r="FO137" s="249"/>
      <c r="FP137" s="249"/>
      <c r="FQ137" s="249"/>
      <c r="FR137" s="249"/>
      <c r="FS137" s="249"/>
      <c r="FT137" s="249"/>
      <c r="FU137" s="249"/>
      <c r="FV137" s="249"/>
      <c r="FW137" s="249"/>
      <c r="FX137" s="249"/>
      <c r="FY137" s="249"/>
      <c r="FZ137" s="249"/>
      <c r="GA137" s="249"/>
      <c r="GB137" s="249"/>
      <c r="GC137" s="249"/>
      <c r="GD137" s="249"/>
      <c r="GE137" s="249"/>
      <c r="GF137" s="249"/>
      <c r="GG137" s="249"/>
      <c r="GH137" s="249"/>
      <c r="GI137" s="249"/>
      <c r="GJ137" s="249"/>
      <c r="GK137" s="249"/>
      <c r="GL137" s="249"/>
      <c r="GM137" s="249"/>
      <c r="GN137" s="249"/>
      <c r="GO137" s="249"/>
      <c r="GP137" s="249"/>
      <c r="GQ137" s="249"/>
      <c r="GR137" s="249"/>
    </row>
    <row r="138" spans="1:200" s="252" customFormat="1" ht="13.5" customHeight="1" x14ac:dyDescent="0.2">
      <c r="A138" s="729"/>
      <c r="B138" s="1130"/>
      <c r="C138" s="1130"/>
      <c r="D138" s="532"/>
      <c r="E138" s="613"/>
      <c r="F138" s="249"/>
      <c r="G138" s="250"/>
      <c r="H138" s="250"/>
      <c r="I138" s="250"/>
      <c r="J138" s="250"/>
      <c r="K138" s="250"/>
      <c r="L138" s="250"/>
      <c r="M138" s="250"/>
      <c r="N138" s="250"/>
      <c r="O138" s="250"/>
      <c r="P138" s="251"/>
      <c r="Q138" s="251"/>
      <c r="R138" s="251"/>
      <c r="S138" s="251"/>
      <c r="T138" s="251"/>
      <c r="U138"/>
      <c r="V138"/>
      <c r="W138"/>
      <c r="X138"/>
      <c r="Y138"/>
      <c r="Z138"/>
      <c r="AA138"/>
      <c r="AB138"/>
      <c r="AC138"/>
      <c r="AD138"/>
      <c r="AE138"/>
      <c r="AF138"/>
      <c r="AG138"/>
      <c r="AH138"/>
      <c r="AI138" s="315"/>
      <c r="AJ138" s="315"/>
      <c r="AK138" s="315"/>
      <c r="AL138"/>
      <c r="AM138"/>
      <c r="AN138" s="172"/>
      <c r="AO138" s="249"/>
      <c r="AP138" s="250"/>
      <c r="AQ138" s="250"/>
      <c r="AR138" s="250"/>
      <c r="AS138" s="250"/>
      <c r="AT138" s="250"/>
      <c r="AU138" s="250"/>
      <c r="AV138" s="249"/>
      <c r="AW138" s="249"/>
      <c r="AX138" s="249"/>
      <c r="AY138" s="249"/>
      <c r="AZ138" s="249"/>
      <c r="BA138" s="249"/>
      <c r="BB138" s="249"/>
      <c r="BC138" s="249"/>
      <c r="BD138" s="249"/>
      <c r="BE138" s="249"/>
      <c r="BF138" s="249"/>
      <c r="BG138" s="249"/>
      <c r="BH138" s="249"/>
      <c r="BI138" s="249"/>
      <c r="BJ138" s="249"/>
      <c r="BK138" s="249"/>
      <c r="BL138" s="249"/>
      <c r="BM138" s="249"/>
      <c r="BN138" s="249"/>
      <c r="BO138" s="249"/>
      <c r="BP138" s="249"/>
      <c r="BQ138" s="249"/>
      <c r="BR138" s="249"/>
      <c r="BS138" s="249"/>
      <c r="BT138" s="249"/>
      <c r="BU138" s="249"/>
      <c r="BV138" s="249"/>
      <c r="BW138" s="249"/>
      <c r="BX138" s="249"/>
      <c r="BY138" s="249"/>
      <c r="BZ138" s="249"/>
      <c r="CA138" s="249"/>
      <c r="CB138" s="249"/>
      <c r="CC138" s="249"/>
      <c r="CD138" s="249"/>
      <c r="CE138" s="249"/>
      <c r="CF138" s="249"/>
      <c r="CG138" s="249"/>
      <c r="CH138" s="249"/>
      <c r="CI138" s="249"/>
      <c r="CJ138" s="249"/>
      <c r="CK138" s="249"/>
      <c r="CL138" s="249"/>
      <c r="CM138" s="249"/>
      <c r="CN138" s="249"/>
      <c r="CO138" s="249"/>
      <c r="CP138" s="249"/>
      <c r="CQ138" s="249"/>
      <c r="CR138" s="249"/>
      <c r="CS138" s="249"/>
      <c r="CT138" s="249"/>
      <c r="CU138" s="249"/>
      <c r="CV138" s="249"/>
      <c r="CW138" s="249"/>
      <c r="CX138" s="249"/>
      <c r="CY138" s="249"/>
      <c r="CZ138" s="249"/>
      <c r="DA138" s="249"/>
      <c r="DB138" s="249"/>
      <c r="DC138" s="249"/>
      <c r="DD138" s="249"/>
      <c r="DE138" s="249"/>
      <c r="DF138" s="249"/>
      <c r="DG138" s="249"/>
      <c r="DH138" s="249"/>
      <c r="DI138" s="249"/>
      <c r="DJ138" s="249"/>
      <c r="DK138" s="249"/>
      <c r="DL138" s="249"/>
      <c r="DM138" s="249"/>
      <c r="DN138" s="249"/>
      <c r="DO138" s="249"/>
      <c r="DP138" s="249"/>
      <c r="DQ138" s="249"/>
      <c r="DR138" s="249"/>
      <c r="DS138" s="249"/>
      <c r="DT138" s="249"/>
      <c r="DU138" s="249"/>
      <c r="DV138" s="249"/>
      <c r="DW138" s="249"/>
      <c r="DX138" s="249"/>
      <c r="DY138" s="249"/>
      <c r="DZ138" s="249"/>
      <c r="EA138" s="249"/>
      <c r="EB138" s="249"/>
      <c r="EC138" s="249"/>
      <c r="ED138" s="249"/>
      <c r="EE138" s="249"/>
      <c r="EF138" s="249"/>
      <c r="EG138" s="249"/>
      <c r="EH138" s="249"/>
      <c r="EI138" s="249"/>
      <c r="EJ138" s="249"/>
      <c r="EK138" s="249"/>
      <c r="EL138" s="249"/>
      <c r="EM138" s="249"/>
      <c r="EN138" s="249"/>
      <c r="EO138" s="249"/>
      <c r="EP138" s="249"/>
      <c r="EQ138" s="249"/>
      <c r="ER138" s="249"/>
      <c r="ES138" s="249"/>
      <c r="ET138" s="249"/>
      <c r="EU138" s="249"/>
      <c r="EV138" s="249"/>
      <c r="EW138" s="249"/>
      <c r="EX138" s="249"/>
      <c r="EY138" s="249"/>
      <c r="EZ138" s="249"/>
      <c r="FA138" s="249"/>
      <c r="FB138" s="249"/>
      <c r="FC138" s="249"/>
      <c r="FD138" s="249"/>
      <c r="FE138" s="249"/>
      <c r="FF138" s="249"/>
      <c r="FG138" s="249"/>
      <c r="FH138" s="249"/>
      <c r="FI138" s="249"/>
      <c r="FJ138" s="249"/>
      <c r="FK138" s="249"/>
      <c r="FL138" s="249"/>
      <c r="FM138" s="249"/>
      <c r="FN138" s="249"/>
      <c r="FO138" s="249"/>
      <c r="FP138" s="249"/>
      <c r="FQ138" s="249"/>
      <c r="FR138" s="249"/>
      <c r="FS138" s="249"/>
      <c r="FT138" s="249"/>
      <c r="FU138" s="249"/>
      <c r="FV138" s="249"/>
      <c r="FW138" s="249"/>
      <c r="FX138" s="249"/>
      <c r="FY138" s="249"/>
      <c r="FZ138" s="249"/>
      <c r="GA138" s="249"/>
      <c r="GB138" s="249"/>
      <c r="GC138" s="249"/>
      <c r="GD138" s="249"/>
      <c r="GE138" s="249"/>
      <c r="GF138" s="249"/>
      <c r="GG138" s="249"/>
      <c r="GH138" s="249"/>
      <c r="GI138" s="249"/>
      <c r="GJ138" s="249"/>
      <c r="GK138" s="249"/>
      <c r="GL138" s="249"/>
      <c r="GM138" s="249"/>
      <c r="GN138" s="249"/>
      <c r="GO138" s="249"/>
      <c r="GP138" s="249"/>
      <c r="GQ138" s="249"/>
      <c r="GR138" s="249"/>
    </row>
    <row r="139" spans="1:200" s="252" customFormat="1" ht="13.5" customHeight="1" x14ac:dyDescent="0.2">
      <c r="A139" s="723"/>
      <c r="B139" s="1124"/>
      <c r="C139" s="1124"/>
      <c r="D139" s="527"/>
      <c r="E139" s="596"/>
      <c r="F139" s="249"/>
      <c r="G139" s="250"/>
      <c r="H139" s="250"/>
      <c r="I139" s="250"/>
      <c r="J139" s="250"/>
      <c r="K139" s="250"/>
      <c r="L139" s="250"/>
      <c r="M139" s="250"/>
      <c r="N139" s="250"/>
      <c r="O139" s="250"/>
      <c r="P139" s="251"/>
      <c r="Q139" s="251"/>
      <c r="R139" s="251"/>
      <c r="S139" s="251"/>
      <c r="T139" s="251"/>
      <c r="U139" s="254"/>
      <c r="V139" s="254"/>
      <c r="W139" s="257"/>
      <c r="X139" s="257"/>
      <c r="Y139" s="254"/>
      <c r="Z139" s="254"/>
      <c r="AA139" s="1719"/>
      <c r="AB139" s="528"/>
      <c r="AC139" s="530"/>
      <c r="AD139" s="530"/>
      <c r="AE139" s="530"/>
      <c r="AF139" s="530"/>
      <c r="AG139" s="530"/>
      <c r="AH139" s="530"/>
      <c r="AI139" s="530"/>
      <c r="AJ139" s="530"/>
      <c r="AK139" s="530"/>
      <c r="AL139" s="530"/>
      <c r="AM139" s="527"/>
      <c r="AN139" s="254"/>
      <c r="AO139" s="249"/>
      <c r="AP139" s="250"/>
      <c r="AQ139" s="250"/>
      <c r="AR139" s="250"/>
      <c r="AS139" s="250"/>
      <c r="AT139" s="250"/>
      <c r="AU139" s="250"/>
      <c r="AV139" s="249"/>
      <c r="AW139" s="249"/>
      <c r="AX139" s="249"/>
      <c r="AY139" s="249"/>
      <c r="AZ139" s="249"/>
      <c r="BA139" s="249"/>
      <c r="BB139" s="249"/>
      <c r="BC139" s="249"/>
      <c r="BD139" s="249"/>
      <c r="BE139" s="249"/>
      <c r="BF139" s="249"/>
      <c r="BG139" s="249"/>
      <c r="BH139" s="249"/>
      <c r="BI139" s="249"/>
      <c r="BJ139" s="249"/>
      <c r="BK139" s="249"/>
      <c r="BL139" s="249"/>
      <c r="BM139" s="249"/>
      <c r="BN139" s="249"/>
      <c r="BO139" s="249"/>
      <c r="BP139" s="249"/>
      <c r="BQ139" s="249"/>
      <c r="BR139" s="249"/>
      <c r="BS139" s="249"/>
      <c r="BT139" s="249"/>
      <c r="BU139" s="249"/>
      <c r="BV139" s="249"/>
      <c r="BW139" s="249"/>
      <c r="BX139" s="249"/>
      <c r="BY139" s="249"/>
      <c r="BZ139" s="249"/>
      <c r="CA139" s="249"/>
      <c r="CB139" s="249"/>
      <c r="CC139" s="249"/>
      <c r="CD139" s="249"/>
      <c r="CE139" s="249"/>
      <c r="CF139" s="249"/>
      <c r="CG139" s="249"/>
      <c r="CH139" s="249"/>
      <c r="CI139" s="249"/>
      <c r="CJ139" s="249"/>
      <c r="CK139" s="249"/>
      <c r="CL139" s="249"/>
      <c r="CM139" s="249"/>
      <c r="CN139" s="249"/>
      <c r="CO139" s="249"/>
      <c r="CP139" s="249"/>
      <c r="CQ139" s="249"/>
      <c r="CR139" s="249"/>
      <c r="CS139" s="249"/>
      <c r="CT139" s="249"/>
      <c r="CU139" s="249"/>
      <c r="CV139" s="249"/>
      <c r="CW139" s="249"/>
      <c r="CX139" s="249"/>
      <c r="CY139" s="249"/>
      <c r="CZ139" s="249"/>
      <c r="DA139" s="249"/>
      <c r="DB139" s="249"/>
      <c r="DC139" s="249"/>
      <c r="DD139" s="249"/>
      <c r="DE139" s="249"/>
      <c r="DF139" s="249"/>
      <c r="DG139" s="249"/>
      <c r="DH139" s="249"/>
      <c r="DI139" s="249"/>
      <c r="DJ139" s="249"/>
      <c r="DK139" s="249"/>
      <c r="DL139" s="249"/>
      <c r="DM139" s="249"/>
      <c r="DN139" s="249"/>
      <c r="DO139" s="249"/>
      <c r="DP139" s="249"/>
      <c r="DQ139" s="249"/>
      <c r="DR139" s="249"/>
      <c r="DS139" s="249"/>
      <c r="DT139" s="249"/>
      <c r="DU139" s="249"/>
      <c r="DV139" s="249"/>
      <c r="DW139" s="249"/>
      <c r="DX139" s="249"/>
      <c r="DY139" s="249"/>
      <c r="DZ139" s="249"/>
      <c r="EA139" s="249"/>
      <c r="EB139" s="249"/>
      <c r="EC139" s="249"/>
      <c r="ED139" s="249"/>
      <c r="EE139" s="249"/>
      <c r="EF139" s="249"/>
      <c r="EG139" s="249"/>
      <c r="EH139" s="249"/>
      <c r="EI139" s="249"/>
      <c r="EJ139" s="249"/>
      <c r="EK139" s="249"/>
      <c r="EL139" s="249"/>
      <c r="EM139" s="249"/>
      <c r="EN139" s="249"/>
      <c r="EO139" s="249"/>
      <c r="EP139" s="249"/>
      <c r="EQ139" s="249"/>
      <c r="ER139" s="249"/>
      <c r="ES139" s="249"/>
      <c r="ET139" s="249"/>
      <c r="EU139" s="249"/>
      <c r="EV139" s="249"/>
      <c r="EW139" s="249"/>
      <c r="EX139" s="249"/>
      <c r="EY139" s="249"/>
      <c r="EZ139" s="249"/>
      <c r="FA139" s="249"/>
      <c r="FB139" s="249"/>
      <c r="FC139" s="249"/>
      <c r="FD139" s="249"/>
      <c r="FE139" s="249"/>
      <c r="FF139" s="249"/>
      <c r="FG139" s="249"/>
      <c r="FH139" s="249"/>
      <c r="FI139" s="249"/>
      <c r="FJ139" s="249"/>
      <c r="FK139" s="249"/>
      <c r="FL139" s="249"/>
      <c r="FM139" s="249"/>
      <c r="FN139" s="249"/>
      <c r="FO139" s="249"/>
      <c r="FP139" s="249"/>
      <c r="FQ139" s="249"/>
      <c r="FR139" s="249"/>
      <c r="FS139" s="249"/>
      <c r="FT139" s="249"/>
      <c r="FU139" s="249"/>
      <c r="FV139" s="249"/>
      <c r="FW139" s="249"/>
      <c r="FX139" s="249"/>
      <c r="FY139" s="249"/>
      <c r="FZ139" s="249"/>
      <c r="GA139" s="249"/>
      <c r="GB139" s="249"/>
      <c r="GC139" s="249"/>
      <c r="GD139" s="249"/>
      <c r="GE139" s="249"/>
      <c r="GF139" s="249"/>
      <c r="GG139" s="249"/>
      <c r="GH139" s="249"/>
      <c r="GI139" s="249"/>
      <c r="GJ139" s="249"/>
      <c r="GK139" s="249"/>
      <c r="GL139" s="249"/>
      <c r="GM139" s="249"/>
      <c r="GN139" s="249"/>
      <c r="GO139" s="249"/>
      <c r="GP139" s="249"/>
      <c r="GQ139" s="249"/>
      <c r="GR139" s="249"/>
    </row>
    <row r="140" spans="1:200" s="252" customFormat="1" ht="13.5" customHeight="1" x14ac:dyDescent="0.2">
      <c r="A140" s="728"/>
      <c r="B140" s="1129"/>
      <c r="C140" s="1129"/>
      <c r="D140" s="531"/>
      <c r="E140" s="613"/>
      <c r="F140" s="249"/>
      <c r="G140" s="250"/>
      <c r="H140" s="250"/>
      <c r="I140" s="250"/>
      <c r="J140" s="250"/>
      <c r="K140" s="250"/>
      <c r="L140" s="250"/>
      <c r="M140" s="250"/>
      <c r="N140" s="250"/>
      <c r="O140" s="250"/>
      <c r="P140" s="251"/>
      <c r="Q140" s="251"/>
      <c r="R140" s="251"/>
      <c r="S140" s="251"/>
      <c r="T140" s="251"/>
      <c r="U140" s="2513" t="s">
        <v>152</v>
      </c>
      <c r="V140" s="2514"/>
      <c r="W140" s="1672" t="s">
        <v>153</v>
      </c>
      <c r="X140" s="1426" t="str">
        <f t="shared" ref="X140:AK140" si="53">X$14</f>
        <v>RIGMOVE</v>
      </c>
      <c r="Y140" s="1426" t="str">
        <f t="shared" si="53"/>
        <v>DSURFACE</v>
      </c>
      <c r="Z140" s="1426" t="str">
        <f t="shared" si="53"/>
        <v>FSURFACE</v>
      </c>
      <c r="AA140" s="1426" t="str">
        <f t="shared" si="53"/>
        <v>DINTERMEDIATE</v>
      </c>
      <c r="AB140" s="1426" t="str">
        <f t="shared" si="53"/>
        <v>FINTERMEDIATE</v>
      </c>
      <c r="AC140" s="1426" t="str">
        <f t="shared" si="53"/>
        <v>DPRODUCTION</v>
      </c>
      <c r="AD140" s="1426" t="str">
        <f t="shared" si="53"/>
        <v>FPRODUCTION</v>
      </c>
      <c r="AE140" s="1426" t="str">
        <f t="shared" si="53"/>
        <v>DLINER1</v>
      </c>
      <c r="AF140" s="1426" t="str">
        <f t="shared" si="53"/>
        <v>FLINER1</v>
      </c>
      <c r="AG140" s="1426" t="str">
        <f t="shared" si="53"/>
        <v>DLINER2</v>
      </c>
      <c r="AH140" s="1426" t="str">
        <f t="shared" si="53"/>
        <v>FLINER2</v>
      </c>
      <c r="AI140" s="1426" t="str">
        <f t="shared" si="53"/>
        <v/>
      </c>
      <c r="AJ140" s="1426" t="str">
        <f t="shared" si="53"/>
        <v/>
      </c>
      <c r="AK140" s="1426" t="str">
        <f t="shared" si="53"/>
        <v/>
      </c>
      <c r="AL140" s="1426"/>
      <c r="AM140" s="1437" t="s">
        <v>101</v>
      </c>
      <c r="AN140" s="254"/>
      <c r="AO140" s="249"/>
      <c r="AP140" s="250"/>
      <c r="AQ140" s="250"/>
      <c r="AR140" s="250"/>
      <c r="AS140" s="250"/>
      <c r="AT140" s="250"/>
      <c r="AU140" s="250"/>
      <c r="AV140" s="249"/>
      <c r="AW140" s="249"/>
      <c r="AX140" s="249"/>
      <c r="AY140" s="249"/>
      <c r="AZ140" s="249"/>
      <c r="BA140" s="249"/>
      <c r="BB140" s="249"/>
      <c r="BC140" s="249"/>
      <c r="BD140" s="249"/>
      <c r="BE140" s="249"/>
      <c r="BF140" s="249"/>
      <c r="BG140" s="249"/>
      <c r="BH140" s="249"/>
      <c r="BI140" s="249"/>
      <c r="BJ140" s="249"/>
      <c r="BK140" s="249"/>
      <c r="BL140" s="249"/>
      <c r="BM140" s="249"/>
      <c r="BN140" s="249"/>
      <c r="BO140" s="249"/>
      <c r="BP140" s="249"/>
      <c r="BQ140" s="249"/>
      <c r="BR140" s="249"/>
      <c r="BS140" s="249"/>
      <c r="BT140" s="249"/>
      <c r="BU140" s="249"/>
      <c r="BV140" s="249"/>
      <c r="BW140" s="249"/>
      <c r="BX140" s="249"/>
      <c r="BY140" s="249"/>
      <c r="BZ140" s="249"/>
      <c r="CA140" s="249"/>
      <c r="CB140" s="249"/>
      <c r="CC140" s="249"/>
      <c r="CD140" s="249"/>
      <c r="CE140" s="249"/>
      <c r="CF140" s="249"/>
      <c r="CG140" s="249"/>
      <c r="CH140" s="249"/>
      <c r="CI140" s="249"/>
      <c r="CJ140" s="249"/>
      <c r="CK140" s="249"/>
      <c r="CL140" s="249"/>
      <c r="CM140" s="249"/>
      <c r="CN140" s="249"/>
      <c r="CO140" s="249"/>
      <c r="CP140" s="249"/>
      <c r="CQ140" s="249"/>
      <c r="CR140" s="249"/>
      <c r="CS140" s="249"/>
      <c r="CT140" s="249"/>
      <c r="CU140" s="249"/>
      <c r="CV140" s="249"/>
      <c r="CW140" s="249"/>
      <c r="CX140" s="249"/>
      <c r="CY140" s="249"/>
      <c r="CZ140" s="249"/>
      <c r="DA140" s="249"/>
      <c r="DB140" s="249"/>
      <c r="DC140" s="249"/>
      <c r="DD140" s="249"/>
      <c r="DE140" s="249"/>
      <c r="DF140" s="249"/>
      <c r="DG140" s="249"/>
      <c r="DH140" s="249"/>
      <c r="DI140" s="249"/>
      <c r="DJ140" s="249"/>
      <c r="DK140" s="249"/>
      <c r="DL140" s="249"/>
      <c r="DM140" s="249"/>
      <c r="DN140" s="249"/>
      <c r="DO140" s="249"/>
      <c r="DP140" s="249"/>
      <c r="DQ140" s="249"/>
      <c r="DR140" s="249"/>
      <c r="DS140" s="249"/>
      <c r="DT140" s="249"/>
      <c r="DU140" s="249"/>
      <c r="DV140" s="249"/>
      <c r="DW140" s="249"/>
      <c r="DX140" s="249"/>
      <c r="DY140" s="249"/>
      <c r="DZ140" s="249"/>
      <c r="EA140" s="249"/>
      <c r="EB140" s="249"/>
      <c r="EC140" s="249"/>
      <c r="ED140" s="249"/>
      <c r="EE140" s="249"/>
      <c r="EF140" s="249"/>
      <c r="EG140" s="249"/>
      <c r="EH140" s="249"/>
      <c r="EI140" s="249"/>
      <c r="EJ140" s="249"/>
      <c r="EK140" s="249"/>
      <c r="EL140" s="249"/>
      <c r="EM140" s="249"/>
      <c r="EN140" s="249"/>
      <c r="EO140" s="249"/>
      <c r="EP140" s="249"/>
      <c r="EQ140" s="249"/>
      <c r="ER140" s="249"/>
      <c r="ES140" s="249"/>
      <c r="ET140" s="249"/>
      <c r="EU140" s="249"/>
      <c r="EV140" s="249"/>
      <c r="EW140" s="249"/>
      <c r="EX140" s="249"/>
      <c r="EY140" s="249"/>
      <c r="EZ140" s="249"/>
      <c r="FA140" s="249"/>
      <c r="FB140" s="249"/>
      <c r="FC140" s="249"/>
      <c r="FD140" s="249"/>
      <c r="FE140" s="249"/>
      <c r="FF140" s="249"/>
      <c r="FG140" s="249"/>
      <c r="FH140" s="249"/>
      <c r="FI140" s="249"/>
      <c r="FJ140" s="249"/>
      <c r="FK140" s="249"/>
      <c r="FL140" s="249"/>
      <c r="FM140" s="249"/>
      <c r="FN140" s="249"/>
      <c r="FO140" s="249"/>
      <c r="FP140" s="249"/>
      <c r="FQ140" s="249"/>
      <c r="FR140" s="249"/>
      <c r="FS140" s="249"/>
      <c r="FT140" s="249"/>
      <c r="FU140" s="249"/>
      <c r="FV140" s="249"/>
      <c r="FW140" s="249"/>
      <c r="FX140" s="249"/>
      <c r="FY140" s="249"/>
      <c r="FZ140" s="249"/>
      <c r="GA140" s="249"/>
      <c r="GB140" s="249"/>
      <c r="GC140" s="249"/>
      <c r="GD140" s="249"/>
      <c r="GE140" s="249"/>
      <c r="GF140" s="249"/>
      <c r="GG140" s="249"/>
      <c r="GH140" s="249"/>
      <c r="GI140" s="249"/>
      <c r="GJ140" s="249"/>
      <c r="GK140" s="249"/>
      <c r="GL140" s="249"/>
      <c r="GM140" s="249"/>
      <c r="GN140" s="249"/>
      <c r="GO140" s="249"/>
      <c r="GP140" s="249"/>
      <c r="GQ140" s="249"/>
      <c r="GR140" s="249"/>
    </row>
    <row r="141" spans="1:200" s="252" customFormat="1" ht="12.75" customHeight="1" x14ac:dyDescent="0.2">
      <c r="A141" s="729"/>
      <c r="B141" s="1130"/>
      <c r="C141" s="1130"/>
      <c r="D141" s="532"/>
      <c r="E141" s="613"/>
      <c r="F141" s="249"/>
      <c r="G141" s="250"/>
      <c r="H141" s="250"/>
      <c r="I141" s="250"/>
      <c r="J141" s="250"/>
      <c r="K141" s="250"/>
      <c r="L141" s="250"/>
      <c r="M141" s="250"/>
      <c r="N141" s="250"/>
      <c r="O141" s="250"/>
      <c r="P141" s="251"/>
      <c r="Q141" s="251"/>
      <c r="R141" s="251"/>
      <c r="S141" s="251"/>
      <c r="T141" s="251"/>
      <c r="U141" s="1919"/>
      <c r="V141" s="1920" t="str">
        <f>'MUD Consumables'!E3</f>
        <v>ALUMINUM STEARATE</v>
      </c>
      <c r="W141" s="1921">
        <v>42.25</v>
      </c>
      <c r="X141" s="1163"/>
      <c r="Y141" s="1163">
        <f>Y108*$W$141*FOREX</f>
        <v>0</v>
      </c>
      <c r="Z141" s="1163"/>
      <c r="AA141" s="1163">
        <f>AA108*$W$141*FOREX</f>
        <v>0</v>
      </c>
      <c r="AB141" s="1163"/>
      <c r="AC141" s="1163">
        <f>AC108*$W$141*FOREX</f>
        <v>49559.25</v>
      </c>
      <c r="AD141" s="1163"/>
      <c r="AE141" s="1163">
        <f>AE108*$W$141*FOREX</f>
        <v>6464.25</v>
      </c>
      <c r="AF141" s="1163"/>
      <c r="AG141" s="1163">
        <f>AG108*$W$141*FOREX</f>
        <v>0</v>
      </c>
      <c r="AH141" s="1163"/>
      <c r="AI141" s="1163">
        <f>AI108*$W$141*FOREX</f>
        <v>0</v>
      </c>
      <c r="AJ141" s="1163"/>
      <c r="AK141" s="1163">
        <f>AK108*$W$141*FOREX</f>
        <v>0</v>
      </c>
      <c r="AL141" s="1163"/>
      <c r="AM141" s="1438">
        <f>SUM(Y141:AK141)</f>
        <v>56023.5</v>
      </c>
      <c r="AN141" s="254"/>
      <c r="AO141" s="249"/>
      <c r="AP141" s="250"/>
      <c r="AQ141" s="250"/>
      <c r="AR141" s="250"/>
      <c r="AS141" s="250"/>
      <c r="AT141" s="250"/>
      <c r="AU141" s="250"/>
      <c r="AV141" s="249"/>
      <c r="AW141" s="249"/>
      <c r="AX141" s="249"/>
      <c r="AY141" s="249"/>
      <c r="AZ141" s="249"/>
      <c r="BA141" s="249"/>
      <c r="BB141" s="249"/>
      <c r="BC141" s="249"/>
      <c r="BD141" s="249"/>
      <c r="BE141" s="249"/>
      <c r="BF141" s="249"/>
      <c r="BG141" s="249"/>
      <c r="BH141" s="249"/>
      <c r="BI141" s="249"/>
      <c r="BJ141" s="249"/>
      <c r="BK141" s="249"/>
      <c r="BL141" s="249"/>
      <c r="BM141" s="249"/>
      <c r="BN141" s="249"/>
      <c r="BO141" s="249"/>
      <c r="BP141" s="249"/>
      <c r="BQ141" s="249"/>
      <c r="BR141" s="249"/>
      <c r="BS141" s="249"/>
      <c r="BT141" s="249"/>
      <c r="BU141" s="249"/>
      <c r="BV141" s="249"/>
      <c r="BW141" s="249"/>
      <c r="BX141" s="249"/>
      <c r="BY141" s="249"/>
      <c r="BZ141" s="249"/>
      <c r="CA141" s="249"/>
      <c r="CB141" s="249"/>
      <c r="CC141" s="249"/>
      <c r="CD141" s="249"/>
      <c r="CE141" s="249"/>
      <c r="CF141" s="249"/>
      <c r="CG141" s="249"/>
      <c r="CH141" s="249"/>
      <c r="CI141" s="249"/>
      <c r="CJ141" s="249"/>
      <c r="CK141" s="249"/>
      <c r="CL141" s="249"/>
      <c r="CM141" s="249"/>
      <c r="CN141" s="249"/>
      <c r="CO141" s="249"/>
      <c r="CP141" s="249"/>
      <c r="CQ141" s="249"/>
      <c r="CR141" s="249"/>
      <c r="CS141" s="249"/>
      <c r="CT141" s="249"/>
      <c r="CU141" s="249"/>
      <c r="CV141" s="249"/>
      <c r="CW141" s="249"/>
      <c r="CX141" s="249"/>
      <c r="CY141" s="249"/>
      <c r="CZ141" s="249"/>
      <c r="DA141" s="249"/>
      <c r="DB141" s="249"/>
      <c r="DC141" s="249"/>
      <c r="DD141" s="249"/>
      <c r="DE141" s="249"/>
      <c r="DF141" s="249"/>
      <c r="DG141" s="249"/>
      <c r="DH141" s="249"/>
      <c r="DI141" s="249"/>
      <c r="DJ141" s="249"/>
      <c r="DK141" s="249"/>
      <c r="DL141" s="249"/>
      <c r="DM141" s="249"/>
      <c r="DN141" s="249"/>
      <c r="DO141" s="249"/>
      <c r="DP141" s="249"/>
      <c r="DQ141" s="249"/>
      <c r="DR141" s="249"/>
      <c r="DS141" s="249"/>
      <c r="DT141" s="249"/>
      <c r="DU141" s="249"/>
      <c r="DV141" s="249"/>
      <c r="DW141" s="249"/>
      <c r="DX141" s="249"/>
      <c r="DY141" s="249"/>
      <c r="DZ141" s="249"/>
      <c r="EA141" s="249"/>
      <c r="EB141" s="249"/>
      <c r="EC141" s="249"/>
      <c r="ED141" s="249"/>
      <c r="EE141" s="249"/>
      <c r="EF141" s="249"/>
      <c r="EG141" s="249"/>
      <c r="EH141" s="249"/>
      <c r="EI141" s="249"/>
      <c r="EJ141" s="249"/>
      <c r="EK141" s="249"/>
      <c r="EL141" s="249"/>
      <c r="EM141" s="249"/>
      <c r="EN141" s="249"/>
      <c r="EO141" s="249"/>
      <c r="EP141" s="249"/>
      <c r="EQ141" s="249"/>
      <c r="ER141" s="249"/>
      <c r="ES141" s="249"/>
      <c r="ET141" s="249"/>
      <c r="EU141" s="249"/>
      <c r="EV141" s="249"/>
      <c r="EW141" s="249"/>
      <c r="EX141" s="249"/>
      <c r="EY141" s="249"/>
      <c r="EZ141" s="249"/>
      <c r="FA141" s="249"/>
      <c r="FB141" s="249"/>
      <c r="FC141" s="249"/>
      <c r="FD141" s="249"/>
      <c r="FE141" s="249"/>
      <c r="FF141" s="249"/>
      <c r="FG141" s="249"/>
      <c r="FH141" s="249"/>
      <c r="FI141" s="249"/>
      <c r="FJ141" s="249"/>
      <c r="FK141" s="249"/>
      <c r="FL141" s="249"/>
      <c r="FM141" s="249"/>
      <c r="FN141" s="249"/>
      <c r="FO141" s="249"/>
      <c r="FP141" s="249"/>
      <c r="FQ141" s="249"/>
      <c r="FR141" s="249"/>
      <c r="FS141" s="249"/>
      <c r="FT141" s="249"/>
      <c r="FU141" s="249"/>
      <c r="FV141" s="249"/>
      <c r="FW141" s="249"/>
      <c r="FX141" s="249"/>
      <c r="FY141" s="249"/>
      <c r="FZ141" s="249"/>
      <c r="GA141" s="249"/>
      <c r="GB141" s="249"/>
      <c r="GC141" s="249"/>
      <c r="GD141" s="249"/>
      <c r="GE141" s="249"/>
      <c r="GF141" s="249"/>
      <c r="GG141" s="249"/>
      <c r="GH141" s="249"/>
      <c r="GI141" s="249"/>
      <c r="GJ141" s="249"/>
      <c r="GK141" s="249"/>
      <c r="GL141" s="249"/>
      <c r="GM141" s="249"/>
      <c r="GN141" s="249"/>
      <c r="GO141" s="249"/>
      <c r="GP141" s="249"/>
      <c r="GQ141" s="249"/>
      <c r="GR141" s="249"/>
    </row>
    <row r="142" spans="1:200" s="252" customFormat="1" ht="12.75" customHeight="1" x14ac:dyDescent="0.2">
      <c r="A142" s="729"/>
      <c r="B142" s="1130"/>
      <c r="C142" s="1130"/>
      <c r="D142" s="532"/>
      <c r="E142" s="613"/>
      <c r="F142" s="249"/>
      <c r="G142" s="250"/>
      <c r="H142" s="250"/>
      <c r="I142" s="250"/>
      <c r="J142" s="250"/>
      <c r="K142" s="250"/>
      <c r="L142" s="250"/>
      <c r="M142" s="250"/>
      <c r="N142" s="250"/>
      <c r="O142" s="250"/>
      <c r="P142" s="251"/>
      <c r="Q142" s="251"/>
      <c r="R142" s="251"/>
      <c r="S142" s="251"/>
      <c r="T142" s="251"/>
      <c r="U142" s="1919"/>
      <c r="V142" s="1920" t="s">
        <v>1116</v>
      </c>
      <c r="W142" s="1921">
        <v>187.86</v>
      </c>
      <c r="X142" s="1163"/>
      <c r="Y142" s="1163">
        <f>Y109*$W$142*FOREX</f>
        <v>114970.32</v>
      </c>
      <c r="Z142" s="1163"/>
      <c r="AA142" s="1163">
        <f>AA109*$W$142*FOREX</f>
        <v>38323.440000000002</v>
      </c>
      <c r="AB142" s="1163"/>
      <c r="AC142" s="1163">
        <f>AC109*$W$142*FOREX</f>
        <v>67066.02</v>
      </c>
      <c r="AD142" s="1163"/>
      <c r="AE142" s="1163">
        <f>AE109*$W$142*FOREX</f>
        <v>28742.58</v>
      </c>
      <c r="AF142" s="1163"/>
      <c r="AG142" s="1163">
        <f>AG109*$W$142*FOREX</f>
        <v>0</v>
      </c>
      <c r="AH142" s="1163"/>
      <c r="AI142" s="1163">
        <f>AI109*$W$142*FOREX</f>
        <v>0</v>
      </c>
      <c r="AJ142" s="1163"/>
      <c r="AK142" s="1163">
        <f>AK109*$W$142*FOREX</f>
        <v>0</v>
      </c>
      <c r="AL142" s="1163"/>
      <c r="AM142" s="1438">
        <f t="shared" ref="AM142:AM170" si="54">SUM(Y142:AK142)</f>
        <v>249102.36000000004</v>
      </c>
      <c r="AN142" s="254"/>
      <c r="AO142" s="249"/>
      <c r="AP142" s="250"/>
      <c r="AQ142" s="250"/>
      <c r="AR142" s="250"/>
      <c r="AS142" s="250"/>
      <c r="AT142" s="250"/>
      <c r="AU142" s="250"/>
      <c r="AV142" s="249"/>
      <c r="AW142" s="249"/>
      <c r="AX142" s="249"/>
      <c r="AY142" s="249"/>
      <c r="AZ142" s="249"/>
      <c r="BA142" s="249"/>
      <c r="BB142" s="249"/>
      <c r="BC142" s="249"/>
      <c r="BD142" s="249"/>
      <c r="BE142" s="249"/>
      <c r="BF142" s="249"/>
      <c r="BG142" s="249"/>
      <c r="BH142" s="249"/>
      <c r="BI142" s="249"/>
      <c r="BJ142" s="249"/>
      <c r="BK142" s="249"/>
      <c r="BL142" s="249"/>
      <c r="BM142" s="249"/>
      <c r="BN142" s="249"/>
      <c r="BO142" s="249"/>
      <c r="BP142" s="249"/>
      <c r="BQ142" s="249"/>
      <c r="BR142" s="249"/>
      <c r="BS142" s="249"/>
      <c r="BT142" s="249"/>
      <c r="BU142" s="249"/>
      <c r="BV142" s="249"/>
      <c r="BW142" s="249"/>
      <c r="BX142" s="249"/>
      <c r="BY142" s="249"/>
      <c r="BZ142" s="249"/>
      <c r="CA142" s="249"/>
      <c r="CB142" s="249"/>
      <c r="CC142" s="249"/>
      <c r="CD142" s="249"/>
      <c r="CE142" s="249"/>
      <c r="CF142" s="249"/>
      <c r="CG142" s="249"/>
      <c r="CH142" s="249"/>
      <c r="CI142" s="249"/>
      <c r="CJ142" s="249"/>
      <c r="CK142" s="249"/>
      <c r="CL142" s="249"/>
      <c r="CM142" s="249"/>
      <c r="CN142" s="249"/>
      <c r="CO142" s="249"/>
      <c r="CP142" s="249"/>
      <c r="CQ142" s="249"/>
      <c r="CR142" s="249"/>
      <c r="CS142" s="249"/>
      <c r="CT142" s="249"/>
      <c r="CU142" s="249"/>
      <c r="CV142" s="249"/>
      <c r="CW142" s="249"/>
      <c r="CX142" s="249"/>
      <c r="CY142" s="249"/>
      <c r="CZ142" s="249"/>
      <c r="DA142" s="249"/>
      <c r="DB142" s="249"/>
      <c r="DC142" s="249"/>
      <c r="DD142" s="249"/>
      <c r="DE142" s="249"/>
      <c r="DF142" s="249"/>
      <c r="DG142" s="249"/>
      <c r="DH142" s="249"/>
      <c r="DI142" s="249"/>
      <c r="DJ142" s="249"/>
      <c r="DK142" s="249"/>
      <c r="DL142" s="249"/>
      <c r="DM142" s="249"/>
      <c r="DN142" s="249"/>
      <c r="DO142" s="249"/>
      <c r="DP142" s="249"/>
      <c r="DQ142" s="249"/>
      <c r="DR142" s="249"/>
      <c r="DS142" s="249"/>
      <c r="DT142" s="249"/>
      <c r="DU142" s="249"/>
      <c r="DV142" s="249"/>
      <c r="DW142" s="249"/>
      <c r="DX142" s="249"/>
      <c r="DY142" s="249"/>
      <c r="DZ142" s="249"/>
      <c r="EA142" s="249"/>
      <c r="EB142" s="249"/>
      <c r="EC142" s="249"/>
      <c r="ED142" s="249"/>
      <c r="EE142" s="249"/>
      <c r="EF142" s="249"/>
      <c r="EG142" s="249"/>
      <c r="EH142" s="249"/>
      <c r="EI142" s="249"/>
      <c r="EJ142" s="249"/>
      <c r="EK142" s="249"/>
      <c r="EL142" s="249"/>
      <c r="EM142" s="249"/>
      <c r="EN142" s="249"/>
      <c r="EO142" s="249"/>
      <c r="EP142" s="249"/>
      <c r="EQ142" s="249"/>
      <c r="ER142" s="249"/>
      <c r="ES142" s="249"/>
      <c r="ET142" s="249"/>
      <c r="EU142" s="249"/>
      <c r="EV142" s="249"/>
      <c r="EW142" s="249"/>
      <c r="EX142" s="249"/>
      <c r="EY142" s="249"/>
      <c r="EZ142" s="249"/>
      <c r="FA142" s="249"/>
      <c r="FB142" s="249"/>
      <c r="FC142" s="249"/>
      <c r="FD142" s="249"/>
      <c r="FE142" s="249"/>
      <c r="FF142" s="249"/>
      <c r="FG142" s="249"/>
      <c r="FH142" s="249"/>
      <c r="FI142" s="249"/>
      <c r="FJ142" s="249"/>
      <c r="FK142" s="249"/>
      <c r="FL142" s="249"/>
      <c r="FM142" s="249"/>
      <c r="FN142" s="249"/>
      <c r="FO142" s="249"/>
      <c r="FP142" s="249"/>
      <c r="FQ142" s="249"/>
      <c r="FR142" s="249"/>
      <c r="FS142" s="249"/>
      <c r="FT142" s="249"/>
      <c r="FU142" s="249"/>
      <c r="FV142" s="249"/>
      <c r="FW142" s="249"/>
      <c r="FX142" s="249"/>
      <c r="FY142" s="249"/>
      <c r="FZ142" s="249"/>
      <c r="GA142" s="249"/>
      <c r="GB142" s="249"/>
      <c r="GC142" s="249"/>
      <c r="GD142" s="249"/>
      <c r="GE142" s="249"/>
      <c r="GF142" s="249"/>
      <c r="GG142" s="249"/>
      <c r="GH142" s="249"/>
      <c r="GI142" s="249"/>
      <c r="GJ142" s="249"/>
      <c r="GK142" s="249"/>
      <c r="GL142" s="249"/>
      <c r="GM142" s="249"/>
      <c r="GN142" s="249"/>
      <c r="GO142" s="249"/>
      <c r="GP142" s="249"/>
      <c r="GQ142" s="249"/>
      <c r="GR142" s="249"/>
    </row>
    <row r="143" spans="1:200" s="252" customFormat="1" ht="12.75" customHeight="1" x14ac:dyDescent="0.2">
      <c r="A143" s="729"/>
      <c r="B143" s="1130"/>
      <c r="C143" s="1130"/>
      <c r="D143" s="532"/>
      <c r="E143" s="613"/>
      <c r="F143" s="249"/>
      <c r="G143" s="250"/>
      <c r="H143" s="250"/>
      <c r="I143" s="250"/>
      <c r="J143" s="250"/>
      <c r="K143" s="250"/>
      <c r="L143" s="250"/>
      <c r="M143" s="250"/>
      <c r="N143" s="250"/>
      <c r="O143" s="250"/>
      <c r="P143" s="251"/>
      <c r="Q143" s="251"/>
      <c r="R143" s="251"/>
      <c r="S143" s="251"/>
      <c r="T143" s="251"/>
      <c r="U143" s="1919"/>
      <c r="V143" s="1920" t="s">
        <v>1117</v>
      </c>
      <c r="W143" s="1921">
        <v>16.940000000000001</v>
      </c>
      <c r="X143" s="1163"/>
      <c r="Y143" s="1163">
        <f>Y110*$W$143*FOREX</f>
        <v>6047.5800000000008</v>
      </c>
      <c r="Z143" s="1163"/>
      <c r="AA143" s="1163">
        <f>AA110*$W$143*FOREX</f>
        <v>12095.160000000002</v>
      </c>
      <c r="AB143" s="1163"/>
      <c r="AC143" s="1163">
        <f>AC110*$W$143*FOREX</f>
        <v>22462.440000000002</v>
      </c>
      <c r="AD143" s="1163"/>
      <c r="AE143" s="1163">
        <f>AE110*$W$143*FOREX</f>
        <v>20734.560000000001</v>
      </c>
      <c r="AF143" s="1163"/>
      <c r="AG143" s="1163">
        <f>AG110*$W$143*FOREX</f>
        <v>28510.020000000004</v>
      </c>
      <c r="AH143" s="1163"/>
      <c r="AI143" s="1163">
        <f>AI110*$W$143*FOREX</f>
        <v>0</v>
      </c>
      <c r="AJ143" s="1163"/>
      <c r="AK143" s="1163">
        <f>AK110*$W$143*FOREX</f>
        <v>0</v>
      </c>
      <c r="AL143" s="1163"/>
      <c r="AM143" s="1438">
        <f t="shared" si="54"/>
        <v>89849.760000000009</v>
      </c>
      <c r="AN143" s="254"/>
      <c r="AO143" s="249"/>
      <c r="AP143" s="250"/>
      <c r="AQ143" s="250"/>
      <c r="AR143" s="250"/>
      <c r="AS143" s="250"/>
      <c r="AT143" s="250"/>
      <c r="AU143" s="250"/>
      <c r="AV143" s="249"/>
      <c r="AW143" s="249"/>
      <c r="AX143" s="249"/>
      <c r="AY143" s="249"/>
      <c r="AZ143" s="249"/>
      <c r="BA143" s="249"/>
      <c r="BB143" s="249"/>
      <c r="BC143" s="249"/>
      <c r="BD143" s="249"/>
      <c r="BE143" s="249"/>
      <c r="BF143" s="249"/>
      <c r="BG143" s="249"/>
      <c r="BH143" s="249"/>
      <c r="BI143" s="249"/>
      <c r="BJ143" s="249"/>
      <c r="BK143" s="249"/>
      <c r="BL143" s="249"/>
      <c r="BM143" s="249"/>
      <c r="BN143" s="249"/>
      <c r="BO143" s="249"/>
      <c r="BP143" s="249"/>
      <c r="BQ143" s="249"/>
      <c r="BR143" s="249"/>
      <c r="BS143" s="249"/>
      <c r="BT143" s="249"/>
      <c r="BU143" s="249"/>
      <c r="BV143" s="249"/>
      <c r="BW143" s="249"/>
      <c r="BX143" s="249"/>
      <c r="BY143" s="249"/>
      <c r="BZ143" s="249"/>
      <c r="CA143" s="249"/>
      <c r="CB143" s="249"/>
      <c r="CC143" s="249"/>
      <c r="CD143" s="249"/>
      <c r="CE143" s="249"/>
      <c r="CF143" s="249"/>
      <c r="CG143" s="249"/>
      <c r="CH143" s="249"/>
      <c r="CI143" s="249"/>
      <c r="CJ143" s="249"/>
      <c r="CK143" s="249"/>
      <c r="CL143" s="249"/>
      <c r="CM143" s="249"/>
      <c r="CN143" s="249"/>
      <c r="CO143" s="249"/>
      <c r="CP143" s="249"/>
      <c r="CQ143" s="249"/>
      <c r="CR143" s="249"/>
      <c r="CS143" s="249"/>
      <c r="CT143" s="249"/>
      <c r="CU143" s="249"/>
      <c r="CV143" s="249"/>
      <c r="CW143" s="249"/>
      <c r="CX143" s="249"/>
      <c r="CY143" s="249"/>
      <c r="CZ143" s="249"/>
      <c r="DA143" s="249"/>
      <c r="DB143" s="249"/>
      <c r="DC143" s="249"/>
      <c r="DD143" s="249"/>
      <c r="DE143" s="249"/>
      <c r="DF143" s="249"/>
      <c r="DG143" s="249"/>
      <c r="DH143" s="249"/>
      <c r="DI143" s="249"/>
      <c r="DJ143" s="249"/>
      <c r="DK143" s="249"/>
      <c r="DL143" s="249"/>
      <c r="DM143" s="249"/>
      <c r="DN143" s="249"/>
      <c r="DO143" s="249"/>
      <c r="DP143" s="249"/>
      <c r="DQ143" s="249"/>
      <c r="DR143" s="249"/>
      <c r="DS143" s="249"/>
      <c r="DT143" s="249"/>
      <c r="DU143" s="249"/>
      <c r="DV143" s="249"/>
      <c r="DW143" s="249"/>
      <c r="DX143" s="249"/>
      <c r="DY143" s="249"/>
      <c r="DZ143" s="249"/>
      <c r="EA143" s="249"/>
      <c r="EB143" s="249"/>
      <c r="EC143" s="249"/>
      <c r="ED143" s="249"/>
      <c r="EE143" s="249"/>
      <c r="EF143" s="249"/>
      <c r="EG143" s="249"/>
      <c r="EH143" s="249"/>
      <c r="EI143" s="249"/>
      <c r="EJ143" s="249"/>
      <c r="EK143" s="249"/>
      <c r="EL143" s="249"/>
      <c r="EM143" s="249"/>
      <c r="EN143" s="249"/>
      <c r="EO143" s="249"/>
      <c r="EP143" s="249"/>
      <c r="EQ143" s="249"/>
      <c r="ER143" s="249"/>
      <c r="ES143" s="249"/>
      <c r="ET143" s="249"/>
      <c r="EU143" s="249"/>
      <c r="EV143" s="249"/>
      <c r="EW143" s="249"/>
      <c r="EX143" s="249"/>
      <c r="EY143" s="249"/>
      <c r="EZ143" s="249"/>
      <c r="FA143" s="249"/>
      <c r="FB143" s="249"/>
      <c r="FC143" s="249"/>
      <c r="FD143" s="249"/>
      <c r="FE143" s="249"/>
      <c r="FF143" s="249"/>
      <c r="FG143" s="249"/>
      <c r="FH143" s="249"/>
      <c r="FI143" s="249"/>
      <c r="FJ143" s="249"/>
      <c r="FK143" s="249"/>
      <c r="FL143" s="249"/>
      <c r="FM143" s="249"/>
      <c r="FN143" s="249"/>
      <c r="FO143" s="249"/>
      <c r="FP143" s="249"/>
      <c r="FQ143" s="249"/>
      <c r="FR143" s="249"/>
      <c r="FS143" s="249"/>
      <c r="FT143" s="249"/>
      <c r="FU143" s="249"/>
      <c r="FV143" s="249"/>
      <c r="FW143" s="249"/>
      <c r="FX143" s="249"/>
      <c r="FY143" s="249"/>
      <c r="FZ143" s="249"/>
      <c r="GA143" s="249"/>
      <c r="GB143" s="249"/>
      <c r="GC143" s="249"/>
      <c r="GD143" s="249"/>
      <c r="GE143" s="249"/>
      <c r="GF143" s="249"/>
      <c r="GG143" s="249"/>
      <c r="GH143" s="249"/>
      <c r="GI143" s="249"/>
      <c r="GJ143" s="249"/>
      <c r="GK143" s="249"/>
      <c r="GL143" s="249"/>
      <c r="GM143" s="249"/>
      <c r="GN143" s="249"/>
      <c r="GO143" s="249"/>
      <c r="GP143" s="249"/>
      <c r="GQ143" s="249"/>
      <c r="GR143" s="249"/>
    </row>
    <row r="144" spans="1:200" s="252" customFormat="1" ht="12.75" customHeight="1" x14ac:dyDescent="0.2">
      <c r="A144" s="729"/>
      <c r="B144" s="1130"/>
      <c r="C144" s="1130"/>
      <c r="D144" s="532"/>
      <c r="E144" s="613"/>
      <c r="F144" s="249"/>
      <c r="G144" s="250"/>
      <c r="H144" s="250"/>
      <c r="I144" s="250"/>
      <c r="J144" s="250"/>
      <c r="K144" s="250"/>
      <c r="L144" s="250"/>
      <c r="M144" s="250"/>
      <c r="N144" s="250"/>
      <c r="O144" s="250"/>
      <c r="P144" s="251"/>
      <c r="Q144" s="251"/>
      <c r="R144" s="251"/>
      <c r="S144" s="251"/>
      <c r="T144" s="251"/>
      <c r="U144" s="1919"/>
      <c r="V144" s="1920" t="s">
        <v>1119</v>
      </c>
      <c r="W144" s="1921">
        <v>64.91</v>
      </c>
      <c r="X144" s="1163"/>
      <c r="Y144" s="1163">
        <f>Y111*$W$144*FOREX</f>
        <v>0</v>
      </c>
      <c r="Z144" s="1163"/>
      <c r="AA144" s="1163">
        <f>AA111*$W$144*FOREX</f>
        <v>0</v>
      </c>
      <c r="AB144" s="1163"/>
      <c r="AC144" s="1163">
        <f>AC111*$W$144*FOREX</f>
        <v>0</v>
      </c>
      <c r="AD144" s="1163"/>
      <c r="AE144" s="1163">
        <f>AE111*$W$144*FOREX</f>
        <v>0</v>
      </c>
      <c r="AF144" s="1163"/>
      <c r="AG144" s="1163">
        <f>AG111*$W$144*FOREX</f>
        <v>0</v>
      </c>
      <c r="AH144" s="1163"/>
      <c r="AI144" s="1163">
        <f>AI111*$W$144*FOREX</f>
        <v>0</v>
      </c>
      <c r="AJ144" s="1163"/>
      <c r="AK144" s="1163">
        <f>AK111*$W$144*FOREX</f>
        <v>0</v>
      </c>
      <c r="AL144" s="1163"/>
      <c r="AM144" s="1438">
        <f t="shared" si="54"/>
        <v>0</v>
      </c>
      <c r="AN144" s="254"/>
      <c r="AO144" s="249"/>
      <c r="AP144" s="250"/>
      <c r="AQ144" s="250"/>
      <c r="AR144" s="250"/>
      <c r="AS144" s="250"/>
      <c r="AT144" s="250"/>
      <c r="AU144" s="250"/>
      <c r="AV144" s="249"/>
      <c r="AW144" s="249"/>
      <c r="AX144" s="249"/>
      <c r="AY144" s="249"/>
      <c r="AZ144" s="249"/>
      <c r="BA144" s="249"/>
      <c r="BB144" s="249"/>
      <c r="BC144" s="249"/>
      <c r="BD144" s="249"/>
      <c r="BE144" s="249"/>
      <c r="BF144" s="249"/>
      <c r="BG144" s="249"/>
      <c r="BH144" s="249"/>
      <c r="BI144" s="249"/>
      <c r="BJ144" s="249"/>
      <c r="BK144" s="249"/>
      <c r="BL144" s="249"/>
      <c r="BM144" s="249"/>
      <c r="BN144" s="249"/>
      <c r="BO144" s="249"/>
      <c r="BP144" s="249"/>
      <c r="BQ144" s="249"/>
      <c r="BR144" s="249"/>
      <c r="BS144" s="249"/>
      <c r="BT144" s="249"/>
      <c r="BU144" s="249"/>
      <c r="BV144" s="249"/>
      <c r="BW144" s="249"/>
      <c r="BX144" s="249"/>
      <c r="BY144" s="249"/>
      <c r="BZ144" s="249"/>
      <c r="CA144" s="249"/>
      <c r="CB144" s="249"/>
      <c r="CC144" s="249"/>
      <c r="CD144" s="249"/>
      <c r="CE144" s="249"/>
      <c r="CF144" s="249"/>
      <c r="CG144" s="249"/>
      <c r="CH144" s="249"/>
      <c r="CI144" s="249"/>
      <c r="CJ144" s="249"/>
      <c r="CK144" s="249"/>
      <c r="CL144" s="249"/>
      <c r="CM144" s="249"/>
      <c r="CN144" s="249"/>
      <c r="CO144" s="249"/>
      <c r="CP144" s="249"/>
      <c r="CQ144" s="249"/>
      <c r="CR144" s="249"/>
      <c r="CS144" s="249"/>
      <c r="CT144" s="249"/>
      <c r="CU144" s="249"/>
      <c r="CV144" s="249"/>
      <c r="CW144" s="249"/>
      <c r="CX144" s="249"/>
      <c r="CY144" s="249"/>
      <c r="CZ144" s="249"/>
      <c r="DA144" s="249"/>
      <c r="DB144" s="249"/>
      <c r="DC144" s="249"/>
      <c r="DD144" s="249"/>
      <c r="DE144" s="249"/>
      <c r="DF144" s="249"/>
      <c r="DG144" s="249"/>
      <c r="DH144" s="249"/>
      <c r="DI144" s="249"/>
      <c r="DJ144" s="249"/>
      <c r="DK144" s="249"/>
      <c r="DL144" s="249"/>
      <c r="DM144" s="249"/>
      <c r="DN144" s="249"/>
      <c r="DO144" s="249"/>
      <c r="DP144" s="249"/>
      <c r="DQ144" s="249"/>
      <c r="DR144" s="249"/>
      <c r="DS144" s="249"/>
      <c r="DT144" s="249"/>
      <c r="DU144" s="249"/>
      <c r="DV144" s="249"/>
      <c r="DW144" s="249"/>
      <c r="DX144" s="249"/>
      <c r="DY144" s="249"/>
      <c r="DZ144" s="249"/>
      <c r="EA144" s="249"/>
      <c r="EB144" s="249"/>
      <c r="EC144" s="249"/>
      <c r="ED144" s="249"/>
      <c r="EE144" s="249"/>
      <c r="EF144" s="249"/>
      <c r="EG144" s="249"/>
      <c r="EH144" s="249"/>
      <c r="EI144" s="249"/>
      <c r="EJ144" s="249"/>
      <c r="EK144" s="249"/>
      <c r="EL144" s="249"/>
      <c r="EM144" s="249"/>
      <c r="EN144" s="249"/>
      <c r="EO144" s="249"/>
      <c r="EP144" s="249"/>
      <c r="EQ144" s="249"/>
      <c r="ER144" s="249"/>
      <c r="ES144" s="249"/>
      <c r="ET144" s="249"/>
      <c r="EU144" s="249"/>
      <c r="EV144" s="249"/>
      <c r="EW144" s="249"/>
      <c r="EX144" s="249"/>
      <c r="EY144" s="249"/>
      <c r="EZ144" s="249"/>
      <c r="FA144" s="249"/>
      <c r="FB144" s="249"/>
      <c r="FC144" s="249"/>
      <c r="FD144" s="249"/>
      <c r="FE144" s="249"/>
      <c r="FF144" s="249"/>
      <c r="FG144" s="249"/>
      <c r="FH144" s="249"/>
      <c r="FI144" s="249"/>
      <c r="FJ144" s="249"/>
      <c r="FK144" s="249"/>
      <c r="FL144" s="249"/>
      <c r="FM144" s="249"/>
      <c r="FN144" s="249"/>
      <c r="FO144" s="249"/>
      <c r="FP144" s="249"/>
      <c r="FQ144" s="249"/>
      <c r="FR144" s="249"/>
      <c r="FS144" s="249"/>
      <c r="FT144" s="249"/>
      <c r="FU144" s="249"/>
      <c r="FV144" s="249"/>
      <c r="FW144" s="249"/>
      <c r="FX144" s="249"/>
      <c r="FY144" s="249"/>
      <c r="FZ144" s="249"/>
      <c r="GA144" s="249"/>
      <c r="GB144" s="249"/>
      <c r="GC144" s="249"/>
      <c r="GD144" s="249"/>
      <c r="GE144" s="249"/>
      <c r="GF144" s="249"/>
      <c r="GG144" s="249"/>
      <c r="GH144" s="249"/>
      <c r="GI144" s="249"/>
      <c r="GJ144" s="249"/>
      <c r="GK144" s="249"/>
      <c r="GL144" s="249"/>
      <c r="GM144" s="249"/>
      <c r="GN144" s="249"/>
      <c r="GO144" s="249"/>
      <c r="GP144" s="249"/>
      <c r="GQ144" s="249"/>
      <c r="GR144" s="249"/>
    </row>
    <row r="145" spans="1:200" s="252" customFormat="1" ht="12.75" customHeight="1" x14ac:dyDescent="0.2">
      <c r="A145" s="729"/>
      <c r="B145" s="1130"/>
      <c r="C145" s="1130"/>
      <c r="D145" s="532"/>
      <c r="E145" s="613"/>
      <c r="F145" s="249"/>
      <c r="G145" s="250"/>
      <c r="H145" s="250"/>
      <c r="I145" s="250"/>
      <c r="J145" s="250"/>
      <c r="K145" s="250"/>
      <c r="L145" s="250"/>
      <c r="M145" s="250"/>
      <c r="N145" s="250"/>
      <c r="O145" s="250"/>
      <c r="P145" s="251"/>
      <c r="Q145" s="251"/>
      <c r="R145" s="251"/>
      <c r="S145" s="251"/>
      <c r="T145" s="251"/>
      <c r="U145" s="1919"/>
      <c r="V145" s="1920" t="s">
        <v>1124</v>
      </c>
      <c r="W145" s="1921">
        <v>1024.8</v>
      </c>
      <c r="X145" s="1163"/>
      <c r="Y145" s="1163">
        <f>Y112*$W$145*FOREX</f>
        <v>0</v>
      </c>
      <c r="Z145" s="1163"/>
      <c r="AA145" s="1163">
        <f>AA112*$W$145*FOREX</f>
        <v>0</v>
      </c>
      <c r="AB145" s="1163"/>
      <c r="AC145" s="1163">
        <f>AC112*$W$145*FOREX</f>
        <v>0</v>
      </c>
      <c r="AD145" s="1163"/>
      <c r="AE145" s="1163">
        <f>AE112*$W$145*FOREX</f>
        <v>0</v>
      </c>
      <c r="AF145" s="1163"/>
      <c r="AG145" s="1163">
        <f>AG112*$W$145*FOREX</f>
        <v>0</v>
      </c>
      <c r="AH145" s="1163"/>
      <c r="AI145" s="1163">
        <f>AI112*$W$145*FOREX</f>
        <v>0</v>
      </c>
      <c r="AJ145" s="1163"/>
      <c r="AK145" s="1163">
        <f>AK112*$W$145*FOREX</f>
        <v>0</v>
      </c>
      <c r="AL145" s="1163"/>
      <c r="AM145" s="1438">
        <f t="shared" si="54"/>
        <v>0</v>
      </c>
      <c r="AN145" s="254"/>
      <c r="AO145" s="249"/>
      <c r="AP145" s="250"/>
      <c r="AQ145" s="250"/>
      <c r="AR145" s="250"/>
      <c r="AS145" s="250"/>
      <c r="AT145" s="250"/>
      <c r="AU145" s="250"/>
      <c r="AV145" s="249"/>
      <c r="AW145" s="249"/>
      <c r="AX145" s="249"/>
      <c r="AY145" s="249"/>
      <c r="AZ145" s="249"/>
      <c r="BA145" s="249"/>
      <c r="BB145" s="249"/>
      <c r="BC145" s="249"/>
      <c r="BD145" s="249"/>
      <c r="BE145" s="249"/>
      <c r="BF145" s="249"/>
      <c r="BG145" s="249"/>
      <c r="BH145" s="249"/>
      <c r="BI145" s="249"/>
      <c r="BJ145" s="249"/>
      <c r="BK145" s="249"/>
      <c r="BL145" s="249"/>
      <c r="BM145" s="249"/>
      <c r="BN145" s="249"/>
      <c r="BO145" s="249"/>
      <c r="BP145" s="249"/>
      <c r="BQ145" s="249"/>
      <c r="BR145" s="249"/>
      <c r="BS145" s="249"/>
      <c r="BT145" s="249"/>
      <c r="BU145" s="249"/>
      <c r="BV145" s="249"/>
      <c r="BW145" s="249"/>
      <c r="BX145" s="249"/>
      <c r="BY145" s="249"/>
      <c r="BZ145" s="249"/>
      <c r="CA145" s="249"/>
      <c r="CB145" s="249"/>
      <c r="CC145" s="249"/>
      <c r="CD145" s="249"/>
      <c r="CE145" s="249"/>
      <c r="CF145" s="249"/>
      <c r="CG145" s="249"/>
      <c r="CH145" s="249"/>
      <c r="CI145" s="249"/>
      <c r="CJ145" s="249"/>
      <c r="CK145" s="249"/>
      <c r="CL145" s="249"/>
      <c r="CM145" s="249"/>
      <c r="CN145" s="249"/>
      <c r="CO145" s="249"/>
      <c r="CP145" s="249"/>
      <c r="CQ145" s="249"/>
      <c r="CR145" s="249"/>
      <c r="CS145" s="249"/>
      <c r="CT145" s="249"/>
      <c r="CU145" s="249"/>
      <c r="CV145" s="249"/>
      <c r="CW145" s="249"/>
      <c r="CX145" s="249"/>
      <c r="CY145" s="249"/>
      <c r="CZ145" s="249"/>
      <c r="DA145" s="249"/>
      <c r="DB145" s="249"/>
      <c r="DC145" s="249"/>
      <c r="DD145" s="249"/>
      <c r="DE145" s="249"/>
      <c r="DF145" s="249"/>
      <c r="DG145" s="249"/>
      <c r="DH145" s="249"/>
      <c r="DI145" s="249"/>
      <c r="DJ145" s="249"/>
      <c r="DK145" s="249"/>
      <c r="DL145" s="249"/>
      <c r="DM145" s="249"/>
      <c r="DN145" s="249"/>
      <c r="DO145" s="249"/>
      <c r="DP145" s="249"/>
      <c r="DQ145" s="249"/>
      <c r="DR145" s="249"/>
      <c r="DS145" s="249"/>
      <c r="DT145" s="249"/>
      <c r="DU145" s="249"/>
      <c r="DV145" s="249"/>
      <c r="DW145" s="249"/>
      <c r="DX145" s="249"/>
      <c r="DY145" s="249"/>
      <c r="DZ145" s="249"/>
      <c r="EA145" s="249"/>
      <c r="EB145" s="249"/>
      <c r="EC145" s="249"/>
      <c r="ED145" s="249"/>
      <c r="EE145" s="249"/>
      <c r="EF145" s="249"/>
      <c r="EG145" s="249"/>
      <c r="EH145" s="249"/>
      <c r="EI145" s="249"/>
      <c r="EJ145" s="249"/>
      <c r="EK145" s="249"/>
      <c r="EL145" s="249"/>
      <c r="EM145" s="249"/>
      <c r="EN145" s="249"/>
      <c r="EO145" s="249"/>
      <c r="EP145" s="249"/>
      <c r="EQ145" s="249"/>
      <c r="ER145" s="249"/>
      <c r="ES145" s="249"/>
      <c r="ET145" s="249"/>
      <c r="EU145" s="249"/>
      <c r="EV145" s="249"/>
      <c r="EW145" s="249"/>
      <c r="EX145" s="249"/>
      <c r="EY145" s="249"/>
      <c r="EZ145" s="249"/>
      <c r="FA145" s="249"/>
      <c r="FB145" s="249"/>
      <c r="FC145" s="249"/>
      <c r="FD145" s="249"/>
      <c r="FE145" s="249"/>
      <c r="FF145" s="249"/>
      <c r="FG145" s="249"/>
      <c r="FH145" s="249"/>
      <c r="FI145" s="249"/>
      <c r="FJ145" s="249"/>
      <c r="FK145" s="249"/>
      <c r="FL145" s="249"/>
      <c r="FM145" s="249"/>
      <c r="FN145" s="249"/>
      <c r="FO145" s="249"/>
      <c r="FP145" s="249"/>
      <c r="FQ145" s="249"/>
      <c r="FR145" s="249"/>
      <c r="FS145" s="249"/>
      <c r="FT145" s="249"/>
      <c r="FU145" s="249"/>
      <c r="FV145" s="249"/>
      <c r="FW145" s="249"/>
      <c r="FX145" s="249"/>
      <c r="FY145" s="249"/>
      <c r="FZ145" s="249"/>
      <c r="GA145" s="249"/>
      <c r="GB145" s="249"/>
      <c r="GC145" s="249"/>
      <c r="GD145" s="249"/>
      <c r="GE145" s="249"/>
      <c r="GF145" s="249"/>
      <c r="GG145" s="249"/>
      <c r="GH145" s="249"/>
      <c r="GI145" s="249"/>
      <c r="GJ145" s="249"/>
      <c r="GK145" s="249"/>
      <c r="GL145" s="249"/>
      <c r="GM145" s="249"/>
      <c r="GN145" s="249"/>
      <c r="GO145" s="249"/>
      <c r="GP145" s="249"/>
      <c r="GQ145" s="249"/>
      <c r="GR145" s="249"/>
    </row>
    <row r="146" spans="1:200" s="252" customFormat="1" ht="12.75" customHeight="1" x14ac:dyDescent="0.2">
      <c r="A146" s="729"/>
      <c r="B146" s="1130"/>
      <c r="C146" s="1130"/>
      <c r="D146" s="532"/>
      <c r="E146" s="613"/>
      <c r="F146" s="249"/>
      <c r="G146" s="250"/>
      <c r="H146" s="250"/>
      <c r="I146" s="250"/>
      <c r="J146" s="250"/>
      <c r="K146" s="250"/>
      <c r="L146" s="250"/>
      <c r="M146" s="250"/>
      <c r="N146" s="250"/>
      <c r="O146" s="250"/>
      <c r="P146" s="251"/>
      <c r="Q146" s="251"/>
      <c r="R146" s="251"/>
      <c r="S146" s="251"/>
      <c r="T146" s="251"/>
      <c r="U146" s="1919"/>
      <c r="V146" s="1920" t="s">
        <v>1125</v>
      </c>
      <c r="W146" s="1921">
        <v>397.39</v>
      </c>
      <c r="X146" s="1163"/>
      <c r="Y146" s="1163">
        <f>Y113*$W$146*FOREX</f>
        <v>0</v>
      </c>
      <c r="Z146" s="1163"/>
      <c r="AA146" s="1163">
        <f>AA113*$W$146*FOREX</f>
        <v>0</v>
      </c>
      <c r="AB146" s="1163"/>
      <c r="AC146" s="1163">
        <f>AC113*$W$146*FOREX</f>
        <v>0</v>
      </c>
      <c r="AD146" s="1163"/>
      <c r="AE146" s="1163">
        <f>AE113*$W$146*FOREX</f>
        <v>0</v>
      </c>
      <c r="AF146" s="1163"/>
      <c r="AG146" s="1163">
        <f>AG113*$W$146*FOREX</f>
        <v>0</v>
      </c>
      <c r="AH146" s="1163"/>
      <c r="AI146" s="1163">
        <f>AI113*$W$146*FOREX</f>
        <v>0</v>
      </c>
      <c r="AJ146" s="1163"/>
      <c r="AK146" s="1163">
        <f>AK113*$W$146*FOREX</f>
        <v>0</v>
      </c>
      <c r="AL146" s="1163"/>
      <c r="AM146" s="1438">
        <f t="shared" si="54"/>
        <v>0</v>
      </c>
      <c r="AN146" s="254"/>
      <c r="AO146" s="249"/>
      <c r="AP146" s="250"/>
      <c r="AQ146" s="250"/>
      <c r="AR146" s="250"/>
      <c r="AS146" s="250"/>
      <c r="AT146" s="250"/>
      <c r="AU146" s="250"/>
      <c r="AV146" s="249"/>
      <c r="AW146" s="249"/>
      <c r="AX146" s="249"/>
      <c r="AY146" s="249"/>
      <c r="AZ146" s="249"/>
      <c r="BA146" s="249"/>
      <c r="BB146" s="249"/>
      <c r="BC146" s="249"/>
      <c r="BD146" s="249"/>
      <c r="BE146" s="249"/>
      <c r="BF146" s="249"/>
      <c r="BG146" s="249"/>
      <c r="BH146" s="249"/>
      <c r="BI146" s="249"/>
      <c r="BJ146" s="249"/>
      <c r="BK146" s="249"/>
      <c r="BL146" s="249"/>
      <c r="BM146" s="249"/>
      <c r="BN146" s="249"/>
      <c r="BO146" s="249"/>
      <c r="BP146" s="249"/>
      <c r="BQ146" s="249"/>
      <c r="BR146" s="249"/>
      <c r="BS146" s="249"/>
      <c r="BT146" s="249"/>
      <c r="BU146" s="249"/>
      <c r="BV146" s="249"/>
      <c r="BW146" s="249"/>
      <c r="BX146" s="249"/>
      <c r="BY146" s="249"/>
      <c r="BZ146" s="249"/>
      <c r="CA146" s="249"/>
      <c r="CB146" s="249"/>
      <c r="CC146" s="249"/>
      <c r="CD146" s="249"/>
      <c r="CE146" s="249"/>
      <c r="CF146" s="249"/>
      <c r="CG146" s="249"/>
      <c r="CH146" s="249"/>
      <c r="CI146" s="249"/>
      <c r="CJ146" s="249"/>
      <c r="CK146" s="249"/>
      <c r="CL146" s="249"/>
      <c r="CM146" s="249"/>
      <c r="CN146" s="249"/>
      <c r="CO146" s="249"/>
      <c r="CP146" s="249"/>
      <c r="CQ146" s="249"/>
      <c r="CR146" s="249"/>
      <c r="CS146" s="249"/>
      <c r="CT146" s="249"/>
      <c r="CU146" s="249"/>
      <c r="CV146" s="249"/>
      <c r="CW146" s="249"/>
      <c r="CX146" s="249"/>
      <c r="CY146" s="249"/>
      <c r="CZ146" s="249"/>
      <c r="DA146" s="249"/>
      <c r="DB146" s="249"/>
      <c r="DC146" s="249"/>
      <c r="DD146" s="249"/>
      <c r="DE146" s="249"/>
      <c r="DF146" s="249"/>
      <c r="DG146" s="249"/>
      <c r="DH146" s="249"/>
      <c r="DI146" s="249"/>
      <c r="DJ146" s="249"/>
      <c r="DK146" s="249"/>
      <c r="DL146" s="249"/>
      <c r="DM146" s="249"/>
      <c r="DN146" s="249"/>
      <c r="DO146" s="249"/>
      <c r="DP146" s="249"/>
      <c r="DQ146" s="249"/>
      <c r="DR146" s="249"/>
      <c r="DS146" s="249"/>
      <c r="DT146" s="249"/>
      <c r="DU146" s="249"/>
      <c r="DV146" s="249"/>
      <c r="DW146" s="249"/>
      <c r="DX146" s="249"/>
      <c r="DY146" s="249"/>
      <c r="DZ146" s="249"/>
      <c r="EA146" s="249"/>
      <c r="EB146" s="249"/>
      <c r="EC146" s="249"/>
      <c r="ED146" s="249"/>
      <c r="EE146" s="249"/>
      <c r="EF146" s="249"/>
      <c r="EG146" s="249"/>
      <c r="EH146" s="249"/>
      <c r="EI146" s="249"/>
      <c r="EJ146" s="249"/>
      <c r="EK146" s="249"/>
      <c r="EL146" s="249"/>
      <c r="EM146" s="249"/>
      <c r="EN146" s="249"/>
      <c r="EO146" s="249"/>
      <c r="EP146" s="249"/>
      <c r="EQ146" s="249"/>
      <c r="ER146" s="249"/>
      <c r="ES146" s="249"/>
      <c r="ET146" s="249"/>
      <c r="EU146" s="249"/>
      <c r="EV146" s="249"/>
      <c r="EW146" s="249"/>
      <c r="EX146" s="249"/>
      <c r="EY146" s="249"/>
      <c r="EZ146" s="249"/>
      <c r="FA146" s="249"/>
      <c r="FB146" s="249"/>
      <c r="FC146" s="249"/>
      <c r="FD146" s="249"/>
      <c r="FE146" s="249"/>
      <c r="FF146" s="249"/>
      <c r="FG146" s="249"/>
      <c r="FH146" s="249"/>
      <c r="FI146" s="249"/>
      <c r="FJ146" s="249"/>
      <c r="FK146" s="249"/>
      <c r="FL146" s="249"/>
      <c r="FM146" s="249"/>
      <c r="FN146" s="249"/>
      <c r="FO146" s="249"/>
      <c r="FP146" s="249"/>
      <c r="FQ146" s="249"/>
      <c r="FR146" s="249"/>
      <c r="FS146" s="249"/>
      <c r="FT146" s="249"/>
      <c r="FU146" s="249"/>
      <c r="FV146" s="249"/>
      <c r="FW146" s="249"/>
      <c r="FX146" s="249"/>
      <c r="FY146" s="249"/>
      <c r="FZ146" s="249"/>
      <c r="GA146" s="249"/>
      <c r="GB146" s="249"/>
      <c r="GC146" s="249"/>
      <c r="GD146" s="249"/>
      <c r="GE146" s="249"/>
      <c r="GF146" s="249"/>
      <c r="GG146" s="249"/>
      <c r="GH146" s="249"/>
      <c r="GI146" s="249"/>
      <c r="GJ146" s="249"/>
      <c r="GK146" s="249"/>
      <c r="GL146" s="249"/>
      <c r="GM146" s="249"/>
      <c r="GN146" s="249"/>
      <c r="GO146" s="249"/>
      <c r="GP146" s="249"/>
      <c r="GQ146" s="249"/>
      <c r="GR146" s="249"/>
    </row>
    <row r="147" spans="1:200" s="252" customFormat="1" ht="12.75" customHeight="1" x14ac:dyDescent="0.2">
      <c r="A147" s="729"/>
      <c r="B147" s="1130"/>
      <c r="C147" s="1130"/>
      <c r="D147" s="532"/>
      <c r="E147" s="613"/>
      <c r="F147" s="249"/>
      <c r="G147" s="250"/>
      <c r="H147" s="250"/>
      <c r="I147" s="250"/>
      <c r="J147" s="250"/>
      <c r="K147" s="250"/>
      <c r="L147" s="250"/>
      <c r="M147" s="250"/>
      <c r="N147" s="250"/>
      <c r="O147" s="250"/>
      <c r="P147" s="251"/>
      <c r="Q147" s="251"/>
      <c r="R147" s="251"/>
      <c r="S147" s="251"/>
      <c r="T147" s="251"/>
      <c r="U147" s="1919"/>
      <c r="V147" s="1920" t="s">
        <v>1256</v>
      </c>
      <c r="W147" s="1921">
        <v>1295.94</v>
      </c>
      <c r="X147" s="1163"/>
      <c r="Y147" s="1163">
        <f>Y114*$W$147*FOREX</f>
        <v>0</v>
      </c>
      <c r="Z147" s="1163"/>
      <c r="AA147" s="1163">
        <f>AA114*$W$147*FOREX</f>
        <v>0</v>
      </c>
      <c r="AB147" s="1163"/>
      <c r="AC147" s="1163">
        <f>AC114*$W$147*FOREX</f>
        <v>264371.76</v>
      </c>
      <c r="AD147" s="1163"/>
      <c r="AE147" s="1163">
        <f>AE114*$W$147*FOREX</f>
        <v>66092.94</v>
      </c>
      <c r="AF147" s="1163"/>
      <c r="AG147" s="1163">
        <f>AG114*$W$147*FOREX</f>
        <v>132185.88</v>
      </c>
      <c r="AH147" s="1163"/>
      <c r="AI147" s="1163">
        <f>AI114*$W$147*FOREX</f>
        <v>0</v>
      </c>
      <c r="AJ147" s="1163"/>
      <c r="AK147" s="1163">
        <f>AK114*$W$147*FOREX</f>
        <v>0</v>
      </c>
      <c r="AL147" s="1163"/>
      <c r="AM147" s="1438">
        <f t="shared" si="54"/>
        <v>462650.58</v>
      </c>
      <c r="AN147" s="254"/>
      <c r="AO147" s="249"/>
      <c r="AP147" s="250"/>
      <c r="AQ147" s="250"/>
      <c r="AR147" s="250"/>
      <c r="AS147" s="250"/>
      <c r="AT147" s="250"/>
      <c r="AU147" s="250"/>
      <c r="AV147" s="249"/>
      <c r="AW147" s="249"/>
      <c r="AX147" s="249"/>
      <c r="AY147" s="249"/>
      <c r="AZ147" s="249"/>
      <c r="BA147" s="249"/>
      <c r="BB147" s="249"/>
      <c r="BC147" s="249"/>
      <c r="BD147" s="249"/>
      <c r="BE147" s="249"/>
      <c r="BF147" s="249"/>
      <c r="BG147" s="249"/>
      <c r="BH147" s="249"/>
      <c r="BI147" s="249"/>
      <c r="BJ147" s="249"/>
      <c r="BK147" s="249"/>
      <c r="BL147" s="249"/>
      <c r="BM147" s="249"/>
      <c r="BN147" s="249"/>
      <c r="BO147" s="249"/>
      <c r="BP147" s="249"/>
      <c r="BQ147" s="249"/>
      <c r="BR147" s="249"/>
      <c r="BS147" s="249"/>
      <c r="BT147" s="249"/>
      <c r="BU147" s="249"/>
      <c r="BV147" s="249"/>
      <c r="BW147" s="249"/>
      <c r="BX147" s="249"/>
      <c r="BY147" s="249"/>
      <c r="BZ147" s="249"/>
      <c r="CA147" s="249"/>
      <c r="CB147" s="249"/>
      <c r="CC147" s="249"/>
      <c r="CD147" s="249"/>
      <c r="CE147" s="249"/>
      <c r="CF147" s="249"/>
      <c r="CG147" s="249"/>
      <c r="CH147" s="249"/>
      <c r="CI147" s="249"/>
      <c r="CJ147" s="249"/>
      <c r="CK147" s="249"/>
      <c r="CL147" s="249"/>
      <c r="CM147" s="249"/>
      <c r="CN147" s="249"/>
      <c r="CO147" s="249"/>
      <c r="CP147" s="249"/>
      <c r="CQ147" s="249"/>
      <c r="CR147" s="249"/>
      <c r="CS147" s="249"/>
      <c r="CT147" s="249"/>
      <c r="CU147" s="249"/>
      <c r="CV147" s="249"/>
      <c r="CW147" s="249"/>
      <c r="CX147" s="249"/>
      <c r="CY147" s="249"/>
      <c r="CZ147" s="249"/>
      <c r="DA147" s="249"/>
      <c r="DB147" s="249"/>
      <c r="DC147" s="249"/>
      <c r="DD147" s="249"/>
      <c r="DE147" s="249"/>
      <c r="DF147" s="249"/>
      <c r="DG147" s="249"/>
      <c r="DH147" s="249"/>
      <c r="DI147" s="249"/>
      <c r="DJ147" s="249"/>
      <c r="DK147" s="249"/>
      <c r="DL147" s="249"/>
      <c r="DM147" s="249"/>
      <c r="DN147" s="249"/>
      <c r="DO147" s="249"/>
      <c r="DP147" s="249"/>
      <c r="DQ147" s="249"/>
      <c r="DR147" s="249"/>
      <c r="DS147" s="249"/>
      <c r="DT147" s="249"/>
      <c r="DU147" s="249"/>
      <c r="DV147" s="249"/>
      <c r="DW147" s="249"/>
      <c r="DX147" s="249"/>
      <c r="DY147" s="249"/>
      <c r="DZ147" s="249"/>
      <c r="EA147" s="249"/>
      <c r="EB147" s="249"/>
      <c r="EC147" s="249"/>
      <c r="ED147" s="249"/>
      <c r="EE147" s="249"/>
      <c r="EF147" s="249"/>
      <c r="EG147" s="249"/>
      <c r="EH147" s="249"/>
      <c r="EI147" s="249"/>
      <c r="EJ147" s="249"/>
      <c r="EK147" s="249"/>
      <c r="EL147" s="249"/>
      <c r="EM147" s="249"/>
      <c r="EN147" s="249"/>
      <c r="EO147" s="249"/>
      <c r="EP147" s="249"/>
      <c r="EQ147" s="249"/>
      <c r="ER147" s="249"/>
      <c r="ES147" s="249"/>
      <c r="ET147" s="249"/>
      <c r="EU147" s="249"/>
      <c r="EV147" s="249"/>
      <c r="EW147" s="249"/>
      <c r="EX147" s="249"/>
      <c r="EY147" s="249"/>
      <c r="EZ147" s="249"/>
      <c r="FA147" s="249"/>
      <c r="FB147" s="249"/>
      <c r="FC147" s="249"/>
      <c r="FD147" s="249"/>
      <c r="FE147" s="249"/>
      <c r="FF147" s="249"/>
      <c r="FG147" s="249"/>
      <c r="FH147" s="249"/>
      <c r="FI147" s="249"/>
      <c r="FJ147" s="249"/>
      <c r="FK147" s="249"/>
      <c r="FL147" s="249"/>
      <c r="FM147" s="249"/>
      <c r="FN147" s="249"/>
      <c r="FO147" s="249"/>
      <c r="FP147" s="249"/>
      <c r="FQ147" s="249"/>
      <c r="FR147" s="249"/>
      <c r="FS147" s="249"/>
      <c r="FT147" s="249"/>
      <c r="FU147" s="249"/>
      <c r="FV147" s="249"/>
      <c r="FW147" s="249"/>
      <c r="FX147" s="249"/>
      <c r="FY147" s="249"/>
      <c r="FZ147" s="249"/>
      <c r="GA147" s="249"/>
      <c r="GB147" s="249"/>
      <c r="GC147" s="249"/>
      <c r="GD147" s="249"/>
      <c r="GE147" s="249"/>
      <c r="GF147" s="249"/>
      <c r="GG147" s="249"/>
      <c r="GH147" s="249"/>
      <c r="GI147" s="249"/>
      <c r="GJ147" s="249"/>
      <c r="GK147" s="249"/>
      <c r="GL147" s="249"/>
      <c r="GM147" s="249"/>
      <c r="GN147" s="249"/>
      <c r="GO147" s="249"/>
      <c r="GP147" s="249"/>
      <c r="GQ147" s="249"/>
      <c r="GR147" s="249"/>
    </row>
    <row r="148" spans="1:200" s="252" customFormat="1" ht="12.75" customHeight="1" x14ac:dyDescent="0.2">
      <c r="A148" s="729"/>
      <c r="B148" s="1130"/>
      <c r="C148" s="1130"/>
      <c r="D148" s="532"/>
      <c r="E148" s="613"/>
      <c r="F148" s="249"/>
      <c r="G148" s="250"/>
      <c r="H148" s="250"/>
      <c r="I148" s="250"/>
      <c r="J148" s="250"/>
      <c r="K148" s="250"/>
      <c r="L148" s="250"/>
      <c r="M148" s="250"/>
      <c r="N148" s="250"/>
      <c r="O148" s="250"/>
      <c r="P148" s="251"/>
      <c r="Q148" s="251"/>
      <c r="R148" s="251"/>
      <c r="S148" s="251"/>
      <c r="T148" s="251"/>
      <c r="U148" s="1919"/>
      <c r="V148" s="1920" t="s">
        <v>1123</v>
      </c>
      <c r="W148" s="1921">
        <v>84.71</v>
      </c>
      <c r="X148" s="1163"/>
      <c r="Y148" s="1163">
        <f>Y115*$W$148*FOREX</f>
        <v>0</v>
      </c>
      <c r="Z148" s="1163"/>
      <c r="AA148" s="1163">
        <f>AA115*$W$148*FOREX</f>
        <v>0</v>
      </c>
      <c r="AB148" s="1163"/>
      <c r="AC148" s="1163">
        <f>AC115*$W$148*FOREX</f>
        <v>0</v>
      </c>
      <c r="AD148" s="1163"/>
      <c r="AE148" s="1163">
        <f>AE115*$W$148*FOREX</f>
        <v>17280.84</v>
      </c>
      <c r="AF148" s="1163"/>
      <c r="AG148" s="1163">
        <f>AG115*$W$148*FOREX</f>
        <v>0</v>
      </c>
      <c r="AH148" s="1163"/>
      <c r="AI148" s="1163">
        <f>AI115*$W$148*FOREX</f>
        <v>0</v>
      </c>
      <c r="AJ148" s="1163"/>
      <c r="AK148" s="1163">
        <f>AK115*$W$148*FOREX</f>
        <v>0</v>
      </c>
      <c r="AL148" s="1163"/>
      <c r="AM148" s="1438">
        <f t="shared" si="54"/>
        <v>17280.84</v>
      </c>
      <c r="AN148" s="254"/>
      <c r="AO148" s="249"/>
      <c r="AP148" s="250"/>
      <c r="AQ148" s="250"/>
      <c r="AR148" s="250"/>
      <c r="AS148" s="250"/>
      <c r="AT148" s="250"/>
      <c r="AU148" s="250"/>
      <c r="AV148" s="249"/>
      <c r="AW148" s="249"/>
      <c r="AX148" s="249"/>
      <c r="AY148" s="249"/>
      <c r="AZ148" s="249"/>
      <c r="BA148" s="249"/>
      <c r="BB148" s="249"/>
      <c r="BC148" s="249"/>
      <c r="BD148" s="249"/>
      <c r="BE148" s="249"/>
      <c r="BF148" s="249"/>
      <c r="BG148" s="249"/>
      <c r="BH148" s="249"/>
      <c r="BI148" s="249"/>
      <c r="BJ148" s="249"/>
      <c r="BK148" s="249"/>
      <c r="BL148" s="249"/>
      <c r="BM148" s="249"/>
      <c r="BN148" s="249"/>
      <c r="BO148" s="249"/>
      <c r="BP148" s="249"/>
      <c r="BQ148" s="249"/>
      <c r="BR148" s="249"/>
      <c r="BS148" s="249"/>
      <c r="BT148" s="249"/>
      <c r="BU148" s="249"/>
      <c r="BV148" s="249"/>
      <c r="BW148" s="249"/>
      <c r="BX148" s="249"/>
      <c r="BY148" s="249"/>
      <c r="BZ148" s="249"/>
      <c r="CA148" s="249"/>
      <c r="CB148" s="249"/>
      <c r="CC148" s="249"/>
      <c r="CD148" s="249"/>
      <c r="CE148" s="249"/>
      <c r="CF148" s="249"/>
      <c r="CG148" s="249"/>
      <c r="CH148" s="249"/>
      <c r="CI148" s="249"/>
      <c r="CJ148" s="249"/>
      <c r="CK148" s="249"/>
      <c r="CL148" s="249"/>
      <c r="CM148" s="249"/>
      <c r="CN148" s="249"/>
      <c r="CO148" s="249"/>
      <c r="CP148" s="249"/>
      <c r="CQ148" s="249"/>
      <c r="CR148" s="249"/>
      <c r="CS148" s="249"/>
      <c r="CT148" s="249"/>
      <c r="CU148" s="249"/>
      <c r="CV148" s="249"/>
      <c r="CW148" s="249"/>
      <c r="CX148" s="249"/>
      <c r="CY148" s="249"/>
      <c r="CZ148" s="249"/>
      <c r="DA148" s="249"/>
      <c r="DB148" s="249"/>
      <c r="DC148" s="249"/>
      <c r="DD148" s="249"/>
      <c r="DE148" s="249"/>
      <c r="DF148" s="249"/>
      <c r="DG148" s="249"/>
      <c r="DH148" s="249"/>
      <c r="DI148" s="249"/>
      <c r="DJ148" s="249"/>
      <c r="DK148" s="249"/>
      <c r="DL148" s="249"/>
      <c r="DM148" s="249"/>
      <c r="DN148" s="249"/>
      <c r="DO148" s="249"/>
      <c r="DP148" s="249"/>
      <c r="DQ148" s="249"/>
      <c r="DR148" s="249"/>
      <c r="DS148" s="249"/>
      <c r="DT148" s="249"/>
      <c r="DU148" s="249"/>
      <c r="DV148" s="249"/>
      <c r="DW148" s="249"/>
      <c r="DX148" s="249"/>
      <c r="DY148" s="249"/>
      <c r="DZ148" s="249"/>
      <c r="EA148" s="249"/>
      <c r="EB148" s="249"/>
      <c r="EC148" s="249"/>
      <c r="ED148" s="249"/>
      <c r="EE148" s="249"/>
      <c r="EF148" s="249"/>
      <c r="EG148" s="249"/>
      <c r="EH148" s="249"/>
      <c r="EI148" s="249"/>
      <c r="EJ148" s="249"/>
      <c r="EK148" s="249"/>
      <c r="EL148" s="249"/>
      <c r="EM148" s="249"/>
      <c r="EN148" s="249"/>
      <c r="EO148" s="249"/>
      <c r="EP148" s="249"/>
      <c r="EQ148" s="249"/>
      <c r="ER148" s="249"/>
      <c r="ES148" s="249"/>
      <c r="ET148" s="249"/>
      <c r="EU148" s="249"/>
      <c r="EV148" s="249"/>
      <c r="EW148" s="249"/>
      <c r="EX148" s="249"/>
      <c r="EY148" s="249"/>
      <c r="EZ148" s="249"/>
      <c r="FA148" s="249"/>
      <c r="FB148" s="249"/>
      <c r="FC148" s="249"/>
      <c r="FD148" s="249"/>
      <c r="FE148" s="249"/>
      <c r="FF148" s="249"/>
      <c r="FG148" s="249"/>
      <c r="FH148" s="249"/>
      <c r="FI148" s="249"/>
      <c r="FJ148" s="249"/>
      <c r="FK148" s="249"/>
      <c r="FL148" s="249"/>
      <c r="FM148" s="249"/>
      <c r="FN148" s="249"/>
      <c r="FO148" s="249"/>
      <c r="FP148" s="249"/>
      <c r="FQ148" s="249"/>
      <c r="FR148" s="249"/>
      <c r="FS148" s="249"/>
      <c r="FT148" s="249"/>
      <c r="FU148" s="249"/>
      <c r="FV148" s="249"/>
      <c r="FW148" s="249"/>
      <c r="FX148" s="249"/>
      <c r="FY148" s="249"/>
      <c r="FZ148" s="249"/>
      <c r="GA148" s="249"/>
      <c r="GB148" s="249"/>
      <c r="GC148" s="249"/>
      <c r="GD148" s="249"/>
      <c r="GE148" s="249"/>
      <c r="GF148" s="249"/>
      <c r="GG148" s="249"/>
      <c r="GH148" s="249"/>
      <c r="GI148" s="249"/>
      <c r="GJ148" s="249"/>
      <c r="GK148" s="249"/>
      <c r="GL148" s="249"/>
      <c r="GM148" s="249"/>
      <c r="GN148" s="249"/>
      <c r="GO148" s="249"/>
      <c r="GP148" s="249"/>
      <c r="GQ148" s="249"/>
      <c r="GR148" s="249"/>
    </row>
    <row r="149" spans="1:200" s="252" customFormat="1" ht="12.75" customHeight="1" x14ac:dyDescent="0.2">
      <c r="A149" s="729"/>
      <c r="B149" s="1130"/>
      <c r="C149" s="1130"/>
      <c r="D149" s="532"/>
      <c r="E149" s="613"/>
      <c r="F149" s="249"/>
      <c r="G149" s="250"/>
      <c r="H149" s="250"/>
      <c r="I149" s="250"/>
      <c r="J149" s="250"/>
      <c r="K149" s="250"/>
      <c r="L149" s="250"/>
      <c r="M149" s="250"/>
      <c r="N149" s="250"/>
      <c r="O149" s="250"/>
      <c r="P149" s="251"/>
      <c r="Q149" s="251"/>
      <c r="R149" s="251"/>
      <c r="S149" s="251"/>
      <c r="T149" s="251"/>
      <c r="U149" s="1919"/>
      <c r="V149" s="1920" t="s">
        <v>1126</v>
      </c>
      <c r="W149" s="1921">
        <v>60.76</v>
      </c>
      <c r="X149" s="1163"/>
      <c r="Y149" s="1163">
        <f>Y116*$W$149*FOREX</f>
        <v>18592.560000000001</v>
      </c>
      <c r="Z149" s="1163"/>
      <c r="AA149" s="1163">
        <f>AA116*$W$149*FOREX</f>
        <v>18592.560000000001</v>
      </c>
      <c r="AB149" s="1163"/>
      <c r="AC149" s="1163">
        <f>AC116*$W$149*FOREX</f>
        <v>68172.72</v>
      </c>
      <c r="AD149" s="1163"/>
      <c r="AE149" s="1163">
        <f>AE116*$W$149*FOREX</f>
        <v>136345.44</v>
      </c>
      <c r="AF149" s="1163"/>
      <c r="AG149" s="1163">
        <f>AG116*$W$149*FOREX</f>
        <v>154938</v>
      </c>
      <c r="AH149" s="1163"/>
      <c r="AI149" s="1163">
        <f>AI116*$W$149*FOREX</f>
        <v>0</v>
      </c>
      <c r="AJ149" s="1163"/>
      <c r="AK149" s="1163">
        <f>AK116*$W$149*FOREX</f>
        <v>0</v>
      </c>
      <c r="AL149" s="1163"/>
      <c r="AM149" s="1438">
        <f t="shared" si="54"/>
        <v>396641.28000000003</v>
      </c>
      <c r="AN149" s="254"/>
      <c r="AO149" s="249"/>
      <c r="AP149" s="250"/>
      <c r="AQ149" s="250"/>
      <c r="AR149" s="250"/>
      <c r="AS149" s="250"/>
      <c r="AT149" s="250"/>
      <c r="AU149" s="250"/>
      <c r="AV149" s="249"/>
      <c r="AW149" s="249"/>
      <c r="AX149" s="249"/>
      <c r="AY149" s="249"/>
      <c r="AZ149" s="249"/>
      <c r="BA149" s="249"/>
      <c r="BB149" s="249"/>
      <c r="BC149" s="249"/>
      <c r="BD149" s="249"/>
      <c r="BE149" s="249"/>
      <c r="BF149" s="249"/>
      <c r="BG149" s="249"/>
      <c r="BH149" s="249"/>
      <c r="BI149" s="249"/>
      <c r="BJ149" s="249"/>
      <c r="BK149" s="249"/>
      <c r="BL149" s="249"/>
      <c r="BM149" s="249"/>
      <c r="BN149" s="249"/>
      <c r="BO149" s="249"/>
      <c r="BP149" s="249"/>
      <c r="BQ149" s="249"/>
      <c r="BR149" s="249"/>
      <c r="BS149" s="249"/>
      <c r="BT149" s="249"/>
      <c r="BU149" s="249"/>
      <c r="BV149" s="249"/>
      <c r="BW149" s="249"/>
      <c r="BX149" s="249"/>
      <c r="BY149" s="249"/>
      <c r="BZ149" s="249"/>
      <c r="CA149" s="249"/>
      <c r="CB149" s="249"/>
      <c r="CC149" s="249"/>
      <c r="CD149" s="249"/>
      <c r="CE149" s="249"/>
      <c r="CF149" s="249"/>
      <c r="CG149" s="249"/>
      <c r="CH149" s="249"/>
      <c r="CI149" s="249"/>
      <c r="CJ149" s="249"/>
      <c r="CK149" s="249"/>
      <c r="CL149" s="249"/>
      <c r="CM149" s="249"/>
      <c r="CN149" s="249"/>
      <c r="CO149" s="249"/>
      <c r="CP149" s="249"/>
      <c r="CQ149" s="249"/>
      <c r="CR149" s="249"/>
      <c r="CS149" s="249"/>
      <c r="CT149" s="249"/>
      <c r="CU149" s="249"/>
      <c r="CV149" s="249"/>
      <c r="CW149" s="249"/>
      <c r="CX149" s="249"/>
      <c r="CY149" s="249"/>
      <c r="CZ149" s="249"/>
      <c r="DA149" s="249"/>
      <c r="DB149" s="249"/>
      <c r="DC149" s="249"/>
      <c r="DD149" s="249"/>
      <c r="DE149" s="249"/>
      <c r="DF149" s="249"/>
      <c r="DG149" s="249"/>
      <c r="DH149" s="249"/>
      <c r="DI149" s="249"/>
      <c r="DJ149" s="249"/>
      <c r="DK149" s="249"/>
      <c r="DL149" s="249"/>
      <c r="DM149" s="249"/>
      <c r="DN149" s="249"/>
      <c r="DO149" s="249"/>
      <c r="DP149" s="249"/>
      <c r="DQ149" s="249"/>
      <c r="DR149" s="249"/>
      <c r="DS149" s="249"/>
      <c r="DT149" s="249"/>
      <c r="DU149" s="249"/>
      <c r="DV149" s="249"/>
      <c r="DW149" s="249"/>
      <c r="DX149" s="249"/>
      <c r="DY149" s="249"/>
      <c r="DZ149" s="249"/>
      <c r="EA149" s="249"/>
      <c r="EB149" s="249"/>
      <c r="EC149" s="249"/>
      <c r="ED149" s="249"/>
      <c r="EE149" s="249"/>
      <c r="EF149" s="249"/>
      <c r="EG149" s="249"/>
      <c r="EH149" s="249"/>
      <c r="EI149" s="249"/>
      <c r="EJ149" s="249"/>
      <c r="EK149" s="249"/>
      <c r="EL149" s="249"/>
      <c r="EM149" s="249"/>
      <c r="EN149" s="249"/>
      <c r="EO149" s="249"/>
      <c r="EP149" s="249"/>
      <c r="EQ149" s="249"/>
      <c r="ER149" s="249"/>
      <c r="ES149" s="249"/>
      <c r="ET149" s="249"/>
      <c r="EU149" s="249"/>
      <c r="EV149" s="249"/>
      <c r="EW149" s="249"/>
      <c r="EX149" s="249"/>
      <c r="EY149" s="249"/>
      <c r="EZ149" s="249"/>
      <c r="FA149" s="249"/>
      <c r="FB149" s="249"/>
      <c r="FC149" s="249"/>
      <c r="FD149" s="249"/>
      <c r="FE149" s="249"/>
      <c r="FF149" s="249"/>
      <c r="FG149" s="249"/>
      <c r="FH149" s="249"/>
      <c r="FI149" s="249"/>
      <c r="FJ149" s="249"/>
      <c r="FK149" s="249"/>
      <c r="FL149" s="249"/>
      <c r="FM149" s="249"/>
      <c r="FN149" s="249"/>
      <c r="FO149" s="249"/>
      <c r="FP149" s="249"/>
      <c r="FQ149" s="249"/>
      <c r="FR149" s="249"/>
      <c r="FS149" s="249"/>
      <c r="FT149" s="249"/>
      <c r="FU149" s="249"/>
      <c r="FV149" s="249"/>
      <c r="FW149" s="249"/>
      <c r="FX149" s="249"/>
      <c r="FY149" s="249"/>
      <c r="FZ149" s="249"/>
      <c r="GA149" s="249"/>
      <c r="GB149" s="249"/>
      <c r="GC149" s="249"/>
      <c r="GD149" s="249"/>
      <c r="GE149" s="249"/>
      <c r="GF149" s="249"/>
      <c r="GG149" s="249"/>
      <c r="GH149" s="249"/>
      <c r="GI149" s="249"/>
      <c r="GJ149" s="249"/>
      <c r="GK149" s="249"/>
      <c r="GL149" s="249"/>
      <c r="GM149" s="249"/>
      <c r="GN149" s="249"/>
      <c r="GO149" s="249"/>
      <c r="GP149" s="249"/>
      <c r="GQ149" s="249"/>
      <c r="GR149" s="249"/>
    </row>
    <row r="150" spans="1:200" s="252" customFormat="1" ht="12.75" customHeight="1" x14ac:dyDescent="0.2">
      <c r="A150" s="729"/>
      <c r="B150" s="1130"/>
      <c r="C150" s="1130"/>
      <c r="D150" s="532"/>
      <c r="E150" s="613"/>
      <c r="F150" s="249"/>
      <c r="G150" s="250"/>
      <c r="H150" s="250"/>
      <c r="I150" s="250"/>
      <c r="J150" s="250"/>
      <c r="K150" s="250"/>
      <c r="L150" s="250"/>
      <c r="M150" s="250"/>
      <c r="N150" s="250"/>
      <c r="O150" s="250"/>
      <c r="P150" s="251"/>
      <c r="Q150" s="251"/>
      <c r="R150" s="251"/>
      <c r="S150" s="251"/>
      <c r="T150" s="251"/>
      <c r="U150" s="1919"/>
      <c r="V150" s="1920" t="s">
        <v>1122</v>
      </c>
      <c r="W150" s="1921">
        <v>754.38</v>
      </c>
      <c r="X150" s="1163"/>
      <c r="Y150" s="1163">
        <f>Y117*$W$150*FOREX</f>
        <v>0</v>
      </c>
      <c r="Z150" s="1163"/>
      <c r="AA150" s="1163">
        <f>AA117*$W$150*FOREX</f>
        <v>0</v>
      </c>
      <c r="AB150" s="1163"/>
      <c r="AC150" s="1163">
        <f>AC117*$W$150*FOREX</f>
        <v>0</v>
      </c>
      <c r="AD150" s="1163"/>
      <c r="AE150" s="1163">
        <f>AE117*$W$150*FOREX</f>
        <v>0</v>
      </c>
      <c r="AF150" s="1163"/>
      <c r="AG150" s="1163">
        <f>AG117*$W$150*FOREX</f>
        <v>0</v>
      </c>
      <c r="AH150" s="1163"/>
      <c r="AI150" s="1163">
        <f>AI117*$W$150*FOREX</f>
        <v>0</v>
      </c>
      <c r="AJ150" s="1163"/>
      <c r="AK150" s="1163">
        <f>AK117*$W$150*FOREX</f>
        <v>0</v>
      </c>
      <c r="AL150" s="1163"/>
      <c r="AM150" s="1438">
        <f t="shared" si="54"/>
        <v>0</v>
      </c>
      <c r="AN150" s="254"/>
      <c r="AO150" s="249"/>
      <c r="AP150" s="250"/>
      <c r="AQ150" s="250"/>
      <c r="AR150" s="250"/>
      <c r="AS150" s="250"/>
      <c r="AT150" s="250"/>
      <c r="AU150" s="250"/>
      <c r="AV150" s="249"/>
      <c r="AW150" s="249"/>
      <c r="AX150" s="249"/>
      <c r="AY150" s="249"/>
      <c r="AZ150" s="249"/>
      <c r="BA150" s="249"/>
      <c r="BB150" s="249"/>
      <c r="BC150" s="249"/>
      <c r="BD150" s="249"/>
      <c r="BE150" s="249"/>
      <c r="BF150" s="249"/>
      <c r="BG150" s="249"/>
      <c r="BH150" s="249"/>
      <c r="BI150" s="249"/>
      <c r="BJ150" s="249"/>
      <c r="BK150" s="249"/>
      <c r="BL150" s="249"/>
      <c r="BM150" s="249"/>
      <c r="BN150" s="249"/>
      <c r="BO150" s="249"/>
      <c r="BP150" s="249"/>
      <c r="BQ150" s="249"/>
      <c r="BR150" s="249"/>
      <c r="BS150" s="249"/>
      <c r="BT150" s="249"/>
      <c r="BU150" s="249"/>
      <c r="BV150" s="249"/>
      <c r="BW150" s="249"/>
      <c r="BX150" s="249"/>
      <c r="BY150" s="249"/>
      <c r="BZ150" s="249"/>
      <c r="CA150" s="249"/>
      <c r="CB150" s="249"/>
      <c r="CC150" s="249"/>
      <c r="CD150" s="249"/>
      <c r="CE150" s="249"/>
      <c r="CF150" s="249"/>
      <c r="CG150" s="249"/>
      <c r="CH150" s="249"/>
      <c r="CI150" s="249"/>
      <c r="CJ150" s="249"/>
      <c r="CK150" s="249"/>
      <c r="CL150" s="249"/>
      <c r="CM150" s="249"/>
      <c r="CN150" s="249"/>
      <c r="CO150" s="249"/>
      <c r="CP150" s="249"/>
      <c r="CQ150" s="249"/>
      <c r="CR150" s="249"/>
      <c r="CS150" s="249"/>
      <c r="CT150" s="249"/>
      <c r="CU150" s="249"/>
      <c r="CV150" s="249"/>
      <c r="CW150" s="249"/>
      <c r="CX150" s="249"/>
      <c r="CY150" s="249"/>
      <c r="CZ150" s="249"/>
      <c r="DA150" s="249"/>
      <c r="DB150" s="249"/>
      <c r="DC150" s="249"/>
      <c r="DD150" s="249"/>
      <c r="DE150" s="249"/>
      <c r="DF150" s="249"/>
      <c r="DG150" s="249"/>
      <c r="DH150" s="249"/>
      <c r="DI150" s="249"/>
      <c r="DJ150" s="249"/>
      <c r="DK150" s="249"/>
      <c r="DL150" s="249"/>
      <c r="DM150" s="249"/>
      <c r="DN150" s="249"/>
      <c r="DO150" s="249"/>
      <c r="DP150" s="249"/>
      <c r="DQ150" s="249"/>
      <c r="DR150" s="249"/>
      <c r="DS150" s="249"/>
      <c r="DT150" s="249"/>
      <c r="DU150" s="249"/>
      <c r="DV150" s="249"/>
      <c r="DW150" s="249"/>
      <c r="DX150" s="249"/>
      <c r="DY150" s="249"/>
      <c r="DZ150" s="249"/>
      <c r="EA150" s="249"/>
      <c r="EB150" s="249"/>
      <c r="EC150" s="249"/>
      <c r="ED150" s="249"/>
      <c r="EE150" s="249"/>
      <c r="EF150" s="249"/>
      <c r="EG150" s="249"/>
      <c r="EH150" s="249"/>
      <c r="EI150" s="249"/>
      <c r="EJ150" s="249"/>
      <c r="EK150" s="249"/>
      <c r="EL150" s="249"/>
      <c r="EM150" s="249"/>
      <c r="EN150" s="249"/>
      <c r="EO150" s="249"/>
      <c r="EP150" s="249"/>
      <c r="EQ150" s="249"/>
      <c r="ER150" s="249"/>
      <c r="ES150" s="249"/>
      <c r="ET150" s="249"/>
      <c r="EU150" s="249"/>
      <c r="EV150" s="249"/>
      <c r="EW150" s="249"/>
      <c r="EX150" s="249"/>
      <c r="EY150" s="249"/>
      <c r="EZ150" s="249"/>
      <c r="FA150" s="249"/>
      <c r="FB150" s="249"/>
      <c r="FC150" s="249"/>
      <c r="FD150" s="249"/>
      <c r="FE150" s="249"/>
      <c r="FF150" s="249"/>
      <c r="FG150" s="249"/>
      <c r="FH150" s="249"/>
      <c r="FI150" s="249"/>
      <c r="FJ150" s="249"/>
      <c r="FK150" s="249"/>
      <c r="FL150" s="249"/>
      <c r="FM150" s="249"/>
      <c r="FN150" s="249"/>
      <c r="FO150" s="249"/>
      <c r="FP150" s="249"/>
      <c r="FQ150" s="249"/>
      <c r="FR150" s="249"/>
      <c r="FS150" s="249"/>
      <c r="FT150" s="249"/>
      <c r="FU150" s="249"/>
      <c r="FV150" s="249"/>
      <c r="FW150" s="249"/>
      <c r="FX150" s="249"/>
      <c r="FY150" s="249"/>
      <c r="FZ150" s="249"/>
      <c r="GA150" s="249"/>
      <c r="GB150" s="249"/>
      <c r="GC150" s="249"/>
      <c r="GD150" s="249"/>
      <c r="GE150" s="249"/>
      <c r="GF150" s="249"/>
      <c r="GG150" s="249"/>
      <c r="GH150" s="249"/>
      <c r="GI150" s="249"/>
      <c r="GJ150" s="249"/>
      <c r="GK150" s="249"/>
      <c r="GL150" s="249"/>
      <c r="GM150" s="249"/>
      <c r="GN150" s="249"/>
      <c r="GO150" s="249"/>
      <c r="GP150" s="249"/>
      <c r="GQ150" s="249"/>
      <c r="GR150" s="249"/>
    </row>
    <row r="151" spans="1:200" s="252" customFormat="1" ht="12.75" customHeight="1" x14ac:dyDescent="0.2">
      <c r="A151" s="729"/>
      <c r="B151" s="1130"/>
      <c r="C151" s="1130"/>
      <c r="D151" s="532"/>
      <c r="E151" s="613"/>
      <c r="F151" s="249"/>
      <c r="G151" s="250"/>
      <c r="H151" s="250"/>
      <c r="I151" s="250"/>
      <c r="J151" s="250"/>
      <c r="K151" s="250"/>
      <c r="L151" s="250"/>
      <c r="M151" s="250"/>
      <c r="N151" s="250"/>
      <c r="O151" s="250"/>
      <c r="P151" s="251"/>
      <c r="Q151" s="251"/>
      <c r="R151" s="251"/>
      <c r="S151" s="251"/>
      <c r="T151" s="251"/>
      <c r="U151" s="1919"/>
      <c r="V151" s="1920" t="s">
        <v>1257</v>
      </c>
      <c r="W151" s="1921">
        <v>781.35</v>
      </c>
      <c r="X151" s="1163"/>
      <c r="Y151" s="1163">
        <f>Y118*$W$151*FOREX</f>
        <v>0</v>
      </c>
      <c r="Z151" s="1163"/>
      <c r="AA151" s="1163">
        <f>AA118*$W$151*FOREX</f>
        <v>0</v>
      </c>
      <c r="AB151" s="1163"/>
      <c r="AC151" s="1163">
        <f>AC118*$W$151*FOREX</f>
        <v>0</v>
      </c>
      <c r="AD151" s="1163"/>
      <c r="AE151" s="1163">
        <f>AE118*$W$151*FOREX</f>
        <v>0</v>
      </c>
      <c r="AF151" s="1163"/>
      <c r="AG151" s="1163">
        <f>AG118*$W$151*FOREX</f>
        <v>0</v>
      </c>
      <c r="AH151" s="1163"/>
      <c r="AI151" s="1163">
        <f>AI118*$W$151*FOREX</f>
        <v>0</v>
      </c>
      <c r="AJ151" s="1163"/>
      <c r="AK151" s="1163">
        <f>AK118*$W$151*FOREX</f>
        <v>0</v>
      </c>
      <c r="AL151" s="1163"/>
      <c r="AM151" s="1438">
        <f t="shared" si="54"/>
        <v>0</v>
      </c>
      <c r="AN151" s="254"/>
      <c r="AO151" s="249"/>
      <c r="AP151" s="250"/>
      <c r="AQ151" s="250"/>
      <c r="AR151" s="250"/>
      <c r="AS151" s="250"/>
      <c r="AT151" s="250"/>
      <c r="AU151" s="250"/>
      <c r="AV151" s="249"/>
      <c r="AW151" s="249"/>
      <c r="AX151" s="249"/>
      <c r="AY151" s="249"/>
      <c r="AZ151" s="249"/>
      <c r="BA151" s="249"/>
      <c r="BB151" s="249"/>
      <c r="BC151" s="249"/>
      <c r="BD151" s="249"/>
      <c r="BE151" s="249"/>
      <c r="BF151" s="249"/>
      <c r="BG151" s="249"/>
      <c r="BH151" s="249"/>
      <c r="BI151" s="249"/>
      <c r="BJ151" s="249"/>
      <c r="BK151" s="249"/>
      <c r="BL151" s="249"/>
      <c r="BM151" s="249"/>
      <c r="BN151" s="249"/>
      <c r="BO151" s="249"/>
      <c r="BP151" s="249"/>
      <c r="BQ151" s="249"/>
      <c r="BR151" s="249"/>
      <c r="BS151" s="249"/>
      <c r="BT151" s="249"/>
      <c r="BU151" s="249"/>
      <c r="BV151" s="249"/>
      <c r="BW151" s="249"/>
      <c r="BX151" s="249"/>
      <c r="BY151" s="249"/>
      <c r="BZ151" s="249"/>
      <c r="CA151" s="249"/>
      <c r="CB151" s="249"/>
      <c r="CC151" s="249"/>
      <c r="CD151" s="249"/>
      <c r="CE151" s="249"/>
      <c r="CF151" s="249"/>
      <c r="CG151" s="249"/>
      <c r="CH151" s="249"/>
      <c r="CI151" s="249"/>
      <c r="CJ151" s="249"/>
      <c r="CK151" s="249"/>
      <c r="CL151" s="249"/>
      <c r="CM151" s="249"/>
      <c r="CN151" s="249"/>
      <c r="CO151" s="249"/>
      <c r="CP151" s="249"/>
      <c r="CQ151" s="249"/>
      <c r="CR151" s="249"/>
      <c r="CS151" s="249"/>
      <c r="CT151" s="249"/>
      <c r="CU151" s="249"/>
      <c r="CV151" s="249"/>
      <c r="CW151" s="249"/>
      <c r="CX151" s="249"/>
      <c r="CY151" s="249"/>
      <c r="CZ151" s="249"/>
      <c r="DA151" s="249"/>
      <c r="DB151" s="249"/>
      <c r="DC151" s="249"/>
      <c r="DD151" s="249"/>
      <c r="DE151" s="249"/>
      <c r="DF151" s="249"/>
      <c r="DG151" s="249"/>
      <c r="DH151" s="249"/>
      <c r="DI151" s="249"/>
      <c r="DJ151" s="249"/>
      <c r="DK151" s="249"/>
      <c r="DL151" s="249"/>
      <c r="DM151" s="249"/>
      <c r="DN151" s="249"/>
      <c r="DO151" s="249"/>
      <c r="DP151" s="249"/>
      <c r="DQ151" s="249"/>
      <c r="DR151" s="249"/>
      <c r="DS151" s="249"/>
      <c r="DT151" s="249"/>
      <c r="DU151" s="249"/>
      <c r="DV151" s="249"/>
      <c r="DW151" s="249"/>
      <c r="DX151" s="249"/>
      <c r="DY151" s="249"/>
      <c r="DZ151" s="249"/>
      <c r="EA151" s="249"/>
      <c r="EB151" s="249"/>
      <c r="EC151" s="249"/>
      <c r="ED151" s="249"/>
      <c r="EE151" s="249"/>
      <c r="EF151" s="249"/>
      <c r="EG151" s="249"/>
      <c r="EH151" s="249"/>
      <c r="EI151" s="249"/>
      <c r="EJ151" s="249"/>
      <c r="EK151" s="249"/>
      <c r="EL151" s="249"/>
      <c r="EM151" s="249"/>
      <c r="EN151" s="249"/>
      <c r="EO151" s="249"/>
      <c r="EP151" s="249"/>
      <c r="EQ151" s="249"/>
      <c r="ER151" s="249"/>
      <c r="ES151" s="249"/>
      <c r="ET151" s="249"/>
      <c r="EU151" s="249"/>
      <c r="EV151" s="249"/>
      <c r="EW151" s="249"/>
      <c r="EX151" s="249"/>
      <c r="EY151" s="249"/>
      <c r="EZ151" s="249"/>
      <c r="FA151" s="249"/>
      <c r="FB151" s="249"/>
      <c r="FC151" s="249"/>
      <c r="FD151" s="249"/>
      <c r="FE151" s="249"/>
      <c r="FF151" s="249"/>
      <c r="FG151" s="249"/>
      <c r="FH151" s="249"/>
      <c r="FI151" s="249"/>
      <c r="FJ151" s="249"/>
      <c r="FK151" s="249"/>
      <c r="FL151" s="249"/>
      <c r="FM151" s="249"/>
      <c r="FN151" s="249"/>
      <c r="FO151" s="249"/>
      <c r="FP151" s="249"/>
      <c r="FQ151" s="249"/>
      <c r="FR151" s="249"/>
      <c r="FS151" s="249"/>
      <c r="FT151" s="249"/>
      <c r="FU151" s="249"/>
      <c r="FV151" s="249"/>
      <c r="FW151" s="249"/>
      <c r="FX151" s="249"/>
      <c r="FY151" s="249"/>
      <c r="FZ151" s="249"/>
      <c r="GA151" s="249"/>
      <c r="GB151" s="249"/>
      <c r="GC151" s="249"/>
      <c r="GD151" s="249"/>
      <c r="GE151" s="249"/>
      <c r="GF151" s="249"/>
      <c r="GG151" s="249"/>
      <c r="GH151" s="249"/>
      <c r="GI151" s="249"/>
      <c r="GJ151" s="249"/>
      <c r="GK151" s="249"/>
      <c r="GL151" s="249"/>
      <c r="GM151" s="249"/>
      <c r="GN151" s="249"/>
      <c r="GO151" s="249"/>
      <c r="GP151" s="249"/>
      <c r="GQ151" s="249"/>
      <c r="GR151" s="249"/>
    </row>
    <row r="152" spans="1:200" s="252" customFormat="1" ht="12.75" customHeight="1" x14ac:dyDescent="0.2">
      <c r="A152" s="729"/>
      <c r="B152" s="1130"/>
      <c r="C152" s="1130"/>
      <c r="D152" s="532"/>
      <c r="E152" s="613"/>
      <c r="F152" s="249"/>
      <c r="G152" s="250"/>
      <c r="H152" s="250"/>
      <c r="I152" s="250"/>
      <c r="J152" s="250"/>
      <c r="K152" s="250"/>
      <c r="L152" s="250"/>
      <c r="M152" s="250"/>
      <c r="N152" s="250"/>
      <c r="O152" s="250"/>
      <c r="P152" s="251"/>
      <c r="Q152" s="251"/>
      <c r="R152" s="251"/>
      <c r="S152" s="251"/>
      <c r="T152" s="251"/>
      <c r="U152" s="1919"/>
      <c r="V152" s="1920" t="s">
        <v>1258</v>
      </c>
      <c r="W152" s="1921">
        <v>73.680000000000007</v>
      </c>
      <c r="X152" s="1163"/>
      <c r="Y152" s="1163">
        <f>Y119*$W$152*FOREX</f>
        <v>0</v>
      </c>
      <c r="Z152" s="1163"/>
      <c r="AA152" s="1163">
        <f>AA119*$W$152*FOREX</f>
        <v>139034.16</v>
      </c>
      <c r="AB152" s="1163"/>
      <c r="AC152" s="1163">
        <f>AC119*$W$152*FOREX</f>
        <v>146549.52000000002</v>
      </c>
      <c r="AD152" s="1163"/>
      <c r="AE152" s="1163">
        <f>AE119*$W$152*FOREX</f>
        <v>48849.840000000011</v>
      </c>
      <c r="AF152" s="1163"/>
      <c r="AG152" s="1163">
        <f>AG119*$W$152*FOREX</f>
        <v>0</v>
      </c>
      <c r="AH152" s="1163"/>
      <c r="AI152" s="1163">
        <f>AI119*$W$152*FOREX</f>
        <v>0</v>
      </c>
      <c r="AJ152" s="1163"/>
      <c r="AK152" s="1163">
        <f>AK119*$W$152*FOREX</f>
        <v>0</v>
      </c>
      <c r="AL152" s="1163"/>
      <c r="AM152" s="1438">
        <f t="shared" si="54"/>
        <v>334433.52000000008</v>
      </c>
      <c r="AN152" s="254"/>
      <c r="AO152" s="249"/>
      <c r="AP152" s="250"/>
      <c r="AQ152" s="250"/>
      <c r="AR152" s="250"/>
      <c r="AS152" s="250"/>
      <c r="AT152" s="250"/>
      <c r="AU152" s="250"/>
      <c r="AV152" s="249"/>
      <c r="AW152" s="249"/>
      <c r="AX152" s="249"/>
      <c r="AY152" s="249"/>
      <c r="AZ152" s="249"/>
      <c r="BA152" s="249"/>
      <c r="BB152" s="249"/>
      <c r="BC152" s="249"/>
      <c r="BD152" s="249"/>
      <c r="BE152" s="249"/>
      <c r="BF152" s="249"/>
      <c r="BG152" s="249"/>
      <c r="BH152" s="249"/>
      <c r="BI152" s="249"/>
      <c r="BJ152" s="249"/>
      <c r="BK152" s="249"/>
      <c r="BL152" s="249"/>
      <c r="BM152" s="249"/>
      <c r="BN152" s="249"/>
      <c r="BO152" s="249"/>
      <c r="BP152" s="249"/>
      <c r="BQ152" s="249"/>
      <c r="BR152" s="249"/>
      <c r="BS152" s="249"/>
      <c r="BT152" s="249"/>
      <c r="BU152" s="249"/>
      <c r="BV152" s="249"/>
      <c r="BW152" s="249"/>
      <c r="BX152" s="249"/>
      <c r="BY152" s="249"/>
      <c r="BZ152" s="249"/>
      <c r="CA152" s="249"/>
      <c r="CB152" s="249"/>
      <c r="CC152" s="249"/>
      <c r="CD152" s="249"/>
      <c r="CE152" s="249"/>
      <c r="CF152" s="249"/>
      <c r="CG152" s="249"/>
      <c r="CH152" s="249"/>
      <c r="CI152" s="249"/>
      <c r="CJ152" s="249"/>
      <c r="CK152" s="249"/>
      <c r="CL152" s="249"/>
      <c r="CM152" s="249"/>
      <c r="CN152" s="249"/>
      <c r="CO152" s="249"/>
      <c r="CP152" s="249"/>
      <c r="CQ152" s="249"/>
      <c r="CR152" s="249"/>
      <c r="CS152" s="249"/>
      <c r="CT152" s="249"/>
      <c r="CU152" s="249"/>
      <c r="CV152" s="249"/>
      <c r="CW152" s="249"/>
      <c r="CX152" s="249"/>
      <c r="CY152" s="249"/>
      <c r="CZ152" s="249"/>
      <c r="DA152" s="249"/>
      <c r="DB152" s="249"/>
      <c r="DC152" s="249"/>
      <c r="DD152" s="249"/>
      <c r="DE152" s="249"/>
      <c r="DF152" s="249"/>
      <c r="DG152" s="249"/>
      <c r="DH152" s="249"/>
      <c r="DI152" s="249"/>
      <c r="DJ152" s="249"/>
      <c r="DK152" s="249"/>
      <c r="DL152" s="249"/>
      <c r="DM152" s="249"/>
      <c r="DN152" s="249"/>
      <c r="DO152" s="249"/>
      <c r="DP152" s="249"/>
      <c r="DQ152" s="249"/>
      <c r="DR152" s="249"/>
      <c r="DS152" s="249"/>
      <c r="DT152" s="249"/>
      <c r="DU152" s="249"/>
      <c r="DV152" s="249"/>
      <c r="DW152" s="249"/>
      <c r="DX152" s="249"/>
      <c r="DY152" s="249"/>
      <c r="DZ152" s="249"/>
      <c r="EA152" s="249"/>
      <c r="EB152" s="249"/>
      <c r="EC152" s="249"/>
      <c r="ED152" s="249"/>
      <c r="EE152" s="249"/>
      <c r="EF152" s="249"/>
      <c r="EG152" s="249"/>
      <c r="EH152" s="249"/>
      <c r="EI152" s="249"/>
      <c r="EJ152" s="249"/>
      <c r="EK152" s="249"/>
      <c r="EL152" s="249"/>
      <c r="EM152" s="249"/>
      <c r="EN152" s="249"/>
      <c r="EO152" s="249"/>
      <c r="EP152" s="249"/>
      <c r="EQ152" s="249"/>
      <c r="ER152" s="249"/>
      <c r="ES152" s="249"/>
      <c r="ET152" s="249"/>
      <c r="EU152" s="249"/>
      <c r="EV152" s="249"/>
      <c r="EW152" s="249"/>
      <c r="EX152" s="249"/>
      <c r="EY152" s="249"/>
      <c r="EZ152" s="249"/>
      <c r="FA152" s="249"/>
      <c r="FB152" s="249"/>
      <c r="FC152" s="249"/>
      <c r="FD152" s="249"/>
      <c r="FE152" s="249"/>
      <c r="FF152" s="249"/>
      <c r="FG152" s="249"/>
      <c r="FH152" s="249"/>
      <c r="FI152" s="249"/>
      <c r="FJ152" s="249"/>
      <c r="FK152" s="249"/>
      <c r="FL152" s="249"/>
      <c r="FM152" s="249"/>
      <c r="FN152" s="249"/>
      <c r="FO152" s="249"/>
      <c r="FP152" s="249"/>
      <c r="FQ152" s="249"/>
      <c r="FR152" s="249"/>
      <c r="FS152" s="249"/>
      <c r="FT152" s="249"/>
      <c r="FU152" s="249"/>
      <c r="FV152" s="249"/>
      <c r="FW152" s="249"/>
      <c r="FX152" s="249"/>
      <c r="FY152" s="249"/>
      <c r="FZ152" s="249"/>
      <c r="GA152" s="249"/>
      <c r="GB152" s="249"/>
      <c r="GC152" s="249"/>
      <c r="GD152" s="249"/>
      <c r="GE152" s="249"/>
      <c r="GF152" s="249"/>
      <c r="GG152" s="249"/>
      <c r="GH152" s="249"/>
      <c r="GI152" s="249"/>
      <c r="GJ152" s="249"/>
      <c r="GK152" s="249"/>
      <c r="GL152" s="249"/>
      <c r="GM152" s="249"/>
      <c r="GN152" s="249"/>
      <c r="GO152" s="249"/>
      <c r="GP152" s="249"/>
      <c r="GQ152" s="249"/>
      <c r="GR152" s="249"/>
    </row>
    <row r="153" spans="1:200" s="252" customFormat="1" ht="12.75" customHeight="1" x14ac:dyDescent="0.2">
      <c r="A153" s="729"/>
      <c r="B153" s="1130"/>
      <c r="C153" s="1130"/>
      <c r="D153" s="532"/>
      <c r="E153" s="613"/>
      <c r="F153" s="249"/>
      <c r="G153" s="250"/>
      <c r="H153" s="250"/>
      <c r="I153" s="250"/>
      <c r="J153" s="250"/>
      <c r="K153" s="250"/>
      <c r="L153" s="250"/>
      <c r="M153" s="250"/>
      <c r="N153" s="250"/>
      <c r="O153" s="250"/>
      <c r="P153" s="251"/>
      <c r="Q153" s="251"/>
      <c r="R153" s="251"/>
      <c r="S153" s="251"/>
      <c r="T153" s="251"/>
      <c r="U153" s="1919"/>
      <c r="V153" s="1920" t="s">
        <v>154</v>
      </c>
      <c r="W153" s="1921">
        <v>85</v>
      </c>
      <c r="X153" s="1163"/>
      <c r="Y153" s="1163">
        <f>Y120*$W$153*FOREX</f>
        <v>0</v>
      </c>
      <c r="Z153" s="1163"/>
      <c r="AA153" s="1163">
        <f>AA120*$W$153*FOREX</f>
        <v>0</v>
      </c>
      <c r="AB153" s="1163"/>
      <c r="AC153" s="1163">
        <f>AC120*$W$153*FOREX</f>
        <v>0</v>
      </c>
      <c r="AD153" s="1163"/>
      <c r="AE153" s="1163">
        <f>AE120*$W$153*FOREX</f>
        <v>99705</v>
      </c>
      <c r="AF153" s="1163"/>
      <c r="AG153" s="1163">
        <f>AG120*$W$153*FOREX</f>
        <v>91035</v>
      </c>
      <c r="AH153" s="1163"/>
      <c r="AI153" s="1163">
        <f>AI120*$W$153*FOREX</f>
        <v>0</v>
      </c>
      <c r="AJ153" s="1163"/>
      <c r="AK153" s="1163">
        <f>AK120*$W$153*FOREX</f>
        <v>0</v>
      </c>
      <c r="AL153" s="1163"/>
      <c r="AM153" s="1438">
        <f t="shared" si="54"/>
        <v>190740</v>
      </c>
      <c r="AN153" s="254"/>
      <c r="AO153" s="249"/>
      <c r="AP153" s="250"/>
      <c r="AQ153" s="250"/>
      <c r="AR153" s="250"/>
      <c r="AS153" s="250"/>
      <c r="AT153" s="250"/>
      <c r="AU153" s="250"/>
      <c r="AV153" s="249"/>
      <c r="AW153" s="249"/>
      <c r="AX153" s="249"/>
      <c r="AY153" s="249"/>
      <c r="AZ153" s="249"/>
      <c r="BA153" s="249"/>
      <c r="BB153" s="249"/>
      <c r="BC153" s="249"/>
      <c r="BD153" s="249"/>
      <c r="BE153" s="249"/>
      <c r="BF153" s="249"/>
      <c r="BG153" s="249"/>
      <c r="BH153" s="249"/>
      <c r="BI153" s="249"/>
      <c r="BJ153" s="249"/>
      <c r="BK153" s="249"/>
      <c r="BL153" s="249"/>
      <c r="BM153" s="249"/>
      <c r="BN153" s="249"/>
      <c r="BO153" s="249"/>
      <c r="BP153" s="249"/>
      <c r="BQ153" s="249"/>
      <c r="BR153" s="249"/>
      <c r="BS153" s="249"/>
      <c r="BT153" s="249"/>
      <c r="BU153" s="249"/>
      <c r="BV153" s="249"/>
      <c r="BW153" s="249"/>
      <c r="BX153" s="249"/>
      <c r="BY153" s="249"/>
      <c r="BZ153" s="249"/>
      <c r="CA153" s="249"/>
      <c r="CB153" s="249"/>
      <c r="CC153" s="249"/>
      <c r="CD153" s="249"/>
      <c r="CE153" s="249"/>
      <c r="CF153" s="249"/>
      <c r="CG153" s="249"/>
      <c r="CH153" s="249"/>
      <c r="CI153" s="249"/>
      <c r="CJ153" s="249"/>
      <c r="CK153" s="249"/>
      <c r="CL153" s="249"/>
      <c r="CM153" s="249"/>
      <c r="CN153" s="249"/>
      <c r="CO153" s="249"/>
      <c r="CP153" s="249"/>
      <c r="CQ153" s="249"/>
      <c r="CR153" s="249"/>
      <c r="CS153" s="249"/>
      <c r="CT153" s="249"/>
      <c r="CU153" s="249"/>
      <c r="CV153" s="249"/>
      <c r="CW153" s="249"/>
      <c r="CX153" s="249"/>
      <c r="CY153" s="249"/>
      <c r="CZ153" s="249"/>
      <c r="DA153" s="249"/>
      <c r="DB153" s="249"/>
      <c r="DC153" s="249"/>
      <c r="DD153" s="249"/>
      <c r="DE153" s="249"/>
      <c r="DF153" s="249"/>
      <c r="DG153" s="249"/>
      <c r="DH153" s="249"/>
      <c r="DI153" s="249"/>
      <c r="DJ153" s="249"/>
      <c r="DK153" s="249"/>
      <c r="DL153" s="249"/>
      <c r="DM153" s="249"/>
      <c r="DN153" s="249"/>
      <c r="DO153" s="249"/>
      <c r="DP153" s="249"/>
      <c r="DQ153" s="249"/>
      <c r="DR153" s="249"/>
      <c r="DS153" s="249"/>
      <c r="DT153" s="249"/>
      <c r="DU153" s="249"/>
      <c r="DV153" s="249"/>
      <c r="DW153" s="249"/>
      <c r="DX153" s="249"/>
      <c r="DY153" s="249"/>
      <c r="DZ153" s="249"/>
      <c r="EA153" s="249"/>
      <c r="EB153" s="249"/>
      <c r="EC153" s="249"/>
      <c r="ED153" s="249"/>
      <c r="EE153" s="249"/>
      <c r="EF153" s="249"/>
      <c r="EG153" s="249"/>
      <c r="EH153" s="249"/>
      <c r="EI153" s="249"/>
      <c r="EJ153" s="249"/>
      <c r="EK153" s="249"/>
      <c r="EL153" s="249"/>
      <c r="EM153" s="249"/>
      <c r="EN153" s="249"/>
      <c r="EO153" s="249"/>
      <c r="EP153" s="249"/>
      <c r="EQ153" s="249"/>
      <c r="ER153" s="249"/>
      <c r="ES153" s="249"/>
      <c r="ET153" s="249"/>
      <c r="EU153" s="249"/>
      <c r="EV153" s="249"/>
      <c r="EW153" s="249"/>
      <c r="EX153" s="249"/>
      <c r="EY153" s="249"/>
      <c r="EZ153" s="249"/>
      <c r="FA153" s="249"/>
      <c r="FB153" s="249"/>
      <c r="FC153" s="249"/>
      <c r="FD153" s="249"/>
      <c r="FE153" s="249"/>
      <c r="FF153" s="249"/>
      <c r="FG153" s="249"/>
      <c r="FH153" s="249"/>
      <c r="FI153" s="249"/>
      <c r="FJ153" s="249"/>
      <c r="FK153" s="249"/>
      <c r="FL153" s="249"/>
      <c r="FM153" s="249"/>
      <c r="FN153" s="249"/>
      <c r="FO153" s="249"/>
      <c r="FP153" s="249"/>
      <c r="FQ153" s="249"/>
      <c r="FR153" s="249"/>
      <c r="FS153" s="249"/>
      <c r="FT153" s="249"/>
      <c r="FU153" s="249"/>
      <c r="FV153" s="249"/>
      <c r="FW153" s="249"/>
      <c r="FX153" s="249"/>
      <c r="FY153" s="249"/>
      <c r="FZ153" s="249"/>
      <c r="GA153" s="249"/>
      <c r="GB153" s="249"/>
      <c r="GC153" s="249"/>
      <c r="GD153" s="249"/>
      <c r="GE153" s="249"/>
      <c r="GF153" s="249"/>
      <c r="GG153" s="249"/>
      <c r="GH153" s="249"/>
      <c r="GI153" s="249"/>
      <c r="GJ153" s="249"/>
      <c r="GK153" s="249"/>
      <c r="GL153" s="249"/>
      <c r="GM153" s="249"/>
      <c r="GN153" s="249"/>
      <c r="GO153" s="249"/>
      <c r="GP153" s="249"/>
      <c r="GQ153" s="249"/>
      <c r="GR153" s="249"/>
    </row>
    <row r="154" spans="1:200" s="252" customFormat="1" ht="12.75" customHeight="1" x14ac:dyDescent="0.2">
      <c r="A154" s="729"/>
      <c r="B154" s="1130"/>
      <c r="C154" s="1130"/>
      <c r="D154" s="532"/>
      <c r="E154" s="613"/>
      <c r="F154" s="249"/>
      <c r="G154" s="250"/>
      <c r="H154" s="250"/>
      <c r="I154" s="250"/>
      <c r="J154" s="250"/>
      <c r="K154" s="250"/>
      <c r="L154" s="250"/>
      <c r="M154" s="250"/>
      <c r="N154" s="250"/>
      <c r="O154" s="250"/>
      <c r="P154" s="251"/>
      <c r="Q154" s="251"/>
      <c r="R154" s="251"/>
      <c r="S154" s="251"/>
      <c r="T154" s="251"/>
      <c r="U154" s="1919"/>
      <c r="V154" s="1920" t="s">
        <v>155</v>
      </c>
      <c r="W154" s="1921">
        <v>41.96</v>
      </c>
      <c r="X154" s="1163"/>
      <c r="Y154" s="1163">
        <f>Y121*$W$154*FOREX</f>
        <v>0</v>
      </c>
      <c r="Z154" s="1163"/>
      <c r="AA154" s="1163">
        <f>AA121*$W$154*FOREX</f>
        <v>0</v>
      </c>
      <c r="AB154" s="1163"/>
      <c r="AC154" s="1163">
        <f>AC121*$W$154*FOREX</f>
        <v>0</v>
      </c>
      <c r="AD154" s="1163"/>
      <c r="AE154" s="1163">
        <f>AE121*$W$154*FOREX</f>
        <v>0</v>
      </c>
      <c r="AF154" s="1163"/>
      <c r="AG154" s="1163">
        <f>AG121*$W$154*FOREX</f>
        <v>0</v>
      </c>
      <c r="AH154" s="1163"/>
      <c r="AI154" s="1163">
        <f>AI121*$W$154*FOREX</f>
        <v>0</v>
      </c>
      <c r="AJ154" s="1163"/>
      <c r="AK154" s="1163">
        <f>AK121*$W$154*FOREX</f>
        <v>0</v>
      </c>
      <c r="AL154" s="1163"/>
      <c r="AM154" s="1438">
        <f t="shared" si="54"/>
        <v>0</v>
      </c>
      <c r="AN154" s="254"/>
      <c r="AO154" s="249"/>
      <c r="AP154" s="250"/>
      <c r="AQ154" s="250"/>
      <c r="AR154" s="250"/>
      <c r="AS154" s="250"/>
      <c r="AT154" s="250"/>
      <c r="AU154" s="250"/>
      <c r="AV154" s="249"/>
      <c r="AW154" s="249"/>
      <c r="AX154" s="249"/>
      <c r="AY154" s="249"/>
      <c r="AZ154" s="249"/>
      <c r="BA154" s="249"/>
      <c r="BB154" s="249"/>
      <c r="BC154" s="249"/>
      <c r="BD154" s="249"/>
      <c r="BE154" s="249"/>
      <c r="BF154" s="249"/>
      <c r="BG154" s="249"/>
      <c r="BH154" s="249"/>
      <c r="BI154" s="249"/>
      <c r="BJ154" s="249"/>
      <c r="BK154" s="249"/>
      <c r="BL154" s="249"/>
      <c r="BM154" s="249"/>
      <c r="BN154" s="249"/>
      <c r="BO154" s="249"/>
      <c r="BP154" s="249"/>
      <c r="BQ154" s="249"/>
      <c r="BR154" s="249"/>
      <c r="BS154" s="249"/>
      <c r="BT154" s="249"/>
      <c r="BU154" s="249"/>
      <c r="BV154" s="249"/>
      <c r="BW154" s="249"/>
      <c r="BX154" s="249"/>
      <c r="BY154" s="249"/>
      <c r="BZ154" s="249"/>
      <c r="CA154" s="249"/>
      <c r="CB154" s="249"/>
      <c r="CC154" s="249"/>
      <c r="CD154" s="249"/>
      <c r="CE154" s="249"/>
      <c r="CF154" s="249"/>
      <c r="CG154" s="249"/>
      <c r="CH154" s="249"/>
      <c r="CI154" s="249"/>
      <c r="CJ154" s="249"/>
      <c r="CK154" s="249"/>
      <c r="CL154" s="249"/>
      <c r="CM154" s="249"/>
      <c r="CN154" s="249"/>
      <c r="CO154" s="249"/>
      <c r="CP154" s="249"/>
      <c r="CQ154" s="249"/>
      <c r="CR154" s="249"/>
      <c r="CS154" s="249"/>
      <c r="CT154" s="249"/>
      <c r="CU154" s="249"/>
      <c r="CV154" s="249"/>
      <c r="CW154" s="249"/>
      <c r="CX154" s="249"/>
      <c r="CY154" s="249"/>
      <c r="CZ154" s="249"/>
      <c r="DA154" s="249"/>
      <c r="DB154" s="249"/>
      <c r="DC154" s="249"/>
      <c r="DD154" s="249"/>
      <c r="DE154" s="249"/>
      <c r="DF154" s="249"/>
      <c r="DG154" s="249"/>
      <c r="DH154" s="249"/>
      <c r="DI154" s="249"/>
      <c r="DJ154" s="249"/>
      <c r="DK154" s="249"/>
      <c r="DL154" s="249"/>
      <c r="DM154" s="249"/>
      <c r="DN154" s="249"/>
      <c r="DO154" s="249"/>
      <c r="DP154" s="249"/>
      <c r="DQ154" s="249"/>
      <c r="DR154" s="249"/>
      <c r="DS154" s="249"/>
      <c r="DT154" s="249"/>
      <c r="DU154" s="249"/>
      <c r="DV154" s="249"/>
      <c r="DW154" s="249"/>
      <c r="DX154" s="249"/>
      <c r="DY154" s="249"/>
      <c r="DZ154" s="249"/>
      <c r="EA154" s="249"/>
      <c r="EB154" s="249"/>
      <c r="EC154" s="249"/>
      <c r="ED154" s="249"/>
      <c r="EE154" s="249"/>
      <c r="EF154" s="249"/>
      <c r="EG154" s="249"/>
      <c r="EH154" s="249"/>
      <c r="EI154" s="249"/>
      <c r="EJ154" s="249"/>
      <c r="EK154" s="249"/>
      <c r="EL154" s="249"/>
      <c r="EM154" s="249"/>
      <c r="EN154" s="249"/>
      <c r="EO154" s="249"/>
      <c r="EP154" s="249"/>
      <c r="EQ154" s="249"/>
      <c r="ER154" s="249"/>
      <c r="ES154" s="249"/>
      <c r="ET154" s="249"/>
      <c r="EU154" s="249"/>
      <c r="EV154" s="249"/>
      <c r="EW154" s="249"/>
      <c r="EX154" s="249"/>
      <c r="EY154" s="249"/>
      <c r="EZ154" s="249"/>
      <c r="FA154" s="249"/>
      <c r="FB154" s="249"/>
      <c r="FC154" s="249"/>
      <c r="FD154" s="249"/>
      <c r="FE154" s="249"/>
      <c r="FF154" s="249"/>
      <c r="FG154" s="249"/>
      <c r="FH154" s="249"/>
      <c r="FI154" s="249"/>
      <c r="FJ154" s="249"/>
      <c r="FK154" s="249"/>
      <c r="FL154" s="249"/>
      <c r="FM154" s="249"/>
      <c r="FN154" s="249"/>
      <c r="FO154" s="249"/>
      <c r="FP154" s="249"/>
      <c r="FQ154" s="249"/>
      <c r="FR154" s="249"/>
      <c r="FS154" s="249"/>
      <c r="FT154" s="249"/>
      <c r="FU154" s="249"/>
      <c r="FV154" s="249"/>
      <c r="FW154" s="249"/>
      <c r="FX154" s="249"/>
      <c r="FY154" s="249"/>
      <c r="FZ154" s="249"/>
      <c r="GA154" s="249"/>
      <c r="GB154" s="249"/>
      <c r="GC154" s="249"/>
      <c r="GD154" s="249"/>
      <c r="GE154" s="249"/>
      <c r="GF154" s="249"/>
      <c r="GG154" s="249"/>
      <c r="GH154" s="249"/>
      <c r="GI154" s="249"/>
      <c r="GJ154" s="249"/>
      <c r="GK154" s="249"/>
      <c r="GL154" s="249"/>
      <c r="GM154" s="249"/>
      <c r="GN154" s="249"/>
      <c r="GO154" s="249"/>
      <c r="GP154" s="249"/>
      <c r="GQ154" s="249"/>
      <c r="GR154" s="249"/>
    </row>
    <row r="155" spans="1:200" s="252" customFormat="1" ht="12.75" customHeight="1" x14ac:dyDescent="0.2">
      <c r="A155" s="729"/>
      <c r="B155" s="1130"/>
      <c r="C155" s="1130"/>
      <c r="D155" s="532"/>
      <c r="E155" s="613"/>
      <c r="F155" s="249"/>
      <c r="G155" s="250"/>
      <c r="H155" s="250"/>
      <c r="I155" s="250"/>
      <c r="J155" s="250"/>
      <c r="K155" s="250"/>
      <c r="L155" s="250"/>
      <c r="M155" s="250"/>
      <c r="N155" s="250"/>
      <c r="O155" s="250"/>
      <c r="P155" s="251"/>
      <c r="Q155" s="251"/>
      <c r="R155" s="251"/>
      <c r="S155" s="251"/>
      <c r="T155" s="251"/>
      <c r="U155" s="1919"/>
      <c r="V155" s="1920" t="s">
        <v>1259</v>
      </c>
      <c r="W155" s="1921">
        <v>73.680000000000007</v>
      </c>
      <c r="X155" s="1163"/>
      <c r="Y155" s="1163">
        <f>Y122*$W$155*FOREX</f>
        <v>18788.400000000001</v>
      </c>
      <c r="Z155" s="1163"/>
      <c r="AA155" s="1163">
        <f>AA122*$W$155*FOREX</f>
        <v>26303.759999999998</v>
      </c>
      <c r="AB155" s="1163"/>
      <c r="AC155" s="1163">
        <f>AC122*$W$155*FOREX</f>
        <v>116488.08000000002</v>
      </c>
      <c r="AD155" s="1163"/>
      <c r="AE155" s="1163">
        <f>AE122*$W$155*FOREX</f>
        <v>78911.280000000013</v>
      </c>
      <c r="AF155" s="1163"/>
      <c r="AG155" s="1163">
        <f>AG122*$W$155*FOREX</f>
        <v>41334.480000000003</v>
      </c>
      <c r="AH155" s="1163"/>
      <c r="AI155" s="1163">
        <f>AI122*$W$155*FOREX</f>
        <v>0</v>
      </c>
      <c r="AJ155" s="1163"/>
      <c r="AK155" s="1163">
        <f>AK122*$W$155*FOREX</f>
        <v>0</v>
      </c>
      <c r="AL155" s="1163"/>
      <c r="AM155" s="1438">
        <f t="shared" si="54"/>
        <v>281826</v>
      </c>
      <c r="AN155" s="254"/>
      <c r="AO155" s="249"/>
      <c r="AP155" s="250"/>
      <c r="AQ155" s="250"/>
      <c r="AR155" s="250"/>
      <c r="AS155" s="250"/>
      <c r="AT155" s="250"/>
      <c r="AU155" s="250"/>
      <c r="AV155" s="249"/>
      <c r="AW155" s="249"/>
      <c r="AX155" s="249"/>
      <c r="AY155" s="249"/>
      <c r="AZ155" s="249"/>
      <c r="BA155" s="249"/>
      <c r="BB155" s="249"/>
      <c r="BC155" s="249"/>
      <c r="BD155" s="249"/>
      <c r="BE155" s="249"/>
      <c r="BF155" s="249"/>
      <c r="BG155" s="249"/>
      <c r="BH155" s="249"/>
      <c r="BI155" s="249"/>
      <c r="BJ155" s="249"/>
      <c r="BK155" s="249"/>
      <c r="BL155" s="249"/>
      <c r="BM155" s="249"/>
      <c r="BN155" s="249"/>
      <c r="BO155" s="249"/>
      <c r="BP155" s="249"/>
      <c r="BQ155" s="249"/>
      <c r="BR155" s="249"/>
      <c r="BS155" s="249"/>
      <c r="BT155" s="249"/>
      <c r="BU155" s="249"/>
      <c r="BV155" s="249"/>
      <c r="BW155" s="249"/>
      <c r="BX155" s="249"/>
      <c r="BY155" s="249"/>
      <c r="BZ155" s="249"/>
      <c r="CA155" s="249"/>
      <c r="CB155" s="249"/>
      <c r="CC155" s="249"/>
      <c r="CD155" s="249"/>
      <c r="CE155" s="249"/>
      <c r="CF155" s="249"/>
      <c r="CG155" s="249"/>
      <c r="CH155" s="249"/>
      <c r="CI155" s="249"/>
      <c r="CJ155" s="249"/>
      <c r="CK155" s="249"/>
      <c r="CL155" s="249"/>
      <c r="CM155" s="249"/>
      <c r="CN155" s="249"/>
      <c r="CO155" s="249"/>
      <c r="CP155" s="249"/>
      <c r="CQ155" s="249"/>
      <c r="CR155" s="249"/>
      <c r="CS155" s="249"/>
      <c r="CT155" s="249"/>
      <c r="CU155" s="249"/>
      <c r="CV155" s="249"/>
      <c r="CW155" s="249"/>
      <c r="CX155" s="249"/>
      <c r="CY155" s="249"/>
      <c r="CZ155" s="249"/>
      <c r="DA155" s="249"/>
      <c r="DB155" s="249"/>
      <c r="DC155" s="249"/>
      <c r="DD155" s="249"/>
      <c r="DE155" s="249"/>
      <c r="DF155" s="249"/>
      <c r="DG155" s="249"/>
      <c r="DH155" s="249"/>
      <c r="DI155" s="249"/>
      <c r="DJ155" s="249"/>
      <c r="DK155" s="249"/>
      <c r="DL155" s="249"/>
      <c r="DM155" s="249"/>
      <c r="DN155" s="249"/>
      <c r="DO155" s="249"/>
      <c r="DP155" s="249"/>
      <c r="DQ155" s="249"/>
      <c r="DR155" s="249"/>
      <c r="DS155" s="249"/>
      <c r="DT155" s="249"/>
      <c r="DU155" s="249"/>
      <c r="DV155" s="249"/>
      <c r="DW155" s="249"/>
      <c r="DX155" s="249"/>
      <c r="DY155" s="249"/>
      <c r="DZ155" s="249"/>
      <c r="EA155" s="249"/>
      <c r="EB155" s="249"/>
      <c r="EC155" s="249"/>
      <c r="ED155" s="249"/>
      <c r="EE155" s="249"/>
      <c r="EF155" s="249"/>
      <c r="EG155" s="249"/>
      <c r="EH155" s="249"/>
      <c r="EI155" s="249"/>
      <c r="EJ155" s="249"/>
      <c r="EK155" s="249"/>
      <c r="EL155" s="249"/>
      <c r="EM155" s="249"/>
      <c r="EN155" s="249"/>
      <c r="EO155" s="249"/>
      <c r="EP155" s="249"/>
      <c r="EQ155" s="249"/>
      <c r="ER155" s="249"/>
      <c r="ES155" s="249"/>
      <c r="ET155" s="249"/>
      <c r="EU155" s="249"/>
      <c r="EV155" s="249"/>
      <c r="EW155" s="249"/>
      <c r="EX155" s="249"/>
      <c r="EY155" s="249"/>
      <c r="EZ155" s="249"/>
      <c r="FA155" s="249"/>
      <c r="FB155" s="249"/>
      <c r="FC155" s="249"/>
      <c r="FD155" s="249"/>
      <c r="FE155" s="249"/>
      <c r="FF155" s="249"/>
      <c r="FG155" s="249"/>
      <c r="FH155" s="249"/>
      <c r="FI155" s="249"/>
      <c r="FJ155" s="249"/>
      <c r="FK155" s="249"/>
      <c r="FL155" s="249"/>
      <c r="FM155" s="249"/>
      <c r="FN155" s="249"/>
      <c r="FO155" s="249"/>
      <c r="FP155" s="249"/>
      <c r="FQ155" s="249"/>
      <c r="FR155" s="249"/>
      <c r="FS155" s="249"/>
      <c r="FT155" s="249"/>
      <c r="FU155" s="249"/>
      <c r="FV155" s="249"/>
      <c r="FW155" s="249"/>
      <c r="FX155" s="249"/>
      <c r="FY155" s="249"/>
      <c r="FZ155" s="249"/>
      <c r="GA155" s="249"/>
      <c r="GB155" s="249"/>
      <c r="GC155" s="249"/>
      <c r="GD155" s="249"/>
      <c r="GE155" s="249"/>
      <c r="GF155" s="249"/>
      <c r="GG155" s="249"/>
      <c r="GH155" s="249"/>
      <c r="GI155" s="249"/>
      <c r="GJ155" s="249"/>
      <c r="GK155" s="249"/>
      <c r="GL155" s="249"/>
      <c r="GM155" s="249"/>
      <c r="GN155" s="249"/>
      <c r="GO155" s="249"/>
      <c r="GP155" s="249"/>
      <c r="GQ155" s="249"/>
      <c r="GR155" s="249"/>
    </row>
    <row r="156" spans="1:200" s="252" customFormat="1" ht="12.75" customHeight="1" x14ac:dyDescent="0.2">
      <c r="A156" s="729"/>
      <c r="B156" s="1130"/>
      <c r="C156" s="1130"/>
      <c r="D156" s="532"/>
      <c r="E156" s="613"/>
      <c r="F156" s="249"/>
      <c r="G156" s="250"/>
      <c r="H156" s="250"/>
      <c r="I156" s="250"/>
      <c r="J156" s="250"/>
      <c r="K156" s="250"/>
      <c r="L156" s="250"/>
      <c r="M156" s="250"/>
      <c r="N156" s="250"/>
      <c r="O156" s="250"/>
      <c r="P156" s="251"/>
      <c r="Q156" s="251"/>
      <c r="R156" s="251"/>
      <c r="S156" s="251"/>
      <c r="T156" s="251"/>
      <c r="U156" s="1919"/>
      <c r="V156" s="1920" t="s">
        <v>1120</v>
      </c>
      <c r="W156" s="1921">
        <v>66.22</v>
      </c>
      <c r="X156" s="1163"/>
      <c r="Y156" s="1163">
        <f>Y123*$W$156*FOREX</f>
        <v>0</v>
      </c>
      <c r="Z156" s="1163"/>
      <c r="AA156" s="1163">
        <f>AA123*$W$156*FOREX</f>
        <v>81053.279999999999</v>
      </c>
      <c r="AB156" s="1163"/>
      <c r="AC156" s="1163">
        <f>AC123*$W$156*FOREX</f>
        <v>67544.400000000009</v>
      </c>
      <c r="AD156" s="1163"/>
      <c r="AE156" s="1163">
        <f>AE123*$W$156*FOREX</f>
        <v>37149.42</v>
      </c>
      <c r="AF156" s="1163"/>
      <c r="AG156" s="1163">
        <f>AG123*$W$156*FOREX</f>
        <v>0</v>
      </c>
      <c r="AH156" s="1163"/>
      <c r="AI156" s="1163">
        <f>AI123*$W$156*FOREX</f>
        <v>0</v>
      </c>
      <c r="AJ156" s="1163"/>
      <c r="AK156" s="1163">
        <f>AK123*$W$156*FOREX</f>
        <v>0</v>
      </c>
      <c r="AL156" s="1163"/>
      <c r="AM156" s="1438">
        <f t="shared" si="54"/>
        <v>185747.09999999998</v>
      </c>
      <c r="AN156" s="254"/>
      <c r="AO156" s="249"/>
      <c r="AP156" s="250"/>
      <c r="AQ156" s="250"/>
      <c r="AR156" s="250"/>
      <c r="AS156" s="250"/>
      <c r="AT156" s="250"/>
      <c r="AU156" s="250"/>
      <c r="AV156" s="249"/>
      <c r="AW156" s="249"/>
      <c r="AX156" s="249"/>
      <c r="AY156" s="249"/>
      <c r="AZ156" s="249"/>
      <c r="BA156" s="249"/>
      <c r="BB156" s="249"/>
      <c r="BC156" s="249"/>
      <c r="BD156" s="249"/>
      <c r="BE156" s="249"/>
      <c r="BF156" s="249"/>
      <c r="BG156" s="249"/>
      <c r="BH156" s="249"/>
      <c r="BI156" s="249"/>
      <c r="BJ156" s="249"/>
      <c r="BK156" s="249"/>
      <c r="BL156" s="249"/>
      <c r="BM156" s="249"/>
      <c r="BN156" s="249"/>
      <c r="BO156" s="249"/>
      <c r="BP156" s="249"/>
      <c r="BQ156" s="249"/>
      <c r="BR156" s="249"/>
      <c r="BS156" s="249"/>
      <c r="BT156" s="249"/>
      <c r="BU156" s="249"/>
      <c r="BV156" s="249"/>
      <c r="BW156" s="249"/>
      <c r="BX156" s="249"/>
      <c r="BY156" s="249"/>
      <c r="BZ156" s="249"/>
      <c r="CA156" s="249"/>
      <c r="CB156" s="249"/>
      <c r="CC156" s="249"/>
      <c r="CD156" s="249"/>
      <c r="CE156" s="249"/>
      <c r="CF156" s="249"/>
      <c r="CG156" s="249"/>
      <c r="CH156" s="249"/>
      <c r="CI156" s="249"/>
      <c r="CJ156" s="249"/>
      <c r="CK156" s="249"/>
      <c r="CL156" s="249"/>
      <c r="CM156" s="249"/>
      <c r="CN156" s="249"/>
      <c r="CO156" s="249"/>
      <c r="CP156" s="249"/>
      <c r="CQ156" s="249"/>
      <c r="CR156" s="249"/>
      <c r="CS156" s="249"/>
      <c r="CT156" s="249"/>
      <c r="CU156" s="249"/>
      <c r="CV156" s="249"/>
      <c r="CW156" s="249"/>
      <c r="CX156" s="249"/>
      <c r="CY156" s="249"/>
      <c r="CZ156" s="249"/>
      <c r="DA156" s="249"/>
      <c r="DB156" s="249"/>
      <c r="DC156" s="249"/>
      <c r="DD156" s="249"/>
      <c r="DE156" s="249"/>
      <c r="DF156" s="249"/>
      <c r="DG156" s="249"/>
      <c r="DH156" s="249"/>
      <c r="DI156" s="249"/>
      <c r="DJ156" s="249"/>
      <c r="DK156" s="249"/>
      <c r="DL156" s="249"/>
      <c r="DM156" s="249"/>
      <c r="DN156" s="249"/>
      <c r="DO156" s="249"/>
      <c r="DP156" s="249"/>
      <c r="DQ156" s="249"/>
      <c r="DR156" s="249"/>
      <c r="DS156" s="249"/>
      <c r="DT156" s="249"/>
      <c r="DU156" s="249"/>
      <c r="DV156" s="249"/>
      <c r="DW156" s="249"/>
      <c r="DX156" s="249"/>
      <c r="DY156" s="249"/>
      <c r="DZ156" s="249"/>
      <c r="EA156" s="249"/>
      <c r="EB156" s="249"/>
      <c r="EC156" s="249"/>
      <c r="ED156" s="249"/>
      <c r="EE156" s="249"/>
      <c r="EF156" s="249"/>
      <c r="EG156" s="249"/>
      <c r="EH156" s="249"/>
      <c r="EI156" s="249"/>
      <c r="EJ156" s="249"/>
      <c r="EK156" s="249"/>
      <c r="EL156" s="249"/>
      <c r="EM156" s="249"/>
      <c r="EN156" s="249"/>
      <c r="EO156" s="249"/>
      <c r="EP156" s="249"/>
      <c r="EQ156" s="249"/>
      <c r="ER156" s="249"/>
      <c r="ES156" s="249"/>
      <c r="ET156" s="249"/>
      <c r="EU156" s="249"/>
      <c r="EV156" s="249"/>
      <c r="EW156" s="249"/>
      <c r="EX156" s="249"/>
      <c r="EY156" s="249"/>
      <c r="EZ156" s="249"/>
      <c r="FA156" s="249"/>
      <c r="FB156" s="249"/>
      <c r="FC156" s="249"/>
      <c r="FD156" s="249"/>
      <c r="FE156" s="249"/>
      <c r="FF156" s="249"/>
      <c r="FG156" s="249"/>
      <c r="FH156" s="249"/>
      <c r="FI156" s="249"/>
      <c r="FJ156" s="249"/>
      <c r="FK156" s="249"/>
      <c r="FL156" s="249"/>
      <c r="FM156" s="249"/>
      <c r="FN156" s="249"/>
      <c r="FO156" s="249"/>
      <c r="FP156" s="249"/>
      <c r="FQ156" s="249"/>
      <c r="FR156" s="249"/>
      <c r="FS156" s="249"/>
      <c r="FT156" s="249"/>
      <c r="FU156" s="249"/>
      <c r="FV156" s="249"/>
      <c r="FW156" s="249"/>
      <c r="FX156" s="249"/>
      <c r="FY156" s="249"/>
      <c r="FZ156" s="249"/>
      <c r="GA156" s="249"/>
      <c r="GB156" s="249"/>
      <c r="GC156" s="249"/>
      <c r="GD156" s="249"/>
      <c r="GE156" s="249"/>
      <c r="GF156" s="249"/>
      <c r="GG156" s="249"/>
      <c r="GH156" s="249"/>
      <c r="GI156" s="249"/>
      <c r="GJ156" s="249"/>
      <c r="GK156" s="249"/>
      <c r="GL156" s="249"/>
      <c r="GM156" s="249"/>
      <c r="GN156" s="249"/>
      <c r="GO156" s="249"/>
      <c r="GP156" s="249"/>
      <c r="GQ156" s="249"/>
      <c r="GR156" s="249"/>
    </row>
    <row r="157" spans="1:200" s="252" customFormat="1" ht="12.75" customHeight="1" x14ac:dyDescent="0.2">
      <c r="A157" s="729"/>
      <c r="B157" s="1130"/>
      <c r="C157" s="1130"/>
      <c r="D157" s="532"/>
      <c r="E157" s="613"/>
      <c r="F157" s="249"/>
      <c r="G157" s="250"/>
      <c r="H157" s="250"/>
      <c r="I157" s="250"/>
      <c r="J157" s="250"/>
      <c r="K157" s="250"/>
      <c r="L157" s="250"/>
      <c r="M157" s="250"/>
      <c r="N157" s="250"/>
      <c r="O157" s="250"/>
      <c r="P157" s="251"/>
      <c r="Q157" s="251"/>
      <c r="R157" s="251"/>
      <c r="S157" s="251"/>
      <c r="T157" s="251"/>
      <c r="U157" s="1919"/>
      <c r="V157" s="1920" t="s">
        <v>1260</v>
      </c>
      <c r="W157" s="1921">
        <v>66.58</v>
      </c>
      <c r="X157" s="1163"/>
      <c r="Y157" s="1163">
        <f>Y124*$W$157*FOREX</f>
        <v>10186.74</v>
      </c>
      <c r="Z157" s="1163"/>
      <c r="AA157" s="1163">
        <f>AA124*$W$157*FOREX</f>
        <v>33955.799999999996</v>
      </c>
      <c r="AB157" s="1163"/>
      <c r="AC157" s="1163">
        <f>AC124*$W$157*FOREX</f>
        <v>47538.12</v>
      </c>
      <c r="AD157" s="1163"/>
      <c r="AE157" s="1163">
        <f>AE124*$W$157*FOREX</f>
        <v>30560.22</v>
      </c>
      <c r="AF157" s="1163"/>
      <c r="AG157" s="1163">
        <f>AG124*$W$157*FOREX</f>
        <v>47538.12</v>
      </c>
      <c r="AH157" s="1163"/>
      <c r="AI157" s="1163">
        <f>AI124*$W$157*FOREX</f>
        <v>0</v>
      </c>
      <c r="AJ157" s="1163"/>
      <c r="AK157" s="1163">
        <f>AK124*$W$157*FOREX</f>
        <v>0</v>
      </c>
      <c r="AL157" s="1163"/>
      <c r="AM157" s="1438">
        <f t="shared" si="54"/>
        <v>169779</v>
      </c>
      <c r="AN157" s="254"/>
      <c r="AO157" s="249"/>
      <c r="AP157" s="250"/>
      <c r="AQ157" s="250"/>
      <c r="AR157" s="250"/>
      <c r="AS157" s="250"/>
      <c r="AT157" s="250"/>
      <c r="AU157" s="250"/>
      <c r="AV157" s="249"/>
      <c r="AW157" s="249"/>
      <c r="AX157" s="249"/>
      <c r="AY157" s="249"/>
      <c r="AZ157" s="249"/>
      <c r="BA157" s="249"/>
      <c r="BB157" s="249"/>
      <c r="BC157" s="249"/>
      <c r="BD157" s="249"/>
      <c r="BE157" s="249"/>
      <c r="BF157" s="249"/>
      <c r="BG157" s="249"/>
      <c r="BH157" s="249"/>
      <c r="BI157" s="249"/>
      <c r="BJ157" s="249"/>
      <c r="BK157" s="249"/>
      <c r="BL157" s="249"/>
      <c r="BM157" s="249"/>
      <c r="BN157" s="249"/>
      <c r="BO157" s="249"/>
      <c r="BP157" s="249"/>
      <c r="BQ157" s="249"/>
      <c r="BR157" s="249"/>
      <c r="BS157" s="249"/>
      <c r="BT157" s="249"/>
      <c r="BU157" s="249"/>
      <c r="BV157" s="249"/>
      <c r="BW157" s="249"/>
      <c r="BX157" s="249"/>
      <c r="BY157" s="249"/>
      <c r="BZ157" s="249"/>
      <c r="CA157" s="249"/>
      <c r="CB157" s="249"/>
      <c r="CC157" s="249"/>
      <c r="CD157" s="249"/>
      <c r="CE157" s="249"/>
      <c r="CF157" s="249"/>
      <c r="CG157" s="249"/>
      <c r="CH157" s="249"/>
      <c r="CI157" s="249"/>
      <c r="CJ157" s="249"/>
      <c r="CK157" s="249"/>
      <c r="CL157" s="249"/>
      <c r="CM157" s="249"/>
      <c r="CN157" s="249"/>
      <c r="CO157" s="249"/>
      <c r="CP157" s="249"/>
      <c r="CQ157" s="249"/>
      <c r="CR157" s="249"/>
      <c r="CS157" s="249"/>
      <c r="CT157" s="249"/>
      <c r="CU157" s="249"/>
      <c r="CV157" s="249"/>
      <c r="CW157" s="249"/>
      <c r="CX157" s="249"/>
      <c r="CY157" s="249"/>
      <c r="CZ157" s="249"/>
      <c r="DA157" s="249"/>
      <c r="DB157" s="249"/>
      <c r="DC157" s="249"/>
      <c r="DD157" s="249"/>
      <c r="DE157" s="249"/>
      <c r="DF157" s="249"/>
      <c r="DG157" s="249"/>
      <c r="DH157" s="249"/>
      <c r="DI157" s="249"/>
      <c r="DJ157" s="249"/>
      <c r="DK157" s="249"/>
      <c r="DL157" s="249"/>
      <c r="DM157" s="249"/>
      <c r="DN157" s="249"/>
      <c r="DO157" s="249"/>
      <c r="DP157" s="249"/>
      <c r="DQ157" s="249"/>
      <c r="DR157" s="249"/>
      <c r="DS157" s="249"/>
      <c r="DT157" s="249"/>
      <c r="DU157" s="249"/>
      <c r="DV157" s="249"/>
      <c r="DW157" s="249"/>
      <c r="DX157" s="249"/>
      <c r="DY157" s="249"/>
      <c r="DZ157" s="249"/>
      <c r="EA157" s="249"/>
      <c r="EB157" s="249"/>
      <c r="EC157" s="249"/>
      <c r="ED157" s="249"/>
      <c r="EE157" s="249"/>
      <c r="EF157" s="249"/>
      <c r="EG157" s="249"/>
      <c r="EH157" s="249"/>
      <c r="EI157" s="249"/>
      <c r="EJ157" s="249"/>
      <c r="EK157" s="249"/>
      <c r="EL157" s="249"/>
      <c r="EM157" s="249"/>
      <c r="EN157" s="249"/>
      <c r="EO157" s="249"/>
      <c r="EP157" s="249"/>
      <c r="EQ157" s="249"/>
      <c r="ER157" s="249"/>
      <c r="ES157" s="249"/>
      <c r="ET157" s="249"/>
      <c r="EU157" s="249"/>
      <c r="EV157" s="249"/>
      <c r="EW157" s="249"/>
      <c r="EX157" s="249"/>
      <c r="EY157" s="249"/>
      <c r="EZ157" s="249"/>
      <c r="FA157" s="249"/>
      <c r="FB157" s="249"/>
      <c r="FC157" s="249"/>
      <c r="FD157" s="249"/>
      <c r="FE157" s="249"/>
      <c r="FF157" s="249"/>
      <c r="FG157" s="249"/>
      <c r="FH157" s="249"/>
      <c r="FI157" s="249"/>
      <c r="FJ157" s="249"/>
      <c r="FK157" s="249"/>
      <c r="FL157" s="249"/>
      <c r="FM157" s="249"/>
      <c r="FN157" s="249"/>
      <c r="FO157" s="249"/>
      <c r="FP157" s="249"/>
      <c r="FQ157" s="249"/>
      <c r="FR157" s="249"/>
      <c r="FS157" s="249"/>
      <c r="FT157" s="249"/>
      <c r="FU157" s="249"/>
      <c r="FV157" s="249"/>
      <c r="FW157" s="249"/>
      <c r="FX157" s="249"/>
      <c r="FY157" s="249"/>
      <c r="FZ157" s="249"/>
      <c r="GA157" s="249"/>
      <c r="GB157" s="249"/>
      <c r="GC157" s="249"/>
      <c r="GD157" s="249"/>
      <c r="GE157" s="249"/>
      <c r="GF157" s="249"/>
      <c r="GG157" s="249"/>
      <c r="GH157" s="249"/>
      <c r="GI157" s="249"/>
      <c r="GJ157" s="249"/>
      <c r="GK157" s="249"/>
      <c r="GL157" s="249"/>
      <c r="GM157" s="249"/>
      <c r="GN157" s="249"/>
      <c r="GO157" s="249"/>
      <c r="GP157" s="249"/>
      <c r="GQ157" s="249"/>
      <c r="GR157" s="249"/>
    </row>
    <row r="158" spans="1:200" s="252" customFormat="1" ht="12.75" customHeight="1" x14ac:dyDescent="0.2">
      <c r="A158" s="729"/>
      <c r="B158" s="1130"/>
      <c r="C158" s="1130"/>
      <c r="D158" s="532"/>
      <c r="E158" s="613"/>
      <c r="F158" s="249"/>
      <c r="G158" s="250"/>
      <c r="H158" s="250"/>
      <c r="I158" s="250"/>
      <c r="J158" s="250"/>
      <c r="K158" s="250"/>
      <c r="L158" s="250"/>
      <c r="M158" s="250"/>
      <c r="N158" s="250"/>
      <c r="O158" s="250"/>
      <c r="P158" s="251"/>
      <c r="Q158" s="251"/>
      <c r="R158" s="251"/>
      <c r="S158" s="251"/>
      <c r="T158" s="251"/>
      <c r="U158" s="1919"/>
      <c r="V158" s="1920" t="s">
        <v>1261</v>
      </c>
      <c r="W158" s="1921">
        <v>148.75</v>
      </c>
      <c r="X158" s="1163"/>
      <c r="Y158" s="1163">
        <f>Y125*$W$158*FOREX</f>
        <v>0</v>
      </c>
      <c r="Z158" s="1163"/>
      <c r="AA158" s="1163">
        <f>AA125*$W$158*FOREX</f>
        <v>0</v>
      </c>
      <c r="AB158" s="1163"/>
      <c r="AC158" s="1163">
        <f>AC125*$W$158*FOREX</f>
        <v>30345</v>
      </c>
      <c r="AD158" s="1163"/>
      <c r="AE158" s="1163">
        <f>AE125*$W$158*FOREX</f>
        <v>91035</v>
      </c>
      <c r="AF158" s="1163"/>
      <c r="AG158" s="1163">
        <f>AG125*$W$158*FOREX</f>
        <v>0</v>
      </c>
      <c r="AH158" s="1163"/>
      <c r="AI158" s="1163">
        <f>AI125*$W$158*FOREX</f>
        <v>0</v>
      </c>
      <c r="AJ158" s="1163"/>
      <c r="AK158" s="1163">
        <f>AK125*$W$158*FOREX</f>
        <v>0</v>
      </c>
      <c r="AL158" s="1163"/>
      <c r="AM158" s="1438">
        <f t="shared" si="54"/>
        <v>121380</v>
      </c>
      <c r="AN158" s="254"/>
      <c r="AO158" s="249"/>
      <c r="AP158" s="250"/>
      <c r="AQ158" s="250"/>
      <c r="AR158" s="250"/>
      <c r="AS158" s="250"/>
      <c r="AT158" s="250"/>
      <c r="AU158" s="250"/>
      <c r="AV158" s="249"/>
      <c r="AW158" s="249"/>
      <c r="AX158" s="249"/>
      <c r="AY158" s="249"/>
      <c r="AZ158" s="249"/>
      <c r="BA158" s="249"/>
      <c r="BB158" s="249"/>
      <c r="BC158" s="249"/>
      <c r="BD158" s="249"/>
      <c r="BE158" s="249"/>
      <c r="BF158" s="249"/>
      <c r="BG158" s="249"/>
      <c r="BH158" s="249"/>
      <c r="BI158" s="249"/>
      <c r="BJ158" s="249"/>
      <c r="BK158" s="249"/>
      <c r="BL158" s="249"/>
      <c r="BM158" s="249"/>
      <c r="BN158" s="249"/>
      <c r="BO158" s="249"/>
      <c r="BP158" s="249"/>
      <c r="BQ158" s="249"/>
      <c r="BR158" s="249"/>
      <c r="BS158" s="249"/>
      <c r="BT158" s="249"/>
      <c r="BU158" s="249"/>
      <c r="BV158" s="249"/>
      <c r="BW158" s="249"/>
      <c r="BX158" s="249"/>
      <c r="BY158" s="249"/>
      <c r="BZ158" s="249"/>
      <c r="CA158" s="249"/>
      <c r="CB158" s="249"/>
      <c r="CC158" s="249"/>
      <c r="CD158" s="249"/>
      <c r="CE158" s="249"/>
      <c r="CF158" s="249"/>
      <c r="CG158" s="249"/>
      <c r="CH158" s="249"/>
      <c r="CI158" s="249"/>
      <c r="CJ158" s="249"/>
      <c r="CK158" s="249"/>
      <c r="CL158" s="249"/>
      <c r="CM158" s="249"/>
      <c r="CN158" s="249"/>
      <c r="CO158" s="249"/>
      <c r="CP158" s="249"/>
      <c r="CQ158" s="249"/>
      <c r="CR158" s="249"/>
      <c r="CS158" s="249"/>
      <c r="CT158" s="249"/>
      <c r="CU158" s="249"/>
      <c r="CV158" s="249"/>
      <c r="CW158" s="249"/>
      <c r="CX158" s="249"/>
      <c r="CY158" s="249"/>
      <c r="CZ158" s="249"/>
      <c r="DA158" s="249"/>
      <c r="DB158" s="249"/>
      <c r="DC158" s="249"/>
      <c r="DD158" s="249"/>
      <c r="DE158" s="249"/>
      <c r="DF158" s="249"/>
      <c r="DG158" s="249"/>
      <c r="DH158" s="249"/>
      <c r="DI158" s="249"/>
      <c r="DJ158" s="249"/>
      <c r="DK158" s="249"/>
      <c r="DL158" s="249"/>
      <c r="DM158" s="249"/>
      <c r="DN158" s="249"/>
      <c r="DO158" s="249"/>
      <c r="DP158" s="249"/>
      <c r="DQ158" s="249"/>
      <c r="DR158" s="249"/>
      <c r="DS158" s="249"/>
      <c r="DT158" s="249"/>
      <c r="DU158" s="249"/>
      <c r="DV158" s="249"/>
      <c r="DW158" s="249"/>
      <c r="DX158" s="249"/>
      <c r="DY158" s="249"/>
      <c r="DZ158" s="249"/>
      <c r="EA158" s="249"/>
      <c r="EB158" s="249"/>
      <c r="EC158" s="249"/>
      <c r="ED158" s="249"/>
      <c r="EE158" s="249"/>
      <c r="EF158" s="249"/>
      <c r="EG158" s="249"/>
      <c r="EH158" s="249"/>
      <c r="EI158" s="249"/>
      <c r="EJ158" s="249"/>
      <c r="EK158" s="249"/>
      <c r="EL158" s="249"/>
      <c r="EM158" s="249"/>
      <c r="EN158" s="249"/>
      <c r="EO158" s="249"/>
      <c r="EP158" s="249"/>
      <c r="EQ158" s="249"/>
      <c r="ER158" s="249"/>
      <c r="ES158" s="249"/>
      <c r="ET158" s="249"/>
      <c r="EU158" s="249"/>
      <c r="EV158" s="249"/>
      <c r="EW158" s="249"/>
      <c r="EX158" s="249"/>
      <c r="EY158" s="249"/>
      <c r="EZ158" s="249"/>
      <c r="FA158" s="249"/>
      <c r="FB158" s="249"/>
      <c r="FC158" s="249"/>
      <c r="FD158" s="249"/>
      <c r="FE158" s="249"/>
      <c r="FF158" s="249"/>
      <c r="FG158" s="249"/>
      <c r="FH158" s="249"/>
      <c r="FI158" s="249"/>
      <c r="FJ158" s="249"/>
      <c r="FK158" s="249"/>
      <c r="FL158" s="249"/>
      <c r="FM158" s="249"/>
      <c r="FN158" s="249"/>
      <c r="FO158" s="249"/>
      <c r="FP158" s="249"/>
      <c r="FQ158" s="249"/>
      <c r="FR158" s="249"/>
      <c r="FS158" s="249"/>
      <c r="FT158" s="249"/>
      <c r="FU158" s="249"/>
      <c r="FV158" s="249"/>
      <c r="FW158" s="249"/>
      <c r="FX158" s="249"/>
      <c r="FY158" s="249"/>
      <c r="FZ158" s="249"/>
      <c r="GA158" s="249"/>
      <c r="GB158" s="249"/>
      <c r="GC158" s="249"/>
      <c r="GD158" s="249"/>
      <c r="GE158" s="249"/>
      <c r="GF158" s="249"/>
      <c r="GG158" s="249"/>
      <c r="GH158" s="249"/>
      <c r="GI158" s="249"/>
      <c r="GJ158" s="249"/>
      <c r="GK158" s="249"/>
      <c r="GL158" s="249"/>
      <c r="GM158" s="249"/>
      <c r="GN158" s="249"/>
      <c r="GO158" s="249"/>
      <c r="GP158" s="249"/>
      <c r="GQ158" s="249"/>
      <c r="GR158" s="249"/>
    </row>
    <row r="159" spans="1:200" s="252" customFormat="1" ht="12.75" customHeight="1" x14ac:dyDescent="0.2">
      <c r="A159" s="729"/>
      <c r="B159" s="1130"/>
      <c r="C159" s="1130"/>
      <c r="D159" s="532"/>
      <c r="E159" s="613"/>
      <c r="F159" s="249"/>
      <c r="G159" s="250"/>
      <c r="H159" s="250"/>
      <c r="I159" s="250"/>
      <c r="J159" s="250"/>
      <c r="K159" s="250"/>
      <c r="L159" s="250"/>
      <c r="M159" s="250"/>
      <c r="N159" s="250"/>
      <c r="O159" s="250"/>
      <c r="P159" s="251"/>
      <c r="Q159" s="251"/>
      <c r="R159" s="251"/>
      <c r="S159" s="251"/>
      <c r="T159" s="251"/>
      <c r="U159" s="1919"/>
      <c r="V159" s="1920" t="s">
        <v>1262</v>
      </c>
      <c r="W159" s="1921">
        <v>38.340000000000003</v>
      </c>
      <c r="X159" s="1163"/>
      <c r="Y159" s="1163">
        <f>Y126*$W$159*FOREX</f>
        <v>0</v>
      </c>
      <c r="Z159" s="1163"/>
      <c r="AA159" s="1163">
        <f>AA126*$W$159*FOREX</f>
        <v>0</v>
      </c>
      <c r="AB159" s="1163"/>
      <c r="AC159" s="1163">
        <f>AC126*$W$159*FOREX</f>
        <v>0</v>
      </c>
      <c r="AD159" s="1163"/>
      <c r="AE159" s="1163">
        <f>AE126*$W$159*FOREX</f>
        <v>0</v>
      </c>
      <c r="AF159" s="1163"/>
      <c r="AG159" s="1163">
        <f>AG126*$W$159*FOREX</f>
        <v>0</v>
      </c>
      <c r="AH159" s="1163"/>
      <c r="AI159" s="1163">
        <f>AI126*$W$159*FOREX</f>
        <v>0</v>
      </c>
      <c r="AJ159" s="1163"/>
      <c r="AK159" s="1163">
        <f>AK126*$W$159*FOREX</f>
        <v>0</v>
      </c>
      <c r="AL159" s="1163"/>
      <c r="AM159" s="1438">
        <f t="shared" si="54"/>
        <v>0</v>
      </c>
      <c r="AN159" s="254"/>
      <c r="AO159" s="249"/>
      <c r="AP159" s="250"/>
      <c r="AQ159" s="250"/>
      <c r="AR159" s="250"/>
      <c r="AS159" s="250"/>
      <c r="AT159" s="250"/>
      <c r="AU159" s="250"/>
      <c r="AV159" s="249"/>
      <c r="AW159" s="249"/>
      <c r="AX159" s="249"/>
      <c r="AY159" s="249"/>
      <c r="AZ159" s="249"/>
      <c r="BA159" s="249"/>
      <c r="BB159" s="249"/>
      <c r="BC159" s="249"/>
      <c r="BD159" s="249"/>
      <c r="BE159" s="249"/>
      <c r="BF159" s="249"/>
      <c r="BG159" s="249"/>
      <c r="BH159" s="249"/>
      <c r="BI159" s="249"/>
      <c r="BJ159" s="249"/>
      <c r="BK159" s="249"/>
      <c r="BL159" s="249"/>
      <c r="BM159" s="249"/>
      <c r="BN159" s="249"/>
      <c r="BO159" s="249"/>
      <c r="BP159" s="249"/>
      <c r="BQ159" s="249"/>
      <c r="BR159" s="249"/>
      <c r="BS159" s="249"/>
      <c r="BT159" s="249"/>
      <c r="BU159" s="249"/>
      <c r="BV159" s="249"/>
      <c r="BW159" s="249"/>
      <c r="BX159" s="249"/>
      <c r="BY159" s="249"/>
      <c r="BZ159" s="249"/>
      <c r="CA159" s="249"/>
      <c r="CB159" s="249"/>
      <c r="CC159" s="249"/>
      <c r="CD159" s="249"/>
      <c r="CE159" s="249"/>
      <c r="CF159" s="249"/>
      <c r="CG159" s="249"/>
      <c r="CH159" s="249"/>
      <c r="CI159" s="249"/>
      <c r="CJ159" s="249"/>
      <c r="CK159" s="249"/>
      <c r="CL159" s="249"/>
      <c r="CM159" s="249"/>
      <c r="CN159" s="249"/>
      <c r="CO159" s="249"/>
      <c r="CP159" s="249"/>
      <c r="CQ159" s="249"/>
      <c r="CR159" s="249"/>
      <c r="CS159" s="249"/>
      <c r="CT159" s="249"/>
      <c r="CU159" s="249"/>
      <c r="CV159" s="249"/>
      <c r="CW159" s="249"/>
      <c r="CX159" s="249"/>
      <c r="CY159" s="249"/>
      <c r="CZ159" s="249"/>
      <c r="DA159" s="249"/>
      <c r="DB159" s="249"/>
      <c r="DC159" s="249"/>
      <c r="DD159" s="249"/>
      <c r="DE159" s="249"/>
      <c r="DF159" s="249"/>
      <c r="DG159" s="249"/>
      <c r="DH159" s="249"/>
      <c r="DI159" s="249"/>
      <c r="DJ159" s="249"/>
      <c r="DK159" s="249"/>
      <c r="DL159" s="249"/>
      <c r="DM159" s="249"/>
      <c r="DN159" s="249"/>
      <c r="DO159" s="249"/>
      <c r="DP159" s="249"/>
      <c r="DQ159" s="249"/>
      <c r="DR159" s="249"/>
      <c r="DS159" s="249"/>
      <c r="DT159" s="249"/>
      <c r="DU159" s="249"/>
      <c r="DV159" s="249"/>
      <c r="DW159" s="249"/>
      <c r="DX159" s="249"/>
      <c r="DY159" s="249"/>
      <c r="DZ159" s="249"/>
      <c r="EA159" s="249"/>
      <c r="EB159" s="249"/>
      <c r="EC159" s="249"/>
      <c r="ED159" s="249"/>
      <c r="EE159" s="249"/>
      <c r="EF159" s="249"/>
      <c r="EG159" s="249"/>
      <c r="EH159" s="249"/>
      <c r="EI159" s="249"/>
      <c r="EJ159" s="249"/>
      <c r="EK159" s="249"/>
      <c r="EL159" s="249"/>
      <c r="EM159" s="249"/>
      <c r="EN159" s="249"/>
      <c r="EO159" s="249"/>
      <c r="EP159" s="249"/>
      <c r="EQ159" s="249"/>
      <c r="ER159" s="249"/>
      <c r="ES159" s="249"/>
      <c r="ET159" s="249"/>
      <c r="EU159" s="249"/>
      <c r="EV159" s="249"/>
      <c r="EW159" s="249"/>
      <c r="EX159" s="249"/>
      <c r="EY159" s="249"/>
      <c r="EZ159" s="249"/>
      <c r="FA159" s="249"/>
      <c r="FB159" s="249"/>
      <c r="FC159" s="249"/>
      <c r="FD159" s="249"/>
      <c r="FE159" s="249"/>
      <c r="FF159" s="249"/>
      <c r="FG159" s="249"/>
      <c r="FH159" s="249"/>
      <c r="FI159" s="249"/>
      <c r="FJ159" s="249"/>
      <c r="FK159" s="249"/>
      <c r="FL159" s="249"/>
      <c r="FM159" s="249"/>
      <c r="FN159" s="249"/>
      <c r="FO159" s="249"/>
      <c r="FP159" s="249"/>
      <c r="FQ159" s="249"/>
      <c r="FR159" s="249"/>
      <c r="FS159" s="249"/>
      <c r="FT159" s="249"/>
      <c r="FU159" s="249"/>
      <c r="FV159" s="249"/>
      <c r="FW159" s="249"/>
      <c r="FX159" s="249"/>
      <c r="FY159" s="249"/>
      <c r="FZ159" s="249"/>
      <c r="GA159" s="249"/>
      <c r="GB159" s="249"/>
      <c r="GC159" s="249"/>
      <c r="GD159" s="249"/>
      <c r="GE159" s="249"/>
      <c r="GF159" s="249"/>
      <c r="GG159" s="249"/>
      <c r="GH159" s="249"/>
      <c r="GI159" s="249"/>
      <c r="GJ159" s="249"/>
      <c r="GK159" s="249"/>
      <c r="GL159" s="249"/>
      <c r="GM159" s="249"/>
      <c r="GN159" s="249"/>
      <c r="GO159" s="249"/>
      <c r="GP159" s="249"/>
      <c r="GQ159" s="249"/>
      <c r="GR159" s="249"/>
    </row>
    <row r="160" spans="1:200" s="252" customFormat="1" ht="12.75" customHeight="1" x14ac:dyDescent="0.2">
      <c r="A160" s="729"/>
      <c r="B160" s="1130"/>
      <c r="C160" s="1130"/>
      <c r="D160" s="532"/>
      <c r="E160" s="613"/>
      <c r="F160" s="249"/>
      <c r="G160" s="250"/>
      <c r="H160" s="250"/>
      <c r="I160" s="250"/>
      <c r="J160" s="250"/>
      <c r="K160" s="250"/>
      <c r="L160" s="250"/>
      <c r="M160" s="250"/>
      <c r="N160" s="250"/>
      <c r="O160" s="250"/>
      <c r="P160" s="251"/>
      <c r="Q160" s="251"/>
      <c r="R160" s="251"/>
      <c r="S160" s="251"/>
      <c r="T160" s="251"/>
      <c r="U160" s="1919"/>
      <c r="V160" s="1920" t="s">
        <v>1127</v>
      </c>
      <c r="W160" s="1921">
        <v>63.99</v>
      </c>
      <c r="X160" s="1163"/>
      <c r="Y160" s="1163">
        <f>Y127*$W$160*FOREX</f>
        <v>0</v>
      </c>
      <c r="Z160" s="1163"/>
      <c r="AA160" s="1163">
        <f>AA127*$W$160*FOREX</f>
        <v>0</v>
      </c>
      <c r="AB160" s="1163"/>
      <c r="AC160" s="1163">
        <f>AC127*$W$160*FOREX</f>
        <v>0</v>
      </c>
      <c r="AD160" s="1163"/>
      <c r="AE160" s="1163">
        <f>AE127*$W$160*FOREX</f>
        <v>0</v>
      </c>
      <c r="AF160" s="1163"/>
      <c r="AG160" s="1163">
        <f>AG127*$W$160*FOREX</f>
        <v>0</v>
      </c>
      <c r="AH160" s="1163"/>
      <c r="AI160" s="1163">
        <f>AI127*$W$160*FOREX</f>
        <v>0</v>
      </c>
      <c r="AJ160" s="1163"/>
      <c r="AK160" s="1163">
        <f>AK127*$W$160*FOREX</f>
        <v>0</v>
      </c>
      <c r="AL160" s="1163"/>
      <c r="AM160" s="1438">
        <f t="shared" si="54"/>
        <v>0</v>
      </c>
      <c r="AN160" s="254"/>
      <c r="AO160" s="249"/>
      <c r="AP160" s="250"/>
      <c r="AQ160" s="250"/>
      <c r="AR160" s="250"/>
      <c r="AS160" s="250"/>
      <c r="AT160" s="250"/>
      <c r="AU160" s="250"/>
      <c r="AV160" s="249"/>
      <c r="AW160" s="249"/>
      <c r="AX160" s="249"/>
      <c r="AY160" s="249"/>
      <c r="AZ160" s="249"/>
      <c r="BA160" s="249"/>
      <c r="BB160" s="249"/>
      <c r="BC160" s="249"/>
      <c r="BD160" s="249"/>
      <c r="BE160" s="249"/>
      <c r="BF160" s="249"/>
      <c r="BG160" s="249"/>
      <c r="BH160" s="249"/>
      <c r="BI160" s="249"/>
      <c r="BJ160" s="249"/>
      <c r="BK160" s="249"/>
      <c r="BL160" s="249"/>
      <c r="BM160" s="249"/>
      <c r="BN160" s="249"/>
      <c r="BO160" s="249"/>
      <c r="BP160" s="249"/>
      <c r="BQ160" s="249"/>
      <c r="BR160" s="249"/>
      <c r="BS160" s="249"/>
      <c r="BT160" s="249"/>
      <c r="BU160" s="249"/>
      <c r="BV160" s="249"/>
      <c r="BW160" s="249"/>
      <c r="BX160" s="249"/>
      <c r="BY160" s="249"/>
      <c r="BZ160" s="249"/>
      <c r="CA160" s="249"/>
      <c r="CB160" s="249"/>
      <c r="CC160" s="249"/>
      <c r="CD160" s="249"/>
      <c r="CE160" s="249"/>
      <c r="CF160" s="249"/>
      <c r="CG160" s="249"/>
      <c r="CH160" s="249"/>
      <c r="CI160" s="249"/>
      <c r="CJ160" s="249"/>
      <c r="CK160" s="249"/>
      <c r="CL160" s="249"/>
      <c r="CM160" s="249"/>
      <c r="CN160" s="249"/>
      <c r="CO160" s="249"/>
      <c r="CP160" s="249"/>
      <c r="CQ160" s="249"/>
      <c r="CR160" s="249"/>
      <c r="CS160" s="249"/>
      <c r="CT160" s="249"/>
      <c r="CU160" s="249"/>
      <c r="CV160" s="249"/>
      <c r="CW160" s="249"/>
      <c r="CX160" s="249"/>
      <c r="CY160" s="249"/>
      <c r="CZ160" s="249"/>
      <c r="DA160" s="249"/>
      <c r="DB160" s="249"/>
      <c r="DC160" s="249"/>
      <c r="DD160" s="249"/>
      <c r="DE160" s="249"/>
      <c r="DF160" s="249"/>
      <c r="DG160" s="249"/>
      <c r="DH160" s="249"/>
      <c r="DI160" s="249"/>
      <c r="DJ160" s="249"/>
      <c r="DK160" s="249"/>
      <c r="DL160" s="249"/>
      <c r="DM160" s="249"/>
      <c r="DN160" s="249"/>
      <c r="DO160" s="249"/>
      <c r="DP160" s="249"/>
      <c r="DQ160" s="249"/>
      <c r="DR160" s="249"/>
      <c r="DS160" s="249"/>
      <c r="DT160" s="249"/>
      <c r="DU160" s="249"/>
      <c r="DV160" s="249"/>
      <c r="DW160" s="249"/>
      <c r="DX160" s="249"/>
      <c r="DY160" s="249"/>
      <c r="DZ160" s="249"/>
      <c r="EA160" s="249"/>
      <c r="EB160" s="249"/>
      <c r="EC160" s="249"/>
      <c r="ED160" s="249"/>
      <c r="EE160" s="249"/>
      <c r="EF160" s="249"/>
      <c r="EG160" s="249"/>
      <c r="EH160" s="249"/>
      <c r="EI160" s="249"/>
      <c r="EJ160" s="249"/>
      <c r="EK160" s="249"/>
      <c r="EL160" s="249"/>
      <c r="EM160" s="249"/>
      <c r="EN160" s="249"/>
      <c r="EO160" s="249"/>
      <c r="EP160" s="249"/>
      <c r="EQ160" s="249"/>
      <c r="ER160" s="249"/>
      <c r="ES160" s="249"/>
      <c r="ET160" s="249"/>
      <c r="EU160" s="249"/>
      <c r="EV160" s="249"/>
      <c r="EW160" s="249"/>
      <c r="EX160" s="249"/>
      <c r="EY160" s="249"/>
      <c r="EZ160" s="249"/>
      <c r="FA160" s="249"/>
      <c r="FB160" s="249"/>
      <c r="FC160" s="249"/>
      <c r="FD160" s="249"/>
      <c r="FE160" s="249"/>
      <c r="FF160" s="249"/>
      <c r="FG160" s="249"/>
      <c r="FH160" s="249"/>
      <c r="FI160" s="249"/>
      <c r="FJ160" s="249"/>
      <c r="FK160" s="249"/>
      <c r="FL160" s="249"/>
      <c r="FM160" s="249"/>
      <c r="FN160" s="249"/>
      <c r="FO160" s="249"/>
      <c r="FP160" s="249"/>
      <c r="FQ160" s="249"/>
      <c r="FR160" s="249"/>
      <c r="FS160" s="249"/>
      <c r="FT160" s="249"/>
      <c r="FU160" s="249"/>
      <c r="FV160" s="249"/>
      <c r="FW160" s="249"/>
      <c r="FX160" s="249"/>
      <c r="FY160" s="249"/>
      <c r="FZ160" s="249"/>
      <c r="GA160" s="249"/>
      <c r="GB160" s="249"/>
      <c r="GC160" s="249"/>
      <c r="GD160" s="249"/>
      <c r="GE160" s="249"/>
      <c r="GF160" s="249"/>
      <c r="GG160" s="249"/>
      <c r="GH160" s="249"/>
      <c r="GI160" s="249"/>
      <c r="GJ160" s="249"/>
      <c r="GK160" s="249"/>
      <c r="GL160" s="249"/>
      <c r="GM160" s="249"/>
      <c r="GN160" s="249"/>
      <c r="GO160" s="249"/>
      <c r="GP160" s="249"/>
      <c r="GQ160" s="249"/>
      <c r="GR160" s="249"/>
    </row>
    <row r="161" spans="1:200" s="252" customFormat="1" ht="12.75" customHeight="1" x14ac:dyDescent="0.2">
      <c r="A161" s="729"/>
      <c r="B161" s="1130"/>
      <c r="C161" s="1130"/>
      <c r="D161" s="532"/>
      <c r="E161" s="613"/>
      <c r="F161" s="249"/>
      <c r="G161" s="250"/>
      <c r="H161" s="250"/>
      <c r="I161" s="250"/>
      <c r="J161" s="250"/>
      <c r="K161" s="250"/>
      <c r="L161" s="250"/>
      <c r="M161" s="250"/>
      <c r="N161" s="250"/>
      <c r="O161" s="250"/>
      <c r="P161" s="251"/>
      <c r="Q161" s="251"/>
      <c r="R161" s="251"/>
      <c r="S161" s="251"/>
      <c r="T161" s="251"/>
      <c r="U161" s="1919"/>
      <c r="V161" s="1920" t="s">
        <v>1263</v>
      </c>
      <c r="W161" s="1921">
        <v>397.39</v>
      </c>
      <c r="X161" s="1163"/>
      <c r="Y161" s="1163">
        <f>Y128*$W$161*FOREX</f>
        <v>0</v>
      </c>
      <c r="Z161" s="1163"/>
      <c r="AA161" s="1163">
        <f>AA128*$W$161*FOREX</f>
        <v>0</v>
      </c>
      <c r="AB161" s="1163"/>
      <c r="AC161" s="1163">
        <f>AC128*$W$161*FOREX</f>
        <v>101334.45</v>
      </c>
      <c r="AD161" s="1163"/>
      <c r="AE161" s="1163">
        <f>AE128*$W$161*FOREX</f>
        <v>81067.56</v>
      </c>
      <c r="AF161" s="1163"/>
      <c r="AG161" s="1163">
        <f>AG128*$W$161*FOREX</f>
        <v>40533.78</v>
      </c>
      <c r="AH161" s="1163"/>
      <c r="AI161" s="1163">
        <f>AI128*$W$161*FOREX</f>
        <v>0</v>
      </c>
      <c r="AJ161" s="1163"/>
      <c r="AK161" s="1163">
        <f>AK128*$W$161*FOREX</f>
        <v>0</v>
      </c>
      <c r="AL161" s="1163"/>
      <c r="AM161" s="1438">
        <f t="shared" si="54"/>
        <v>222935.79</v>
      </c>
      <c r="AN161" s="254"/>
      <c r="AO161" s="249"/>
      <c r="AP161" s="250"/>
      <c r="AQ161" s="250"/>
      <c r="AR161" s="250"/>
      <c r="AS161" s="250"/>
      <c r="AT161" s="250"/>
      <c r="AU161" s="250"/>
      <c r="AV161" s="249"/>
      <c r="AW161" s="249"/>
      <c r="AX161" s="249"/>
      <c r="AY161" s="249"/>
      <c r="AZ161" s="249"/>
      <c r="BA161" s="249"/>
      <c r="BB161" s="249"/>
      <c r="BC161" s="249"/>
      <c r="BD161" s="249"/>
      <c r="BE161" s="249"/>
      <c r="BF161" s="249"/>
      <c r="BG161" s="249"/>
      <c r="BH161" s="249"/>
      <c r="BI161" s="249"/>
      <c r="BJ161" s="249"/>
      <c r="BK161" s="249"/>
      <c r="BL161" s="249"/>
      <c r="BM161" s="249"/>
      <c r="BN161" s="249"/>
      <c r="BO161" s="249"/>
      <c r="BP161" s="249"/>
      <c r="BQ161" s="249"/>
      <c r="BR161" s="249"/>
      <c r="BS161" s="249"/>
      <c r="BT161" s="249"/>
      <c r="BU161" s="249"/>
      <c r="BV161" s="249"/>
      <c r="BW161" s="249"/>
      <c r="BX161" s="249"/>
      <c r="BY161" s="249"/>
      <c r="BZ161" s="249"/>
      <c r="CA161" s="249"/>
      <c r="CB161" s="249"/>
      <c r="CC161" s="249"/>
      <c r="CD161" s="249"/>
      <c r="CE161" s="249"/>
      <c r="CF161" s="249"/>
      <c r="CG161" s="249"/>
      <c r="CH161" s="249"/>
      <c r="CI161" s="249"/>
      <c r="CJ161" s="249"/>
      <c r="CK161" s="249"/>
      <c r="CL161" s="249"/>
      <c r="CM161" s="249"/>
      <c r="CN161" s="249"/>
      <c r="CO161" s="249"/>
      <c r="CP161" s="249"/>
      <c r="CQ161" s="249"/>
      <c r="CR161" s="249"/>
      <c r="CS161" s="249"/>
      <c r="CT161" s="249"/>
      <c r="CU161" s="249"/>
      <c r="CV161" s="249"/>
      <c r="CW161" s="249"/>
      <c r="CX161" s="249"/>
      <c r="CY161" s="249"/>
      <c r="CZ161" s="249"/>
      <c r="DA161" s="249"/>
      <c r="DB161" s="249"/>
      <c r="DC161" s="249"/>
      <c r="DD161" s="249"/>
      <c r="DE161" s="249"/>
      <c r="DF161" s="249"/>
      <c r="DG161" s="249"/>
      <c r="DH161" s="249"/>
      <c r="DI161" s="249"/>
      <c r="DJ161" s="249"/>
      <c r="DK161" s="249"/>
      <c r="DL161" s="249"/>
      <c r="DM161" s="249"/>
      <c r="DN161" s="249"/>
      <c r="DO161" s="249"/>
      <c r="DP161" s="249"/>
      <c r="DQ161" s="249"/>
      <c r="DR161" s="249"/>
      <c r="DS161" s="249"/>
      <c r="DT161" s="249"/>
      <c r="DU161" s="249"/>
      <c r="DV161" s="249"/>
      <c r="DW161" s="249"/>
      <c r="DX161" s="249"/>
      <c r="DY161" s="249"/>
      <c r="DZ161" s="249"/>
      <c r="EA161" s="249"/>
      <c r="EB161" s="249"/>
      <c r="EC161" s="249"/>
      <c r="ED161" s="249"/>
      <c r="EE161" s="249"/>
      <c r="EF161" s="249"/>
      <c r="EG161" s="249"/>
      <c r="EH161" s="249"/>
      <c r="EI161" s="249"/>
      <c r="EJ161" s="249"/>
      <c r="EK161" s="249"/>
      <c r="EL161" s="249"/>
      <c r="EM161" s="249"/>
      <c r="EN161" s="249"/>
      <c r="EO161" s="249"/>
      <c r="EP161" s="249"/>
      <c r="EQ161" s="249"/>
      <c r="ER161" s="249"/>
      <c r="ES161" s="249"/>
      <c r="ET161" s="249"/>
      <c r="EU161" s="249"/>
      <c r="EV161" s="249"/>
      <c r="EW161" s="249"/>
      <c r="EX161" s="249"/>
      <c r="EY161" s="249"/>
      <c r="EZ161" s="249"/>
      <c r="FA161" s="249"/>
      <c r="FB161" s="249"/>
      <c r="FC161" s="249"/>
      <c r="FD161" s="249"/>
      <c r="FE161" s="249"/>
      <c r="FF161" s="249"/>
      <c r="FG161" s="249"/>
      <c r="FH161" s="249"/>
      <c r="FI161" s="249"/>
      <c r="FJ161" s="249"/>
      <c r="FK161" s="249"/>
      <c r="FL161" s="249"/>
      <c r="FM161" s="249"/>
      <c r="FN161" s="249"/>
      <c r="FO161" s="249"/>
      <c r="FP161" s="249"/>
      <c r="FQ161" s="249"/>
      <c r="FR161" s="249"/>
      <c r="FS161" s="249"/>
      <c r="FT161" s="249"/>
      <c r="FU161" s="249"/>
      <c r="FV161" s="249"/>
      <c r="FW161" s="249"/>
      <c r="FX161" s="249"/>
      <c r="FY161" s="249"/>
      <c r="FZ161" s="249"/>
      <c r="GA161" s="249"/>
      <c r="GB161" s="249"/>
      <c r="GC161" s="249"/>
      <c r="GD161" s="249"/>
      <c r="GE161" s="249"/>
      <c r="GF161" s="249"/>
      <c r="GG161" s="249"/>
      <c r="GH161" s="249"/>
      <c r="GI161" s="249"/>
      <c r="GJ161" s="249"/>
      <c r="GK161" s="249"/>
      <c r="GL161" s="249"/>
      <c r="GM161" s="249"/>
      <c r="GN161" s="249"/>
      <c r="GO161" s="249"/>
      <c r="GP161" s="249"/>
      <c r="GQ161" s="249"/>
      <c r="GR161" s="249"/>
    </row>
    <row r="162" spans="1:200" s="252" customFormat="1" ht="12.75" customHeight="1" x14ac:dyDescent="0.2">
      <c r="A162" s="729"/>
      <c r="B162" s="1130"/>
      <c r="C162" s="1130"/>
      <c r="D162" s="532"/>
      <c r="E162" s="613"/>
      <c r="F162" s="249"/>
      <c r="G162" s="250"/>
      <c r="H162" s="250"/>
      <c r="I162" s="250"/>
      <c r="J162" s="250"/>
      <c r="K162" s="250"/>
      <c r="L162" s="250"/>
      <c r="M162" s="250"/>
      <c r="N162" s="250"/>
      <c r="O162" s="250"/>
      <c r="P162" s="251"/>
      <c r="Q162" s="251"/>
      <c r="R162" s="251"/>
      <c r="S162" s="251"/>
      <c r="T162" s="251"/>
      <c r="U162" s="1919"/>
      <c r="V162" s="1920" t="s">
        <v>1264</v>
      </c>
      <c r="W162" s="1921">
        <v>85.08</v>
      </c>
      <c r="X162" s="1163"/>
      <c r="Y162" s="1163">
        <f>Y129*$W$162*FOREX</f>
        <v>8678.16</v>
      </c>
      <c r="Z162" s="1163"/>
      <c r="AA162" s="1163">
        <f>AA129*$W$162*FOREX</f>
        <v>21695.399999999998</v>
      </c>
      <c r="AB162" s="1163"/>
      <c r="AC162" s="1163">
        <f>AC129*$W$162*FOREX</f>
        <v>43390.799999999996</v>
      </c>
      <c r="AD162" s="1163"/>
      <c r="AE162" s="1163">
        <f>AE129*$W$162*FOREX</f>
        <v>21695.399999999998</v>
      </c>
      <c r="AF162" s="1163"/>
      <c r="AG162" s="1163">
        <f>AG129*$W$162*FOREX</f>
        <v>0</v>
      </c>
      <c r="AH162" s="1163"/>
      <c r="AI162" s="1163">
        <f>AI129*$W$162*FOREX</f>
        <v>0</v>
      </c>
      <c r="AJ162" s="1163"/>
      <c r="AK162" s="1163">
        <f>AK129*$W$162*FOREX</f>
        <v>0</v>
      </c>
      <c r="AL162" s="1163"/>
      <c r="AM162" s="1438">
        <f t="shared" si="54"/>
        <v>95459.75999999998</v>
      </c>
      <c r="AN162" s="254"/>
      <c r="AO162" s="249"/>
      <c r="AP162" s="250"/>
      <c r="AQ162" s="250"/>
      <c r="AR162" s="250"/>
      <c r="AS162" s="250"/>
      <c r="AT162" s="250"/>
      <c r="AU162" s="250"/>
      <c r="AV162" s="249"/>
      <c r="AW162" s="249"/>
      <c r="AX162" s="249"/>
      <c r="AY162" s="249"/>
      <c r="AZ162" s="249"/>
      <c r="BA162" s="249"/>
      <c r="BB162" s="249"/>
      <c r="BC162" s="249"/>
      <c r="BD162" s="249"/>
      <c r="BE162" s="249"/>
      <c r="BF162" s="249"/>
      <c r="BG162" s="249"/>
      <c r="BH162" s="249"/>
      <c r="BI162" s="249"/>
      <c r="BJ162" s="249"/>
      <c r="BK162" s="249"/>
      <c r="BL162" s="249"/>
      <c r="BM162" s="249"/>
      <c r="BN162" s="249"/>
      <c r="BO162" s="249"/>
      <c r="BP162" s="249"/>
      <c r="BQ162" s="249"/>
      <c r="BR162" s="249"/>
      <c r="BS162" s="249"/>
      <c r="BT162" s="249"/>
      <c r="BU162" s="249"/>
      <c r="BV162" s="249"/>
      <c r="BW162" s="249"/>
      <c r="BX162" s="249"/>
      <c r="BY162" s="249"/>
      <c r="BZ162" s="249"/>
      <c r="CA162" s="249"/>
      <c r="CB162" s="249"/>
      <c r="CC162" s="249"/>
      <c r="CD162" s="249"/>
      <c r="CE162" s="249"/>
      <c r="CF162" s="249"/>
      <c r="CG162" s="249"/>
      <c r="CH162" s="249"/>
      <c r="CI162" s="249"/>
      <c r="CJ162" s="249"/>
      <c r="CK162" s="249"/>
      <c r="CL162" s="249"/>
      <c r="CM162" s="249"/>
      <c r="CN162" s="249"/>
      <c r="CO162" s="249"/>
      <c r="CP162" s="249"/>
      <c r="CQ162" s="249"/>
      <c r="CR162" s="249"/>
      <c r="CS162" s="249"/>
      <c r="CT162" s="249"/>
      <c r="CU162" s="249"/>
      <c r="CV162" s="249"/>
      <c r="CW162" s="249"/>
      <c r="CX162" s="249"/>
      <c r="CY162" s="249"/>
      <c r="CZ162" s="249"/>
      <c r="DA162" s="249"/>
      <c r="DB162" s="249"/>
      <c r="DC162" s="249"/>
      <c r="DD162" s="249"/>
      <c r="DE162" s="249"/>
      <c r="DF162" s="249"/>
      <c r="DG162" s="249"/>
      <c r="DH162" s="249"/>
      <c r="DI162" s="249"/>
      <c r="DJ162" s="249"/>
      <c r="DK162" s="249"/>
      <c r="DL162" s="249"/>
      <c r="DM162" s="249"/>
      <c r="DN162" s="249"/>
      <c r="DO162" s="249"/>
      <c r="DP162" s="249"/>
      <c r="DQ162" s="249"/>
      <c r="DR162" s="249"/>
      <c r="DS162" s="249"/>
      <c r="DT162" s="249"/>
      <c r="DU162" s="249"/>
      <c r="DV162" s="249"/>
      <c r="DW162" s="249"/>
      <c r="DX162" s="249"/>
      <c r="DY162" s="249"/>
      <c r="DZ162" s="249"/>
      <c r="EA162" s="249"/>
      <c r="EB162" s="249"/>
      <c r="EC162" s="249"/>
      <c r="ED162" s="249"/>
      <c r="EE162" s="249"/>
      <c r="EF162" s="249"/>
      <c r="EG162" s="249"/>
      <c r="EH162" s="249"/>
      <c r="EI162" s="249"/>
      <c r="EJ162" s="249"/>
      <c r="EK162" s="249"/>
      <c r="EL162" s="249"/>
      <c r="EM162" s="249"/>
      <c r="EN162" s="249"/>
      <c r="EO162" s="249"/>
      <c r="EP162" s="249"/>
      <c r="EQ162" s="249"/>
      <c r="ER162" s="249"/>
      <c r="ES162" s="249"/>
      <c r="ET162" s="249"/>
      <c r="EU162" s="249"/>
      <c r="EV162" s="249"/>
      <c r="EW162" s="249"/>
      <c r="EX162" s="249"/>
      <c r="EY162" s="249"/>
      <c r="EZ162" s="249"/>
      <c r="FA162" s="249"/>
      <c r="FB162" s="249"/>
      <c r="FC162" s="249"/>
      <c r="FD162" s="249"/>
      <c r="FE162" s="249"/>
      <c r="FF162" s="249"/>
      <c r="FG162" s="249"/>
      <c r="FH162" s="249"/>
      <c r="FI162" s="249"/>
      <c r="FJ162" s="249"/>
      <c r="FK162" s="249"/>
      <c r="FL162" s="249"/>
      <c r="FM162" s="249"/>
      <c r="FN162" s="249"/>
      <c r="FO162" s="249"/>
      <c r="FP162" s="249"/>
      <c r="FQ162" s="249"/>
      <c r="FR162" s="249"/>
      <c r="FS162" s="249"/>
      <c r="FT162" s="249"/>
      <c r="FU162" s="249"/>
      <c r="FV162" s="249"/>
      <c r="FW162" s="249"/>
      <c r="FX162" s="249"/>
      <c r="FY162" s="249"/>
      <c r="FZ162" s="249"/>
      <c r="GA162" s="249"/>
      <c r="GB162" s="249"/>
      <c r="GC162" s="249"/>
      <c r="GD162" s="249"/>
      <c r="GE162" s="249"/>
      <c r="GF162" s="249"/>
      <c r="GG162" s="249"/>
      <c r="GH162" s="249"/>
      <c r="GI162" s="249"/>
      <c r="GJ162" s="249"/>
      <c r="GK162" s="249"/>
      <c r="GL162" s="249"/>
      <c r="GM162" s="249"/>
      <c r="GN162" s="249"/>
      <c r="GO162" s="249"/>
      <c r="GP162" s="249"/>
      <c r="GQ162" s="249"/>
      <c r="GR162" s="249"/>
    </row>
    <row r="163" spans="1:200" s="252" customFormat="1" ht="12.75" customHeight="1" x14ac:dyDescent="0.2">
      <c r="A163" s="729"/>
      <c r="B163" s="1130"/>
      <c r="C163" s="1130"/>
      <c r="D163" s="532"/>
      <c r="E163" s="613"/>
      <c r="F163" s="249"/>
      <c r="G163" s="250"/>
      <c r="H163" s="250"/>
      <c r="I163" s="250"/>
      <c r="J163" s="250"/>
      <c r="K163" s="250"/>
      <c r="L163" s="250"/>
      <c r="M163" s="250"/>
      <c r="N163" s="250"/>
      <c r="O163" s="250"/>
      <c r="P163" s="251"/>
      <c r="Q163" s="251"/>
      <c r="R163" s="251"/>
      <c r="S163" s="251"/>
      <c r="T163" s="251"/>
      <c r="U163" s="1919"/>
      <c r="V163" s="1920" t="s">
        <v>158</v>
      </c>
      <c r="W163" s="1921">
        <v>15.55</v>
      </c>
      <c r="X163" s="1163"/>
      <c r="Y163" s="1163">
        <f>Y130*$W$163*FOREX</f>
        <v>0</v>
      </c>
      <c r="Z163" s="1163"/>
      <c r="AA163" s="1163">
        <f>AA130*$W$163*FOREX</f>
        <v>0</v>
      </c>
      <c r="AB163" s="1163"/>
      <c r="AC163" s="1163">
        <f>AC130*$W$163*FOREX</f>
        <v>0</v>
      </c>
      <c r="AD163" s="1163"/>
      <c r="AE163" s="1163">
        <f>AE130*$W$163*FOREX</f>
        <v>0</v>
      </c>
      <c r="AF163" s="1163"/>
      <c r="AG163" s="1163">
        <f>AG130*$W$163*FOREX</f>
        <v>0</v>
      </c>
      <c r="AH163" s="1163"/>
      <c r="AI163" s="1163">
        <f>AI130*$W$163*FOREX</f>
        <v>0</v>
      </c>
      <c r="AJ163" s="1163"/>
      <c r="AK163" s="1163">
        <f>AK130*$W$163*FOREX</f>
        <v>0</v>
      </c>
      <c r="AL163" s="1163"/>
      <c r="AM163" s="1438">
        <f t="shared" si="54"/>
        <v>0</v>
      </c>
      <c r="AN163" s="254"/>
      <c r="AO163" s="249"/>
      <c r="AP163" s="250"/>
      <c r="AQ163" s="250"/>
      <c r="AR163" s="250"/>
      <c r="AS163" s="250"/>
      <c r="AT163" s="250"/>
      <c r="AU163" s="250"/>
      <c r="AV163" s="249"/>
      <c r="AW163" s="249"/>
      <c r="AX163" s="249"/>
      <c r="AY163" s="249"/>
      <c r="AZ163" s="249"/>
      <c r="BA163" s="249"/>
      <c r="BB163" s="249"/>
      <c r="BC163" s="249"/>
      <c r="BD163" s="249"/>
      <c r="BE163" s="249"/>
      <c r="BF163" s="249"/>
      <c r="BG163" s="249"/>
      <c r="BH163" s="249"/>
      <c r="BI163" s="249"/>
      <c r="BJ163" s="249"/>
      <c r="BK163" s="249"/>
      <c r="BL163" s="249"/>
      <c r="BM163" s="249"/>
      <c r="BN163" s="249"/>
      <c r="BO163" s="249"/>
      <c r="BP163" s="249"/>
      <c r="BQ163" s="249"/>
      <c r="BR163" s="249"/>
      <c r="BS163" s="249"/>
      <c r="BT163" s="249"/>
      <c r="BU163" s="249"/>
      <c r="BV163" s="249"/>
      <c r="BW163" s="249"/>
      <c r="BX163" s="249"/>
      <c r="BY163" s="249"/>
      <c r="BZ163" s="249"/>
      <c r="CA163" s="249"/>
      <c r="CB163" s="249"/>
      <c r="CC163" s="249"/>
      <c r="CD163" s="249"/>
      <c r="CE163" s="249"/>
      <c r="CF163" s="249"/>
      <c r="CG163" s="249"/>
      <c r="CH163" s="249"/>
      <c r="CI163" s="249"/>
      <c r="CJ163" s="249"/>
      <c r="CK163" s="249"/>
      <c r="CL163" s="249"/>
      <c r="CM163" s="249"/>
      <c r="CN163" s="249"/>
      <c r="CO163" s="249"/>
      <c r="CP163" s="249"/>
      <c r="CQ163" s="249"/>
      <c r="CR163" s="249"/>
      <c r="CS163" s="249"/>
      <c r="CT163" s="249"/>
      <c r="CU163" s="249"/>
      <c r="CV163" s="249"/>
      <c r="CW163" s="249"/>
      <c r="CX163" s="249"/>
      <c r="CY163" s="249"/>
      <c r="CZ163" s="249"/>
      <c r="DA163" s="249"/>
      <c r="DB163" s="249"/>
      <c r="DC163" s="249"/>
      <c r="DD163" s="249"/>
      <c r="DE163" s="249"/>
      <c r="DF163" s="249"/>
      <c r="DG163" s="249"/>
      <c r="DH163" s="249"/>
      <c r="DI163" s="249"/>
      <c r="DJ163" s="249"/>
      <c r="DK163" s="249"/>
      <c r="DL163" s="249"/>
      <c r="DM163" s="249"/>
      <c r="DN163" s="249"/>
      <c r="DO163" s="249"/>
      <c r="DP163" s="249"/>
      <c r="DQ163" s="249"/>
      <c r="DR163" s="249"/>
      <c r="DS163" s="249"/>
      <c r="DT163" s="249"/>
      <c r="DU163" s="249"/>
      <c r="DV163" s="249"/>
      <c r="DW163" s="249"/>
      <c r="DX163" s="249"/>
      <c r="DY163" s="249"/>
      <c r="DZ163" s="249"/>
      <c r="EA163" s="249"/>
      <c r="EB163" s="249"/>
      <c r="EC163" s="249"/>
      <c r="ED163" s="249"/>
      <c r="EE163" s="249"/>
      <c r="EF163" s="249"/>
      <c r="EG163" s="249"/>
      <c r="EH163" s="249"/>
      <c r="EI163" s="249"/>
      <c r="EJ163" s="249"/>
      <c r="EK163" s="249"/>
      <c r="EL163" s="249"/>
      <c r="EM163" s="249"/>
      <c r="EN163" s="249"/>
      <c r="EO163" s="249"/>
      <c r="EP163" s="249"/>
      <c r="EQ163" s="249"/>
      <c r="ER163" s="249"/>
      <c r="ES163" s="249"/>
      <c r="ET163" s="249"/>
      <c r="EU163" s="249"/>
      <c r="EV163" s="249"/>
      <c r="EW163" s="249"/>
      <c r="EX163" s="249"/>
      <c r="EY163" s="249"/>
      <c r="EZ163" s="249"/>
      <c r="FA163" s="249"/>
      <c r="FB163" s="249"/>
      <c r="FC163" s="249"/>
      <c r="FD163" s="249"/>
      <c r="FE163" s="249"/>
      <c r="FF163" s="249"/>
      <c r="FG163" s="249"/>
      <c r="FH163" s="249"/>
      <c r="FI163" s="249"/>
      <c r="FJ163" s="249"/>
      <c r="FK163" s="249"/>
      <c r="FL163" s="249"/>
      <c r="FM163" s="249"/>
      <c r="FN163" s="249"/>
      <c r="FO163" s="249"/>
      <c r="FP163" s="249"/>
      <c r="FQ163" s="249"/>
      <c r="FR163" s="249"/>
      <c r="FS163" s="249"/>
      <c r="FT163" s="249"/>
      <c r="FU163" s="249"/>
      <c r="FV163" s="249"/>
      <c r="FW163" s="249"/>
      <c r="FX163" s="249"/>
      <c r="FY163" s="249"/>
      <c r="FZ163" s="249"/>
      <c r="GA163" s="249"/>
      <c r="GB163" s="249"/>
      <c r="GC163" s="249"/>
      <c r="GD163" s="249"/>
      <c r="GE163" s="249"/>
      <c r="GF163" s="249"/>
      <c r="GG163" s="249"/>
      <c r="GH163" s="249"/>
      <c r="GI163" s="249"/>
      <c r="GJ163" s="249"/>
      <c r="GK163" s="249"/>
      <c r="GL163" s="249"/>
      <c r="GM163" s="249"/>
      <c r="GN163" s="249"/>
      <c r="GO163" s="249"/>
      <c r="GP163" s="249"/>
      <c r="GQ163" s="249"/>
      <c r="GR163" s="249"/>
    </row>
    <row r="164" spans="1:200" s="252" customFormat="1" ht="12.75" customHeight="1" x14ac:dyDescent="0.2">
      <c r="A164" s="729"/>
      <c r="B164" s="1130"/>
      <c r="C164" s="1130"/>
      <c r="D164" s="532"/>
      <c r="E164" s="613"/>
      <c r="F164" s="249"/>
      <c r="G164" s="250"/>
      <c r="H164" s="250"/>
      <c r="I164" s="250"/>
      <c r="J164" s="250"/>
      <c r="K164" s="250"/>
      <c r="L164" s="250"/>
      <c r="M164" s="250"/>
      <c r="N164" s="250"/>
      <c r="O164" s="250"/>
      <c r="P164" s="251"/>
      <c r="Q164" s="251"/>
      <c r="R164" s="251"/>
      <c r="S164" s="251"/>
      <c r="T164" s="251"/>
      <c r="U164" s="1919"/>
      <c r="V164" s="1920" t="s">
        <v>157</v>
      </c>
      <c r="W164" s="1921">
        <v>15.11</v>
      </c>
      <c r="X164" s="1163"/>
      <c r="Y164" s="1163">
        <f>Y131*$W$164*FOREX</f>
        <v>17724.03</v>
      </c>
      <c r="Z164" s="1163"/>
      <c r="AA164" s="1163">
        <f>AA131*$W$164*FOREX</f>
        <v>6164.88</v>
      </c>
      <c r="AB164" s="1163"/>
      <c r="AC164" s="1163">
        <f>AC131*$W$164*FOREX</f>
        <v>19265.25</v>
      </c>
      <c r="AD164" s="1163"/>
      <c r="AE164" s="1163">
        <f>AE131*$W$164*FOREX</f>
        <v>4623.66</v>
      </c>
      <c r="AF164" s="1163"/>
      <c r="AG164" s="1163">
        <f>AG131*$W$164*FOREX</f>
        <v>3082.44</v>
      </c>
      <c r="AH164" s="1163"/>
      <c r="AI164" s="1163">
        <f>AI131*$W$164*FOREX</f>
        <v>0</v>
      </c>
      <c r="AJ164" s="1163"/>
      <c r="AK164" s="1163">
        <f>AK131*$W$164*FOREX</f>
        <v>0</v>
      </c>
      <c r="AL164" s="1163"/>
      <c r="AM164" s="1438">
        <f t="shared" si="54"/>
        <v>50860.260000000009</v>
      </c>
      <c r="AN164" s="254"/>
      <c r="AO164" s="249"/>
      <c r="AP164" s="250"/>
      <c r="AQ164" s="250"/>
      <c r="AR164" s="250"/>
      <c r="AS164" s="250"/>
      <c r="AT164" s="250"/>
      <c r="AU164" s="250"/>
      <c r="AV164" s="249"/>
      <c r="AW164" s="249"/>
      <c r="AX164" s="249"/>
      <c r="AY164" s="249"/>
      <c r="AZ164" s="249"/>
      <c r="BA164" s="249"/>
      <c r="BB164" s="249"/>
      <c r="BC164" s="249"/>
      <c r="BD164" s="249"/>
      <c r="BE164" s="249"/>
      <c r="BF164" s="249"/>
      <c r="BG164" s="249"/>
      <c r="BH164" s="249"/>
      <c r="BI164" s="249"/>
      <c r="BJ164" s="249"/>
      <c r="BK164" s="249"/>
      <c r="BL164" s="249"/>
      <c r="BM164" s="249"/>
      <c r="BN164" s="249"/>
      <c r="BO164" s="249"/>
      <c r="BP164" s="249"/>
      <c r="BQ164" s="249"/>
      <c r="BR164" s="249"/>
      <c r="BS164" s="249"/>
      <c r="BT164" s="249"/>
      <c r="BU164" s="249"/>
      <c r="BV164" s="249"/>
      <c r="BW164" s="249"/>
      <c r="BX164" s="249"/>
      <c r="BY164" s="249"/>
      <c r="BZ164" s="249"/>
      <c r="CA164" s="249"/>
      <c r="CB164" s="249"/>
      <c r="CC164" s="249"/>
      <c r="CD164" s="249"/>
      <c r="CE164" s="249"/>
      <c r="CF164" s="249"/>
      <c r="CG164" s="249"/>
      <c r="CH164" s="249"/>
      <c r="CI164" s="249"/>
      <c r="CJ164" s="249"/>
      <c r="CK164" s="249"/>
      <c r="CL164" s="249"/>
      <c r="CM164" s="249"/>
      <c r="CN164" s="249"/>
      <c r="CO164" s="249"/>
      <c r="CP164" s="249"/>
      <c r="CQ164" s="249"/>
      <c r="CR164" s="249"/>
      <c r="CS164" s="249"/>
      <c r="CT164" s="249"/>
      <c r="CU164" s="249"/>
      <c r="CV164" s="249"/>
      <c r="CW164" s="249"/>
      <c r="CX164" s="249"/>
      <c r="CY164" s="249"/>
      <c r="CZ164" s="249"/>
      <c r="DA164" s="249"/>
      <c r="DB164" s="249"/>
      <c r="DC164" s="249"/>
      <c r="DD164" s="249"/>
      <c r="DE164" s="249"/>
      <c r="DF164" s="249"/>
      <c r="DG164" s="249"/>
      <c r="DH164" s="249"/>
      <c r="DI164" s="249"/>
      <c r="DJ164" s="249"/>
      <c r="DK164" s="249"/>
      <c r="DL164" s="249"/>
      <c r="DM164" s="249"/>
      <c r="DN164" s="249"/>
      <c r="DO164" s="249"/>
      <c r="DP164" s="249"/>
      <c r="DQ164" s="249"/>
      <c r="DR164" s="249"/>
      <c r="DS164" s="249"/>
      <c r="DT164" s="249"/>
      <c r="DU164" s="249"/>
      <c r="DV164" s="249"/>
      <c r="DW164" s="249"/>
      <c r="DX164" s="249"/>
      <c r="DY164" s="249"/>
      <c r="DZ164" s="249"/>
      <c r="EA164" s="249"/>
      <c r="EB164" s="249"/>
      <c r="EC164" s="249"/>
      <c r="ED164" s="249"/>
      <c r="EE164" s="249"/>
      <c r="EF164" s="249"/>
      <c r="EG164" s="249"/>
      <c r="EH164" s="249"/>
      <c r="EI164" s="249"/>
      <c r="EJ164" s="249"/>
      <c r="EK164" s="249"/>
      <c r="EL164" s="249"/>
      <c r="EM164" s="249"/>
      <c r="EN164" s="249"/>
      <c r="EO164" s="249"/>
      <c r="EP164" s="249"/>
      <c r="EQ164" s="249"/>
      <c r="ER164" s="249"/>
      <c r="ES164" s="249"/>
      <c r="ET164" s="249"/>
      <c r="EU164" s="249"/>
      <c r="EV164" s="249"/>
      <c r="EW164" s="249"/>
      <c r="EX164" s="249"/>
      <c r="EY164" s="249"/>
      <c r="EZ164" s="249"/>
      <c r="FA164" s="249"/>
      <c r="FB164" s="249"/>
      <c r="FC164" s="249"/>
      <c r="FD164" s="249"/>
      <c r="FE164" s="249"/>
      <c r="FF164" s="249"/>
      <c r="FG164" s="249"/>
      <c r="FH164" s="249"/>
      <c r="FI164" s="249"/>
      <c r="FJ164" s="249"/>
      <c r="FK164" s="249"/>
      <c r="FL164" s="249"/>
      <c r="FM164" s="249"/>
      <c r="FN164" s="249"/>
      <c r="FO164" s="249"/>
      <c r="FP164" s="249"/>
      <c r="FQ164" s="249"/>
      <c r="FR164" s="249"/>
      <c r="FS164" s="249"/>
      <c r="FT164" s="249"/>
      <c r="FU164" s="249"/>
      <c r="FV164" s="249"/>
      <c r="FW164" s="249"/>
      <c r="FX164" s="249"/>
      <c r="FY164" s="249"/>
      <c r="FZ164" s="249"/>
      <c r="GA164" s="249"/>
      <c r="GB164" s="249"/>
      <c r="GC164" s="249"/>
      <c r="GD164" s="249"/>
      <c r="GE164" s="249"/>
      <c r="GF164" s="249"/>
      <c r="GG164" s="249"/>
      <c r="GH164" s="249"/>
      <c r="GI164" s="249"/>
      <c r="GJ164" s="249"/>
      <c r="GK164" s="249"/>
      <c r="GL164" s="249"/>
      <c r="GM164" s="249"/>
      <c r="GN164" s="249"/>
      <c r="GO164" s="249"/>
      <c r="GP164" s="249"/>
      <c r="GQ164" s="249"/>
      <c r="GR164" s="249"/>
    </row>
    <row r="165" spans="1:200" s="252" customFormat="1" ht="12.75" customHeight="1" x14ac:dyDescent="0.2">
      <c r="A165" s="729"/>
      <c r="B165" s="1130"/>
      <c r="C165" s="1130"/>
      <c r="D165" s="532"/>
      <c r="E165" s="613"/>
      <c r="F165" s="249"/>
      <c r="G165" s="250"/>
      <c r="H165" s="250"/>
      <c r="I165" s="250"/>
      <c r="J165" s="250"/>
      <c r="K165" s="250"/>
      <c r="L165" s="250"/>
      <c r="M165" s="250"/>
      <c r="N165" s="250"/>
      <c r="O165" s="250"/>
      <c r="P165" s="251"/>
      <c r="Q165" s="251"/>
      <c r="R165" s="251"/>
      <c r="S165" s="251"/>
      <c r="T165" s="251"/>
      <c r="U165" s="1919"/>
      <c r="V165" s="1920" t="s">
        <v>1121</v>
      </c>
      <c r="W165" s="1921">
        <v>110.33</v>
      </c>
      <c r="X165" s="1163"/>
      <c r="Y165" s="1163">
        <f>Y132*$W$165*FOREX</f>
        <v>0</v>
      </c>
      <c r="Z165" s="1163"/>
      <c r="AA165" s="1163">
        <f>AA132*$W$165*FOREX</f>
        <v>0</v>
      </c>
      <c r="AB165" s="1163"/>
      <c r="AC165" s="1163">
        <f>AC132*$W$165*FOREX</f>
        <v>0</v>
      </c>
      <c r="AD165" s="1163"/>
      <c r="AE165" s="1163">
        <f>AE132*$W$165*FOREX</f>
        <v>67521.960000000006</v>
      </c>
      <c r="AF165" s="1163"/>
      <c r="AG165" s="1163">
        <f>AG132*$W$165*FOREX</f>
        <v>0</v>
      </c>
      <c r="AH165" s="1163"/>
      <c r="AI165" s="1163">
        <f>AI132*$W$165*FOREX</f>
        <v>0</v>
      </c>
      <c r="AJ165" s="1163"/>
      <c r="AK165" s="1163">
        <f>AK132*$W$165*FOREX</f>
        <v>0</v>
      </c>
      <c r="AL165" s="1163"/>
      <c r="AM165" s="1438">
        <f t="shared" si="54"/>
        <v>67521.960000000006</v>
      </c>
      <c r="AN165" s="254"/>
      <c r="AO165" s="249"/>
      <c r="AP165" s="250"/>
      <c r="AQ165" s="250"/>
      <c r="AR165" s="250"/>
      <c r="AS165" s="250"/>
      <c r="AT165" s="250"/>
      <c r="AU165" s="250"/>
      <c r="AV165" s="249"/>
      <c r="AW165" s="249"/>
      <c r="AX165" s="249"/>
      <c r="AY165" s="249"/>
      <c r="AZ165" s="249"/>
      <c r="BA165" s="249"/>
      <c r="BB165" s="249"/>
      <c r="BC165" s="249"/>
      <c r="BD165" s="249"/>
      <c r="BE165" s="249"/>
      <c r="BF165" s="249"/>
      <c r="BG165" s="249"/>
      <c r="BH165" s="249"/>
      <c r="BI165" s="249"/>
      <c r="BJ165" s="249"/>
      <c r="BK165" s="249"/>
      <c r="BL165" s="249"/>
      <c r="BM165" s="249"/>
      <c r="BN165" s="249"/>
      <c r="BO165" s="249"/>
      <c r="BP165" s="249"/>
      <c r="BQ165" s="249"/>
      <c r="BR165" s="249"/>
      <c r="BS165" s="249"/>
      <c r="BT165" s="249"/>
      <c r="BU165" s="249"/>
      <c r="BV165" s="249"/>
      <c r="BW165" s="249"/>
      <c r="BX165" s="249"/>
      <c r="BY165" s="249"/>
      <c r="BZ165" s="249"/>
      <c r="CA165" s="249"/>
      <c r="CB165" s="249"/>
      <c r="CC165" s="249"/>
      <c r="CD165" s="249"/>
      <c r="CE165" s="249"/>
      <c r="CF165" s="249"/>
      <c r="CG165" s="249"/>
      <c r="CH165" s="249"/>
      <c r="CI165" s="249"/>
      <c r="CJ165" s="249"/>
      <c r="CK165" s="249"/>
      <c r="CL165" s="249"/>
      <c r="CM165" s="249"/>
      <c r="CN165" s="249"/>
      <c r="CO165" s="249"/>
      <c r="CP165" s="249"/>
      <c r="CQ165" s="249"/>
      <c r="CR165" s="249"/>
      <c r="CS165" s="249"/>
      <c r="CT165" s="249"/>
      <c r="CU165" s="249"/>
      <c r="CV165" s="249"/>
      <c r="CW165" s="249"/>
      <c r="CX165" s="249"/>
      <c r="CY165" s="249"/>
      <c r="CZ165" s="249"/>
      <c r="DA165" s="249"/>
      <c r="DB165" s="249"/>
      <c r="DC165" s="249"/>
      <c r="DD165" s="249"/>
      <c r="DE165" s="249"/>
      <c r="DF165" s="249"/>
      <c r="DG165" s="249"/>
      <c r="DH165" s="249"/>
      <c r="DI165" s="249"/>
      <c r="DJ165" s="249"/>
      <c r="DK165" s="249"/>
      <c r="DL165" s="249"/>
      <c r="DM165" s="249"/>
      <c r="DN165" s="249"/>
      <c r="DO165" s="249"/>
      <c r="DP165" s="249"/>
      <c r="DQ165" s="249"/>
      <c r="DR165" s="249"/>
      <c r="DS165" s="249"/>
      <c r="DT165" s="249"/>
      <c r="DU165" s="249"/>
      <c r="DV165" s="249"/>
      <c r="DW165" s="249"/>
      <c r="DX165" s="249"/>
      <c r="DY165" s="249"/>
      <c r="DZ165" s="249"/>
      <c r="EA165" s="249"/>
      <c r="EB165" s="249"/>
      <c r="EC165" s="249"/>
      <c r="ED165" s="249"/>
      <c r="EE165" s="249"/>
      <c r="EF165" s="249"/>
      <c r="EG165" s="249"/>
      <c r="EH165" s="249"/>
      <c r="EI165" s="249"/>
      <c r="EJ165" s="249"/>
      <c r="EK165" s="249"/>
      <c r="EL165" s="249"/>
      <c r="EM165" s="249"/>
      <c r="EN165" s="249"/>
      <c r="EO165" s="249"/>
      <c r="EP165" s="249"/>
      <c r="EQ165" s="249"/>
      <c r="ER165" s="249"/>
      <c r="ES165" s="249"/>
      <c r="ET165" s="249"/>
      <c r="EU165" s="249"/>
      <c r="EV165" s="249"/>
      <c r="EW165" s="249"/>
      <c r="EX165" s="249"/>
      <c r="EY165" s="249"/>
      <c r="EZ165" s="249"/>
      <c r="FA165" s="249"/>
      <c r="FB165" s="249"/>
      <c r="FC165" s="249"/>
      <c r="FD165" s="249"/>
      <c r="FE165" s="249"/>
      <c r="FF165" s="249"/>
      <c r="FG165" s="249"/>
      <c r="FH165" s="249"/>
      <c r="FI165" s="249"/>
      <c r="FJ165" s="249"/>
      <c r="FK165" s="249"/>
      <c r="FL165" s="249"/>
      <c r="FM165" s="249"/>
      <c r="FN165" s="249"/>
      <c r="FO165" s="249"/>
      <c r="FP165" s="249"/>
      <c r="FQ165" s="249"/>
      <c r="FR165" s="249"/>
      <c r="FS165" s="249"/>
      <c r="FT165" s="249"/>
      <c r="FU165" s="249"/>
      <c r="FV165" s="249"/>
      <c r="FW165" s="249"/>
      <c r="FX165" s="249"/>
      <c r="FY165" s="249"/>
      <c r="FZ165" s="249"/>
      <c r="GA165" s="249"/>
      <c r="GB165" s="249"/>
      <c r="GC165" s="249"/>
      <c r="GD165" s="249"/>
      <c r="GE165" s="249"/>
      <c r="GF165" s="249"/>
      <c r="GG165" s="249"/>
      <c r="GH165" s="249"/>
      <c r="GI165" s="249"/>
      <c r="GJ165" s="249"/>
      <c r="GK165" s="249"/>
      <c r="GL165" s="249"/>
      <c r="GM165" s="249"/>
      <c r="GN165" s="249"/>
      <c r="GO165" s="249"/>
      <c r="GP165" s="249"/>
      <c r="GQ165" s="249"/>
      <c r="GR165" s="249"/>
    </row>
    <row r="166" spans="1:200" s="252" customFormat="1" ht="12.75" customHeight="1" x14ac:dyDescent="0.2">
      <c r="A166" s="729"/>
      <c r="B166" s="1130"/>
      <c r="C166" s="1130"/>
      <c r="D166" s="532"/>
      <c r="E166" s="613"/>
      <c r="F166" s="249"/>
      <c r="G166" s="250"/>
      <c r="H166" s="250"/>
      <c r="I166" s="250"/>
      <c r="J166" s="250"/>
      <c r="K166" s="250"/>
      <c r="L166" s="250"/>
      <c r="M166" s="250"/>
      <c r="N166" s="250"/>
      <c r="O166" s="250"/>
      <c r="P166" s="251"/>
      <c r="Q166" s="251"/>
      <c r="R166" s="251"/>
      <c r="S166" s="251"/>
      <c r="T166" s="251"/>
      <c r="U166" s="1919"/>
      <c r="V166" s="1920" t="s">
        <v>1265</v>
      </c>
      <c r="W166" s="1921">
        <v>161.5</v>
      </c>
      <c r="X166" s="1163"/>
      <c r="Y166" s="1163">
        <f>Y133*$W$166*FOREX</f>
        <v>0</v>
      </c>
      <c r="Z166" s="1163"/>
      <c r="AA166" s="1163">
        <f>AA133*$W$166*FOREX</f>
        <v>0</v>
      </c>
      <c r="AB166" s="1163"/>
      <c r="AC166" s="1163">
        <f>AC133*$W$166*FOREX</f>
        <v>0</v>
      </c>
      <c r="AD166" s="1163"/>
      <c r="AE166" s="1163">
        <f>AE133*$W$166*FOREX</f>
        <v>24709.5</v>
      </c>
      <c r="AF166" s="1163"/>
      <c r="AG166" s="1163">
        <f>AG133*$W$166*FOREX</f>
        <v>0</v>
      </c>
      <c r="AH166" s="1163"/>
      <c r="AI166" s="1163">
        <f>AI133*$W$166*FOREX</f>
        <v>0</v>
      </c>
      <c r="AJ166" s="1163"/>
      <c r="AK166" s="1163">
        <f>AK133*$W$166*FOREX</f>
        <v>0</v>
      </c>
      <c r="AL166" s="1163"/>
      <c r="AM166" s="1438">
        <f t="shared" si="54"/>
        <v>24709.5</v>
      </c>
      <c r="AN166" s="254"/>
      <c r="AO166" s="249"/>
      <c r="AP166" s="250"/>
      <c r="AQ166" s="250"/>
      <c r="AR166" s="250"/>
      <c r="AS166" s="250"/>
      <c r="AT166" s="250"/>
      <c r="AU166" s="250"/>
      <c r="AV166" s="249"/>
      <c r="AW166" s="249"/>
      <c r="AX166" s="249"/>
      <c r="AY166" s="249"/>
      <c r="AZ166" s="249"/>
      <c r="BA166" s="249"/>
      <c r="BB166" s="249"/>
      <c r="BC166" s="249"/>
      <c r="BD166" s="249"/>
      <c r="BE166" s="249"/>
      <c r="BF166" s="249"/>
      <c r="BG166" s="249"/>
      <c r="BH166" s="249"/>
      <c r="BI166" s="249"/>
      <c r="BJ166" s="249"/>
      <c r="BK166" s="249"/>
      <c r="BL166" s="249"/>
      <c r="BM166" s="249"/>
      <c r="BN166" s="249"/>
      <c r="BO166" s="249"/>
      <c r="BP166" s="249"/>
      <c r="BQ166" s="249"/>
      <c r="BR166" s="249"/>
      <c r="BS166" s="249"/>
      <c r="BT166" s="249"/>
      <c r="BU166" s="249"/>
      <c r="BV166" s="249"/>
      <c r="BW166" s="249"/>
      <c r="BX166" s="249"/>
      <c r="BY166" s="249"/>
      <c r="BZ166" s="249"/>
      <c r="CA166" s="249"/>
      <c r="CB166" s="249"/>
      <c r="CC166" s="249"/>
      <c r="CD166" s="249"/>
      <c r="CE166" s="249"/>
      <c r="CF166" s="249"/>
      <c r="CG166" s="249"/>
      <c r="CH166" s="249"/>
      <c r="CI166" s="249"/>
      <c r="CJ166" s="249"/>
      <c r="CK166" s="249"/>
      <c r="CL166" s="249"/>
      <c r="CM166" s="249"/>
      <c r="CN166" s="249"/>
      <c r="CO166" s="249"/>
      <c r="CP166" s="249"/>
      <c r="CQ166" s="249"/>
      <c r="CR166" s="249"/>
      <c r="CS166" s="249"/>
      <c r="CT166" s="249"/>
      <c r="CU166" s="249"/>
      <c r="CV166" s="249"/>
      <c r="CW166" s="249"/>
      <c r="CX166" s="249"/>
      <c r="CY166" s="249"/>
      <c r="CZ166" s="249"/>
      <c r="DA166" s="249"/>
      <c r="DB166" s="249"/>
      <c r="DC166" s="249"/>
      <c r="DD166" s="249"/>
      <c r="DE166" s="249"/>
      <c r="DF166" s="249"/>
      <c r="DG166" s="249"/>
      <c r="DH166" s="249"/>
      <c r="DI166" s="249"/>
      <c r="DJ166" s="249"/>
      <c r="DK166" s="249"/>
      <c r="DL166" s="249"/>
      <c r="DM166" s="249"/>
      <c r="DN166" s="249"/>
      <c r="DO166" s="249"/>
      <c r="DP166" s="249"/>
      <c r="DQ166" s="249"/>
      <c r="DR166" s="249"/>
      <c r="DS166" s="249"/>
      <c r="DT166" s="249"/>
      <c r="DU166" s="249"/>
      <c r="DV166" s="249"/>
      <c r="DW166" s="249"/>
      <c r="DX166" s="249"/>
      <c r="DY166" s="249"/>
      <c r="DZ166" s="249"/>
      <c r="EA166" s="249"/>
      <c r="EB166" s="249"/>
      <c r="EC166" s="249"/>
      <c r="ED166" s="249"/>
      <c r="EE166" s="249"/>
      <c r="EF166" s="249"/>
      <c r="EG166" s="249"/>
      <c r="EH166" s="249"/>
      <c r="EI166" s="249"/>
      <c r="EJ166" s="249"/>
      <c r="EK166" s="249"/>
      <c r="EL166" s="249"/>
      <c r="EM166" s="249"/>
      <c r="EN166" s="249"/>
      <c r="EO166" s="249"/>
      <c r="EP166" s="249"/>
      <c r="EQ166" s="249"/>
      <c r="ER166" s="249"/>
      <c r="ES166" s="249"/>
      <c r="ET166" s="249"/>
      <c r="EU166" s="249"/>
      <c r="EV166" s="249"/>
      <c r="EW166" s="249"/>
      <c r="EX166" s="249"/>
      <c r="EY166" s="249"/>
      <c r="EZ166" s="249"/>
      <c r="FA166" s="249"/>
      <c r="FB166" s="249"/>
      <c r="FC166" s="249"/>
      <c r="FD166" s="249"/>
      <c r="FE166" s="249"/>
      <c r="FF166" s="249"/>
      <c r="FG166" s="249"/>
      <c r="FH166" s="249"/>
      <c r="FI166" s="249"/>
      <c r="FJ166" s="249"/>
      <c r="FK166" s="249"/>
      <c r="FL166" s="249"/>
      <c r="FM166" s="249"/>
      <c r="FN166" s="249"/>
      <c r="FO166" s="249"/>
      <c r="FP166" s="249"/>
      <c r="FQ166" s="249"/>
      <c r="FR166" s="249"/>
      <c r="FS166" s="249"/>
      <c r="FT166" s="249"/>
      <c r="FU166" s="249"/>
      <c r="FV166" s="249"/>
      <c r="FW166" s="249"/>
      <c r="FX166" s="249"/>
      <c r="FY166" s="249"/>
      <c r="FZ166" s="249"/>
      <c r="GA166" s="249"/>
      <c r="GB166" s="249"/>
      <c r="GC166" s="249"/>
      <c r="GD166" s="249"/>
      <c r="GE166" s="249"/>
      <c r="GF166" s="249"/>
      <c r="GG166" s="249"/>
      <c r="GH166" s="249"/>
      <c r="GI166" s="249"/>
      <c r="GJ166" s="249"/>
      <c r="GK166" s="249"/>
      <c r="GL166" s="249"/>
      <c r="GM166" s="249"/>
      <c r="GN166" s="249"/>
      <c r="GO166" s="249"/>
      <c r="GP166" s="249"/>
      <c r="GQ166" s="249"/>
      <c r="GR166" s="249"/>
    </row>
    <row r="167" spans="1:200" s="252" customFormat="1" ht="12.75" customHeight="1" x14ac:dyDescent="0.2">
      <c r="A167" s="729"/>
      <c r="B167" s="1130"/>
      <c r="C167" s="1130"/>
      <c r="D167" s="532"/>
      <c r="E167" s="613"/>
      <c r="F167" s="249"/>
      <c r="G167" s="250"/>
      <c r="H167" s="250"/>
      <c r="I167" s="250"/>
      <c r="J167" s="250"/>
      <c r="K167" s="250"/>
      <c r="L167" s="250"/>
      <c r="M167" s="250"/>
      <c r="N167" s="250"/>
      <c r="O167" s="250"/>
      <c r="P167" s="251"/>
      <c r="Q167" s="251"/>
      <c r="R167" s="251"/>
      <c r="S167" s="251"/>
      <c r="T167" s="251"/>
      <c r="U167" s="1919"/>
      <c r="V167" s="1920" t="s">
        <v>1266</v>
      </c>
      <c r="W167" s="1921">
        <v>224.68</v>
      </c>
      <c r="X167" s="1163"/>
      <c r="Y167" s="1163">
        <f>Y134*$W$167*FOREX</f>
        <v>0</v>
      </c>
      <c r="Z167" s="1163"/>
      <c r="AA167" s="1163">
        <f>AA134*$W$167*FOREX</f>
        <v>0</v>
      </c>
      <c r="AB167" s="1163"/>
      <c r="AC167" s="1163">
        <f>AC134*$W$167*FOREX</f>
        <v>0</v>
      </c>
      <c r="AD167" s="1163"/>
      <c r="AE167" s="1163">
        <f>AE134*$W$167*FOREX</f>
        <v>0</v>
      </c>
      <c r="AF167" s="1163"/>
      <c r="AG167" s="1163">
        <f>AG134*$W$167*FOREX</f>
        <v>0</v>
      </c>
      <c r="AH167" s="1163"/>
      <c r="AI167" s="1163">
        <f>AI134*$W$167*FOREX</f>
        <v>0</v>
      </c>
      <c r="AJ167" s="1163"/>
      <c r="AK167" s="1163">
        <f>AK134*$W$167*FOREX</f>
        <v>0</v>
      </c>
      <c r="AL167" s="1163"/>
      <c r="AM167" s="1438">
        <f t="shared" si="54"/>
        <v>0</v>
      </c>
      <c r="AN167" s="254"/>
      <c r="AO167" s="249"/>
      <c r="AP167" s="250"/>
      <c r="AQ167" s="250"/>
      <c r="AR167" s="250"/>
      <c r="AS167" s="250"/>
      <c r="AT167" s="250"/>
      <c r="AU167" s="250"/>
      <c r="AV167" s="249"/>
      <c r="AW167" s="249"/>
      <c r="AX167" s="249"/>
      <c r="AY167" s="249"/>
      <c r="AZ167" s="249"/>
      <c r="BA167" s="249"/>
      <c r="BB167" s="249"/>
      <c r="BC167" s="249"/>
      <c r="BD167" s="249"/>
      <c r="BE167" s="249"/>
      <c r="BF167" s="249"/>
      <c r="BG167" s="249"/>
      <c r="BH167" s="249"/>
      <c r="BI167" s="249"/>
      <c r="BJ167" s="249"/>
      <c r="BK167" s="249"/>
      <c r="BL167" s="249"/>
      <c r="BM167" s="249"/>
      <c r="BN167" s="249"/>
      <c r="BO167" s="249"/>
      <c r="BP167" s="249"/>
      <c r="BQ167" s="249"/>
      <c r="BR167" s="249"/>
      <c r="BS167" s="249"/>
      <c r="BT167" s="249"/>
      <c r="BU167" s="249"/>
      <c r="BV167" s="249"/>
      <c r="BW167" s="249"/>
      <c r="BX167" s="249"/>
      <c r="BY167" s="249"/>
      <c r="BZ167" s="249"/>
      <c r="CA167" s="249"/>
      <c r="CB167" s="249"/>
      <c r="CC167" s="249"/>
      <c r="CD167" s="249"/>
      <c r="CE167" s="249"/>
      <c r="CF167" s="249"/>
      <c r="CG167" s="249"/>
      <c r="CH167" s="249"/>
      <c r="CI167" s="249"/>
      <c r="CJ167" s="249"/>
      <c r="CK167" s="249"/>
      <c r="CL167" s="249"/>
      <c r="CM167" s="249"/>
      <c r="CN167" s="249"/>
      <c r="CO167" s="249"/>
      <c r="CP167" s="249"/>
      <c r="CQ167" s="249"/>
      <c r="CR167" s="249"/>
      <c r="CS167" s="249"/>
      <c r="CT167" s="249"/>
      <c r="CU167" s="249"/>
      <c r="CV167" s="249"/>
      <c r="CW167" s="249"/>
      <c r="CX167" s="249"/>
      <c r="CY167" s="249"/>
      <c r="CZ167" s="249"/>
      <c r="DA167" s="249"/>
      <c r="DB167" s="249"/>
      <c r="DC167" s="249"/>
      <c r="DD167" s="249"/>
      <c r="DE167" s="249"/>
      <c r="DF167" s="249"/>
      <c r="DG167" s="249"/>
      <c r="DH167" s="249"/>
      <c r="DI167" s="249"/>
      <c r="DJ167" s="249"/>
      <c r="DK167" s="249"/>
      <c r="DL167" s="249"/>
      <c r="DM167" s="249"/>
      <c r="DN167" s="249"/>
      <c r="DO167" s="249"/>
      <c r="DP167" s="249"/>
      <c r="DQ167" s="249"/>
      <c r="DR167" s="249"/>
      <c r="DS167" s="249"/>
      <c r="DT167" s="249"/>
      <c r="DU167" s="249"/>
      <c r="DV167" s="249"/>
      <c r="DW167" s="249"/>
      <c r="DX167" s="249"/>
      <c r="DY167" s="249"/>
      <c r="DZ167" s="249"/>
      <c r="EA167" s="249"/>
      <c r="EB167" s="249"/>
      <c r="EC167" s="249"/>
      <c r="ED167" s="249"/>
      <c r="EE167" s="249"/>
      <c r="EF167" s="249"/>
      <c r="EG167" s="249"/>
      <c r="EH167" s="249"/>
      <c r="EI167" s="249"/>
      <c r="EJ167" s="249"/>
      <c r="EK167" s="249"/>
      <c r="EL167" s="249"/>
      <c r="EM167" s="249"/>
      <c r="EN167" s="249"/>
      <c r="EO167" s="249"/>
      <c r="EP167" s="249"/>
      <c r="EQ167" s="249"/>
      <c r="ER167" s="249"/>
      <c r="ES167" s="249"/>
      <c r="ET167" s="249"/>
      <c r="EU167" s="249"/>
      <c r="EV167" s="249"/>
      <c r="EW167" s="249"/>
      <c r="EX167" s="249"/>
      <c r="EY167" s="249"/>
      <c r="EZ167" s="249"/>
      <c r="FA167" s="249"/>
      <c r="FB167" s="249"/>
      <c r="FC167" s="249"/>
      <c r="FD167" s="249"/>
      <c r="FE167" s="249"/>
      <c r="FF167" s="249"/>
      <c r="FG167" s="249"/>
      <c r="FH167" s="249"/>
      <c r="FI167" s="249"/>
      <c r="FJ167" s="249"/>
      <c r="FK167" s="249"/>
      <c r="FL167" s="249"/>
      <c r="FM167" s="249"/>
      <c r="FN167" s="249"/>
      <c r="FO167" s="249"/>
      <c r="FP167" s="249"/>
      <c r="FQ167" s="249"/>
      <c r="FR167" s="249"/>
      <c r="FS167" s="249"/>
      <c r="FT167" s="249"/>
      <c r="FU167" s="249"/>
      <c r="FV167" s="249"/>
      <c r="FW167" s="249"/>
      <c r="FX167" s="249"/>
      <c r="FY167" s="249"/>
      <c r="FZ167" s="249"/>
      <c r="GA167" s="249"/>
      <c r="GB167" s="249"/>
      <c r="GC167" s="249"/>
      <c r="GD167" s="249"/>
      <c r="GE167" s="249"/>
      <c r="GF167" s="249"/>
      <c r="GG167" s="249"/>
      <c r="GH167" s="249"/>
      <c r="GI167" s="249"/>
      <c r="GJ167" s="249"/>
      <c r="GK167" s="249"/>
      <c r="GL167" s="249"/>
      <c r="GM167" s="249"/>
      <c r="GN167" s="249"/>
      <c r="GO167" s="249"/>
      <c r="GP167" s="249"/>
      <c r="GQ167" s="249"/>
      <c r="GR167" s="249"/>
    </row>
    <row r="168" spans="1:200" s="252" customFormat="1" ht="12.75" customHeight="1" x14ac:dyDescent="0.2">
      <c r="A168" s="729"/>
      <c r="B168" s="1130"/>
      <c r="C168" s="1130"/>
      <c r="D168" s="532"/>
      <c r="E168" s="613"/>
      <c r="F168" s="249"/>
      <c r="G168" s="250"/>
      <c r="H168" s="250"/>
      <c r="I168" s="250"/>
      <c r="J168" s="250"/>
      <c r="K168" s="250"/>
      <c r="L168" s="250"/>
      <c r="M168" s="250"/>
      <c r="N168" s="250"/>
      <c r="O168" s="250"/>
      <c r="P168" s="251"/>
      <c r="Q168" s="251"/>
      <c r="R168" s="251"/>
      <c r="S168" s="251"/>
      <c r="T168" s="251"/>
      <c r="U168" s="1919"/>
      <c r="V168" s="1920" t="s">
        <v>1118</v>
      </c>
      <c r="W168" s="1921">
        <v>13.09</v>
      </c>
      <c r="X168" s="1163"/>
      <c r="Y168" s="1163">
        <f>Y135*$W$168*FOREX</f>
        <v>0</v>
      </c>
      <c r="Z168" s="1163"/>
      <c r="AA168" s="1163">
        <f>AA135*$W$168*FOREX</f>
        <v>0</v>
      </c>
      <c r="AB168" s="1163"/>
      <c r="AC168" s="1163">
        <f>AC135*$W$168*FOREX</f>
        <v>0</v>
      </c>
      <c r="AD168" s="1163"/>
      <c r="AE168" s="1163">
        <f>AE135*$W$168*FOREX</f>
        <v>0</v>
      </c>
      <c r="AF168" s="1163"/>
      <c r="AG168" s="1163">
        <f>AG135*$W$168*FOREX</f>
        <v>0</v>
      </c>
      <c r="AH168" s="1163"/>
      <c r="AI168" s="1163">
        <f>AI135*$W$168*FOREX</f>
        <v>0</v>
      </c>
      <c r="AJ168" s="1163"/>
      <c r="AK168" s="1163">
        <f>AK135*$W$168*FOREX</f>
        <v>0</v>
      </c>
      <c r="AL168" s="1163"/>
      <c r="AM168" s="1438">
        <f t="shared" si="54"/>
        <v>0</v>
      </c>
      <c r="AN168" s="254"/>
      <c r="AO168" s="249"/>
      <c r="AP168" s="250"/>
      <c r="AQ168" s="250"/>
      <c r="AR168" s="250"/>
      <c r="AS168" s="250"/>
      <c r="AT168" s="250"/>
      <c r="AU168" s="250"/>
      <c r="AV168" s="249"/>
      <c r="AW168" s="249"/>
      <c r="AX168" s="249"/>
      <c r="AY168" s="249"/>
      <c r="AZ168" s="249"/>
      <c r="BA168" s="249"/>
      <c r="BB168" s="249"/>
      <c r="BC168" s="249"/>
      <c r="BD168" s="249"/>
      <c r="BE168" s="249"/>
      <c r="BF168" s="249"/>
      <c r="BG168" s="249"/>
      <c r="BH168" s="249"/>
      <c r="BI168" s="249"/>
      <c r="BJ168" s="249"/>
      <c r="BK168" s="249"/>
      <c r="BL168" s="249"/>
      <c r="BM168" s="249"/>
      <c r="BN168" s="249"/>
      <c r="BO168" s="249"/>
      <c r="BP168" s="249"/>
      <c r="BQ168" s="249"/>
      <c r="BR168" s="249"/>
      <c r="BS168" s="249"/>
      <c r="BT168" s="249"/>
      <c r="BU168" s="249"/>
      <c r="BV168" s="249"/>
      <c r="BW168" s="249"/>
      <c r="BX168" s="249"/>
      <c r="BY168" s="249"/>
      <c r="BZ168" s="249"/>
      <c r="CA168" s="249"/>
      <c r="CB168" s="249"/>
      <c r="CC168" s="249"/>
      <c r="CD168" s="249"/>
      <c r="CE168" s="249"/>
      <c r="CF168" s="249"/>
      <c r="CG168" s="249"/>
      <c r="CH168" s="249"/>
      <c r="CI168" s="249"/>
      <c r="CJ168" s="249"/>
      <c r="CK168" s="249"/>
      <c r="CL168" s="249"/>
      <c r="CM168" s="249"/>
      <c r="CN168" s="249"/>
      <c r="CO168" s="249"/>
      <c r="CP168" s="249"/>
      <c r="CQ168" s="249"/>
      <c r="CR168" s="249"/>
      <c r="CS168" s="249"/>
      <c r="CT168" s="249"/>
      <c r="CU168" s="249"/>
      <c r="CV168" s="249"/>
      <c r="CW168" s="249"/>
      <c r="CX168" s="249"/>
      <c r="CY168" s="249"/>
      <c r="CZ168" s="249"/>
      <c r="DA168" s="249"/>
      <c r="DB168" s="249"/>
      <c r="DC168" s="249"/>
      <c r="DD168" s="249"/>
      <c r="DE168" s="249"/>
      <c r="DF168" s="249"/>
      <c r="DG168" s="249"/>
      <c r="DH168" s="249"/>
      <c r="DI168" s="249"/>
      <c r="DJ168" s="249"/>
      <c r="DK168" s="249"/>
      <c r="DL168" s="249"/>
      <c r="DM168" s="249"/>
      <c r="DN168" s="249"/>
      <c r="DO168" s="249"/>
      <c r="DP168" s="249"/>
      <c r="DQ168" s="249"/>
      <c r="DR168" s="249"/>
      <c r="DS168" s="249"/>
      <c r="DT168" s="249"/>
      <c r="DU168" s="249"/>
      <c r="DV168" s="249"/>
      <c r="DW168" s="249"/>
      <c r="DX168" s="249"/>
      <c r="DY168" s="249"/>
      <c r="DZ168" s="249"/>
      <c r="EA168" s="249"/>
      <c r="EB168" s="249"/>
      <c r="EC168" s="249"/>
      <c r="ED168" s="249"/>
      <c r="EE168" s="249"/>
      <c r="EF168" s="249"/>
      <c r="EG168" s="249"/>
      <c r="EH168" s="249"/>
      <c r="EI168" s="249"/>
      <c r="EJ168" s="249"/>
      <c r="EK168" s="249"/>
      <c r="EL168" s="249"/>
      <c r="EM168" s="249"/>
      <c r="EN168" s="249"/>
      <c r="EO168" s="249"/>
      <c r="EP168" s="249"/>
      <c r="EQ168" s="249"/>
      <c r="ER168" s="249"/>
      <c r="ES168" s="249"/>
      <c r="ET168" s="249"/>
      <c r="EU168" s="249"/>
      <c r="EV168" s="249"/>
      <c r="EW168" s="249"/>
      <c r="EX168" s="249"/>
      <c r="EY168" s="249"/>
      <c r="EZ168" s="249"/>
      <c r="FA168" s="249"/>
      <c r="FB168" s="249"/>
      <c r="FC168" s="249"/>
      <c r="FD168" s="249"/>
      <c r="FE168" s="249"/>
      <c r="FF168" s="249"/>
      <c r="FG168" s="249"/>
      <c r="FH168" s="249"/>
      <c r="FI168" s="249"/>
      <c r="FJ168" s="249"/>
      <c r="FK168" s="249"/>
      <c r="FL168" s="249"/>
      <c r="FM168" s="249"/>
      <c r="FN168" s="249"/>
      <c r="FO168" s="249"/>
      <c r="FP168" s="249"/>
      <c r="FQ168" s="249"/>
      <c r="FR168" s="249"/>
      <c r="FS168" s="249"/>
      <c r="FT168" s="249"/>
      <c r="FU168" s="249"/>
      <c r="FV168" s="249"/>
      <c r="FW168" s="249"/>
      <c r="FX168" s="249"/>
      <c r="FY168" s="249"/>
      <c r="FZ168" s="249"/>
      <c r="GA168" s="249"/>
      <c r="GB168" s="249"/>
      <c r="GC168" s="249"/>
      <c r="GD168" s="249"/>
      <c r="GE168" s="249"/>
      <c r="GF168" s="249"/>
      <c r="GG168" s="249"/>
      <c r="GH168" s="249"/>
      <c r="GI168" s="249"/>
      <c r="GJ168" s="249"/>
      <c r="GK168" s="249"/>
      <c r="GL168" s="249"/>
      <c r="GM168" s="249"/>
      <c r="GN168" s="249"/>
      <c r="GO168" s="249"/>
      <c r="GP168" s="249"/>
      <c r="GQ168" s="249"/>
      <c r="GR168" s="249"/>
    </row>
    <row r="169" spans="1:200" s="252" customFormat="1" ht="12.75" customHeight="1" x14ac:dyDescent="0.2">
      <c r="A169" s="729"/>
      <c r="B169" s="1130"/>
      <c r="C169" s="1130"/>
      <c r="D169" s="532"/>
      <c r="E169" s="613"/>
      <c r="F169" s="249"/>
      <c r="G169" s="250"/>
      <c r="H169" s="250"/>
      <c r="I169" s="250"/>
      <c r="J169" s="250"/>
      <c r="K169" s="250"/>
      <c r="L169" s="250"/>
      <c r="M169" s="250"/>
      <c r="N169" s="250"/>
      <c r="O169" s="250"/>
      <c r="P169" s="251"/>
      <c r="Q169" s="251"/>
      <c r="R169" s="251"/>
      <c r="S169" s="251"/>
      <c r="T169" s="251"/>
      <c r="U169" s="1919"/>
      <c r="V169" s="1920" t="s">
        <v>156</v>
      </c>
      <c r="W169" s="1921">
        <v>94.73</v>
      </c>
      <c r="X169" s="1163"/>
      <c r="Y169" s="1163">
        <f>Y136*$W$169*FOREX</f>
        <v>0</v>
      </c>
      <c r="Z169" s="1163"/>
      <c r="AA169" s="1163">
        <f>AA136*$W$169*FOREX</f>
        <v>0</v>
      </c>
      <c r="AB169" s="1163"/>
      <c r="AC169" s="1163">
        <f>AC136*$W$169*FOREX</f>
        <v>0</v>
      </c>
      <c r="AD169" s="1163"/>
      <c r="AE169" s="1163">
        <f>AE136*$W$169*FOREX</f>
        <v>0</v>
      </c>
      <c r="AF169" s="1163"/>
      <c r="AG169" s="1163">
        <f>AG136*$W$169*FOREX</f>
        <v>0</v>
      </c>
      <c r="AH169" s="1163"/>
      <c r="AI169" s="1163">
        <f>AI136*$W$169*FOREX</f>
        <v>0</v>
      </c>
      <c r="AJ169" s="1163"/>
      <c r="AK169" s="1163">
        <f>AK136*$W$169*FOREX</f>
        <v>0</v>
      </c>
      <c r="AL169" s="1163"/>
      <c r="AM169" s="1438">
        <f t="shared" si="54"/>
        <v>0</v>
      </c>
      <c r="AN169" s="254"/>
      <c r="AO169" s="249"/>
      <c r="AP169" s="250"/>
      <c r="AQ169" s="250"/>
      <c r="AR169" s="250"/>
      <c r="AS169" s="250"/>
      <c r="AT169" s="250"/>
      <c r="AU169" s="250"/>
      <c r="AV169" s="249"/>
      <c r="AW169" s="249"/>
      <c r="AX169" s="249"/>
      <c r="AY169" s="249"/>
      <c r="AZ169" s="249"/>
      <c r="BA169" s="249"/>
      <c r="BB169" s="249"/>
      <c r="BC169" s="249"/>
      <c r="BD169" s="249"/>
      <c r="BE169" s="249"/>
      <c r="BF169" s="249"/>
      <c r="BG169" s="249"/>
      <c r="BH169" s="249"/>
      <c r="BI169" s="249"/>
      <c r="BJ169" s="249"/>
      <c r="BK169" s="249"/>
      <c r="BL169" s="249"/>
      <c r="BM169" s="249"/>
      <c r="BN169" s="249"/>
      <c r="BO169" s="249"/>
      <c r="BP169" s="249"/>
      <c r="BQ169" s="249"/>
      <c r="BR169" s="249"/>
      <c r="BS169" s="249"/>
      <c r="BT169" s="249"/>
      <c r="BU169" s="249"/>
      <c r="BV169" s="249"/>
      <c r="BW169" s="249"/>
      <c r="BX169" s="249"/>
      <c r="BY169" s="249"/>
      <c r="BZ169" s="249"/>
      <c r="CA169" s="249"/>
      <c r="CB169" s="249"/>
      <c r="CC169" s="249"/>
      <c r="CD169" s="249"/>
      <c r="CE169" s="249"/>
      <c r="CF169" s="249"/>
      <c r="CG169" s="249"/>
      <c r="CH169" s="249"/>
      <c r="CI169" s="249"/>
      <c r="CJ169" s="249"/>
      <c r="CK169" s="249"/>
      <c r="CL169" s="249"/>
      <c r="CM169" s="249"/>
      <c r="CN169" s="249"/>
      <c r="CO169" s="249"/>
      <c r="CP169" s="249"/>
      <c r="CQ169" s="249"/>
      <c r="CR169" s="249"/>
      <c r="CS169" s="249"/>
      <c r="CT169" s="249"/>
      <c r="CU169" s="249"/>
      <c r="CV169" s="249"/>
      <c r="CW169" s="249"/>
      <c r="CX169" s="249"/>
      <c r="CY169" s="249"/>
      <c r="CZ169" s="249"/>
      <c r="DA169" s="249"/>
      <c r="DB169" s="249"/>
      <c r="DC169" s="249"/>
      <c r="DD169" s="249"/>
      <c r="DE169" s="249"/>
      <c r="DF169" s="249"/>
      <c r="DG169" s="249"/>
      <c r="DH169" s="249"/>
      <c r="DI169" s="249"/>
      <c r="DJ169" s="249"/>
      <c r="DK169" s="249"/>
      <c r="DL169" s="249"/>
      <c r="DM169" s="249"/>
      <c r="DN169" s="249"/>
      <c r="DO169" s="249"/>
      <c r="DP169" s="249"/>
      <c r="DQ169" s="249"/>
      <c r="DR169" s="249"/>
      <c r="DS169" s="249"/>
      <c r="DT169" s="249"/>
      <c r="DU169" s="249"/>
      <c r="DV169" s="249"/>
      <c r="DW169" s="249"/>
      <c r="DX169" s="249"/>
      <c r="DY169" s="249"/>
      <c r="DZ169" s="249"/>
      <c r="EA169" s="249"/>
      <c r="EB169" s="249"/>
      <c r="EC169" s="249"/>
      <c r="ED169" s="249"/>
      <c r="EE169" s="249"/>
      <c r="EF169" s="249"/>
      <c r="EG169" s="249"/>
      <c r="EH169" s="249"/>
      <c r="EI169" s="249"/>
      <c r="EJ169" s="249"/>
      <c r="EK169" s="249"/>
      <c r="EL169" s="249"/>
      <c r="EM169" s="249"/>
      <c r="EN169" s="249"/>
      <c r="EO169" s="249"/>
      <c r="EP169" s="249"/>
      <c r="EQ169" s="249"/>
      <c r="ER169" s="249"/>
      <c r="ES169" s="249"/>
      <c r="ET169" s="249"/>
      <c r="EU169" s="249"/>
      <c r="EV169" s="249"/>
      <c r="EW169" s="249"/>
      <c r="EX169" s="249"/>
      <c r="EY169" s="249"/>
      <c r="EZ169" s="249"/>
      <c r="FA169" s="249"/>
      <c r="FB169" s="249"/>
      <c r="FC169" s="249"/>
      <c r="FD169" s="249"/>
      <c r="FE169" s="249"/>
      <c r="FF169" s="249"/>
      <c r="FG169" s="249"/>
      <c r="FH169" s="249"/>
      <c r="FI169" s="249"/>
      <c r="FJ169" s="249"/>
      <c r="FK169" s="249"/>
      <c r="FL169" s="249"/>
      <c r="FM169" s="249"/>
      <c r="FN169" s="249"/>
      <c r="FO169" s="249"/>
      <c r="FP169" s="249"/>
      <c r="FQ169" s="249"/>
      <c r="FR169" s="249"/>
      <c r="FS169" s="249"/>
      <c r="FT169" s="249"/>
      <c r="FU169" s="249"/>
      <c r="FV169" s="249"/>
      <c r="FW169" s="249"/>
      <c r="FX169" s="249"/>
      <c r="FY169" s="249"/>
      <c r="FZ169" s="249"/>
      <c r="GA169" s="249"/>
      <c r="GB169" s="249"/>
      <c r="GC169" s="249"/>
      <c r="GD169" s="249"/>
      <c r="GE169" s="249"/>
      <c r="GF169" s="249"/>
      <c r="GG169" s="249"/>
      <c r="GH169" s="249"/>
      <c r="GI169" s="249"/>
      <c r="GJ169" s="249"/>
      <c r="GK169" s="249"/>
      <c r="GL169" s="249"/>
      <c r="GM169" s="249"/>
      <c r="GN169" s="249"/>
      <c r="GO169" s="249"/>
      <c r="GP169" s="249"/>
      <c r="GQ169" s="249"/>
      <c r="GR169" s="249"/>
    </row>
    <row r="170" spans="1:200" s="252" customFormat="1" ht="12.75" customHeight="1" x14ac:dyDescent="0.2">
      <c r="A170" s="729"/>
      <c r="B170" s="1130"/>
      <c r="C170" s="1130"/>
      <c r="D170" s="532"/>
      <c r="E170" s="613"/>
      <c r="F170" s="249"/>
      <c r="G170" s="250"/>
      <c r="H170" s="250"/>
      <c r="I170" s="250"/>
      <c r="J170" s="250"/>
      <c r="K170" s="250"/>
      <c r="L170" s="250"/>
      <c r="M170" s="250"/>
      <c r="N170" s="250"/>
      <c r="O170" s="250"/>
      <c r="P170" s="251"/>
      <c r="Q170" s="251"/>
      <c r="R170" s="251"/>
      <c r="S170" s="251"/>
      <c r="T170" s="251"/>
      <c r="U170" s="133"/>
      <c r="V170" s="149"/>
      <c r="W170" s="329"/>
      <c r="X170" s="1163"/>
      <c r="Y170" s="1163"/>
      <c r="Z170" s="1163"/>
      <c r="AA170" s="1163"/>
      <c r="AB170" s="1163"/>
      <c r="AC170" s="1163"/>
      <c r="AD170" s="1163"/>
      <c r="AE170" s="1163"/>
      <c r="AF170" s="1163"/>
      <c r="AG170" s="1163"/>
      <c r="AH170" s="1163"/>
      <c r="AI170" s="1163"/>
      <c r="AJ170" s="1163"/>
      <c r="AK170" s="1163"/>
      <c r="AL170" s="1163"/>
      <c r="AM170" s="1438">
        <f t="shared" si="54"/>
        <v>0</v>
      </c>
      <c r="AN170" s="254"/>
      <c r="AO170" s="249"/>
      <c r="AP170" s="250"/>
      <c r="AQ170" s="250"/>
      <c r="AR170" s="250"/>
      <c r="AS170" s="250"/>
      <c r="AT170" s="250"/>
      <c r="AU170" s="250"/>
      <c r="AV170" s="249"/>
      <c r="AW170" s="249"/>
      <c r="AX170" s="249"/>
      <c r="AY170" s="249"/>
      <c r="AZ170" s="249"/>
      <c r="BA170" s="249"/>
      <c r="BB170" s="249"/>
      <c r="BC170" s="249"/>
      <c r="BD170" s="249"/>
      <c r="BE170" s="249"/>
      <c r="BF170" s="249"/>
      <c r="BG170" s="249"/>
      <c r="BH170" s="249"/>
      <c r="BI170" s="249"/>
      <c r="BJ170" s="249"/>
      <c r="BK170" s="249"/>
      <c r="BL170" s="249"/>
      <c r="BM170" s="249"/>
      <c r="BN170" s="249"/>
      <c r="BO170" s="249"/>
      <c r="BP170" s="249"/>
      <c r="BQ170" s="249"/>
      <c r="BR170" s="249"/>
      <c r="BS170" s="249"/>
      <c r="BT170" s="249"/>
      <c r="BU170" s="249"/>
      <c r="BV170" s="249"/>
      <c r="BW170" s="249"/>
      <c r="BX170" s="249"/>
      <c r="BY170" s="249"/>
      <c r="BZ170" s="249"/>
      <c r="CA170" s="249"/>
      <c r="CB170" s="249"/>
      <c r="CC170" s="249"/>
      <c r="CD170" s="249"/>
      <c r="CE170" s="249"/>
      <c r="CF170" s="249"/>
      <c r="CG170" s="249"/>
      <c r="CH170" s="249"/>
      <c r="CI170" s="249"/>
      <c r="CJ170" s="249"/>
      <c r="CK170" s="249"/>
      <c r="CL170" s="249"/>
      <c r="CM170" s="249"/>
      <c r="CN170" s="249"/>
      <c r="CO170" s="249"/>
      <c r="CP170" s="249"/>
      <c r="CQ170" s="249"/>
      <c r="CR170" s="249"/>
      <c r="CS170" s="249"/>
      <c r="CT170" s="249"/>
      <c r="CU170" s="249"/>
      <c r="CV170" s="249"/>
      <c r="CW170" s="249"/>
      <c r="CX170" s="249"/>
      <c r="CY170" s="249"/>
      <c r="CZ170" s="249"/>
      <c r="DA170" s="249"/>
      <c r="DB170" s="249"/>
      <c r="DC170" s="249"/>
      <c r="DD170" s="249"/>
      <c r="DE170" s="249"/>
      <c r="DF170" s="249"/>
      <c r="DG170" s="249"/>
      <c r="DH170" s="249"/>
      <c r="DI170" s="249"/>
      <c r="DJ170" s="249"/>
      <c r="DK170" s="249"/>
      <c r="DL170" s="249"/>
      <c r="DM170" s="249"/>
      <c r="DN170" s="249"/>
      <c r="DO170" s="249"/>
      <c r="DP170" s="249"/>
      <c r="DQ170" s="249"/>
      <c r="DR170" s="249"/>
      <c r="DS170" s="249"/>
      <c r="DT170" s="249"/>
      <c r="DU170" s="249"/>
      <c r="DV170" s="249"/>
      <c r="DW170" s="249"/>
      <c r="DX170" s="249"/>
      <c r="DY170" s="249"/>
      <c r="DZ170" s="249"/>
      <c r="EA170" s="249"/>
      <c r="EB170" s="249"/>
      <c r="EC170" s="249"/>
      <c r="ED170" s="249"/>
      <c r="EE170" s="249"/>
      <c r="EF170" s="249"/>
      <c r="EG170" s="249"/>
      <c r="EH170" s="249"/>
      <c r="EI170" s="249"/>
      <c r="EJ170" s="249"/>
      <c r="EK170" s="249"/>
      <c r="EL170" s="249"/>
      <c r="EM170" s="249"/>
      <c r="EN170" s="249"/>
      <c r="EO170" s="249"/>
      <c r="EP170" s="249"/>
      <c r="EQ170" s="249"/>
      <c r="ER170" s="249"/>
      <c r="ES170" s="249"/>
      <c r="ET170" s="249"/>
      <c r="EU170" s="249"/>
      <c r="EV170" s="249"/>
      <c r="EW170" s="249"/>
      <c r="EX170" s="249"/>
      <c r="EY170" s="249"/>
      <c r="EZ170" s="249"/>
      <c r="FA170" s="249"/>
      <c r="FB170" s="249"/>
      <c r="FC170" s="249"/>
      <c r="FD170" s="249"/>
      <c r="FE170" s="249"/>
      <c r="FF170" s="249"/>
      <c r="FG170" s="249"/>
      <c r="FH170" s="249"/>
      <c r="FI170" s="249"/>
      <c r="FJ170" s="249"/>
      <c r="FK170" s="249"/>
      <c r="FL170" s="249"/>
      <c r="FM170" s="249"/>
      <c r="FN170" s="249"/>
      <c r="FO170" s="249"/>
      <c r="FP170" s="249"/>
      <c r="FQ170" s="249"/>
      <c r="FR170" s="249"/>
      <c r="FS170" s="249"/>
      <c r="FT170" s="249"/>
      <c r="FU170" s="249"/>
      <c r="FV170" s="249"/>
      <c r="FW170" s="249"/>
      <c r="FX170" s="249"/>
      <c r="FY170" s="249"/>
      <c r="FZ170" s="249"/>
      <c r="GA170" s="249"/>
      <c r="GB170" s="249"/>
      <c r="GC170" s="249"/>
      <c r="GD170" s="249"/>
      <c r="GE170" s="249"/>
      <c r="GF170" s="249"/>
      <c r="GG170" s="249"/>
      <c r="GH170" s="249"/>
      <c r="GI170" s="249"/>
      <c r="GJ170" s="249"/>
      <c r="GK170" s="249"/>
      <c r="GL170" s="249"/>
      <c r="GM170" s="249"/>
      <c r="GN170" s="249"/>
      <c r="GO170" s="249"/>
      <c r="GP170" s="249"/>
      <c r="GQ170" s="249"/>
      <c r="GR170" s="249"/>
    </row>
    <row r="171" spans="1:200" s="252" customFormat="1" ht="13.5" customHeight="1" x14ac:dyDescent="0.2">
      <c r="A171" s="712"/>
      <c r="B171" s="1113"/>
      <c r="C171" s="1113"/>
      <c r="D171" s="533"/>
      <c r="E171" s="613"/>
      <c r="F171" s="249"/>
      <c r="G171" s="295"/>
      <c r="H171" s="295"/>
      <c r="I171" s="295"/>
      <c r="J171" s="295"/>
      <c r="K171" s="295"/>
      <c r="L171" s="295"/>
      <c r="M171" s="250"/>
      <c r="N171" s="250"/>
      <c r="O171" s="250"/>
      <c r="P171" s="251"/>
      <c r="Q171" s="251"/>
      <c r="R171" s="251"/>
      <c r="S171" s="251"/>
      <c r="T171" s="251"/>
      <c r="U171" s="254"/>
      <c r="V171" s="254"/>
      <c r="W171" s="257"/>
      <c r="X171" s="246">
        <f>SUM(X142:X170)</f>
        <v>0</v>
      </c>
      <c r="Y171" s="246">
        <f>SUM(Y141:Y170)</f>
        <v>194987.79</v>
      </c>
      <c r="Z171" s="246"/>
      <c r="AA171" s="246">
        <f>SUM(AA141:AA170)</f>
        <v>377218.44</v>
      </c>
      <c r="AB171" s="246"/>
      <c r="AC171" s="246">
        <f>SUM(AC141:AC170)</f>
        <v>1044087.81</v>
      </c>
      <c r="AD171" s="246"/>
      <c r="AE171" s="246">
        <f>SUM(AE141:AE170)</f>
        <v>861489.45</v>
      </c>
      <c r="AF171" s="246"/>
      <c r="AG171" s="246">
        <f>SUM(AG141:AG170)</f>
        <v>539157.72</v>
      </c>
      <c r="AH171" s="246"/>
      <c r="AI171" s="246">
        <f>SUM(AI141:AI170)</f>
        <v>0</v>
      </c>
      <c r="AJ171" s="246"/>
      <c r="AK171" s="246">
        <f>SUM(AK141:AK170)</f>
        <v>0</v>
      </c>
      <c r="AL171" s="246">
        <f>SUM(AL141:AL157)</f>
        <v>0</v>
      </c>
      <c r="AM171" s="1439">
        <f>SUM(AM141:AM170)</f>
        <v>3016941.21</v>
      </c>
      <c r="AN171" s="172"/>
      <c r="AO171" s="249"/>
      <c r="AP171" s="250"/>
      <c r="AQ171" s="250"/>
      <c r="AR171" s="250"/>
      <c r="AS171" s="250"/>
      <c r="AT171" s="250"/>
      <c r="AU171" s="250"/>
      <c r="AV171" s="249"/>
      <c r="AW171" s="249"/>
      <c r="AX171" s="249"/>
      <c r="AY171" s="249"/>
      <c r="AZ171" s="249"/>
      <c r="BA171" s="249"/>
      <c r="BB171" s="249"/>
      <c r="BC171" s="249"/>
      <c r="BD171" s="249"/>
      <c r="BE171" s="249"/>
      <c r="BF171" s="249"/>
      <c r="BG171" s="249"/>
      <c r="BH171" s="249"/>
      <c r="BI171" s="249"/>
      <c r="BJ171" s="249"/>
      <c r="BK171" s="249"/>
      <c r="BL171" s="249"/>
      <c r="BM171" s="249"/>
      <c r="BN171" s="249"/>
      <c r="BO171" s="249"/>
      <c r="BP171" s="249"/>
      <c r="BQ171" s="249"/>
      <c r="BR171" s="249"/>
      <c r="BS171" s="249"/>
      <c r="BT171" s="249"/>
      <c r="BU171" s="249"/>
      <c r="BV171" s="249"/>
      <c r="BW171" s="249"/>
      <c r="BX171" s="249"/>
      <c r="BY171" s="249"/>
      <c r="BZ171" s="249"/>
      <c r="CA171" s="249"/>
      <c r="CB171" s="249"/>
      <c r="CC171" s="249"/>
      <c r="CD171" s="249"/>
      <c r="CE171" s="249"/>
      <c r="CF171" s="249"/>
      <c r="CG171" s="249"/>
      <c r="CH171" s="249"/>
      <c r="CI171" s="249"/>
      <c r="CJ171" s="249"/>
      <c r="CK171" s="249"/>
      <c r="CL171" s="249"/>
      <c r="CM171" s="249"/>
      <c r="CN171" s="249"/>
      <c r="CO171" s="249"/>
      <c r="CP171" s="249"/>
      <c r="CQ171" s="249"/>
      <c r="CR171" s="249"/>
      <c r="CS171" s="249"/>
      <c r="CT171" s="249"/>
      <c r="CU171" s="249"/>
      <c r="CV171" s="249"/>
      <c r="CW171" s="249"/>
      <c r="CX171" s="249"/>
      <c r="CY171" s="249"/>
      <c r="CZ171" s="249"/>
      <c r="DA171" s="249"/>
      <c r="DB171" s="249"/>
      <c r="DC171" s="249"/>
      <c r="DD171" s="249"/>
      <c r="DE171" s="249"/>
      <c r="DF171" s="249"/>
      <c r="DG171" s="249"/>
      <c r="DH171" s="249"/>
      <c r="DI171" s="249"/>
      <c r="DJ171" s="249"/>
      <c r="DK171" s="249"/>
      <c r="DL171" s="249"/>
      <c r="DM171" s="249"/>
      <c r="DN171" s="249"/>
      <c r="DO171" s="249"/>
      <c r="DP171" s="249"/>
      <c r="DQ171" s="249"/>
      <c r="DR171" s="249"/>
      <c r="DS171" s="249"/>
      <c r="DT171" s="249"/>
      <c r="DU171" s="249"/>
      <c r="DV171" s="249"/>
      <c r="DW171" s="249"/>
      <c r="DX171" s="249"/>
      <c r="DY171" s="249"/>
      <c r="DZ171" s="249"/>
      <c r="EA171" s="249"/>
      <c r="EB171" s="249"/>
      <c r="EC171" s="249"/>
      <c r="ED171" s="249"/>
      <c r="EE171" s="249"/>
      <c r="EF171" s="249"/>
      <c r="EG171" s="249"/>
      <c r="EH171" s="249"/>
      <c r="EI171" s="249"/>
      <c r="EJ171" s="249"/>
      <c r="EK171" s="249"/>
      <c r="EL171" s="249"/>
      <c r="EM171" s="249"/>
      <c r="EN171" s="249"/>
      <c r="EO171" s="249"/>
      <c r="EP171" s="249"/>
      <c r="EQ171" s="249"/>
      <c r="ER171" s="249"/>
      <c r="ES171" s="249"/>
      <c r="ET171" s="249"/>
      <c r="EU171" s="249"/>
      <c r="EV171" s="249"/>
      <c r="EW171" s="249"/>
      <c r="EX171" s="249"/>
      <c r="EY171" s="249"/>
      <c r="EZ171" s="249"/>
      <c r="FA171" s="249"/>
      <c r="FB171" s="249"/>
      <c r="FC171" s="249"/>
      <c r="FD171" s="249"/>
      <c r="FE171" s="249"/>
      <c r="FF171" s="249"/>
      <c r="FG171" s="249"/>
      <c r="FH171" s="249"/>
      <c r="FI171" s="249"/>
      <c r="FJ171" s="249"/>
      <c r="FK171" s="249"/>
      <c r="FL171" s="249"/>
      <c r="FM171" s="249"/>
      <c r="FN171" s="249"/>
      <c r="FO171" s="249"/>
      <c r="FP171" s="249"/>
      <c r="FQ171" s="249"/>
      <c r="FR171" s="249"/>
      <c r="FS171" s="249"/>
      <c r="FT171" s="249"/>
      <c r="FU171" s="249"/>
      <c r="FV171" s="249"/>
      <c r="FW171" s="249"/>
      <c r="FX171" s="249"/>
      <c r="FY171" s="249"/>
      <c r="FZ171" s="249"/>
      <c r="GA171" s="249"/>
      <c r="GB171" s="249"/>
      <c r="GC171" s="249"/>
      <c r="GD171" s="249"/>
      <c r="GE171" s="249"/>
      <c r="GF171" s="249"/>
      <c r="GG171" s="249"/>
      <c r="GH171" s="249"/>
      <c r="GI171" s="249"/>
      <c r="GJ171" s="249"/>
      <c r="GK171" s="249"/>
      <c r="GL171" s="249"/>
      <c r="GM171" s="249"/>
      <c r="GN171" s="249"/>
      <c r="GO171" s="249"/>
      <c r="GP171" s="249"/>
      <c r="GQ171" s="249"/>
      <c r="GR171" s="249"/>
    </row>
    <row r="172" spans="1:200" s="252" customFormat="1" ht="12.75" customHeight="1" x14ac:dyDescent="0.2">
      <c r="A172" s="723"/>
      <c r="B172" s="1124"/>
      <c r="C172" s="1124"/>
      <c r="D172" s="527"/>
      <c r="E172" s="596"/>
      <c r="F172" s="249"/>
      <c r="G172" s="250"/>
      <c r="H172" s="250"/>
      <c r="I172" s="250"/>
      <c r="J172" s="250"/>
      <c r="K172" s="250"/>
      <c r="L172" s="250"/>
      <c r="M172" s="250"/>
      <c r="N172" s="250"/>
      <c r="O172" s="250"/>
      <c r="P172" s="251"/>
      <c r="Q172" s="251"/>
      <c r="R172" s="251"/>
      <c r="S172" s="251"/>
      <c r="T172" s="251"/>
      <c r="U172" s="172"/>
      <c r="V172" s="172"/>
      <c r="W172" s="202"/>
      <c r="X172" s="257"/>
      <c r="Y172" s="254"/>
      <c r="Z172" s="254"/>
      <c r="AA172" s="528"/>
      <c r="AB172" s="528"/>
      <c r="AC172" s="530"/>
      <c r="AD172" s="530"/>
      <c r="AE172" s="530"/>
      <c r="AF172" s="530"/>
      <c r="AG172" s="530"/>
      <c r="AH172" s="530"/>
      <c r="AI172" s="530"/>
      <c r="AJ172" s="530"/>
      <c r="AK172" s="530"/>
      <c r="AL172" s="530"/>
      <c r="AM172" s="527">
        <f>AM171-AI171-AK171</f>
        <v>3016941.21</v>
      </c>
      <c r="AN172" s="172"/>
      <c r="AO172" s="249"/>
      <c r="AP172" s="250"/>
      <c r="AQ172" s="250"/>
      <c r="AR172" s="250"/>
      <c r="AS172" s="250"/>
      <c r="AT172" s="250"/>
      <c r="AU172" s="250"/>
      <c r="AV172" s="249"/>
      <c r="AW172" s="249"/>
      <c r="AX172" s="249"/>
      <c r="AY172" s="249"/>
      <c r="AZ172" s="249"/>
      <c r="BA172" s="249"/>
      <c r="BB172" s="249"/>
      <c r="BC172" s="249"/>
      <c r="BD172" s="249"/>
      <c r="BE172" s="249"/>
      <c r="BF172" s="249"/>
      <c r="BG172" s="249"/>
      <c r="BH172" s="249"/>
      <c r="BI172" s="249"/>
      <c r="BJ172" s="249"/>
      <c r="BK172" s="249"/>
      <c r="BL172" s="249"/>
      <c r="BM172" s="249"/>
      <c r="BN172" s="249"/>
      <c r="BO172" s="249"/>
      <c r="BP172" s="249"/>
      <c r="BQ172" s="249"/>
      <c r="BR172" s="249"/>
      <c r="BS172" s="249"/>
      <c r="BT172" s="249"/>
      <c r="BU172" s="249"/>
      <c r="BV172" s="249"/>
      <c r="BW172" s="249"/>
      <c r="BX172" s="249"/>
      <c r="BY172" s="249"/>
      <c r="BZ172" s="249"/>
      <c r="CA172" s="249"/>
      <c r="CB172" s="249"/>
      <c r="CC172" s="249"/>
      <c r="CD172" s="249"/>
      <c r="CE172" s="249"/>
      <c r="CF172" s="249"/>
      <c r="CG172" s="249"/>
      <c r="CH172" s="249"/>
      <c r="CI172" s="249"/>
      <c r="CJ172" s="249"/>
      <c r="CK172" s="249"/>
      <c r="CL172" s="249"/>
      <c r="CM172" s="249"/>
      <c r="CN172" s="249"/>
      <c r="CO172" s="249"/>
      <c r="CP172" s="249"/>
      <c r="CQ172" s="249"/>
      <c r="CR172" s="249"/>
      <c r="CS172" s="249"/>
      <c r="CT172" s="249"/>
      <c r="CU172" s="249"/>
      <c r="CV172" s="249"/>
      <c r="CW172" s="249"/>
      <c r="CX172" s="249"/>
      <c r="CY172" s="249"/>
      <c r="CZ172" s="249"/>
      <c r="DA172" s="249"/>
      <c r="DB172" s="249"/>
      <c r="DC172" s="249"/>
      <c r="DD172" s="249"/>
      <c r="DE172" s="249"/>
      <c r="DF172" s="249"/>
      <c r="DG172" s="249"/>
      <c r="DH172" s="249"/>
      <c r="DI172" s="249"/>
      <c r="DJ172" s="249"/>
      <c r="DK172" s="249"/>
      <c r="DL172" s="249"/>
      <c r="DM172" s="249"/>
      <c r="DN172" s="249"/>
      <c r="DO172" s="249"/>
      <c r="DP172" s="249"/>
      <c r="DQ172" s="249"/>
      <c r="DR172" s="249"/>
      <c r="DS172" s="249"/>
      <c r="DT172" s="249"/>
      <c r="DU172" s="249"/>
      <c r="DV172" s="249"/>
      <c r="DW172" s="249"/>
      <c r="DX172" s="249"/>
      <c r="DY172" s="249"/>
      <c r="DZ172" s="249"/>
      <c r="EA172" s="249"/>
      <c r="EB172" s="249"/>
      <c r="EC172" s="249"/>
      <c r="ED172" s="249"/>
      <c r="EE172" s="249"/>
      <c r="EF172" s="249"/>
      <c r="EG172" s="249"/>
      <c r="EH172" s="249"/>
      <c r="EI172" s="249"/>
      <c r="EJ172" s="249"/>
      <c r="EK172" s="249"/>
      <c r="EL172" s="249"/>
      <c r="EM172" s="249"/>
      <c r="EN172" s="249"/>
      <c r="EO172" s="249"/>
      <c r="EP172" s="249"/>
      <c r="EQ172" s="249"/>
      <c r="ER172" s="249"/>
      <c r="ES172" s="249"/>
      <c r="ET172" s="249"/>
      <c r="EU172" s="249"/>
      <c r="EV172" s="249"/>
      <c r="EW172" s="249"/>
      <c r="EX172" s="249"/>
      <c r="EY172" s="249"/>
      <c r="EZ172" s="249"/>
      <c r="FA172" s="249"/>
      <c r="FB172" s="249"/>
      <c r="FC172" s="249"/>
      <c r="FD172" s="249"/>
      <c r="FE172" s="249"/>
      <c r="FF172" s="249"/>
      <c r="FG172" s="249"/>
      <c r="FH172" s="249"/>
      <c r="FI172" s="249"/>
      <c r="FJ172" s="249"/>
      <c r="FK172" s="249"/>
      <c r="FL172" s="249"/>
      <c r="FM172" s="249"/>
      <c r="FN172" s="249"/>
      <c r="FO172" s="249"/>
      <c r="FP172" s="249"/>
      <c r="FQ172" s="249"/>
      <c r="FR172" s="249"/>
      <c r="FS172" s="249"/>
      <c r="FT172" s="249"/>
      <c r="FU172" s="249"/>
      <c r="FV172" s="249"/>
      <c r="FW172" s="249"/>
      <c r="FX172" s="249"/>
      <c r="FY172" s="249"/>
      <c r="FZ172" s="249"/>
      <c r="GA172" s="249"/>
      <c r="GB172" s="249"/>
      <c r="GC172" s="249"/>
      <c r="GD172" s="249"/>
      <c r="GE172" s="249"/>
      <c r="GF172" s="249"/>
      <c r="GG172" s="249"/>
      <c r="GH172" s="249"/>
      <c r="GI172" s="249"/>
      <c r="GJ172" s="249"/>
      <c r="GK172" s="249"/>
      <c r="GL172" s="249"/>
      <c r="GM172" s="249"/>
      <c r="GN172" s="249"/>
      <c r="GO172" s="249"/>
      <c r="GP172" s="249"/>
      <c r="GQ172" s="249"/>
      <c r="GR172" s="249"/>
    </row>
    <row r="173" spans="1:200" s="252" customFormat="1" ht="12.75" customHeight="1" x14ac:dyDescent="0.2">
      <c r="A173" s="721"/>
      <c r="B173" s="1122"/>
      <c r="C173" s="1122"/>
      <c r="D173" s="228"/>
      <c r="E173" s="596"/>
      <c r="F173" s="249"/>
      <c r="G173" s="250"/>
      <c r="H173" s="250"/>
      <c r="I173" s="250"/>
      <c r="J173" s="250"/>
      <c r="K173" s="250"/>
      <c r="L173" s="250"/>
      <c r="M173" s="250"/>
      <c r="N173" s="250"/>
      <c r="O173" s="250"/>
      <c r="P173" s="251"/>
      <c r="Q173" s="251"/>
      <c r="R173" s="251"/>
      <c r="S173" s="251"/>
      <c r="T173" s="251"/>
      <c r="U173" s="172"/>
      <c r="V173" s="172"/>
      <c r="W173" s="202"/>
      <c r="X173" s="172"/>
      <c r="Y173" s="226"/>
      <c r="Z173" s="203">
        <f>INPUT!K23*1.2</f>
        <v>1.2</v>
      </c>
      <c r="AA173" s="1910"/>
      <c r="AB173" s="1911">
        <f>INPUT!$K$24*1.2</f>
        <v>1.2</v>
      </c>
      <c r="AC173" s="203"/>
      <c r="AD173" s="203">
        <f>INPUT!K25*1.2</f>
        <v>1.2</v>
      </c>
      <c r="AE173" s="203"/>
      <c r="AF173" s="226"/>
      <c r="AG173" s="226"/>
      <c r="AH173" s="226"/>
      <c r="AI173" s="226"/>
      <c r="AJ173" s="226"/>
      <c r="AK173" s="226"/>
      <c r="AL173" s="172"/>
      <c r="AM173" s="228"/>
      <c r="AN173" s="172"/>
      <c r="AO173" s="249"/>
      <c r="AP173" s="250"/>
      <c r="AQ173" s="250"/>
      <c r="AR173" s="250"/>
      <c r="AS173" s="250"/>
      <c r="AT173" s="250"/>
      <c r="AU173" s="250"/>
      <c r="AV173" s="249"/>
      <c r="AW173" s="249"/>
      <c r="AX173" s="249"/>
      <c r="AY173" s="249"/>
      <c r="AZ173" s="249"/>
      <c r="BA173" s="249"/>
      <c r="BB173" s="249"/>
      <c r="BC173" s="249"/>
      <c r="BD173" s="249"/>
      <c r="BE173" s="249"/>
      <c r="BF173" s="249"/>
      <c r="BG173" s="249"/>
      <c r="BH173" s="249"/>
      <c r="BI173" s="249"/>
      <c r="BJ173" s="249"/>
      <c r="BK173" s="249"/>
      <c r="BL173" s="249"/>
      <c r="BM173" s="249"/>
      <c r="BN173" s="249"/>
      <c r="BO173" s="249"/>
      <c r="BP173" s="249"/>
      <c r="BQ173" s="249"/>
      <c r="BR173" s="249"/>
      <c r="BS173" s="249"/>
      <c r="BT173" s="249"/>
      <c r="BU173" s="249"/>
      <c r="BV173" s="249"/>
      <c r="BW173" s="249"/>
      <c r="BX173" s="249"/>
      <c r="BY173" s="249"/>
      <c r="BZ173" s="249"/>
      <c r="CA173" s="249"/>
      <c r="CB173" s="249"/>
      <c r="CC173" s="249"/>
      <c r="CD173" s="249"/>
      <c r="CE173" s="249"/>
      <c r="CF173" s="249"/>
      <c r="CG173" s="249"/>
      <c r="CH173" s="249"/>
      <c r="CI173" s="249"/>
      <c r="CJ173" s="249"/>
      <c r="CK173" s="249"/>
      <c r="CL173" s="249"/>
      <c r="CM173" s="249"/>
      <c r="CN173" s="249"/>
      <c r="CO173" s="249"/>
      <c r="CP173" s="249"/>
      <c r="CQ173" s="249"/>
      <c r="CR173" s="249"/>
      <c r="CS173" s="249"/>
      <c r="CT173" s="249"/>
      <c r="CU173" s="249"/>
      <c r="CV173" s="249"/>
      <c r="CW173" s="249"/>
      <c r="CX173" s="249"/>
      <c r="CY173" s="249"/>
      <c r="CZ173" s="249"/>
      <c r="DA173" s="249"/>
      <c r="DB173" s="249"/>
      <c r="DC173" s="249"/>
      <c r="DD173" s="249"/>
      <c r="DE173" s="249"/>
      <c r="DF173" s="249"/>
      <c r="DG173" s="249"/>
      <c r="DH173" s="249"/>
      <c r="DI173" s="249"/>
      <c r="DJ173" s="249"/>
      <c r="DK173" s="249"/>
      <c r="DL173" s="249"/>
      <c r="DM173" s="249"/>
      <c r="DN173" s="249"/>
      <c r="DO173" s="249"/>
      <c r="DP173" s="249"/>
      <c r="DQ173" s="249"/>
      <c r="DR173" s="249"/>
      <c r="DS173" s="249"/>
      <c r="DT173" s="249"/>
      <c r="DU173" s="249"/>
      <c r="DV173" s="249"/>
      <c r="DW173" s="249"/>
      <c r="DX173" s="249"/>
      <c r="DY173" s="249"/>
      <c r="DZ173" s="249"/>
      <c r="EA173" s="249"/>
      <c r="EB173" s="249"/>
      <c r="EC173" s="249"/>
      <c r="ED173" s="249"/>
      <c r="EE173" s="249"/>
      <c r="EF173" s="249"/>
      <c r="EG173" s="249"/>
      <c r="EH173" s="249"/>
      <c r="EI173" s="249"/>
      <c r="EJ173" s="249"/>
      <c r="EK173" s="249"/>
      <c r="EL173" s="249"/>
      <c r="EM173" s="249"/>
      <c r="EN173" s="249"/>
      <c r="EO173" s="249"/>
      <c r="EP173" s="249"/>
      <c r="EQ173" s="249"/>
      <c r="ER173" s="249"/>
      <c r="ES173" s="249"/>
      <c r="ET173" s="249"/>
      <c r="EU173" s="249"/>
      <c r="EV173" s="249"/>
      <c r="EW173" s="249"/>
      <c r="EX173" s="249"/>
      <c r="EY173" s="249"/>
      <c r="EZ173" s="249"/>
      <c r="FA173" s="249"/>
      <c r="FB173" s="249"/>
      <c r="FC173" s="249"/>
      <c r="FD173" s="249"/>
      <c r="FE173" s="249"/>
      <c r="FF173" s="249"/>
      <c r="FG173" s="249"/>
      <c r="FH173" s="249"/>
      <c r="FI173" s="249"/>
      <c r="FJ173" s="249"/>
      <c r="FK173" s="249"/>
      <c r="FL173" s="249"/>
      <c r="FM173" s="249"/>
      <c r="FN173" s="249"/>
      <c r="FO173" s="249"/>
      <c r="FP173" s="249"/>
      <c r="FQ173" s="249"/>
      <c r="FR173" s="249"/>
      <c r="FS173" s="249"/>
      <c r="FT173" s="249"/>
      <c r="FU173" s="249"/>
      <c r="FV173" s="249"/>
      <c r="FW173" s="249"/>
      <c r="FX173" s="249"/>
      <c r="FY173" s="249"/>
      <c r="FZ173" s="249"/>
      <c r="GA173" s="249"/>
      <c r="GB173" s="249"/>
      <c r="GC173" s="249"/>
      <c r="GD173" s="249"/>
      <c r="GE173" s="249"/>
      <c r="GF173" s="249"/>
      <c r="GG173" s="249"/>
      <c r="GH173" s="249"/>
      <c r="GI173" s="249"/>
      <c r="GJ173" s="249"/>
      <c r="GK173" s="249"/>
      <c r="GL173" s="249"/>
      <c r="GM173" s="249"/>
      <c r="GN173" s="249"/>
      <c r="GO173" s="249"/>
      <c r="GP173" s="249"/>
      <c r="GQ173" s="249"/>
      <c r="GR173" s="249"/>
    </row>
    <row r="174" spans="1:200" s="252" customFormat="1" ht="13.5" customHeight="1" x14ac:dyDescent="0.2">
      <c r="A174" s="723"/>
      <c r="B174" s="1124"/>
      <c r="C174" s="1124"/>
      <c r="D174" s="527"/>
      <c r="E174" s="596"/>
      <c r="F174" s="249"/>
      <c r="G174" s="250"/>
      <c r="H174" s="250"/>
      <c r="I174" s="250"/>
      <c r="J174" s="250"/>
      <c r="K174" s="250"/>
      <c r="L174" s="250"/>
      <c r="M174" s="250"/>
      <c r="N174" s="250"/>
      <c r="O174" s="250"/>
      <c r="P174" s="251"/>
      <c r="Q174" s="251"/>
      <c r="R174" s="251"/>
      <c r="S174" s="251"/>
      <c r="T174" s="251"/>
      <c r="U174" s="1396"/>
      <c r="V174" s="1423" t="s">
        <v>159</v>
      </c>
      <c r="W174" s="665"/>
      <c r="X174" s="527"/>
      <c r="Y174" s="1912">
        <f>INPUT!$J$23</f>
        <v>1</v>
      </c>
      <c r="Z174" s="1913" t="str">
        <f>IF(INPUT!$L$23="No","Basic","Acid")</f>
        <v>Basic</v>
      </c>
      <c r="AA174" s="1914">
        <f>INPUT!J24</f>
        <v>1</v>
      </c>
      <c r="AB174" s="1913" t="str">
        <f>IF(INPUT!$L$24="No","Basic","Acid")</f>
        <v>Basic</v>
      </c>
      <c r="AC174" s="1912">
        <f>INPUT!$J$25</f>
        <v>1</v>
      </c>
      <c r="AD174" s="1913" t="str">
        <f>IF(INPUT!$L$25="No","Basic","Acid")</f>
        <v>Basic</v>
      </c>
      <c r="AE174" s="1020"/>
      <c r="AF174" s="1020"/>
      <c r="AG174" s="1020"/>
      <c r="AH174" s="1020"/>
      <c r="AI174" s="1020"/>
      <c r="AJ174" s="1020"/>
      <c r="AK174" s="1020">
        <f>INPUT!$J$29</f>
        <v>0</v>
      </c>
      <c r="AL174" s="254"/>
      <c r="AM174" s="527"/>
      <c r="AN174" s="254"/>
      <c r="AO174" s="249"/>
      <c r="AP174" s="250"/>
      <c r="AQ174" s="250"/>
      <c r="AR174" s="250"/>
      <c r="AS174" s="250"/>
      <c r="AT174" s="250"/>
      <c r="AU174" s="250"/>
      <c r="AV174" s="249"/>
      <c r="AW174" s="249"/>
      <c r="AX174" s="249"/>
      <c r="AY174" s="249"/>
      <c r="AZ174" s="249"/>
      <c r="BA174" s="249"/>
      <c r="BB174" s="249"/>
      <c r="BC174" s="249"/>
      <c r="BD174" s="249"/>
      <c r="BE174" s="249"/>
      <c r="BF174" s="249"/>
      <c r="BG174" s="249"/>
      <c r="BH174" s="249"/>
      <c r="BI174" s="249"/>
      <c r="BJ174" s="249"/>
      <c r="BK174" s="249"/>
      <c r="BL174" s="249"/>
      <c r="BM174" s="249"/>
      <c r="BN174" s="249"/>
      <c r="BO174" s="249"/>
      <c r="BP174" s="249"/>
      <c r="BQ174" s="249"/>
      <c r="BR174" s="249"/>
      <c r="BS174" s="249"/>
      <c r="BT174" s="249"/>
      <c r="BU174" s="249"/>
      <c r="BV174" s="249"/>
      <c r="BW174" s="249"/>
      <c r="BX174" s="249"/>
      <c r="BY174" s="249"/>
      <c r="BZ174" s="249"/>
      <c r="CA174" s="249"/>
      <c r="CB174" s="249"/>
      <c r="CC174" s="249"/>
      <c r="CD174" s="249"/>
      <c r="CE174" s="249"/>
      <c r="CF174" s="249"/>
      <c r="CG174" s="249"/>
      <c r="CH174" s="249"/>
      <c r="CI174" s="249"/>
      <c r="CJ174" s="249"/>
      <c r="CK174" s="249"/>
      <c r="CL174" s="249"/>
      <c r="CM174" s="249"/>
      <c r="CN174" s="249"/>
      <c r="CO174" s="249"/>
      <c r="CP174" s="249"/>
      <c r="CQ174" s="249"/>
      <c r="CR174" s="249"/>
      <c r="CS174" s="249"/>
      <c r="CT174" s="249"/>
      <c r="CU174" s="249"/>
      <c r="CV174" s="249"/>
      <c r="CW174" s="249"/>
      <c r="CX174" s="249"/>
      <c r="CY174" s="249"/>
      <c r="CZ174" s="249"/>
      <c r="DA174" s="249"/>
      <c r="DB174" s="249"/>
      <c r="DC174" s="249"/>
      <c r="DD174" s="249"/>
      <c r="DE174" s="249"/>
      <c r="DF174" s="249"/>
      <c r="DG174" s="249"/>
      <c r="DH174" s="249"/>
      <c r="DI174" s="249"/>
      <c r="DJ174" s="249"/>
      <c r="DK174" s="249"/>
      <c r="DL174" s="249"/>
      <c r="DM174" s="249"/>
      <c r="DN174" s="249"/>
      <c r="DO174" s="249"/>
      <c r="DP174" s="249"/>
      <c r="DQ174" s="249"/>
      <c r="DR174" s="249"/>
      <c r="DS174" s="249"/>
      <c r="DT174" s="249"/>
      <c r="DU174" s="249"/>
      <c r="DV174" s="249"/>
      <c r="DW174" s="249"/>
      <c r="DX174" s="249"/>
      <c r="DY174" s="249"/>
      <c r="DZ174" s="249"/>
      <c r="EA174" s="249"/>
      <c r="EB174" s="249"/>
      <c r="EC174" s="249"/>
      <c r="ED174" s="249"/>
      <c r="EE174" s="249"/>
      <c r="EF174" s="249"/>
      <c r="EG174" s="249"/>
      <c r="EH174" s="249"/>
      <c r="EI174" s="249"/>
      <c r="EJ174" s="249"/>
      <c r="EK174" s="249"/>
      <c r="EL174" s="249"/>
      <c r="EM174" s="249"/>
      <c r="EN174" s="249"/>
      <c r="EO174" s="249"/>
      <c r="EP174" s="249"/>
      <c r="EQ174" s="249"/>
      <c r="ER174" s="249"/>
      <c r="ES174" s="249"/>
      <c r="ET174" s="249"/>
      <c r="EU174" s="249"/>
      <c r="EV174" s="249"/>
      <c r="EW174" s="249"/>
      <c r="EX174" s="249"/>
      <c r="EY174" s="249"/>
      <c r="EZ174" s="249"/>
      <c r="FA174" s="249"/>
      <c r="FB174" s="249"/>
      <c r="FC174" s="249"/>
      <c r="FD174" s="249"/>
      <c r="FE174" s="249"/>
      <c r="FF174" s="249"/>
      <c r="FG174" s="249"/>
      <c r="FH174" s="249"/>
      <c r="FI174" s="249"/>
      <c r="FJ174" s="249"/>
      <c r="FK174" s="249"/>
      <c r="FL174" s="249"/>
      <c r="FM174" s="249"/>
      <c r="FN174" s="249"/>
      <c r="FO174" s="249"/>
      <c r="FP174" s="249"/>
      <c r="FQ174" s="249"/>
      <c r="FR174" s="249"/>
      <c r="FS174" s="249"/>
      <c r="FT174" s="249"/>
      <c r="FU174" s="249"/>
      <c r="FV174" s="249"/>
      <c r="FW174" s="249"/>
      <c r="FX174" s="249"/>
      <c r="FY174" s="249"/>
      <c r="FZ174" s="249"/>
      <c r="GA174" s="249"/>
      <c r="GB174" s="249"/>
      <c r="GC174" s="249"/>
      <c r="GD174" s="249"/>
      <c r="GE174" s="249"/>
      <c r="GF174" s="249"/>
      <c r="GG174" s="249"/>
      <c r="GH174" s="249"/>
      <c r="GI174" s="249"/>
      <c r="GJ174" s="249"/>
      <c r="GK174" s="249"/>
      <c r="GL174" s="249"/>
      <c r="GM174" s="249"/>
      <c r="GN174" s="249"/>
      <c r="GO174" s="249"/>
      <c r="GP174" s="249"/>
      <c r="GQ174" s="249"/>
      <c r="GR174" s="249"/>
    </row>
    <row r="175" spans="1:200" s="252" customFormat="1" ht="13.5" customHeight="1" x14ac:dyDescent="0.2">
      <c r="A175" s="728"/>
      <c r="B175" s="1129"/>
      <c r="C175" s="1129"/>
      <c r="D175" s="531"/>
      <c r="E175" s="613"/>
      <c r="F175" s="249"/>
      <c r="G175" s="250"/>
      <c r="H175" s="250"/>
      <c r="I175" s="250"/>
      <c r="J175" s="250"/>
      <c r="K175" s="250"/>
      <c r="L175" s="250"/>
      <c r="M175" s="250"/>
      <c r="N175" s="250"/>
      <c r="O175" s="250"/>
      <c r="P175" s="251"/>
      <c r="Q175" s="251"/>
      <c r="R175" s="251"/>
      <c r="S175" s="251"/>
      <c r="T175" s="251"/>
      <c r="U175" s="2513" t="s">
        <v>152</v>
      </c>
      <c r="V175" s="2514"/>
      <c r="W175" s="1440" t="s">
        <v>153</v>
      </c>
      <c r="X175" s="1426" t="str">
        <f t="shared" ref="X175:AK175" si="55">X$14</f>
        <v>RIGMOVE</v>
      </c>
      <c r="Y175" s="1426" t="str">
        <f t="shared" si="55"/>
        <v>DSURFACE</v>
      </c>
      <c r="Z175" s="1426" t="str">
        <f t="shared" si="55"/>
        <v>FSURFACE</v>
      </c>
      <c r="AA175" s="1426" t="str">
        <f t="shared" si="55"/>
        <v>DINTERMEDIATE</v>
      </c>
      <c r="AB175" s="1426" t="str">
        <f t="shared" si="55"/>
        <v>FINTERMEDIATE</v>
      </c>
      <c r="AC175" s="1426" t="str">
        <f t="shared" si="55"/>
        <v>DPRODUCTION</v>
      </c>
      <c r="AD175" s="1426" t="str">
        <f t="shared" si="55"/>
        <v>FPRODUCTION</v>
      </c>
      <c r="AE175" s="1426" t="str">
        <f t="shared" si="55"/>
        <v>DLINER1</v>
      </c>
      <c r="AF175" s="1426" t="str">
        <f t="shared" si="55"/>
        <v>FLINER1</v>
      </c>
      <c r="AG175" s="1426" t="str">
        <f t="shared" si="55"/>
        <v>DLINER2</v>
      </c>
      <c r="AH175" s="1426" t="str">
        <f t="shared" si="55"/>
        <v>FLINER2</v>
      </c>
      <c r="AI175" s="1426" t="str">
        <f t="shared" si="55"/>
        <v/>
      </c>
      <c r="AJ175" s="1426" t="str">
        <f t="shared" si="55"/>
        <v/>
      </c>
      <c r="AK175" s="1426" t="str">
        <f t="shared" si="55"/>
        <v/>
      </c>
      <c r="AL175" s="1426"/>
      <c r="AM175" s="1437" t="s">
        <v>101</v>
      </c>
      <c r="AN175" s="254"/>
      <c r="AO175" s="249"/>
      <c r="AP175" s="250"/>
      <c r="AQ175" s="250"/>
      <c r="AR175" s="250"/>
      <c r="AS175" s="250"/>
      <c r="AT175" s="250"/>
      <c r="AU175" s="250"/>
      <c r="AV175" s="249"/>
      <c r="AW175" s="249"/>
      <c r="AX175" s="249"/>
      <c r="AY175" s="249"/>
      <c r="AZ175" s="249"/>
      <c r="BA175" s="249"/>
      <c r="BB175" s="249"/>
      <c r="BC175" s="249"/>
      <c r="BD175" s="249"/>
      <c r="BE175" s="249"/>
      <c r="BF175" s="249"/>
      <c r="BG175" s="249"/>
      <c r="BH175" s="249"/>
      <c r="BI175" s="249"/>
      <c r="BJ175" s="249"/>
      <c r="BK175" s="249"/>
      <c r="BL175" s="249"/>
      <c r="BM175" s="249"/>
      <c r="BN175" s="249"/>
      <c r="BO175" s="249"/>
      <c r="BP175" s="249"/>
      <c r="BQ175" s="249"/>
      <c r="BR175" s="249"/>
      <c r="BS175" s="249"/>
      <c r="BT175" s="249"/>
      <c r="BU175" s="249"/>
      <c r="BV175" s="249"/>
      <c r="BW175" s="249"/>
      <c r="BX175" s="249"/>
      <c r="BY175" s="249"/>
      <c r="BZ175" s="249"/>
      <c r="CA175" s="249"/>
      <c r="CB175" s="249"/>
      <c r="CC175" s="249"/>
      <c r="CD175" s="249"/>
      <c r="CE175" s="249"/>
      <c r="CF175" s="249"/>
      <c r="CG175" s="249"/>
      <c r="CH175" s="249"/>
      <c r="CI175" s="249"/>
      <c r="CJ175" s="249"/>
      <c r="CK175" s="249"/>
      <c r="CL175" s="249"/>
      <c r="CM175" s="249"/>
      <c r="CN175" s="249"/>
      <c r="CO175" s="249"/>
      <c r="CP175" s="249"/>
      <c r="CQ175" s="249"/>
      <c r="CR175" s="249"/>
      <c r="CS175" s="249"/>
      <c r="CT175" s="249"/>
      <c r="CU175" s="249"/>
      <c r="CV175" s="249"/>
      <c r="CW175" s="249"/>
      <c r="CX175" s="249"/>
      <c r="CY175" s="249"/>
      <c r="CZ175" s="249"/>
      <c r="DA175" s="249"/>
      <c r="DB175" s="249"/>
      <c r="DC175" s="249"/>
      <c r="DD175" s="249"/>
      <c r="DE175" s="249"/>
      <c r="DF175" s="249"/>
      <c r="DG175" s="249"/>
      <c r="DH175" s="249"/>
      <c r="DI175" s="249"/>
      <c r="DJ175" s="249"/>
      <c r="DK175" s="249"/>
      <c r="DL175" s="249"/>
      <c r="DM175" s="249"/>
      <c r="DN175" s="249"/>
      <c r="DO175" s="249"/>
      <c r="DP175" s="249"/>
      <c r="DQ175" s="249"/>
      <c r="DR175" s="249"/>
      <c r="DS175" s="249"/>
      <c r="DT175" s="249"/>
      <c r="DU175" s="249"/>
      <c r="DV175" s="249"/>
      <c r="DW175" s="249"/>
      <c r="DX175" s="249"/>
      <c r="DY175" s="249"/>
      <c r="DZ175" s="249"/>
      <c r="EA175" s="249"/>
      <c r="EB175" s="249"/>
      <c r="EC175" s="249"/>
      <c r="ED175" s="249"/>
      <c r="EE175" s="249"/>
      <c r="EF175" s="249"/>
      <c r="EG175" s="249"/>
      <c r="EH175" s="249"/>
      <c r="EI175" s="249"/>
      <c r="EJ175" s="249"/>
      <c r="EK175" s="249"/>
      <c r="EL175" s="249"/>
      <c r="EM175" s="249"/>
      <c r="EN175" s="249"/>
      <c r="EO175" s="249"/>
      <c r="EP175" s="249"/>
      <c r="EQ175" s="249"/>
      <c r="ER175" s="249"/>
      <c r="ES175" s="249"/>
      <c r="ET175" s="249"/>
      <c r="EU175" s="249"/>
      <c r="EV175" s="249"/>
      <c r="EW175" s="249"/>
      <c r="EX175" s="249"/>
      <c r="EY175" s="249"/>
      <c r="EZ175" s="249"/>
      <c r="FA175" s="249"/>
      <c r="FB175" s="249"/>
      <c r="FC175" s="249"/>
      <c r="FD175" s="249"/>
      <c r="FE175" s="249"/>
      <c r="FF175" s="249"/>
      <c r="FG175" s="249"/>
      <c r="FH175" s="249"/>
      <c r="FI175" s="249"/>
      <c r="FJ175" s="249"/>
      <c r="FK175" s="249"/>
      <c r="FL175" s="249"/>
      <c r="FM175" s="249"/>
      <c r="FN175" s="249"/>
      <c r="FO175" s="249"/>
      <c r="FP175" s="249"/>
      <c r="FQ175" s="249"/>
      <c r="FR175" s="249"/>
      <c r="FS175" s="249"/>
      <c r="FT175" s="249"/>
      <c r="FU175" s="249"/>
      <c r="FV175" s="249"/>
      <c r="FW175" s="249"/>
      <c r="FX175" s="249"/>
      <c r="FY175" s="249"/>
      <c r="FZ175" s="249"/>
      <c r="GA175" s="249"/>
      <c r="GB175" s="249"/>
      <c r="GC175" s="249"/>
      <c r="GD175" s="249"/>
      <c r="GE175" s="249"/>
      <c r="GF175" s="249"/>
      <c r="GG175" s="249"/>
      <c r="GH175" s="249"/>
      <c r="GI175" s="249"/>
      <c r="GJ175" s="249"/>
      <c r="GK175" s="249"/>
      <c r="GL175" s="249"/>
      <c r="GM175" s="249"/>
      <c r="GN175" s="249"/>
      <c r="GO175" s="249"/>
      <c r="GP175" s="249"/>
      <c r="GQ175" s="249"/>
      <c r="GR175" s="249"/>
    </row>
    <row r="176" spans="1:200" s="252" customFormat="1" ht="12.75" customHeight="1" x14ac:dyDescent="0.2">
      <c r="A176" s="722"/>
      <c r="B176" s="1123"/>
      <c r="C176" s="1123"/>
      <c r="D176" s="525"/>
      <c r="E176" s="613"/>
      <c r="F176" s="249"/>
      <c r="G176" s="250"/>
      <c r="H176" s="250"/>
      <c r="I176" s="250"/>
      <c r="J176" s="250"/>
      <c r="K176" s="250"/>
      <c r="L176" s="250"/>
      <c r="M176" s="250"/>
      <c r="N176" s="250"/>
      <c r="O176" s="250"/>
      <c r="P176" s="251"/>
      <c r="Q176" s="251"/>
      <c r="R176" s="251"/>
      <c r="S176" s="249"/>
      <c r="T176" s="249"/>
      <c r="U176" s="1397"/>
      <c r="V176" s="1397" t="str">
        <f>CONCATENATE('Cement SLB Rev'!A4, " ",'Cement SLB Rev'!B4)</f>
        <v>Cement D907 (110lb)</v>
      </c>
      <c r="W176" s="255" t="str">
        <f>'Cement SLB Rev'!C4</f>
        <v>110lb</v>
      </c>
      <c r="X176" s="475"/>
      <c r="Y176" s="246">
        <f>ROUNDUP($Y$174*'Cement SLB Rev'!W4,0)</f>
        <v>89</v>
      </c>
      <c r="Z176" s="246">
        <f>ROUNDUP(IF(Z$174="Basic",'Cement SLB Rev'!P4,'Cement SLB Rev'!Q4),0)+($Z$173*'Cement SLB Rev'!W4)</f>
        <v>716.62181818181818</v>
      </c>
      <c r="AA176" s="246">
        <f>ROUNDUP($AA$174*'Cement SLB Rev'!W4,0)</f>
        <v>89</v>
      </c>
      <c r="AB176" s="246">
        <f>ROUNDUP(IF(AB$174="Basic",'Cement SLB Rev'!R4,'Cement SLB Rev'!S4),0)+ROUNDUP($AB$173*'Cement SLB Rev'!W4,0)</f>
        <v>1789</v>
      </c>
      <c r="AC176" s="246">
        <f>ROUNDUP($AC$174*'Cement SLB Rev'!W4,0)</f>
        <v>89</v>
      </c>
      <c r="AD176" s="246">
        <f>ROUNDUP(IF(AD$174="Basic",'Cement SLB Rev'!T4,'Cement SLB Rev'!U4),0)+($AD$173*'Cement SLB Rev'!W4)</f>
        <v>1469.6218181818181</v>
      </c>
      <c r="AE176" s="246"/>
      <c r="AF176" s="246">
        <f>ROUNDUP('Cement SLB Rev'!V4,-1)+IF(RH_BH="Regular Hole",ROUNDUP('Cement SLB Rev'!X4,0))</f>
        <v>100</v>
      </c>
      <c r="AG176" s="246"/>
      <c r="AH176" s="246">
        <f>IFERROR(ROUNDUP('Cement SLB Rev'!X4,-1)*IF(RH_BH="Regular Hole",0,1),0)*IF(DOUBLE_LINER="Yes",1,0)</f>
        <v>840</v>
      </c>
      <c r="AI176" s="246"/>
      <c r="AJ176" s="246">
        <f>ROUNDUP(IF($AJ$175="",0,'Cement SLB Rev'!X4),0)</f>
        <v>0</v>
      </c>
      <c r="AK176" s="246">
        <f>ROUNDUP(IF($AK$175="",0,'Cement SLB Rev'!Y4)+($AK$174*'Cement SLB Rev'!W4),0)</f>
        <v>0</v>
      </c>
      <c r="AL176" s="475"/>
      <c r="AM176" s="475">
        <f>SUM(X176:AL176)</f>
        <v>5182.2436363636361</v>
      </c>
      <c r="AN176" s="254"/>
      <c r="AO176" s="249"/>
      <c r="AP176" s="250"/>
      <c r="AQ176" s="250"/>
      <c r="AR176" s="250"/>
      <c r="AS176" s="250"/>
      <c r="AT176" s="250"/>
      <c r="AU176" s="250"/>
      <c r="AV176" s="249"/>
      <c r="AW176" s="249"/>
      <c r="AX176" s="249"/>
      <c r="AY176" s="249"/>
      <c r="AZ176" s="249"/>
      <c r="BA176" s="249"/>
      <c r="BB176" s="249"/>
      <c r="BC176" s="249"/>
      <c r="BD176" s="249"/>
      <c r="BE176" s="249"/>
      <c r="BF176" s="249"/>
      <c r="BG176" s="249"/>
      <c r="BH176" s="249"/>
      <c r="BI176" s="249"/>
      <c r="BJ176" s="249"/>
      <c r="BK176" s="249"/>
      <c r="BL176" s="249"/>
      <c r="BM176" s="249"/>
      <c r="BN176" s="249"/>
      <c r="BO176" s="249"/>
      <c r="BP176" s="249"/>
      <c r="BQ176" s="249"/>
      <c r="BR176" s="249"/>
      <c r="BS176" s="249"/>
      <c r="BT176" s="249"/>
      <c r="BU176" s="249"/>
      <c r="BV176" s="249"/>
      <c r="BW176" s="249"/>
      <c r="BX176" s="249"/>
      <c r="BY176" s="249"/>
      <c r="BZ176" s="249"/>
      <c r="CA176" s="249"/>
      <c r="CB176" s="249"/>
      <c r="CC176" s="249"/>
      <c r="CD176" s="249"/>
      <c r="CE176" s="249"/>
      <c r="CF176" s="249"/>
      <c r="CG176" s="249"/>
      <c r="CH176" s="249"/>
      <c r="CI176" s="249"/>
      <c r="CJ176" s="249"/>
      <c r="CK176" s="249"/>
      <c r="CL176" s="249"/>
      <c r="CM176" s="249"/>
      <c r="CN176" s="249"/>
      <c r="CO176" s="249"/>
      <c r="CP176" s="249"/>
      <c r="CQ176" s="249"/>
      <c r="CR176" s="249"/>
      <c r="CS176" s="249"/>
      <c r="CT176" s="249"/>
      <c r="CU176" s="249"/>
      <c r="CV176" s="249"/>
      <c r="CW176" s="249"/>
      <c r="CX176" s="249"/>
      <c r="CY176" s="249"/>
      <c r="CZ176" s="249"/>
      <c r="DA176" s="249"/>
      <c r="DB176" s="249"/>
      <c r="DC176" s="249"/>
      <c r="DD176" s="249"/>
      <c r="DE176" s="249"/>
      <c r="DF176" s="249"/>
      <c r="DG176" s="249"/>
      <c r="DH176" s="249"/>
      <c r="DI176" s="249"/>
      <c r="DJ176" s="249"/>
      <c r="DK176" s="249"/>
      <c r="DL176" s="249"/>
      <c r="DM176" s="249"/>
      <c r="DN176" s="249"/>
      <c r="DO176" s="249"/>
      <c r="DP176" s="249"/>
      <c r="DQ176" s="249"/>
      <c r="DR176" s="249"/>
      <c r="DS176" s="249"/>
      <c r="DT176" s="249"/>
      <c r="DU176" s="249"/>
      <c r="DV176" s="249"/>
      <c r="DW176" s="249"/>
      <c r="DX176" s="249"/>
      <c r="DY176" s="249"/>
      <c r="DZ176" s="249"/>
      <c r="EA176" s="249"/>
      <c r="EB176" s="249"/>
      <c r="EC176" s="249"/>
      <c r="ED176" s="249"/>
      <c r="EE176" s="249"/>
      <c r="EF176" s="249"/>
      <c r="EG176" s="249"/>
      <c r="EH176" s="249"/>
      <c r="EI176" s="249"/>
      <c r="EJ176" s="249"/>
      <c r="EK176" s="249"/>
      <c r="EL176" s="249"/>
      <c r="EM176" s="249"/>
      <c r="EN176" s="249"/>
      <c r="EO176" s="249"/>
      <c r="EP176" s="249"/>
      <c r="EQ176" s="249"/>
      <c r="ER176" s="249"/>
      <c r="ES176" s="249"/>
      <c r="ET176" s="249"/>
      <c r="EU176" s="249"/>
      <c r="EV176" s="249"/>
      <c r="EW176" s="249"/>
      <c r="EX176" s="249"/>
      <c r="EY176" s="249"/>
      <c r="EZ176" s="249"/>
      <c r="FA176" s="249"/>
      <c r="FB176" s="249"/>
      <c r="FC176" s="249"/>
      <c r="FD176" s="249"/>
      <c r="FE176" s="249"/>
      <c r="FF176" s="249"/>
      <c r="FG176" s="249"/>
      <c r="FH176" s="249"/>
      <c r="FI176" s="249"/>
      <c r="FJ176" s="249"/>
      <c r="FK176" s="249"/>
      <c r="FL176" s="249"/>
      <c r="FM176" s="249"/>
      <c r="FN176" s="249"/>
      <c r="FO176" s="249"/>
      <c r="FP176" s="249"/>
      <c r="FQ176" s="249"/>
      <c r="FR176" s="249"/>
      <c r="FS176" s="249"/>
      <c r="FT176" s="249"/>
      <c r="FU176" s="249"/>
      <c r="FV176" s="249"/>
      <c r="FW176" s="249"/>
      <c r="FX176" s="249"/>
      <c r="FY176" s="249"/>
      <c r="FZ176" s="249"/>
      <c r="GA176" s="249"/>
      <c r="GB176" s="249"/>
      <c r="GC176" s="249"/>
      <c r="GD176" s="249"/>
      <c r="GE176" s="249"/>
      <c r="GF176" s="249"/>
      <c r="GG176" s="249"/>
      <c r="GH176" s="249"/>
      <c r="GI176" s="249"/>
      <c r="GJ176" s="249"/>
      <c r="GK176" s="249"/>
      <c r="GL176" s="249"/>
      <c r="GM176" s="249"/>
      <c r="GN176" s="249"/>
      <c r="GO176" s="249"/>
      <c r="GP176" s="249"/>
      <c r="GQ176" s="249"/>
      <c r="GR176" s="249"/>
    </row>
    <row r="177" spans="1:200" s="252" customFormat="1" ht="12.75" customHeight="1" x14ac:dyDescent="0.2">
      <c r="A177" s="722"/>
      <c r="B177" s="1123"/>
      <c r="C177" s="1123"/>
      <c r="D177" s="525"/>
      <c r="E177" s="613"/>
      <c r="F177" s="249"/>
      <c r="G177" s="250"/>
      <c r="H177" s="250"/>
      <c r="I177" s="250"/>
      <c r="J177" s="250"/>
      <c r="K177" s="250"/>
      <c r="L177" s="250"/>
      <c r="M177" s="250"/>
      <c r="N177" s="250"/>
      <c r="O177" s="250"/>
      <c r="P177" s="251"/>
      <c r="Q177" s="251"/>
      <c r="R177" s="251"/>
      <c r="S177" s="249"/>
      <c r="T177" s="249"/>
      <c r="U177" s="1671"/>
      <c r="V177" s="1862" t="str">
        <f>CONCATENATE('Cement SLB Rev'!A5, " ",'Cement SLB Rev'!B5)</f>
        <v>Antifoam D047 (gps)</v>
      </c>
      <c r="W177" s="255" t="str">
        <f>'Cement SLB Rev'!C5</f>
        <v>gal</v>
      </c>
      <c r="X177" s="475"/>
      <c r="Y177" s="246">
        <f>ROUNDUP($Y$174*'Cement SLB Rev'!W5,0)</f>
        <v>6</v>
      </c>
      <c r="Z177" s="246">
        <f>ROUNDUP(IF(Z$174="Basic",'Cement SLB Rev'!P5,'Cement SLB Rev'!Q5),0)+($Z$173*'Cement SLB Rev'!W5)</f>
        <v>43.2</v>
      </c>
      <c r="AA177" s="246">
        <f>ROUNDUP($AA$174*'Cement SLB Rev'!W5,0)</f>
        <v>6</v>
      </c>
      <c r="AB177" s="246">
        <f>ROUNDUP(IF(AB$174="Basic",'Cement SLB Rev'!R5,'Cement SLB Rev'!S5),0)+($AB$173*'Cement SLB Rev'!W5)</f>
        <v>106.2</v>
      </c>
      <c r="AC177" s="246">
        <f>ROUNDUP($AC$174*'Cement SLB Rev'!W5,0)</f>
        <v>6</v>
      </c>
      <c r="AD177" s="246">
        <f>ROUNDUP(IF(AD$174="Basic",'Cement SLB Rev'!T5,'Cement SLB Rev'!U5),0)+($AD$173*'Cement SLB Rev'!W5)</f>
        <v>87.2</v>
      </c>
      <c r="AE177" s="246"/>
      <c r="AF177" s="246">
        <f>ROUNDUP('Cement SLB Rev'!V5,-1)+IF(RH_BH="Regular Hole",ROUNDUP('Cement SLB Rev'!X5,0))</f>
        <v>10</v>
      </c>
      <c r="AG177" s="246"/>
      <c r="AH177" s="246">
        <f>IFERROR(ROUNDUP('Cement SLB Rev'!X5,-1)*IF(RH_BH="Regular Hole",0,1),0)*IF(DOUBLE_LINER="Yes",1,0)</f>
        <v>50</v>
      </c>
      <c r="AI177" s="246"/>
      <c r="AJ177" s="246">
        <f>ROUNDUP(IF($AJ$175="",0,'Cement SLB Rev'!X5),0)</f>
        <v>0</v>
      </c>
      <c r="AK177" s="246">
        <f>ROUNDUP(IF($AK$175="",0,'Cement SLB Rev'!Y5)+($AK$174*'Cement SLB Rev'!W5),0)</f>
        <v>0</v>
      </c>
      <c r="AL177" s="475"/>
      <c r="AM177" s="475">
        <f t="shared" ref="AM177:AM184" si="56">SUM(X177:AL177)</f>
        <v>314.60000000000002</v>
      </c>
      <c r="AN177" s="254"/>
      <c r="AO177" s="249"/>
      <c r="AP177" s="250"/>
      <c r="AQ177" s="250"/>
      <c r="AR177" s="250"/>
      <c r="AS177" s="250"/>
      <c r="AT177" s="250"/>
      <c r="AU177" s="250"/>
      <c r="AV177" s="249"/>
      <c r="AW177" s="249"/>
      <c r="AX177" s="249"/>
      <c r="AY177" s="249"/>
      <c r="AZ177" s="249"/>
      <c r="BA177" s="249"/>
      <c r="BB177" s="249"/>
      <c r="BC177" s="249"/>
      <c r="BD177" s="249"/>
      <c r="BE177" s="249"/>
      <c r="BF177" s="249"/>
      <c r="BG177" s="249"/>
      <c r="BH177" s="249"/>
      <c r="BI177" s="249"/>
      <c r="BJ177" s="249"/>
      <c r="BK177" s="249"/>
      <c r="BL177" s="249"/>
      <c r="BM177" s="249"/>
      <c r="BN177" s="249"/>
      <c r="BO177" s="249"/>
      <c r="BP177" s="249"/>
      <c r="BQ177" s="249"/>
      <c r="BR177" s="249"/>
      <c r="BS177" s="249"/>
      <c r="BT177" s="249"/>
      <c r="BU177" s="249"/>
      <c r="BV177" s="249"/>
      <c r="BW177" s="249"/>
      <c r="BX177" s="249"/>
      <c r="BY177" s="249"/>
      <c r="BZ177" s="249"/>
      <c r="CA177" s="249"/>
      <c r="CB177" s="249"/>
      <c r="CC177" s="249"/>
      <c r="CD177" s="249"/>
      <c r="CE177" s="249"/>
      <c r="CF177" s="249"/>
      <c r="CG177" s="249"/>
      <c r="CH177" s="249"/>
      <c r="CI177" s="249"/>
      <c r="CJ177" s="249"/>
      <c r="CK177" s="249"/>
      <c r="CL177" s="249"/>
      <c r="CM177" s="249"/>
      <c r="CN177" s="249"/>
      <c r="CO177" s="249"/>
      <c r="CP177" s="249"/>
      <c r="CQ177" s="249"/>
      <c r="CR177" s="249"/>
      <c r="CS177" s="249"/>
      <c r="CT177" s="249"/>
      <c r="CU177" s="249"/>
      <c r="CV177" s="249"/>
      <c r="CW177" s="249"/>
      <c r="CX177" s="249"/>
      <c r="CY177" s="249"/>
      <c r="CZ177" s="249"/>
      <c r="DA177" s="249"/>
      <c r="DB177" s="249"/>
      <c r="DC177" s="249"/>
      <c r="DD177" s="249"/>
      <c r="DE177" s="249"/>
      <c r="DF177" s="249"/>
      <c r="DG177" s="249"/>
      <c r="DH177" s="249"/>
      <c r="DI177" s="249"/>
      <c r="DJ177" s="249"/>
      <c r="DK177" s="249"/>
      <c r="DL177" s="249"/>
      <c r="DM177" s="249"/>
      <c r="DN177" s="249"/>
      <c r="DO177" s="249"/>
      <c r="DP177" s="249"/>
      <c r="DQ177" s="249"/>
      <c r="DR177" s="249"/>
      <c r="DS177" s="249"/>
      <c r="DT177" s="249"/>
      <c r="DU177" s="249"/>
      <c r="DV177" s="249"/>
      <c r="DW177" s="249"/>
      <c r="DX177" s="249"/>
      <c r="DY177" s="249"/>
      <c r="DZ177" s="249"/>
      <c r="EA177" s="249"/>
      <c r="EB177" s="249"/>
      <c r="EC177" s="249"/>
      <c r="ED177" s="249"/>
      <c r="EE177" s="249"/>
      <c r="EF177" s="249"/>
      <c r="EG177" s="249"/>
      <c r="EH177" s="249"/>
      <c r="EI177" s="249"/>
      <c r="EJ177" s="249"/>
      <c r="EK177" s="249"/>
      <c r="EL177" s="249"/>
      <c r="EM177" s="249"/>
      <c r="EN177" s="249"/>
      <c r="EO177" s="249"/>
      <c r="EP177" s="249"/>
      <c r="EQ177" s="249"/>
      <c r="ER177" s="249"/>
      <c r="ES177" s="249"/>
      <c r="ET177" s="249"/>
      <c r="EU177" s="249"/>
      <c r="EV177" s="249"/>
      <c r="EW177" s="249"/>
      <c r="EX177" s="249"/>
      <c r="EY177" s="249"/>
      <c r="EZ177" s="249"/>
      <c r="FA177" s="249"/>
      <c r="FB177" s="249"/>
      <c r="FC177" s="249"/>
      <c r="FD177" s="249"/>
      <c r="FE177" s="249"/>
      <c r="FF177" s="249"/>
      <c r="FG177" s="249"/>
      <c r="FH177" s="249"/>
      <c r="FI177" s="249"/>
      <c r="FJ177" s="249"/>
      <c r="FK177" s="249"/>
      <c r="FL177" s="249"/>
      <c r="FM177" s="249"/>
      <c r="FN177" s="249"/>
      <c r="FO177" s="249"/>
      <c r="FP177" s="249"/>
      <c r="FQ177" s="249"/>
      <c r="FR177" s="249"/>
      <c r="FS177" s="249"/>
      <c r="FT177" s="249"/>
      <c r="FU177" s="249"/>
      <c r="FV177" s="249"/>
      <c r="FW177" s="249"/>
      <c r="FX177" s="249"/>
      <c r="FY177" s="249"/>
      <c r="FZ177" s="249"/>
      <c r="GA177" s="249"/>
      <c r="GB177" s="249"/>
      <c r="GC177" s="249"/>
      <c r="GD177" s="249"/>
      <c r="GE177" s="249"/>
      <c r="GF177" s="249"/>
      <c r="GG177" s="249"/>
      <c r="GH177" s="249"/>
      <c r="GI177" s="249"/>
      <c r="GJ177" s="249"/>
      <c r="GK177" s="249"/>
      <c r="GL177" s="249"/>
      <c r="GM177" s="249"/>
      <c r="GN177" s="249"/>
      <c r="GO177" s="249"/>
      <c r="GP177" s="249"/>
      <c r="GQ177" s="249"/>
      <c r="GR177" s="249"/>
    </row>
    <row r="178" spans="1:200" s="252" customFormat="1" ht="12.75" customHeight="1" x14ac:dyDescent="0.2">
      <c r="A178" s="722"/>
      <c r="B178" s="1123"/>
      <c r="C178" s="1123"/>
      <c r="D178" s="525"/>
      <c r="E178" s="613"/>
      <c r="F178" s="249"/>
      <c r="G178" s="250"/>
      <c r="H178" s="250"/>
      <c r="I178" s="250"/>
      <c r="J178" s="250"/>
      <c r="K178" s="250"/>
      <c r="L178" s="250"/>
      <c r="M178" s="250"/>
      <c r="N178" s="250"/>
      <c r="O178" s="250"/>
      <c r="P178" s="251"/>
      <c r="Q178" s="251"/>
      <c r="R178" s="251"/>
      <c r="S178" s="249"/>
      <c r="T178" s="249"/>
      <c r="U178" s="1671"/>
      <c r="V178" s="1862" t="str">
        <f>CONCATENATE('Cement SLB Rev'!A6, " ",'Cement SLB Rev'!B6)</f>
        <v>Extender D020 (lbs)</v>
      </c>
      <c r="W178" s="255" t="str">
        <f>'Cement SLB Rev'!C6</f>
        <v>lb</v>
      </c>
      <c r="X178" s="475"/>
      <c r="Y178" s="246">
        <f>ROUNDUP($Y$174*'Cement SLB Rev'!W6,0)</f>
        <v>0</v>
      </c>
      <c r="Z178" s="246">
        <f>ROUNDUP(IF(Z$174="Basic",'Cement SLB Rev'!P6,'Cement SLB Rev'!Q6),0)+($Z$173*'Cement SLB Rev'!W6)</f>
        <v>235</v>
      </c>
      <c r="AA178" s="246">
        <f>ROUNDUP($AA$174*'Cement SLB Rev'!W6,0)</f>
        <v>0</v>
      </c>
      <c r="AB178" s="246">
        <f>ROUNDUP(IF(AB$174="Basic",'Cement SLB Rev'!R6,'Cement SLB Rev'!S6),0)+($AB$173*'Cement SLB Rev'!W6)</f>
        <v>463</v>
      </c>
      <c r="AC178" s="246">
        <f>ROUNDUP($AC$174*'Cement SLB Rev'!W6,0)</f>
        <v>0</v>
      </c>
      <c r="AD178" s="246">
        <f>ROUNDUP(IF(AD$174="Basic",'Cement SLB Rev'!T6,'Cement SLB Rev'!U6),0)+($AD$173*'Cement SLB Rev'!W6)</f>
        <v>0</v>
      </c>
      <c r="AE178" s="246"/>
      <c r="AF178" s="246">
        <f>ROUNDUP('Cement SLB Rev'!V6,0)</f>
        <v>0</v>
      </c>
      <c r="AG178" s="246"/>
      <c r="AH178" s="246">
        <f>IFERROR(ROUNDUP('Cement SLB Rev'!X6,-1)*IF(RH_BH="Regular Hole",0,1),0)*IF(DOUBLE_LINER="Yes",1,0)</f>
        <v>120</v>
      </c>
      <c r="AI178" s="246"/>
      <c r="AJ178" s="246">
        <f>ROUNDUP(IF($AJ$175="",0,'Cement SLB Rev'!X6),0)</f>
        <v>0</v>
      </c>
      <c r="AK178" s="246">
        <f>ROUNDUP(IF($AK$175="",0,'Cement SLB Rev'!Y6)+($AK$174*'Cement SLB Rev'!W6),0)</f>
        <v>0</v>
      </c>
      <c r="AL178" s="475"/>
      <c r="AM178" s="475">
        <f t="shared" si="56"/>
        <v>818</v>
      </c>
      <c r="AN178" s="254"/>
      <c r="AO178" s="249"/>
      <c r="AP178" s="250"/>
      <c r="AQ178" s="250"/>
      <c r="AR178" s="250"/>
      <c r="AS178" s="250"/>
      <c r="AT178" s="250"/>
      <c r="AU178" s="250"/>
      <c r="AV178" s="249"/>
      <c r="AW178" s="249"/>
      <c r="AX178" s="249"/>
      <c r="AY178" s="249"/>
      <c r="AZ178" s="249"/>
      <c r="BA178" s="249"/>
      <c r="BB178" s="249"/>
      <c r="BC178" s="249"/>
      <c r="BD178" s="249"/>
      <c r="BE178" s="249"/>
      <c r="BF178" s="249"/>
      <c r="BG178" s="249"/>
      <c r="BH178" s="249"/>
      <c r="BI178" s="249"/>
      <c r="BJ178" s="249"/>
      <c r="BK178" s="249"/>
      <c r="BL178" s="249"/>
      <c r="BM178" s="249"/>
      <c r="BN178" s="249"/>
      <c r="BO178" s="249"/>
      <c r="BP178" s="249"/>
      <c r="BQ178" s="249"/>
      <c r="BR178" s="249"/>
      <c r="BS178" s="249"/>
      <c r="BT178" s="249"/>
      <c r="BU178" s="249"/>
      <c r="BV178" s="249"/>
      <c r="BW178" s="249"/>
      <c r="BX178" s="249"/>
      <c r="BY178" s="249"/>
      <c r="BZ178" s="249"/>
      <c r="CA178" s="249"/>
      <c r="CB178" s="249"/>
      <c r="CC178" s="249"/>
      <c r="CD178" s="249"/>
      <c r="CE178" s="249"/>
      <c r="CF178" s="249"/>
      <c r="CG178" s="249"/>
      <c r="CH178" s="249"/>
      <c r="CI178" s="249"/>
      <c r="CJ178" s="249"/>
      <c r="CK178" s="249"/>
      <c r="CL178" s="249"/>
      <c r="CM178" s="249"/>
      <c r="CN178" s="249"/>
      <c r="CO178" s="249"/>
      <c r="CP178" s="249"/>
      <c r="CQ178" s="249"/>
      <c r="CR178" s="249"/>
      <c r="CS178" s="249"/>
      <c r="CT178" s="249"/>
      <c r="CU178" s="249"/>
      <c r="CV178" s="249"/>
      <c r="CW178" s="249"/>
      <c r="CX178" s="249"/>
      <c r="CY178" s="249"/>
      <c r="CZ178" s="249"/>
      <c r="DA178" s="249"/>
      <c r="DB178" s="249"/>
      <c r="DC178" s="249"/>
      <c r="DD178" s="249"/>
      <c r="DE178" s="249"/>
      <c r="DF178" s="249"/>
      <c r="DG178" s="249"/>
      <c r="DH178" s="249"/>
      <c r="DI178" s="249"/>
      <c r="DJ178" s="249"/>
      <c r="DK178" s="249"/>
      <c r="DL178" s="249"/>
      <c r="DM178" s="249"/>
      <c r="DN178" s="249"/>
      <c r="DO178" s="249"/>
      <c r="DP178" s="249"/>
      <c r="DQ178" s="249"/>
      <c r="DR178" s="249"/>
      <c r="DS178" s="249"/>
      <c r="DT178" s="249"/>
      <c r="DU178" s="249"/>
      <c r="DV178" s="249"/>
      <c r="DW178" s="249"/>
      <c r="DX178" s="249"/>
      <c r="DY178" s="249"/>
      <c r="DZ178" s="249"/>
      <c r="EA178" s="249"/>
      <c r="EB178" s="249"/>
      <c r="EC178" s="249"/>
      <c r="ED178" s="249"/>
      <c r="EE178" s="249"/>
      <c r="EF178" s="249"/>
      <c r="EG178" s="249"/>
      <c r="EH178" s="249"/>
      <c r="EI178" s="249"/>
      <c r="EJ178" s="249"/>
      <c r="EK178" s="249"/>
      <c r="EL178" s="249"/>
      <c r="EM178" s="249"/>
      <c r="EN178" s="249"/>
      <c r="EO178" s="249"/>
      <c r="EP178" s="249"/>
      <c r="EQ178" s="249"/>
      <c r="ER178" s="249"/>
      <c r="ES178" s="249"/>
      <c r="ET178" s="249"/>
      <c r="EU178" s="249"/>
      <c r="EV178" s="249"/>
      <c r="EW178" s="249"/>
      <c r="EX178" s="249"/>
      <c r="EY178" s="249"/>
      <c r="EZ178" s="249"/>
      <c r="FA178" s="249"/>
      <c r="FB178" s="249"/>
      <c r="FC178" s="249"/>
      <c r="FD178" s="249"/>
      <c r="FE178" s="249"/>
      <c r="FF178" s="249"/>
      <c r="FG178" s="249"/>
      <c r="FH178" s="249"/>
      <c r="FI178" s="249"/>
      <c r="FJ178" s="249"/>
      <c r="FK178" s="249"/>
      <c r="FL178" s="249"/>
      <c r="FM178" s="249"/>
      <c r="FN178" s="249"/>
      <c r="FO178" s="249"/>
      <c r="FP178" s="249"/>
      <c r="FQ178" s="249"/>
      <c r="FR178" s="249"/>
      <c r="FS178" s="249"/>
      <c r="FT178" s="249"/>
      <c r="FU178" s="249"/>
      <c r="FV178" s="249"/>
      <c r="FW178" s="249"/>
      <c r="FX178" s="249"/>
      <c r="FY178" s="249"/>
      <c r="FZ178" s="249"/>
      <c r="GA178" s="249"/>
      <c r="GB178" s="249"/>
      <c r="GC178" s="249"/>
      <c r="GD178" s="249"/>
      <c r="GE178" s="249"/>
      <c r="GF178" s="249"/>
      <c r="GG178" s="249"/>
      <c r="GH178" s="249"/>
      <c r="GI178" s="249"/>
      <c r="GJ178" s="249"/>
      <c r="GK178" s="249"/>
      <c r="GL178" s="249"/>
      <c r="GM178" s="249"/>
      <c r="GN178" s="249"/>
      <c r="GO178" s="249"/>
      <c r="GP178" s="249"/>
      <c r="GQ178" s="249"/>
      <c r="GR178" s="249"/>
    </row>
    <row r="179" spans="1:200" s="252" customFormat="1" ht="12.75" customHeight="1" x14ac:dyDescent="0.2">
      <c r="A179" s="722"/>
      <c r="B179" s="1123"/>
      <c r="C179" s="1123"/>
      <c r="D179" s="525"/>
      <c r="E179" s="613"/>
      <c r="F179" s="249"/>
      <c r="G179" s="250"/>
      <c r="H179" s="250"/>
      <c r="I179" s="250"/>
      <c r="J179" s="250"/>
      <c r="K179" s="250"/>
      <c r="L179" s="250"/>
      <c r="M179" s="250"/>
      <c r="N179" s="250"/>
      <c r="O179" s="250"/>
      <c r="P179" s="251"/>
      <c r="Q179" s="251"/>
      <c r="R179" s="251"/>
      <c r="S179" s="249"/>
      <c r="T179" s="249"/>
      <c r="U179" s="1671"/>
      <c r="V179" s="1862" t="str">
        <f>CONCATENATE('Cement SLB Rev'!A7, " ",'Cement SLB Rev'!B7)</f>
        <v>Dispersant D065 (lbs)</v>
      </c>
      <c r="W179" s="255" t="str">
        <f>'Cement SLB Rev'!C7</f>
        <v>lb</v>
      </c>
      <c r="X179" s="475"/>
      <c r="Y179" s="246">
        <f>ROUNDUP($Y$174*'Cement SLB Rev'!W7,0)</f>
        <v>49</v>
      </c>
      <c r="Z179" s="246">
        <f>ROUNDUP(IF(Z$174="Basic",'Cement SLB Rev'!P7,'Cement SLB Rev'!Q7),0)+($Z$173*'Cement SLB Rev'!W7)</f>
        <v>119.8</v>
      </c>
      <c r="AA179" s="246">
        <f>ROUNDUP($AA$174*'Cement SLB Rev'!W7,0)</f>
        <v>49</v>
      </c>
      <c r="AB179" s="246">
        <f>ROUNDUP(IF(AB$174="Basic",'Cement SLB Rev'!R7,'Cement SLB Rev'!S7),0)+($AB$173*'Cement SLB Rev'!W7)</f>
        <v>429.8</v>
      </c>
      <c r="AC179" s="246">
        <f>ROUNDUP($AC$174*'Cement SLB Rev'!W7,0)</f>
        <v>49</v>
      </c>
      <c r="AD179" s="246">
        <f>ROUNDUP(IF(AD$174="Basic",'Cement SLB Rev'!T7,'Cement SLB Rev'!U7),0)+($AD$173*'Cement SLB Rev'!W7)</f>
        <v>659.8</v>
      </c>
      <c r="AE179" s="246"/>
      <c r="AF179" s="246">
        <f>ROUNDUP('Cement SLB Rev'!V7,-1)+IF(RH_BH="Regular Hole",ROUNDUP('Cement SLB Rev'!X7,0))</f>
        <v>60</v>
      </c>
      <c r="AG179" s="246"/>
      <c r="AH179" s="246">
        <f>IFERROR(ROUNDUP('Cement SLB Rev'!X7,-1)*IF(RH_BH="Regular Hole",0,1),0)*IF(DOUBLE_LINER="Yes",1,0)</f>
        <v>100</v>
      </c>
      <c r="AI179" s="246"/>
      <c r="AJ179" s="246">
        <f>ROUNDUP(IF($AJ$175="",0,'Cement SLB Rev'!X7),0)</f>
        <v>0</v>
      </c>
      <c r="AK179" s="246">
        <f>ROUNDUP(IF($AK$175="",0,'Cement SLB Rev'!Y7)+($AK$174*'Cement SLB Rev'!W7),0)</f>
        <v>0</v>
      </c>
      <c r="AL179" s="475"/>
      <c r="AM179" s="475">
        <f t="shared" si="56"/>
        <v>1516.4</v>
      </c>
      <c r="AN179" s="254"/>
      <c r="AO179" s="249"/>
      <c r="AP179" s="250"/>
      <c r="AQ179" s="250"/>
      <c r="AR179" s="250"/>
      <c r="AS179" s="250"/>
      <c r="AT179" s="250"/>
      <c r="AU179" s="250"/>
      <c r="AV179" s="249"/>
      <c r="AW179" s="249"/>
      <c r="AX179" s="249"/>
      <c r="AY179" s="249"/>
      <c r="AZ179" s="249"/>
      <c r="BA179" s="249"/>
      <c r="BB179" s="249"/>
      <c r="BC179" s="249"/>
      <c r="BD179" s="249"/>
      <c r="BE179" s="249"/>
      <c r="BF179" s="249"/>
      <c r="BG179" s="249"/>
      <c r="BH179" s="249"/>
      <c r="BI179" s="249"/>
      <c r="BJ179" s="249"/>
      <c r="BK179" s="249"/>
      <c r="BL179" s="249"/>
      <c r="BM179" s="249"/>
      <c r="BN179" s="249"/>
      <c r="BO179" s="249"/>
      <c r="BP179" s="249"/>
      <c r="BQ179" s="249"/>
      <c r="BR179" s="249"/>
      <c r="BS179" s="249"/>
      <c r="BT179" s="249"/>
      <c r="BU179" s="249"/>
      <c r="BV179" s="249"/>
      <c r="BW179" s="249"/>
      <c r="BX179" s="249"/>
      <c r="BY179" s="249"/>
      <c r="BZ179" s="249"/>
      <c r="CA179" s="249"/>
      <c r="CB179" s="249"/>
      <c r="CC179" s="249"/>
      <c r="CD179" s="249"/>
      <c r="CE179" s="249"/>
      <c r="CF179" s="249"/>
      <c r="CG179" s="249"/>
      <c r="CH179" s="249"/>
      <c r="CI179" s="249"/>
      <c r="CJ179" s="249"/>
      <c r="CK179" s="249"/>
      <c r="CL179" s="249"/>
      <c r="CM179" s="249"/>
      <c r="CN179" s="249"/>
      <c r="CO179" s="249"/>
      <c r="CP179" s="249"/>
      <c r="CQ179" s="249"/>
      <c r="CR179" s="249"/>
      <c r="CS179" s="249"/>
      <c r="CT179" s="249"/>
      <c r="CU179" s="249"/>
      <c r="CV179" s="249"/>
      <c r="CW179" s="249"/>
      <c r="CX179" s="249"/>
      <c r="CY179" s="249"/>
      <c r="CZ179" s="249"/>
      <c r="DA179" s="249"/>
      <c r="DB179" s="249"/>
      <c r="DC179" s="249"/>
      <c r="DD179" s="249"/>
      <c r="DE179" s="249"/>
      <c r="DF179" s="249"/>
      <c r="DG179" s="249"/>
      <c r="DH179" s="249"/>
      <c r="DI179" s="249"/>
      <c r="DJ179" s="249"/>
      <c r="DK179" s="249"/>
      <c r="DL179" s="249"/>
      <c r="DM179" s="249"/>
      <c r="DN179" s="249"/>
      <c r="DO179" s="249"/>
      <c r="DP179" s="249"/>
      <c r="DQ179" s="249"/>
      <c r="DR179" s="249"/>
      <c r="DS179" s="249"/>
      <c r="DT179" s="249"/>
      <c r="DU179" s="249"/>
      <c r="DV179" s="249"/>
      <c r="DW179" s="249"/>
      <c r="DX179" s="249"/>
      <c r="DY179" s="249"/>
      <c r="DZ179" s="249"/>
      <c r="EA179" s="249"/>
      <c r="EB179" s="249"/>
      <c r="EC179" s="249"/>
      <c r="ED179" s="249"/>
      <c r="EE179" s="249"/>
      <c r="EF179" s="249"/>
      <c r="EG179" s="249"/>
      <c r="EH179" s="249"/>
      <c r="EI179" s="249"/>
      <c r="EJ179" s="249"/>
      <c r="EK179" s="249"/>
      <c r="EL179" s="249"/>
      <c r="EM179" s="249"/>
      <c r="EN179" s="249"/>
      <c r="EO179" s="249"/>
      <c r="EP179" s="249"/>
      <c r="EQ179" s="249"/>
      <c r="ER179" s="249"/>
      <c r="ES179" s="249"/>
      <c r="ET179" s="249"/>
      <c r="EU179" s="249"/>
      <c r="EV179" s="249"/>
      <c r="EW179" s="249"/>
      <c r="EX179" s="249"/>
      <c r="EY179" s="249"/>
      <c r="EZ179" s="249"/>
      <c r="FA179" s="249"/>
      <c r="FB179" s="249"/>
      <c r="FC179" s="249"/>
      <c r="FD179" s="249"/>
      <c r="FE179" s="249"/>
      <c r="FF179" s="249"/>
      <c r="FG179" s="249"/>
      <c r="FH179" s="249"/>
      <c r="FI179" s="249"/>
      <c r="FJ179" s="249"/>
      <c r="FK179" s="249"/>
      <c r="FL179" s="249"/>
      <c r="FM179" s="249"/>
      <c r="FN179" s="249"/>
      <c r="FO179" s="249"/>
      <c r="FP179" s="249"/>
      <c r="FQ179" s="249"/>
      <c r="FR179" s="249"/>
      <c r="FS179" s="249"/>
      <c r="FT179" s="249"/>
      <c r="FU179" s="249"/>
      <c r="FV179" s="249"/>
      <c r="FW179" s="249"/>
      <c r="FX179" s="249"/>
      <c r="FY179" s="249"/>
      <c r="FZ179" s="249"/>
      <c r="GA179" s="249"/>
      <c r="GB179" s="249"/>
      <c r="GC179" s="249"/>
      <c r="GD179" s="249"/>
      <c r="GE179" s="249"/>
      <c r="GF179" s="249"/>
      <c r="GG179" s="249"/>
      <c r="GH179" s="249"/>
      <c r="GI179" s="249"/>
      <c r="GJ179" s="249"/>
      <c r="GK179" s="249"/>
      <c r="GL179" s="249"/>
      <c r="GM179" s="249"/>
      <c r="GN179" s="249"/>
      <c r="GO179" s="249"/>
      <c r="GP179" s="249"/>
      <c r="GQ179" s="249"/>
      <c r="GR179" s="249"/>
    </row>
    <row r="180" spans="1:200" s="252" customFormat="1" ht="12.75" customHeight="1" x14ac:dyDescent="0.2">
      <c r="A180" s="722"/>
      <c r="B180" s="1123"/>
      <c r="C180" s="1123"/>
      <c r="D180" s="525"/>
      <c r="E180" s="613"/>
      <c r="F180" s="249"/>
      <c r="G180" s="250"/>
      <c r="H180" s="250"/>
      <c r="I180" s="250"/>
      <c r="J180" s="250"/>
      <c r="K180" s="250"/>
      <c r="L180" s="250"/>
      <c r="M180" s="250"/>
      <c r="N180" s="250"/>
      <c r="O180" s="250"/>
      <c r="P180" s="251"/>
      <c r="Q180" s="251"/>
      <c r="R180" s="251"/>
      <c r="S180" s="249"/>
      <c r="T180" s="249"/>
      <c r="U180" s="1671"/>
      <c r="V180" s="1862" t="str">
        <f>CONCATENATE('Cement SLB Rev'!A8, " ",'Cement SLB Rev'!B8)</f>
        <v>Retarder D800 (lbs)</v>
      </c>
      <c r="W180" s="255" t="str">
        <f>'Cement SLB Rev'!C8</f>
        <v>lb</v>
      </c>
      <c r="X180" s="475"/>
      <c r="Y180" s="246">
        <f>ROUNDUP($Y$174*'Cement SLB Rev'!W8,0)</f>
        <v>10</v>
      </c>
      <c r="Z180" s="246">
        <f>ROUNDUP(IF(Z$174="Basic",'Cement SLB Rev'!P8,'Cement SLB Rev'!Q8),0)+($Z$173*'Cement SLB Rev'!W8)</f>
        <v>141</v>
      </c>
      <c r="AA180" s="246">
        <f>ROUNDUP($AA$174*'Cement SLB Rev'!W8,0)</f>
        <v>10</v>
      </c>
      <c r="AB180" s="246">
        <f>ROUNDUP(IF(AB$174="Basic",'Cement SLB Rev'!R8,'Cement SLB Rev'!S8),0)+($AB$173*'Cement SLB Rev'!W8)</f>
        <v>91</v>
      </c>
      <c r="AC180" s="246">
        <f>ROUNDUP($AC$174*'Cement SLB Rev'!W8,0)</f>
        <v>10</v>
      </c>
      <c r="AD180" s="246">
        <f>ROUNDUP(IF(AD$174="Basic",'Cement SLB Rev'!T8,'Cement SLB Rev'!U8),0)+($AD$173*'Cement SLB Rev'!W8)</f>
        <v>12</v>
      </c>
      <c r="AE180" s="246"/>
      <c r="AF180" s="246">
        <f>ROUNDUP('Cement SLB Rev'!V8,-1)+IF(RH_BH="Regular Hole",ROUNDUP('Cement SLB Rev'!X8,0))</f>
        <v>20</v>
      </c>
      <c r="AG180" s="246"/>
      <c r="AH180" s="246">
        <f>IFERROR(ROUNDUP('Cement SLB Rev'!X8,-1)*IF(RH_BH="Regular Hole",0,1),0)*IF(DOUBLE_LINER="Yes",1,0)</f>
        <v>160</v>
      </c>
      <c r="AI180" s="246"/>
      <c r="AJ180" s="246">
        <f>ROUNDUP(IF($AJ$175="",0,'Cement SLB Rev'!X8),0)</f>
        <v>0</v>
      </c>
      <c r="AK180" s="246">
        <f>ROUNDUP(IF($AK$175="",0,'Cement SLB Rev'!Y8)+($AK$174*'Cement SLB Rev'!W8),0)</f>
        <v>0</v>
      </c>
      <c r="AL180" s="475"/>
      <c r="AM180" s="475">
        <f t="shared" si="56"/>
        <v>454</v>
      </c>
      <c r="AN180" s="254"/>
      <c r="AO180" s="249"/>
      <c r="AP180" s="250"/>
      <c r="AQ180" s="250"/>
      <c r="AR180" s="250"/>
      <c r="AS180" s="250"/>
      <c r="AT180" s="250"/>
      <c r="AU180" s="250"/>
      <c r="AV180" s="249"/>
      <c r="AW180" s="249"/>
      <c r="AX180" s="249"/>
      <c r="AY180" s="249"/>
      <c r="AZ180" s="249"/>
      <c r="BA180" s="249"/>
      <c r="BB180" s="249"/>
      <c r="BC180" s="249"/>
      <c r="BD180" s="249"/>
      <c r="BE180" s="249"/>
      <c r="BF180" s="249"/>
      <c r="BG180" s="249"/>
      <c r="BH180" s="249"/>
      <c r="BI180" s="249"/>
      <c r="BJ180" s="249"/>
      <c r="BK180" s="249"/>
      <c r="BL180" s="249"/>
      <c r="BM180" s="249"/>
      <c r="BN180" s="249"/>
      <c r="BO180" s="249"/>
      <c r="BP180" s="249"/>
      <c r="BQ180" s="249"/>
      <c r="BR180" s="249"/>
      <c r="BS180" s="249"/>
      <c r="BT180" s="249"/>
      <c r="BU180" s="249"/>
      <c r="BV180" s="249"/>
      <c r="BW180" s="249"/>
      <c r="BX180" s="249"/>
      <c r="BY180" s="249"/>
      <c r="BZ180" s="249"/>
      <c r="CA180" s="249"/>
      <c r="CB180" s="249"/>
      <c r="CC180" s="249"/>
      <c r="CD180" s="249"/>
      <c r="CE180" s="249"/>
      <c r="CF180" s="249"/>
      <c r="CG180" s="249"/>
      <c r="CH180" s="249"/>
      <c r="CI180" s="249"/>
      <c r="CJ180" s="249"/>
      <c r="CK180" s="249"/>
      <c r="CL180" s="249"/>
      <c r="CM180" s="249"/>
      <c r="CN180" s="249"/>
      <c r="CO180" s="249"/>
      <c r="CP180" s="249"/>
      <c r="CQ180" s="249"/>
      <c r="CR180" s="249"/>
      <c r="CS180" s="249"/>
      <c r="CT180" s="249"/>
      <c r="CU180" s="249"/>
      <c r="CV180" s="249"/>
      <c r="CW180" s="249"/>
      <c r="CX180" s="249"/>
      <c r="CY180" s="249"/>
      <c r="CZ180" s="249"/>
      <c r="DA180" s="249"/>
      <c r="DB180" s="249"/>
      <c r="DC180" s="249"/>
      <c r="DD180" s="249"/>
      <c r="DE180" s="249"/>
      <c r="DF180" s="249"/>
      <c r="DG180" s="249"/>
      <c r="DH180" s="249"/>
      <c r="DI180" s="249"/>
      <c r="DJ180" s="249"/>
      <c r="DK180" s="249"/>
      <c r="DL180" s="249"/>
      <c r="DM180" s="249"/>
      <c r="DN180" s="249"/>
      <c r="DO180" s="249"/>
      <c r="DP180" s="249"/>
      <c r="DQ180" s="249"/>
      <c r="DR180" s="249"/>
      <c r="DS180" s="249"/>
      <c r="DT180" s="249"/>
      <c r="DU180" s="249"/>
      <c r="DV180" s="249"/>
      <c r="DW180" s="249"/>
      <c r="DX180" s="249"/>
      <c r="DY180" s="249"/>
      <c r="DZ180" s="249"/>
      <c r="EA180" s="249"/>
      <c r="EB180" s="249"/>
      <c r="EC180" s="249"/>
      <c r="ED180" s="249"/>
      <c r="EE180" s="249"/>
      <c r="EF180" s="249"/>
      <c r="EG180" s="249"/>
      <c r="EH180" s="249"/>
      <c r="EI180" s="249"/>
      <c r="EJ180" s="249"/>
      <c r="EK180" s="249"/>
      <c r="EL180" s="249"/>
      <c r="EM180" s="249"/>
      <c r="EN180" s="249"/>
      <c r="EO180" s="249"/>
      <c r="EP180" s="249"/>
      <c r="EQ180" s="249"/>
      <c r="ER180" s="249"/>
      <c r="ES180" s="249"/>
      <c r="ET180" s="249"/>
      <c r="EU180" s="249"/>
      <c r="EV180" s="249"/>
      <c r="EW180" s="249"/>
      <c r="EX180" s="249"/>
      <c r="EY180" s="249"/>
      <c r="EZ180" s="249"/>
      <c r="FA180" s="249"/>
      <c r="FB180" s="249"/>
      <c r="FC180" s="249"/>
      <c r="FD180" s="249"/>
      <c r="FE180" s="249"/>
      <c r="FF180" s="249"/>
      <c r="FG180" s="249"/>
      <c r="FH180" s="249"/>
      <c r="FI180" s="249"/>
      <c r="FJ180" s="249"/>
      <c r="FK180" s="249"/>
      <c r="FL180" s="249"/>
      <c r="FM180" s="249"/>
      <c r="FN180" s="249"/>
      <c r="FO180" s="249"/>
      <c r="FP180" s="249"/>
      <c r="FQ180" s="249"/>
      <c r="FR180" s="249"/>
      <c r="FS180" s="249"/>
      <c r="FT180" s="249"/>
      <c r="FU180" s="249"/>
      <c r="FV180" s="249"/>
      <c r="FW180" s="249"/>
      <c r="FX180" s="249"/>
      <c r="FY180" s="249"/>
      <c r="FZ180" s="249"/>
      <c r="GA180" s="249"/>
      <c r="GB180" s="249"/>
      <c r="GC180" s="249"/>
      <c r="GD180" s="249"/>
      <c r="GE180" s="249"/>
      <c r="GF180" s="249"/>
      <c r="GG180" s="249"/>
      <c r="GH180" s="249"/>
      <c r="GI180" s="249"/>
      <c r="GJ180" s="249"/>
      <c r="GK180" s="249"/>
      <c r="GL180" s="249"/>
      <c r="GM180" s="249"/>
      <c r="GN180" s="249"/>
      <c r="GO180" s="249"/>
      <c r="GP180" s="249"/>
      <c r="GQ180" s="249"/>
      <c r="GR180" s="249"/>
    </row>
    <row r="181" spans="1:200" s="252" customFormat="1" ht="12.75" customHeight="1" x14ac:dyDescent="0.2">
      <c r="A181" s="722"/>
      <c r="B181" s="1123"/>
      <c r="C181" s="1123"/>
      <c r="D181" s="525"/>
      <c r="E181" s="613"/>
      <c r="F181" s="249"/>
      <c r="G181" s="250"/>
      <c r="H181" s="250"/>
      <c r="I181" s="250"/>
      <c r="J181" s="250"/>
      <c r="K181" s="250"/>
      <c r="L181" s="250"/>
      <c r="M181" s="250"/>
      <c r="N181" s="250"/>
      <c r="O181" s="250"/>
      <c r="P181" s="251"/>
      <c r="Q181" s="251"/>
      <c r="R181" s="251"/>
      <c r="S181" s="249"/>
      <c r="T181" s="249"/>
      <c r="U181" s="1671"/>
      <c r="V181" s="1862" t="str">
        <f>CONCATENATE('Cement SLB Rev'!A9, " ",'Cement SLB Rev'!B9)</f>
        <v>Silica D066 (lbs)</v>
      </c>
      <c r="W181" s="255" t="str">
        <f>'Cement SLB Rev'!C9</f>
        <v>lb</v>
      </c>
      <c r="X181" s="475"/>
      <c r="Y181" s="246">
        <f>ROUNDUP($Y$174*'Cement SLB Rev'!W9,0)</f>
        <v>31</v>
      </c>
      <c r="Z181" s="246">
        <f>ROUNDUP(IF(Z$174="Basic",'Cement SLB Rev'!P9,'Cement SLB Rev'!Q9),0)+($Z$173*'Cement SLB Rev'!W9)</f>
        <v>282.2</v>
      </c>
      <c r="AA181" s="246">
        <f>ROUNDUP($AA$174*'Cement SLB Rev'!W9,0)</f>
        <v>31</v>
      </c>
      <c r="AB181" s="246">
        <f>ROUNDUP(IF(AB$174="Basic",'Cement SLB Rev'!R9,'Cement SLB Rev'!S9),0)+($AB$173*'Cement SLB Rev'!W9)</f>
        <v>711.2</v>
      </c>
      <c r="AC181" s="246">
        <f>ROUNDUP($AC$174*'Cement SLB Rev'!W9,0)</f>
        <v>31</v>
      </c>
      <c r="AD181" s="246">
        <f>ROUNDUP(IF(AD$174="Basic",'Cement SLB Rev'!T9,'Cement SLB Rev'!U9),0)+($AD$173*'Cement SLB Rev'!W9)</f>
        <v>583.20000000000005</v>
      </c>
      <c r="AE181" s="246"/>
      <c r="AF181" s="246">
        <f>ROUNDUP('Cement SLB Rev'!V9,-1)+IF(RH_BH="Regular Hole",ROUNDUP('Cement SLB Rev'!X9,0))</f>
        <v>40</v>
      </c>
      <c r="AG181" s="246"/>
      <c r="AH181" s="246">
        <f>IFERROR(ROUNDUP('Cement SLB Rev'!X9,-1)*IF(RH_BH="Regular Hole",0,1),0)*IF(DOUBLE_LINER="Yes",1,0)</f>
        <v>340</v>
      </c>
      <c r="AI181" s="246"/>
      <c r="AJ181" s="246">
        <f>ROUNDUP(IF($AJ$175="",0,'Cement SLB Rev'!X9),0)</f>
        <v>0</v>
      </c>
      <c r="AK181" s="246">
        <f>ROUNDUP(IF($AK$175="",0,'Cement SLB Rev'!Y9)+($AK$174*'Cement SLB Rev'!W9),0)</f>
        <v>0</v>
      </c>
      <c r="AL181" s="475"/>
      <c r="AM181" s="475">
        <f t="shared" si="56"/>
        <v>2049.6000000000004</v>
      </c>
      <c r="AN181" s="254"/>
      <c r="AO181" s="249"/>
      <c r="AP181" s="250"/>
      <c r="AQ181" s="250"/>
      <c r="AR181" s="250"/>
      <c r="AS181" s="250"/>
      <c r="AT181" s="250"/>
      <c r="AU181" s="250"/>
      <c r="AV181" s="249"/>
      <c r="AW181" s="249"/>
      <c r="AX181" s="249"/>
      <c r="AY181" s="249"/>
      <c r="AZ181" s="249"/>
      <c r="BA181" s="249"/>
      <c r="BB181" s="249"/>
      <c r="BC181" s="249"/>
      <c r="BD181" s="249"/>
      <c r="BE181" s="249"/>
      <c r="BF181" s="249"/>
      <c r="BG181" s="249"/>
      <c r="BH181" s="249"/>
      <c r="BI181" s="249"/>
      <c r="BJ181" s="249"/>
      <c r="BK181" s="249"/>
      <c r="BL181" s="249"/>
      <c r="BM181" s="249"/>
      <c r="BN181" s="249"/>
      <c r="BO181" s="249"/>
      <c r="BP181" s="249"/>
      <c r="BQ181" s="249"/>
      <c r="BR181" s="249"/>
      <c r="BS181" s="249"/>
      <c r="BT181" s="249"/>
      <c r="BU181" s="249"/>
      <c r="BV181" s="249"/>
      <c r="BW181" s="249"/>
      <c r="BX181" s="249"/>
      <c r="BY181" s="249"/>
      <c r="BZ181" s="249"/>
      <c r="CA181" s="249"/>
      <c r="CB181" s="249"/>
      <c r="CC181" s="249"/>
      <c r="CD181" s="249"/>
      <c r="CE181" s="249"/>
      <c r="CF181" s="249"/>
      <c r="CG181" s="249"/>
      <c r="CH181" s="249"/>
      <c r="CI181" s="249"/>
      <c r="CJ181" s="249"/>
      <c r="CK181" s="249"/>
      <c r="CL181" s="249"/>
      <c r="CM181" s="249"/>
      <c r="CN181" s="249"/>
      <c r="CO181" s="249"/>
      <c r="CP181" s="249"/>
      <c r="CQ181" s="249"/>
      <c r="CR181" s="249"/>
      <c r="CS181" s="249"/>
      <c r="CT181" s="249"/>
      <c r="CU181" s="249"/>
      <c r="CV181" s="249"/>
      <c r="CW181" s="249"/>
      <c r="CX181" s="249"/>
      <c r="CY181" s="249"/>
      <c r="CZ181" s="249"/>
      <c r="DA181" s="249"/>
      <c r="DB181" s="249"/>
      <c r="DC181" s="249"/>
      <c r="DD181" s="249"/>
      <c r="DE181" s="249"/>
      <c r="DF181" s="249"/>
      <c r="DG181" s="249"/>
      <c r="DH181" s="249"/>
      <c r="DI181" s="249"/>
      <c r="DJ181" s="249"/>
      <c r="DK181" s="249"/>
      <c r="DL181" s="249"/>
      <c r="DM181" s="249"/>
      <c r="DN181" s="249"/>
      <c r="DO181" s="249"/>
      <c r="DP181" s="249"/>
      <c r="DQ181" s="249"/>
      <c r="DR181" s="249"/>
      <c r="DS181" s="249"/>
      <c r="DT181" s="249"/>
      <c r="DU181" s="249"/>
      <c r="DV181" s="249"/>
      <c r="DW181" s="249"/>
      <c r="DX181" s="249"/>
      <c r="DY181" s="249"/>
      <c r="DZ181" s="249"/>
      <c r="EA181" s="249"/>
      <c r="EB181" s="249"/>
      <c r="EC181" s="249"/>
      <c r="ED181" s="249"/>
      <c r="EE181" s="249"/>
      <c r="EF181" s="249"/>
      <c r="EG181" s="249"/>
      <c r="EH181" s="249"/>
      <c r="EI181" s="249"/>
      <c r="EJ181" s="249"/>
      <c r="EK181" s="249"/>
      <c r="EL181" s="249"/>
      <c r="EM181" s="249"/>
      <c r="EN181" s="249"/>
      <c r="EO181" s="249"/>
      <c r="EP181" s="249"/>
      <c r="EQ181" s="249"/>
      <c r="ER181" s="249"/>
      <c r="ES181" s="249"/>
      <c r="ET181" s="249"/>
      <c r="EU181" s="249"/>
      <c r="EV181" s="249"/>
      <c r="EW181" s="249"/>
      <c r="EX181" s="249"/>
      <c r="EY181" s="249"/>
      <c r="EZ181" s="249"/>
      <c r="FA181" s="249"/>
      <c r="FB181" s="249"/>
      <c r="FC181" s="249"/>
      <c r="FD181" s="249"/>
      <c r="FE181" s="249"/>
      <c r="FF181" s="249"/>
      <c r="FG181" s="249"/>
      <c r="FH181" s="249"/>
      <c r="FI181" s="249"/>
      <c r="FJ181" s="249"/>
      <c r="FK181" s="249"/>
      <c r="FL181" s="249"/>
      <c r="FM181" s="249"/>
      <c r="FN181" s="249"/>
      <c r="FO181" s="249"/>
      <c r="FP181" s="249"/>
      <c r="FQ181" s="249"/>
      <c r="FR181" s="249"/>
      <c r="FS181" s="249"/>
      <c r="FT181" s="249"/>
      <c r="FU181" s="249"/>
      <c r="FV181" s="249"/>
      <c r="FW181" s="249"/>
      <c r="FX181" s="249"/>
      <c r="FY181" s="249"/>
      <c r="FZ181" s="249"/>
      <c r="GA181" s="249"/>
      <c r="GB181" s="249"/>
      <c r="GC181" s="249"/>
      <c r="GD181" s="249"/>
      <c r="GE181" s="249"/>
      <c r="GF181" s="249"/>
      <c r="GG181" s="249"/>
      <c r="GH181" s="249"/>
      <c r="GI181" s="249"/>
      <c r="GJ181" s="249"/>
      <c r="GK181" s="249"/>
      <c r="GL181" s="249"/>
      <c r="GM181" s="249"/>
      <c r="GN181" s="249"/>
      <c r="GO181" s="249"/>
      <c r="GP181" s="249"/>
      <c r="GQ181" s="249"/>
      <c r="GR181" s="249"/>
    </row>
    <row r="182" spans="1:200" s="252" customFormat="1" ht="12.75" customHeight="1" x14ac:dyDescent="0.2">
      <c r="A182" s="722"/>
      <c r="B182" s="1123"/>
      <c r="C182" s="1123"/>
      <c r="D182" s="525"/>
      <c r="E182" s="613"/>
      <c r="F182" s="249"/>
      <c r="G182" s="250"/>
      <c r="H182" s="250"/>
      <c r="I182" s="250"/>
      <c r="J182" s="250"/>
      <c r="K182" s="250"/>
      <c r="L182" s="250"/>
      <c r="M182" s="250"/>
      <c r="N182" s="250"/>
      <c r="O182" s="250"/>
      <c r="P182" s="251"/>
      <c r="Q182" s="251"/>
      <c r="R182" s="251"/>
      <c r="S182" s="249"/>
      <c r="T182" s="249"/>
      <c r="U182" s="1671"/>
      <c r="V182" s="1862" t="str">
        <f>CONCATENATE('Cement SLB Rev'!A10, " ",'Cement SLB Rev'!B10)</f>
        <v>Micro Silica D155 (gps)</v>
      </c>
      <c r="W182" s="255" t="str">
        <f>'Cement SLB Rev'!C10</f>
        <v>gal</v>
      </c>
      <c r="X182" s="475"/>
      <c r="Y182" s="246">
        <f>ROUNDUP($Y$174*'Cement SLB Rev'!W10,0)</f>
        <v>103</v>
      </c>
      <c r="Z182" s="246">
        <f>ROUNDUP(IF(Z$174="Basic",'Cement SLB Rev'!P10,'Cement SLB Rev'!Q10),0)+($Z$173*'Cement SLB Rev'!W10)</f>
        <v>123.6</v>
      </c>
      <c r="AA182" s="246">
        <f>ROUNDUP($AA$174*'Cement SLB Rev'!W10,0)</f>
        <v>103</v>
      </c>
      <c r="AB182" s="246">
        <f>ROUNDUP(IF(AB$174="Basic",'Cement SLB Rev'!R10,'Cement SLB Rev'!S10),0)+($AB$173*'Cement SLB Rev'!W10)</f>
        <v>123.6</v>
      </c>
      <c r="AC182" s="246">
        <f>ROUNDUP($AC$174*'Cement SLB Rev'!W10,0)</f>
        <v>103</v>
      </c>
      <c r="AD182" s="246">
        <f>ROUNDUP(IF(AD$174="Basic",'Cement SLB Rev'!T10,'Cement SLB Rev'!U10),0)+($AD$173*'Cement SLB Rev'!W10)</f>
        <v>123.6</v>
      </c>
      <c r="AE182" s="246"/>
      <c r="AF182" s="246">
        <f>ROUNDUP('Cement SLB Rev'!V10,-1)+IF(RH_BH="Regular Hole",ROUNDUP('Cement SLB Rev'!X10,0))</f>
        <v>120</v>
      </c>
      <c r="AG182" s="246"/>
      <c r="AH182" s="246">
        <f>IFERROR(ROUNDUP('Cement SLB Rev'!X10,-1)*IF(RH_BH="Regular Hole",0,1),0)*IF(DOUBLE_LINER="Yes",1,0)</f>
        <v>0</v>
      </c>
      <c r="AI182" s="246"/>
      <c r="AJ182" s="246">
        <f>ROUNDUP(IF($AJ$175="",0,'Cement SLB Rev'!X10),0)</f>
        <v>0</v>
      </c>
      <c r="AK182" s="246">
        <f>ROUNDUP(IF($AK$175="",0,'Cement SLB Rev'!Y10)+($AK$174*'Cement SLB Rev'!W10),0)</f>
        <v>0</v>
      </c>
      <c r="AL182" s="475"/>
      <c r="AM182" s="475">
        <f t="shared" si="56"/>
        <v>799.80000000000007</v>
      </c>
      <c r="AN182" s="254"/>
      <c r="AO182" s="249"/>
      <c r="AP182" s="250"/>
      <c r="AQ182" s="250"/>
      <c r="AR182" s="250"/>
      <c r="AS182" s="250"/>
      <c r="AT182" s="250"/>
      <c r="AU182" s="250"/>
      <c r="AV182" s="249"/>
      <c r="AW182" s="249"/>
      <c r="AX182" s="249"/>
      <c r="AY182" s="249"/>
      <c r="AZ182" s="249"/>
      <c r="BA182" s="249"/>
      <c r="BB182" s="249"/>
      <c r="BC182" s="249"/>
      <c r="BD182" s="249"/>
      <c r="BE182" s="249"/>
      <c r="BF182" s="249"/>
      <c r="BG182" s="249"/>
      <c r="BH182" s="249"/>
      <c r="BI182" s="249"/>
      <c r="BJ182" s="249"/>
      <c r="BK182" s="249"/>
      <c r="BL182" s="249"/>
      <c r="BM182" s="249"/>
      <c r="BN182" s="249"/>
      <c r="BO182" s="249"/>
      <c r="BP182" s="249"/>
      <c r="BQ182" s="249"/>
      <c r="BR182" s="249"/>
      <c r="BS182" s="249"/>
      <c r="BT182" s="249"/>
      <c r="BU182" s="249"/>
      <c r="BV182" s="249"/>
      <c r="BW182" s="249"/>
      <c r="BX182" s="249"/>
      <c r="BY182" s="249"/>
      <c r="BZ182" s="249"/>
      <c r="CA182" s="249"/>
      <c r="CB182" s="249"/>
      <c r="CC182" s="249"/>
      <c r="CD182" s="249"/>
      <c r="CE182" s="249"/>
      <c r="CF182" s="249"/>
      <c r="CG182" s="249"/>
      <c r="CH182" s="249"/>
      <c r="CI182" s="249"/>
      <c r="CJ182" s="249"/>
      <c r="CK182" s="249"/>
      <c r="CL182" s="249"/>
      <c r="CM182" s="249"/>
      <c r="CN182" s="249"/>
      <c r="CO182" s="249"/>
      <c r="CP182" s="249"/>
      <c r="CQ182" s="249"/>
      <c r="CR182" s="249"/>
      <c r="CS182" s="249"/>
      <c r="CT182" s="249"/>
      <c r="CU182" s="249"/>
      <c r="CV182" s="249"/>
      <c r="CW182" s="249"/>
      <c r="CX182" s="249"/>
      <c r="CY182" s="249"/>
      <c r="CZ182" s="249"/>
      <c r="DA182" s="249"/>
      <c r="DB182" s="249"/>
      <c r="DC182" s="249"/>
      <c r="DD182" s="249"/>
      <c r="DE182" s="249"/>
      <c r="DF182" s="249"/>
      <c r="DG182" s="249"/>
      <c r="DH182" s="249"/>
      <c r="DI182" s="249"/>
      <c r="DJ182" s="249"/>
      <c r="DK182" s="249"/>
      <c r="DL182" s="249"/>
      <c r="DM182" s="249"/>
      <c r="DN182" s="249"/>
      <c r="DO182" s="249"/>
      <c r="DP182" s="249"/>
      <c r="DQ182" s="249"/>
      <c r="DR182" s="249"/>
      <c r="DS182" s="249"/>
      <c r="DT182" s="249"/>
      <c r="DU182" s="249"/>
      <c r="DV182" s="249"/>
      <c r="DW182" s="249"/>
      <c r="DX182" s="249"/>
      <c r="DY182" s="249"/>
      <c r="DZ182" s="249"/>
      <c r="EA182" s="249"/>
      <c r="EB182" s="249"/>
      <c r="EC182" s="249"/>
      <c r="ED182" s="249"/>
      <c r="EE182" s="249"/>
      <c r="EF182" s="249"/>
      <c r="EG182" s="249"/>
      <c r="EH182" s="249"/>
      <c r="EI182" s="249"/>
      <c r="EJ182" s="249"/>
      <c r="EK182" s="249"/>
      <c r="EL182" s="249"/>
      <c r="EM182" s="249"/>
      <c r="EN182" s="249"/>
      <c r="EO182" s="249"/>
      <c r="EP182" s="249"/>
      <c r="EQ182" s="249"/>
      <c r="ER182" s="249"/>
      <c r="ES182" s="249"/>
      <c r="ET182" s="249"/>
      <c r="EU182" s="249"/>
      <c r="EV182" s="249"/>
      <c r="EW182" s="249"/>
      <c r="EX182" s="249"/>
      <c r="EY182" s="249"/>
      <c r="EZ182" s="249"/>
      <c r="FA182" s="249"/>
      <c r="FB182" s="249"/>
      <c r="FC182" s="249"/>
      <c r="FD182" s="249"/>
      <c r="FE182" s="249"/>
      <c r="FF182" s="249"/>
      <c r="FG182" s="249"/>
      <c r="FH182" s="249"/>
      <c r="FI182" s="249"/>
      <c r="FJ182" s="249"/>
      <c r="FK182" s="249"/>
      <c r="FL182" s="249"/>
      <c r="FM182" s="249"/>
      <c r="FN182" s="249"/>
      <c r="FO182" s="249"/>
      <c r="FP182" s="249"/>
      <c r="FQ182" s="249"/>
      <c r="FR182" s="249"/>
      <c r="FS182" s="249"/>
      <c r="FT182" s="249"/>
      <c r="FU182" s="249"/>
      <c r="FV182" s="249"/>
      <c r="FW182" s="249"/>
      <c r="FX182" s="249"/>
      <c r="FY182" s="249"/>
      <c r="FZ182" s="249"/>
      <c r="GA182" s="249"/>
      <c r="GB182" s="249"/>
      <c r="GC182" s="249"/>
      <c r="GD182" s="249"/>
      <c r="GE182" s="249"/>
      <c r="GF182" s="249"/>
      <c r="GG182" s="249"/>
      <c r="GH182" s="249"/>
      <c r="GI182" s="249"/>
      <c r="GJ182" s="249"/>
      <c r="GK182" s="249"/>
      <c r="GL182" s="249"/>
      <c r="GM182" s="249"/>
      <c r="GN182" s="249"/>
      <c r="GO182" s="249"/>
      <c r="GP182" s="249"/>
      <c r="GQ182" s="249"/>
      <c r="GR182" s="249"/>
    </row>
    <row r="183" spans="1:200" s="252" customFormat="1" ht="12.75" customHeight="1" x14ac:dyDescent="0.2">
      <c r="A183" s="722"/>
      <c r="B183" s="1123"/>
      <c r="C183" s="1123"/>
      <c r="D183" s="525"/>
      <c r="E183" s="613"/>
      <c r="F183" s="249"/>
      <c r="G183" s="250"/>
      <c r="H183" s="250"/>
      <c r="I183" s="250"/>
      <c r="J183" s="250"/>
      <c r="K183" s="250"/>
      <c r="L183" s="250"/>
      <c r="M183" s="250"/>
      <c r="N183" s="250"/>
      <c r="O183" s="250"/>
      <c r="P183" s="251"/>
      <c r="Q183" s="251"/>
      <c r="R183" s="251"/>
      <c r="S183" s="249"/>
      <c r="T183" s="249"/>
      <c r="U183" s="1671"/>
      <c r="V183" s="1862" t="str">
        <f>CONCATENATE('Cement SLB Rev'!A11, " ",'Cement SLB Rev'!B11)</f>
        <v>Fluid loss D112 (lbs)</v>
      </c>
      <c r="W183" s="255" t="str">
        <f>'Cement SLB Rev'!C11</f>
        <v>lb</v>
      </c>
      <c r="X183" s="475"/>
      <c r="Y183" s="246">
        <f>ROUNDUP($Y$174*'Cement SLB Rev'!W11,0)</f>
        <v>63</v>
      </c>
      <c r="Z183" s="246">
        <f>ROUNDUP(IF(Z$174="Basic",'Cement SLB Rev'!P11,'Cement SLB Rev'!Q11),0)+($Z$173*'Cement SLB Rev'!W11)</f>
        <v>75.599999999999994</v>
      </c>
      <c r="AA183" s="246">
        <f>ROUNDUP($AA$174*'Cement SLB Rev'!W11,0)</f>
        <v>63</v>
      </c>
      <c r="AB183" s="246">
        <f>ROUNDUP(IF(AB$174="Basic",'Cement SLB Rev'!R11,'Cement SLB Rev'!S11),0)+($AB$173*'Cement SLB Rev'!W11)</f>
        <v>1279.5999999999999</v>
      </c>
      <c r="AC183" s="246">
        <f>ROUNDUP($AC$174*'Cement SLB Rev'!W11,0)</f>
        <v>63</v>
      </c>
      <c r="AD183" s="246">
        <f>ROUNDUP(IF(AD$174="Basic",'Cement SLB Rev'!T11,'Cement SLB Rev'!U11),0)+($AD$173*'Cement SLB Rev'!W11)</f>
        <v>1351.6</v>
      </c>
      <c r="AE183" s="246"/>
      <c r="AF183" s="246">
        <f>ROUNDUP('Cement SLB Rev'!V11,-1)+IF(RH_BH="Regular Hole",ROUNDUP('Cement SLB Rev'!X11,0))</f>
        <v>70</v>
      </c>
      <c r="AG183" s="246"/>
      <c r="AH183" s="246">
        <f>IFERROR(ROUNDUP('Cement SLB Rev'!X11,-1)*IF(RH_BH="Regular Hole",0,1),0)*IF(DOUBLE_LINER="Yes",1,0)</f>
        <v>0</v>
      </c>
      <c r="AI183" s="246"/>
      <c r="AJ183" s="246">
        <f>ROUNDUP(IF($AJ$175="",0,'Cement SLB Rev'!X11),0)</f>
        <v>0</v>
      </c>
      <c r="AK183" s="246">
        <f>ROUNDUP(IF($AK$175="",0,'Cement SLB Rev'!Y11)+($AK$174*'Cement SLB Rev'!W11),0)</f>
        <v>0</v>
      </c>
      <c r="AL183" s="475"/>
      <c r="AM183" s="475">
        <f t="shared" si="56"/>
        <v>2965.7999999999997</v>
      </c>
      <c r="AN183" s="254"/>
      <c r="AO183" s="249"/>
      <c r="AP183" s="250"/>
      <c r="AQ183" s="250"/>
      <c r="AR183" s="250"/>
      <c r="AS183" s="250"/>
      <c r="AT183" s="250"/>
      <c r="AU183" s="250"/>
      <c r="AV183" s="249"/>
      <c r="AW183" s="249"/>
      <c r="AX183" s="249"/>
      <c r="AY183" s="249"/>
      <c r="AZ183" s="249"/>
      <c r="BA183" s="249"/>
      <c r="BB183" s="249"/>
      <c r="BC183" s="249"/>
      <c r="BD183" s="249"/>
      <c r="BE183" s="249"/>
      <c r="BF183" s="249"/>
      <c r="BG183" s="249"/>
      <c r="BH183" s="249"/>
      <c r="BI183" s="249"/>
      <c r="BJ183" s="249"/>
      <c r="BK183" s="249"/>
      <c r="BL183" s="249"/>
      <c r="BM183" s="249"/>
      <c r="BN183" s="249"/>
      <c r="BO183" s="249"/>
      <c r="BP183" s="249"/>
      <c r="BQ183" s="249"/>
      <c r="BR183" s="249"/>
      <c r="BS183" s="249"/>
      <c r="BT183" s="249"/>
      <c r="BU183" s="249"/>
      <c r="BV183" s="249"/>
      <c r="BW183" s="249"/>
      <c r="BX183" s="249"/>
      <c r="BY183" s="249"/>
      <c r="BZ183" s="249"/>
      <c r="CA183" s="249"/>
      <c r="CB183" s="249"/>
      <c r="CC183" s="249"/>
      <c r="CD183" s="249"/>
      <c r="CE183" s="249"/>
      <c r="CF183" s="249"/>
      <c r="CG183" s="249"/>
      <c r="CH183" s="249"/>
      <c r="CI183" s="249"/>
      <c r="CJ183" s="249"/>
      <c r="CK183" s="249"/>
      <c r="CL183" s="249"/>
      <c r="CM183" s="249"/>
      <c r="CN183" s="249"/>
      <c r="CO183" s="249"/>
      <c r="CP183" s="249"/>
      <c r="CQ183" s="249"/>
      <c r="CR183" s="249"/>
      <c r="CS183" s="249"/>
      <c r="CT183" s="249"/>
      <c r="CU183" s="249"/>
      <c r="CV183" s="249"/>
      <c r="CW183" s="249"/>
      <c r="CX183" s="249"/>
      <c r="CY183" s="249"/>
      <c r="CZ183" s="249"/>
      <c r="DA183" s="249"/>
      <c r="DB183" s="249"/>
      <c r="DC183" s="249"/>
      <c r="DD183" s="249"/>
      <c r="DE183" s="249"/>
      <c r="DF183" s="249"/>
      <c r="DG183" s="249"/>
      <c r="DH183" s="249"/>
      <c r="DI183" s="249"/>
      <c r="DJ183" s="249"/>
      <c r="DK183" s="249"/>
      <c r="DL183" s="249"/>
      <c r="DM183" s="249"/>
      <c r="DN183" s="249"/>
      <c r="DO183" s="249"/>
      <c r="DP183" s="249"/>
      <c r="DQ183" s="249"/>
      <c r="DR183" s="249"/>
      <c r="DS183" s="249"/>
      <c r="DT183" s="249"/>
      <c r="DU183" s="249"/>
      <c r="DV183" s="249"/>
      <c r="DW183" s="249"/>
      <c r="DX183" s="249"/>
      <c r="DY183" s="249"/>
      <c r="DZ183" s="249"/>
      <c r="EA183" s="249"/>
      <c r="EB183" s="249"/>
      <c r="EC183" s="249"/>
      <c r="ED183" s="249"/>
      <c r="EE183" s="249"/>
      <c r="EF183" s="249"/>
      <c r="EG183" s="249"/>
      <c r="EH183" s="249"/>
      <c r="EI183" s="249"/>
      <c r="EJ183" s="249"/>
      <c r="EK183" s="249"/>
      <c r="EL183" s="249"/>
      <c r="EM183" s="249"/>
      <c r="EN183" s="249"/>
      <c r="EO183" s="249"/>
      <c r="EP183" s="249"/>
      <c r="EQ183" s="249"/>
      <c r="ER183" s="249"/>
      <c r="ES183" s="249"/>
      <c r="ET183" s="249"/>
      <c r="EU183" s="249"/>
      <c r="EV183" s="249"/>
      <c r="EW183" s="249"/>
      <c r="EX183" s="249"/>
      <c r="EY183" s="249"/>
      <c r="EZ183" s="249"/>
      <c r="FA183" s="249"/>
      <c r="FB183" s="249"/>
      <c r="FC183" s="249"/>
      <c r="FD183" s="249"/>
      <c r="FE183" s="249"/>
      <c r="FF183" s="249"/>
      <c r="FG183" s="249"/>
      <c r="FH183" s="249"/>
      <c r="FI183" s="249"/>
      <c r="FJ183" s="249"/>
      <c r="FK183" s="249"/>
      <c r="FL183" s="249"/>
      <c r="FM183" s="249"/>
      <c r="FN183" s="249"/>
      <c r="FO183" s="249"/>
      <c r="FP183" s="249"/>
      <c r="FQ183" s="249"/>
      <c r="FR183" s="249"/>
      <c r="FS183" s="249"/>
      <c r="FT183" s="249"/>
      <c r="FU183" s="249"/>
      <c r="FV183" s="249"/>
      <c r="FW183" s="249"/>
      <c r="FX183" s="249"/>
      <c r="FY183" s="249"/>
      <c r="FZ183" s="249"/>
      <c r="GA183" s="249"/>
      <c r="GB183" s="249"/>
      <c r="GC183" s="249"/>
      <c r="GD183" s="249"/>
      <c r="GE183" s="249"/>
      <c r="GF183" s="249"/>
      <c r="GG183" s="249"/>
      <c r="GH183" s="249"/>
      <c r="GI183" s="249"/>
      <c r="GJ183" s="249"/>
      <c r="GK183" s="249"/>
      <c r="GL183" s="249"/>
      <c r="GM183" s="249"/>
      <c r="GN183" s="249"/>
      <c r="GO183" s="249"/>
      <c r="GP183" s="249"/>
      <c r="GQ183" s="249"/>
      <c r="GR183" s="249"/>
    </row>
    <row r="184" spans="1:200" s="252" customFormat="1" ht="12.75" customHeight="1" x14ac:dyDescent="0.2">
      <c r="A184" s="722"/>
      <c r="B184" s="1123"/>
      <c r="C184" s="1123"/>
      <c r="D184" s="525"/>
      <c r="E184" s="613"/>
      <c r="F184" s="249"/>
      <c r="G184" s="250"/>
      <c r="H184" s="250"/>
      <c r="I184" s="250"/>
      <c r="J184" s="250"/>
      <c r="K184" s="250"/>
      <c r="L184" s="250"/>
      <c r="M184" s="250"/>
      <c r="N184" s="250"/>
      <c r="O184" s="250"/>
      <c r="P184" s="251"/>
      <c r="Q184" s="251"/>
      <c r="R184" s="251"/>
      <c r="S184" s="249"/>
      <c r="T184" s="249"/>
      <c r="U184" s="1671"/>
      <c r="V184" s="1862" t="str">
        <f>CONCATENATE('Cement SLB Rev'!A12, " ",'Cement SLB Rev'!B12)</f>
        <v>Retarder, L D197 (gps)</v>
      </c>
      <c r="W184" s="255" t="str">
        <f>'Cement SLB Rev'!C12</f>
        <v>gal</v>
      </c>
      <c r="X184" s="475"/>
      <c r="Y184" s="246">
        <f>ROUNDUP($Y$174*'Cement SLB Rev'!W12,0)</f>
        <v>0</v>
      </c>
      <c r="Z184" s="246">
        <f>ROUNDUP(IF(Z$174="Basic",'Cement SLB Rev'!P12,'Cement SLB Rev'!Q12),0)+($Z$173*'Cement SLB Rev'!W12)</f>
        <v>0</v>
      </c>
      <c r="AA184" s="246">
        <f>ROUNDUP($AA$174*'Cement SLB Rev'!W12,0)</f>
        <v>0</v>
      </c>
      <c r="AB184" s="246">
        <f>ROUNDUP(IF(AB$174="Basic",'Cement SLB Rev'!R12,'Cement SLB Rev'!S12),0)+($AB$173*'Cement SLB Rev'!W12)</f>
        <v>0</v>
      </c>
      <c r="AC184" s="246">
        <f>ROUNDUP($AC$174*'Cement SLB Rev'!W12,0)</f>
        <v>0</v>
      </c>
      <c r="AD184" s="246">
        <f>ROUNDUP(IF(AD$174="Basic",'Cement SLB Rev'!T12,'Cement SLB Rev'!U12),0)+($AD$173*'Cement SLB Rev'!W12)</f>
        <v>48</v>
      </c>
      <c r="AE184" s="246"/>
      <c r="AF184" s="246">
        <f>ROUNDUP('Cement SLB Rev'!V12,0)</f>
        <v>0</v>
      </c>
      <c r="AG184" s="246"/>
      <c r="AH184" s="246">
        <f>IFERROR(ROUNDUP('Cement SLB Rev'!X12,-1)*IF(RH_BH="Regular Hole",0,1),0)*IF(DOUBLE_LINER="Yes",1,0)</f>
        <v>0</v>
      </c>
      <c r="AI184" s="246"/>
      <c r="AJ184" s="246">
        <f>ROUNDUP(IF($AJ$175="",0,'Cement SLB Rev'!X12),0)</f>
        <v>0</v>
      </c>
      <c r="AK184" s="246">
        <f>ROUNDUP(IF($AK$175="",0,'Cement SLB Rev'!Y12)+($AK$174*'Cement SLB Rev'!W12),0)</f>
        <v>0</v>
      </c>
      <c r="AL184" s="475"/>
      <c r="AM184" s="475">
        <f t="shared" si="56"/>
        <v>48</v>
      </c>
      <c r="AN184" s="254"/>
      <c r="AO184" s="249"/>
      <c r="AP184" s="250"/>
      <c r="AQ184" s="250"/>
      <c r="AR184" s="250"/>
      <c r="AS184" s="250"/>
      <c r="AT184" s="250"/>
      <c r="AU184" s="250"/>
      <c r="AV184" s="249"/>
      <c r="AW184" s="249"/>
      <c r="AX184" s="249"/>
      <c r="AY184" s="249"/>
      <c r="AZ184" s="249"/>
      <c r="BA184" s="249"/>
      <c r="BB184" s="249"/>
      <c r="BC184" s="249"/>
      <c r="BD184" s="249"/>
      <c r="BE184" s="249"/>
      <c r="BF184" s="249"/>
      <c r="BG184" s="249"/>
      <c r="BH184" s="249"/>
      <c r="BI184" s="249"/>
      <c r="BJ184" s="249"/>
      <c r="BK184" s="249"/>
      <c r="BL184" s="249"/>
      <c r="BM184" s="249"/>
      <c r="BN184" s="249"/>
      <c r="BO184" s="249"/>
      <c r="BP184" s="249"/>
      <c r="BQ184" s="249"/>
      <c r="BR184" s="249"/>
      <c r="BS184" s="249"/>
      <c r="BT184" s="249"/>
      <c r="BU184" s="249"/>
      <c r="BV184" s="249"/>
      <c r="BW184" s="249"/>
      <c r="BX184" s="249"/>
      <c r="BY184" s="249"/>
      <c r="BZ184" s="249"/>
      <c r="CA184" s="249"/>
      <c r="CB184" s="249"/>
      <c r="CC184" s="249"/>
      <c r="CD184" s="249"/>
      <c r="CE184" s="249"/>
      <c r="CF184" s="249"/>
      <c r="CG184" s="249"/>
      <c r="CH184" s="249"/>
      <c r="CI184" s="249"/>
      <c r="CJ184" s="249"/>
      <c r="CK184" s="249"/>
      <c r="CL184" s="249"/>
      <c r="CM184" s="249"/>
      <c r="CN184" s="249"/>
      <c r="CO184" s="249"/>
      <c r="CP184" s="249"/>
      <c r="CQ184" s="249"/>
      <c r="CR184" s="249"/>
      <c r="CS184" s="249"/>
      <c r="CT184" s="249"/>
      <c r="CU184" s="249"/>
      <c r="CV184" s="249"/>
      <c r="CW184" s="249"/>
      <c r="CX184" s="249"/>
      <c r="CY184" s="249"/>
      <c r="CZ184" s="249"/>
      <c r="DA184" s="249"/>
      <c r="DB184" s="249"/>
      <c r="DC184" s="249"/>
      <c r="DD184" s="249"/>
      <c r="DE184" s="249"/>
      <c r="DF184" s="249"/>
      <c r="DG184" s="249"/>
      <c r="DH184" s="249"/>
      <c r="DI184" s="249"/>
      <c r="DJ184" s="249"/>
      <c r="DK184" s="249"/>
      <c r="DL184" s="249"/>
      <c r="DM184" s="249"/>
      <c r="DN184" s="249"/>
      <c r="DO184" s="249"/>
      <c r="DP184" s="249"/>
      <c r="DQ184" s="249"/>
      <c r="DR184" s="249"/>
      <c r="DS184" s="249"/>
      <c r="DT184" s="249"/>
      <c r="DU184" s="249"/>
      <c r="DV184" s="249"/>
      <c r="DW184" s="249"/>
      <c r="DX184" s="249"/>
      <c r="DY184" s="249"/>
      <c r="DZ184" s="249"/>
      <c r="EA184" s="249"/>
      <c r="EB184" s="249"/>
      <c r="EC184" s="249"/>
      <c r="ED184" s="249"/>
      <c r="EE184" s="249"/>
      <c r="EF184" s="249"/>
      <c r="EG184" s="249"/>
      <c r="EH184" s="249"/>
      <c r="EI184" s="249"/>
      <c r="EJ184" s="249"/>
      <c r="EK184" s="249"/>
      <c r="EL184" s="249"/>
      <c r="EM184" s="249"/>
      <c r="EN184" s="249"/>
      <c r="EO184" s="249"/>
      <c r="EP184" s="249"/>
      <c r="EQ184" s="249"/>
      <c r="ER184" s="249"/>
      <c r="ES184" s="249"/>
      <c r="ET184" s="249"/>
      <c r="EU184" s="249"/>
      <c r="EV184" s="249"/>
      <c r="EW184" s="249"/>
      <c r="EX184" s="249"/>
      <c r="EY184" s="249"/>
      <c r="EZ184" s="249"/>
      <c r="FA184" s="249"/>
      <c r="FB184" s="249"/>
      <c r="FC184" s="249"/>
      <c r="FD184" s="249"/>
      <c r="FE184" s="249"/>
      <c r="FF184" s="249"/>
      <c r="FG184" s="249"/>
      <c r="FH184" s="249"/>
      <c r="FI184" s="249"/>
      <c r="FJ184" s="249"/>
      <c r="FK184" s="249"/>
      <c r="FL184" s="249"/>
      <c r="FM184" s="249"/>
      <c r="FN184" s="249"/>
      <c r="FO184" s="249"/>
      <c r="FP184" s="249"/>
      <c r="FQ184" s="249"/>
      <c r="FR184" s="249"/>
      <c r="FS184" s="249"/>
      <c r="FT184" s="249"/>
      <c r="FU184" s="249"/>
      <c r="FV184" s="249"/>
      <c r="FW184" s="249"/>
      <c r="FX184" s="249"/>
      <c r="FY184" s="249"/>
      <c r="FZ184" s="249"/>
      <c r="GA184" s="249"/>
      <c r="GB184" s="249"/>
      <c r="GC184" s="249"/>
      <c r="GD184" s="249"/>
      <c r="GE184" s="249"/>
      <c r="GF184" s="249"/>
      <c r="GG184" s="249"/>
      <c r="GH184" s="249"/>
      <c r="GI184" s="249"/>
      <c r="GJ184" s="249"/>
      <c r="GK184" s="249"/>
      <c r="GL184" s="249"/>
      <c r="GM184" s="249"/>
      <c r="GN184" s="249"/>
      <c r="GO184" s="249"/>
      <c r="GP184" s="249"/>
      <c r="GQ184" s="249"/>
      <c r="GR184" s="249"/>
    </row>
    <row r="185" spans="1:200" s="252" customFormat="1" ht="12.75" customHeight="1" x14ac:dyDescent="0.2">
      <c r="A185" s="722"/>
      <c r="B185" s="1123"/>
      <c r="C185" s="1123"/>
      <c r="D185" s="525"/>
      <c r="E185" s="613"/>
      <c r="F185" s="249"/>
      <c r="G185" s="250"/>
      <c r="H185" s="250"/>
      <c r="I185" s="250"/>
      <c r="J185" s="250"/>
      <c r="K185" s="250"/>
      <c r="L185" s="250"/>
      <c r="M185" s="250"/>
      <c r="N185" s="250"/>
      <c r="O185" s="250"/>
      <c r="P185" s="251"/>
      <c r="Q185" s="251"/>
      <c r="R185" s="251"/>
      <c r="S185" s="249"/>
      <c r="T185" s="249"/>
      <c r="U185" s="1397"/>
      <c r="V185" s="1862" t="str">
        <f>CONCATENATE('Cement SLB Rev'!A13, " ",'Cement SLB Rev'!B13)</f>
        <v>Fluid loss D255 (lbs)</v>
      </c>
      <c r="W185" s="255" t="str">
        <f>'Cement SLB Rev'!C13</f>
        <v>lb</v>
      </c>
      <c r="X185" s="475"/>
      <c r="Y185" s="246">
        <f>ROUNDUP($Y$174*'Cement SLB Rev'!W13,0)</f>
        <v>0</v>
      </c>
      <c r="Z185" s="246">
        <f>ROUNDUP(IF(Z$174="Basic",'Cement SLB Rev'!P13,'Cement SLB Rev'!Q13),0)</f>
        <v>0</v>
      </c>
      <c r="AA185" s="246">
        <f>ROUNDUP($AA$174*'Cement SLB Rev'!W13,0)</f>
        <v>0</v>
      </c>
      <c r="AB185" s="246">
        <f>ROUNDUP(IF(AB$174="Basic",'Cement SLB Rev'!R13,'Cement SLB Rev'!S13),0)+($AB$173*'Cement SLB Rev'!W13)</f>
        <v>0</v>
      </c>
      <c r="AC185" s="246"/>
      <c r="AD185" s="246">
        <f>ROUNDUP(IF(AD$174="Basic",'Cement SLB Rev'!T13,'Cement SLB Rev'!U13),0)+($AD$173*'Cement SLB Rev'!W13)</f>
        <v>0</v>
      </c>
      <c r="AE185" s="246"/>
      <c r="AF185" s="246">
        <f>ROUNDUP('Cement SLB Rev'!V13,0)</f>
        <v>0</v>
      </c>
      <c r="AG185" s="246"/>
      <c r="AH185" s="246">
        <f>IFERROR(ROUNDUP('Cement SLB Rev'!X13,-1)*IF(RH_BH="Regular Hole",0,1),0)*IF(DOUBLE_LINER="Yes",1,0)</f>
        <v>100</v>
      </c>
      <c r="AI185" s="246"/>
      <c r="AJ185" s="246">
        <f>IF(AJ175="",0,1)</f>
        <v>0</v>
      </c>
      <c r="AK185" s="246">
        <f>ROUNDUP(IF($AK$175="",0,'Cement SLB Rev'!Y13)+($AK$174*'Cement SLB Rev'!W13),0)</f>
        <v>0</v>
      </c>
      <c r="AL185" s="475"/>
      <c r="AM185" s="475">
        <f>SUM(X185:AL185)</f>
        <v>100</v>
      </c>
      <c r="AN185" s="254"/>
      <c r="AO185" s="249"/>
      <c r="AP185" s="250"/>
      <c r="AQ185" s="250"/>
      <c r="AR185" s="250"/>
      <c r="AS185" s="250"/>
      <c r="AT185" s="250"/>
      <c r="AU185" s="250"/>
      <c r="AV185" s="249"/>
      <c r="AW185" s="249"/>
      <c r="AX185" s="249"/>
      <c r="AY185" s="249"/>
      <c r="AZ185" s="249"/>
      <c r="BA185" s="249"/>
      <c r="BB185" s="249"/>
      <c r="BC185" s="249"/>
      <c r="BD185" s="249"/>
      <c r="BE185" s="249"/>
      <c r="BF185" s="249"/>
      <c r="BG185" s="249"/>
      <c r="BH185" s="249"/>
      <c r="BI185" s="249"/>
      <c r="BJ185" s="249"/>
      <c r="BK185" s="249"/>
      <c r="BL185" s="249"/>
      <c r="BM185" s="249"/>
      <c r="BN185" s="249"/>
      <c r="BO185" s="249"/>
      <c r="BP185" s="249"/>
      <c r="BQ185" s="249"/>
      <c r="BR185" s="249"/>
      <c r="BS185" s="249"/>
      <c r="BT185" s="249"/>
      <c r="BU185" s="249"/>
      <c r="BV185" s="249"/>
      <c r="BW185" s="249"/>
      <c r="BX185" s="249"/>
      <c r="BY185" s="249"/>
      <c r="BZ185" s="249"/>
      <c r="CA185" s="249"/>
      <c r="CB185" s="249"/>
      <c r="CC185" s="249"/>
      <c r="CD185" s="249"/>
      <c r="CE185" s="249"/>
      <c r="CF185" s="249"/>
      <c r="CG185" s="249"/>
      <c r="CH185" s="249"/>
      <c r="CI185" s="249"/>
      <c r="CJ185" s="249"/>
      <c r="CK185" s="249"/>
      <c r="CL185" s="249"/>
      <c r="CM185" s="249"/>
      <c r="CN185" s="249"/>
      <c r="CO185" s="249"/>
      <c r="CP185" s="249"/>
      <c r="CQ185" s="249"/>
      <c r="CR185" s="249"/>
      <c r="CS185" s="249"/>
      <c r="CT185" s="249"/>
      <c r="CU185" s="249"/>
      <c r="CV185" s="249"/>
      <c r="CW185" s="249"/>
      <c r="CX185" s="249"/>
      <c r="CY185" s="249"/>
      <c r="CZ185" s="249"/>
      <c r="DA185" s="249"/>
      <c r="DB185" s="249"/>
      <c r="DC185" s="249"/>
      <c r="DD185" s="249"/>
      <c r="DE185" s="249"/>
      <c r="DF185" s="249"/>
      <c r="DG185" s="249"/>
      <c r="DH185" s="249"/>
      <c r="DI185" s="249"/>
      <c r="DJ185" s="249"/>
      <c r="DK185" s="249"/>
      <c r="DL185" s="249"/>
      <c r="DM185" s="249"/>
      <c r="DN185" s="249"/>
      <c r="DO185" s="249"/>
      <c r="DP185" s="249"/>
      <c r="DQ185" s="249"/>
      <c r="DR185" s="249"/>
      <c r="DS185" s="249"/>
      <c r="DT185" s="249"/>
      <c r="DU185" s="249"/>
      <c r="DV185" s="249"/>
      <c r="DW185" s="249"/>
      <c r="DX185" s="249"/>
      <c r="DY185" s="249"/>
      <c r="DZ185" s="249"/>
      <c r="EA185" s="249"/>
      <c r="EB185" s="249"/>
      <c r="EC185" s="249"/>
      <c r="ED185" s="249"/>
      <c r="EE185" s="249"/>
      <c r="EF185" s="249"/>
      <c r="EG185" s="249"/>
      <c r="EH185" s="249"/>
      <c r="EI185" s="249"/>
      <c r="EJ185" s="249"/>
      <c r="EK185" s="249"/>
      <c r="EL185" s="249"/>
      <c r="EM185" s="249"/>
      <c r="EN185" s="249"/>
      <c r="EO185" s="249"/>
      <c r="EP185" s="249"/>
      <c r="EQ185" s="249"/>
      <c r="ER185" s="249"/>
      <c r="ES185" s="249"/>
      <c r="ET185" s="249"/>
      <c r="EU185" s="249"/>
      <c r="EV185" s="249"/>
      <c r="EW185" s="249"/>
      <c r="EX185" s="249"/>
      <c r="EY185" s="249"/>
      <c r="EZ185" s="249"/>
      <c r="FA185" s="249"/>
      <c r="FB185" s="249"/>
      <c r="FC185" s="249"/>
      <c r="FD185" s="249"/>
      <c r="FE185" s="249"/>
      <c r="FF185" s="249"/>
      <c r="FG185" s="249"/>
      <c r="FH185" s="249"/>
      <c r="FI185" s="249"/>
      <c r="FJ185" s="249"/>
      <c r="FK185" s="249"/>
      <c r="FL185" s="249"/>
      <c r="FM185" s="249"/>
      <c r="FN185" s="249"/>
      <c r="FO185" s="249"/>
      <c r="FP185" s="249"/>
      <c r="FQ185" s="249"/>
      <c r="FR185" s="249"/>
      <c r="FS185" s="249"/>
      <c r="FT185" s="249"/>
      <c r="FU185" s="249"/>
      <c r="FV185" s="249"/>
      <c r="FW185" s="249"/>
      <c r="FX185" s="249"/>
      <c r="FY185" s="249"/>
      <c r="FZ185" s="249"/>
      <c r="GA185" s="249"/>
      <c r="GB185" s="249"/>
      <c r="GC185" s="249"/>
      <c r="GD185" s="249"/>
      <c r="GE185" s="249"/>
      <c r="GF185" s="249"/>
      <c r="GG185" s="249"/>
      <c r="GH185" s="249"/>
      <c r="GI185" s="249"/>
      <c r="GJ185" s="249"/>
      <c r="GK185" s="249"/>
      <c r="GL185" s="249"/>
      <c r="GM185" s="249"/>
      <c r="GN185" s="249"/>
      <c r="GO185" s="249"/>
      <c r="GP185" s="249"/>
      <c r="GQ185" s="249"/>
      <c r="GR185" s="249"/>
    </row>
    <row r="186" spans="1:200" s="252" customFormat="1" ht="12.75" customHeight="1" x14ac:dyDescent="0.2">
      <c r="A186" s="722"/>
      <c r="B186" s="1123"/>
      <c r="C186" s="1123"/>
      <c r="D186" s="525"/>
      <c r="E186" s="613"/>
      <c r="F186" s="249"/>
      <c r="G186" s="250"/>
      <c r="H186" s="250"/>
      <c r="I186" s="250"/>
      <c r="J186" s="250"/>
      <c r="K186" s="250"/>
      <c r="L186" s="250"/>
      <c r="M186" s="250"/>
      <c r="N186" s="250"/>
      <c r="O186" s="250"/>
      <c r="P186" s="251"/>
      <c r="Q186" s="251"/>
      <c r="R186" s="251"/>
      <c r="S186" s="249"/>
      <c r="T186" s="249"/>
      <c r="U186" s="1862"/>
      <c r="V186" s="1862" t="str">
        <f>IF(RH_BH="Big Hole",'Cement SLB Rev'!$P$30,'Cement SLB Rev'!$P$32)</f>
        <v>13 3/8" CBP</v>
      </c>
      <c r="W186" s="255" t="s">
        <v>163</v>
      </c>
      <c r="X186" s="475"/>
      <c r="Y186" s="246"/>
      <c r="Z186" s="246"/>
      <c r="AA186" s="246"/>
      <c r="AB186" s="246"/>
      <c r="AC186" s="246"/>
      <c r="AD186" s="246"/>
      <c r="AE186" s="246"/>
      <c r="AF186" s="246">
        <f>IF(RH_BH="Regular Hole",1,1)*IF(DOUBLE_LINER="Yes",0,1)</f>
        <v>0</v>
      </c>
      <c r="AG186" s="246"/>
      <c r="AH186" s="246">
        <f>IF(RH_BH="Regular Hole",0,1)*IF(DOUBLE_LINER="Yes",1,0)</f>
        <v>1</v>
      </c>
      <c r="AI186" s="246"/>
      <c r="AJ186" s="246">
        <f>IF($AJ$175="",0,1)</f>
        <v>0</v>
      </c>
      <c r="AK186" s="246"/>
      <c r="AL186" s="475"/>
      <c r="AM186" s="475">
        <f>SUM(X186:AL186)</f>
        <v>1</v>
      </c>
      <c r="AN186" s="254"/>
      <c r="AO186" s="249"/>
      <c r="AP186" s="250"/>
      <c r="AQ186" s="250"/>
      <c r="AR186" s="250"/>
      <c r="AS186" s="250"/>
      <c r="AT186" s="250"/>
      <c r="AU186" s="250"/>
      <c r="AV186" s="249"/>
      <c r="AW186" s="249"/>
      <c r="AX186" s="249"/>
      <c r="AY186" s="249"/>
      <c r="AZ186" s="249"/>
      <c r="BA186" s="249"/>
      <c r="BB186" s="249"/>
      <c r="BC186" s="249"/>
      <c r="BD186" s="249"/>
      <c r="BE186" s="249"/>
      <c r="BF186" s="249"/>
      <c r="BG186" s="249"/>
      <c r="BH186" s="249"/>
      <c r="BI186" s="249"/>
      <c r="BJ186" s="249"/>
      <c r="BK186" s="249"/>
      <c r="BL186" s="249"/>
      <c r="BM186" s="249"/>
      <c r="BN186" s="249"/>
      <c r="BO186" s="249"/>
      <c r="BP186" s="249"/>
      <c r="BQ186" s="249"/>
      <c r="BR186" s="249"/>
      <c r="BS186" s="249"/>
      <c r="BT186" s="249"/>
      <c r="BU186" s="249"/>
      <c r="BV186" s="249"/>
      <c r="BW186" s="249"/>
      <c r="BX186" s="249"/>
      <c r="BY186" s="249"/>
      <c r="BZ186" s="249"/>
      <c r="CA186" s="249"/>
      <c r="CB186" s="249"/>
      <c r="CC186" s="249"/>
      <c r="CD186" s="249"/>
      <c r="CE186" s="249"/>
      <c r="CF186" s="249"/>
      <c r="CG186" s="249"/>
      <c r="CH186" s="249"/>
      <c r="CI186" s="249"/>
      <c r="CJ186" s="249"/>
      <c r="CK186" s="249"/>
      <c r="CL186" s="249"/>
      <c r="CM186" s="249"/>
      <c r="CN186" s="249"/>
      <c r="CO186" s="249"/>
      <c r="CP186" s="249"/>
      <c r="CQ186" s="249"/>
      <c r="CR186" s="249"/>
      <c r="CS186" s="249"/>
      <c r="CT186" s="249"/>
      <c r="CU186" s="249"/>
      <c r="CV186" s="249"/>
      <c r="CW186" s="249"/>
      <c r="CX186" s="249"/>
      <c r="CY186" s="249"/>
      <c r="CZ186" s="249"/>
      <c r="DA186" s="249"/>
      <c r="DB186" s="249"/>
      <c r="DC186" s="249"/>
      <c r="DD186" s="249"/>
      <c r="DE186" s="249"/>
      <c r="DF186" s="249"/>
      <c r="DG186" s="249"/>
      <c r="DH186" s="249"/>
      <c r="DI186" s="249"/>
      <c r="DJ186" s="249"/>
      <c r="DK186" s="249"/>
      <c r="DL186" s="249"/>
      <c r="DM186" s="249"/>
      <c r="DN186" s="249"/>
      <c r="DO186" s="249"/>
      <c r="DP186" s="249"/>
      <c r="DQ186" s="249"/>
      <c r="DR186" s="249"/>
      <c r="DS186" s="249"/>
      <c r="DT186" s="249"/>
      <c r="DU186" s="249"/>
      <c r="DV186" s="249"/>
      <c r="DW186" s="249"/>
      <c r="DX186" s="249"/>
      <c r="DY186" s="249"/>
      <c r="DZ186" s="249"/>
      <c r="EA186" s="249"/>
      <c r="EB186" s="249"/>
      <c r="EC186" s="249"/>
      <c r="ED186" s="249"/>
      <c r="EE186" s="249"/>
      <c r="EF186" s="249"/>
      <c r="EG186" s="249"/>
      <c r="EH186" s="249"/>
      <c r="EI186" s="249"/>
      <c r="EJ186" s="249"/>
      <c r="EK186" s="249"/>
      <c r="EL186" s="249"/>
      <c r="EM186" s="249"/>
      <c r="EN186" s="249"/>
      <c r="EO186" s="249"/>
      <c r="EP186" s="249"/>
      <c r="EQ186" s="249"/>
      <c r="ER186" s="249"/>
      <c r="ES186" s="249"/>
      <c r="ET186" s="249"/>
      <c r="EU186" s="249"/>
      <c r="EV186" s="249"/>
      <c r="EW186" s="249"/>
      <c r="EX186" s="249"/>
      <c r="EY186" s="249"/>
      <c r="EZ186" s="249"/>
      <c r="FA186" s="249"/>
      <c r="FB186" s="249"/>
      <c r="FC186" s="249"/>
      <c r="FD186" s="249"/>
      <c r="FE186" s="249"/>
      <c r="FF186" s="249"/>
      <c r="FG186" s="249"/>
      <c r="FH186" s="249"/>
      <c r="FI186" s="249"/>
      <c r="FJ186" s="249"/>
      <c r="FK186" s="249"/>
      <c r="FL186" s="249"/>
      <c r="FM186" s="249"/>
      <c r="FN186" s="249"/>
      <c r="FO186" s="249"/>
      <c r="FP186" s="249"/>
      <c r="FQ186" s="249"/>
      <c r="FR186" s="249"/>
      <c r="FS186" s="249"/>
      <c r="FT186" s="249"/>
      <c r="FU186" s="249"/>
      <c r="FV186" s="249"/>
      <c r="FW186" s="249"/>
      <c r="FX186" s="249"/>
      <c r="FY186" s="249"/>
      <c r="FZ186" s="249"/>
      <c r="GA186" s="249"/>
      <c r="GB186" s="249"/>
      <c r="GC186" s="249"/>
      <c r="GD186" s="249"/>
      <c r="GE186" s="249"/>
      <c r="GF186" s="249"/>
      <c r="GG186" s="249"/>
      <c r="GH186" s="249"/>
      <c r="GI186" s="249"/>
      <c r="GJ186" s="249"/>
      <c r="GK186" s="249"/>
      <c r="GL186" s="249"/>
      <c r="GM186" s="249"/>
      <c r="GN186" s="249"/>
      <c r="GO186" s="249"/>
      <c r="GP186" s="249"/>
      <c r="GQ186" s="249"/>
      <c r="GR186" s="249"/>
    </row>
    <row r="187" spans="1:200" s="252" customFormat="1" ht="13.5" customHeight="1" x14ac:dyDescent="0.2">
      <c r="A187" s="731"/>
      <c r="B187" s="1132"/>
      <c r="C187" s="1132"/>
      <c r="D187" s="534"/>
      <c r="E187" s="596"/>
      <c r="F187" s="249"/>
      <c r="G187" s="250"/>
      <c r="H187" s="250"/>
      <c r="I187" s="250"/>
      <c r="J187" s="250"/>
      <c r="K187" s="250"/>
      <c r="L187" s="250"/>
      <c r="M187" s="250"/>
      <c r="N187" s="250"/>
      <c r="O187" s="250"/>
      <c r="P187" s="251"/>
      <c r="Q187" s="251"/>
      <c r="R187" s="251"/>
      <c r="S187" s="249"/>
      <c r="T187" s="249"/>
      <c r="U187" s="254"/>
      <c r="V187" s="254"/>
      <c r="W187" s="254"/>
      <c r="X187" s="254"/>
      <c r="Y187" s="254"/>
      <c r="Z187" s="254"/>
      <c r="AA187" s="254"/>
      <c r="AB187" s="254"/>
      <c r="AC187" s="254"/>
      <c r="AD187" s="254"/>
      <c r="AE187" s="254"/>
      <c r="AF187" s="254"/>
      <c r="AG187" s="254"/>
      <c r="AH187" s="254"/>
      <c r="AI187" s="254"/>
      <c r="AJ187" s="254"/>
      <c r="AK187" s="254"/>
      <c r="AL187" s="254"/>
      <c r="AM187" s="534"/>
      <c r="AN187" s="224"/>
      <c r="AO187" s="249"/>
      <c r="AP187" s="250"/>
      <c r="AQ187" s="250"/>
      <c r="AR187" s="250"/>
      <c r="AS187" s="250"/>
      <c r="AT187" s="250"/>
      <c r="AU187" s="250"/>
      <c r="AV187" s="249"/>
      <c r="AW187" s="249"/>
      <c r="AX187" s="249"/>
      <c r="AY187" s="249"/>
      <c r="AZ187" s="249"/>
      <c r="BA187" s="249"/>
      <c r="BB187" s="249"/>
      <c r="BC187" s="249"/>
      <c r="BD187" s="249"/>
      <c r="BE187" s="249"/>
      <c r="BF187" s="249"/>
      <c r="BG187" s="249"/>
      <c r="BH187" s="249"/>
      <c r="BI187" s="249"/>
      <c r="BJ187" s="249"/>
      <c r="BK187" s="249"/>
      <c r="BL187" s="249"/>
      <c r="BM187" s="249"/>
      <c r="BN187" s="249"/>
      <c r="BO187" s="249"/>
      <c r="BP187" s="249"/>
      <c r="BQ187" s="249"/>
      <c r="BR187" s="249"/>
      <c r="BS187" s="249"/>
      <c r="BT187" s="249"/>
      <c r="BU187" s="249"/>
      <c r="BV187" s="249"/>
      <c r="BW187" s="249"/>
      <c r="BX187" s="249"/>
      <c r="BY187" s="249"/>
      <c r="BZ187" s="249"/>
      <c r="CA187" s="249"/>
      <c r="CB187" s="249"/>
      <c r="CC187" s="249"/>
      <c r="CD187" s="249"/>
      <c r="CE187" s="249"/>
      <c r="CF187" s="249"/>
      <c r="CG187" s="249"/>
      <c r="CH187" s="249"/>
      <c r="CI187" s="249"/>
      <c r="CJ187" s="249"/>
      <c r="CK187" s="249"/>
      <c r="CL187" s="249"/>
      <c r="CM187" s="249"/>
      <c r="CN187" s="249"/>
      <c r="CO187" s="249"/>
      <c r="CP187" s="249"/>
      <c r="CQ187" s="249"/>
      <c r="CR187" s="249"/>
      <c r="CS187" s="249"/>
      <c r="CT187" s="249"/>
      <c r="CU187" s="249"/>
      <c r="CV187" s="249"/>
      <c r="CW187" s="249"/>
      <c r="CX187" s="249"/>
      <c r="CY187" s="249"/>
      <c r="CZ187" s="249"/>
      <c r="DA187" s="249"/>
      <c r="DB187" s="249"/>
      <c r="DC187" s="249"/>
      <c r="DD187" s="249"/>
      <c r="DE187" s="249"/>
      <c r="DF187" s="249"/>
      <c r="DG187" s="249"/>
      <c r="DH187" s="249"/>
      <c r="DI187" s="249"/>
      <c r="DJ187" s="249"/>
      <c r="DK187" s="249"/>
      <c r="DL187" s="249"/>
      <c r="DM187" s="249"/>
      <c r="DN187" s="249"/>
      <c r="DO187" s="249"/>
      <c r="DP187" s="249"/>
      <c r="DQ187" s="249"/>
      <c r="DR187" s="249"/>
      <c r="DS187" s="249"/>
      <c r="DT187" s="249"/>
      <c r="DU187" s="249"/>
      <c r="DV187" s="249"/>
      <c r="DW187" s="249"/>
      <c r="DX187" s="249"/>
      <c r="DY187" s="249"/>
      <c r="DZ187" s="249"/>
      <c r="EA187" s="249"/>
      <c r="EB187" s="249"/>
      <c r="EC187" s="249"/>
      <c r="ED187" s="249"/>
      <c r="EE187" s="249"/>
      <c r="EF187" s="249"/>
      <c r="EG187" s="249"/>
      <c r="EH187" s="249"/>
      <c r="EI187" s="249"/>
      <c r="EJ187" s="249"/>
      <c r="EK187" s="249"/>
      <c r="EL187" s="249"/>
      <c r="EM187" s="249"/>
      <c r="EN187" s="249"/>
      <c r="EO187" s="249"/>
      <c r="EP187" s="249"/>
      <c r="EQ187" s="249"/>
      <c r="ER187" s="249"/>
      <c r="ES187" s="249"/>
      <c r="ET187" s="249"/>
      <c r="EU187" s="249"/>
      <c r="EV187" s="249"/>
      <c r="EW187" s="249"/>
      <c r="EX187" s="249"/>
      <c r="EY187" s="249"/>
      <c r="EZ187" s="249"/>
      <c r="FA187" s="249"/>
      <c r="FB187" s="249"/>
      <c r="FC187" s="249"/>
      <c r="FD187" s="249"/>
      <c r="FE187" s="249"/>
      <c r="FF187" s="249"/>
      <c r="FG187" s="249"/>
      <c r="FH187" s="249"/>
      <c r="FI187" s="249"/>
      <c r="FJ187" s="249"/>
      <c r="FK187" s="249"/>
      <c r="FL187" s="249"/>
      <c r="FM187" s="249"/>
      <c r="FN187" s="249"/>
      <c r="FO187" s="249"/>
      <c r="FP187" s="249"/>
      <c r="FQ187" s="249"/>
      <c r="FR187" s="249"/>
      <c r="FS187" s="249"/>
      <c r="FT187" s="249"/>
      <c r="FU187" s="249"/>
      <c r="FV187" s="249"/>
      <c r="FW187" s="249"/>
      <c r="FX187" s="249"/>
      <c r="FY187" s="249"/>
      <c r="FZ187" s="249"/>
      <c r="GA187" s="249"/>
      <c r="GB187" s="249"/>
      <c r="GC187" s="249"/>
      <c r="GD187" s="249"/>
      <c r="GE187" s="249"/>
      <c r="GF187" s="249"/>
      <c r="GG187" s="249"/>
      <c r="GH187" s="249"/>
      <c r="GI187" s="249"/>
      <c r="GJ187" s="249"/>
      <c r="GK187" s="249"/>
      <c r="GL187" s="249"/>
      <c r="GM187" s="249"/>
      <c r="GN187" s="249"/>
      <c r="GO187" s="249"/>
      <c r="GP187" s="249"/>
      <c r="GQ187" s="249"/>
      <c r="GR187" s="249"/>
    </row>
    <row r="188" spans="1:200" s="252" customFormat="1" ht="13.5" customHeight="1" x14ac:dyDescent="0.2">
      <c r="A188" s="728"/>
      <c r="B188" s="1129"/>
      <c r="C188" s="1129"/>
      <c r="D188" s="531"/>
      <c r="E188" s="613"/>
      <c r="F188" s="249"/>
      <c r="G188" s="250"/>
      <c r="H188" s="250"/>
      <c r="I188" s="250"/>
      <c r="J188" s="250"/>
      <c r="K188" s="250"/>
      <c r="L188" s="250"/>
      <c r="M188" s="250"/>
      <c r="N188" s="250"/>
      <c r="O188" s="250"/>
      <c r="P188" s="251"/>
      <c r="Q188" s="251"/>
      <c r="R188" s="251"/>
      <c r="S188" s="251"/>
      <c r="T188" s="251"/>
      <c r="U188" s="2513" t="s">
        <v>152</v>
      </c>
      <c r="V188" s="2514"/>
      <c r="W188" s="1440" t="s">
        <v>153</v>
      </c>
      <c r="X188" s="1426" t="str">
        <f t="shared" ref="X188:AK188" si="57">X$14</f>
        <v>RIGMOVE</v>
      </c>
      <c r="Y188" s="1426" t="str">
        <f t="shared" si="57"/>
        <v>DSURFACE</v>
      </c>
      <c r="Z188" s="1426" t="str">
        <f t="shared" si="57"/>
        <v>FSURFACE</v>
      </c>
      <c r="AA188" s="1426" t="str">
        <f t="shared" si="57"/>
        <v>DINTERMEDIATE</v>
      </c>
      <c r="AB188" s="1426" t="str">
        <f t="shared" si="57"/>
        <v>FINTERMEDIATE</v>
      </c>
      <c r="AC188" s="1426" t="str">
        <f t="shared" si="57"/>
        <v>DPRODUCTION</v>
      </c>
      <c r="AD188" s="1426" t="str">
        <f t="shared" si="57"/>
        <v>FPRODUCTION</v>
      </c>
      <c r="AE188" s="1426" t="str">
        <f t="shared" si="57"/>
        <v>DLINER1</v>
      </c>
      <c r="AF188" s="1426" t="str">
        <f t="shared" si="57"/>
        <v>FLINER1</v>
      </c>
      <c r="AG188" s="1426" t="str">
        <f t="shared" si="57"/>
        <v>DLINER2</v>
      </c>
      <c r="AH188" s="1426" t="str">
        <f t="shared" si="57"/>
        <v>FLINER2</v>
      </c>
      <c r="AI188" s="1426" t="str">
        <f t="shared" si="57"/>
        <v/>
      </c>
      <c r="AJ188" s="1426" t="str">
        <f t="shared" si="57"/>
        <v/>
      </c>
      <c r="AK188" s="1426" t="str">
        <f t="shared" si="57"/>
        <v/>
      </c>
      <c r="AL188" s="1426"/>
      <c r="AM188" s="1437" t="s">
        <v>101</v>
      </c>
      <c r="AN188" s="254"/>
      <c r="AO188" s="249"/>
      <c r="AP188" s="250"/>
      <c r="AQ188" s="250"/>
      <c r="AR188" s="250"/>
      <c r="AS188" s="250"/>
      <c r="AT188" s="250"/>
      <c r="AU188" s="250"/>
      <c r="AV188" s="249"/>
      <c r="AW188" s="249"/>
      <c r="AX188" s="249"/>
      <c r="AY188" s="249"/>
      <c r="AZ188" s="249"/>
      <c r="BA188" s="249"/>
      <c r="BB188" s="249"/>
      <c r="BC188" s="249"/>
      <c r="BD188" s="249"/>
      <c r="BE188" s="249"/>
      <c r="BF188" s="249"/>
      <c r="BG188" s="249"/>
      <c r="BH188" s="249"/>
      <c r="BI188" s="249"/>
      <c r="BJ188" s="249"/>
      <c r="BK188" s="249"/>
      <c r="BL188" s="249"/>
      <c r="BM188" s="249"/>
      <c r="BN188" s="249"/>
      <c r="BO188" s="249"/>
      <c r="BP188" s="249"/>
      <c r="BQ188" s="249"/>
      <c r="BR188" s="249"/>
      <c r="BS188" s="249"/>
      <c r="BT188" s="249"/>
      <c r="BU188" s="249"/>
      <c r="BV188" s="249"/>
      <c r="BW188" s="249"/>
      <c r="BX188" s="249"/>
      <c r="BY188" s="249"/>
      <c r="BZ188" s="249"/>
      <c r="CA188" s="249"/>
      <c r="CB188" s="249"/>
      <c r="CC188" s="249"/>
      <c r="CD188" s="249"/>
      <c r="CE188" s="249"/>
      <c r="CF188" s="249"/>
      <c r="CG188" s="249"/>
      <c r="CH188" s="249"/>
      <c r="CI188" s="249"/>
      <c r="CJ188" s="249"/>
      <c r="CK188" s="249"/>
      <c r="CL188" s="249"/>
      <c r="CM188" s="249"/>
      <c r="CN188" s="249"/>
      <c r="CO188" s="249"/>
      <c r="CP188" s="249"/>
      <c r="CQ188" s="249"/>
      <c r="CR188" s="249"/>
      <c r="CS188" s="249"/>
      <c r="CT188" s="249"/>
      <c r="CU188" s="249"/>
      <c r="CV188" s="249"/>
      <c r="CW188" s="249"/>
      <c r="CX188" s="249"/>
      <c r="CY188" s="249"/>
      <c r="CZ188" s="249"/>
      <c r="DA188" s="249"/>
      <c r="DB188" s="249"/>
      <c r="DC188" s="249"/>
      <c r="DD188" s="249"/>
      <c r="DE188" s="249"/>
      <c r="DF188" s="249"/>
      <c r="DG188" s="249"/>
      <c r="DH188" s="249"/>
      <c r="DI188" s="249"/>
      <c r="DJ188" s="249"/>
      <c r="DK188" s="249"/>
      <c r="DL188" s="249"/>
      <c r="DM188" s="249"/>
      <c r="DN188" s="249"/>
      <c r="DO188" s="249"/>
      <c r="DP188" s="249"/>
      <c r="DQ188" s="249"/>
      <c r="DR188" s="249"/>
      <c r="DS188" s="249"/>
      <c r="DT188" s="249"/>
      <c r="DU188" s="249"/>
      <c r="DV188" s="249"/>
      <c r="DW188" s="249"/>
      <c r="DX188" s="249"/>
      <c r="DY188" s="249"/>
      <c r="DZ188" s="249"/>
      <c r="EA188" s="249"/>
      <c r="EB188" s="249"/>
      <c r="EC188" s="249"/>
      <c r="ED188" s="249"/>
      <c r="EE188" s="249"/>
      <c r="EF188" s="249"/>
      <c r="EG188" s="249"/>
      <c r="EH188" s="249"/>
      <c r="EI188" s="249"/>
      <c r="EJ188" s="249"/>
      <c r="EK188" s="249"/>
      <c r="EL188" s="249"/>
      <c r="EM188" s="249"/>
      <c r="EN188" s="249"/>
      <c r="EO188" s="249"/>
      <c r="EP188" s="249"/>
      <c r="EQ188" s="249"/>
      <c r="ER188" s="249"/>
      <c r="ES188" s="249"/>
      <c r="ET188" s="249"/>
      <c r="EU188" s="249"/>
      <c r="EV188" s="249"/>
      <c r="EW188" s="249"/>
      <c r="EX188" s="249"/>
      <c r="EY188" s="249"/>
      <c r="EZ188" s="249"/>
      <c r="FA188" s="249"/>
      <c r="FB188" s="249"/>
      <c r="FC188" s="249"/>
      <c r="FD188" s="249"/>
      <c r="FE188" s="249"/>
      <c r="FF188" s="249"/>
      <c r="FG188" s="249"/>
      <c r="FH188" s="249"/>
      <c r="FI188" s="249"/>
      <c r="FJ188" s="249"/>
      <c r="FK188" s="249"/>
      <c r="FL188" s="249"/>
      <c r="FM188" s="249"/>
      <c r="FN188" s="249"/>
      <c r="FO188" s="249"/>
      <c r="FP188" s="249"/>
      <c r="FQ188" s="249"/>
      <c r="FR188" s="249"/>
      <c r="FS188" s="249"/>
      <c r="FT188" s="249"/>
      <c r="FU188" s="249"/>
      <c r="FV188" s="249"/>
      <c r="FW188" s="249"/>
      <c r="FX188" s="249"/>
      <c r="FY188" s="249"/>
      <c r="FZ188" s="249"/>
      <c r="GA188" s="249"/>
      <c r="GB188" s="249"/>
      <c r="GC188" s="249"/>
      <c r="GD188" s="249"/>
      <c r="GE188" s="249"/>
      <c r="GF188" s="249"/>
      <c r="GG188" s="249"/>
      <c r="GH188" s="249"/>
      <c r="GI188" s="249"/>
      <c r="GJ188" s="249"/>
      <c r="GK188" s="249"/>
      <c r="GL188" s="249"/>
      <c r="GM188" s="249"/>
      <c r="GN188" s="249"/>
      <c r="GO188" s="249"/>
      <c r="GP188" s="249"/>
      <c r="GQ188" s="249"/>
      <c r="GR188" s="249"/>
    </row>
    <row r="189" spans="1:200" s="252" customFormat="1" ht="12.75" customHeight="1" x14ac:dyDescent="0.2">
      <c r="A189" s="722"/>
      <c r="B189" s="1123"/>
      <c r="C189" s="1123"/>
      <c r="D189" s="525"/>
      <c r="E189" s="613"/>
      <c r="F189" s="249"/>
      <c r="G189" s="250"/>
      <c r="H189" s="250"/>
      <c r="I189" s="250"/>
      <c r="J189" s="250"/>
      <c r="K189" s="250"/>
      <c r="L189" s="250"/>
      <c r="M189" s="250"/>
      <c r="N189" s="250"/>
      <c r="O189" s="250"/>
      <c r="P189" s="251"/>
      <c r="Q189" s="251"/>
      <c r="R189" s="251"/>
      <c r="S189" s="249"/>
      <c r="T189" s="249"/>
      <c r="U189" s="1671" t="str">
        <f>'Cement SLB Rev'!A4</f>
        <v>Cement</v>
      </c>
      <c r="V189" s="1671" t="str">
        <f>'Cement SLB Rev'!B4</f>
        <v>D907 (110lb)</v>
      </c>
      <c r="W189" s="255">
        <f>'Cement SLB Rev'!D4</f>
        <v>30.42</v>
      </c>
      <c r="X189" s="475"/>
      <c r="Y189" s="246">
        <f>Y176*$W189*FOREX</f>
        <v>138076.38</v>
      </c>
      <c r="Z189" s="246">
        <f t="shared" ref="Y189:AD198" si="58">Z176*$W189*FOREX</f>
        <v>1111781.4211636365</v>
      </c>
      <c r="AA189" s="246">
        <f t="shared" si="58"/>
        <v>138076.38</v>
      </c>
      <c r="AB189" s="246">
        <f t="shared" si="58"/>
        <v>2775490.3800000004</v>
      </c>
      <c r="AC189" s="246">
        <f t="shared" si="58"/>
        <v>138076.38</v>
      </c>
      <c r="AD189" s="246">
        <f t="shared" si="58"/>
        <v>2280000.6811636365</v>
      </c>
      <c r="AE189" s="246"/>
      <c r="AF189" s="246">
        <f t="shared" ref="AF189:AF198" si="59">AF176*$W189*FOREX</f>
        <v>155142</v>
      </c>
      <c r="AG189" s="246"/>
      <c r="AH189" s="246">
        <f>AH176*$W189*FOREX</f>
        <v>1303192.8</v>
      </c>
      <c r="AI189" s="246"/>
      <c r="AJ189" s="246">
        <f t="shared" ref="AJ189:AK198" si="60">AJ176*$W189*FOREX</f>
        <v>0</v>
      </c>
      <c r="AK189" s="246">
        <f t="shared" si="60"/>
        <v>0</v>
      </c>
      <c r="AL189" s="475"/>
      <c r="AM189" s="475">
        <f>SUM(X189:AL189)</f>
        <v>8039836.4223272735</v>
      </c>
      <c r="AN189" s="254"/>
      <c r="AO189" s="249"/>
      <c r="AP189" s="250"/>
      <c r="AQ189" s="250"/>
      <c r="AR189" s="250"/>
      <c r="AS189" s="250"/>
      <c r="AT189" s="250"/>
      <c r="AU189" s="250"/>
      <c r="AV189" s="249"/>
      <c r="AW189" s="249"/>
      <c r="AX189" s="249"/>
      <c r="AY189" s="249"/>
      <c r="AZ189" s="249"/>
      <c r="BA189" s="249"/>
      <c r="BB189" s="249"/>
      <c r="BC189" s="249"/>
      <c r="BD189" s="249"/>
      <c r="BE189" s="249"/>
      <c r="BF189" s="249"/>
      <c r="BG189" s="249"/>
      <c r="BH189" s="249"/>
      <c r="BI189" s="249"/>
      <c r="BJ189" s="249"/>
      <c r="BK189" s="249"/>
      <c r="BL189" s="249"/>
      <c r="BM189" s="249"/>
      <c r="BN189" s="249"/>
      <c r="BO189" s="249"/>
      <c r="BP189" s="249"/>
      <c r="BQ189" s="249"/>
      <c r="BR189" s="249"/>
      <c r="BS189" s="249"/>
      <c r="BT189" s="249"/>
      <c r="BU189" s="249"/>
      <c r="BV189" s="249"/>
      <c r="BW189" s="249"/>
      <c r="BX189" s="249"/>
      <c r="BY189" s="249"/>
      <c r="BZ189" s="249"/>
      <c r="CA189" s="249"/>
      <c r="CB189" s="249"/>
      <c r="CC189" s="249"/>
      <c r="CD189" s="249"/>
      <c r="CE189" s="249"/>
      <c r="CF189" s="249"/>
      <c r="CG189" s="249"/>
      <c r="CH189" s="249"/>
      <c r="CI189" s="249"/>
      <c r="CJ189" s="249"/>
      <c r="CK189" s="249"/>
      <c r="CL189" s="249"/>
      <c r="CM189" s="249"/>
      <c r="CN189" s="249"/>
      <c r="CO189" s="249"/>
      <c r="CP189" s="249"/>
      <c r="CQ189" s="249"/>
      <c r="CR189" s="249"/>
      <c r="CS189" s="249"/>
      <c r="CT189" s="249"/>
      <c r="CU189" s="249"/>
      <c r="CV189" s="249"/>
      <c r="CW189" s="249"/>
      <c r="CX189" s="249"/>
      <c r="CY189" s="249"/>
      <c r="CZ189" s="249"/>
      <c r="DA189" s="249"/>
      <c r="DB189" s="249"/>
      <c r="DC189" s="249"/>
      <c r="DD189" s="249"/>
      <c r="DE189" s="249"/>
      <c r="DF189" s="249"/>
      <c r="DG189" s="249"/>
      <c r="DH189" s="249"/>
      <c r="DI189" s="249"/>
      <c r="DJ189" s="249"/>
      <c r="DK189" s="249"/>
      <c r="DL189" s="249"/>
      <c r="DM189" s="249"/>
      <c r="DN189" s="249"/>
      <c r="DO189" s="249"/>
      <c r="DP189" s="249"/>
      <c r="DQ189" s="249"/>
      <c r="DR189" s="249"/>
      <c r="DS189" s="249"/>
      <c r="DT189" s="249"/>
      <c r="DU189" s="249"/>
      <c r="DV189" s="249"/>
      <c r="DW189" s="249"/>
      <c r="DX189" s="249"/>
      <c r="DY189" s="249"/>
      <c r="DZ189" s="249"/>
      <c r="EA189" s="249"/>
      <c r="EB189" s="249"/>
      <c r="EC189" s="249"/>
      <c r="ED189" s="249"/>
      <c r="EE189" s="249"/>
      <c r="EF189" s="249"/>
      <c r="EG189" s="249"/>
      <c r="EH189" s="249"/>
      <c r="EI189" s="249"/>
      <c r="EJ189" s="249"/>
      <c r="EK189" s="249"/>
      <c r="EL189" s="249"/>
      <c r="EM189" s="249"/>
      <c r="EN189" s="249"/>
      <c r="EO189" s="249"/>
      <c r="EP189" s="249"/>
      <c r="EQ189" s="249"/>
      <c r="ER189" s="249"/>
      <c r="ES189" s="249"/>
      <c r="ET189" s="249"/>
      <c r="EU189" s="249"/>
      <c r="EV189" s="249"/>
      <c r="EW189" s="249"/>
      <c r="EX189" s="249"/>
      <c r="EY189" s="249"/>
      <c r="EZ189" s="249"/>
      <c r="FA189" s="249"/>
      <c r="FB189" s="249"/>
      <c r="FC189" s="249"/>
      <c r="FD189" s="249"/>
      <c r="FE189" s="249"/>
      <c r="FF189" s="249"/>
      <c r="FG189" s="249"/>
      <c r="FH189" s="249"/>
      <c r="FI189" s="249"/>
      <c r="FJ189" s="249"/>
      <c r="FK189" s="249"/>
      <c r="FL189" s="249"/>
      <c r="FM189" s="249"/>
      <c r="FN189" s="249"/>
      <c r="FO189" s="249"/>
      <c r="FP189" s="249"/>
      <c r="FQ189" s="249"/>
      <c r="FR189" s="249"/>
      <c r="FS189" s="249"/>
      <c r="FT189" s="249"/>
      <c r="FU189" s="249"/>
      <c r="FV189" s="249"/>
      <c r="FW189" s="249"/>
      <c r="FX189" s="249"/>
      <c r="FY189" s="249"/>
      <c r="FZ189" s="249"/>
      <c r="GA189" s="249"/>
      <c r="GB189" s="249"/>
      <c r="GC189" s="249"/>
      <c r="GD189" s="249"/>
      <c r="GE189" s="249"/>
      <c r="GF189" s="249"/>
      <c r="GG189" s="249"/>
      <c r="GH189" s="249"/>
      <c r="GI189" s="249"/>
      <c r="GJ189" s="249"/>
      <c r="GK189" s="249"/>
      <c r="GL189" s="249"/>
      <c r="GM189" s="249"/>
      <c r="GN189" s="249"/>
      <c r="GO189" s="249"/>
      <c r="GP189" s="249"/>
      <c r="GQ189" s="249"/>
      <c r="GR189" s="249"/>
    </row>
    <row r="190" spans="1:200" s="252" customFormat="1" ht="12.75" customHeight="1" x14ac:dyDescent="0.2">
      <c r="A190" s="722"/>
      <c r="B190" s="1123"/>
      <c r="C190" s="1123"/>
      <c r="D190" s="525"/>
      <c r="E190" s="613"/>
      <c r="F190" s="249"/>
      <c r="G190" s="250"/>
      <c r="H190" s="250"/>
      <c r="I190" s="250"/>
      <c r="J190" s="250"/>
      <c r="K190" s="250"/>
      <c r="L190" s="250"/>
      <c r="M190" s="250"/>
      <c r="N190" s="250"/>
      <c r="O190" s="250"/>
      <c r="P190" s="251"/>
      <c r="Q190" s="251"/>
      <c r="R190" s="251"/>
      <c r="S190" s="249"/>
      <c r="T190" s="249"/>
      <c r="U190" s="1862" t="str">
        <f>'Cement SLB Rev'!A5</f>
        <v>Antifoam</v>
      </c>
      <c r="V190" s="1862" t="str">
        <f>'Cement SLB Rev'!B5</f>
        <v>D047 (gps)</v>
      </c>
      <c r="W190" s="255">
        <f>'Cement SLB Rev'!D5</f>
        <v>56.77</v>
      </c>
      <c r="X190" s="475"/>
      <c r="Y190" s="246">
        <f t="shared" si="58"/>
        <v>17371.62</v>
      </c>
      <c r="Z190" s="246">
        <f t="shared" si="58"/>
        <v>125075.66400000002</v>
      </c>
      <c r="AA190" s="246">
        <f t="shared" si="58"/>
        <v>17371.62</v>
      </c>
      <c r="AB190" s="246">
        <f t="shared" si="58"/>
        <v>307477.674</v>
      </c>
      <c r="AC190" s="246">
        <f t="shared" si="58"/>
        <v>17371.62</v>
      </c>
      <c r="AD190" s="246">
        <f t="shared" si="58"/>
        <v>252467.54399999999</v>
      </c>
      <c r="AE190" s="246"/>
      <c r="AF190" s="246">
        <f t="shared" si="59"/>
        <v>28952.7</v>
      </c>
      <c r="AG190" s="246"/>
      <c r="AH190" s="246">
        <f t="shared" ref="AH190:AH198" si="61">AH177*$W190*FOREX</f>
        <v>144763.5</v>
      </c>
      <c r="AI190" s="246"/>
      <c r="AJ190" s="246">
        <f t="shared" si="60"/>
        <v>0</v>
      </c>
      <c r="AK190" s="246">
        <f t="shared" si="60"/>
        <v>0</v>
      </c>
      <c r="AL190" s="475"/>
      <c r="AM190" s="475">
        <f t="shared" ref="AM190" si="62">SUM(X190:AL190)</f>
        <v>910851.94199999992</v>
      </c>
      <c r="AN190" s="254"/>
      <c r="AO190" s="249"/>
      <c r="AP190" s="250"/>
      <c r="AQ190" s="250"/>
      <c r="AR190" s="250"/>
      <c r="AS190" s="250"/>
      <c r="AT190" s="250"/>
      <c r="AU190" s="250"/>
      <c r="AV190" s="249"/>
      <c r="AW190" s="249"/>
      <c r="AX190" s="249"/>
      <c r="AY190" s="249"/>
      <c r="AZ190" s="249"/>
      <c r="BA190" s="249"/>
      <c r="BB190" s="249"/>
      <c r="BC190" s="249"/>
      <c r="BD190" s="249"/>
      <c r="BE190" s="249"/>
      <c r="BF190" s="249"/>
      <c r="BG190" s="249"/>
      <c r="BH190" s="249"/>
      <c r="BI190" s="249"/>
      <c r="BJ190" s="249"/>
      <c r="BK190" s="249"/>
      <c r="BL190" s="249"/>
      <c r="BM190" s="249"/>
      <c r="BN190" s="249"/>
      <c r="BO190" s="249"/>
      <c r="BP190" s="249"/>
      <c r="BQ190" s="249"/>
      <c r="BR190" s="249"/>
      <c r="BS190" s="249"/>
      <c r="BT190" s="249"/>
      <c r="BU190" s="249"/>
      <c r="BV190" s="249"/>
      <c r="BW190" s="249"/>
      <c r="BX190" s="249"/>
      <c r="BY190" s="249"/>
      <c r="BZ190" s="249"/>
      <c r="CA190" s="249"/>
      <c r="CB190" s="249"/>
      <c r="CC190" s="249"/>
      <c r="CD190" s="249"/>
      <c r="CE190" s="249"/>
      <c r="CF190" s="249"/>
      <c r="CG190" s="249"/>
      <c r="CH190" s="249"/>
      <c r="CI190" s="249"/>
      <c r="CJ190" s="249"/>
      <c r="CK190" s="249"/>
      <c r="CL190" s="249"/>
      <c r="CM190" s="249"/>
      <c r="CN190" s="249"/>
      <c r="CO190" s="249"/>
      <c r="CP190" s="249"/>
      <c r="CQ190" s="249"/>
      <c r="CR190" s="249"/>
      <c r="CS190" s="249"/>
      <c r="CT190" s="249"/>
      <c r="CU190" s="249"/>
      <c r="CV190" s="249"/>
      <c r="CW190" s="249"/>
      <c r="CX190" s="249"/>
      <c r="CY190" s="249"/>
      <c r="CZ190" s="249"/>
      <c r="DA190" s="249"/>
      <c r="DB190" s="249"/>
      <c r="DC190" s="249"/>
      <c r="DD190" s="249"/>
      <c r="DE190" s="249"/>
      <c r="DF190" s="249"/>
      <c r="DG190" s="249"/>
      <c r="DH190" s="249"/>
      <c r="DI190" s="249"/>
      <c r="DJ190" s="249"/>
      <c r="DK190" s="249"/>
      <c r="DL190" s="249"/>
      <c r="DM190" s="249"/>
      <c r="DN190" s="249"/>
      <c r="DO190" s="249"/>
      <c r="DP190" s="249"/>
      <c r="DQ190" s="249"/>
      <c r="DR190" s="249"/>
      <c r="DS190" s="249"/>
      <c r="DT190" s="249"/>
      <c r="DU190" s="249"/>
      <c r="DV190" s="249"/>
      <c r="DW190" s="249"/>
      <c r="DX190" s="249"/>
      <c r="DY190" s="249"/>
      <c r="DZ190" s="249"/>
      <c r="EA190" s="249"/>
      <c r="EB190" s="249"/>
      <c r="EC190" s="249"/>
      <c r="ED190" s="249"/>
      <c r="EE190" s="249"/>
      <c r="EF190" s="249"/>
      <c r="EG190" s="249"/>
      <c r="EH190" s="249"/>
      <c r="EI190" s="249"/>
      <c r="EJ190" s="249"/>
      <c r="EK190" s="249"/>
      <c r="EL190" s="249"/>
      <c r="EM190" s="249"/>
      <c r="EN190" s="249"/>
      <c r="EO190" s="249"/>
      <c r="EP190" s="249"/>
      <c r="EQ190" s="249"/>
      <c r="ER190" s="249"/>
      <c r="ES190" s="249"/>
      <c r="ET190" s="249"/>
      <c r="EU190" s="249"/>
      <c r="EV190" s="249"/>
      <c r="EW190" s="249"/>
      <c r="EX190" s="249"/>
      <c r="EY190" s="249"/>
      <c r="EZ190" s="249"/>
      <c r="FA190" s="249"/>
      <c r="FB190" s="249"/>
      <c r="FC190" s="249"/>
      <c r="FD190" s="249"/>
      <c r="FE190" s="249"/>
      <c r="FF190" s="249"/>
      <c r="FG190" s="249"/>
      <c r="FH190" s="249"/>
      <c r="FI190" s="249"/>
      <c r="FJ190" s="249"/>
      <c r="FK190" s="249"/>
      <c r="FL190" s="249"/>
      <c r="FM190" s="249"/>
      <c r="FN190" s="249"/>
      <c r="FO190" s="249"/>
      <c r="FP190" s="249"/>
      <c r="FQ190" s="249"/>
      <c r="FR190" s="249"/>
      <c r="FS190" s="249"/>
      <c r="FT190" s="249"/>
      <c r="FU190" s="249"/>
      <c r="FV190" s="249"/>
      <c r="FW190" s="249"/>
      <c r="FX190" s="249"/>
      <c r="FY190" s="249"/>
      <c r="FZ190" s="249"/>
      <c r="GA190" s="249"/>
      <c r="GB190" s="249"/>
      <c r="GC190" s="249"/>
      <c r="GD190" s="249"/>
      <c r="GE190" s="249"/>
      <c r="GF190" s="249"/>
      <c r="GG190" s="249"/>
      <c r="GH190" s="249"/>
      <c r="GI190" s="249"/>
      <c r="GJ190" s="249"/>
      <c r="GK190" s="249"/>
      <c r="GL190" s="249"/>
      <c r="GM190" s="249"/>
      <c r="GN190" s="249"/>
      <c r="GO190" s="249"/>
      <c r="GP190" s="249"/>
      <c r="GQ190" s="249"/>
      <c r="GR190" s="249"/>
    </row>
    <row r="191" spans="1:200" s="252" customFormat="1" ht="12.75" customHeight="1" x14ac:dyDescent="0.2">
      <c r="A191" s="722"/>
      <c r="B191" s="1123"/>
      <c r="C191" s="1123"/>
      <c r="D191" s="525"/>
      <c r="E191" s="613"/>
      <c r="F191" s="249"/>
      <c r="G191" s="250"/>
      <c r="H191" s="250"/>
      <c r="I191" s="250"/>
      <c r="J191" s="250"/>
      <c r="K191" s="250"/>
      <c r="L191" s="250"/>
      <c r="M191" s="250"/>
      <c r="N191" s="250"/>
      <c r="O191" s="250"/>
      <c r="P191" s="251"/>
      <c r="Q191" s="251"/>
      <c r="R191" s="251"/>
      <c r="S191" s="249"/>
      <c r="T191" s="249"/>
      <c r="U191" s="1862" t="str">
        <f>'Cement SLB Rev'!A6</f>
        <v>Extender</v>
      </c>
      <c r="V191" s="1862" t="str">
        <f>'Cement SLB Rev'!B6</f>
        <v>D020 (lbs)</v>
      </c>
      <c r="W191" s="255">
        <f>'Cement SLB Rev'!D6</f>
        <v>0.46</v>
      </c>
      <c r="X191" s="475"/>
      <c r="Y191" s="246">
        <f t="shared" si="58"/>
        <v>0</v>
      </c>
      <c r="Z191" s="246">
        <f t="shared" si="58"/>
        <v>5513.1</v>
      </c>
      <c r="AA191" s="246">
        <f t="shared" si="58"/>
        <v>0</v>
      </c>
      <c r="AB191" s="246">
        <f t="shared" si="58"/>
        <v>10861.980000000001</v>
      </c>
      <c r="AC191" s="246">
        <f t="shared" si="58"/>
        <v>0</v>
      </c>
      <c r="AD191" s="246">
        <f t="shared" si="58"/>
        <v>0</v>
      </c>
      <c r="AE191" s="246"/>
      <c r="AF191" s="246">
        <f t="shared" si="59"/>
        <v>0</v>
      </c>
      <c r="AG191" s="246"/>
      <c r="AH191" s="246">
        <f t="shared" si="61"/>
        <v>2815.2000000000003</v>
      </c>
      <c r="AI191" s="246"/>
      <c r="AJ191" s="246">
        <f t="shared" si="60"/>
        <v>0</v>
      </c>
      <c r="AK191" s="246">
        <f t="shared" si="60"/>
        <v>0</v>
      </c>
      <c r="AL191" s="475"/>
      <c r="AM191" s="475">
        <f t="shared" ref="AM191" si="63">SUM(X191:AL191)</f>
        <v>19190.280000000002</v>
      </c>
      <c r="AN191" s="254"/>
      <c r="AO191" s="249"/>
      <c r="AP191" s="250"/>
      <c r="AQ191" s="250"/>
      <c r="AR191" s="250"/>
      <c r="AS191" s="250"/>
      <c r="AT191" s="250"/>
      <c r="AU191" s="250"/>
      <c r="AV191" s="249"/>
      <c r="AW191" s="249"/>
      <c r="AX191" s="249"/>
      <c r="AY191" s="249"/>
      <c r="AZ191" s="249"/>
      <c r="BA191" s="249"/>
      <c r="BB191" s="249"/>
      <c r="BC191" s="249"/>
      <c r="BD191" s="249"/>
      <c r="BE191" s="249"/>
      <c r="BF191" s="249"/>
      <c r="BG191" s="249"/>
      <c r="BH191" s="249"/>
      <c r="BI191" s="249"/>
      <c r="BJ191" s="249"/>
      <c r="BK191" s="249"/>
      <c r="BL191" s="249"/>
      <c r="BM191" s="249"/>
      <c r="BN191" s="249"/>
      <c r="BO191" s="249"/>
      <c r="BP191" s="249"/>
      <c r="BQ191" s="249"/>
      <c r="BR191" s="249"/>
      <c r="BS191" s="249"/>
      <c r="BT191" s="249"/>
      <c r="BU191" s="249"/>
      <c r="BV191" s="249"/>
      <c r="BW191" s="249"/>
      <c r="BX191" s="249"/>
      <c r="BY191" s="249"/>
      <c r="BZ191" s="249"/>
      <c r="CA191" s="249"/>
      <c r="CB191" s="249"/>
      <c r="CC191" s="249"/>
      <c r="CD191" s="249"/>
      <c r="CE191" s="249"/>
      <c r="CF191" s="249"/>
      <c r="CG191" s="249"/>
      <c r="CH191" s="249"/>
      <c r="CI191" s="249"/>
      <c r="CJ191" s="249"/>
      <c r="CK191" s="249"/>
      <c r="CL191" s="249"/>
      <c r="CM191" s="249"/>
      <c r="CN191" s="249"/>
      <c r="CO191" s="249"/>
      <c r="CP191" s="249"/>
      <c r="CQ191" s="249"/>
      <c r="CR191" s="249"/>
      <c r="CS191" s="249"/>
      <c r="CT191" s="249"/>
      <c r="CU191" s="249"/>
      <c r="CV191" s="249"/>
      <c r="CW191" s="249"/>
      <c r="CX191" s="249"/>
      <c r="CY191" s="249"/>
      <c r="CZ191" s="249"/>
      <c r="DA191" s="249"/>
      <c r="DB191" s="249"/>
      <c r="DC191" s="249"/>
      <c r="DD191" s="249"/>
      <c r="DE191" s="249"/>
      <c r="DF191" s="249"/>
      <c r="DG191" s="249"/>
      <c r="DH191" s="249"/>
      <c r="DI191" s="249"/>
      <c r="DJ191" s="249"/>
      <c r="DK191" s="249"/>
      <c r="DL191" s="249"/>
      <c r="DM191" s="249"/>
      <c r="DN191" s="249"/>
      <c r="DO191" s="249"/>
      <c r="DP191" s="249"/>
      <c r="DQ191" s="249"/>
      <c r="DR191" s="249"/>
      <c r="DS191" s="249"/>
      <c r="DT191" s="249"/>
      <c r="DU191" s="249"/>
      <c r="DV191" s="249"/>
      <c r="DW191" s="249"/>
      <c r="DX191" s="249"/>
      <c r="DY191" s="249"/>
      <c r="DZ191" s="249"/>
      <c r="EA191" s="249"/>
      <c r="EB191" s="249"/>
      <c r="EC191" s="249"/>
      <c r="ED191" s="249"/>
      <c r="EE191" s="249"/>
      <c r="EF191" s="249"/>
      <c r="EG191" s="249"/>
      <c r="EH191" s="249"/>
      <c r="EI191" s="249"/>
      <c r="EJ191" s="249"/>
      <c r="EK191" s="249"/>
      <c r="EL191" s="249"/>
      <c r="EM191" s="249"/>
      <c r="EN191" s="249"/>
      <c r="EO191" s="249"/>
      <c r="EP191" s="249"/>
      <c r="EQ191" s="249"/>
      <c r="ER191" s="249"/>
      <c r="ES191" s="249"/>
      <c r="ET191" s="249"/>
      <c r="EU191" s="249"/>
      <c r="EV191" s="249"/>
      <c r="EW191" s="249"/>
      <c r="EX191" s="249"/>
      <c r="EY191" s="249"/>
      <c r="EZ191" s="249"/>
      <c r="FA191" s="249"/>
      <c r="FB191" s="249"/>
      <c r="FC191" s="249"/>
      <c r="FD191" s="249"/>
      <c r="FE191" s="249"/>
      <c r="FF191" s="249"/>
      <c r="FG191" s="249"/>
      <c r="FH191" s="249"/>
      <c r="FI191" s="249"/>
      <c r="FJ191" s="249"/>
      <c r="FK191" s="249"/>
      <c r="FL191" s="249"/>
      <c r="FM191" s="249"/>
      <c r="FN191" s="249"/>
      <c r="FO191" s="249"/>
      <c r="FP191" s="249"/>
      <c r="FQ191" s="249"/>
      <c r="FR191" s="249"/>
      <c r="FS191" s="249"/>
      <c r="FT191" s="249"/>
      <c r="FU191" s="249"/>
      <c r="FV191" s="249"/>
      <c r="FW191" s="249"/>
      <c r="FX191" s="249"/>
      <c r="FY191" s="249"/>
      <c r="FZ191" s="249"/>
      <c r="GA191" s="249"/>
      <c r="GB191" s="249"/>
      <c r="GC191" s="249"/>
      <c r="GD191" s="249"/>
      <c r="GE191" s="249"/>
      <c r="GF191" s="249"/>
      <c r="GG191" s="249"/>
      <c r="GH191" s="249"/>
      <c r="GI191" s="249"/>
      <c r="GJ191" s="249"/>
      <c r="GK191" s="249"/>
      <c r="GL191" s="249"/>
      <c r="GM191" s="249"/>
      <c r="GN191" s="249"/>
      <c r="GO191" s="249"/>
      <c r="GP191" s="249"/>
      <c r="GQ191" s="249"/>
      <c r="GR191" s="249"/>
    </row>
    <row r="192" spans="1:200" s="252" customFormat="1" ht="12.75" customHeight="1" x14ac:dyDescent="0.2">
      <c r="A192" s="722"/>
      <c r="B192" s="1123"/>
      <c r="C192" s="1123"/>
      <c r="D192" s="525"/>
      <c r="E192" s="613"/>
      <c r="F192" s="249"/>
      <c r="G192" s="250"/>
      <c r="H192" s="250"/>
      <c r="I192" s="250"/>
      <c r="J192" s="250"/>
      <c r="K192" s="250"/>
      <c r="L192" s="250"/>
      <c r="M192" s="250"/>
      <c r="N192" s="250"/>
      <c r="O192" s="250"/>
      <c r="P192" s="251"/>
      <c r="Q192" s="251"/>
      <c r="R192" s="251"/>
      <c r="S192" s="249"/>
      <c r="T192" s="249"/>
      <c r="U192" s="1862" t="str">
        <f>'Cement SLB Rev'!A7</f>
        <v>Dispersant</v>
      </c>
      <c r="V192" s="1862" t="str">
        <f>'Cement SLB Rev'!B7</f>
        <v>D065 (lbs)</v>
      </c>
      <c r="W192" s="255">
        <f>'Cement SLB Rev'!D7</f>
        <v>1.64</v>
      </c>
      <c r="X192" s="475"/>
      <c r="Y192" s="246">
        <f t="shared" si="58"/>
        <v>4098.3599999999997</v>
      </c>
      <c r="Z192" s="246">
        <f t="shared" si="58"/>
        <v>10020.071999999998</v>
      </c>
      <c r="AA192" s="246">
        <f t="shared" si="58"/>
        <v>4098.3599999999997</v>
      </c>
      <c r="AB192" s="246">
        <f t="shared" si="58"/>
        <v>35948.471999999994</v>
      </c>
      <c r="AC192" s="246">
        <f t="shared" si="58"/>
        <v>4098.3599999999997</v>
      </c>
      <c r="AD192" s="246">
        <f t="shared" si="58"/>
        <v>55185.671999999991</v>
      </c>
      <c r="AE192" s="246"/>
      <c r="AF192" s="246">
        <f t="shared" si="59"/>
        <v>5018.3999999999996</v>
      </c>
      <c r="AG192" s="246"/>
      <c r="AH192" s="246">
        <f t="shared" si="61"/>
        <v>8364</v>
      </c>
      <c r="AI192" s="246"/>
      <c r="AJ192" s="246">
        <f t="shared" si="60"/>
        <v>0</v>
      </c>
      <c r="AK192" s="246">
        <f t="shared" si="60"/>
        <v>0</v>
      </c>
      <c r="AL192" s="475"/>
      <c r="AM192" s="475">
        <f t="shared" ref="AM192:AM199" si="64">SUM(X192:AL192)</f>
        <v>126831.69599999998</v>
      </c>
      <c r="AN192" s="254"/>
      <c r="AO192" s="249"/>
      <c r="AP192" s="250"/>
      <c r="AQ192" s="250"/>
      <c r="AR192" s="250"/>
      <c r="AS192" s="250"/>
      <c r="AT192" s="250"/>
      <c r="AU192" s="250"/>
      <c r="AV192" s="249"/>
      <c r="AW192" s="249"/>
      <c r="AX192" s="249"/>
      <c r="AY192" s="249"/>
      <c r="AZ192" s="249"/>
      <c r="BA192" s="249"/>
      <c r="BB192" s="249"/>
      <c r="BC192" s="249"/>
      <c r="BD192" s="249"/>
      <c r="BE192" s="249"/>
      <c r="BF192" s="249"/>
      <c r="BG192" s="249"/>
      <c r="BH192" s="249"/>
      <c r="BI192" s="249"/>
      <c r="BJ192" s="249"/>
      <c r="BK192" s="249"/>
      <c r="BL192" s="249"/>
      <c r="BM192" s="249"/>
      <c r="BN192" s="249"/>
      <c r="BO192" s="249"/>
      <c r="BP192" s="249"/>
      <c r="BQ192" s="249"/>
      <c r="BR192" s="249"/>
      <c r="BS192" s="249"/>
      <c r="BT192" s="249"/>
      <c r="BU192" s="249"/>
      <c r="BV192" s="249"/>
      <c r="BW192" s="249"/>
      <c r="BX192" s="249"/>
      <c r="BY192" s="249"/>
      <c r="BZ192" s="249"/>
      <c r="CA192" s="249"/>
      <c r="CB192" s="249"/>
      <c r="CC192" s="249"/>
      <c r="CD192" s="249"/>
      <c r="CE192" s="249"/>
      <c r="CF192" s="249"/>
      <c r="CG192" s="249"/>
      <c r="CH192" s="249"/>
      <c r="CI192" s="249"/>
      <c r="CJ192" s="249"/>
      <c r="CK192" s="249"/>
      <c r="CL192" s="249"/>
      <c r="CM192" s="249"/>
      <c r="CN192" s="249"/>
      <c r="CO192" s="249"/>
      <c r="CP192" s="249"/>
      <c r="CQ192" s="249"/>
      <c r="CR192" s="249"/>
      <c r="CS192" s="249"/>
      <c r="CT192" s="249"/>
      <c r="CU192" s="249"/>
      <c r="CV192" s="249"/>
      <c r="CW192" s="249"/>
      <c r="CX192" s="249"/>
      <c r="CY192" s="249"/>
      <c r="CZ192" s="249"/>
      <c r="DA192" s="249"/>
      <c r="DB192" s="249"/>
      <c r="DC192" s="249"/>
      <c r="DD192" s="249"/>
      <c r="DE192" s="249"/>
      <c r="DF192" s="249"/>
      <c r="DG192" s="249"/>
      <c r="DH192" s="249"/>
      <c r="DI192" s="249"/>
      <c r="DJ192" s="249"/>
      <c r="DK192" s="249"/>
      <c r="DL192" s="249"/>
      <c r="DM192" s="249"/>
      <c r="DN192" s="249"/>
      <c r="DO192" s="249"/>
      <c r="DP192" s="249"/>
      <c r="DQ192" s="249"/>
      <c r="DR192" s="249"/>
      <c r="DS192" s="249"/>
      <c r="DT192" s="249"/>
      <c r="DU192" s="249"/>
      <c r="DV192" s="249"/>
      <c r="DW192" s="249"/>
      <c r="DX192" s="249"/>
      <c r="DY192" s="249"/>
      <c r="DZ192" s="249"/>
      <c r="EA192" s="249"/>
      <c r="EB192" s="249"/>
      <c r="EC192" s="249"/>
      <c r="ED192" s="249"/>
      <c r="EE192" s="249"/>
      <c r="EF192" s="249"/>
      <c r="EG192" s="249"/>
      <c r="EH192" s="249"/>
      <c r="EI192" s="249"/>
      <c r="EJ192" s="249"/>
      <c r="EK192" s="249"/>
      <c r="EL192" s="249"/>
      <c r="EM192" s="249"/>
      <c r="EN192" s="249"/>
      <c r="EO192" s="249"/>
      <c r="EP192" s="249"/>
      <c r="EQ192" s="249"/>
      <c r="ER192" s="249"/>
      <c r="ES192" s="249"/>
      <c r="ET192" s="249"/>
      <c r="EU192" s="249"/>
      <c r="EV192" s="249"/>
      <c r="EW192" s="249"/>
      <c r="EX192" s="249"/>
      <c r="EY192" s="249"/>
      <c r="EZ192" s="249"/>
      <c r="FA192" s="249"/>
      <c r="FB192" s="249"/>
      <c r="FC192" s="249"/>
      <c r="FD192" s="249"/>
      <c r="FE192" s="249"/>
      <c r="FF192" s="249"/>
      <c r="FG192" s="249"/>
      <c r="FH192" s="249"/>
      <c r="FI192" s="249"/>
      <c r="FJ192" s="249"/>
      <c r="FK192" s="249"/>
      <c r="FL192" s="249"/>
      <c r="FM192" s="249"/>
      <c r="FN192" s="249"/>
      <c r="FO192" s="249"/>
      <c r="FP192" s="249"/>
      <c r="FQ192" s="249"/>
      <c r="FR192" s="249"/>
      <c r="FS192" s="249"/>
      <c r="FT192" s="249"/>
      <c r="FU192" s="249"/>
      <c r="FV192" s="249"/>
      <c r="FW192" s="249"/>
      <c r="FX192" s="249"/>
      <c r="FY192" s="249"/>
      <c r="FZ192" s="249"/>
      <c r="GA192" s="249"/>
      <c r="GB192" s="249"/>
      <c r="GC192" s="249"/>
      <c r="GD192" s="249"/>
      <c r="GE192" s="249"/>
      <c r="GF192" s="249"/>
      <c r="GG192" s="249"/>
      <c r="GH192" s="249"/>
      <c r="GI192" s="249"/>
      <c r="GJ192" s="249"/>
      <c r="GK192" s="249"/>
      <c r="GL192" s="249"/>
      <c r="GM192" s="249"/>
      <c r="GN192" s="249"/>
      <c r="GO192" s="249"/>
      <c r="GP192" s="249"/>
      <c r="GQ192" s="249"/>
      <c r="GR192" s="249"/>
    </row>
    <row r="193" spans="1:200" s="252" customFormat="1" ht="12.75" customHeight="1" x14ac:dyDescent="0.2">
      <c r="A193" s="722"/>
      <c r="B193" s="1123"/>
      <c r="C193" s="1123"/>
      <c r="D193" s="525"/>
      <c r="E193" s="613"/>
      <c r="F193" s="249"/>
      <c r="G193" s="250"/>
      <c r="H193" s="250"/>
      <c r="I193" s="250"/>
      <c r="J193" s="250"/>
      <c r="K193" s="250"/>
      <c r="L193" s="250"/>
      <c r="M193" s="250"/>
      <c r="N193" s="250"/>
      <c r="O193" s="250"/>
      <c r="P193" s="251"/>
      <c r="Q193" s="251"/>
      <c r="R193" s="251"/>
      <c r="S193" s="249"/>
      <c r="T193" s="249"/>
      <c r="U193" s="1862" t="str">
        <f>'Cement SLB Rev'!A8</f>
        <v>Retarder</v>
      </c>
      <c r="V193" s="1862" t="str">
        <f>'Cement SLB Rev'!B8</f>
        <v>D800 (lbs)</v>
      </c>
      <c r="W193" s="255">
        <f>'Cement SLB Rev'!D8</f>
        <v>8.31</v>
      </c>
      <c r="X193" s="475"/>
      <c r="Y193" s="246">
        <f t="shared" si="58"/>
        <v>4238.1000000000004</v>
      </c>
      <c r="Z193" s="246">
        <f t="shared" si="58"/>
        <v>59757.21</v>
      </c>
      <c r="AA193" s="246">
        <f t="shared" si="58"/>
        <v>4238.1000000000004</v>
      </c>
      <c r="AB193" s="246">
        <f t="shared" si="58"/>
        <v>38566.71</v>
      </c>
      <c r="AC193" s="246">
        <f t="shared" si="58"/>
        <v>4238.1000000000004</v>
      </c>
      <c r="AD193" s="246">
        <f t="shared" si="58"/>
        <v>5085.72</v>
      </c>
      <c r="AE193" s="246"/>
      <c r="AF193" s="246">
        <f t="shared" si="59"/>
        <v>8476.2000000000007</v>
      </c>
      <c r="AG193" s="246"/>
      <c r="AH193" s="246">
        <f t="shared" si="61"/>
        <v>67809.600000000006</v>
      </c>
      <c r="AI193" s="246"/>
      <c r="AJ193" s="246">
        <f t="shared" si="60"/>
        <v>0</v>
      </c>
      <c r="AK193" s="246">
        <f t="shared" si="60"/>
        <v>0</v>
      </c>
      <c r="AL193" s="475"/>
      <c r="AM193" s="475">
        <f t="shared" si="64"/>
        <v>192409.74</v>
      </c>
      <c r="AN193" s="254"/>
      <c r="AO193" s="249"/>
      <c r="AP193" s="250"/>
      <c r="AQ193" s="250"/>
      <c r="AR193" s="250"/>
      <c r="AS193" s="250"/>
      <c r="AT193" s="250"/>
      <c r="AU193" s="250"/>
      <c r="AV193" s="249"/>
      <c r="AW193" s="249"/>
      <c r="AX193" s="249"/>
      <c r="AY193" s="249"/>
      <c r="AZ193" s="249"/>
      <c r="BA193" s="249"/>
      <c r="BB193" s="249"/>
      <c r="BC193" s="249"/>
      <c r="BD193" s="249"/>
      <c r="BE193" s="249"/>
      <c r="BF193" s="249"/>
      <c r="BG193" s="249"/>
      <c r="BH193" s="249"/>
      <c r="BI193" s="249"/>
      <c r="BJ193" s="249"/>
      <c r="BK193" s="249"/>
      <c r="BL193" s="249"/>
      <c r="BM193" s="249"/>
      <c r="BN193" s="249"/>
      <c r="BO193" s="249"/>
      <c r="BP193" s="249"/>
      <c r="BQ193" s="249"/>
      <c r="BR193" s="249"/>
      <c r="BS193" s="249"/>
      <c r="BT193" s="249"/>
      <c r="BU193" s="249"/>
      <c r="BV193" s="249"/>
      <c r="BW193" s="249"/>
      <c r="BX193" s="249"/>
      <c r="BY193" s="249"/>
      <c r="BZ193" s="249"/>
      <c r="CA193" s="249"/>
      <c r="CB193" s="249"/>
      <c r="CC193" s="249"/>
      <c r="CD193" s="249"/>
      <c r="CE193" s="249"/>
      <c r="CF193" s="249"/>
      <c r="CG193" s="249"/>
      <c r="CH193" s="249"/>
      <c r="CI193" s="249"/>
      <c r="CJ193" s="249"/>
      <c r="CK193" s="249"/>
      <c r="CL193" s="249"/>
      <c r="CM193" s="249"/>
      <c r="CN193" s="249"/>
      <c r="CO193" s="249"/>
      <c r="CP193" s="249"/>
      <c r="CQ193" s="249"/>
      <c r="CR193" s="249"/>
      <c r="CS193" s="249"/>
      <c r="CT193" s="249"/>
      <c r="CU193" s="249"/>
      <c r="CV193" s="249"/>
      <c r="CW193" s="249"/>
      <c r="CX193" s="249"/>
      <c r="CY193" s="249"/>
      <c r="CZ193" s="249"/>
      <c r="DA193" s="249"/>
      <c r="DB193" s="249"/>
      <c r="DC193" s="249"/>
      <c r="DD193" s="249"/>
      <c r="DE193" s="249"/>
      <c r="DF193" s="249"/>
      <c r="DG193" s="249"/>
      <c r="DH193" s="249"/>
      <c r="DI193" s="249"/>
      <c r="DJ193" s="249"/>
      <c r="DK193" s="249"/>
      <c r="DL193" s="249"/>
      <c r="DM193" s="249"/>
      <c r="DN193" s="249"/>
      <c r="DO193" s="249"/>
      <c r="DP193" s="249"/>
      <c r="DQ193" s="249"/>
      <c r="DR193" s="249"/>
      <c r="DS193" s="249"/>
      <c r="DT193" s="249"/>
      <c r="DU193" s="249"/>
      <c r="DV193" s="249"/>
      <c r="DW193" s="249"/>
      <c r="DX193" s="249"/>
      <c r="DY193" s="249"/>
      <c r="DZ193" s="249"/>
      <c r="EA193" s="249"/>
      <c r="EB193" s="249"/>
      <c r="EC193" s="249"/>
      <c r="ED193" s="249"/>
      <c r="EE193" s="249"/>
      <c r="EF193" s="249"/>
      <c r="EG193" s="249"/>
      <c r="EH193" s="249"/>
      <c r="EI193" s="249"/>
      <c r="EJ193" s="249"/>
      <c r="EK193" s="249"/>
      <c r="EL193" s="249"/>
      <c r="EM193" s="249"/>
      <c r="EN193" s="249"/>
      <c r="EO193" s="249"/>
      <c r="EP193" s="249"/>
      <c r="EQ193" s="249"/>
      <c r="ER193" s="249"/>
      <c r="ES193" s="249"/>
      <c r="ET193" s="249"/>
      <c r="EU193" s="249"/>
      <c r="EV193" s="249"/>
      <c r="EW193" s="249"/>
      <c r="EX193" s="249"/>
      <c r="EY193" s="249"/>
      <c r="EZ193" s="249"/>
      <c r="FA193" s="249"/>
      <c r="FB193" s="249"/>
      <c r="FC193" s="249"/>
      <c r="FD193" s="249"/>
      <c r="FE193" s="249"/>
      <c r="FF193" s="249"/>
      <c r="FG193" s="249"/>
      <c r="FH193" s="249"/>
      <c r="FI193" s="249"/>
      <c r="FJ193" s="249"/>
      <c r="FK193" s="249"/>
      <c r="FL193" s="249"/>
      <c r="FM193" s="249"/>
      <c r="FN193" s="249"/>
      <c r="FO193" s="249"/>
      <c r="FP193" s="249"/>
      <c r="FQ193" s="249"/>
      <c r="FR193" s="249"/>
      <c r="FS193" s="249"/>
      <c r="FT193" s="249"/>
      <c r="FU193" s="249"/>
      <c r="FV193" s="249"/>
      <c r="FW193" s="249"/>
      <c r="FX193" s="249"/>
      <c r="FY193" s="249"/>
      <c r="FZ193" s="249"/>
      <c r="GA193" s="249"/>
      <c r="GB193" s="249"/>
      <c r="GC193" s="249"/>
      <c r="GD193" s="249"/>
      <c r="GE193" s="249"/>
      <c r="GF193" s="249"/>
      <c r="GG193" s="249"/>
      <c r="GH193" s="249"/>
      <c r="GI193" s="249"/>
      <c r="GJ193" s="249"/>
      <c r="GK193" s="249"/>
      <c r="GL193" s="249"/>
      <c r="GM193" s="249"/>
      <c r="GN193" s="249"/>
      <c r="GO193" s="249"/>
      <c r="GP193" s="249"/>
      <c r="GQ193" s="249"/>
      <c r="GR193" s="249"/>
    </row>
    <row r="194" spans="1:200" s="252" customFormat="1" ht="12.75" customHeight="1" x14ac:dyDescent="0.2">
      <c r="A194" s="722"/>
      <c r="B194" s="1123"/>
      <c r="C194" s="1123"/>
      <c r="D194" s="525"/>
      <c r="E194" s="613"/>
      <c r="F194" s="249"/>
      <c r="G194" s="250"/>
      <c r="H194" s="250"/>
      <c r="I194" s="250"/>
      <c r="J194" s="250"/>
      <c r="K194" s="250"/>
      <c r="L194" s="250"/>
      <c r="M194" s="250"/>
      <c r="N194" s="250"/>
      <c r="O194" s="250"/>
      <c r="P194" s="251"/>
      <c r="Q194" s="251"/>
      <c r="R194" s="251"/>
      <c r="S194" s="249"/>
      <c r="T194" s="249"/>
      <c r="U194" s="1862" t="str">
        <f>'Cement SLB Rev'!A9</f>
        <v>Silica</v>
      </c>
      <c r="V194" s="1862" t="str">
        <f>'Cement SLB Rev'!B9</f>
        <v>D066 (lbs)</v>
      </c>
      <c r="W194" s="255">
        <f>'Cement SLB Rev'!D9</f>
        <v>24.03</v>
      </c>
      <c r="X194" s="475"/>
      <c r="Y194" s="246">
        <f t="shared" si="58"/>
        <v>37991.43</v>
      </c>
      <c r="Z194" s="246">
        <f t="shared" si="58"/>
        <v>345844.56599999999</v>
      </c>
      <c r="AA194" s="246">
        <f t="shared" si="58"/>
        <v>37991.43</v>
      </c>
      <c r="AB194" s="246">
        <f t="shared" si="58"/>
        <v>871596.9360000001</v>
      </c>
      <c r="AC194" s="246">
        <f t="shared" si="58"/>
        <v>37991.43</v>
      </c>
      <c r="AD194" s="246">
        <f t="shared" si="58"/>
        <v>714729.09600000014</v>
      </c>
      <c r="AE194" s="246"/>
      <c r="AF194" s="246">
        <f t="shared" si="59"/>
        <v>49021.200000000004</v>
      </c>
      <c r="AG194" s="246"/>
      <c r="AH194" s="246">
        <f t="shared" si="61"/>
        <v>416680.2</v>
      </c>
      <c r="AI194" s="246"/>
      <c r="AJ194" s="246">
        <f t="shared" si="60"/>
        <v>0</v>
      </c>
      <c r="AK194" s="246">
        <f t="shared" si="60"/>
        <v>0</v>
      </c>
      <c r="AL194" s="475"/>
      <c r="AM194" s="475">
        <f t="shared" si="64"/>
        <v>2511846.2880000002</v>
      </c>
      <c r="AN194" s="254"/>
      <c r="AO194" s="249"/>
      <c r="AP194" s="250"/>
      <c r="AQ194" s="250"/>
      <c r="AR194" s="250"/>
      <c r="AS194" s="250"/>
      <c r="AT194" s="250"/>
      <c r="AU194" s="250"/>
      <c r="AV194" s="249"/>
      <c r="AW194" s="249"/>
      <c r="AX194" s="249"/>
      <c r="AY194" s="249"/>
      <c r="AZ194" s="249"/>
      <c r="BA194" s="249"/>
      <c r="BB194" s="249"/>
      <c r="BC194" s="249"/>
      <c r="BD194" s="249"/>
      <c r="BE194" s="249"/>
      <c r="BF194" s="249"/>
      <c r="BG194" s="249"/>
      <c r="BH194" s="249"/>
      <c r="BI194" s="249"/>
      <c r="BJ194" s="249"/>
      <c r="BK194" s="249"/>
      <c r="BL194" s="249"/>
      <c r="BM194" s="249"/>
      <c r="BN194" s="249"/>
      <c r="BO194" s="249"/>
      <c r="BP194" s="249"/>
      <c r="BQ194" s="249"/>
      <c r="BR194" s="249"/>
      <c r="BS194" s="249"/>
      <c r="BT194" s="249"/>
      <c r="BU194" s="249"/>
      <c r="BV194" s="249"/>
      <c r="BW194" s="249"/>
      <c r="BX194" s="249"/>
      <c r="BY194" s="249"/>
      <c r="BZ194" s="249"/>
      <c r="CA194" s="249"/>
      <c r="CB194" s="249"/>
      <c r="CC194" s="249"/>
      <c r="CD194" s="249"/>
      <c r="CE194" s="249"/>
      <c r="CF194" s="249"/>
      <c r="CG194" s="249"/>
      <c r="CH194" s="249"/>
      <c r="CI194" s="249"/>
      <c r="CJ194" s="249"/>
      <c r="CK194" s="249"/>
      <c r="CL194" s="249"/>
      <c r="CM194" s="249"/>
      <c r="CN194" s="249"/>
      <c r="CO194" s="249"/>
      <c r="CP194" s="249"/>
      <c r="CQ194" s="249"/>
      <c r="CR194" s="249"/>
      <c r="CS194" s="249"/>
      <c r="CT194" s="249"/>
      <c r="CU194" s="249"/>
      <c r="CV194" s="249"/>
      <c r="CW194" s="249"/>
      <c r="CX194" s="249"/>
      <c r="CY194" s="249"/>
      <c r="CZ194" s="249"/>
      <c r="DA194" s="249"/>
      <c r="DB194" s="249"/>
      <c r="DC194" s="249"/>
      <c r="DD194" s="249"/>
      <c r="DE194" s="249"/>
      <c r="DF194" s="249"/>
      <c r="DG194" s="249"/>
      <c r="DH194" s="249"/>
      <c r="DI194" s="249"/>
      <c r="DJ194" s="249"/>
      <c r="DK194" s="249"/>
      <c r="DL194" s="249"/>
      <c r="DM194" s="249"/>
      <c r="DN194" s="249"/>
      <c r="DO194" s="249"/>
      <c r="DP194" s="249"/>
      <c r="DQ194" s="249"/>
      <c r="DR194" s="249"/>
      <c r="DS194" s="249"/>
      <c r="DT194" s="249"/>
      <c r="DU194" s="249"/>
      <c r="DV194" s="249"/>
      <c r="DW194" s="249"/>
      <c r="DX194" s="249"/>
      <c r="DY194" s="249"/>
      <c r="DZ194" s="249"/>
      <c r="EA194" s="249"/>
      <c r="EB194" s="249"/>
      <c r="EC194" s="249"/>
      <c r="ED194" s="249"/>
      <c r="EE194" s="249"/>
      <c r="EF194" s="249"/>
      <c r="EG194" s="249"/>
      <c r="EH194" s="249"/>
      <c r="EI194" s="249"/>
      <c r="EJ194" s="249"/>
      <c r="EK194" s="249"/>
      <c r="EL194" s="249"/>
      <c r="EM194" s="249"/>
      <c r="EN194" s="249"/>
      <c r="EO194" s="249"/>
      <c r="EP194" s="249"/>
      <c r="EQ194" s="249"/>
      <c r="ER194" s="249"/>
      <c r="ES194" s="249"/>
      <c r="ET194" s="249"/>
      <c r="EU194" s="249"/>
      <c r="EV194" s="249"/>
      <c r="EW194" s="249"/>
      <c r="EX194" s="249"/>
      <c r="EY194" s="249"/>
      <c r="EZ194" s="249"/>
      <c r="FA194" s="249"/>
      <c r="FB194" s="249"/>
      <c r="FC194" s="249"/>
      <c r="FD194" s="249"/>
      <c r="FE194" s="249"/>
      <c r="FF194" s="249"/>
      <c r="FG194" s="249"/>
      <c r="FH194" s="249"/>
      <c r="FI194" s="249"/>
      <c r="FJ194" s="249"/>
      <c r="FK194" s="249"/>
      <c r="FL194" s="249"/>
      <c r="FM194" s="249"/>
      <c r="FN194" s="249"/>
      <c r="FO194" s="249"/>
      <c r="FP194" s="249"/>
      <c r="FQ194" s="249"/>
      <c r="FR194" s="249"/>
      <c r="FS194" s="249"/>
      <c r="FT194" s="249"/>
      <c r="FU194" s="249"/>
      <c r="FV194" s="249"/>
      <c r="FW194" s="249"/>
      <c r="FX194" s="249"/>
      <c r="FY194" s="249"/>
      <c r="FZ194" s="249"/>
      <c r="GA194" s="249"/>
      <c r="GB194" s="249"/>
      <c r="GC194" s="249"/>
      <c r="GD194" s="249"/>
      <c r="GE194" s="249"/>
      <c r="GF194" s="249"/>
      <c r="GG194" s="249"/>
      <c r="GH194" s="249"/>
      <c r="GI194" s="249"/>
      <c r="GJ194" s="249"/>
      <c r="GK194" s="249"/>
      <c r="GL194" s="249"/>
      <c r="GM194" s="249"/>
      <c r="GN194" s="249"/>
      <c r="GO194" s="249"/>
      <c r="GP194" s="249"/>
      <c r="GQ194" s="249"/>
      <c r="GR194" s="249"/>
    </row>
    <row r="195" spans="1:200" s="252" customFormat="1" ht="12.75" customHeight="1" x14ac:dyDescent="0.2">
      <c r="A195" s="722"/>
      <c r="B195" s="1123"/>
      <c r="C195" s="1123"/>
      <c r="D195" s="525"/>
      <c r="E195" s="613"/>
      <c r="F195" s="249"/>
      <c r="G195" s="250"/>
      <c r="H195" s="250"/>
      <c r="I195" s="250"/>
      <c r="J195" s="250"/>
      <c r="K195" s="250"/>
      <c r="L195" s="250"/>
      <c r="M195" s="250"/>
      <c r="N195" s="250"/>
      <c r="O195" s="250"/>
      <c r="P195" s="251"/>
      <c r="Q195" s="251"/>
      <c r="R195" s="251"/>
      <c r="S195" s="249"/>
      <c r="T195" s="249"/>
      <c r="U195" s="1862" t="str">
        <f>'Cement SLB Rev'!A10</f>
        <v>Micro Silica</v>
      </c>
      <c r="V195" s="1862" t="str">
        <f>'Cement SLB Rev'!B10</f>
        <v>D155 (gps)</v>
      </c>
      <c r="W195" s="255">
        <f>'Cement SLB Rev'!D10</f>
        <v>50.45</v>
      </c>
      <c r="X195" s="475"/>
      <c r="Y195" s="246">
        <f t="shared" si="58"/>
        <v>265013.85000000003</v>
      </c>
      <c r="Z195" s="246">
        <f t="shared" si="58"/>
        <v>318016.62</v>
      </c>
      <c r="AA195" s="246">
        <f t="shared" si="58"/>
        <v>265013.85000000003</v>
      </c>
      <c r="AB195" s="246">
        <f t="shared" si="58"/>
        <v>318016.62</v>
      </c>
      <c r="AC195" s="246">
        <f t="shared" si="58"/>
        <v>265013.85000000003</v>
      </c>
      <c r="AD195" s="246">
        <f t="shared" si="58"/>
        <v>318016.62</v>
      </c>
      <c r="AE195" s="246"/>
      <c r="AF195" s="246">
        <f t="shared" si="59"/>
        <v>308754</v>
      </c>
      <c r="AG195" s="246"/>
      <c r="AH195" s="246">
        <f t="shared" si="61"/>
        <v>0</v>
      </c>
      <c r="AI195" s="246"/>
      <c r="AJ195" s="246">
        <f t="shared" si="60"/>
        <v>0</v>
      </c>
      <c r="AK195" s="246">
        <f t="shared" si="60"/>
        <v>0</v>
      </c>
      <c r="AL195" s="475"/>
      <c r="AM195" s="475">
        <f t="shared" si="64"/>
        <v>2057845.4100000001</v>
      </c>
      <c r="AN195" s="254"/>
      <c r="AO195" s="249"/>
      <c r="AP195" s="250"/>
      <c r="AQ195" s="250"/>
      <c r="AR195" s="250"/>
      <c r="AS195" s="250"/>
      <c r="AT195" s="250"/>
      <c r="AU195" s="250"/>
      <c r="AV195" s="249"/>
      <c r="AW195" s="249"/>
      <c r="AX195" s="249"/>
      <c r="AY195" s="249"/>
      <c r="AZ195" s="249"/>
      <c r="BA195" s="249"/>
      <c r="BB195" s="249"/>
      <c r="BC195" s="249"/>
      <c r="BD195" s="249"/>
      <c r="BE195" s="249"/>
      <c r="BF195" s="249"/>
      <c r="BG195" s="249"/>
      <c r="BH195" s="249"/>
      <c r="BI195" s="249"/>
      <c r="BJ195" s="249"/>
      <c r="BK195" s="249"/>
      <c r="BL195" s="249"/>
      <c r="BM195" s="249"/>
      <c r="BN195" s="249"/>
      <c r="BO195" s="249"/>
      <c r="BP195" s="249"/>
      <c r="BQ195" s="249"/>
      <c r="BR195" s="249"/>
      <c r="BS195" s="249"/>
      <c r="BT195" s="249"/>
      <c r="BU195" s="249"/>
      <c r="BV195" s="249"/>
      <c r="BW195" s="249"/>
      <c r="BX195" s="249"/>
      <c r="BY195" s="249"/>
      <c r="BZ195" s="249"/>
      <c r="CA195" s="249"/>
      <c r="CB195" s="249"/>
      <c r="CC195" s="249"/>
      <c r="CD195" s="249"/>
      <c r="CE195" s="249"/>
      <c r="CF195" s="249"/>
      <c r="CG195" s="249"/>
      <c r="CH195" s="249"/>
      <c r="CI195" s="249"/>
      <c r="CJ195" s="249"/>
      <c r="CK195" s="249"/>
      <c r="CL195" s="249"/>
      <c r="CM195" s="249"/>
      <c r="CN195" s="249"/>
      <c r="CO195" s="249"/>
      <c r="CP195" s="249"/>
      <c r="CQ195" s="249"/>
      <c r="CR195" s="249"/>
      <c r="CS195" s="249"/>
      <c r="CT195" s="249"/>
      <c r="CU195" s="249"/>
      <c r="CV195" s="249"/>
      <c r="CW195" s="249"/>
      <c r="CX195" s="249"/>
      <c r="CY195" s="249"/>
      <c r="CZ195" s="249"/>
      <c r="DA195" s="249"/>
      <c r="DB195" s="249"/>
      <c r="DC195" s="249"/>
      <c r="DD195" s="249"/>
      <c r="DE195" s="249"/>
      <c r="DF195" s="249"/>
      <c r="DG195" s="249"/>
      <c r="DH195" s="249"/>
      <c r="DI195" s="249"/>
      <c r="DJ195" s="249"/>
      <c r="DK195" s="249"/>
      <c r="DL195" s="249"/>
      <c r="DM195" s="249"/>
      <c r="DN195" s="249"/>
      <c r="DO195" s="249"/>
      <c r="DP195" s="249"/>
      <c r="DQ195" s="249"/>
      <c r="DR195" s="249"/>
      <c r="DS195" s="249"/>
      <c r="DT195" s="249"/>
      <c r="DU195" s="249"/>
      <c r="DV195" s="249"/>
      <c r="DW195" s="249"/>
      <c r="DX195" s="249"/>
      <c r="DY195" s="249"/>
      <c r="DZ195" s="249"/>
      <c r="EA195" s="249"/>
      <c r="EB195" s="249"/>
      <c r="EC195" s="249"/>
      <c r="ED195" s="249"/>
      <c r="EE195" s="249"/>
      <c r="EF195" s="249"/>
      <c r="EG195" s="249"/>
      <c r="EH195" s="249"/>
      <c r="EI195" s="249"/>
      <c r="EJ195" s="249"/>
      <c r="EK195" s="249"/>
      <c r="EL195" s="249"/>
      <c r="EM195" s="249"/>
      <c r="EN195" s="249"/>
      <c r="EO195" s="249"/>
      <c r="EP195" s="249"/>
      <c r="EQ195" s="249"/>
      <c r="ER195" s="249"/>
      <c r="ES195" s="249"/>
      <c r="ET195" s="249"/>
      <c r="EU195" s="249"/>
      <c r="EV195" s="249"/>
      <c r="EW195" s="249"/>
      <c r="EX195" s="249"/>
      <c r="EY195" s="249"/>
      <c r="EZ195" s="249"/>
      <c r="FA195" s="249"/>
      <c r="FB195" s="249"/>
      <c r="FC195" s="249"/>
      <c r="FD195" s="249"/>
      <c r="FE195" s="249"/>
      <c r="FF195" s="249"/>
      <c r="FG195" s="249"/>
      <c r="FH195" s="249"/>
      <c r="FI195" s="249"/>
      <c r="FJ195" s="249"/>
      <c r="FK195" s="249"/>
      <c r="FL195" s="249"/>
      <c r="FM195" s="249"/>
      <c r="FN195" s="249"/>
      <c r="FO195" s="249"/>
      <c r="FP195" s="249"/>
      <c r="FQ195" s="249"/>
      <c r="FR195" s="249"/>
      <c r="FS195" s="249"/>
      <c r="FT195" s="249"/>
      <c r="FU195" s="249"/>
      <c r="FV195" s="249"/>
      <c r="FW195" s="249"/>
      <c r="FX195" s="249"/>
      <c r="FY195" s="249"/>
      <c r="FZ195" s="249"/>
      <c r="GA195" s="249"/>
      <c r="GB195" s="249"/>
      <c r="GC195" s="249"/>
      <c r="GD195" s="249"/>
      <c r="GE195" s="249"/>
      <c r="GF195" s="249"/>
      <c r="GG195" s="249"/>
      <c r="GH195" s="249"/>
      <c r="GI195" s="249"/>
      <c r="GJ195" s="249"/>
      <c r="GK195" s="249"/>
      <c r="GL195" s="249"/>
      <c r="GM195" s="249"/>
      <c r="GN195" s="249"/>
      <c r="GO195" s="249"/>
      <c r="GP195" s="249"/>
      <c r="GQ195" s="249"/>
      <c r="GR195" s="249"/>
    </row>
    <row r="196" spans="1:200" s="252" customFormat="1" ht="12.75" customHeight="1" x14ac:dyDescent="0.2">
      <c r="A196" s="722"/>
      <c r="B196" s="1123"/>
      <c r="C196" s="1123"/>
      <c r="D196" s="525"/>
      <c r="E196" s="613"/>
      <c r="F196" s="249"/>
      <c r="G196" s="250"/>
      <c r="H196" s="250"/>
      <c r="I196" s="250"/>
      <c r="J196" s="250"/>
      <c r="K196" s="250"/>
      <c r="L196" s="250"/>
      <c r="M196" s="250"/>
      <c r="N196" s="250"/>
      <c r="O196" s="250"/>
      <c r="P196" s="251"/>
      <c r="Q196" s="251"/>
      <c r="R196" s="251"/>
      <c r="S196" s="249"/>
      <c r="T196" s="249"/>
      <c r="U196" s="1862" t="str">
        <f>'Cement SLB Rev'!A11</f>
        <v>Fluid loss</v>
      </c>
      <c r="V196" s="1862" t="str">
        <f>'Cement SLB Rev'!B11</f>
        <v>D112 (lbs)</v>
      </c>
      <c r="W196" s="255">
        <f>'Cement SLB Rev'!D11</f>
        <v>4.07</v>
      </c>
      <c r="X196" s="475"/>
      <c r="Y196" s="246">
        <f t="shared" si="58"/>
        <v>13076.910000000002</v>
      </c>
      <c r="Z196" s="246">
        <f t="shared" si="58"/>
        <v>15692.292000000001</v>
      </c>
      <c r="AA196" s="246">
        <f t="shared" si="58"/>
        <v>13076.910000000002</v>
      </c>
      <c r="AB196" s="246">
        <f t="shared" si="58"/>
        <v>265606.57199999999</v>
      </c>
      <c r="AC196" s="246">
        <f t="shared" si="58"/>
        <v>13076.910000000002</v>
      </c>
      <c r="AD196" s="246">
        <f t="shared" si="58"/>
        <v>280551.61199999996</v>
      </c>
      <c r="AE196" s="246"/>
      <c r="AF196" s="246">
        <f t="shared" si="59"/>
        <v>14529.900000000001</v>
      </c>
      <c r="AG196" s="246"/>
      <c r="AH196" s="246">
        <f t="shared" si="61"/>
        <v>0</v>
      </c>
      <c r="AI196" s="246"/>
      <c r="AJ196" s="246">
        <f t="shared" si="60"/>
        <v>0</v>
      </c>
      <c r="AK196" s="246">
        <f t="shared" si="60"/>
        <v>0</v>
      </c>
      <c r="AL196" s="475"/>
      <c r="AM196" s="475">
        <f t="shared" si="64"/>
        <v>615611.10600000003</v>
      </c>
      <c r="AN196" s="254"/>
      <c r="AO196" s="249"/>
      <c r="AP196" s="250"/>
      <c r="AQ196" s="250"/>
      <c r="AR196" s="250"/>
      <c r="AS196" s="250"/>
      <c r="AT196" s="250"/>
      <c r="AU196" s="250"/>
      <c r="AV196" s="249"/>
      <c r="AW196" s="249"/>
      <c r="AX196" s="249"/>
      <c r="AY196" s="249"/>
      <c r="AZ196" s="249"/>
      <c r="BA196" s="249"/>
      <c r="BB196" s="249"/>
      <c r="BC196" s="249"/>
      <c r="BD196" s="249"/>
      <c r="BE196" s="249"/>
      <c r="BF196" s="249"/>
      <c r="BG196" s="249"/>
      <c r="BH196" s="249"/>
      <c r="BI196" s="249"/>
      <c r="BJ196" s="249"/>
      <c r="BK196" s="249"/>
      <c r="BL196" s="249"/>
      <c r="BM196" s="249"/>
      <c r="BN196" s="249"/>
      <c r="BO196" s="249"/>
      <c r="BP196" s="249"/>
      <c r="BQ196" s="249"/>
      <c r="BR196" s="249"/>
      <c r="BS196" s="249"/>
      <c r="BT196" s="249"/>
      <c r="BU196" s="249"/>
      <c r="BV196" s="249"/>
      <c r="BW196" s="249"/>
      <c r="BX196" s="249"/>
      <c r="BY196" s="249"/>
      <c r="BZ196" s="249"/>
      <c r="CA196" s="249"/>
      <c r="CB196" s="249"/>
      <c r="CC196" s="249"/>
      <c r="CD196" s="249"/>
      <c r="CE196" s="249"/>
      <c r="CF196" s="249"/>
      <c r="CG196" s="249"/>
      <c r="CH196" s="249"/>
      <c r="CI196" s="249"/>
      <c r="CJ196" s="249"/>
      <c r="CK196" s="249"/>
      <c r="CL196" s="249"/>
      <c r="CM196" s="249"/>
      <c r="CN196" s="249"/>
      <c r="CO196" s="249"/>
      <c r="CP196" s="249"/>
      <c r="CQ196" s="249"/>
      <c r="CR196" s="249"/>
      <c r="CS196" s="249"/>
      <c r="CT196" s="249"/>
      <c r="CU196" s="249"/>
      <c r="CV196" s="249"/>
      <c r="CW196" s="249"/>
      <c r="CX196" s="249"/>
      <c r="CY196" s="249"/>
      <c r="CZ196" s="249"/>
      <c r="DA196" s="249"/>
      <c r="DB196" s="249"/>
      <c r="DC196" s="249"/>
      <c r="DD196" s="249"/>
      <c r="DE196" s="249"/>
      <c r="DF196" s="249"/>
      <c r="DG196" s="249"/>
      <c r="DH196" s="249"/>
      <c r="DI196" s="249"/>
      <c r="DJ196" s="249"/>
      <c r="DK196" s="249"/>
      <c r="DL196" s="249"/>
      <c r="DM196" s="249"/>
      <c r="DN196" s="249"/>
      <c r="DO196" s="249"/>
      <c r="DP196" s="249"/>
      <c r="DQ196" s="249"/>
      <c r="DR196" s="249"/>
      <c r="DS196" s="249"/>
      <c r="DT196" s="249"/>
      <c r="DU196" s="249"/>
      <c r="DV196" s="249"/>
      <c r="DW196" s="249"/>
      <c r="DX196" s="249"/>
      <c r="DY196" s="249"/>
      <c r="DZ196" s="249"/>
      <c r="EA196" s="249"/>
      <c r="EB196" s="249"/>
      <c r="EC196" s="249"/>
      <c r="ED196" s="249"/>
      <c r="EE196" s="249"/>
      <c r="EF196" s="249"/>
      <c r="EG196" s="249"/>
      <c r="EH196" s="249"/>
      <c r="EI196" s="249"/>
      <c r="EJ196" s="249"/>
      <c r="EK196" s="249"/>
      <c r="EL196" s="249"/>
      <c r="EM196" s="249"/>
      <c r="EN196" s="249"/>
      <c r="EO196" s="249"/>
      <c r="EP196" s="249"/>
      <c r="EQ196" s="249"/>
      <c r="ER196" s="249"/>
      <c r="ES196" s="249"/>
      <c r="ET196" s="249"/>
      <c r="EU196" s="249"/>
      <c r="EV196" s="249"/>
      <c r="EW196" s="249"/>
      <c r="EX196" s="249"/>
      <c r="EY196" s="249"/>
      <c r="EZ196" s="249"/>
      <c r="FA196" s="249"/>
      <c r="FB196" s="249"/>
      <c r="FC196" s="249"/>
      <c r="FD196" s="249"/>
      <c r="FE196" s="249"/>
      <c r="FF196" s="249"/>
      <c r="FG196" s="249"/>
      <c r="FH196" s="249"/>
      <c r="FI196" s="249"/>
      <c r="FJ196" s="249"/>
      <c r="FK196" s="249"/>
      <c r="FL196" s="249"/>
      <c r="FM196" s="249"/>
      <c r="FN196" s="249"/>
      <c r="FO196" s="249"/>
      <c r="FP196" s="249"/>
      <c r="FQ196" s="249"/>
      <c r="FR196" s="249"/>
      <c r="FS196" s="249"/>
      <c r="FT196" s="249"/>
      <c r="FU196" s="249"/>
      <c r="FV196" s="249"/>
      <c r="FW196" s="249"/>
      <c r="FX196" s="249"/>
      <c r="FY196" s="249"/>
      <c r="FZ196" s="249"/>
      <c r="GA196" s="249"/>
      <c r="GB196" s="249"/>
      <c r="GC196" s="249"/>
      <c r="GD196" s="249"/>
      <c r="GE196" s="249"/>
      <c r="GF196" s="249"/>
      <c r="GG196" s="249"/>
      <c r="GH196" s="249"/>
      <c r="GI196" s="249"/>
      <c r="GJ196" s="249"/>
      <c r="GK196" s="249"/>
      <c r="GL196" s="249"/>
      <c r="GM196" s="249"/>
      <c r="GN196" s="249"/>
      <c r="GO196" s="249"/>
      <c r="GP196" s="249"/>
      <c r="GQ196" s="249"/>
      <c r="GR196" s="249"/>
    </row>
    <row r="197" spans="1:200" s="252" customFormat="1" ht="12.75" customHeight="1" x14ac:dyDescent="0.2">
      <c r="A197" s="722"/>
      <c r="B197" s="1123"/>
      <c r="C197" s="1123"/>
      <c r="D197" s="525"/>
      <c r="E197" s="613"/>
      <c r="F197" s="249"/>
      <c r="G197" s="250"/>
      <c r="H197" s="250"/>
      <c r="I197" s="250"/>
      <c r="J197" s="250"/>
      <c r="K197" s="250"/>
      <c r="L197" s="250"/>
      <c r="M197" s="250"/>
      <c r="N197" s="250"/>
      <c r="O197" s="250"/>
      <c r="P197" s="251"/>
      <c r="Q197" s="251"/>
      <c r="R197" s="251"/>
      <c r="S197" s="249"/>
      <c r="T197" s="249"/>
      <c r="U197" s="1862" t="str">
        <f>'Cement SLB Rev'!A12</f>
        <v>Retarder, L</v>
      </c>
      <c r="V197" s="1862" t="str">
        <f>'Cement SLB Rev'!B12</f>
        <v>D197 (gps)</v>
      </c>
      <c r="W197" s="255">
        <f>'Cement SLB Rev'!D12</f>
        <v>38.380000000000003</v>
      </c>
      <c r="X197" s="475"/>
      <c r="Y197" s="246">
        <f t="shared" si="58"/>
        <v>0</v>
      </c>
      <c r="Z197" s="246">
        <f t="shared" si="58"/>
        <v>0</v>
      </c>
      <c r="AA197" s="246">
        <f t="shared" si="58"/>
        <v>0</v>
      </c>
      <c r="AB197" s="246">
        <f t="shared" si="58"/>
        <v>0</v>
      </c>
      <c r="AC197" s="246">
        <f t="shared" si="58"/>
        <v>0</v>
      </c>
      <c r="AD197" s="246">
        <f t="shared" si="58"/>
        <v>93954.240000000005</v>
      </c>
      <c r="AE197" s="246"/>
      <c r="AF197" s="246">
        <f t="shared" si="59"/>
        <v>0</v>
      </c>
      <c r="AG197" s="246"/>
      <c r="AH197" s="246">
        <f t="shared" si="61"/>
        <v>0</v>
      </c>
      <c r="AI197" s="246"/>
      <c r="AJ197" s="246">
        <f t="shared" si="60"/>
        <v>0</v>
      </c>
      <c r="AK197" s="246">
        <f t="shared" si="60"/>
        <v>0</v>
      </c>
      <c r="AL197" s="475"/>
      <c r="AM197" s="475">
        <f t="shared" si="64"/>
        <v>93954.240000000005</v>
      </c>
      <c r="AN197" s="254"/>
      <c r="AO197" s="249"/>
      <c r="AP197" s="250"/>
      <c r="AQ197" s="250"/>
      <c r="AR197" s="250"/>
      <c r="AS197" s="250"/>
      <c r="AT197" s="250"/>
      <c r="AU197" s="250"/>
      <c r="AV197" s="249"/>
      <c r="AW197" s="249"/>
      <c r="AX197" s="249"/>
      <c r="AY197" s="249"/>
      <c r="AZ197" s="249"/>
      <c r="BA197" s="249"/>
      <c r="BB197" s="249"/>
      <c r="BC197" s="249"/>
      <c r="BD197" s="249"/>
      <c r="BE197" s="249"/>
      <c r="BF197" s="249"/>
      <c r="BG197" s="249"/>
      <c r="BH197" s="249"/>
      <c r="BI197" s="249"/>
      <c r="BJ197" s="249"/>
      <c r="BK197" s="249"/>
      <c r="BL197" s="249"/>
      <c r="BM197" s="249"/>
      <c r="BN197" s="249"/>
      <c r="BO197" s="249"/>
      <c r="BP197" s="249"/>
      <c r="BQ197" s="249"/>
      <c r="BR197" s="249"/>
      <c r="BS197" s="249"/>
      <c r="BT197" s="249"/>
      <c r="BU197" s="249"/>
      <c r="BV197" s="249"/>
      <c r="BW197" s="249"/>
      <c r="BX197" s="249"/>
      <c r="BY197" s="249"/>
      <c r="BZ197" s="249"/>
      <c r="CA197" s="249"/>
      <c r="CB197" s="249"/>
      <c r="CC197" s="249"/>
      <c r="CD197" s="249"/>
      <c r="CE197" s="249"/>
      <c r="CF197" s="249"/>
      <c r="CG197" s="249"/>
      <c r="CH197" s="249"/>
      <c r="CI197" s="249"/>
      <c r="CJ197" s="249"/>
      <c r="CK197" s="249"/>
      <c r="CL197" s="249"/>
      <c r="CM197" s="249"/>
      <c r="CN197" s="249"/>
      <c r="CO197" s="249"/>
      <c r="CP197" s="249"/>
      <c r="CQ197" s="249"/>
      <c r="CR197" s="249"/>
      <c r="CS197" s="249"/>
      <c r="CT197" s="249"/>
      <c r="CU197" s="249"/>
      <c r="CV197" s="249"/>
      <c r="CW197" s="249"/>
      <c r="CX197" s="249"/>
      <c r="CY197" s="249"/>
      <c r="CZ197" s="249"/>
      <c r="DA197" s="249"/>
      <c r="DB197" s="249"/>
      <c r="DC197" s="249"/>
      <c r="DD197" s="249"/>
      <c r="DE197" s="249"/>
      <c r="DF197" s="249"/>
      <c r="DG197" s="249"/>
      <c r="DH197" s="249"/>
      <c r="DI197" s="249"/>
      <c r="DJ197" s="249"/>
      <c r="DK197" s="249"/>
      <c r="DL197" s="249"/>
      <c r="DM197" s="249"/>
      <c r="DN197" s="249"/>
      <c r="DO197" s="249"/>
      <c r="DP197" s="249"/>
      <c r="DQ197" s="249"/>
      <c r="DR197" s="249"/>
      <c r="DS197" s="249"/>
      <c r="DT197" s="249"/>
      <c r="DU197" s="249"/>
      <c r="DV197" s="249"/>
      <c r="DW197" s="249"/>
      <c r="DX197" s="249"/>
      <c r="DY197" s="249"/>
      <c r="DZ197" s="249"/>
      <c r="EA197" s="249"/>
      <c r="EB197" s="249"/>
      <c r="EC197" s="249"/>
      <c r="ED197" s="249"/>
      <c r="EE197" s="249"/>
      <c r="EF197" s="249"/>
      <c r="EG197" s="249"/>
      <c r="EH197" s="249"/>
      <c r="EI197" s="249"/>
      <c r="EJ197" s="249"/>
      <c r="EK197" s="249"/>
      <c r="EL197" s="249"/>
      <c r="EM197" s="249"/>
      <c r="EN197" s="249"/>
      <c r="EO197" s="249"/>
      <c r="EP197" s="249"/>
      <c r="EQ197" s="249"/>
      <c r="ER197" s="249"/>
      <c r="ES197" s="249"/>
      <c r="ET197" s="249"/>
      <c r="EU197" s="249"/>
      <c r="EV197" s="249"/>
      <c r="EW197" s="249"/>
      <c r="EX197" s="249"/>
      <c r="EY197" s="249"/>
      <c r="EZ197" s="249"/>
      <c r="FA197" s="249"/>
      <c r="FB197" s="249"/>
      <c r="FC197" s="249"/>
      <c r="FD197" s="249"/>
      <c r="FE197" s="249"/>
      <c r="FF197" s="249"/>
      <c r="FG197" s="249"/>
      <c r="FH197" s="249"/>
      <c r="FI197" s="249"/>
      <c r="FJ197" s="249"/>
      <c r="FK197" s="249"/>
      <c r="FL197" s="249"/>
      <c r="FM197" s="249"/>
      <c r="FN197" s="249"/>
      <c r="FO197" s="249"/>
      <c r="FP197" s="249"/>
      <c r="FQ197" s="249"/>
      <c r="FR197" s="249"/>
      <c r="FS197" s="249"/>
      <c r="FT197" s="249"/>
      <c r="FU197" s="249"/>
      <c r="FV197" s="249"/>
      <c r="FW197" s="249"/>
      <c r="FX197" s="249"/>
      <c r="FY197" s="249"/>
      <c r="FZ197" s="249"/>
      <c r="GA197" s="249"/>
      <c r="GB197" s="249"/>
      <c r="GC197" s="249"/>
      <c r="GD197" s="249"/>
      <c r="GE197" s="249"/>
      <c r="GF197" s="249"/>
      <c r="GG197" s="249"/>
      <c r="GH197" s="249"/>
      <c r="GI197" s="249"/>
      <c r="GJ197" s="249"/>
      <c r="GK197" s="249"/>
      <c r="GL197" s="249"/>
      <c r="GM197" s="249"/>
      <c r="GN197" s="249"/>
      <c r="GO197" s="249"/>
      <c r="GP197" s="249"/>
      <c r="GQ197" s="249"/>
      <c r="GR197" s="249"/>
    </row>
    <row r="198" spans="1:200" s="252" customFormat="1" ht="12.75" customHeight="1" x14ac:dyDescent="0.2">
      <c r="A198" s="722"/>
      <c r="B198" s="1123"/>
      <c r="C198" s="1123"/>
      <c r="D198" s="525"/>
      <c r="E198" s="613"/>
      <c r="F198" s="249"/>
      <c r="G198" s="250"/>
      <c r="H198" s="250"/>
      <c r="I198" s="250"/>
      <c r="J198" s="250"/>
      <c r="K198" s="250"/>
      <c r="L198" s="250"/>
      <c r="M198" s="250"/>
      <c r="N198" s="250"/>
      <c r="O198" s="250"/>
      <c r="P198" s="251"/>
      <c r="Q198" s="251"/>
      <c r="R198" s="251"/>
      <c r="S198" s="249"/>
      <c r="T198" s="249"/>
      <c r="U198" s="1862" t="str">
        <f>'Cement SLB Rev'!A13</f>
        <v>Fluid loss</v>
      </c>
      <c r="V198" s="1862" t="str">
        <f>'Cement SLB Rev'!B13</f>
        <v>D255 (lbs)</v>
      </c>
      <c r="W198" s="255">
        <f>'Cement SLB Rev'!D13</f>
        <v>46.233000000000004</v>
      </c>
      <c r="X198" s="475"/>
      <c r="Y198" s="246">
        <f t="shared" si="58"/>
        <v>0</v>
      </c>
      <c r="Z198" s="246">
        <f t="shared" si="58"/>
        <v>0</v>
      </c>
      <c r="AA198" s="246">
        <f t="shared" si="58"/>
        <v>0</v>
      </c>
      <c r="AB198" s="246">
        <f t="shared" si="58"/>
        <v>0</v>
      </c>
      <c r="AC198" s="246">
        <f t="shared" si="58"/>
        <v>0</v>
      </c>
      <c r="AD198" s="246">
        <f t="shared" si="58"/>
        <v>0</v>
      </c>
      <c r="AE198" s="246"/>
      <c r="AF198" s="246">
        <f t="shared" si="59"/>
        <v>0</v>
      </c>
      <c r="AG198" s="246"/>
      <c r="AH198" s="246">
        <f t="shared" si="61"/>
        <v>235788.30000000002</v>
      </c>
      <c r="AI198" s="246"/>
      <c r="AJ198" s="246">
        <f t="shared" si="60"/>
        <v>0</v>
      </c>
      <c r="AK198" s="246">
        <f t="shared" si="60"/>
        <v>0</v>
      </c>
      <c r="AL198" s="475"/>
      <c r="AM198" s="475">
        <f t="shared" si="64"/>
        <v>235788.30000000002</v>
      </c>
      <c r="AN198" s="254"/>
      <c r="AO198" s="249"/>
      <c r="AP198" s="250"/>
      <c r="AQ198" s="250"/>
      <c r="AR198" s="250"/>
      <c r="AS198" s="250"/>
      <c r="AT198" s="250"/>
      <c r="AU198" s="250"/>
      <c r="AV198" s="249"/>
      <c r="AW198" s="249"/>
      <c r="AX198" s="249"/>
      <c r="AY198" s="249"/>
      <c r="AZ198" s="249"/>
      <c r="BA198" s="249"/>
      <c r="BB198" s="249"/>
      <c r="BC198" s="249"/>
      <c r="BD198" s="249"/>
      <c r="BE198" s="249"/>
      <c r="BF198" s="249"/>
      <c r="BG198" s="249"/>
      <c r="BH198" s="249"/>
      <c r="BI198" s="249"/>
      <c r="BJ198" s="249"/>
      <c r="BK198" s="249"/>
      <c r="BL198" s="249"/>
      <c r="BM198" s="249"/>
      <c r="BN198" s="249"/>
      <c r="BO198" s="249"/>
      <c r="BP198" s="249"/>
      <c r="BQ198" s="249"/>
      <c r="BR198" s="249"/>
      <c r="BS198" s="249"/>
      <c r="BT198" s="249"/>
      <c r="BU198" s="249"/>
      <c r="BV198" s="249"/>
      <c r="BW198" s="249"/>
      <c r="BX198" s="249"/>
      <c r="BY198" s="249"/>
      <c r="BZ198" s="249"/>
      <c r="CA198" s="249"/>
      <c r="CB198" s="249"/>
      <c r="CC198" s="249"/>
      <c r="CD198" s="249"/>
      <c r="CE198" s="249"/>
      <c r="CF198" s="249"/>
      <c r="CG198" s="249"/>
      <c r="CH198" s="249"/>
      <c r="CI198" s="249"/>
      <c r="CJ198" s="249"/>
      <c r="CK198" s="249"/>
      <c r="CL198" s="249"/>
      <c r="CM198" s="249"/>
      <c r="CN198" s="249"/>
      <c r="CO198" s="249"/>
      <c r="CP198" s="249"/>
      <c r="CQ198" s="249"/>
      <c r="CR198" s="249"/>
      <c r="CS198" s="249"/>
      <c r="CT198" s="249"/>
      <c r="CU198" s="249"/>
      <c r="CV198" s="249"/>
      <c r="CW198" s="249"/>
      <c r="CX198" s="249"/>
      <c r="CY198" s="249"/>
      <c r="CZ198" s="249"/>
      <c r="DA198" s="249"/>
      <c r="DB198" s="249"/>
      <c r="DC198" s="249"/>
      <c r="DD198" s="249"/>
      <c r="DE198" s="249"/>
      <c r="DF198" s="249"/>
      <c r="DG198" s="249"/>
      <c r="DH198" s="249"/>
      <c r="DI198" s="249"/>
      <c r="DJ198" s="249"/>
      <c r="DK198" s="249"/>
      <c r="DL198" s="249"/>
      <c r="DM198" s="249"/>
      <c r="DN198" s="249"/>
      <c r="DO198" s="249"/>
      <c r="DP198" s="249"/>
      <c r="DQ198" s="249"/>
      <c r="DR198" s="249"/>
      <c r="DS198" s="249"/>
      <c r="DT198" s="249"/>
      <c r="DU198" s="249"/>
      <c r="DV198" s="249"/>
      <c r="DW198" s="249"/>
      <c r="DX198" s="249"/>
      <c r="DY198" s="249"/>
      <c r="DZ198" s="249"/>
      <c r="EA198" s="249"/>
      <c r="EB198" s="249"/>
      <c r="EC198" s="249"/>
      <c r="ED198" s="249"/>
      <c r="EE198" s="249"/>
      <c r="EF198" s="249"/>
      <c r="EG198" s="249"/>
      <c r="EH198" s="249"/>
      <c r="EI198" s="249"/>
      <c r="EJ198" s="249"/>
      <c r="EK198" s="249"/>
      <c r="EL198" s="249"/>
      <c r="EM198" s="249"/>
      <c r="EN198" s="249"/>
      <c r="EO198" s="249"/>
      <c r="EP198" s="249"/>
      <c r="EQ198" s="249"/>
      <c r="ER198" s="249"/>
      <c r="ES198" s="249"/>
      <c r="ET198" s="249"/>
      <c r="EU198" s="249"/>
      <c r="EV198" s="249"/>
      <c r="EW198" s="249"/>
      <c r="EX198" s="249"/>
      <c r="EY198" s="249"/>
      <c r="EZ198" s="249"/>
      <c r="FA198" s="249"/>
      <c r="FB198" s="249"/>
      <c r="FC198" s="249"/>
      <c r="FD198" s="249"/>
      <c r="FE198" s="249"/>
      <c r="FF198" s="249"/>
      <c r="FG198" s="249"/>
      <c r="FH198" s="249"/>
      <c r="FI198" s="249"/>
      <c r="FJ198" s="249"/>
      <c r="FK198" s="249"/>
      <c r="FL198" s="249"/>
      <c r="FM198" s="249"/>
      <c r="FN198" s="249"/>
      <c r="FO198" s="249"/>
      <c r="FP198" s="249"/>
      <c r="FQ198" s="249"/>
      <c r="FR198" s="249"/>
      <c r="FS198" s="249"/>
      <c r="FT198" s="249"/>
      <c r="FU198" s="249"/>
      <c r="FV198" s="249"/>
      <c r="FW198" s="249"/>
      <c r="FX198" s="249"/>
      <c r="FY198" s="249"/>
      <c r="FZ198" s="249"/>
      <c r="GA198" s="249"/>
      <c r="GB198" s="249"/>
      <c r="GC198" s="249"/>
      <c r="GD198" s="249"/>
      <c r="GE198" s="249"/>
      <c r="GF198" s="249"/>
      <c r="GG198" s="249"/>
      <c r="GH198" s="249"/>
      <c r="GI198" s="249"/>
      <c r="GJ198" s="249"/>
      <c r="GK198" s="249"/>
      <c r="GL198" s="249"/>
      <c r="GM198" s="249"/>
      <c r="GN198" s="249"/>
      <c r="GO198" s="249"/>
      <c r="GP198" s="249"/>
      <c r="GQ198" s="249"/>
      <c r="GR198" s="249"/>
    </row>
    <row r="199" spans="1:200" s="252" customFormat="1" ht="12.75" customHeight="1" x14ac:dyDescent="0.2">
      <c r="A199" s="722"/>
      <c r="B199" s="1123"/>
      <c r="C199" s="1123"/>
      <c r="D199" s="525"/>
      <c r="E199" s="613"/>
      <c r="F199" s="249"/>
      <c r="G199" s="250"/>
      <c r="H199" s="250"/>
      <c r="I199" s="250"/>
      <c r="J199" s="250"/>
      <c r="K199" s="250"/>
      <c r="L199" s="250"/>
      <c r="M199" s="250"/>
      <c r="N199" s="250"/>
      <c r="O199" s="250"/>
      <c r="P199" s="251"/>
      <c r="Q199" s="251"/>
      <c r="R199" s="251"/>
      <c r="S199" s="249"/>
      <c r="T199" s="249"/>
      <c r="U199" s="1862" t="str">
        <f>'Cement SLB Rev'!A14</f>
        <v>Yield</v>
      </c>
      <c r="V199" s="1862" t="str">
        <f>IF(RH_BH="Big Hole",'Cement SLB Rev'!$P$30,'Cement SLB Rev'!$P$32)</f>
        <v>13 3/8" CBP</v>
      </c>
      <c r="W199" s="255">
        <f>INDEX('Cement SLB Rev'!$R$30:$R$32,MATCH('Cost Details'!V199,'Cement SLB Rev'!$P$30:$P$32,0))</f>
        <v>24989.737499999999</v>
      </c>
      <c r="X199" s="475"/>
      <c r="Y199" s="246">
        <f>Y184*$W$199</f>
        <v>0</v>
      </c>
      <c r="Z199" s="246">
        <f>Z184*$W$199</f>
        <v>0</v>
      </c>
      <c r="AA199" s="246">
        <f>AA186*$W199*FOREX</f>
        <v>0</v>
      </c>
      <c r="AB199" s="246">
        <f>AB184*$W$199</f>
        <v>0</v>
      </c>
      <c r="AC199" s="246">
        <f>AC184*$W$199</f>
        <v>0</v>
      </c>
      <c r="AD199" s="246">
        <f>AD186*$W$199</f>
        <v>0</v>
      </c>
      <c r="AE199" s="246"/>
      <c r="AF199" s="246">
        <f>AF186*$W199*FOREX</f>
        <v>0</v>
      </c>
      <c r="AG199" s="246"/>
      <c r="AH199" s="246">
        <f>AH186*$W199*FOREX</f>
        <v>1274476.6125</v>
      </c>
      <c r="AI199" s="246"/>
      <c r="AJ199" s="246">
        <f>AJ186*$W199*FOREX</f>
        <v>0</v>
      </c>
      <c r="AK199" s="246">
        <f>AK184*$W$199</f>
        <v>0</v>
      </c>
      <c r="AL199" s="475"/>
      <c r="AM199" s="475">
        <f t="shared" si="64"/>
        <v>1274476.6125</v>
      </c>
      <c r="AN199" s="254"/>
      <c r="AO199" s="249"/>
      <c r="AP199" s="250"/>
      <c r="AQ199" s="250"/>
      <c r="AR199" s="250"/>
      <c r="AS199" s="250"/>
      <c r="AT199" s="250"/>
      <c r="AU199" s="250"/>
      <c r="AV199" s="249"/>
      <c r="AW199" s="249"/>
      <c r="AX199" s="249"/>
      <c r="AY199" s="249"/>
      <c r="AZ199" s="249"/>
      <c r="BA199" s="249"/>
      <c r="BB199" s="249"/>
      <c r="BC199" s="249"/>
      <c r="BD199" s="249"/>
      <c r="BE199" s="249"/>
      <c r="BF199" s="249"/>
      <c r="BG199" s="249"/>
      <c r="BH199" s="249"/>
      <c r="BI199" s="249"/>
      <c r="BJ199" s="249"/>
      <c r="BK199" s="249"/>
      <c r="BL199" s="249"/>
      <c r="BM199" s="249"/>
      <c r="BN199" s="249"/>
      <c r="BO199" s="249"/>
      <c r="BP199" s="249"/>
      <c r="BQ199" s="249"/>
      <c r="BR199" s="249"/>
      <c r="BS199" s="249"/>
      <c r="BT199" s="249"/>
      <c r="BU199" s="249"/>
      <c r="BV199" s="249"/>
      <c r="BW199" s="249"/>
      <c r="BX199" s="249"/>
      <c r="BY199" s="249"/>
      <c r="BZ199" s="249"/>
      <c r="CA199" s="249"/>
      <c r="CB199" s="249"/>
      <c r="CC199" s="249"/>
      <c r="CD199" s="249"/>
      <c r="CE199" s="249"/>
      <c r="CF199" s="249"/>
      <c r="CG199" s="249"/>
      <c r="CH199" s="249"/>
      <c r="CI199" s="249"/>
      <c r="CJ199" s="249"/>
      <c r="CK199" s="249"/>
      <c r="CL199" s="249"/>
      <c r="CM199" s="249"/>
      <c r="CN199" s="249"/>
      <c r="CO199" s="249"/>
      <c r="CP199" s="249"/>
      <c r="CQ199" s="249"/>
      <c r="CR199" s="249"/>
      <c r="CS199" s="249"/>
      <c r="CT199" s="249"/>
      <c r="CU199" s="249"/>
      <c r="CV199" s="249"/>
      <c r="CW199" s="249"/>
      <c r="CX199" s="249"/>
      <c r="CY199" s="249"/>
      <c r="CZ199" s="249"/>
      <c r="DA199" s="249"/>
      <c r="DB199" s="249"/>
      <c r="DC199" s="249"/>
      <c r="DD199" s="249"/>
      <c r="DE199" s="249"/>
      <c r="DF199" s="249"/>
      <c r="DG199" s="249"/>
      <c r="DH199" s="249"/>
      <c r="DI199" s="249"/>
      <c r="DJ199" s="249"/>
      <c r="DK199" s="249"/>
      <c r="DL199" s="249"/>
      <c r="DM199" s="249"/>
      <c r="DN199" s="249"/>
      <c r="DO199" s="249"/>
      <c r="DP199" s="249"/>
      <c r="DQ199" s="249"/>
      <c r="DR199" s="249"/>
      <c r="DS199" s="249"/>
      <c r="DT199" s="249"/>
      <c r="DU199" s="249"/>
      <c r="DV199" s="249"/>
      <c r="DW199" s="249"/>
      <c r="DX199" s="249"/>
      <c r="DY199" s="249"/>
      <c r="DZ199" s="249"/>
      <c r="EA199" s="249"/>
      <c r="EB199" s="249"/>
      <c r="EC199" s="249"/>
      <c r="ED199" s="249"/>
      <c r="EE199" s="249"/>
      <c r="EF199" s="249"/>
      <c r="EG199" s="249"/>
      <c r="EH199" s="249"/>
      <c r="EI199" s="249"/>
      <c r="EJ199" s="249"/>
      <c r="EK199" s="249"/>
      <c r="EL199" s="249"/>
      <c r="EM199" s="249"/>
      <c r="EN199" s="249"/>
      <c r="EO199" s="249"/>
      <c r="EP199" s="249"/>
      <c r="EQ199" s="249"/>
      <c r="ER199" s="249"/>
      <c r="ES199" s="249"/>
      <c r="ET199" s="249"/>
      <c r="EU199" s="249"/>
      <c r="EV199" s="249"/>
      <c r="EW199" s="249"/>
      <c r="EX199" s="249"/>
      <c r="EY199" s="249"/>
      <c r="EZ199" s="249"/>
      <c r="FA199" s="249"/>
      <c r="FB199" s="249"/>
      <c r="FC199" s="249"/>
      <c r="FD199" s="249"/>
      <c r="FE199" s="249"/>
      <c r="FF199" s="249"/>
      <c r="FG199" s="249"/>
      <c r="FH199" s="249"/>
      <c r="FI199" s="249"/>
      <c r="FJ199" s="249"/>
      <c r="FK199" s="249"/>
      <c r="FL199" s="249"/>
      <c r="FM199" s="249"/>
      <c r="FN199" s="249"/>
      <c r="FO199" s="249"/>
      <c r="FP199" s="249"/>
      <c r="FQ199" s="249"/>
      <c r="FR199" s="249"/>
      <c r="FS199" s="249"/>
      <c r="FT199" s="249"/>
      <c r="FU199" s="249"/>
      <c r="FV199" s="249"/>
      <c r="FW199" s="249"/>
      <c r="FX199" s="249"/>
      <c r="FY199" s="249"/>
      <c r="FZ199" s="249"/>
      <c r="GA199" s="249"/>
      <c r="GB199" s="249"/>
      <c r="GC199" s="249"/>
      <c r="GD199" s="249"/>
      <c r="GE199" s="249"/>
      <c r="GF199" s="249"/>
      <c r="GG199" s="249"/>
      <c r="GH199" s="249"/>
      <c r="GI199" s="249"/>
      <c r="GJ199" s="249"/>
      <c r="GK199" s="249"/>
      <c r="GL199" s="249"/>
      <c r="GM199" s="249"/>
      <c r="GN199" s="249"/>
      <c r="GO199" s="249"/>
      <c r="GP199" s="249"/>
      <c r="GQ199" s="249"/>
      <c r="GR199" s="249"/>
    </row>
    <row r="200" spans="1:200" s="252" customFormat="1" ht="12.75" customHeight="1" x14ac:dyDescent="0.2">
      <c r="A200" s="712"/>
      <c r="B200" s="1113"/>
      <c r="C200" s="1113"/>
      <c r="D200" s="533"/>
      <c r="E200" s="596"/>
      <c r="F200" s="249"/>
      <c r="G200" s="250"/>
      <c r="H200" s="250"/>
      <c r="I200" s="250"/>
      <c r="J200" s="250"/>
      <c r="K200" s="250"/>
      <c r="L200" s="250"/>
      <c r="M200" s="250"/>
      <c r="N200" s="250"/>
      <c r="O200" s="250"/>
      <c r="P200" s="251"/>
      <c r="Q200" s="251"/>
      <c r="R200" s="251"/>
      <c r="S200" s="251"/>
      <c r="T200" s="251"/>
      <c r="U200" s="254"/>
      <c r="V200" s="172"/>
      <c r="W200" s="202"/>
      <c r="X200" s="246">
        <f t="shared" ref="X200:AK200" si="65">SUM(X189:X199)</f>
        <v>0</v>
      </c>
      <c r="Y200" s="246">
        <f t="shared" si="65"/>
        <v>479866.64999999997</v>
      </c>
      <c r="Z200" s="246">
        <f t="shared" si="65"/>
        <v>1991700.9451636365</v>
      </c>
      <c r="AA200" s="246">
        <f t="shared" si="65"/>
        <v>479866.64999999997</v>
      </c>
      <c r="AB200" s="246">
        <f t="shared" si="65"/>
        <v>4623565.3440000005</v>
      </c>
      <c r="AC200" s="246">
        <f t="shared" si="65"/>
        <v>479866.64999999997</v>
      </c>
      <c r="AD200" s="246">
        <f t="shared" si="65"/>
        <v>3999991.1851636367</v>
      </c>
      <c r="AE200" s="246">
        <f t="shared" si="65"/>
        <v>0</v>
      </c>
      <c r="AF200" s="246">
        <f t="shared" si="65"/>
        <v>569894.40000000002</v>
      </c>
      <c r="AG200" s="246">
        <f t="shared" si="65"/>
        <v>0</v>
      </c>
      <c r="AH200" s="246">
        <f>SUM(AH189:AH199)</f>
        <v>3453890.2125000004</v>
      </c>
      <c r="AI200" s="246">
        <f t="shared" si="65"/>
        <v>0</v>
      </c>
      <c r="AJ200" s="246">
        <f t="shared" si="65"/>
        <v>0</v>
      </c>
      <c r="AK200" s="246">
        <f t="shared" si="65"/>
        <v>0</v>
      </c>
      <c r="AL200" s="246"/>
      <c r="AM200" s="1439">
        <f>SUM(AM189:AM199)</f>
        <v>16078642.036827277</v>
      </c>
      <c r="AN200" s="172"/>
      <c r="AO200" s="249"/>
      <c r="AP200" s="250"/>
      <c r="AQ200" s="250"/>
      <c r="AR200" s="250"/>
      <c r="AS200" s="250"/>
      <c r="AT200" s="250"/>
      <c r="AU200" s="250"/>
      <c r="AV200" s="249"/>
      <c r="AW200" s="249"/>
      <c r="AX200" s="249"/>
      <c r="AY200" s="249"/>
      <c r="AZ200" s="249"/>
      <c r="BA200" s="249"/>
      <c r="BB200" s="249"/>
      <c r="BC200" s="249"/>
      <c r="BD200" s="249"/>
      <c r="BE200" s="249"/>
      <c r="BF200" s="249"/>
      <c r="BG200" s="249"/>
      <c r="BH200" s="249"/>
      <c r="BI200" s="249"/>
      <c r="BJ200" s="249"/>
      <c r="BK200" s="249"/>
      <c r="BL200" s="249"/>
      <c r="BM200" s="249"/>
      <c r="BN200" s="249"/>
      <c r="BO200" s="249"/>
      <c r="BP200" s="249"/>
      <c r="BQ200" s="249"/>
      <c r="BR200" s="249"/>
      <c r="BS200" s="249"/>
      <c r="BT200" s="249"/>
      <c r="BU200" s="249"/>
      <c r="BV200" s="249"/>
      <c r="BW200" s="249"/>
      <c r="BX200" s="249"/>
      <c r="BY200" s="249"/>
      <c r="BZ200" s="249"/>
      <c r="CA200" s="249"/>
      <c r="CB200" s="249"/>
      <c r="CC200" s="249"/>
      <c r="CD200" s="249"/>
      <c r="CE200" s="249"/>
      <c r="CF200" s="249"/>
      <c r="CG200" s="249"/>
      <c r="CH200" s="249"/>
      <c r="CI200" s="249"/>
      <c r="CJ200" s="249"/>
      <c r="CK200" s="249"/>
      <c r="CL200" s="249"/>
      <c r="CM200" s="249"/>
      <c r="CN200" s="249"/>
      <c r="CO200" s="249"/>
      <c r="CP200" s="249"/>
      <c r="CQ200" s="249"/>
      <c r="CR200" s="249"/>
      <c r="CS200" s="249"/>
      <c r="CT200" s="249"/>
      <c r="CU200" s="249"/>
      <c r="CV200" s="249"/>
      <c r="CW200" s="249"/>
      <c r="CX200" s="249"/>
      <c r="CY200" s="249"/>
      <c r="CZ200" s="249"/>
      <c r="DA200" s="249"/>
      <c r="DB200" s="249"/>
      <c r="DC200" s="249"/>
      <c r="DD200" s="249"/>
      <c r="DE200" s="249"/>
      <c r="DF200" s="249"/>
      <c r="DG200" s="249"/>
      <c r="DH200" s="249"/>
      <c r="DI200" s="249"/>
      <c r="DJ200" s="249"/>
      <c r="DK200" s="249"/>
      <c r="DL200" s="249"/>
      <c r="DM200" s="249"/>
      <c r="DN200" s="249"/>
      <c r="DO200" s="249"/>
      <c r="DP200" s="249"/>
      <c r="DQ200" s="249"/>
      <c r="DR200" s="249"/>
      <c r="DS200" s="249"/>
      <c r="DT200" s="249"/>
      <c r="DU200" s="249"/>
      <c r="DV200" s="249"/>
      <c r="DW200" s="249"/>
      <c r="DX200" s="249"/>
      <c r="DY200" s="249"/>
      <c r="DZ200" s="249"/>
      <c r="EA200" s="249"/>
      <c r="EB200" s="249"/>
      <c r="EC200" s="249"/>
      <c r="ED200" s="249"/>
      <c r="EE200" s="249"/>
      <c r="EF200" s="249"/>
      <c r="EG200" s="249"/>
      <c r="EH200" s="249"/>
      <c r="EI200" s="249"/>
      <c r="EJ200" s="249"/>
      <c r="EK200" s="249"/>
      <c r="EL200" s="249"/>
      <c r="EM200" s="249"/>
      <c r="EN200" s="249"/>
      <c r="EO200" s="249"/>
      <c r="EP200" s="249"/>
      <c r="EQ200" s="249"/>
      <c r="ER200" s="249"/>
      <c r="ES200" s="249"/>
      <c r="ET200" s="249"/>
      <c r="EU200" s="249"/>
      <c r="EV200" s="249"/>
      <c r="EW200" s="249"/>
      <c r="EX200" s="249"/>
      <c r="EY200" s="249"/>
      <c r="EZ200" s="249"/>
      <c r="FA200" s="249"/>
      <c r="FB200" s="249"/>
      <c r="FC200" s="249"/>
      <c r="FD200" s="249"/>
      <c r="FE200" s="249"/>
      <c r="FF200" s="249"/>
      <c r="FG200" s="249"/>
      <c r="FH200" s="249"/>
      <c r="FI200" s="249"/>
      <c r="FJ200" s="249"/>
      <c r="FK200" s="249"/>
      <c r="FL200" s="249"/>
      <c r="FM200" s="249"/>
      <c r="FN200" s="249"/>
      <c r="FO200" s="249"/>
      <c r="FP200" s="249"/>
      <c r="FQ200" s="249"/>
      <c r="FR200" s="249"/>
      <c r="FS200" s="249"/>
      <c r="FT200" s="249"/>
      <c r="FU200" s="249"/>
      <c r="FV200" s="249"/>
      <c r="FW200" s="249"/>
      <c r="FX200" s="249"/>
      <c r="FY200" s="249"/>
      <c r="FZ200" s="249"/>
      <c r="GA200" s="249"/>
      <c r="GB200" s="249"/>
      <c r="GC200" s="249"/>
      <c r="GD200" s="249"/>
      <c r="GE200" s="249"/>
      <c r="GF200" s="249"/>
      <c r="GG200" s="249"/>
      <c r="GH200" s="249"/>
      <c r="GI200" s="249"/>
      <c r="GJ200" s="249"/>
      <c r="GK200" s="249"/>
      <c r="GL200" s="249"/>
      <c r="GM200" s="249"/>
      <c r="GN200" s="249"/>
      <c r="GO200" s="249"/>
      <c r="GP200" s="249"/>
      <c r="GQ200" s="249"/>
      <c r="GR200" s="249"/>
    </row>
    <row r="201" spans="1:200" s="252" customFormat="1" ht="12.75" customHeight="1" x14ac:dyDescent="0.2">
      <c r="A201" s="732"/>
      <c r="B201" s="1133"/>
      <c r="C201" s="1133"/>
      <c r="D201" s="220"/>
      <c r="E201" s="596"/>
      <c r="F201" s="249"/>
      <c r="G201" s="250"/>
      <c r="H201" s="250"/>
      <c r="I201" s="250"/>
      <c r="J201" s="250"/>
      <c r="K201" s="250"/>
      <c r="L201" s="250"/>
      <c r="M201" s="250"/>
      <c r="N201" s="250"/>
      <c r="O201" s="250"/>
      <c r="P201" s="251"/>
      <c r="Q201" s="251"/>
      <c r="R201" s="251"/>
      <c r="S201" s="251"/>
      <c r="T201" s="251"/>
      <c r="U201" s="172"/>
      <c r="V201" s="172"/>
      <c r="W201" s="202"/>
      <c r="X201" s="202"/>
      <c r="Y201" s="202"/>
      <c r="Z201" s="202"/>
      <c r="AA201" s="202"/>
      <c r="AB201" s="202"/>
      <c r="AC201" s="196"/>
      <c r="AD201" s="196"/>
      <c r="AE201" s="196"/>
      <c r="AF201" s="196"/>
      <c r="AG201" s="196"/>
      <c r="AH201" s="196"/>
      <c r="AI201" s="196"/>
      <c r="AJ201" s="196"/>
      <c r="AK201" s="196"/>
      <c r="AL201" s="196"/>
      <c r="AM201" s="220"/>
      <c r="AN201" s="172"/>
      <c r="AO201" s="249"/>
      <c r="AP201" s="250"/>
      <c r="AQ201" s="250"/>
      <c r="AR201" s="250"/>
      <c r="AS201" s="250"/>
      <c r="AT201" s="250"/>
      <c r="AU201" s="250"/>
      <c r="AV201" s="249"/>
      <c r="AW201" s="249"/>
      <c r="AX201" s="249"/>
      <c r="AY201" s="249"/>
      <c r="AZ201" s="249"/>
      <c r="BA201" s="249"/>
      <c r="BB201" s="249"/>
      <c r="BC201" s="249"/>
      <c r="BD201" s="249"/>
      <c r="BE201" s="249"/>
      <c r="BF201" s="249"/>
      <c r="BG201" s="249"/>
      <c r="BH201" s="249"/>
      <c r="BI201" s="249"/>
      <c r="BJ201" s="249"/>
      <c r="BK201" s="249"/>
      <c r="BL201" s="249"/>
      <c r="BM201" s="249"/>
      <c r="BN201" s="249"/>
      <c r="BO201" s="249"/>
      <c r="BP201" s="249"/>
      <c r="BQ201" s="249"/>
      <c r="BR201" s="249"/>
      <c r="BS201" s="249"/>
      <c r="BT201" s="249"/>
      <c r="BU201" s="249"/>
      <c r="BV201" s="249"/>
      <c r="BW201" s="249"/>
      <c r="BX201" s="249"/>
      <c r="BY201" s="249"/>
      <c r="BZ201" s="249"/>
      <c r="CA201" s="249"/>
      <c r="CB201" s="249"/>
      <c r="CC201" s="249"/>
      <c r="CD201" s="249"/>
      <c r="CE201" s="249"/>
      <c r="CF201" s="249"/>
      <c r="CG201" s="249"/>
      <c r="CH201" s="249"/>
      <c r="CI201" s="249"/>
      <c r="CJ201" s="249"/>
      <c r="CK201" s="249"/>
      <c r="CL201" s="249"/>
      <c r="CM201" s="249"/>
      <c r="CN201" s="249"/>
      <c r="CO201" s="249"/>
      <c r="CP201" s="249"/>
      <c r="CQ201" s="249"/>
      <c r="CR201" s="249"/>
      <c r="CS201" s="249"/>
      <c r="CT201" s="249"/>
      <c r="CU201" s="249"/>
      <c r="CV201" s="249"/>
      <c r="CW201" s="249"/>
      <c r="CX201" s="249"/>
      <c r="CY201" s="249"/>
      <c r="CZ201" s="249"/>
      <c r="DA201" s="249"/>
      <c r="DB201" s="249"/>
      <c r="DC201" s="249"/>
      <c r="DD201" s="249"/>
      <c r="DE201" s="249"/>
      <c r="DF201" s="249"/>
      <c r="DG201" s="249"/>
      <c r="DH201" s="249"/>
      <c r="DI201" s="249"/>
      <c r="DJ201" s="249"/>
      <c r="DK201" s="249"/>
      <c r="DL201" s="249"/>
      <c r="DM201" s="249"/>
      <c r="DN201" s="249"/>
      <c r="DO201" s="249"/>
      <c r="DP201" s="249"/>
      <c r="DQ201" s="249"/>
      <c r="DR201" s="249"/>
      <c r="DS201" s="249"/>
      <c r="DT201" s="249"/>
      <c r="DU201" s="249"/>
      <c r="DV201" s="249"/>
      <c r="DW201" s="249"/>
      <c r="DX201" s="249"/>
      <c r="DY201" s="249"/>
      <c r="DZ201" s="249"/>
      <c r="EA201" s="249"/>
      <c r="EB201" s="249"/>
      <c r="EC201" s="249"/>
      <c r="ED201" s="249"/>
      <c r="EE201" s="249"/>
      <c r="EF201" s="249"/>
      <c r="EG201" s="249"/>
      <c r="EH201" s="249"/>
      <c r="EI201" s="249"/>
      <c r="EJ201" s="249"/>
      <c r="EK201" s="249"/>
      <c r="EL201" s="249"/>
      <c r="EM201" s="249"/>
      <c r="EN201" s="249"/>
      <c r="EO201" s="249"/>
      <c r="EP201" s="249"/>
      <c r="EQ201" s="249"/>
      <c r="ER201" s="249"/>
      <c r="ES201" s="249"/>
      <c r="ET201" s="249"/>
      <c r="EU201" s="249"/>
      <c r="EV201" s="249"/>
      <c r="EW201" s="249"/>
      <c r="EX201" s="249"/>
      <c r="EY201" s="249"/>
      <c r="EZ201" s="249"/>
      <c r="FA201" s="249"/>
      <c r="FB201" s="249"/>
      <c r="FC201" s="249"/>
      <c r="FD201" s="249"/>
      <c r="FE201" s="249"/>
      <c r="FF201" s="249"/>
      <c r="FG201" s="249"/>
      <c r="FH201" s="249"/>
      <c r="FI201" s="249"/>
      <c r="FJ201" s="249"/>
      <c r="FK201" s="249"/>
      <c r="FL201" s="249"/>
      <c r="FM201" s="249"/>
      <c r="FN201" s="249"/>
      <c r="FO201" s="249"/>
      <c r="FP201" s="249"/>
      <c r="FQ201" s="249"/>
      <c r="FR201" s="249"/>
      <c r="FS201" s="249"/>
      <c r="FT201" s="249"/>
      <c r="FU201" s="249"/>
      <c r="FV201" s="249"/>
      <c r="FW201" s="249"/>
      <c r="FX201" s="249"/>
      <c r="FY201" s="249"/>
      <c r="FZ201" s="249"/>
      <c r="GA201" s="249"/>
      <c r="GB201" s="249"/>
      <c r="GC201" s="249"/>
      <c r="GD201" s="249"/>
      <c r="GE201" s="249"/>
      <c r="GF201" s="249"/>
      <c r="GG201" s="249"/>
      <c r="GH201" s="249"/>
      <c r="GI201" s="249"/>
      <c r="GJ201" s="249"/>
      <c r="GK201" s="249"/>
      <c r="GL201" s="249"/>
      <c r="GM201" s="249"/>
      <c r="GN201" s="249"/>
      <c r="GO201" s="249"/>
      <c r="GP201" s="249"/>
      <c r="GQ201" s="249"/>
      <c r="GR201" s="249"/>
    </row>
    <row r="202" spans="1:200" s="252" customFormat="1" ht="13.5" customHeight="1" x14ac:dyDescent="0.2">
      <c r="A202" s="724"/>
      <c r="B202" s="1125"/>
      <c r="C202" s="1125"/>
      <c r="D202" s="528"/>
      <c r="E202" s="596"/>
      <c r="F202" s="249"/>
      <c r="G202" s="250"/>
      <c r="H202" s="250"/>
      <c r="I202" s="250"/>
      <c r="J202" s="250"/>
      <c r="K202" s="250"/>
      <c r="L202" s="250"/>
      <c r="M202" s="250"/>
      <c r="N202" s="250"/>
      <c r="O202" s="250"/>
      <c r="P202" s="251"/>
      <c r="Q202" s="251"/>
      <c r="R202" s="251"/>
      <c r="S202" s="251"/>
      <c r="T202" s="251"/>
      <c r="U202" s="1683" t="s">
        <v>1282</v>
      </c>
      <c r="V202" s="1423" t="s">
        <v>162</v>
      </c>
      <c r="W202" s="254"/>
      <c r="X202" s="254"/>
      <c r="Y202" s="254"/>
      <c r="Z202" s="254"/>
      <c r="AA202" s="528"/>
      <c r="AB202" s="528"/>
      <c r="AC202" s="254"/>
      <c r="AD202" s="254"/>
      <c r="AE202" s="254"/>
      <c r="AF202" s="254"/>
      <c r="AG202" s="254"/>
      <c r="AH202" s="254"/>
      <c r="AI202" s="254"/>
      <c r="AJ202" s="254"/>
      <c r="AK202" s="254"/>
      <c r="AL202" s="254"/>
      <c r="AM202" s="528"/>
      <c r="AN202" s="224"/>
      <c r="AO202" s="249"/>
      <c r="AP202" s="250"/>
      <c r="AQ202" s="250"/>
      <c r="AR202" s="250"/>
      <c r="AS202" s="250"/>
      <c r="AT202" s="250"/>
      <c r="AU202" s="250"/>
      <c r="AV202" s="249"/>
      <c r="AW202" s="249"/>
      <c r="AX202" s="249"/>
      <c r="AY202" s="249"/>
      <c r="AZ202" s="249"/>
      <c r="BA202" s="249"/>
      <c r="BB202" s="249"/>
      <c r="BC202" s="249"/>
      <c r="BD202" s="249"/>
      <c r="BE202" s="249"/>
      <c r="BF202" s="249"/>
      <c r="BG202" s="249"/>
      <c r="BH202" s="249"/>
      <c r="BI202" s="249"/>
      <c r="BJ202" s="249"/>
      <c r="BK202" s="249"/>
      <c r="BL202" s="249"/>
      <c r="BM202" s="249"/>
      <c r="BN202" s="249"/>
      <c r="BO202" s="249"/>
      <c r="BP202" s="249"/>
      <c r="BQ202" s="249"/>
      <c r="BR202" s="249"/>
      <c r="BS202" s="249"/>
      <c r="BT202" s="249"/>
      <c r="BU202" s="249"/>
      <c r="BV202" s="249"/>
      <c r="BW202" s="249"/>
      <c r="BX202" s="249"/>
      <c r="BY202" s="249"/>
      <c r="BZ202" s="249"/>
      <c r="CA202" s="249"/>
      <c r="CB202" s="249"/>
      <c r="CC202" s="249"/>
      <c r="CD202" s="249"/>
      <c r="CE202" s="249"/>
      <c r="CF202" s="249"/>
      <c r="CG202" s="249"/>
      <c r="CH202" s="249"/>
      <c r="CI202" s="249"/>
      <c r="CJ202" s="249"/>
      <c r="CK202" s="249"/>
      <c r="CL202" s="249"/>
      <c r="CM202" s="249"/>
      <c r="CN202" s="249"/>
      <c r="CO202" s="249"/>
      <c r="CP202" s="249"/>
      <c r="CQ202" s="249"/>
      <c r="CR202" s="249"/>
      <c r="CS202" s="249"/>
      <c r="CT202" s="249"/>
      <c r="CU202" s="249"/>
      <c r="CV202" s="249"/>
      <c r="CW202" s="249"/>
      <c r="CX202" s="249"/>
      <c r="CY202" s="249"/>
      <c r="CZ202" s="249"/>
      <c r="DA202" s="249"/>
      <c r="DB202" s="249"/>
      <c r="DC202" s="249"/>
      <c r="DD202" s="249"/>
      <c r="DE202" s="249"/>
      <c r="DF202" s="249"/>
      <c r="DG202" s="249"/>
      <c r="DH202" s="249"/>
      <c r="DI202" s="249"/>
      <c r="DJ202" s="249"/>
      <c r="DK202" s="249"/>
      <c r="DL202" s="249"/>
      <c r="DM202" s="249"/>
      <c r="DN202" s="249"/>
      <c r="DO202" s="249"/>
      <c r="DP202" s="249"/>
      <c r="DQ202" s="249"/>
      <c r="DR202" s="249"/>
      <c r="DS202" s="249"/>
      <c r="DT202" s="249"/>
      <c r="DU202" s="249"/>
      <c r="DV202" s="249"/>
      <c r="DW202" s="249"/>
      <c r="DX202" s="249"/>
      <c r="DY202" s="249"/>
      <c r="DZ202" s="249"/>
      <c r="EA202" s="249"/>
      <c r="EB202" s="249"/>
      <c r="EC202" s="249"/>
      <c r="ED202" s="249"/>
      <c r="EE202" s="249"/>
      <c r="EF202" s="249"/>
      <c r="EG202" s="249"/>
      <c r="EH202" s="249"/>
      <c r="EI202" s="249"/>
      <c r="EJ202" s="249"/>
      <c r="EK202" s="249"/>
      <c r="EL202" s="249"/>
      <c r="EM202" s="249"/>
      <c r="EN202" s="249"/>
      <c r="EO202" s="249"/>
      <c r="EP202" s="249"/>
      <c r="EQ202" s="249"/>
      <c r="ER202" s="249"/>
      <c r="ES202" s="249"/>
      <c r="ET202" s="249"/>
      <c r="EU202" s="249"/>
      <c r="EV202" s="249"/>
      <c r="EW202" s="249"/>
      <c r="EX202" s="249"/>
      <c r="EY202" s="249"/>
      <c r="EZ202" s="249"/>
      <c r="FA202" s="249"/>
      <c r="FB202" s="249"/>
      <c r="FC202" s="249"/>
      <c r="FD202" s="249"/>
      <c r="FE202" s="249"/>
      <c r="FF202" s="249"/>
      <c r="FG202" s="249"/>
      <c r="FH202" s="249"/>
      <c r="FI202" s="249"/>
      <c r="FJ202" s="249"/>
      <c r="FK202" s="249"/>
      <c r="FL202" s="249"/>
      <c r="FM202" s="249"/>
      <c r="FN202" s="249"/>
      <c r="FO202" s="249"/>
      <c r="FP202" s="249"/>
      <c r="FQ202" s="249"/>
      <c r="FR202" s="249"/>
      <c r="FS202" s="249"/>
      <c r="FT202" s="249"/>
      <c r="FU202" s="249"/>
      <c r="FV202" s="249"/>
      <c r="FW202" s="249"/>
      <c r="FX202" s="249"/>
      <c r="FY202" s="249"/>
      <c r="FZ202" s="249"/>
      <c r="GA202" s="249"/>
      <c r="GB202" s="249"/>
      <c r="GC202" s="249"/>
      <c r="GD202" s="249"/>
      <c r="GE202" s="249"/>
      <c r="GF202" s="249"/>
      <c r="GG202" s="249"/>
      <c r="GH202" s="249"/>
      <c r="GI202" s="249"/>
      <c r="GJ202" s="249"/>
      <c r="GK202" s="249"/>
      <c r="GL202" s="249"/>
      <c r="GM202" s="249"/>
      <c r="GN202" s="249"/>
      <c r="GO202" s="249"/>
      <c r="GP202" s="249"/>
      <c r="GQ202" s="249"/>
      <c r="GR202" s="249"/>
    </row>
    <row r="203" spans="1:200" s="252" customFormat="1" ht="13.5" customHeight="1" x14ac:dyDescent="0.2">
      <c r="A203" s="728"/>
      <c r="B203" s="1129"/>
      <c r="C203" s="1129"/>
      <c r="D203" s="531"/>
      <c r="E203" s="613"/>
      <c r="F203" s="249"/>
      <c r="G203" s="250"/>
      <c r="H203" s="250"/>
      <c r="I203" s="250"/>
      <c r="J203" s="250"/>
      <c r="K203" s="250"/>
      <c r="L203" s="250"/>
      <c r="M203" s="250"/>
      <c r="N203" s="250"/>
      <c r="O203" s="250"/>
      <c r="P203" s="251"/>
      <c r="Q203" s="251"/>
      <c r="R203" s="251"/>
      <c r="S203" s="251"/>
      <c r="T203" s="251"/>
      <c r="U203" s="2513" t="s">
        <v>152</v>
      </c>
      <c r="V203" s="2514"/>
      <c r="W203" s="1440" t="s">
        <v>2656</v>
      </c>
      <c r="X203" s="1426" t="str">
        <f t="shared" ref="X203:AK203" si="66">X$14</f>
        <v>RIGMOVE</v>
      </c>
      <c r="Y203" s="1426" t="str">
        <f t="shared" si="66"/>
        <v>DSURFACE</v>
      </c>
      <c r="Z203" s="1426" t="str">
        <f t="shared" si="66"/>
        <v>FSURFACE</v>
      </c>
      <c r="AA203" s="1426" t="str">
        <f t="shared" si="66"/>
        <v>DINTERMEDIATE</v>
      </c>
      <c r="AB203" s="1426" t="str">
        <f t="shared" si="66"/>
        <v>FINTERMEDIATE</v>
      </c>
      <c r="AC203" s="1426" t="str">
        <f t="shared" si="66"/>
        <v>DPRODUCTION</v>
      </c>
      <c r="AD203" s="1426" t="str">
        <f t="shared" si="66"/>
        <v>FPRODUCTION</v>
      </c>
      <c r="AE203" s="1426" t="str">
        <f t="shared" si="66"/>
        <v>DLINER1</v>
      </c>
      <c r="AF203" s="1426" t="str">
        <f t="shared" si="66"/>
        <v>FLINER1</v>
      </c>
      <c r="AG203" s="1426" t="str">
        <f t="shared" si="66"/>
        <v>DLINER2</v>
      </c>
      <c r="AH203" s="1426" t="str">
        <f t="shared" si="66"/>
        <v>FLINER2</v>
      </c>
      <c r="AI203" s="1426" t="str">
        <f t="shared" si="66"/>
        <v/>
      </c>
      <c r="AJ203" s="1426" t="str">
        <f t="shared" si="66"/>
        <v/>
      </c>
      <c r="AK203" s="1426" t="str">
        <f t="shared" si="66"/>
        <v/>
      </c>
      <c r="AL203" s="1426"/>
      <c r="AM203" s="1437" t="s">
        <v>101</v>
      </c>
      <c r="AN203" s="254"/>
      <c r="AO203" s="249"/>
      <c r="AP203" s="250"/>
      <c r="AQ203" s="250"/>
      <c r="AR203" s="250"/>
      <c r="AS203" s="250"/>
      <c r="AT203" s="250"/>
      <c r="AU203" s="250"/>
      <c r="AV203" s="249"/>
      <c r="AW203" s="249"/>
      <c r="AX203" s="249"/>
      <c r="AY203" s="249"/>
      <c r="AZ203" s="249"/>
      <c r="BA203" s="249"/>
      <c r="BB203" s="249"/>
      <c r="BC203" s="249"/>
      <c r="BD203" s="249"/>
      <c r="BE203" s="249"/>
      <c r="BF203" s="249"/>
      <c r="BG203" s="249"/>
      <c r="BH203" s="249"/>
      <c r="BI203" s="249"/>
      <c r="BJ203" s="249"/>
      <c r="BK203" s="249"/>
      <c r="BL203" s="249"/>
      <c r="BM203" s="249"/>
      <c r="BN203" s="249"/>
      <c r="BO203" s="249"/>
      <c r="BP203" s="249"/>
      <c r="BQ203" s="249"/>
      <c r="BR203" s="249"/>
      <c r="BS203" s="249"/>
      <c r="BT203" s="249"/>
      <c r="BU203" s="249"/>
      <c r="BV203" s="249"/>
      <c r="BW203" s="249"/>
      <c r="BX203" s="249"/>
      <c r="BY203" s="249"/>
      <c r="BZ203" s="249"/>
      <c r="CA203" s="249"/>
      <c r="CB203" s="249"/>
      <c r="CC203" s="249"/>
      <c r="CD203" s="249"/>
      <c r="CE203" s="249"/>
      <c r="CF203" s="249"/>
      <c r="CG203" s="249"/>
      <c r="CH203" s="249"/>
      <c r="CI203" s="249"/>
      <c r="CJ203" s="249"/>
      <c r="CK203" s="249"/>
      <c r="CL203" s="249"/>
      <c r="CM203" s="249"/>
      <c r="CN203" s="249"/>
      <c r="CO203" s="249"/>
      <c r="CP203" s="249"/>
      <c r="CQ203" s="249"/>
      <c r="CR203" s="249"/>
      <c r="CS203" s="249"/>
      <c r="CT203" s="249"/>
      <c r="CU203" s="249"/>
      <c r="CV203" s="249"/>
      <c r="CW203" s="249"/>
      <c r="CX203" s="249"/>
      <c r="CY203" s="249"/>
      <c r="CZ203" s="249"/>
      <c r="DA203" s="249"/>
      <c r="DB203" s="249"/>
      <c r="DC203" s="249"/>
      <c r="DD203" s="249"/>
      <c r="DE203" s="249"/>
      <c r="DF203" s="249"/>
      <c r="DG203" s="249"/>
      <c r="DH203" s="249"/>
      <c r="DI203" s="249"/>
      <c r="DJ203" s="249"/>
      <c r="DK203" s="249"/>
      <c r="DL203" s="249"/>
      <c r="DM203" s="249"/>
      <c r="DN203" s="249"/>
      <c r="DO203" s="249"/>
      <c r="DP203" s="249"/>
      <c r="DQ203" s="249"/>
      <c r="DR203" s="249"/>
      <c r="DS203" s="249"/>
      <c r="DT203" s="249"/>
      <c r="DU203" s="249"/>
      <c r="DV203" s="249"/>
      <c r="DW203" s="249"/>
      <c r="DX203" s="249"/>
      <c r="DY203" s="249"/>
      <c r="DZ203" s="249"/>
      <c r="EA203" s="249"/>
      <c r="EB203" s="249"/>
      <c r="EC203" s="249"/>
      <c r="ED203" s="249"/>
      <c r="EE203" s="249"/>
      <c r="EF203" s="249"/>
      <c r="EG203" s="249"/>
      <c r="EH203" s="249"/>
      <c r="EI203" s="249"/>
      <c r="EJ203" s="249"/>
      <c r="EK203" s="249"/>
      <c r="EL203" s="249"/>
      <c r="EM203" s="249"/>
      <c r="EN203" s="249"/>
      <c r="EO203" s="249"/>
      <c r="EP203" s="249"/>
      <c r="EQ203" s="249"/>
      <c r="ER203" s="249"/>
      <c r="ES203" s="249"/>
      <c r="ET203" s="249"/>
      <c r="EU203" s="249"/>
      <c r="EV203" s="249"/>
      <c r="EW203" s="249"/>
      <c r="EX203" s="249"/>
      <c r="EY203" s="249"/>
      <c r="EZ203" s="249"/>
      <c r="FA203" s="249"/>
      <c r="FB203" s="249"/>
      <c r="FC203" s="249"/>
      <c r="FD203" s="249"/>
      <c r="FE203" s="249"/>
      <c r="FF203" s="249"/>
      <c r="FG203" s="249"/>
      <c r="FH203" s="249"/>
      <c r="FI203" s="249"/>
      <c r="FJ203" s="249"/>
      <c r="FK203" s="249"/>
      <c r="FL203" s="249"/>
      <c r="FM203" s="249"/>
      <c r="FN203" s="249"/>
      <c r="FO203" s="249"/>
      <c r="FP203" s="249"/>
      <c r="FQ203" s="249"/>
      <c r="FR203" s="249"/>
      <c r="FS203" s="249"/>
      <c r="FT203" s="249"/>
      <c r="FU203" s="249"/>
      <c r="FV203" s="249"/>
      <c r="FW203" s="249"/>
      <c r="FX203" s="249"/>
      <c r="FY203" s="249"/>
      <c r="FZ203" s="249"/>
      <c r="GA203" s="249"/>
      <c r="GB203" s="249"/>
      <c r="GC203" s="249"/>
      <c r="GD203" s="249"/>
      <c r="GE203" s="249"/>
      <c r="GF203" s="249"/>
      <c r="GG203" s="249"/>
      <c r="GH203" s="249"/>
      <c r="GI203" s="249"/>
      <c r="GJ203" s="249"/>
      <c r="GK203" s="249"/>
      <c r="GL203" s="249"/>
      <c r="GM203" s="249"/>
      <c r="GN203" s="249"/>
      <c r="GO203" s="249"/>
      <c r="GP203" s="249"/>
      <c r="GQ203" s="249"/>
      <c r="GR203" s="249"/>
    </row>
    <row r="204" spans="1:200" s="252" customFormat="1" ht="12.75" customHeight="1" x14ac:dyDescent="0.2">
      <c r="A204" s="709"/>
      <c r="B204" s="1110"/>
      <c r="C204" s="1110"/>
      <c r="D204" s="257"/>
      <c r="E204" s="596" t="s">
        <v>653</v>
      </c>
      <c r="H204" s="250"/>
      <c r="I204" s="250"/>
      <c r="J204" s="250"/>
      <c r="K204" s="250"/>
      <c r="L204" s="250"/>
      <c r="M204" s="250"/>
      <c r="N204" s="250"/>
      <c r="O204" s="250"/>
      <c r="P204" s="251"/>
      <c r="Q204" s="251"/>
      <c r="R204" s="251"/>
      <c r="S204" s="251"/>
      <c r="T204" s="251"/>
      <c r="U204" s="243"/>
      <c r="V204" s="1399" t="str">
        <f>CONCATENATE(INPUT!F39, " ",INPUT!G39)</f>
        <v>32"  TCI Cutters (3 pcs)</v>
      </c>
      <c r="W204" s="286">
        <f>Rockbits!G4</f>
        <v>1120775.2050000001</v>
      </c>
      <c r="X204" s="1447"/>
      <c r="Y204" s="2159">
        <f>IF(RH_BH="Regular Hole",0,INPUT!$H39)</f>
        <v>0</v>
      </c>
      <c r="Z204" s="348"/>
      <c r="AA204" s="246"/>
      <c r="AB204" s="246"/>
      <c r="AC204" s="246"/>
      <c r="AD204" s="246"/>
      <c r="AE204" s="246"/>
      <c r="AF204" s="246"/>
      <c r="AG204" s="246"/>
      <c r="AH204" s="246"/>
      <c r="AI204" s="246"/>
      <c r="AJ204" s="246"/>
      <c r="AK204" s="246"/>
      <c r="AL204" s="246"/>
      <c r="AM204" s="246">
        <f>(W204*Y204)</f>
        <v>0</v>
      </c>
      <c r="AN204" s="254"/>
      <c r="AO204" s="249"/>
      <c r="AP204" s="250"/>
      <c r="AQ204" s="250"/>
      <c r="AR204" s="250"/>
      <c r="AS204" s="250"/>
      <c r="AT204" s="250"/>
      <c r="AU204" s="250"/>
      <c r="AV204" s="249"/>
      <c r="AW204" s="249"/>
      <c r="AX204" s="249"/>
      <c r="AY204" s="249"/>
      <c r="AZ204" s="249"/>
      <c r="BA204" s="249"/>
      <c r="BB204" s="249"/>
      <c r="BC204" s="249"/>
      <c r="BD204" s="249"/>
      <c r="BE204" s="249"/>
      <c r="BF204" s="249"/>
      <c r="BG204" s="249"/>
      <c r="BH204" s="249"/>
      <c r="BI204" s="249"/>
      <c r="BJ204" s="249"/>
      <c r="BK204" s="249"/>
      <c r="BL204" s="249"/>
      <c r="BM204" s="249"/>
      <c r="BN204" s="249"/>
      <c r="BO204" s="249"/>
      <c r="BP204" s="249"/>
      <c r="BQ204" s="249"/>
      <c r="BR204" s="249"/>
      <c r="BS204" s="249"/>
      <c r="BT204" s="249"/>
      <c r="BU204" s="249"/>
      <c r="BV204" s="249"/>
      <c r="BW204" s="249"/>
      <c r="BX204" s="249"/>
      <c r="BY204" s="249"/>
      <c r="BZ204" s="249"/>
      <c r="CA204" s="249"/>
      <c r="CB204" s="249"/>
      <c r="CC204" s="249"/>
      <c r="CD204" s="249"/>
      <c r="CE204" s="249"/>
      <c r="CF204" s="249"/>
      <c r="CG204" s="249"/>
      <c r="CH204" s="249"/>
      <c r="CI204" s="249"/>
      <c r="CJ204" s="249"/>
      <c r="CK204" s="249"/>
      <c r="CL204" s="249"/>
      <c r="CM204" s="249"/>
      <c r="CN204" s="249"/>
      <c r="CO204" s="249"/>
      <c r="CP204" s="249"/>
      <c r="CQ204" s="249"/>
      <c r="CR204" s="249"/>
      <c r="CS204" s="249"/>
      <c r="CT204" s="249"/>
      <c r="CU204" s="249"/>
      <c r="CV204" s="249"/>
      <c r="CW204" s="249"/>
      <c r="CX204" s="249"/>
      <c r="CY204" s="249"/>
      <c r="CZ204" s="249"/>
      <c r="DA204" s="249"/>
      <c r="DB204" s="249"/>
      <c r="DC204" s="249"/>
      <c r="DD204" s="249"/>
      <c r="DE204" s="249"/>
      <c r="DF204" s="249"/>
      <c r="DG204" s="249"/>
      <c r="DH204" s="249"/>
      <c r="DI204" s="249"/>
      <c r="DJ204" s="249"/>
      <c r="DK204" s="249"/>
      <c r="DL204" s="249"/>
      <c r="DM204" s="249"/>
      <c r="DN204" s="249"/>
      <c r="DO204" s="249"/>
      <c r="DP204" s="249"/>
      <c r="DQ204" s="249"/>
      <c r="DR204" s="249"/>
      <c r="DS204" s="249"/>
      <c r="DT204" s="249"/>
      <c r="DU204" s="249"/>
      <c r="DV204" s="249"/>
      <c r="DW204" s="249"/>
      <c r="DX204" s="249"/>
      <c r="DY204" s="249"/>
      <c r="DZ204" s="249"/>
      <c r="EA204" s="249"/>
      <c r="EB204" s="249"/>
      <c r="EC204" s="249"/>
      <c r="ED204" s="249"/>
      <c r="EE204" s="249"/>
      <c r="EF204" s="249"/>
      <c r="EG204" s="249"/>
      <c r="EH204" s="249"/>
      <c r="EI204" s="249"/>
      <c r="EJ204" s="249"/>
      <c r="EK204" s="249"/>
      <c r="EL204" s="249"/>
      <c r="EM204" s="249"/>
      <c r="EN204" s="249"/>
      <c r="EO204" s="249"/>
      <c r="EP204" s="249"/>
      <c r="EQ204" s="249"/>
      <c r="ER204" s="249"/>
      <c r="ES204" s="249"/>
      <c r="ET204" s="249"/>
      <c r="EU204" s="249"/>
      <c r="EV204" s="249"/>
      <c r="EW204" s="249"/>
      <c r="EX204" s="249"/>
      <c r="EY204" s="249"/>
      <c r="EZ204" s="249"/>
      <c r="FA204" s="249"/>
      <c r="FB204" s="249"/>
      <c r="FC204" s="249"/>
      <c r="FD204" s="249"/>
      <c r="FE204" s="249"/>
      <c r="FF204" s="249"/>
      <c r="FG204" s="249"/>
      <c r="FH204" s="249"/>
      <c r="FI204" s="249"/>
      <c r="FJ204" s="249"/>
      <c r="FK204" s="249"/>
      <c r="FL204" s="249"/>
      <c r="FM204" s="249"/>
      <c r="FN204" s="249"/>
      <c r="FO204" s="249"/>
      <c r="FP204" s="249"/>
      <c r="FQ204" s="249"/>
      <c r="FR204" s="249"/>
      <c r="FS204" s="249"/>
      <c r="FT204" s="249"/>
      <c r="FU204" s="249"/>
      <c r="FV204" s="249"/>
      <c r="FW204" s="249"/>
      <c r="FX204" s="249"/>
      <c r="FY204" s="249"/>
      <c r="FZ204" s="249"/>
      <c r="GA204" s="249"/>
      <c r="GB204" s="249"/>
      <c r="GC204" s="249"/>
      <c r="GD204" s="249"/>
      <c r="GE204" s="249"/>
      <c r="GF204" s="249"/>
      <c r="GG204" s="249"/>
      <c r="GH204" s="249"/>
      <c r="GI204" s="249"/>
      <c r="GJ204" s="249"/>
      <c r="GK204" s="249"/>
      <c r="GL204" s="249"/>
      <c r="GM204" s="249"/>
      <c r="GN204" s="249"/>
      <c r="GO204" s="249"/>
      <c r="GP204" s="249"/>
      <c r="GQ204" s="249"/>
      <c r="GR204" s="249"/>
    </row>
    <row r="205" spans="1:200" s="252" customFormat="1" ht="12.75" customHeight="1" x14ac:dyDescent="0.2">
      <c r="A205" s="709"/>
      <c r="B205" s="1110"/>
      <c r="C205" s="1110"/>
      <c r="D205" s="257"/>
      <c r="E205" s="596"/>
      <c r="H205" s="250"/>
      <c r="I205" s="250"/>
      <c r="J205" s="250"/>
      <c r="K205" s="250"/>
      <c r="L205" s="250"/>
      <c r="M205" s="250"/>
      <c r="N205" s="250"/>
      <c r="O205" s="250"/>
      <c r="P205" s="251"/>
      <c r="Q205" s="251"/>
      <c r="R205" s="251"/>
      <c r="S205" s="251"/>
      <c r="T205" s="251"/>
      <c r="U205" s="243"/>
      <c r="V205" s="2101" t="str">
        <f>CONCATENATE(INPUT!F40, " ",INPUT!G40)</f>
        <v>26" x Tricone IADC Code 515</v>
      </c>
      <c r="W205" s="286">
        <f>Rockbits!G5</f>
        <v>1906077.68</v>
      </c>
      <c r="X205" s="1447"/>
      <c r="Y205" s="2159">
        <f>INPUT!$H40</f>
        <v>0</v>
      </c>
      <c r="Z205" s="348"/>
      <c r="AA205" s="246"/>
      <c r="AB205" s="246"/>
      <c r="AC205" s="246"/>
      <c r="AD205" s="246"/>
      <c r="AE205" s="246"/>
      <c r="AF205" s="246"/>
      <c r="AG205" s="246"/>
      <c r="AH205" s="246"/>
      <c r="AI205" s="246"/>
      <c r="AJ205" s="246"/>
      <c r="AK205" s="246"/>
      <c r="AL205" s="246"/>
      <c r="AM205" s="246">
        <f>(W205*Y205)</f>
        <v>0</v>
      </c>
      <c r="AN205" s="254"/>
      <c r="AO205" s="249"/>
      <c r="AP205" s="250"/>
      <c r="AQ205" s="250"/>
      <c r="AR205" s="250"/>
      <c r="AS205" s="250"/>
      <c r="AT205" s="250"/>
      <c r="AU205" s="250"/>
      <c r="AV205" s="249"/>
      <c r="AW205" s="249"/>
      <c r="AX205" s="249"/>
      <c r="AY205" s="249"/>
      <c r="AZ205" s="249"/>
      <c r="BA205" s="249"/>
      <c r="BB205" s="249"/>
      <c r="BC205" s="249"/>
      <c r="BD205" s="249"/>
      <c r="BE205" s="249"/>
      <c r="BF205" s="249"/>
      <c r="BG205" s="249"/>
      <c r="BH205" s="249"/>
      <c r="BI205" s="249"/>
      <c r="BJ205" s="249"/>
      <c r="BK205" s="249"/>
      <c r="BL205" s="249"/>
      <c r="BM205" s="249"/>
      <c r="BN205" s="249"/>
      <c r="BO205" s="249"/>
      <c r="BP205" s="249"/>
      <c r="BQ205" s="249"/>
      <c r="BR205" s="249"/>
      <c r="BS205" s="249"/>
      <c r="BT205" s="249"/>
      <c r="BU205" s="249"/>
      <c r="BV205" s="249"/>
      <c r="BW205" s="249"/>
      <c r="BX205" s="249"/>
      <c r="BY205" s="249"/>
      <c r="BZ205" s="249"/>
      <c r="CA205" s="249"/>
      <c r="CB205" s="249"/>
      <c r="CC205" s="249"/>
      <c r="CD205" s="249"/>
      <c r="CE205" s="249"/>
      <c r="CF205" s="249"/>
      <c r="CG205" s="249"/>
      <c r="CH205" s="249"/>
      <c r="CI205" s="249"/>
      <c r="CJ205" s="249"/>
      <c r="CK205" s="249"/>
      <c r="CL205" s="249"/>
      <c r="CM205" s="249"/>
      <c r="CN205" s="249"/>
      <c r="CO205" s="249"/>
      <c r="CP205" s="249"/>
      <c r="CQ205" s="249"/>
      <c r="CR205" s="249"/>
      <c r="CS205" s="249"/>
      <c r="CT205" s="249"/>
      <c r="CU205" s="249"/>
      <c r="CV205" s="249"/>
      <c r="CW205" s="249"/>
      <c r="CX205" s="249"/>
      <c r="CY205" s="249"/>
      <c r="CZ205" s="249"/>
      <c r="DA205" s="249"/>
      <c r="DB205" s="249"/>
      <c r="DC205" s="249"/>
      <c r="DD205" s="249"/>
      <c r="DE205" s="249"/>
      <c r="DF205" s="249"/>
      <c r="DG205" s="249"/>
      <c r="DH205" s="249"/>
      <c r="DI205" s="249"/>
      <c r="DJ205" s="249"/>
      <c r="DK205" s="249"/>
      <c r="DL205" s="249"/>
      <c r="DM205" s="249"/>
      <c r="DN205" s="249"/>
      <c r="DO205" s="249"/>
      <c r="DP205" s="249"/>
      <c r="DQ205" s="249"/>
      <c r="DR205" s="249"/>
      <c r="DS205" s="249"/>
      <c r="DT205" s="249"/>
      <c r="DU205" s="249"/>
      <c r="DV205" s="249"/>
      <c r="DW205" s="249"/>
      <c r="DX205" s="249"/>
      <c r="DY205" s="249"/>
      <c r="DZ205" s="249"/>
      <c r="EA205" s="249"/>
      <c r="EB205" s="249"/>
      <c r="EC205" s="249"/>
      <c r="ED205" s="249"/>
      <c r="EE205" s="249"/>
      <c r="EF205" s="249"/>
      <c r="EG205" s="249"/>
      <c r="EH205" s="249"/>
      <c r="EI205" s="249"/>
      <c r="EJ205" s="249"/>
      <c r="EK205" s="249"/>
      <c r="EL205" s="249"/>
      <c r="EM205" s="249"/>
      <c r="EN205" s="249"/>
      <c r="EO205" s="249"/>
      <c r="EP205" s="249"/>
      <c r="EQ205" s="249"/>
      <c r="ER205" s="249"/>
      <c r="ES205" s="249"/>
      <c r="ET205" s="249"/>
      <c r="EU205" s="249"/>
      <c r="EV205" s="249"/>
      <c r="EW205" s="249"/>
      <c r="EX205" s="249"/>
      <c r="EY205" s="249"/>
      <c r="EZ205" s="249"/>
      <c r="FA205" s="249"/>
      <c r="FB205" s="249"/>
      <c r="FC205" s="249"/>
      <c r="FD205" s="249"/>
      <c r="FE205" s="249"/>
      <c r="FF205" s="249"/>
      <c r="FG205" s="249"/>
      <c r="FH205" s="249"/>
      <c r="FI205" s="249"/>
      <c r="FJ205" s="249"/>
      <c r="FK205" s="249"/>
      <c r="FL205" s="249"/>
      <c r="FM205" s="249"/>
      <c r="FN205" s="249"/>
      <c r="FO205" s="249"/>
      <c r="FP205" s="249"/>
      <c r="FQ205" s="249"/>
      <c r="FR205" s="249"/>
      <c r="FS205" s="249"/>
      <c r="FT205" s="249"/>
      <c r="FU205" s="249"/>
      <c r="FV205" s="249"/>
      <c r="FW205" s="249"/>
      <c r="FX205" s="249"/>
      <c r="FY205" s="249"/>
      <c r="FZ205" s="249"/>
      <c r="GA205" s="249"/>
      <c r="GB205" s="249"/>
      <c r="GC205" s="249"/>
      <c r="GD205" s="249"/>
      <c r="GE205" s="249"/>
      <c r="GF205" s="249"/>
      <c r="GG205" s="249"/>
      <c r="GH205" s="249"/>
      <c r="GI205" s="249"/>
      <c r="GJ205" s="249"/>
      <c r="GK205" s="249"/>
      <c r="GL205" s="249"/>
      <c r="GM205" s="249"/>
      <c r="GN205" s="249"/>
      <c r="GO205" s="249"/>
      <c r="GP205" s="249"/>
      <c r="GQ205" s="249"/>
      <c r="GR205" s="249"/>
    </row>
    <row r="206" spans="1:200" s="252" customFormat="1" ht="12.75" customHeight="1" x14ac:dyDescent="0.2">
      <c r="A206" s="709"/>
      <c r="B206" s="1110"/>
      <c r="C206" s="1110"/>
      <c r="D206" s="257"/>
      <c r="E206" s="596"/>
      <c r="H206" s="250"/>
      <c r="I206" s="250"/>
      <c r="J206" s="250"/>
      <c r="K206" s="250"/>
      <c r="L206" s="250"/>
      <c r="M206" s="250"/>
      <c r="N206" s="250"/>
      <c r="O206" s="250"/>
      <c r="P206" s="251"/>
      <c r="Q206" s="251"/>
      <c r="R206" s="251"/>
      <c r="S206" s="251"/>
      <c r="T206" s="251"/>
      <c r="U206" s="243"/>
      <c r="V206" s="2101" t="str">
        <f>CONCATENATE(INPUT!F41, " ",INPUT!G41)</f>
        <v>23" x Tricone IADC Code 515</v>
      </c>
      <c r="W206" s="286">
        <f>Rockbits!G6</f>
        <v>1038148.07</v>
      </c>
      <c r="X206" s="1447"/>
      <c r="Y206" s="348"/>
      <c r="Z206" s="348"/>
      <c r="AA206" s="2159">
        <f>IF(RH_BH="Regular Hole",0,INPUT!$H41)</f>
        <v>0</v>
      </c>
      <c r="AB206" s="246"/>
      <c r="AC206" s="246"/>
      <c r="AD206" s="246"/>
      <c r="AE206" s="246"/>
      <c r="AF206" s="246"/>
      <c r="AG206" s="246"/>
      <c r="AH206" s="246"/>
      <c r="AI206" s="246"/>
      <c r="AJ206" s="246"/>
      <c r="AK206" s="246"/>
      <c r="AL206" s="246"/>
      <c r="AM206" s="246">
        <f>(W206*AA206)</f>
        <v>0</v>
      </c>
      <c r="AN206" s="254"/>
      <c r="AO206" s="249"/>
      <c r="AP206" s="250"/>
      <c r="AQ206" s="250"/>
      <c r="AR206" s="250"/>
      <c r="AS206" s="250"/>
      <c r="AT206" s="250"/>
      <c r="AU206" s="250"/>
      <c r="AV206" s="249"/>
      <c r="AW206" s="249"/>
      <c r="AX206" s="249"/>
      <c r="AY206" s="249"/>
      <c r="AZ206" s="249"/>
      <c r="BA206" s="249"/>
      <c r="BB206" s="249"/>
      <c r="BC206" s="249"/>
      <c r="BD206" s="249"/>
      <c r="BE206" s="249"/>
      <c r="BF206" s="249"/>
      <c r="BG206" s="249"/>
      <c r="BH206" s="249"/>
      <c r="BI206" s="249"/>
      <c r="BJ206" s="249"/>
      <c r="BK206" s="249"/>
      <c r="BL206" s="249"/>
      <c r="BM206" s="249"/>
      <c r="BN206" s="249"/>
      <c r="BO206" s="249"/>
      <c r="BP206" s="249"/>
      <c r="BQ206" s="249"/>
      <c r="BR206" s="249"/>
      <c r="BS206" s="249"/>
      <c r="BT206" s="249"/>
      <c r="BU206" s="249"/>
      <c r="BV206" s="249"/>
      <c r="BW206" s="249"/>
      <c r="BX206" s="249"/>
      <c r="BY206" s="249"/>
      <c r="BZ206" s="249"/>
      <c r="CA206" s="249"/>
      <c r="CB206" s="249"/>
      <c r="CC206" s="249"/>
      <c r="CD206" s="249"/>
      <c r="CE206" s="249"/>
      <c r="CF206" s="249"/>
      <c r="CG206" s="249"/>
      <c r="CH206" s="249"/>
      <c r="CI206" s="249"/>
      <c r="CJ206" s="249"/>
      <c r="CK206" s="249"/>
      <c r="CL206" s="249"/>
      <c r="CM206" s="249"/>
      <c r="CN206" s="249"/>
      <c r="CO206" s="249"/>
      <c r="CP206" s="249"/>
      <c r="CQ206" s="249"/>
      <c r="CR206" s="249"/>
      <c r="CS206" s="249"/>
      <c r="CT206" s="249"/>
      <c r="CU206" s="249"/>
      <c r="CV206" s="249"/>
      <c r="CW206" s="249"/>
      <c r="CX206" s="249"/>
      <c r="CY206" s="249"/>
      <c r="CZ206" s="249"/>
      <c r="DA206" s="249"/>
      <c r="DB206" s="249"/>
      <c r="DC206" s="249"/>
      <c r="DD206" s="249"/>
      <c r="DE206" s="249"/>
      <c r="DF206" s="249"/>
      <c r="DG206" s="249"/>
      <c r="DH206" s="249"/>
      <c r="DI206" s="249"/>
      <c r="DJ206" s="249"/>
      <c r="DK206" s="249"/>
      <c r="DL206" s="249"/>
      <c r="DM206" s="249"/>
      <c r="DN206" s="249"/>
      <c r="DO206" s="249"/>
      <c r="DP206" s="249"/>
      <c r="DQ206" s="249"/>
      <c r="DR206" s="249"/>
      <c r="DS206" s="249"/>
      <c r="DT206" s="249"/>
      <c r="DU206" s="249"/>
      <c r="DV206" s="249"/>
      <c r="DW206" s="249"/>
      <c r="DX206" s="249"/>
      <c r="DY206" s="249"/>
      <c r="DZ206" s="249"/>
      <c r="EA206" s="249"/>
      <c r="EB206" s="249"/>
      <c r="EC206" s="249"/>
      <c r="ED206" s="249"/>
      <c r="EE206" s="249"/>
      <c r="EF206" s="249"/>
      <c r="EG206" s="249"/>
      <c r="EH206" s="249"/>
      <c r="EI206" s="249"/>
      <c r="EJ206" s="249"/>
      <c r="EK206" s="249"/>
      <c r="EL206" s="249"/>
      <c r="EM206" s="249"/>
      <c r="EN206" s="249"/>
      <c r="EO206" s="249"/>
      <c r="EP206" s="249"/>
      <c r="EQ206" s="249"/>
      <c r="ER206" s="249"/>
      <c r="ES206" s="249"/>
      <c r="ET206" s="249"/>
      <c r="EU206" s="249"/>
      <c r="EV206" s="249"/>
      <c r="EW206" s="249"/>
      <c r="EX206" s="249"/>
      <c r="EY206" s="249"/>
      <c r="EZ206" s="249"/>
      <c r="FA206" s="249"/>
      <c r="FB206" s="249"/>
      <c r="FC206" s="249"/>
      <c r="FD206" s="249"/>
      <c r="FE206" s="249"/>
      <c r="FF206" s="249"/>
      <c r="FG206" s="249"/>
      <c r="FH206" s="249"/>
      <c r="FI206" s="249"/>
      <c r="FJ206" s="249"/>
      <c r="FK206" s="249"/>
      <c r="FL206" s="249"/>
      <c r="FM206" s="249"/>
      <c r="FN206" s="249"/>
      <c r="FO206" s="249"/>
      <c r="FP206" s="249"/>
      <c r="FQ206" s="249"/>
      <c r="FR206" s="249"/>
      <c r="FS206" s="249"/>
      <c r="FT206" s="249"/>
      <c r="FU206" s="249"/>
      <c r="FV206" s="249"/>
      <c r="FW206" s="249"/>
      <c r="FX206" s="249"/>
      <c r="FY206" s="249"/>
      <c r="FZ206" s="249"/>
      <c r="GA206" s="249"/>
      <c r="GB206" s="249"/>
      <c r="GC206" s="249"/>
      <c r="GD206" s="249"/>
      <c r="GE206" s="249"/>
      <c r="GF206" s="249"/>
      <c r="GG206" s="249"/>
      <c r="GH206" s="249"/>
      <c r="GI206" s="249"/>
      <c r="GJ206" s="249"/>
      <c r="GK206" s="249"/>
      <c r="GL206" s="249"/>
      <c r="GM206" s="249"/>
      <c r="GN206" s="249"/>
      <c r="GO206" s="249"/>
      <c r="GP206" s="249"/>
      <c r="GQ206" s="249"/>
      <c r="GR206" s="249"/>
    </row>
    <row r="207" spans="1:200" s="252" customFormat="1" ht="12.75" customHeight="1" x14ac:dyDescent="0.2">
      <c r="A207" s="709"/>
      <c r="B207" s="1110"/>
      <c r="C207" s="1110"/>
      <c r="D207" s="257"/>
      <c r="E207" s="596"/>
      <c r="H207" s="250"/>
      <c r="I207" s="250"/>
      <c r="J207" s="250"/>
      <c r="K207" s="250"/>
      <c r="L207" s="250"/>
      <c r="M207" s="250"/>
      <c r="N207" s="250"/>
      <c r="O207" s="250"/>
      <c r="P207" s="251"/>
      <c r="Q207" s="251"/>
      <c r="R207" s="251"/>
      <c r="S207" s="251"/>
      <c r="T207" s="251"/>
      <c r="U207" s="243"/>
      <c r="V207" s="2101" t="str">
        <f>CONCATENATE(INPUT!F42, " ",INPUT!G42)</f>
        <v>17 " x Tricone IADC Code 525</v>
      </c>
      <c r="W207" s="286">
        <f>Rockbits!G7</f>
        <v>1038148.07</v>
      </c>
      <c r="X207" s="1447"/>
      <c r="Y207" s="348"/>
      <c r="Z207" s="348"/>
      <c r="AA207" s="2160">
        <f>IF(RH_BH="Big Hole",0,INPUT!$H42)</f>
        <v>0</v>
      </c>
      <c r="AB207" s="246"/>
      <c r="AC207" s="2159">
        <f>IF(RH_BH="Regular Hole",0,INPUT!$H42)</f>
        <v>1</v>
      </c>
      <c r="AD207" s="246"/>
      <c r="AE207" s="246"/>
      <c r="AF207" s="246"/>
      <c r="AG207" s="246"/>
      <c r="AH207" s="246"/>
      <c r="AI207" s="246"/>
      <c r="AJ207" s="246"/>
      <c r="AK207" s="246"/>
      <c r="AL207" s="246"/>
      <c r="AM207" s="246">
        <f>(W207*AA207)+(AC207*W207)</f>
        <v>1038148.07</v>
      </c>
      <c r="AN207" s="254"/>
      <c r="AO207" s="249"/>
      <c r="AP207" s="250"/>
      <c r="AQ207" s="250"/>
      <c r="AR207" s="250"/>
      <c r="AS207" s="250"/>
      <c r="AT207" s="250"/>
      <c r="AU207" s="250"/>
      <c r="AV207" s="249"/>
      <c r="AW207" s="249"/>
      <c r="AX207" s="249"/>
      <c r="AY207" s="249"/>
      <c r="AZ207" s="249"/>
      <c r="BA207" s="249"/>
      <c r="BB207" s="249"/>
      <c r="BC207" s="249"/>
      <c r="BD207" s="249"/>
      <c r="BE207" s="249"/>
      <c r="BF207" s="249"/>
      <c r="BG207" s="249"/>
      <c r="BH207" s="249"/>
      <c r="BI207" s="249"/>
      <c r="BJ207" s="249"/>
      <c r="BK207" s="249"/>
      <c r="BL207" s="249"/>
      <c r="BM207" s="249"/>
      <c r="BN207" s="249"/>
      <c r="BO207" s="249"/>
      <c r="BP207" s="249"/>
      <c r="BQ207" s="249"/>
      <c r="BR207" s="249"/>
      <c r="BS207" s="249"/>
      <c r="BT207" s="249"/>
      <c r="BU207" s="249"/>
      <c r="BV207" s="249"/>
      <c r="BW207" s="249"/>
      <c r="BX207" s="249"/>
      <c r="BY207" s="249"/>
      <c r="BZ207" s="249"/>
      <c r="CA207" s="249"/>
      <c r="CB207" s="249"/>
      <c r="CC207" s="249"/>
      <c r="CD207" s="249"/>
      <c r="CE207" s="249"/>
      <c r="CF207" s="249"/>
      <c r="CG207" s="249"/>
      <c r="CH207" s="249"/>
      <c r="CI207" s="249"/>
      <c r="CJ207" s="249"/>
      <c r="CK207" s="249"/>
      <c r="CL207" s="249"/>
      <c r="CM207" s="249"/>
      <c r="CN207" s="249"/>
      <c r="CO207" s="249"/>
      <c r="CP207" s="249"/>
      <c r="CQ207" s="249"/>
      <c r="CR207" s="249"/>
      <c r="CS207" s="249"/>
      <c r="CT207" s="249"/>
      <c r="CU207" s="249"/>
      <c r="CV207" s="249"/>
      <c r="CW207" s="249"/>
      <c r="CX207" s="249"/>
      <c r="CY207" s="249"/>
      <c r="CZ207" s="249"/>
      <c r="DA207" s="249"/>
      <c r="DB207" s="249"/>
      <c r="DC207" s="249"/>
      <c r="DD207" s="249"/>
      <c r="DE207" s="249"/>
      <c r="DF207" s="249"/>
      <c r="DG207" s="249"/>
      <c r="DH207" s="249"/>
      <c r="DI207" s="249"/>
      <c r="DJ207" s="249"/>
      <c r="DK207" s="249"/>
      <c r="DL207" s="249"/>
      <c r="DM207" s="249"/>
      <c r="DN207" s="249"/>
      <c r="DO207" s="249"/>
      <c r="DP207" s="249"/>
      <c r="DQ207" s="249"/>
      <c r="DR207" s="249"/>
      <c r="DS207" s="249"/>
      <c r="DT207" s="249"/>
      <c r="DU207" s="249"/>
      <c r="DV207" s="249"/>
      <c r="DW207" s="249"/>
      <c r="DX207" s="249"/>
      <c r="DY207" s="249"/>
      <c r="DZ207" s="249"/>
      <c r="EA207" s="249"/>
      <c r="EB207" s="249"/>
      <c r="EC207" s="249"/>
      <c r="ED207" s="249"/>
      <c r="EE207" s="249"/>
      <c r="EF207" s="249"/>
      <c r="EG207" s="249"/>
      <c r="EH207" s="249"/>
      <c r="EI207" s="249"/>
      <c r="EJ207" s="249"/>
      <c r="EK207" s="249"/>
      <c r="EL207" s="249"/>
      <c r="EM207" s="249"/>
      <c r="EN207" s="249"/>
      <c r="EO207" s="249"/>
      <c r="EP207" s="249"/>
      <c r="EQ207" s="249"/>
      <c r="ER207" s="249"/>
      <c r="ES207" s="249"/>
      <c r="ET207" s="249"/>
      <c r="EU207" s="249"/>
      <c r="EV207" s="249"/>
      <c r="EW207" s="249"/>
      <c r="EX207" s="249"/>
      <c r="EY207" s="249"/>
      <c r="EZ207" s="249"/>
      <c r="FA207" s="249"/>
      <c r="FB207" s="249"/>
      <c r="FC207" s="249"/>
      <c r="FD207" s="249"/>
      <c r="FE207" s="249"/>
      <c r="FF207" s="249"/>
      <c r="FG207" s="249"/>
      <c r="FH207" s="249"/>
      <c r="FI207" s="249"/>
      <c r="FJ207" s="249"/>
      <c r="FK207" s="249"/>
      <c r="FL207" s="249"/>
      <c r="FM207" s="249"/>
      <c r="FN207" s="249"/>
      <c r="FO207" s="249"/>
      <c r="FP207" s="249"/>
      <c r="FQ207" s="249"/>
      <c r="FR207" s="249"/>
      <c r="FS207" s="249"/>
      <c r="FT207" s="249"/>
      <c r="FU207" s="249"/>
      <c r="FV207" s="249"/>
      <c r="FW207" s="249"/>
      <c r="FX207" s="249"/>
      <c r="FY207" s="249"/>
      <c r="FZ207" s="249"/>
      <c r="GA207" s="249"/>
      <c r="GB207" s="249"/>
      <c r="GC207" s="249"/>
      <c r="GD207" s="249"/>
      <c r="GE207" s="249"/>
      <c r="GF207" s="249"/>
      <c r="GG207" s="249"/>
      <c r="GH207" s="249"/>
      <c r="GI207" s="249"/>
      <c r="GJ207" s="249"/>
      <c r="GK207" s="249"/>
      <c r="GL207" s="249"/>
      <c r="GM207" s="249"/>
      <c r="GN207" s="249"/>
      <c r="GO207" s="249"/>
      <c r="GP207" s="249"/>
      <c r="GQ207" s="249"/>
      <c r="GR207" s="249"/>
    </row>
    <row r="208" spans="1:200" s="252" customFormat="1" ht="12.75" customHeight="1" x14ac:dyDescent="0.2">
      <c r="A208" s="709"/>
      <c r="B208" s="1110"/>
      <c r="C208" s="1110"/>
      <c r="D208" s="257"/>
      <c r="E208" s="596"/>
      <c r="H208" s="250"/>
      <c r="I208" s="250"/>
      <c r="J208" s="250"/>
      <c r="K208" s="250"/>
      <c r="L208" s="250"/>
      <c r="M208" s="250"/>
      <c r="N208" s="250"/>
      <c r="O208" s="250"/>
      <c r="P208" s="251"/>
      <c r="Q208" s="251"/>
      <c r="R208" s="251"/>
      <c r="S208" s="251"/>
      <c r="T208" s="251"/>
      <c r="U208" s="243"/>
      <c r="V208" s="2101" t="str">
        <f>CONCATENATE(INPUT!F43, " ",INPUT!G43)</f>
        <v>17 " x Tricone IADC Code 615</v>
      </c>
      <c r="W208" s="286">
        <f>Rockbits!G8</f>
        <v>0</v>
      </c>
      <c r="X208" s="1447"/>
      <c r="Y208" s="348"/>
      <c r="Z208" s="348"/>
      <c r="AA208" s="2160">
        <f>IF(RH_BH="Big Hole",0,INPUT!$H43)</f>
        <v>0</v>
      </c>
      <c r="AB208" s="246"/>
      <c r="AC208" s="2159">
        <f>IF(RH_BH="Regular Hole",0,INPUT!$H43)</f>
        <v>0</v>
      </c>
      <c r="AD208" s="246"/>
      <c r="AE208" s="246"/>
      <c r="AF208" s="246"/>
      <c r="AG208" s="246"/>
      <c r="AH208" s="246"/>
      <c r="AI208" s="246"/>
      <c r="AJ208" s="246"/>
      <c r="AK208" s="246"/>
      <c r="AL208" s="246"/>
      <c r="AM208" s="246">
        <f>(W208*AA208)+(AC208*W208)</f>
        <v>0</v>
      </c>
      <c r="AN208" s="254"/>
      <c r="AO208" s="249"/>
      <c r="AP208" s="250"/>
      <c r="AQ208" s="250"/>
      <c r="AR208" s="250"/>
      <c r="AS208" s="250"/>
      <c r="AT208" s="250"/>
      <c r="AU208" s="250"/>
      <c r="AV208" s="249"/>
      <c r="AW208" s="249"/>
      <c r="AX208" s="249"/>
      <c r="AY208" s="249"/>
      <c r="AZ208" s="249"/>
      <c r="BA208" s="249"/>
      <c r="BB208" s="249"/>
      <c r="BC208" s="249"/>
      <c r="BD208" s="249"/>
      <c r="BE208" s="249"/>
      <c r="BF208" s="249"/>
      <c r="BG208" s="249"/>
      <c r="BH208" s="249"/>
      <c r="BI208" s="249"/>
      <c r="BJ208" s="249"/>
      <c r="BK208" s="249"/>
      <c r="BL208" s="249"/>
      <c r="BM208" s="249"/>
      <c r="BN208" s="249"/>
      <c r="BO208" s="249"/>
      <c r="BP208" s="249"/>
      <c r="BQ208" s="249"/>
      <c r="BR208" s="249"/>
      <c r="BS208" s="249"/>
      <c r="BT208" s="249"/>
      <c r="BU208" s="249"/>
      <c r="BV208" s="249"/>
      <c r="BW208" s="249"/>
      <c r="BX208" s="249"/>
      <c r="BY208" s="249"/>
      <c r="BZ208" s="249"/>
      <c r="CA208" s="249"/>
      <c r="CB208" s="249"/>
      <c r="CC208" s="249"/>
      <c r="CD208" s="249"/>
      <c r="CE208" s="249"/>
      <c r="CF208" s="249"/>
      <c r="CG208" s="249"/>
      <c r="CH208" s="249"/>
      <c r="CI208" s="249"/>
      <c r="CJ208" s="249"/>
      <c r="CK208" s="249"/>
      <c r="CL208" s="249"/>
      <c r="CM208" s="249"/>
      <c r="CN208" s="249"/>
      <c r="CO208" s="249"/>
      <c r="CP208" s="249"/>
      <c r="CQ208" s="249"/>
      <c r="CR208" s="249"/>
      <c r="CS208" s="249"/>
      <c r="CT208" s="249"/>
      <c r="CU208" s="249"/>
      <c r="CV208" s="249"/>
      <c r="CW208" s="249"/>
      <c r="CX208" s="249"/>
      <c r="CY208" s="249"/>
      <c r="CZ208" s="249"/>
      <c r="DA208" s="249"/>
      <c r="DB208" s="249"/>
      <c r="DC208" s="249"/>
      <c r="DD208" s="249"/>
      <c r="DE208" s="249"/>
      <c r="DF208" s="249"/>
      <c r="DG208" s="249"/>
      <c r="DH208" s="249"/>
      <c r="DI208" s="249"/>
      <c r="DJ208" s="249"/>
      <c r="DK208" s="249"/>
      <c r="DL208" s="249"/>
      <c r="DM208" s="249"/>
      <c r="DN208" s="249"/>
      <c r="DO208" s="249"/>
      <c r="DP208" s="249"/>
      <c r="DQ208" s="249"/>
      <c r="DR208" s="249"/>
      <c r="DS208" s="249"/>
      <c r="DT208" s="249"/>
      <c r="DU208" s="249"/>
      <c r="DV208" s="249"/>
      <c r="DW208" s="249"/>
      <c r="DX208" s="249"/>
      <c r="DY208" s="249"/>
      <c r="DZ208" s="249"/>
      <c r="EA208" s="249"/>
      <c r="EB208" s="249"/>
      <c r="EC208" s="249"/>
      <c r="ED208" s="249"/>
      <c r="EE208" s="249"/>
      <c r="EF208" s="249"/>
      <c r="EG208" s="249"/>
      <c r="EH208" s="249"/>
      <c r="EI208" s="249"/>
      <c r="EJ208" s="249"/>
      <c r="EK208" s="249"/>
      <c r="EL208" s="249"/>
      <c r="EM208" s="249"/>
      <c r="EN208" s="249"/>
      <c r="EO208" s="249"/>
      <c r="EP208" s="249"/>
      <c r="EQ208" s="249"/>
      <c r="ER208" s="249"/>
      <c r="ES208" s="249"/>
      <c r="ET208" s="249"/>
      <c r="EU208" s="249"/>
      <c r="EV208" s="249"/>
      <c r="EW208" s="249"/>
      <c r="EX208" s="249"/>
      <c r="EY208" s="249"/>
      <c r="EZ208" s="249"/>
      <c r="FA208" s="249"/>
      <c r="FB208" s="249"/>
      <c r="FC208" s="249"/>
      <c r="FD208" s="249"/>
      <c r="FE208" s="249"/>
      <c r="FF208" s="249"/>
      <c r="FG208" s="249"/>
      <c r="FH208" s="249"/>
      <c r="FI208" s="249"/>
      <c r="FJ208" s="249"/>
      <c r="FK208" s="249"/>
      <c r="FL208" s="249"/>
      <c r="FM208" s="249"/>
      <c r="FN208" s="249"/>
      <c r="FO208" s="249"/>
      <c r="FP208" s="249"/>
      <c r="FQ208" s="249"/>
      <c r="FR208" s="249"/>
      <c r="FS208" s="249"/>
      <c r="FT208" s="249"/>
      <c r="FU208" s="249"/>
      <c r="FV208" s="249"/>
      <c r="FW208" s="249"/>
      <c r="FX208" s="249"/>
      <c r="FY208" s="249"/>
      <c r="FZ208" s="249"/>
      <c r="GA208" s="249"/>
      <c r="GB208" s="249"/>
      <c r="GC208" s="249"/>
      <c r="GD208" s="249"/>
      <c r="GE208" s="249"/>
      <c r="GF208" s="249"/>
      <c r="GG208" s="249"/>
      <c r="GH208" s="249"/>
      <c r="GI208" s="249"/>
      <c r="GJ208" s="249"/>
      <c r="GK208" s="249"/>
      <c r="GL208" s="249"/>
      <c r="GM208" s="249"/>
      <c r="GN208" s="249"/>
      <c r="GO208" s="249"/>
      <c r="GP208" s="249"/>
      <c r="GQ208" s="249"/>
      <c r="GR208" s="249"/>
    </row>
    <row r="209" spans="1:200" s="252" customFormat="1" ht="12.75" customHeight="1" x14ac:dyDescent="0.2">
      <c r="A209" s="709"/>
      <c r="B209" s="1110"/>
      <c r="C209" s="1110"/>
      <c r="D209" s="257"/>
      <c r="E209" s="596"/>
      <c r="H209" s="250"/>
      <c r="I209" s="250"/>
      <c r="J209" s="250"/>
      <c r="K209" s="250"/>
      <c r="L209" s="250"/>
      <c r="M209" s="250"/>
      <c r="N209" s="250"/>
      <c r="O209" s="250"/>
      <c r="P209" s="251"/>
      <c r="Q209" s="251"/>
      <c r="R209" s="251"/>
      <c r="S209" s="251"/>
      <c r="T209" s="251"/>
      <c r="U209" s="243"/>
      <c r="V209" s="2101" t="str">
        <f>CONCATENATE(INPUT!F44, " ",INPUT!G44)</f>
        <v>12.25 " x PDC PDC BIT</v>
      </c>
      <c r="W209" s="286">
        <f>Rockbits!G9</f>
        <v>2160056.4499999997</v>
      </c>
      <c r="X209" s="1447"/>
      <c r="Y209" s="348"/>
      <c r="Z209" s="348"/>
      <c r="AA209" s="246"/>
      <c r="AB209" s="246"/>
      <c r="AC209" s="2160">
        <f>IF(RH_BH="Big Hole",0,INPUT!$H44)</f>
        <v>0</v>
      </c>
      <c r="AD209" s="246"/>
      <c r="AE209" s="2159">
        <f>IF(RH_BH="Regular Hole",0,INPUT!$H44)</f>
        <v>1</v>
      </c>
      <c r="AF209" s="246"/>
      <c r="AG209" s="246"/>
      <c r="AH209" s="246"/>
      <c r="AI209" s="246"/>
      <c r="AJ209" s="246"/>
      <c r="AK209" s="246"/>
      <c r="AL209" s="246"/>
      <c r="AM209" s="246">
        <f t="shared" ref="AM209:AM214" si="67">(W209*AE209)+(AC209*W209)</f>
        <v>2160056.4499999997</v>
      </c>
      <c r="AN209" s="254"/>
      <c r="AO209" s="249"/>
      <c r="AP209" s="250"/>
      <c r="AQ209" s="250"/>
      <c r="AR209" s="250"/>
      <c r="AS209" s="250"/>
      <c r="AT209" s="250"/>
      <c r="AU209" s="250"/>
      <c r="AV209" s="249"/>
      <c r="AW209" s="249"/>
      <c r="AX209" s="249"/>
      <c r="AY209" s="249"/>
      <c r="AZ209" s="249"/>
      <c r="BA209" s="249"/>
      <c r="BB209" s="249"/>
      <c r="BC209" s="249"/>
      <c r="BD209" s="249"/>
      <c r="BE209" s="249"/>
      <c r="BF209" s="249"/>
      <c r="BG209" s="249"/>
      <c r="BH209" s="249"/>
      <c r="BI209" s="249"/>
      <c r="BJ209" s="249"/>
      <c r="BK209" s="249"/>
      <c r="BL209" s="249"/>
      <c r="BM209" s="249"/>
      <c r="BN209" s="249"/>
      <c r="BO209" s="249"/>
      <c r="BP209" s="249"/>
      <c r="BQ209" s="249"/>
      <c r="BR209" s="249"/>
      <c r="BS209" s="249"/>
      <c r="BT209" s="249"/>
      <c r="BU209" s="249"/>
      <c r="BV209" s="249"/>
      <c r="BW209" s="249"/>
      <c r="BX209" s="249"/>
      <c r="BY209" s="249"/>
      <c r="BZ209" s="249"/>
      <c r="CA209" s="249"/>
      <c r="CB209" s="249"/>
      <c r="CC209" s="249"/>
      <c r="CD209" s="249"/>
      <c r="CE209" s="249"/>
      <c r="CF209" s="249"/>
      <c r="CG209" s="249"/>
      <c r="CH209" s="249"/>
      <c r="CI209" s="249"/>
      <c r="CJ209" s="249"/>
      <c r="CK209" s="249"/>
      <c r="CL209" s="249"/>
      <c r="CM209" s="249"/>
      <c r="CN209" s="249"/>
      <c r="CO209" s="249"/>
      <c r="CP209" s="249"/>
      <c r="CQ209" s="249"/>
      <c r="CR209" s="249"/>
      <c r="CS209" s="249"/>
      <c r="CT209" s="249"/>
      <c r="CU209" s="249"/>
      <c r="CV209" s="249"/>
      <c r="CW209" s="249"/>
      <c r="CX209" s="249"/>
      <c r="CY209" s="249"/>
      <c r="CZ209" s="249"/>
      <c r="DA209" s="249"/>
      <c r="DB209" s="249"/>
      <c r="DC209" s="249"/>
      <c r="DD209" s="249"/>
      <c r="DE209" s="249"/>
      <c r="DF209" s="249"/>
      <c r="DG209" s="249"/>
      <c r="DH209" s="249"/>
      <c r="DI209" s="249"/>
      <c r="DJ209" s="249"/>
      <c r="DK209" s="249"/>
      <c r="DL209" s="249"/>
      <c r="DM209" s="249"/>
      <c r="DN209" s="249"/>
      <c r="DO209" s="249"/>
      <c r="DP209" s="249"/>
      <c r="DQ209" s="249"/>
      <c r="DR209" s="249"/>
      <c r="DS209" s="249"/>
      <c r="DT209" s="249"/>
      <c r="DU209" s="249"/>
      <c r="DV209" s="249"/>
      <c r="DW209" s="249"/>
      <c r="DX209" s="249"/>
      <c r="DY209" s="249"/>
      <c r="DZ209" s="249"/>
      <c r="EA209" s="249"/>
      <c r="EB209" s="249"/>
      <c r="EC209" s="249"/>
      <c r="ED209" s="249"/>
      <c r="EE209" s="249"/>
      <c r="EF209" s="249"/>
      <c r="EG209" s="249"/>
      <c r="EH209" s="249"/>
      <c r="EI209" s="249"/>
      <c r="EJ209" s="249"/>
      <c r="EK209" s="249"/>
      <c r="EL209" s="249"/>
      <c r="EM209" s="249"/>
      <c r="EN209" s="249"/>
      <c r="EO209" s="249"/>
      <c r="EP209" s="249"/>
      <c r="EQ209" s="249"/>
      <c r="ER209" s="249"/>
      <c r="ES209" s="249"/>
      <c r="ET209" s="249"/>
      <c r="EU209" s="249"/>
      <c r="EV209" s="249"/>
      <c r="EW209" s="249"/>
      <c r="EX209" s="249"/>
      <c r="EY209" s="249"/>
      <c r="EZ209" s="249"/>
      <c r="FA209" s="249"/>
      <c r="FB209" s="249"/>
      <c r="FC209" s="249"/>
      <c r="FD209" s="249"/>
      <c r="FE209" s="249"/>
      <c r="FF209" s="249"/>
      <c r="FG209" s="249"/>
      <c r="FH209" s="249"/>
      <c r="FI209" s="249"/>
      <c r="FJ209" s="249"/>
      <c r="FK209" s="249"/>
      <c r="FL209" s="249"/>
      <c r="FM209" s="249"/>
      <c r="FN209" s="249"/>
      <c r="FO209" s="249"/>
      <c r="FP209" s="249"/>
      <c r="FQ209" s="249"/>
      <c r="FR209" s="249"/>
      <c r="FS209" s="249"/>
      <c r="FT209" s="249"/>
      <c r="FU209" s="249"/>
      <c r="FV209" s="249"/>
      <c r="FW209" s="249"/>
      <c r="FX209" s="249"/>
      <c r="FY209" s="249"/>
      <c r="FZ209" s="249"/>
      <c r="GA209" s="249"/>
      <c r="GB209" s="249"/>
      <c r="GC209" s="249"/>
      <c r="GD209" s="249"/>
      <c r="GE209" s="249"/>
      <c r="GF209" s="249"/>
      <c r="GG209" s="249"/>
      <c r="GH209" s="249"/>
      <c r="GI209" s="249"/>
      <c r="GJ209" s="249"/>
      <c r="GK209" s="249"/>
      <c r="GL209" s="249"/>
      <c r="GM209" s="249"/>
      <c r="GN209" s="249"/>
      <c r="GO209" s="249"/>
      <c r="GP209" s="249"/>
      <c r="GQ209" s="249"/>
      <c r="GR209" s="249"/>
    </row>
    <row r="210" spans="1:200" s="252" customFormat="1" ht="12.75" customHeight="1" x14ac:dyDescent="0.2">
      <c r="A210" s="709"/>
      <c r="B210" s="1110"/>
      <c r="C210" s="1110"/>
      <c r="D210" s="257"/>
      <c r="E210" s="596"/>
      <c r="H210" s="250"/>
      <c r="I210" s="250"/>
      <c r="J210" s="250"/>
      <c r="K210" s="250"/>
      <c r="L210" s="250"/>
      <c r="M210" s="250"/>
      <c r="N210" s="250"/>
      <c r="O210" s="250"/>
      <c r="P210" s="251"/>
      <c r="Q210" s="251"/>
      <c r="R210" s="251"/>
      <c r="S210" s="251"/>
      <c r="T210" s="251"/>
      <c r="U210" s="243"/>
      <c r="V210" s="2101" t="str">
        <f>CONCATENATE(INPUT!F45, " ",INPUT!G45)</f>
        <v>12.25 " x Tricone IADC 217</v>
      </c>
      <c r="W210" s="286">
        <f>Rockbits!G10</f>
        <v>532151.31000000006</v>
      </c>
      <c r="X210" s="1447"/>
      <c r="Y210" s="348"/>
      <c r="Z210" s="348"/>
      <c r="AA210" s="246"/>
      <c r="AB210" s="246"/>
      <c r="AC210" s="2160">
        <f>IF(RH_BH="Big Hole",0,INPUT!$H45)</f>
        <v>0</v>
      </c>
      <c r="AD210" s="246"/>
      <c r="AE210" s="2159">
        <f>IF(RH_BH="Regular Hole",0,INPUT!$H45)</f>
        <v>0</v>
      </c>
      <c r="AF210" s="246"/>
      <c r="AG210" s="246"/>
      <c r="AH210" s="246"/>
      <c r="AI210" s="246"/>
      <c r="AJ210" s="246"/>
      <c r="AK210" s="246"/>
      <c r="AL210" s="246"/>
      <c r="AM210" s="246">
        <f t="shared" si="67"/>
        <v>0</v>
      </c>
      <c r="AN210" s="254"/>
      <c r="AO210" s="249"/>
      <c r="AP210" s="250"/>
      <c r="AQ210" s="250"/>
      <c r="AR210" s="250"/>
      <c r="AS210" s="250"/>
      <c r="AT210" s="250"/>
      <c r="AU210" s="250"/>
      <c r="AV210" s="249"/>
      <c r="AW210" s="249"/>
      <c r="AX210" s="249"/>
      <c r="AY210" s="249"/>
      <c r="AZ210" s="249"/>
      <c r="BA210" s="249"/>
      <c r="BB210" s="249"/>
      <c r="BC210" s="249"/>
      <c r="BD210" s="249"/>
      <c r="BE210" s="249"/>
      <c r="BF210" s="249"/>
      <c r="BG210" s="249"/>
      <c r="BH210" s="249"/>
      <c r="BI210" s="249"/>
      <c r="BJ210" s="249"/>
      <c r="BK210" s="249"/>
      <c r="BL210" s="249"/>
      <c r="BM210" s="249"/>
      <c r="BN210" s="249"/>
      <c r="BO210" s="249"/>
      <c r="BP210" s="249"/>
      <c r="BQ210" s="249"/>
      <c r="BR210" s="249"/>
      <c r="BS210" s="249"/>
      <c r="BT210" s="249"/>
      <c r="BU210" s="249"/>
      <c r="BV210" s="249"/>
      <c r="BW210" s="249"/>
      <c r="BX210" s="249"/>
      <c r="BY210" s="249"/>
      <c r="BZ210" s="249"/>
      <c r="CA210" s="249"/>
      <c r="CB210" s="249"/>
      <c r="CC210" s="249"/>
      <c r="CD210" s="249"/>
      <c r="CE210" s="249"/>
      <c r="CF210" s="249"/>
      <c r="CG210" s="249"/>
      <c r="CH210" s="249"/>
      <c r="CI210" s="249"/>
      <c r="CJ210" s="249"/>
      <c r="CK210" s="249"/>
      <c r="CL210" s="249"/>
      <c r="CM210" s="249"/>
      <c r="CN210" s="249"/>
      <c r="CO210" s="249"/>
      <c r="CP210" s="249"/>
      <c r="CQ210" s="249"/>
      <c r="CR210" s="249"/>
      <c r="CS210" s="249"/>
      <c r="CT210" s="249"/>
      <c r="CU210" s="249"/>
      <c r="CV210" s="249"/>
      <c r="CW210" s="249"/>
      <c r="CX210" s="249"/>
      <c r="CY210" s="249"/>
      <c r="CZ210" s="249"/>
      <c r="DA210" s="249"/>
      <c r="DB210" s="249"/>
      <c r="DC210" s="249"/>
      <c r="DD210" s="249"/>
      <c r="DE210" s="249"/>
      <c r="DF210" s="249"/>
      <c r="DG210" s="249"/>
      <c r="DH210" s="249"/>
      <c r="DI210" s="249"/>
      <c r="DJ210" s="249"/>
      <c r="DK210" s="249"/>
      <c r="DL210" s="249"/>
      <c r="DM210" s="249"/>
      <c r="DN210" s="249"/>
      <c r="DO210" s="249"/>
      <c r="DP210" s="249"/>
      <c r="DQ210" s="249"/>
      <c r="DR210" s="249"/>
      <c r="DS210" s="249"/>
      <c r="DT210" s="249"/>
      <c r="DU210" s="249"/>
      <c r="DV210" s="249"/>
      <c r="DW210" s="249"/>
      <c r="DX210" s="249"/>
      <c r="DY210" s="249"/>
      <c r="DZ210" s="249"/>
      <c r="EA210" s="249"/>
      <c r="EB210" s="249"/>
      <c r="EC210" s="249"/>
      <c r="ED210" s="249"/>
      <c r="EE210" s="249"/>
      <c r="EF210" s="249"/>
      <c r="EG210" s="249"/>
      <c r="EH210" s="249"/>
      <c r="EI210" s="249"/>
      <c r="EJ210" s="249"/>
      <c r="EK210" s="249"/>
      <c r="EL210" s="249"/>
      <c r="EM210" s="249"/>
      <c r="EN210" s="249"/>
      <c r="EO210" s="249"/>
      <c r="EP210" s="249"/>
      <c r="EQ210" s="249"/>
      <c r="ER210" s="249"/>
      <c r="ES210" s="249"/>
      <c r="ET210" s="249"/>
      <c r="EU210" s="249"/>
      <c r="EV210" s="249"/>
      <c r="EW210" s="249"/>
      <c r="EX210" s="249"/>
      <c r="EY210" s="249"/>
      <c r="EZ210" s="249"/>
      <c r="FA210" s="249"/>
      <c r="FB210" s="249"/>
      <c r="FC210" s="249"/>
      <c r="FD210" s="249"/>
      <c r="FE210" s="249"/>
      <c r="FF210" s="249"/>
      <c r="FG210" s="249"/>
      <c r="FH210" s="249"/>
      <c r="FI210" s="249"/>
      <c r="FJ210" s="249"/>
      <c r="FK210" s="249"/>
      <c r="FL210" s="249"/>
      <c r="FM210" s="249"/>
      <c r="FN210" s="249"/>
      <c r="FO210" s="249"/>
      <c r="FP210" s="249"/>
      <c r="FQ210" s="249"/>
      <c r="FR210" s="249"/>
      <c r="FS210" s="249"/>
      <c r="FT210" s="249"/>
      <c r="FU210" s="249"/>
      <c r="FV210" s="249"/>
      <c r="FW210" s="249"/>
      <c r="FX210" s="249"/>
      <c r="FY210" s="249"/>
      <c r="FZ210" s="249"/>
      <c r="GA210" s="249"/>
      <c r="GB210" s="249"/>
      <c r="GC210" s="249"/>
      <c r="GD210" s="249"/>
      <c r="GE210" s="249"/>
      <c r="GF210" s="249"/>
      <c r="GG210" s="249"/>
      <c r="GH210" s="249"/>
      <c r="GI210" s="249"/>
      <c r="GJ210" s="249"/>
      <c r="GK210" s="249"/>
      <c r="GL210" s="249"/>
      <c r="GM210" s="249"/>
      <c r="GN210" s="249"/>
      <c r="GO210" s="249"/>
      <c r="GP210" s="249"/>
      <c r="GQ210" s="249"/>
      <c r="GR210" s="249"/>
    </row>
    <row r="211" spans="1:200" s="252" customFormat="1" ht="12.75" customHeight="1" x14ac:dyDescent="0.2">
      <c r="A211" s="709"/>
      <c r="B211" s="1110"/>
      <c r="C211" s="1110"/>
      <c r="D211" s="257"/>
      <c r="E211" s="596"/>
      <c r="H211" s="250"/>
      <c r="I211" s="250"/>
      <c r="J211" s="250"/>
      <c r="K211" s="250"/>
      <c r="L211" s="250"/>
      <c r="M211" s="250"/>
      <c r="N211" s="250"/>
      <c r="O211" s="250"/>
      <c r="P211" s="251"/>
      <c r="Q211" s="251"/>
      <c r="R211" s="251"/>
      <c r="S211" s="251"/>
      <c r="T211" s="251"/>
      <c r="U211" s="243"/>
      <c r="V211" s="2101" t="str">
        <f>CONCATENATE(INPUT!F46, " ",INPUT!G46)</f>
        <v>12.25 " x Tricone IADC 517</v>
      </c>
      <c r="W211" s="286">
        <f>Rockbits!G11</f>
        <v>0</v>
      </c>
      <c r="X211" s="1447"/>
      <c r="Y211" s="348"/>
      <c r="Z211" s="348"/>
      <c r="AA211" s="246"/>
      <c r="AB211" s="246"/>
      <c r="AC211" s="2160">
        <f>IF(RH_BH="Big Hole",0,INPUT!$H46)</f>
        <v>0</v>
      </c>
      <c r="AD211" s="246"/>
      <c r="AE211" s="2159">
        <f>IF(RH_BH="Regular Hole",0,INPUT!$H46)</f>
        <v>0</v>
      </c>
      <c r="AF211" s="246"/>
      <c r="AG211" s="246"/>
      <c r="AH211" s="246"/>
      <c r="AI211" s="246"/>
      <c r="AJ211" s="246"/>
      <c r="AK211" s="246"/>
      <c r="AL211" s="246"/>
      <c r="AM211" s="246">
        <f t="shared" si="67"/>
        <v>0</v>
      </c>
      <c r="AN211" s="254"/>
      <c r="AO211" s="249"/>
      <c r="AP211" s="250"/>
      <c r="AQ211" s="250"/>
      <c r="AR211" s="250"/>
      <c r="AS211" s="250"/>
      <c r="AT211" s="250"/>
      <c r="AU211" s="250"/>
      <c r="AV211" s="249"/>
      <c r="AW211" s="249"/>
      <c r="AX211" s="249"/>
      <c r="AY211" s="249"/>
      <c r="AZ211" s="249"/>
      <c r="BA211" s="249"/>
      <c r="BB211" s="249"/>
      <c r="BC211" s="249"/>
      <c r="BD211" s="249"/>
      <c r="BE211" s="249"/>
      <c r="BF211" s="249"/>
      <c r="BG211" s="249"/>
      <c r="BH211" s="249"/>
      <c r="BI211" s="249"/>
      <c r="BJ211" s="249"/>
      <c r="BK211" s="249"/>
      <c r="BL211" s="249"/>
      <c r="BM211" s="249"/>
      <c r="BN211" s="249"/>
      <c r="BO211" s="249"/>
      <c r="BP211" s="249"/>
      <c r="BQ211" s="249"/>
      <c r="BR211" s="249"/>
      <c r="BS211" s="249"/>
      <c r="BT211" s="249"/>
      <c r="BU211" s="249"/>
      <c r="BV211" s="249"/>
      <c r="BW211" s="249"/>
      <c r="BX211" s="249"/>
      <c r="BY211" s="249"/>
      <c r="BZ211" s="249"/>
      <c r="CA211" s="249"/>
      <c r="CB211" s="249"/>
      <c r="CC211" s="249"/>
      <c r="CD211" s="249"/>
      <c r="CE211" s="249"/>
      <c r="CF211" s="249"/>
      <c r="CG211" s="249"/>
      <c r="CH211" s="249"/>
      <c r="CI211" s="249"/>
      <c r="CJ211" s="249"/>
      <c r="CK211" s="249"/>
      <c r="CL211" s="249"/>
      <c r="CM211" s="249"/>
      <c r="CN211" s="249"/>
      <c r="CO211" s="249"/>
      <c r="CP211" s="249"/>
      <c r="CQ211" s="249"/>
      <c r="CR211" s="249"/>
      <c r="CS211" s="249"/>
      <c r="CT211" s="249"/>
      <c r="CU211" s="249"/>
      <c r="CV211" s="249"/>
      <c r="CW211" s="249"/>
      <c r="CX211" s="249"/>
      <c r="CY211" s="249"/>
      <c r="CZ211" s="249"/>
      <c r="DA211" s="249"/>
      <c r="DB211" s="249"/>
      <c r="DC211" s="249"/>
      <c r="DD211" s="249"/>
      <c r="DE211" s="249"/>
      <c r="DF211" s="249"/>
      <c r="DG211" s="249"/>
      <c r="DH211" s="249"/>
      <c r="DI211" s="249"/>
      <c r="DJ211" s="249"/>
      <c r="DK211" s="249"/>
      <c r="DL211" s="249"/>
      <c r="DM211" s="249"/>
      <c r="DN211" s="249"/>
      <c r="DO211" s="249"/>
      <c r="DP211" s="249"/>
      <c r="DQ211" s="249"/>
      <c r="DR211" s="249"/>
      <c r="DS211" s="249"/>
      <c r="DT211" s="249"/>
      <c r="DU211" s="249"/>
      <c r="DV211" s="249"/>
      <c r="DW211" s="249"/>
      <c r="DX211" s="249"/>
      <c r="DY211" s="249"/>
      <c r="DZ211" s="249"/>
      <c r="EA211" s="249"/>
      <c r="EB211" s="249"/>
      <c r="EC211" s="249"/>
      <c r="ED211" s="249"/>
      <c r="EE211" s="249"/>
      <c r="EF211" s="249"/>
      <c r="EG211" s="249"/>
      <c r="EH211" s="249"/>
      <c r="EI211" s="249"/>
      <c r="EJ211" s="249"/>
      <c r="EK211" s="249"/>
      <c r="EL211" s="249"/>
      <c r="EM211" s="249"/>
      <c r="EN211" s="249"/>
      <c r="EO211" s="249"/>
      <c r="EP211" s="249"/>
      <c r="EQ211" s="249"/>
      <c r="ER211" s="249"/>
      <c r="ES211" s="249"/>
      <c r="ET211" s="249"/>
      <c r="EU211" s="249"/>
      <c r="EV211" s="249"/>
      <c r="EW211" s="249"/>
      <c r="EX211" s="249"/>
      <c r="EY211" s="249"/>
      <c r="EZ211" s="249"/>
      <c r="FA211" s="249"/>
      <c r="FB211" s="249"/>
      <c r="FC211" s="249"/>
      <c r="FD211" s="249"/>
      <c r="FE211" s="249"/>
      <c r="FF211" s="249"/>
      <c r="FG211" s="249"/>
      <c r="FH211" s="249"/>
      <c r="FI211" s="249"/>
      <c r="FJ211" s="249"/>
      <c r="FK211" s="249"/>
      <c r="FL211" s="249"/>
      <c r="FM211" s="249"/>
      <c r="FN211" s="249"/>
      <c r="FO211" s="249"/>
      <c r="FP211" s="249"/>
      <c r="FQ211" s="249"/>
      <c r="FR211" s="249"/>
      <c r="FS211" s="249"/>
      <c r="FT211" s="249"/>
      <c r="FU211" s="249"/>
      <c r="FV211" s="249"/>
      <c r="FW211" s="249"/>
      <c r="FX211" s="249"/>
      <c r="FY211" s="249"/>
      <c r="FZ211" s="249"/>
      <c r="GA211" s="249"/>
      <c r="GB211" s="249"/>
      <c r="GC211" s="249"/>
      <c r="GD211" s="249"/>
      <c r="GE211" s="249"/>
      <c r="GF211" s="249"/>
      <c r="GG211" s="249"/>
      <c r="GH211" s="249"/>
      <c r="GI211" s="249"/>
      <c r="GJ211" s="249"/>
      <c r="GK211" s="249"/>
      <c r="GL211" s="249"/>
      <c r="GM211" s="249"/>
      <c r="GN211" s="249"/>
      <c r="GO211" s="249"/>
      <c r="GP211" s="249"/>
      <c r="GQ211" s="249"/>
      <c r="GR211" s="249"/>
    </row>
    <row r="212" spans="1:200" s="252" customFormat="1" ht="12.75" customHeight="1" x14ac:dyDescent="0.2">
      <c r="A212" s="709"/>
      <c r="B212" s="1110"/>
      <c r="C212" s="1110"/>
      <c r="D212" s="257"/>
      <c r="E212" s="596"/>
      <c r="H212" s="250"/>
      <c r="I212" s="250"/>
      <c r="J212" s="250"/>
      <c r="K212" s="250"/>
      <c r="L212" s="250"/>
      <c r="M212" s="250"/>
      <c r="N212" s="250"/>
      <c r="O212" s="250"/>
      <c r="P212" s="251"/>
      <c r="Q212" s="251"/>
      <c r="R212" s="251"/>
      <c r="S212" s="251"/>
      <c r="T212" s="251"/>
      <c r="U212" s="243"/>
      <c r="V212" s="2101" t="str">
        <f>CONCATENATE(INPUT!F47, " ",INPUT!G47)</f>
        <v>12.25 " x Tricone IADC 537</v>
      </c>
      <c r="W212" s="286">
        <f>Rockbits!G12</f>
        <v>660526.93888888892</v>
      </c>
      <c r="X212" s="1447"/>
      <c r="Y212" s="348"/>
      <c r="Z212" s="348"/>
      <c r="AA212" s="246"/>
      <c r="AB212" s="246"/>
      <c r="AC212" s="2160">
        <f>IF(RH_BH="Big Hole",0,INPUT!$H47)</f>
        <v>0</v>
      </c>
      <c r="AD212" s="246"/>
      <c r="AE212" s="2159">
        <f>IF(RH_BH="Regular Hole",0,INPUT!$H47)</f>
        <v>0</v>
      </c>
      <c r="AF212" s="246"/>
      <c r="AG212" s="246"/>
      <c r="AH212" s="246"/>
      <c r="AI212" s="246"/>
      <c r="AJ212" s="246"/>
      <c r="AK212" s="246"/>
      <c r="AL212" s="246"/>
      <c r="AM212" s="246">
        <f t="shared" si="67"/>
        <v>0</v>
      </c>
      <c r="AN212" s="254"/>
      <c r="AO212" s="249"/>
      <c r="AP212" s="250"/>
      <c r="AQ212" s="250"/>
      <c r="AR212" s="250"/>
      <c r="AS212" s="250"/>
      <c r="AT212" s="250"/>
      <c r="AU212" s="250"/>
      <c r="AV212" s="249"/>
      <c r="AW212" s="249"/>
      <c r="AX212" s="249"/>
      <c r="AY212" s="249"/>
      <c r="AZ212" s="249"/>
      <c r="BA212" s="249"/>
      <c r="BB212" s="249"/>
      <c r="BC212" s="249"/>
      <c r="BD212" s="249"/>
      <c r="BE212" s="249"/>
      <c r="BF212" s="249"/>
      <c r="BG212" s="249"/>
      <c r="BH212" s="249"/>
      <c r="BI212" s="249"/>
      <c r="BJ212" s="249"/>
      <c r="BK212" s="249"/>
      <c r="BL212" s="249"/>
      <c r="BM212" s="249"/>
      <c r="BN212" s="249"/>
      <c r="BO212" s="249"/>
      <c r="BP212" s="249"/>
      <c r="BQ212" s="249"/>
      <c r="BR212" s="249"/>
      <c r="BS212" s="249"/>
      <c r="BT212" s="249"/>
      <c r="BU212" s="249"/>
      <c r="BV212" s="249"/>
      <c r="BW212" s="249"/>
      <c r="BX212" s="249"/>
      <c r="BY212" s="249"/>
      <c r="BZ212" s="249"/>
      <c r="CA212" s="249"/>
      <c r="CB212" s="249"/>
      <c r="CC212" s="249"/>
      <c r="CD212" s="249"/>
      <c r="CE212" s="249"/>
      <c r="CF212" s="249"/>
      <c r="CG212" s="249"/>
      <c r="CH212" s="249"/>
      <c r="CI212" s="249"/>
      <c r="CJ212" s="249"/>
      <c r="CK212" s="249"/>
      <c r="CL212" s="249"/>
      <c r="CM212" s="249"/>
      <c r="CN212" s="249"/>
      <c r="CO212" s="249"/>
      <c r="CP212" s="249"/>
      <c r="CQ212" s="249"/>
      <c r="CR212" s="249"/>
      <c r="CS212" s="249"/>
      <c r="CT212" s="249"/>
      <c r="CU212" s="249"/>
      <c r="CV212" s="249"/>
      <c r="CW212" s="249"/>
      <c r="CX212" s="249"/>
      <c r="CY212" s="249"/>
      <c r="CZ212" s="249"/>
      <c r="DA212" s="249"/>
      <c r="DB212" s="249"/>
      <c r="DC212" s="249"/>
      <c r="DD212" s="249"/>
      <c r="DE212" s="249"/>
      <c r="DF212" s="249"/>
      <c r="DG212" s="249"/>
      <c r="DH212" s="249"/>
      <c r="DI212" s="249"/>
      <c r="DJ212" s="249"/>
      <c r="DK212" s="249"/>
      <c r="DL212" s="249"/>
      <c r="DM212" s="249"/>
      <c r="DN212" s="249"/>
      <c r="DO212" s="249"/>
      <c r="DP212" s="249"/>
      <c r="DQ212" s="249"/>
      <c r="DR212" s="249"/>
      <c r="DS212" s="249"/>
      <c r="DT212" s="249"/>
      <c r="DU212" s="249"/>
      <c r="DV212" s="249"/>
      <c r="DW212" s="249"/>
      <c r="DX212" s="249"/>
      <c r="DY212" s="249"/>
      <c r="DZ212" s="249"/>
      <c r="EA212" s="249"/>
      <c r="EB212" s="249"/>
      <c r="EC212" s="249"/>
      <c r="ED212" s="249"/>
      <c r="EE212" s="249"/>
      <c r="EF212" s="249"/>
      <c r="EG212" s="249"/>
      <c r="EH212" s="249"/>
      <c r="EI212" s="249"/>
      <c r="EJ212" s="249"/>
      <c r="EK212" s="249"/>
      <c r="EL212" s="249"/>
      <c r="EM212" s="249"/>
      <c r="EN212" s="249"/>
      <c r="EO212" s="249"/>
      <c r="EP212" s="249"/>
      <c r="EQ212" s="249"/>
      <c r="ER212" s="249"/>
      <c r="ES212" s="249"/>
      <c r="ET212" s="249"/>
      <c r="EU212" s="249"/>
      <c r="EV212" s="249"/>
      <c r="EW212" s="249"/>
      <c r="EX212" s="249"/>
      <c r="EY212" s="249"/>
      <c r="EZ212" s="249"/>
      <c r="FA212" s="249"/>
      <c r="FB212" s="249"/>
      <c r="FC212" s="249"/>
      <c r="FD212" s="249"/>
      <c r="FE212" s="249"/>
      <c r="FF212" s="249"/>
      <c r="FG212" s="249"/>
      <c r="FH212" s="249"/>
      <c r="FI212" s="249"/>
      <c r="FJ212" s="249"/>
      <c r="FK212" s="249"/>
      <c r="FL212" s="249"/>
      <c r="FM212" s="249"/>
      <c r="FN212" s="249"/>
      <c r="FO212" s="249"/>
      <c r="FP212" s="249"/>
      <c r="FQ212" s="249"/>
      <c r="FR212" s="249"/>
      <c r="FS212" s="249"/>
      <c r="FT212" s="249"/>
      <c r="FU212" s="249"/>
      <c r="FV212" s="249"/>
      <c r="FW212" s="249"/>
      <c r="FX212" s="249"/>
      <c r="FY212" s="249"/>
      <c r="FZ212" s="249"/>
      <c r="GA212" s="249"/>
      <c r="GB212" s="249"/>
      <c r="GC212" s="249"/>
      <c r="GD212" s="249"/>
      <c r="GE212" s="249"/>
      <c r="GF212" s="249"/>
      <c r="GG212" s="249"/>
      <c r="GH212" s="249"/>
      <c r="GI212" s="249"/>
      <c r="GJ212" s="249"/>
      <c r="GK212" s="249"/>
      <c r="GL212" s="249"/>
      <c r="GM212" s="249"/>
      <c r="GN212" s="249"/>
      <c r="GO212" s="249"/>
      <c r="GP212" s="249"/>
      <c r="GQ212" s="249"/>
      <c r="GR212" s="249"/>
    </row>
    <row r="213" spans="1:200" s="252" customFormat="1" ht="12.75" customHeight="1" x14ac:dyDescent="0.2">
      <c r="A213" s="709"/>
      <c r="B213" s="1110"/>
      <c r="C213" s="1110"/>
      <c r="D213" s="257"/>
      <c r="E213" s="596"/>
      <c r="H213" s="250"/>
      <c r="I213" s="250"/>
      <c r="J213" s="250"/>
      <c r="K213" s="250"/>
      <c r="L213" s="250"/>
      <c r="M213" s="250"/>
      <c r="N213" s="250"/>
      <c r="O213" s="250"/>
      <c r="P213" s="251"/>
      <c r="Q213" s="251"/>
      <c r="R213" s="251"/>
      <c r="S213" s="251"/>
      <c r="T213" s="251"/>
      <c r="U213" s="243"/>
      <c r="V213" s="2101" t="str">
        <f>CONCATENATE(INPUT!F48, " ",INPUT!G48)</f>
        <v>12.25 " x Tricone IADC 547</v>
      </c>
      <c r="W213" s="2156">
        <f>Rockbits!G13</f>
        <v>0</v>
      </c>
      <c r="X213" s="1447"/>
      <c r="Y213" s="348"/>
      <c r="Z213" s="348"/>
      <c r="AA213" s="246"/>
      <c r="AB213" s="246"/>
      <c r="AC213" s="2160">
        <f>IF(RH_BH="Big Hole",0,INPUT!$H48)</f>
        <v>0</v>
      </c>
      <c r="AD213" s="246"/>
      <c r="AE213" s="2159">
        <f>IF(RH_BH="Regular Hole",0,INPUT!$H48)</f>
        <v>0</v>
      </c>
      <c r="AF213" s="246"/>
      <c r="AG213" s="246"/>
      <c r="AH213" s="246"/>
      <c r="AI213" s="246"/>
      <c r="AJ213" s="246"/>
      <c r="AK213" s="246"/>
      <c r="AL213" s="246"/>
      <c r="AM213" s="246">
        <f t="shared" si="67"/>
        <v>0</v>
      </c>
      <c r="AN213" s="254"/>
      <c r="AO213" s="249"/>
      <c r="AP213" s="250"/>
      <c r="AQ213" s="250"/>
      <c r="AR213" s="250"/>
      <c r="AS213" s="250"/>
      <c r="AT213" s="250"/>
      <c r="AU213" s="250"/>
      <c r="AV213" s="249"/>
      <c r="AW213" s="249"/>
      <c r="AX213" s="249"/>
      <c r="AY213" s="249"/>
      <c r="AZ213" s="249"/>
      <c r="BA213" s="249"/>
      <c r="BB213" s="249"/>
      <c r="BC213" s="249"/>
      <c r="BD213" s="249"/>
      <c r="BE213" s="249"/>
      <c r="BF213" s="249"/>
      <c r="BG213" s="249"/>
      <c r="BH213" s="249"/>
      <c r="BI213" s="249"/>
      <c r="BJ213" s="249"/>
      <c r="BK213" s="249"/>
      <c r="BL213" s="249"/>
      <c r="BM213" s="249"/>
      <c r="BN213" s="249"/>
      <c r="BO213" s="249"/>
      <c r="BP213" s="249"/>
      <c r="BQ213" s="249"/>
      <c r="BR213" s="249"/>
      <c r="BS213" s="249"/>
      <c r="BT213" s="249"/>
      <c r="BU213" s="249"/>
      <c r="BV213" s="249"/>
      <c r="BW213" s="249"/>
      <c r="BX213" s="249"/>
      <c r="BY213" s="249"/>
      <c r="BZ213" s="249"/>
      <c r="CA213" s="249"/>
      <c r="CB213" s="249"/>
      <c r="CC213" s="249"/>
      <c r="CD213" s="249"/>
      <c r="CE213" s="249"/>
      <c r="CF213" s="249"/>
      <c r="CG213" s="249"/>
      <c r="CH213" s="249"/>
      <c r="CI213" s="249"/>
      <c r="CJ213" s="249"/>
      <c r="CK213" s="249"/>
      <c r="CL213" s="249"/>
      <c r="CM213" s="249"/>
      <c r="CN213" s="249"/>
      <c r="CO213" s="249"/>
      <c r="CP213" s="249"/>
      <c r="CQ213" s="249"/>
      <c r="CR213" s="249"/>
      <c r="CS213" s="249"/>
      <c r="CT213" s="249"/>
      <c r="CU213" s="249"/>
      <c r="CV213" s="249"/>
      <c r="CW213" s="249"/>
      <c r="CX213" s="249"/>
      <c r="CY213" s="249"/>
      <c r="CZ213" s="249"/>
      <c r="DA213" s="249"/>
      <c r="DB213" s="249"/>
      <c r="DC213" s="249"/>
      <c r="DD213" s="249"/>
      <c r="DE213" s="249"/>
      <c r="DF213" s="249"/>
      <c r="DG213" s="249"/>
      <c r="DH213" s="249"/>
      <c r="DI213" s="249"/>
      <c r="DJ213" s="249"/>
      <c r="DK213" s="249"/>
      <c r="DL213" s="249"/>
      <c r="DM213" s="249"/>
      <c r="DN213" s="249"/>
      <c r="DO213" s="249"/>
      <c r="DP213" s="249"/>
      <c r="DQ213" s="249"/>
      <c r="DR213" s="249"/>
      <c r="DS213" s="249"/>
      <c r="DT213" s="249"/>
      <c r="DU213" s="249"/>
      <c r="DV213" s="249"/>
      <c r="DW213" s="249"/>
      <c r="DX213" s="249"/>
      <c r="DY213" s="249"/>
      <c r="DZ213" s="249"/>
      <c r="EA213" s="249"/>
      <c r="EB213" s="249"/>
      <c r="EC213" s="249"/>
      <c r="ED213" s="249"/>
      <c r="EE213" s="249"/>
      <c r="EF213" s="249"/>
      <c r="EG213" s="249"/>
      <c r="EH213" s="249"/>
      <c r="EI213" s="249"/>
      <c r="EJ213" s="249"/>
      <c r="EK213" s="249"/>
      <c r="EL213" s="249"/>
      <c r="EM213" s="249"/>
      <c r="EN213" s="249"/>
      <c r="EO213" s="249"/>
      <c r="EP213" s="249"/>
      <c r="EQ213" s="249"/>
      <c r="ER213" s="249"/>
      <c r="ES213" s="249"/>
      <c r="ET213" s="249"/>
      <c r="EU213" s="249"/>
      <c r="EV213" s="249"/>
      <c r="EW213" s="249"/>
      <c r="EX213" s="249"/>
      <c r="EY213" s="249"/>
      <c r="EZ213" s="249"/>
      <c r="FA213" s="249"/>
      <c r="FB213" s="249"/>
      <c r="FC213" s="249"/>
      <c r="FD213" s="249"/>
      <c r="FE213" s="249"/>
      <c r="FF213" s="249"/>
      <c r="FG213" s="249"/>
      <c r="FH213" s="249"/>
      <c r="FI213" s="249"/>
      <c r="FJ213" s="249"/>
      <c r="FK213" s="249"/>
      <c r="FL213" s="249"/>
      <c r="FM213" s="249"/>
      <c r="FN213" s="249"/>
      <c r="FO213" s="249"/>
      <c r="FP213" s="249"/>
      <c r="FQ213" s="249"/>
      <c r="FR213" s="249"/>
      <c r="FS213" s="249"/>
      <c r="FT213" s="249"/>
      <c r="FU213" s="249"/>
      <c r="FV213" s="249"/>
      <c r="FW213" s="249"/>
      <c r="FX213" s="249"/>
      <c r="FY213" s="249"/>
      <c r="FZ213" s="249"/>
      <c r="GA213" s="249"/>
      <c r="GB213" s="249"/>
      <c r="GC213" s="249"/>
      <c r="GD213" s="249"/>
      <c r="GE213" s="249"/>
      <c r="GF213" s="249"/>
      <c r="GG213" s="249"/>
      <c r="GH213" s="249"/>
      <c r="GI213" s="249"/>
      <c r="GJ213" s="249"/>
      <c r="GK213" s="249"/>
      <c r="GL213" s="249"/>
      <c r="GM213" s="249"/>
      <c r="GN213" s="249"/>
      <c r="GO213" s="249"/>
      <c r="GP213" s="249"/>
      <c r="GQ213" s="249"/>
      <c r="GR213" s="249"/>
    </row>
    <row r="214" spans="1:200" s="252" customFormat="1" ht="12.75" customHeight="1" x14ac:dyDescent="0.2">
      <c r="A214" s="709"/>
      <c r="B214" s="1110"/>
      <c r="C214" s="1110"/>
      <c r="D214" s="257"/>
      <c r="E214" s="596"/>
      <c r="H214" s="250"/>
      <c r="I214" s="250"/>
      <c r="J214" s="250"/>
      <c r="K214" s="250"/>
      <c r="L214" s="250"/>
      <c r="M214" s="250"/>
      <c r="N214" s="250"/>
      <c r="O214" s="250"/>
      <c r="P214" s="251"/>
      <c r="Q214" s="251"/>
      <c r="R214" s="251"/>
      <c r="S214" s="251"/>
      <c r="T214" s="251"/>
      <c r="U214" s="243"/>
      <c r="V214" s="2101" t="str">
        <f>CONCATENATE(INPUT!F49, " ",INPUT!G49)</f>
        <v>12.25 " x Tricone IADC 637</v>
      </c>
      <c r="W214" s="286">
        <f>Rockbits!G14</f>
        <v>668322.69666666666</v>
      </c>
      <c r="X214" s="1447"/>
      <c r="Y214" s="348"/>
      <c r="Z214" s="348"/>
      <c r="AA214" s="246"/>
      <c r="AB214" s="246"/>
      <c r="AC214" s="2160">
        <f>IF(RH_BH="Big Hole",0,INPUT!$H49)</f>
        <v>0</v>
      </c>
      <c r="AD214" s="246"/>
      <c r="AE214" s="2159">
        <f>IF(RH_BH="Regular Hole",0,INPUT!$H49)</f>
        <v>0</v>
      </c>
      <c r="AF214" s="246"/>
      <c r="AG214" s="246"/>
      <c r="AH214" s="246"/>
      <c r="AI214" s="246"/>
      <c r="AJ214" s="246"/>
      <c r="AK214" s="246"/>
      <c r="AL214" s="246"/>
      <c r="AM214" s="246">
        <f t="shared" si="67"/>
        <v>0</v>
      </c>
      <c r="AN214" s="254"/>
      <c r="AO214" s="249"/>
      <c r="AP214" s="250"/>
      <c r="AQ214" s="250"/>
      <c r="AR214" s="250"/>
      <c r="AS214" s="250"/>
      <c r="AT214" s="250"/>
      <c r="AU214" s="250"/>
      <c r="AV214" s="249"/>
      <c r="AW214" s="249"/>
      <c r="AX214" s="249"/>
      <c r="AY214" s="249"/>
      <c r="AZ214" s="249"/>
      <c r="BA214" s="249"/>
      <c r="BB214" s="249"/>
      <c r="BC214" s="249"/>
      <c r="BD214" s="249"/>
      <c r="BE214" s="249"/>
      <c r="BF214" s="249"/>
      <c r="BG214" s="249"/>
      <c r="BH214" s="249"/>
      <c r="BI214" s="249"/>
      <c r="BJ214" s="249"/>
      <c r="BK214" s="249"/>
      <c r="BL214" s="249"/>
      <c r="BM214" s="249"/>
      <c r="BN214" s="249"/>
      <c r="BO214" s="249"/>
      <c r="BP214" s="249"/>
      <c r="BQ214" s="249"/>
      <c r="BR214" s="249"/>
      <c r="BS214" s="249"/>
      <c r="BT214" s="249"/>
      <c r="BU214" s="249"/>
      <c r="BV214" s="249"/>
      <c r="BW214" s="249"/>
      <c r="BX214" s="249"/>
      <c r="BY214" s="249"/>
      <c r="BZ214" s="249"/>
      <c r="CA214" s="249"/>
      <c r="CB214" s="249"/>
      <c r="CC214" s="249"/>
      <c r="CD214" s="249"/>
      <c r="CE214" s="249"/>
      <c r="CF214" s="249"/>
      <c r="CG214" s="249"/>
      <c r="CH214" s="249"/>
      <c r="CI214" s="249"/>
      <c r="CJ214" s="249"/>
      <c r="CK214" s="249"/>
      <c r="CL214" s="249"/>
      <c r="CM214" s="249"/>
      <c r="CN214" s="249"/>
      <c r="CO214" s="249"/>
      <c r="CP214" s="249"/>
      <c r="CQ214" s="249"/>
      <c r="CR214" s="249"/>
      <c r="CS214" s="249"/>
      <c r="CT214" s="249"/>
      <c r="CU214" s="249"/>
      <c r="CV214" s="249"/>
      <c r="CW214" s="249"/>
      <c r="CX214" s="249"/>
      <c r="CY214" s="249"/>
      <c r="CZ214" s="249"/>
      <c r="DA214" s="249"/>
      <c r="DB214" s="249"/>
      <c r="DC214" s="249"/>
      <c r="DD214" s="249"/>
      <c r="DE214" s="249"/>
      <c r="DF214" s="249"/>
      <c r="DG214" s="249"/>
      <c r="DH214" s="249"/>
      <c r="DI214" s="249"/>
      <c r="DJ214" s="249"/>
      <c r="DK214" s="249"/>
      <c r="DL214" s="249"/>
      <c r="DM214" s="249"/>
      <c r="DN214" s="249"/>
      <c r="DO214" s="249"/>
      <c r="DP214" s="249"/>
      <c r="DQ214" s="249"/>
      <c r="DR214" s="249"/>
      <c r="DS214" s="249"/>
      <c r="DT214" s="249"/>
      <c r="DU214" s="249"/>
      <c r="DV214" s="249"/>
      <c r="DW214" s="249"/>
      <c r="DX214" s="249"/>
      <c r="DY214" s="249"/>
      <c r="DZ214" s="249"/>
      <c r="EA214" s="249"/>
      <c r="EB214" s="249"/>
      <c r="EC214" s="249"/>
      <c r="ED214" s="249"/>
      <c r="EE214" s="249"/>
      <c r="EF214" s="249"/>
      <c r="EG214" s="249"/>
      <c r="EH214" s="249"/>
      <c r="EI214" s="249"/>
      <c r="EJ214" s="249"/>
      <c r="EK214" s="249"/>
      <c r="EL214" s="249"/>
      <c r="EM214" s="249"/>
      <c r="EN214" s="249"/>
      <c r="EO214" s="249"/>
      <c r="EP214" s="249"/>
      <c r="EQ214" s="249"/>
      <c r="ER214" s="249"/>
      <c r="ES214" s="249"/>
      <c r="ET214" s="249"/>
      <c r="EU214" s="249"/>
      <c r="EV214" s="249"/>
      <c r="EW214" s="249"/>
      <c r="EX214" s="249"/>
      <c r="EY214" s="249"/>
      <c r="EZ214" s="249"/>
      <c r="FA214" s="249"/>
      <c r="FB214" s="249"/>
      <c r="FC214" s="249"/>
      <c r="FD214" s="249"/>
      <c r="FE214" s="249"/>
      <c r="FF214" s="249"/>
      <c r="FG214" s="249"/>
      <c r="FH214" s="249"/>
      <c r="FI214" s="249"/>
      <c r="FJ214" s="249"/>
      <c r="FK214" s="249"/>
      <c r="FL214" s="249"/>
      <c r="FM214" s="249"/>
      <c r="FN214" s="249"/>
      <c r="FO214" s="249"/>
      <c r="FP214" s="249"/>
      <c r="FQ214" s="249"/>
      <c r="FR214" s="249"/>
      <c r="FS214" s="249"/>
      <c r="FT214" s="249"/>
      <c r="FU214" s="249"/>
      <c r="FV214" s="249"/>
      <c r="FW214" s="249"/>
      <c r="FX214" s="249"/>
      <c r="FY214" s="249"/>
      <c r="FZ214" s="249"/>
      <c r="GA214" s="249"/>
      <c r="GB214" s="249"/>
      <c r="GC214" s="249"/>
      <c r="GD214" s="249"/>
      <c r="GE214" s="249"/>
      <c r="GF214" s="249"/>
      <c r="GG214" s="249"/>
      <c r="GH214" s="249"/>
      <c r="GI214" s="249"/>
      <c r="GJ214" s="249"/>
      <c r="GK214" s="249"/>
      <c r="GL214" s="249"/>
      <c r="GM214" s="249"/>
      <c r="GN214" s="249"/>
      <c r="GO214" s="249"/>
      <c r="GP214" s="249"/>
      <c r="GQ214" s="249"/>
      <c r="GR214" s="249"/>
    </row>
    <row r="215" spans="1:200" s="252" customFormat="1" ht="12.75" customHeight="1" x14ac:dyDescent="0.2">
      <c r="A215" s="709"/>
      <c r="B215" s="1110"/>
      <c r="C215" s="1110"/>
      <c r="D215" s="257"/>
      <c r="E215" s="596"/>
      <c r="H215" s="250"/>
      <c r="I215" s="250"/>
      <c r="J215" s="250"/>
      <c r="K215" s="250"/>
      <c r="L215" s="250"/>
      <c r="M215" s="250"/>
      <c r="N215" s="250"/>
      <c r="O215" s="250"/>
      <c r="P215" s="251"/>
      <c r="Q215" s="251"/>
      <c r="R215" s="251"/>
      <c r="S215" s="251"/>
      <c r="T215" s="251"/>
      <c r="U215" s="243"/>
      <c r="V215" s="2101" t="str">
        <f>CONCATENATE(INPUT!F50, " ",INPUT!G50)</f>
        <v>9-7/8 " x PDC PDC Bit</v>
      </c>
      <c r="W215" s="286">
        <f>Rockbits!G15</f>
        <v>1960263.7427272729</v>
      </c>
      <c r="X215" s="1447"/>
      <c r="Y215" s="348"/>
      <c r="Z215" s="348"/>
      <c r="AA215" s="246"/>
      <c r="AB215" s="246"/>
      <c r="AC215" s="246"/>
      <c r="AD215" s="246"/>
      <c r="AE215" s="246"/>
      <c r="AF215" s="246"/>
      <c r="AG215" s="2159">
        <f>IF(RH_BH="Regular Hole",0,INPUT!$H50)</f>
        <v>1</v>
      </c>
      <c r="AH215" s="246"/>
      <c r="AI215" s="246"/>
      <c r="AJ215" s="246"/>
      <c r="AK215" s="246"/>
      <c r="AL215" s="246"/>
      <c r="AM215" s="246">
        <f>(W215*AG215)</f>
        <v>1960263.7427272729</v>
      </c>
      <c r="AN215" s="254"/>
      <c r="AO215" s="249"/>
      <c r="AP215" s="250"/>
      <c r="AQ215" s="250"/>
      <c r="AR215" s="250"/>
      <c r="AS215" s="250"/>
      <c r="AT215" s="250"/>
      <c r="AU215" s="250"/>
      <c r="AV215" s="249"/>
      <c r="AW215" s="249"/>
      <c r="AX215" s="249"/>
      <c r="AY215" s="249"/>
      <c r="AZ215" s="249"/>
      <c r="BA215" s="249"/>
      <c r="BB215" s="249"/>
      <c r="BC215" s="249"/>
      <c r="BD215" s="249"/>
      <c r="BE215" s="249"/>
      <c r="BF215" s="249"/>
      <c r="BG215" s="249"/>
      <c r="BH215" s="249"/>
      <c r="BI215" s="249"/>
      <c r="BJ215" s="249"/>
      <c r="BK215" s="249"/>
      <c r="BL215" s="249"/>
      <c r="BM215" s="249"/>
      <c r="BN215" s="249"/>
      <c r="BO215" s="249"/>
      <c r="BP215" s="249"/>
      <c r="BQ215" s="249"/>
      <c r="BR215" s="249"/>
      <c r="BS215" s="249"/>
      <c r="BT215" s="249"/>
      <c r="BU215" s="249"/>
      <c r="BV215" s="249"/>
      <c r="BW215" s="249"/>
      <c r="BX215" s="249"/>
      <c r="BY215" s="249"/>
      <c r="BZ215" s="249"/>
      <c r="CA215" s="249"/>
      <c r="CB215" s="249"/>
      <c r="CC215" s="249"/>
      <c r="CD215" s="249"/>
      <c r="CE215" s="249"/>
      <c r="CF215" s="249"/>
      <c r="CG215" s="249"/>
      <c r="CH215" s="249"/>
      <c r="CI215" s="249"/>
      <c r="CJ215" s="249"/>
      <c r="CK215" s="249"/>
      <c r="CL215" s="249"/>
      <c r="CM215" s="249"/>
      <c r="CN215" s="249"/>
      <c r="CO215" s="249"/>
      <c r="CP215" s="249"/>
      <c r="CQ215" s="249"/>
      <c r="CR215" s="249"/>
      <c r="CS215" s="249"/>
      <c r="CT215" s="249"/>
      <c r="CU215" s="249"/>
      <c r="CV215" s="249"/>
      <c r="CW215" s="249"/>
      <c r="CX215" s="249"/>
      <c r="CY215" s="249"/>
      <c r="CZ215" s="249"/>
      <c r="DA215" s="249"/>
      <c r="DB215" s="249"/>
      <c r="DC215" s="249"/>
      <c r="DD215" s="249"/>
      <c r="DE215" s="249"/>
      <c r="DF215" s="249"/>
      <c r="DG215" s="249"/>
      <c r="DH215" s="249"/>
      <c r="DI215" s="249"/>
      <c r="DJ215" s="249"/>
      <c r="DK215" s="249"/>
      <c r="DL215" s="249"/>
      <c r="DM215" s="249"/>
      <c r="DN215" s="249"/>
      <c r="DO215" s="249"/>
      <c r="DP215" s="249"/>
      <c r="DQ215" s="249"/>
      <c r="DR215" s="249"/>
      <c r="DS215" s="249"/>
      <c r="DT215" s="249"/>
      <c r="DU215" s="249"/>
      <c r="DV215" s="249"/>
      <c r="DW215" s="249"/>
      <c r="DX215" s="249"/>
      <c r="DY215" s="249"/>
      <c r="DZ215" s="249"/>
      <c r="EA215" s="249"/>
      <c r="EB215" s="249"/>
      <c r="EC215" s="249"/>
      <c r="ED215" s="249"/>
      <c r="EE215" s="249"/>
      <c r="EF215" s="249"/>
      <c r="EG215" s="249"/>
      <c r="EH215" s="249"/>
      <c r="EI215" s="249"/>
      <c r="EJ215" s="249"/>
      <c r="EK215" s="249"/>
      <c r="EL215" s="249"/>
      <c r="EM215" s="249"/>
      <c r="EN215" s="249"/>
      <c r="EO215" s="249"/>
      <c r="EP215" s="249"/>
      <c r="EQ215" s="249"/>
      <c r="ER215" s="249"/>
      <c r="ES215" s="249"/>
      <c r="ET215" s="249"/>
      <c r="EU215" s="249"/>
      <c r="EV215" s="249"/>
      <c r="EW215" s="249"/>
      <c r="EX215" s="249"/>
      <c r="EY215" s="249"/>
      <c r="EZ215" s="249"/>
      <c r="FA215" s="249"/>
      <c r="FB215" s="249"/>
      <c r="FC215" s="249"/>
      <c r="FD215" s="249"/>
      <c r="FE215" s="249"/>
      <c r="FF215" s="249"/>
      <c r="FG215" s="249"/>
      <c r="FH215" s="249"/>
      <c r="FI215" s="249"/>
      <c r="FJ215" s="249"/>
      <c r="FK215" s="249"/>
      <c r="FL215" s="249"/>
      <c r="FM215" s="249"/>
      <c r="FN215" s="249"/>
      <c r="FO215" s="249"/>
      <c r="FP215" s="249"/>
      <c r="FQ215" s="249"/>
      <c r="FR215" s="249"/>
      <c r="FS215" s="249"/>
      <c r="FT215" s="249"/>
      <c r="FU215" s="249"/>
      <c r="FV215" s="249"/>
      <c r="FW215" s="249"/>
      <c r="FX215" s="249"/>
      <c r="FY215" s="249"/>
      <c r="FZ215" s="249"/>
      <c r="GA215" s="249"/>
      <c r="GB215" s="249"/>
      <c r="GC215" s="249"/>
      <c r="GD215" s="249"/>
      <c r="GE215" s="249"/>
      <c r="GF215" s="249"/>
      <c r="GG215" s="249"/>
      <c r="GH215" s="249"/>
      <c r="GI215" s="249"/>
      <c r="GJ215" s="249"/>
      <c r="GK215" s="249"/>
      <c r="GL215" s="249"/>
      <c r="GM215" s="249"/>
      <c r="GN215" s="249"/>
      <c r="GO215" s="249"/>
      <c r="GP215" s="249"/>
      <c r="GQ215" s="249"/>
      <c r="GR215" s="249"/>
    </row>
    <row r="216" spans="1:200" s="252" customFormat="1" ht="12.75" customHeight="1" x14ac:dyDescent="0.2">
      <c r="A216" s="709"/>
      <c r="B216" s="1110"/>
      <c r="C216" s="1110"/>
      <c r="D216" s="257"/>
      <c r="E216" s="596"/>
      <c r="H216" s="250"/>
      <c r="I216" s="250"/>
      <c r="J216" s="250"/>
      <c r="K216" s="250"/>
      <c r="L216" s="250"/>
      <c r="M216" s="250"/>
      <c r="N216" s="250"/>
      <c r="O216" s="250"/>
      <c r="P216" s="251"/>
      <c r="Q216" s="251"/>
      <c r="R216" s="251"/>
      <c r="S216" s="251"/>
      <c r="T216" s="251"/>
      <c r="U216" s="243"/>
      <c r="V216" s="2101" t="str">
        <f>CONCATENATE(INPUT!F51, " ",INPUT!G51)</f>
        <v>9-7/8 " x Tricone IADC 117/217</v>
      </c>
      <c r="W216" s="286">
        <f>Rockbits!G16</f>
        <v>423365.88</v>
      </c>
      <c r="X216" s="1447"/>
      <c r="Y216" s="348"/>
      <c r="Z216" s="348"/>
      <c r="AA216" s="246"/>
      <c r="AB216" s="246"/>
      <c r="AC216" s="246"/>
      <c r="AD216" s="246"/>
      <c r="AE216" s="246"/>
      <c r="AF216" s="246"/>
      <c r="AG216" s="2159">
        <f>IF(RH_BH="Regular Hole",0,INPUT!$H51)</f>
        <v>0</v>
      </c>
      <c r="AH216" s="246"/>
      <c r="AI216" s="246"/>
      <c r="AJ216" s="246"/>
      <c r="AK216" s="246"/>
      <c r="AL216" s="246"/>
      <c r="AM216" s="246">
        <f>(W216*AG216)</f>
        <v>0</v>
      </c>
      <c r="AN216" s="254"/>
      <c r="AO216" s="249"/>
      <c r="AP216" s="250"/>
      <c r="AQ216" s="250"/>
      <c r="AR216" s="250"/>
      <c r="AS216" s="250"/>
      <c r="AT216" s="250"/>
      <c r="AU216" s="250"/>
      <c r="AV216" s="249"/>
      <c r="AW216" s="249"/>
      <c r="AX216" s="249"/>
      <c r="AY216" s="249"/>
      <c r="AZ216" s="249"/>
      <c r="BA216" s="249"/>
      <c r="BB216" s="249"/>
      <c r="BC216" s="249"/>
      <c r="BD216" s="249"/>
      <c r="BE216" s="249"/>
      <c r="BF216" s="249"/>
      <c r="BG216" s="249"/>
      <c r="BH216" s="249"/>
      <c r="BI216" s="249"/>
      <c r="BJ216" s="249"/>
      <c r="BK216" s="249"/>
      <c r="BL216" s="249"/>
      <c r="BM216" s="249"/>
      <c r="BN216" s="249"/>
      <c r="BO216" s="249"/>
      <c r="BP216" s="249"/>
      <c r="BQ216" s="249"/>
      <c r="BR216" s="249"/>
      <c r="BS216" s="249"/>
      <c r="BT216" s="249"/>
      <c r="BU216" s="249"/>
      <c r="BV216" s="249"/>
      <c r="BW216" s="249"/>
      <c r="BX216" s="249"/>
      <c r="BY216" s="249"/>
      <c r="BZ216" s="249"/>
      <c r="CA216" s="249"/>
      <c r="CB216" s="249"/>
      <c r="CC216" s="249"/>
      <c r="CD216" s="249"/>
      <c r="CE216" s="249"/>
      <c r="CF216" s="249"/>
      <c r="CG216" s="249"/>
      <c r="CH216" s="249"/>
      <c r="CI216" s="249"/>
      <c r="CJ216" s="249"/>
      <c r="CK216" s="249"/>
      <c r="CL216" s="249"/>
      <c r="CM216" s="249"/>
      <c r="CN216" s="249"/>
      <c r="CO216" s="249"/>
      <c r="CP216" s="249"/>
      <c r="CQ216" s="249"/>
      <c r="CR216" s="249"/>
      <c r="CS216" s="249"/>
      <c r="CT216" s="249"/>
      <c r="CU216" s="249"/>
      <c r="CV216" s="249"/>
      <c r="CW216" s="249"/>
      <c r="CX216" s="249"/>
      <c r="CY216" s="249"/>
      <c r="CZ216" s="249"/>
      <c r="DA216" s="249"/>
      <c r="DB216" s="249"/>
      <c r="DC216" s="249"/>
      <c r="DD216" s="249"/>
      <c r="DE216" s="249"/>
      <c r="DF216" s="249"/>
      <c r="DG216" s="249"/>
      <c r="DH216" s="249"/>
      <c r="DI216" s="249"/>
      <c r="DJ216" s="249"/>
      <c r="DK216" s="249"/>
      <c r="DL216" s="249"/>
      <c r="DM216" s="249"/>
      <c r="DN216" s="249"/>
      <c r="DO216" s="249"/>
      <c r="DP216" s="249"/>
      <c r="DQ216" s="249"/>
      <c r="DR216" s="249"/>
      <c r="DS216" s="249"/>
      <c r="DT216" s="249"/>
      <c r="DU216" s="249"/>
      <c r="DV216" s="249"/>
      <c r="DW216" s="249"/>
      <c r="DX216" s="249"/>
      <c r="DY216" s="249"/>
      <c r="DZ216" s="249"/>
      <c r="EA216" s="249"/>
      <c r="EB216" s="249"/>
      <c r="EC216" s="249"/>
      <c r="ED216" s="249"/>
      <c r="EE216" s="249"/>
      <c r="EF216" s="249"/>
      <c r="EG216" s="249"/>
      <c r="EH216" s="249"/>
      <c r="EI216" s="249"/>
      <c r="EJ216" s="249"/>
      <c r="EK216" s="249"/>
      <c r="EL216" s="249"/>
      <c r="EM216" s="249"/>
      <c r="EN216" s="249"/>
      <c r="EO216" s="249"/>
      <c r="EP216" s="249"/>
      <c r="EQ216" s="249"/>
      <c r="ER216" s="249"/>
      <c r="ES216" s="249"/>
      <c r="ET216" s="249"/>
      <c r="EU216" s="249"/>
      <c r="EV216" s="249"/>
      <c r="EW216" s="249"/>
      <c r="EX216" s="249"/>
      <c r="EY216" s="249"/>
      <c r="EZ216" s="249"/>
      <c r="FA216" s="249"/>
      <c r="FB216" s="249"/>
      <c r="FC216" s="249"/>
      <c r="FD216" s="249"/>
      <c r="FE216" s="249"/>
      <c r="FF216" s="249"/>
      <c r="FG216" s="249"/>
      <c r="FH216" s="249"/>
      <c r="FI216" s="249"/>
      <c r="FJ216" s="249"/>
      <c r="FK216" s="249"/>
      <c r="FL216" s="249"/>
      <c r="FM216" s="249"/>
      <c r="FN216" s="249"/>
      <c r="FO216" s="249"/>
      <c r="FP216" s="249"/>
      <c r="FQ216" s="249"/>
      <c r="FR216" s="249"/>
      <c r="FS216" s="249"/>
      <c r="FT216" s="249"/>
      <c r="FU216" s="249"/>
      <c r="FV216" s="249"/>
      <c r="FW216" s="249"/>
      <c r="FX216" s="249"/>
      <c r="FY216" s="249"/>
      <c r="FZ216" s="249"/>
      <c r="GA216" s="249"/>
      <c r="GB216" s="249"/>
      <c r="GC216" s="249"/>
      <c r="GD216" s="249"/>
      <c r="GE216" s="249"/>
      <c r="GF216" s="249"/>
      <c r="GG216" s="249"/>
      <c r="GH216" s="249"/>
      <c r="GI216" s="249"/>
      <c r="GJ216" s="249"/>
      <c r="GK216" s="249"/>
      <c r="GL216" s="249"/>
      <c r="GM216" s="249"/>
      <c r="GN216" s="249"/>
      <c r="GO216" s="249"/>
      <c r="GP216" s="249"/>
      <c r="GQ216" s="249"/>
      <c r="GR216" s="249"/>
    </row>
    <row r="217" spans="1:200" s="252" customFormat="1" ht="12.75" customHeight="1" x14ac:dyDescent="0.2">
      <c r="A217" s="709"/>
      <c r="B217" s="1110"/>
      <c r="C217" s="1110"/>
      <c r="D217" s="257"/>
      <c r="E217" s="596"/>
      <c r="H217" s="250"/>
      <c r="I217" s="250"/>
      <c r="J217" s="250"/>
      <c r="K217" s="250"/>
      <c r="L217" s="250"/>
      <c r="M217" s="250"/>
      <c r="N217" s="250"/>
      <c r="O217" s="250"/>
      <c r="P217" s="251"/>
      <c r="Q217" s="251"/>
      <c r="R217" s="251"/>
      <c r="S217" s="251"/>
      <c r="T217" s="251"/>
      <c r="U217" s="243"/>
      <c r="V217" s="2101" t="str">
        <f>CONCATENATE(INPUT!F52, " ",INPUT!G52)</f>
        <v>9-7/8 " x Tricone IADC 517</v>
      </c>
      <c r="W217" s="2156">
        <f>Rockbits!G17</f>
        <v>0</v>
      </c>
      <c r="X217" s="1447"/>
      <c r="Y217" s="348"/>
      <c r="Z217" s="348"/>
      <c r="AA217" s="246"/>
      <c r="AB217" s="246"/>
      <c r="AC217" s="246"/>
      <c r="AD217" s="246"/>
      <c r="AE217" s="246"/>
      <c r="AF217" s="246"/>
      <c r="AG217" s="2159">
        <f>IF(RH_BH="Regular Hole",0,INPUT!$H52)</f>
        <v>0</v>
      </c>
      <c r="AH217" s="246"/>
      <c r="AI217" s="246"/>
      <c r="AJ217" s="246"/>
      <c r="AK217" s="246"/>
      <c r="AL217" s="246"/>
      <c r="AM217" s="246">
        <f>(W217*AG217)</f>
        <v>0</v>
      </c>
      <c r="AN217" s="254"/>
      <c r="AO217" s="249"/>
      <c r="AP217" s="250"/>
      <c r="AQ217" s="250"/>
      <c r="AR217" s="250"/>
      <c r="AS217" s="250"/>
      <c r="AT217" s="250"/>
      <c r="AU217" s="250"/>
      <c r="AV217" s="249"/>
      <c r="AW217" s="249"/>
      <c r="AX217" s="249"/>
      <c r="AY217" s="249"/>
      <c r="AZ217" s="249"/>
      <c r="BA217" s="249"/>
      <c r="BB217" s="249"/>
      <c r="BC217" s="249"/>
      <c r="BD217" s="249"/>
      <c r="BE217" s="249"/>
      <c r="BF217" s="249"/>
      <c r="BG217" s="249"/>
      <c r="BH217" s="249"/>
      <c r="BI217" s="249"/>
      <c r="BJ217" s="249"/>
      <c r="BK217" s="249"/>
      <c r="BL217" s="249"/>
      <c r="BM217" s="249"/>
      <c r="BN217" s="249"/>
      <c r="BO217" s="249"/>
      <c r="BP217" s="249"/>
      <c r="BQ217" s="249"/>
      <c r="BR217" s="249"/>
      <c r="BS217" s="249"/>
      <c r="BT217" s="249"/>
      <c r="BU217" s="249"/>
      <c r="BV217" s="249"/>
      <c r="BW217" s="249"/>
      <c r="BX217" s="249"/>
      <c r="BY217" s="249"/>
      <c r="BZ217" s="249"/>
      <c r="CA217" s="249"/>
      <c r="CB217" s="249"/>
      <c r="CC217" s="249"/>
      <c r="CD217" s="249"/>
      <c r="CE217" s="249"/>
      <c r="CF217" s="249"/>
      <c r="CG217" s="249"/>
      <c r="CH217" s="249"/>
      <c r="CI217" s="249"/>
      <c r="CJ217" s="249"/>
      <c r="CK217" s="249"/>
      <c r="CL217" s="249"/>
      <c r="CM217" s="249"/>
      <c r="CN217" s="249"/>
      <c r="CO217" s="249"/>
      <c r="CP217" s="249"/>
      <c r="CQ217" s="249"/>
      <c r="CR217" s="249"/>
      <c r="CS217" s="249"/>
      <c r="CT217" s="249"/>
      <c r="CU217" s="249"/>
      <c r="CV217" s="249"/>
      <c r="CW217" s="249"/>
      <c r="CX217" s="249"/>
      <c r="CY217" s="249"/>
      <c r="CZ217" s="249"/>
      <c r="DA217" s="249"/>
      <c r="DB217" s="249"/>
      <c r="DC217" s="249"/>
      <c r="DD217" s="249"/>
      <c r="DE217" s="249"/>
      <c r="DF217" s="249"/>
      <c r="DG217" s="249"/>
      <c r="DH217" s="249"/>
      <c r="DI217" s="249"/>
      <c r="DJ217" s="249"/>
      <c r="DK217" s="249"/>
      <c r="DL217" s="249"/>
      <c r="DM217" s="249"/>
      <c r="DN217" s="249"/>
      <c r="DO217" s="249"/>
      <c r="DP217" s="249"/>
      <c r="DQ217" s="249"/>
      <c r="DR217" s="249"/>
      <c r="DS217" s="249"/>
      <c r="DT217" s="249"/>
      <c r="DU217" s="249"/>
      <c r="DV217" s="249"/>
      <c r="DW217" s="249"/>
      <c r="DX217" s="249"/>
      <c r="DY217" s="249"/>
      <c r="DZ217" s="249"/>
      <c r="EA217" s="249"/>
      <c r="EB217" s="249"/>
      <c r="EC217" s="249"/>
      <c r="ED217" s="249"/>
      <c r="EE217" s="249"/>
      <c r="EF217" s="249"/>
      <c r="EG217" s="249"/>
      <c r="EH217" s="249"/>
      <c r="EI217" s="249"/>
      <c r="EJ217" s="249"/>
      <c r="EK217" s="249"/>
      <c r="EL217" s="249"/>
      <c r="EM217" s="249"/>
      <c r="EN217" s="249"/>
      <c r="EO217" s="249"/>
      <c r="EP217" s="249"/>
      <c r="EQ217" s="249"/>
      <c r="ER217" s="249"/>
      <c r="ES217" s="249"/>
      <c r="ET217" s="249"/>
      <c r="EU217" s="249"/>
      <c r="EV217" s="249"/>
      <c r="EW217" s="249"/>
      <c r="EX217" s="249"/>
      <c r="EY217" s="249"/>
      <c r="EZ217" s="249"/>
      <c r="FA217" s="249"/>
      <c r="FB217" s="249"/>
      <c r="FC217" s="249"/>
      <c r="FD217" s="249"/>
      <c r="FE217" s="249"/>
      <c r="FF217" s="249"/>
      <c r="FG217" s="249"/>
      <c r="FH217" s="249"/>
      <c r="FI217" s="249"/>
      <c r="FJ217" s="249"/>
      <c r="FK217" s="249"/>
      <c r="FL217" s="249"/>
      <c r="FM217" s="249"/>
      <c r="FN217" s="249"/>
      <c r="FO217" s="249"/>
      <c r="FP217" s="249"/>
      <c r="FQ217" s="249"/>
      <c r="FR217" s="249"/>
      <c r="FS217" s="249"/>
      <c r="FT217" s="249"/>
      <c r="FU217" s="249"/>
      <c r="FV217" s="249"/>
      <c r="FW217" s="249"/>
      <c r="FX217" s="249"/>
      <c r="FY217" s="249"/>
      <c r="FZ217" s="249"/>
      <c r="GA217" s="249"/>
      <c r="GB217" s="249"/>
      <c r="GC217" s="249"/>
      <c r="GD217" s="249"/>
      <c r="GE217" s="249"/>
      <c r="GF217" s="249"/>
      <c r="GG217" s="249"/>
      <c r="GH217" s="249"/>
      <c r="GI217" s="249"/>
      <c r="GJ217" s="249"/>
      <c r="GK217" s="249"/>
      <c r="GL217" s="249"/>
      <c r="GM217" s="249"/>
      <c r="GN217" s="249"/>
      <c r="GO217" s="249"/>
      <c r="GP217" s="249"/>
      <c r="GQ217" s="249"/>
      <c r="GR217" s="249"/>
    </row>
    <row r="218" spans="1:200" s="252" customFormat="1" ht="12.75" customHeight="1" x14ac:dyDescent="0.2">
      <c r="A218" s="709"/>
      <c r="B218" s="1110"/>
      <c r="C218" s="1110"/>
      <c r="D218" s="257"/>
      <c r="E218" s="596"/>
      <c r="H218" s="250"/>
      <c r="I218" s="250"/>
      <c r="J218" s="250"/>
      <c r="K218" s="250"/>
      <c r="L218" s="250"/>
      <c r="M218" s="250"/>
      <c r="N218" s="250"/>
      <c r="O218" s="250"/>
      <c r="P218" s="251"/>
      <c r="Q218" s="251"/>
      <c r="R218" s="251"/>
      <c r="S218" s="251"/>
      <c r="T218" s="251"/>
      <c r="U218" s="243"/>
      <c r="V218" s="2101" t="str">
        <f>CONCATENATE(INPUT!F53, " ",INPUT!G53)</f>
        <v>9-7/8 " x Tricone IADC 537</v>
      </c>
      <c r="W218" s="286">
        <f>Rockbits!G18</f>
        <v>509119.24</v>
      </c>
      <c r="X218" s="1447"/>
      <c r="Y218" s="348"/>
      <c r="Z218" s="348"/>
      <c r="AA218" s="246"/>
      <c r="AB218" s="246"/>
      <c r="AC218" s="246"/>
      <c r="AD218" s="246"/>
      <c r="AE218" s="246"/>
      <c r="AF218" s="246"/>
      <c r="AG218" s="2159">
        <f>IF(RH_BH="Regular Hole",0,INPUT!$H53)</f>
        <v>0</v>
      </c>
      <c r="AH218" s="246"/>
      <c r="AI218" s="246"/>
      <c r="AJ218" s="246"/>
      <c r="AK218" s="246"/>
      <c r="AL218" s="246"/>
      <c r="AM218" s="246">
        <f>(W218*AG218)</f>
        <v>0</v>
      </c>
      <c r="AN218" s="254"/>
      <c r="AO218" s="249"/>
      <c r="AP218" s="250"/>
      <c r="AQ218" s="250"/>
      <c r="AR218" s="250"/>
      <c r="AS218" s="250"/>
      <c r="AT218" s="250"/>
      <c r="AU218" s="250"/>
      <c r="AV218" s="249"/>
      <c r="AW218" s="249"/>
      <c r="AX218" s="249"/>
      <c r="AY218" s="249"/>
      <c r="AZ218" s="249"/>
      <c r="BA218" s="249"/>
      <c r="BB218" s="249"/>
      <c r="BC218" s="249"/>
      <c r="BD218" s="249"/>
      <c r="BE218" s="249"/>
      <c r="BF218" s="249"/>
      <c r="BG218" s="249"/>
      <c r="BH218" s="249"/>
      <c r="BI218" s="249"/>
      <c r="BJ218" s="249"/>
      <c r="BK218" s="249"/>
      <c r="BL218" s="249"/>
      <c r="BM218" s="249"/>
      <c r="BN218" s="249"/>
      <c r="BO218" s="249"/>
      <c r="BP218" s="249"/>
      <c r="BQ218" s="249"/>
      <c r="BR218" s="249"/>
      <c r="BS218" s="249"/>
      <c r="BT218" s="249"/>
      <c r="BU218" s="249"/>
      <c r="BV218" s="249"/>
      <c r="BW218" s="249"/>
      <c r="BX218" s="249"/>
      <c r="BY218" s="249"/>
      <c r="BZ218" s="249"/>
      <c r="CA218" s="249"/>
      <c r="CB218" s="249"/>
      <c r="CC218" s="249"/>
      <c r="CD218" s="249"/>
      <c r="CE218" s="249"/>
      <c r="CF218" s="249"/>
      <c r="CG218" s="249"/>
      <c r="CH218" s="249"/>
      <c r="CI218" s="249"/>
      <c r="CJ218" s="249"/>
      <c r="CK218" s="249"/>
      <c r="CL218" s="249"/>
      <c r="CM218" s="249"/>
      <c r="CN218" s="249"/>
      <c r="CO218" s="249"/>
      <c r="CP218" s="249"/>
      <c r="CQ218" s="249"/>
      <c r="CR218" s="249"/>
      <c r="CS218" s="249"/>
      <c r="CT218" s="249"/>
      <c r="CU218" s="249"/>
      <c r="CV218" s="249"/>
      <c r="CW218" s="249"/>
      <c r="CX218" s="249"/>
      <c r="CY218" s="249"/>
      <c r="CZ218" s="249"/>
      <c r="DA218" s="249"/>
      <c r="DB218" s="249"/>
      <c r="DC218" s="249"/>
      <c r="DD218" s="249"/>
      <c r="DE218" s="249"/>
      <c r="DF218" s="249"/>
      <c r="DG218" s="249"/>
      <c r="DH218" s="249"/>
      <c r="DI218" s="249"/>
      <c r="DJ218" s="249"/>
      <c r="DK218" s="249"/>
      <c r="DL218" s="249"/>
      <c r="DM218" s="249"/>
      <c r="DN218" s="249"/>
      <c r="DO218" s="249"/>
      <c r="DP218" s="249"/>
      <c r="DQ218" s="249"/>
      <c r="DR218" s="249"/>
      <c r="DS218" s="249"/>
      <c r="DT218" s="249"/>
      <c r="DU218" s="249"/>
      <c r="DV218" s="249"/>
      <c r="DW218" s="249"/>
      <c r="DX218" s="249"/>
      <c r="DY218" s="249"/>
      <c r="DZ218" s="249"/>
      <c r="EA218" s="249"/>
      <c r="EB218" s="249"/>
      <c r="EC218" s="249"/>
      <c r="ED218" s="249"/>
      <c r="EE218" s="249"/>
      <c r="EF218" s="249"/>
      <c r="EG218" s="249"/>
      <c r="EH218" s="249"/>
      <c r="EI218" s="249"/>
      <c r="EJ218" s="249"/>
      <c r="EK218" s="249"/>
      <c r="EL218" s="249"/>
      <c r="EM218" s="249"/>
      <c r="EN218" s="249"/>
      <c r="EO218" s="249"/>
      <c r="EP218" s="249"/>
      <c r="EQ218" s="249"/>
      <c r="ER218" s="249"/>
      <c r="ES218" s="249"/>
      <c r="ET218" s="249"/>
      <c r="EU218" s="249"/>
      <c r="EV218" s="249"/>
      <c r="EW218" s="249"/>
      <c r="EX218" s="249"/>
      <c r="EY218" s="249"/>
      <c r="EZ218" s="249"/>
      <c r="FA218" s="249"/>
      <c r="FB218" s="249"/>
      <c r="FC218" s="249"/>
      <c r="FD218" s="249"/>
      <c r="FE218" s="249"/>
      <c r="FF218" s="249"/>
      <c r="FG218" s="249"/>
      <c r="FH218" s="249"/>
      <c r="FI218" s="249"/>
      <c r="FJ218" s="249"/>
      <c r="FK218" s="249"/>
      <c r="FL218" s="249"/>
      <c r="FM218" s="249"/>
      <c r="FN218" s="249"/>
      <c r="FO218" s="249"/>
      <c r="FP218" s="249"/>
      <c r="FQ218" s="249"/>
      <c r="FR218" s="249"/>
      <c r="FS218" s="249"/>
      <c r="FT218" s="249"/>
      <c r="FU218" s="249"/>
      <c r="FV218" s="249"/>
      <c r="FW218" s="249"/>
      <c r="FX218" s="249"/>
      <c r="FY218" s="249"/>
      <c r="FZ218" s="249"/>
      <c r="GA218" s="249"/>
      <c r="GB218" s="249"/>
      <c r="GC218" s="249"/>
      <c r="GD218" s="249"/>
      <c r="GE218" s="249"/>
      <c r="GF218" s="249"/>
      <c r="GG218" s="249"/>
      <c r="GH218" s="249"/>
      <c r="GI218" s="249"/>
      <c r="GJ218" s="249"/>
      <c r="GK218" s="249"/>
      <c r="GL218" s="249"/>
      <c r="GM218" s="249"/>
      <c r="GN218" s="249"/>
      <c r="GO218" s="249"/>
      <c r="GP218" s="249"/>
      <c r="GQ218" s="249"/>
      <c r="GR218" s="249"/>
    </row>
    <row r="219" spans="1:200" s="252" customFormat="1" ht="12.75" customHeight="1" x14ac:dyDescent="0.2">
      <c r="A219" s="709"/>
      <c r="B219" s="1110"/>
      <c r="C219" s="1110"/>
      <c r="D219" s="257"/>
      <c r="E219" s="596"/>
      <c r="H219" s="250"/>
      <c r="I219" s="250"/>
      <c r="J219" s="250"/>
      <c r="K219" s="250"/>
      <c r="L219" s="250"/>
      <c r="M219" s="250"/>
      <c r="N219" s="250"/>
      <c r="O219" s="250"/>
      <c r="P219" s="251"/>
      <c r="Q219" s="251"/>
      <c r="R219" s="251"/>
      <c r="S219" s="251"/>
      <c r="T219" s="251"/>
      <c r="U219" s="243"/>
      <c r="V219" s="2101" t="str">
        <f>CONCATENATE(INPUT!F54, " ",INPUT!G54)</f>
        <v>9-7/8 " x Tricone IADC 637</v>
      </c>
      <c r="W219" s="286">
        <f>Rockbits!G19</f>
        <v>567685.23</v>
      </c>
      <c r="X219" s="1447"/>
      <c r="Y219" s="348"/>
      <c r="Z219" s="348"/>
      <c r="AA219" s="246"/>
      <c r="AB219" s="246"/>
      <c r="AC219" s="246"/>
      <c r="AD219" s="246"/>
      <c r="AE219" s="246"/>
      <c r="AF219" s="246"/>
      <c r="AG219" s="2159">
        <f>IF(RH_BH="Regular Hole",0,INPUT!$H54)</f>
        <v>0</v>
      </c>
      <c r="AH219" s="246"/>
      <c r="AI219" s="246"/>
      <c r="AJ219" s="246"/>
      <c r="AK219" s="246"/>
      <c r="AL219" s="246"/>
      <c r="AM219" s="246">
        <f>(W219*AG219)</f>
        <v>0</v>
      </c>
      <c r="AN219" s="254"/>
      <c r="AO219" s="249"/>
      <c r="AP219" s="250"/>
      <c r="AQ219" s="250"/>
      <c r="AR219" s="250"/>
      <c r="AS219" s="250"/>
      <c r="AT219" s="250"/>
      <c r="AU219" s="250"/>
      <c r="AV219" s="249"/>
      <c r="AW219" s="249"/>
      <c r="AX219" s="249"/>
      <c r="AY219" s="249"/>
      <c r="AZ219" s="249"/>
      <c r="BA219" s="249"/>
      <c r="BB219" s="249"/>
      <c r="BC219" s="249"/>
      <c r="BD219" s="249"/>
      <c r="BE219" s="249"/>
      <c r="BF219" s="249"/>
      <c r="BG219" s="249"/>
      <c r="BH219" s="249"/>
      <c r="BI219" s="249"/>
      <c r="BJ219" s="249"/>
      <c r="BK219" s="249"/>
      <c r="BL219" s="249"/>
      <c r="BM219" s="249"/>
      <c r="BN219" s="249"/>
      <c r="BO219" s="249"/>
      <c r="BP219" s="249"/>
      <c r="BQ219" s="249"/>
      <c r="BR219" s="249"/>
      <c r="BS219" s="249"/>
      <c r="BT219" s="249"/>
      <c r="BU219" s="249"/>
      <c r="BV219" s="249"/>
      <c r="BW219" s="249"/>
      <c r="BX219" s="249"/>
      <c r="BY219" s="249"/>
      <c r="BZ219" s="249"/>
      <c r="CA219" s="249"/>
      <c r="CB219" s="249"/>
      <c r="CC219" s="249"/>
      <c r="CD219" s="249"/>
      <c r="CE219" s="249"/>
      <c r="CF219" s="249"/>
      <c r="CG219" s="249"/>
      <c r="CH219" s="249"/>
      <c r="CI219" s="249"/>
      <c r="CJ219" s="249"/>
      <c r="CK219" s="249"/>
      <c r="CL219" s="249"/>
      <c r="CM219" s="249"/>
      <c r="CN219" s="249"/>
      <c r="CO219" s="249"/>
      <c r="CP219" s="249"/>
      <c r="CQ219" s="249"/>
      <c r="CR219" s="249"/>
      <c r="CS219" s="249"/>
      <c r="CT219" s="249"/>
      <c r="CU219" s="249"/>
      <c r="CV219" s="249"/>
      <c r="CW219" s="249"/>
      <c r="CX219" s="249"/>
      <c r="CY219" s="249"/>
      <c r="CZ219" s="249"/>
      <c r="DA219" s="249"/>
      <c r="DB219" s="249"/>
      <c r="DC219" s="249"/>
      <c r="DD219" s="249"/>
      <c r="DE219" s="249"/>
      <c r="DF219" s="249"/>
      <c r="DG219" s="249"/>
      <c r="DH219" s="249"/>
      <c r="DI219" s="249"/>
      <c r="DJ219" s="249"/>
      <c r="DK219" s="249"/>
      <c r="DL219" s="249"/>
      <c r="DM219" s="249"/>
      <c r="DN219" s="249"/>
      <c r="DO219" s="249"/>
      <c r="DP219" s="249"/>
      <c r="DQ219" s="249"/>
      <c r="DR219" s="249"/>
      <c r="DS219" s="249"/>
      <c r="DT219" s="249"/>
      <c r="DU219" s="249"/>
      <c r="DV219" s="249"/>
      <c r="DW219" s="249"/>
      <c r="DX219" s="249"/>
      <c r="DY219" s="249"/>
      <c r="DZ219" s="249"/>
      <c r="EA219" s="249"/>
      <c r="EB219" s="249"/>
      <c r="EC219" s="249"/>
      <c r="ED219" s="249"/>
      <c r="EE219" s="249"/>
      <c r="EF219" s="249"/>
      <c r="EG219" s="249"/>
      <c r="EH219" s="249"/>
      <c r="EI219" s="249"/>
      <c r="EJ219" s="249"/>
      <c r="EK219" s="249"/>
      <c r="EL219" s="249"/>
      <c r="EM219" s="249"/>
      <c r="EN219" s="249"/>
      <c r="EO219" s="249"/>
      <c r="EP219" s="249"/>
      <c r="EQ219" s="249"/>
      <c r="ER219" s="249"/>
      <c r="ES219" s="249"/>
      <c r="ET219" s="249"/>
      <c r="EU219" s="249"/>
      <c r="EV219" s="249"/>
      <c r="EW219" s="249"/>
      <c r="EX219" s="249"/>
      <c r="EY219" s="249"/>
      <c r="EZ219" s="249"/>
      <c r="FA219" s="249"/>
      <c r="FB219" s="249"/>
      <c r="FC219" s="249"/>
      <c r="FD219" s="249"/>
      <c r="FE219" s="249"/>
      <c r="FF219" s="249"/>
      <c r="FG219" s="249"/>
      <c r="FH219" s="249"/>
      <c r="FI219" s="249"/>
      <c r="FJ219" s="249"/>
      <c r="FK219" s="249"/>
      <c r="FL219" s="249"/>
      <c r="FM219" s="249"/>
      <c r="FN219" s="249"/>
      <c r="FO219" s="249"/>
      <c r="FP219" s="249"/>
      <c r="FQ219" s="249"/>
      <c r="FR219" s="249"/>
      <c r="FS219" s="249"/>
      <c r="FT219" s="249"/>
      <c r="FU219" s="249"/>
      <c r="FV219" s="249"/>
      <c r="FW219" s="249"/>
      <c r="FX219" s="249"/>
      <c r="FY219" s="249"/>
      <c r="FZ219" s="249"/>
      <c r="GA219" s="249"/>
      <c r="GB219" s="249"/>
      <c r="GC219" s="249"/>
      <c r="GD219" s="249"/>
      <c r="GE219" s="249"/>
      <c r="GF219" s="249"/>
      <c r="GG219" s="249"/>
      <c r="GH219" s="249"/>
      <c r="GI219" s="249"/>
      <c r="GJ219" s="249"/>
      <c r="GK219" s="249"/>
      <c r="GL219" s="249"/>
      <c r="GM219" s="249"/>
      <c r="GN219" s="249"/>
      <c r="GO219" s="249"/>
      <c r="GP219" s="249"/>
      <c r="GQ219" s="249"/>
      <c r="GR219" s="249"/>
    </row>
    <row r="220" spans="1:200" s="252" customFormat="1" ht="12.75" customHeight="1" x14ac:dyDescent="0.2">
      <c r="A220" s="709"/>
      <c r="B220" s="1110"/>
      <c r="C220" s="1110"/>
      <c r="D220" s="257"/>
      <c r="E220" s="596"/>
      <c r="H220" s="250"/>
      <c r="I220" s="250"/>
      <c r="J220" s="250"/>
      <c r="K220" s="250"/>
      <c r="L220" s="250"/>
      <c r="M220" s="250"/>
      <c r="N220" s="250"/>
      <c r="O220" s="250"/>
      <c r="P220" s="251"/>
      <c r="Q220" s="251"/>
      <c r="R220" s="251"/>
      <c r="S220" s="251"/>
      <c r="T220" s="251"/>
      <c r="U220" s="243" t="str">
        <f>INPUT!D14</f>
        <v>NO</v>
      </c>
      <c r="V220" s="2101" t="str">
        <f>CONCATENATE(INPUT!F55, " ",INPUT!G55)</f>
        <v xml:space="preserve">8.5 " x PDC PDC BIT </v>
      </c>
      <c r="W220" s="286">
        <f>Rockbits!G20</f>
        <v>1371474.0666666667</v>
      </c>
      <c r="X220" s="1447"/>
      <c r="Y220" s="348"/>
      <c r="Z220" s="348"/>
      <c r="AA220" s="246"/>
      <c r="AB220" s="246"/>
      <c r="AC220" s="246"/>
      <c r="AD220" s="246"/>
      <c r="AE220" s="2160">
        <f>IF(RH_BH="Big Hole",0,INPUT!$H55)</f>
        <v>0</v>
      </c>
      <c r="AF220" s="246"/>
      <c r="AG220" s="2158">
        <f>IF(U220="Yes",INPUT!$H55,0)</f>
        <v>0</v>
      </c>
      <c r="AH220" s="246"/>
      <c r="AI220" s="246"/>
      <c r="AJ220" s="246"/>
      <c r="AK220" s="246"/>
      <c r="AL220" s="246"/>
      <c r="AM220" s="246">
        <f>(W220*AG220)+(AE220*W220)</f>
        <v>0</v>
      </c>
      <c r="AN220" s="254"/>
      <c r="AO220" s="249"/>
      <c r="AP220" s="250"/>
      <c r="AQ220" s="250"/>
      <c r="AR220" s="250"/>
      <c r="AS220" s="250"/>
      <c r="AT220" s="250"/>
      <c r="AU220" s="250"/>
      <c r="AV220" s="249"/>
      <c r="AW220" s="249"/>
      <c r="AX220" s="249"/>
      <c r="AY220" s="249"/>
      <c r="AZ220" s="249"/>
      <c r="BA220" s="249"/>
      <c r="BB220" s="249"/>
      <c r="BC220" s="249"/>
      <c r="BD220" s="249"/>
      <c r="BE220" s="249"/>
      <c r="BF220" s="249"/>
      <c r="BG220" s="249"/>
      <c r="BH220" s="249"/>
      <c r="BI220" s="249"/>
      <c r="BJ220" s="249"/>
      <c r="BK220" s="249"/>
      <c r="BL220" s="249"/>
      <c r="BM220" s="249"/>
      <c r="BN220" s="249"/>
      <c r="BO220" s="249"/>
      <c r="BP220" s="249"/>
      <c r="BQ220" s="249"/>
      <c r="BR220" s="249"/>
      <c r="BS220" s="249"/>
      <c r="BT220" s="249"/>
      <c r="BU220" s="249"/>
      <c r="BV220" s="249"/>
      <c r="BW220" s="249"/>
      <c r="BX220" s="249"/>
      <c r="BY220" s="249"/>
      <c r="BZ220" s="249"/>
      <c r="CA220" s="249"/>
      <c r="CB220" s="249"/>
      <c r="CC220" s="249"/>
      <c r="CD220" s="249"/>
      <c r="CE220" s="249"/>
      <c r="CF220" s="249"/>
      <c r="CG220" s="249"/>
      <c r="CH220" s="249"/>
      <c r="CI220" s="249"/>
      <c r="CJ220" s="249"/>
      <c r="CK220" s="249"/>
      <c r="CL220" s="249"/>
      <c r="CM220" s="249"/>
      <c r="CN220" s="249"/>
      <c r="CO220" s="249"/>
      <c r="CP220" s="249"/>
      <c r="CQ220" s="249"/>
      <c r="CR220" s="249"/>
      <c r="CS220" s="249"/>
      <c r="CT220" s="249"/>
      <c r="CU220" s="249"/>
      <c r="CV220" s="249"/>
      <c r="CW220" s="249"/>
      <c r="CX220" s="249"/>
      <c r="CY220" s="249"/>
      <c r="CZ220" s="249"/>
      <c r="DA220" s="249"/>
      <c r="DB220" s="249"/>
      <c r="DC220" s="249"/>
      <c r="DD220" s="249"/>
      <c r="DE220" s="249"/>
      <c r="DF220" s="249"/>
      <c r="DG220" s="249"/>
      <c r="DH220" s="249"/>
      <c r="DI220" s="249"/>
      <c r="DJ220" s="249"/>
      <c r="DK220" s="249"/>
      <c r="DL220" s="249"/>
      <c r="DM220" s="249"/>
      <c r="DN220" s="249"/>
      <c r="DO220" s="249"/>
      <c r="DP220" s="249"/>
      <c r="DQ220" s="249"/>
      <c r="DR220" s="249"/>
      <c r="DS220" s="249"/>
      <c r="DT220" s="249"/>
      <c r="DU220" s="249"/>
      <c r="DV220" s="249"/>
      <c r="DW220" s="249"/>
      <c r="DX220" s="249"/>
      <c r="DY220" s="249"/>
      <c r="DZ220" s="249"/>
      <c r="EA220" s="249"/>
      <c r="EB220" s="249"/>
      <c r="EC220" s="249"/>
      <c r="ED220" s="249"/>
      <c r="EE220" s="249"/>
      <c r="EF220" s="249"/>
      <c r="EG220" s="249"/>
      <c r="EH220" s="249"/>
      <c r="EI220" s="249"/>
      <c r="EJ220" s="249"/>
      <c r="EK220" s="249"/>
      <c r="EL220" s="249"/>
      <c r="EM220" s="249"/>
      <c r="EN220" s="249"/>
      <c r="EO220" s="249"/>
      <c r="EP220" s="249"/>
      <c r="EQ220" s="249"/>
      <c r="ER220" s="249"/>
      <c r="ES220" s="249"/>
      <c r="ET220" s="249"/>
      <c r="EU220" s="249"/>
      <c r="EV220" s="249"/>
      <c r="EW220" s="249"/>
      <c r="EX220" s="249"/>
      <c r="EY220" s="249"/>
      <c r="EZ220" s="249"/>
      <c r="FA220" s="249"/>
      <c r="FB220" s="249"/>
      <c r="FC220" s="249"/>
      <c r="FD220" s="249"/>
      <c r="FE220" s="249"/>
      <c r="FF220" s="249"/>
      <c r="FG220" s="249"/>
      <c r="FH220" s="249"/>
      <c r="FI220" s="249"/>
      <c r="FJ220" s="249"/>
      <c r="FK220" s="249"/>
      <c r="FL220" s="249"/>
      <c r="FM220" s="249"/>
      <c r="FN220" s="249"/>
      <c r="FO220" s="249"/>
      <c r="FP220" s="249"/>
      <c r="FQ220" s="249"/>
      <c r="FR220" s="249"/>
      <c r="FS220" s="249"/>
      <c r="FT220" s="249"/>
      <c r="FU220" s="249"/>
      <c r="FV220" s="249"/>
      <c r="FW220" s="249"/>
      <c r="FX220" s="249"/>
      <c r="FY220" s="249"/>
      <c r="FZ220" s="249"/>
      <c r="GA220" s="249"/>
      <c r="GB220" s="249"/>
      <c r="GC220" s="249"/>
      <c r="GD220" s="249"/>
      <c r="GE220" s="249"/>
      <c r="GF220" s="249"/>
      <c r="GG220" s="249"/>
      <c r="GH220" s="249"/>
      <c r="GI220" s="249"/>
      <c r="GJ220" s="249"/>
      <c r="GK220" s="249"/>
      <c r="GL220" s="249"/>
      <c r="GM220" s="249"/>
      <c r="GN220" s="249"/>
      <c r="GO220" s="249"/>
      <c r="GP220" s="249"/>
      <c r="GQ220" s="249"/>
      <c r="GR220" s="249"/>
    </row>
    <row r="221" spans="1:200" s="252" customFormat="1" ht="12.75" customHeight="1" x14ac:dyDescent="0.2">
      <c r="A221" s="709"/>
      <c r="B221" s="1110"/>
      <c r="C221" s="1110"/>
      <c r="D221" s="257"/>
      <c r="E221" s="596"/>
      <c r="H221" s="250"/>
      <c r="I221" s="250"/>
      <c r="J221" s="250"/>
      <c r="K221" s="250"/>
      <c r="L221" s="250"/>
      <c r="M221" s="250"/>
      <c r="N221" s="250"/>
      <c r="O221" s="250"/>
      <c r="P221" s="251"/>
      <c r="Q221" s="251"/>
      <c r="R221" s="251"/>
      <c r="S221" s="251"/>
      <c r="T221" s="251"/>
      <c r="U221" s="243" t="str">
        <f>U220</f>
        <v>NO</v>
      </c>
      <c r="V221" s="2101" t="str">
        <f>CONCATENATE(INPUT!F56, " ",INPUT!G56)</f>
        <v>8.5 " x Tricone IADC 117 / 217</v>
      </c>
      <c r="W221" s="286">
        <f>Rockbits!G21</f>
        <v>318297.98</v>
      </c>
      <c r="X221" s="1447"/>
      <c r="Y221" s="348"/>
      <c r="Z221" s="348"/>
      <c r="AA221" s="246"/>
      <c r="AB221" s="246"/>
      <c r="AC221" s="246"/>
      <c r="AD221" s="246"/>
      <c r="AE221" s="2160">
        <f>IF(RH_BH="Big Hole",0,INPUT!$H56)</f>
        <v>0</v>
      </c>
      <c r="AF221" s="246"/>
      <c r="AG221" s="2158">
        <f>IF(U221="Yes",INPUT!$H56,0)</f>
        <v>0</v>
      </c>
      <c r="AH221" s="246"/>
      <c r="AI221" s="246"/>
      <c r="AJ221" s="246"/>
      <c r="AK221" s="246"/>
      <c r="AL221" s="246"/>
      <c r="AM221" s="246">
        <f>(W221*AG221)+(AE221*W221)</f>
        <v>0</v>
      </c>
      <c r="AN221" s="254"/>
      <c r="AO221" s="249"/>
      <c r="AP221" s="250"/>
      <c r="AQ221" s="250"/>
      <c r="AR221" s="250"/>
      <c r="AS221" s="250"/>
      <c r="AT221" s="250"/>
      <c r="AU221" s="250"/>
      <c r="AV221" s="249"/>
      <c r="AW221" s="249"/>
      <c r="AX221" s="249"/>
      <c r="AY221" s="249"/>
      <c r="AZ221" s="249"/>
      <c r="BA221" s="249"/>
      <c r="BB221" s="249"/>
      <c r="BC221" s="249"/>
      <c r="BD221" s="249"/>
      <c r="BE221" s="249"/>
      <c r="BF221" s="249"/>
      <c r="BG221" s="249"/>
      <c r="BH221" s="249"/>
      <c r="BI221" s="249"/>
      <c r="BJ221" s="249"/>
      <c r="BK221" s="249"/>
      <c r="BL221" s="249"/>
      <c r="BM221" s="249"/>
      <c r="BN221" s="249"/>
      <c r="BO221" s="249"/>
      <c r="BP221" s="249"/>
      <c r="BQ221" s="249"/>
      <c r="BR221" s="249"/>
      <c r="BS221" s="249"/>
      <c r="BT221" s="249"/>
      <c r="BU221" s="249"/>
      <c r="BV221" s="249"/>
      <c r="BW221" s="249"/>
      <c r="BX221" s="249"/>
      <c r="BY221" s="249"/>
      <c r="BZ221" s="249"/>
      <c r="CA221" s="249"/>
      <c r="CB221" s="249"/>
      <c r="CC221" s="249"/>
      <c r="CD221" s="249"/>
      <c r="CE221" s="249"/>
      <c r="CF221" s="249"/>
      <c r="CG221" s="249"/>
      <c r="CH221" s="249"/>
      <c r="CI221" s="249"/>
      <c r="CJ221" s="249"/>
      <c r="CK221" s="249"/>
      <c r="CL221" s="249"/>
      <c r="CM221" s="249"/>
      <c r="CN221" s="249"/>
      <c r="CO221" s="249"/>
      <c r="CP221" s="249"/>
      <c r="CQ221" s="249"/>
      <c r="CR221" s="249"/>
      <c r="CS221" s="249"/>
      <c r="CT221" s="249"/>
      <c r="CU221" s="249"/>
      <c r="CV221" s="249"/>
      <c r="CW221" s="249"/>
      <c r="CX221" s="249"/>
      <c r="CY221" s="249"/>
      <c r="CZ221" s="249"/>
      <c r="DA221" s="249"/>
      <c r="DB221" s="249"/>
      <c r="DC221" s="249"/>
      <c r="DD221" s="249"/>
      <c r="DE221" s="249"/>
      <c r="DF221" s="249"/>
      <c r="DG221" s="249"/>
      <c r="DH221" s="249"/>
      <c r="DI221" s="249"/>
      <c r="DJ221" s="249"/>
      <c r="DK221" s="249"/>
      <c r="DL221" s="249"/>
      <c r="DM221" s="249"/>
      <c r="DN221" s="249"/>
      <c r="DO221" s="249"/>
      <c r="DP221" s="249"/>
      <c r="DQ221" s="249"/>
      <c r="DR221" s="249"/>
      <c r="DS221" s="249"/>
      <c r="DT221" s="249"/>
      <c r="DU221" s="249"/>
      <c r="DV221" s="249"/>
      <c r="DW221" s="249"/>
      <c r="DX221" s="249"/>
      <c r="DY221" s="249"/>
      <c r="DZ221" s="249"/>
      <c r="EA221" s="249"/>
      <c r="EB221" s="249"/>
      <c r="EC221" s="249"/>
      <c r="ED221" s="249"/>
      <c r="EE221" s="249"/>
      <c r="EF221" s="249"/>
      <c r="EG221" s="249"/>
      <c r="EH221" s="249"/>
      <c r="EI221" s="249"/>
      <c r="EJ221" s="249"/>
      <c r="EK221" s="249"/>
      <c r="EL221" s="249"/>
      <c r="EM221" s="249"/>
      <c r="EN221" s="249"/>
      <c r="EO221" s="249"/>
      <c r="EP221" s="249"/>
      <c r="EQ221" s="249"/>
      <c r="ER221" s="249"/>
      <c r="ES221" s="249"/>
      <c r="ET221" s="249"/>
      <c r="EU221" s="249"/>
      <c r="EV221" s="249"/>
      <c r="EW221" s="249"/>
      <c r="EX221" s="249"/>
      <c r="EY221" s="249"/>
      <c r="EZ221" s="249"/>
      <c r="FA221" s="249"/>
      <c r="FB221" s="249"/>
      <c r="FC221" s="249"/>
      <c r="FD221" s="249"/>
      <c r="FE221" s="249"/>
      <c r="FF221" s="249"/>
      <c r="FG221" s="249"/>
      <c r="FH221" s="249"/>
      <c r="FI221" s="249"/>
      <c r="FJ221" s="249"/>
      <c r="FK221" s="249"/>
      <c r="FL221" s="249"/>
      <c r="FM221" s="249"/>
      <c r="FN221" s="249"/>
      <c r="FO221" s="249"/>
      <c r="FP221" s="249"/>
      <c r="FQ221" s="249"/>
      <c r="FR221" s="249"/>
      <c r="FS221" s="249"/>
      <c r="FT221" s="249"/>
      <c r="FU221" s="249"/>
      <c r="FV221" s="249"/>
      <c r="FW221" s="249"/>
      <c r="FX221" s="249"/>
      <c r="FY221" s="249"/>
      <c r="FZ221" s="249"/>
      <c r="GA221" s="249"/>
      <c r="GB221" s="249"/>
      <c r="GC221" s="249"/>
      <c r="GD221" s="249"/>
      <c r="GE221" s="249"/>
      <c r="GF221" s="249"/>
      <c r="GG221" s="249"/>
      <c r="GH221" s="249"/>
      <c r="GI221" s="249"/>
      <c r="GJ221" s="249"/>
      <c r="GK221" s="249"/>
      <c r="GL221" s="249"/>
      <c r="GM221" s="249"/>
      <c r="GN221" s="249"/>
      <c r="GO221" s="249"/>
      <c r="GP221" s="249"/>
      <c r="GQ221" s="249"/>
      <c r="GR221" s="249"/>
    </row>
    <row r="222" spans="1:200" s="252" customFormat="1" ht="12.75" customHeight="1" x14ac:dyDescent="0.2">
      <c r="A222" s="709"/>
      <c r="B222" s="1110"/>
      <c r="C222" s="1110"/>
      <c r="D222" s="257"/>
      <c r="E222" s="596"/>
      <c r="H222" s="250"/>
      <c r="I222" s="250"/>
      <c r="J222" s="250"/>
      <c r="K222" s="250"/>
      <c r="L222" s="250"/>
      <c r="M222" s="250"/>
      <c r="N222" s="250"/>
      <c r="O222" s="250"/>
      <c r="P222" s="251"/>
      <c r="Q222" s="251"/>
      <c r="R222" s="251"/>
      <c r="S222" s="251"/>
      <c r="T222" s="251"/>
      <c r="U222" s="243" t="str">
        <f>U221</f>
        <v>NO</v>
      </c>
      <c r="V222" s="2101" t="str">
        <f>CONCATENATE(INPUT!F57, " ",INPUT!G57)</f>
        <v>8.5 " x Tricone IADC 637</v>
      </c>
      <c r="W222" s="286">
        <f>Rockbits!G22</f>
        <v>0</v>
      </c>
      <c r="X222" s="1447"/>
      <c r="Y222" s="348"/>
      <c r="Z222" s="348"/>
      <c r="AA222" s="348"/>
      <c r="AB222" s="348"/>
      <c r="AC222" s="348"/>
      <c r="AD222" s="348"/>
      <c r="AE222" s="2160">
        <f>IF(RH_BH="Big Hole",0,INPUT!$H57)</f>
        <v>0</v>
      </c>
      <c r="AF222" s="348"/>
      <c r="AG222" s="2158">
        <f>IF(U222="Yes",INPUT!$H57,0)</f>
        <v>0</v>
      </c>
      <c r="AH222" s="246"/>
      <c r="AI222" s="246"/>
      <c r="AJ222" s="246"/>
      <c r="AK222" s="246"/>
      <c r="AL222" s="246"/>
      <c r="AM222" s="246">
        <f>(W222*AG222)+(AE222*W222)</f>
        <v>0</v>
      </c>
      <c r="AN222" s="254"/>
      <c r="AO222" s="249"/>
      <c r="AP222" s="250"/>
      <c r="AQ222" s="250"/>
      <c r="AR222" s="250"/>
      <c r="AS222" s="250"/>
      <c r="AT222" s="250"/>
      <c r="AU222" s="250"/>
      <c r="AV222" s="249"/>
      <c r="AW222" s="249"/>
      <c r="AX222" s="249"/>
      <c r="AY222" s="249"/>
      <c r="AZ222" s="249"/>
      <c r="BA222" s="249"/>
      <c r="BB222" s="249"/>
      <c r="BC222" s="249"/>
      <c r="BD222" s="249"/>
      <c r="BE222" s="249"/>
      <c r="BF222" s="249"/>
      <c r="BG222" s="249"/>
      <c r="BH222" s="249"/>
      <c r="BI222" s="249"/>
      <c r="BJ222" s="249"/>
      <c r="BK222" s="249"/>
      <c r="BL222" s="249"/>
      <c r="BM222" s="249"/>
      <c r="BN222" s="249"/>
      <c r="BO222" s="249"/>
      <c r="BP222" s="249"/>
      <c r="BQ222" s="249"/>
      <c r="BR222" s="249"/>
      <c r="BS222" s="249"/>
      <c r="BT222" s="249"/>
      <c r="BU222" s="249"/>
      <c r="BV222" s="249"/>
      <c r="BW222" s="249"/>
      <c r="BX222" s="249"/>
      <c r="BY222" s="249"/>
      <c r="BZ222" s="249"/>
      <c r="CA222" s="249"/>
      <c r="CB222" s="249"/>
      <c r="CC222" s="249"/>
      <c r="CD222" s="249"/>
      <c r="CE222" s="249"/>
      <c r="CF222" s="249"/>
      <c r="CG222" s="249"/>
      <c r="CH222" s="249"/>
      <c r="CI222" s="249"/>
      <c r="CJ222" s="249"/>
      <c r="CK222" s="249"/>
      <c r="CL222" s="249"/>
      <c r="CM222" s="249"/>
      <c r="CN222" s="249"/>
      <c r="CO222" s="249"/>
      <c r="CP222" s="249"/>
      <c r="CQ222" s="249"/>
      <c r="CR222" s="249"/>
      <c r="CS222" s="249"/>
      <c r="CT222" s="249"/>
      <c r="CU222" s="249"/>
      <c r="CV222" s="249"/>
      <c r="CW222" s="249"/>
      <c r="CX222" s="249"/>
      <c r="CY222" s="249"/>
      <c r="CZ222" s="249"/>
      <c r="DA222" s="249"/>
      <c r="DB222" s="249"/>
      <c r="DC222" s="249"/>
      <c r="DD222" s="249"/>
      <c r="DE222" s="249"/>
      <c r="DF222" s="249"/>
      <c r="DG222" s="249"/>
      <c r="DH222" s="249"/>
      <c r="DI222" s="249"/>
      <c r="DJ222" s="249"/>
      <c r="DK222" s="249"/>
      <c r="DL222" s="249"/>
      <c r="DM222" s="249"/>
      <c r="DN222" s="249"/>
      <c r="DO222" s="249"/>
      <c r="DP222" s="249"/>
      <c r="DQ222" s="249"/>
      <c r="DR222" s="249"/>
      <c r="DS222" s="249"/>
      <c r="DT222" s="249"/>
      <c r="DU222" s="249"/>
      <c r="DV222" s="249"/>
      <c r="DW222" s="249"/>
      <c r="DX222" s="249"/>
      <c r="DY222" s="249"/>
      <c r="DZ222" s="249"/>
      <c r="EA222" s="249"/>
      <c r="EB222" s="249"/>
      <c r="EC222" s="249"/>
      <c r="ED222" s="249"/>
      <c r="EE222" s="249"/>
      <c r="EF222" s="249"/>
      <c r="EG222" s="249"/>
      <c r="EH222" s="249"/>
      <c r="EI222" s="249"/>
      <c r="EJ222" s="249"/>
      <c r="EK222" s="249"/>
      <c r="EL222" s="249"/>
      <c r="EM222" s="249"/>
      <c r="EN222" s="249"/>
      <c r="EO222" s="249"/>
      <c r="EP222" s="249"/>
      <c r="EQ222" s="249"/>
      <c r="ER222" s="249"/>
      <c r="ES222" s="249"/>
      <c r="ET222" s="249"/>
      <c r="EU222" s="249"/>
      <c r="EV222" s="249"/>
      <c r="EW222" s="249"/>
      <c r="EX222" s="249"/>
      <c r="EY222" s="249"/>
      <c r="EZ222" s="249"/>
      <c r="FA222" s="249"/>
      <c r="FB222" s="249"/>
      <c r="FC222" s="249"/>
      <c r="FD222" s="249"/>
      <c r="FE222" s="249"/>
      <c r="FF222" s="249"/>
      <c r="FG222" s="249"/>
      <c r="FH222" s="249"/>
      <c r="FI222" s="249"/>
      <c r="FJ222" s="249"/>
      <c r="FK222" s="249"/>
      <c r="FL222" s="249"/>
      <c r="FM222" s="249"/>
      <c r="FN222" s="249"/>
      <c r="FO222" s="249"/>
      <c r="FP222" s="249"/>
      <c r="FQ222" s="249"/>
      <c r="FR222" s="249"/>
      <c r="FS222" s="249"/>
      <c r="FT222" s="249"/>
      <c r="FU222" s="249"/>
      <c r="FV222" s="249"/>
      <c r="FW222" s="249"/>
      <c r="FX222" s="249"/>
      <c r="FY222" s="249"/>
      <c r="FZ222" s="249"/>
      <c r="GA222" s="249"/>
      <c r="GB222" s="249"/>
      <c r="GC222" s="249"/>
      <c r="GD222" s="249"/>
      <c r="GE222" s="249"/>
      <c r="GF222" s="249"/>
      <c r="GG222" s="249"/>
      <c r="GH222" s="249"/>
      <c r="GI222" s="249"/>
      <c r="GJ222" s="249"/>
      <c r="GK222" s="249"/>
      <c r="GL222" s="249"/>
      <c r="GM222" s="249"/>
      <c r="GN222" s="249"/>
      <c r="GO222" s="249"/>
      <c r="GP222" s="249"/>
      <c r="GQ222" s="249"/>
      <c r="GR222" s="249"/>
    </row>
    <row r="223" spans="1:200" s="252" customFormat="1" ht="12.75" customHeight="1" x14ac:dyDescent="0.2">
      <c r="A223" s="709"/>
      <c r="B223" s="1110"/>
      <c r="C223" s="1110"/>
      <c r="D223" s="257"/>
      <c r="E223" s="596"/>
      <c r="H223" s="250"/>
      <c r="I223" s="250"/>
      <c r="J223" s="250"/>
      <c r="K223" s="250"/>
      <c r="L223" s="250"/>
      <c r="M223" s="250"/>
      <c r="N223" s="250"/>
      <c r="O223" s="250"/>
      <c r="P223" s="251"/>
      <c r="Q223" s="251"/>
      <c r="R223" s="251"/>
      <c r="S223" s="251"/>
      <c r="T223" s="251"/>
      <c r="U223" s="243"/>
      <c r="V223" s="2101" t="str">
        <f>CONCATENATE(INPUT!F58, " ",INPUT!G58)</f>
        <v>7-7/8 " x PDC PDC Bit</v>
      </c>
      <c r="W223" s="286">
        <f>Rockbits!G23</f>
        <v>1123603.3799999999</v>
      </c>
      <c r="X223" s="1447"/>
      <c r="Y223" s="348"/>
      <c r="Z223" s="348"/>
      <c r="AA223" s="348"/>
      <c r="AB223" s="348"/>
      <c r="AC223" s="348"/>
      <c r="AD223" s="348"/>
      <c r="AE223" s="348"/>
      <c r="AF223" s="348"/>
      <c r="AG223" s="348"/>
      <c r="AH223" s="246"/>
      <c r="AI223" s="2159">
        <f>IF(RH_BH="Regular Hole",0,INPUT!$H58)*IF($AI$203="",0,1)</f>
        <v>0</v>
      </c>
      <c r="AJ223" s="246"/>
      <c r="AK223" s="246"/>
      <c r="AL223" s="246"/>
      <c r="AM223" s="246">
        <f>(W223*AI223)</f>
        <v>0</v>
      </c>
      <c r="AN223" s="254"/>
      <c r="AO223" s="249"/>
      <c r="AP223" s="250"/>
      <c r="AQ223" s="250"/>
      <c r="AR223" s="250"/>
      <c r="AS223" s="250"/>
      <c r="AT223" s="250"/>
      <c r="AU223" s="250"/>
      <c r="AV223" s="249"/>
      <c r="AW223" s="249"/>
      <c r="AX223" s="249"/>
      <c r="AY223" s="249"/>
      <c r="AZ223" s="249"/>
      <c r="BA223" s="249"/>
      <c r="BB223" s="249"/>
      <c r="BC223" s="249"/>
      <c r="BD223" s="249"/>
      <c r="BE223" s="249"/>
      <c r="BF223" s="249"/>
      <c r="BG223" s="249"/>
      <c r="BH223" s="249"/>
      <c r="BI223" s="249"/>
      <c r="BJ223" s="249"/>
      <c r="BK223" s="249"/>
      <c r="BL223" s="249"/>
      <c r="BM223" s="249"/>
      <c r="BN223" s="249"/>
      <c r="BO223" s="249"/>
      <c r="BP223" s="249"/>
      <c r="BQ223" s="249"/>
      <c r="BR223" s="249"/>
      <c r="BS223" s="249"/>
      <c r="BT223" s="249"/>
      <c r="BU223" s="249"/>
      <c r="BV223" s="249"/>
      <c r="BW223" s="249"/>
      <c r="BX223" s="249"/>
      <c r="BY223" s="249"/>
      <c r="BZ223" s="249"/>
      <c r="CA223" s="249"/>
      <c r="CB223" s="249"/>
      <c r="CC223" s="249"/>
      <c r="CD223" s="249"/>
      <c r="CE223" s="249"/>
      <c r="CF223" s="249"/>
      <c r="CG223" s="249"/>
      <c r="CH223" s="249"/>
      <c r="CI223" s="249"/>
      <c r="CJ223" s="249"/>
      <c r="CK223" s="249"/>
      <c r="CL223" s="249"/>
      <c r="CM223" s="249"/>
      <c r="CN223" s="249"/>
      <c r="CO223" s="249"/>
      <c r="CP223" s="249"/>
      <c r="CQ223" s="249"/>
      <c r="CR223" s="249"/>
      <c r="CS223" s="249"/>
      <c r="CT223" s="249"/>
      <c r="CU223" s="249"/>
      <c r="CV223" s="249"/>
      <c r="CW223" s="249"/>
      <c r="CX223" s="249"/>
      <c r="CY223" s="249"/>
      <c r="CZ223" s="249"/>
      <c r="DA223" s="249"/>
      <c r="DB223" s="249"/>
      <c r="DC223" s="249"/>
      <c r="DD223" s="249"/>
      <c r="DE223" s="249"/>
      <c r="DF223" s="249"/>
      <c r="DG223" s="249"/>
      <c r="DH223" s="249"/>
      <c r="DI223" s="249"/>
      <c r="DJ223" s="249"/>
      <c r="DK223" s="249"/>
      <c r="DL223" s="249"/>
      <c r="DM223" s="249"/>
      <c r="DN223" s="249"/>
      <c r="DO223" s="249"/>
      <c r="DP223" s="249"/>
      <c r="DQ223" s="249"/>
      <c r="DR223" s="249"/>
      <c r="DS223" s="249"/>
      <c r="DT223" s="249"/>
      <c r="DU223" s="249"/>
      <c r="DV223" s="249"/>
      <c r="DW223" s="249"/>
      <c r="DX223" s="249"/>
      <c r="DY223" s="249"/>
      <c r="DZ223" s="249"/>
      <c r="EA223" s="249"/>
      <c r="EB223" s="249"/>
      <c r="EC223" s="249"/>
      <c r="ED223" s="249"/>
      <c r="EE223" s="249"/>
      <c r="EF223" s="249"/>
      <c r="EG223" s="249"/>
      <c r="EH223" s="249"/>
      <c r="EI223" s="249"/>
      <c r="EJ223" s="249"/>
      <c r="EK223" s="249"/>
      <c r="EL223" s="249"/>
      <c r="EM223" s="249"/>
      <c r="EN223" s="249"/>
      <c r="EO223" s="249"/>
      <c r="EP223" s="249"/>
      <c r="EQ223" s="249"/>
      <c r="ER223" s="249"/>
      <c r="ES223" s="249"/>
      <c r="ET223" s="249"/>
      <c r="EU223" s="249"/>
      <c r="EV223" s="249"/>
      <c r="EW223" s="249"/>
      <c r="EX223" s="249"/>
      <c r="EY223" s="249"/>
      <c r="EZ223" s="249"/>
      <c r="FA223" s="249"/>
      <c r="FB223" s="249"/>
      <c r="FC223" s="249"/>
      <c r="FD223" s="249"/>
      <c r="FE223" s="249"/>
      <c r="FF223" s="249"/>
      <c r="FG223" s="249"/>
      <c r="FH223" s="249"/>
      <c r="FI223" s="249"/>
      <c r="FJ223" s="249"/>
      <c r="FK223" s="249"/>
      <c r="FL223" s="249"/>
      <c r="FM223" s="249"/>
      <c r="FN223" s="249"/>
      <c r="FO223" s="249"/>
      <c r="FP223" s="249"/>
      <c r="FQ223" s="249"/>
      <c r="FR223" s="249"/>
      <c r="FS223" s="249"/>
      <c r="FT223" s="249"/>
      <c r="FU223" s="249"/>
      <c r="FV223" s="249"/>
      <c r="FW223" s="249"/>
      <c r="FX223" s="249"/>
      <c r="FY223" s="249"/>
      <c r="FZ223" s="249"/>
      <c r="GA223" s="249"/>
      <c r="GB223" s="249"/>
      <c r="GC223" s="249"/>
      <c r="GD223" s="249"/>
      <c r="GE223" s="249"/>
      <c r="GF223" s="249"/>
      <c r="GG223" s="249"/>
      <c r="GH223" s="249"/>
      <c r="GI223" s="249"/>
      <c r="GJ223" s="249"/>
      <c r="GK223" s="249"/>
      <c r="GL223" s="249"/>
      <c r="GM223" s="249"/>
      <c r="GN223" s="249"/>
      <c r="GO223" s="249"/>
      <c r="GP223" s="249"/>
      <c r="GQ223" s="249"/>
      <c r="GR223" s="249"/>
    </row>
    <row r="224" spans="1:200" s="252" customFormat="1" ht="12.75" customHeight="1" x14ac:dyDescent="0.2">
      <c r="A224" s="709"/>
      <c r="B224" s="1110"/>
      <c r="C224" s="1110"/>
      <c r="D224" s="257"/>
      <c r="E224" s="596"/>
      <c r="H224" s="250"/>
      <c r="I224" s="250"/>
      <c r="J224" s="250"/>
      <c r="K224" s="250"/>
      <c r="L224" s="250"/>
      <c r="M224" s="250"/>
      <c r="N224" s="250"/>
      <c r="O224" s="250"/>
      <c r="P224" s="251"/>
      <c r="Q224" s="251"/>
      <c r="R224" s="251"/>
      <c r="S224" s="251"/>
      <c r="T224" s="251"/>
      <c r="U224" s="243"/>
      <c r="V224" s="2101" t="str">
        <f>CONCATENATE(INPUT!F59, " ",INPUT!G59)</f>
        <v>7-7/8 " x Tricone IADC 217</v>
      </c>
      <c r="W224" s="286">
        <f>Rockbits!G24</f>
        <v>267211.71999999997</v>
      </c>
      <c r="X224" s="1447"/>
      <c r="Y224" s="348"/>
      <c r="Z224" s="348"/>
      <c r="AA224" s="348"/>
      <c r="AB224" s="348"/>
      <c r="AC224" s="348"/>
      <c r="AD224" s="348"/>
      <c r="AE224" s="348"/>
      <c r="AF224" s="348"/>
      <c r="AG224" s="348"/>
      <c r="AH224" s="246"/>
      <c r="AI224" s="2159">
        <f>IF(RH_BH="Regular Hole",0,INPUT!$H59)*IF($AI$203="",0,1)</f>
        <v>0</v>
      </c>
      <c r="AJ224" s="246"/>
      <c r="AK224" s="246"/>
      <c r="AL224" s="246"/>
      <c r="AM224" s="246">
        <f>(W224*AI224)</f>
        <v>0</v>
      </c>
      <c r="AN224" s="254"/>
      <c r="AO224" s="249"/>
      <c r="AP224" s="250"/>
      <c r="AQ224" s="250"/>
      <c r="AR224" s="250"/>
      <c r="AS224" s="250"/>
      <c r="AT224" s="250"/>
      <c r="AU224" s="250"/>
      <c r="AV224" s="249"/>
      <c r="AW224" s="249"/>
      <c r="AX224" s="249"/>
      <c r="AY224" s="249"/>
      <c r="AZ224" s="249"/>
      <c r="BA224" s="249"/>
      <c r="BB224" s="249"/>
      <c r="BC224" s="249"/>
      <c r="BD224" s="249"/>
      <c r="BE224" s="249"/>
      <c r="BF224" s="249"/>
      <c r="BG224" s="249"/>
      <c r="BH224" s="249"/>
      <c r="BI224" s="249"/>
      <c r="BJ224" s="249"/>
      <c r="BK224" s="249"/>
      <c r="BL224" s="249"/>
      <c r="BM224" s="249"/>
      <c r="BN224" s="249"/>
      <c r="BO224" s="249"/>
      <c r="BP224" s="249"/>
      <c r="BQ224" s="249"/>
      <c r="BR224" s="249"/>
      <c r="BS224" s="249"/>
      <c r="BT224" s="249"/>
      <c r="BU224" s="249"/>
      <c r="BV224" s="249"/>
      <c r="BW224" s="249"/>
      <c r="BX224" s="249"/>
      <c r="BY224" s="249"/>
      <c r="BZ224" s="249"/>
      <c r="CA224" s="249"/>
      <c r="CB224" s="249"/>
      <c r="CC224" s="249"/>
      <c r="CD224" s="249"/>
      <c r="CE224" s="249"/>
      <c r="CF224" s="249"/>
      <c r="CG224" s="249"/>
      <c r="CH224" s="249"/>
      <c r="CI224" s="249"/>
      <c r="CJ224" s="249"/>
      <c r="CK224" s="249"/>
      <c r="CL224" s="249"/>
      <c r="CM224" s="249"/>
      <c r="CN224" s="249"/>
      <c r="CO224" s="249"/>
      <c r="CP224" s="249"/>
      <c r="CQ224" s="249"/>
      <c r="CR224" s="249"/>
      <c r="CS224" s="249"/>
      <c r="CT224" s="249"/>
      <c r="CU224" s="249"/>
      <c r="CV224" s="249"/>
      <c r="CW224" s="249"/>
      <c r="CX224" s="249"/>
      <c r="CY224" s="249"/>
      <c r="CZ224" s="249"/>
      <c r="DA224" s="249"/>
      <c r="DB224" s="249"/>
      <c r="DC224" s="249"/>
      <c r="DD224" s="249"/>
      <c r="DE224" s="249"/>
      <c r="DF224" s="249"/>
      <c r="DG224" s="249"/>
      <c r="DH224" s="249"/>
      <c r="DI224" s="249"/>
      <c r="DJ224" s="249"/>
      <c r="DK224" s="249"/>
      <c r="DL224" s="249"/>
      <c r="DM224" s="249"/>
      <c r="DN224" s="249"/>
      <c r="DO224" s="249"/>
      <c r="DP224" s="249"/>
      <c r="DQ224" s="249"/>
      <c r="DR224" s="249"/>
      <c r="DS224" s="249"/>
      <c r="DT224" s="249"/>
      <c r="DU224" s="249"/>
      <c r="DV224" s="249"/>
      <c r="DW224" s="249"/>
      <c r="DX224" s="249"/>
      <c r="DY224" s="249"/>
      <c r="DZ224" s="249"/>
      <c r="EA224" s="249"/>
      <c r="EB224" s="249"/>
      <c r="EC224" s="249"/>
      <c r="ED224" s="249"/>
      <c r="EE224" s="249"/>
      <c r="EF224" s="249"/>
      <c r="EG224" s="249"/>
      <c r="EH224" s="249"/>
      <c r="EI224" s="249"/>
      <c r="EJ224" s="249"/>
      <c r="EK224" s="249"/>
      <c r="EL224" s="249"/>
      <c r="EM224" s="249"/>
      <c r="EN224" s="249"/>
      <c r="EO224" s="249"/>
      <c r="EP224" s="249"/>
      <c r="EQ224" s="249"/>
      <c r="ER224" s="249"/>
      <c r="ES224" s="249"/>
      <c r="ET224" s="249"/>
      <c r="EU224" s="249"/>
      <c r="EV224" s="249"/>
      <c r="EW224" s="249"/>
      <c r="EX224" s="249"/>
      <c r="EY224" s="249"/>
      <c r="EZ224" s="249"/>
      <c r="FA224" s="249"/>
      <c r="FB224" s="249"/>
      <c r="FC224" s="249"/>
      <c r="FD224" s="249"/>
      <c r="FE224" s="249"/>
      <c r="FF224" s="249"/>
      <c r="FG224" s="249"/>
      <c r="FH224" s="249"/>
      <c r="FI224" s="249"/>
      <c r="FJ224" s="249"/>
      <c r="FK224" s="249"/>
      <c r="FL224" s="249"/>
      <c r="FM224" s="249"/>
      <c r="FN224" s="249"/>
      <c r="FO224" s="249"/>
      <c r="FP224" s="249"/>
      <c r="FQ224" s="249"/>
      <c r="FR224" s="249"/>
      <c r="FS224" s="249"/>
      <c r="FT224" s="249"/>
      <c r="FU224" s="249"/>
      <c r="FV224" s="249"/>
      <c r="FW224" s="249"/>
      <c r="FX224" s="249"/>
      <c r="FY224" s="249"/>
      <c r="FZ224" s="249"/>
      <c r="GA224" s="249"/>
      <c r="GB224" s="249"/>
      <c r="GC224" s="249"/>
      <c r="GD224" s="249"/>
      <c r="GE224" s="249"/>
      <c r="GF224" s="249"/>
      <c r="GG224" s="249"/>
      <c r="GH224" s="249"/>
      <c r="GI224" s="249"/>
      <c r="GJ224" s="249"/>
      <c r="GK224" s="249"/>
      <c r="GL224" s="249"/>
      <c r="GM224" s="249"/>
      <c r="GN224" s="249"/>
      <c r="GO224" s="249"/>
      <c r="GP224" s="249"/>
      <c r="GQ224" s="249"/>
      <c r="GR224" s="249"/>
    </row>
    <row r="225" spans="1:200" s="252" customFormat="1" ht="12.75" customHeight="1" x14ac:dyDescent="0.2">
      <c r="A225" s="709"/>
      <c r="B225" s="1110"/>
      <c r="C225" s="1110"/>
      <c r="D225" s="257"/>
      <c r="E225" s="596" t="s">
        <v>654</v>
      </c>
      <c r="G225" s="250"/>
      <c r="H225" s="250"/>
      <c r="I225" s="250"/>
      <c r="J225" s="250"/>
      <c r="K225" s="250"/>
      <c r="L225" s="250"/>
      <c r="M225" s="250"/>
      <c r="N225" s="250"/>
      <c r="O225" s="250"/>
      <c r="P225" s="251"/>
      <c r="Q225" s="251"/>
      <c r="R225" s="251"/>
      <c r="S225" s="251"/>
      <c r="T225" s="251"/>
      <c r="U225" s="243"/>
      <c r="V225" s="2101" t="str">
        <f>CONCATENATE(INPUT!F60, " ",INPUT!G60)</f>
        <v>7-7/8 " x Tricone IADC 517</v>
      </c>
      <c r="W225" s="286">
        <f>Rockbits!G25</f>
        <v>288234.05</v>
      </c>
      <c r="X225" s="1447"/>
      <c r="Y225" s="348"/>
      <c r="Z225" s="348"/>
      <c r="AA225" s="348"/>
      <c r="AB225" s="348"/>
      <c r="AC225" s="348"/>
      <c r="AD225" s="348"/>
      <c r="AE225" s="348"/>
      <c r="AF225" s="348"/>
      <c r="AG225" s="348"/>
      <c r="AH225" s="246"/>
      <c r="AI225" s="2159">
        <f>IF(RH_BH="Regular Hole",0,INPUT!$H60)*IF($AI$203="",0,1)</f>
        <v>0</v>
      </c>
      <c r="AJ225" s="246"/>
      <c r="AK225" s="246"/>
      <c r="AL225" s="246"/>
      <c r="AM225" s="246">
        <f>(W225*AI225)</f>
        <v>0</v>
      </c>
      <c r="AN225" s="254"/>
      <c r="AO225" s="249"/>
      <c r="AP225" s="250"/>
      <c r="AQ225" s="250"/>
      <c r="AR225" s="250"/>
      <c r="AS225" s="250"/>
      <c r="AT225" s="250"/>
      <c r="AU225" s="250"/>
      <c r="AV225" s="249"/>
      <c r="AW225" s="249"/>
      <c r="AX225" s="249"/>
      <c r="AY225" s="249"/>
      <c r="AZ225" s="249"/>
      <c r="BA225" s="249"/>
      <c r="BB225" s="249"/>
      <c r="BC225" s="249"/>
      <c r="BD225" s="249"/>
      <c r="BE225" s="249"/>
      <c r="BF225" s="249"/>
      <c r="BG225" s="249"/>
      <c r="BH225" s="249"/>
      <c r="BI225" s="249"/>
      <c r="BJ225" s="249"/>
      <c r="BK225" s="249"/>
      <c r="BL225" s="249"/>
      <c r="BM225" s="249"/>
      <c r="BN225" s="249"/>
      <c r="BO225" s="249"/>
      <c r="BP225" s="249"/>
      <c r="BQ225" s="249"/>
      <c r="BR225" s="249"/>
      <c r="BS225" s="249"/>
      <c r="BT225" s="249"/>
      <c r="BU225" s="249"/>
      <c r="BV225" s="249"/>
      <c r="BW225" s="249"/>
      <c r="BX225" s="249"/>
      <c r="BY225" s="249"/>
      <c r="BZ225" s="249"/>
      <c r="CA225" s="249"/>
      <c r="CB225" s="249"/>
      <c r="CC225" s="249"/>
      <c r="CD225" s="249"/>
      <c r="CE225" s="249"/>
      <c r="CF225" s="249"/>
      <c r="CG225" s="249"/>
      <c r="CH225" s="249"/>
      <c r="CI225" s="249"/>
      <c r="CJ225" s="249"/>
      <c r="CK225" s="249"/>
      <c r="CL225" s="249"/>
      <c r="CM225" s="249"/>
      <c r="CN225" s="249"/>
      <c r="CO225" s="249"/>
      <c r="CP225" s="249"/>
      <c r="CQ225" s="249"/>
      <c r="CR225" s="249"/>
      <c r="CS225" s="249"/>
      <c r="CT225" s="249"/>
      <c r="CU225" s="249"/>
      <c r="CV225" s="249"/>
      <c r="CW225" s="249"/>
      <c r="CX225" s="249"/>
      <c r="CY225" s="249"/>
      <c r="CZ225" s="249"/>
      <c r="DA225" s="249"/>
      <c r="DB225" s="249"/>
      <c r="DC225" s="249"/>
      <c r="DD225" s="249"/>
      <c r="DE225" s="249"/>
      <c r="DF225" s="249"/>
      <c r="DG225" s="249"/>
      <c r="DH225" s="249"/>
      <c r="DI225" s="249"/>
      <c r="DJ225" s="249"/>
      <c r="DK225" s="249"/>
      <c r="DL225" s="249"/>
      <c r="DM225" s="249"/>
      <c r="DN225" s="249"/>
      <c r="DO225" s="249"/>
      <c r="DP225" s="249"/>
      <c r="DQ225" s="249"/>
      <c r="DR225" s="249"/>
      <c r="DS225" s="249"/>
      <c r="DT225" s="249"/>
      <c r="DU225" s="249"/>
      <c r="DV225" s="249"/>
      <c r="DW225" s="249"/>
      <c r="DX225" s="249"/>
      <c r="DY225" s="249"/>
      <c r="DZ225" s="249"/>
      <c r="EA225" s="249"/>
      <c r="EB225" s="249"/>
      <c r="EC225" s="249"/>
      <c r="ED225" s="249"/>
      <c r="EE225" s="249"/>
      <c r="EF225" s="249"/>
      <c r="EG225" s="249"/>
      <c r="EH225" s="249"/>
      <c r="EI225" s="249"/>
      <c r="EJ225" s="249"/>
      <c r="EK225" s="249"/>
      <c r="EL225" s="249"/>
      <c r="EM225" s="249"/>
      <c r="EN225" s="249"/>
      <c r="EO225" s="249"/>
      <c r="EP225" s="249"/>
      <c r="EQ225" s="249"/>
      <c r="ER225" s="249"/>
      <c r="ES225" s="249"/>
      <c r="ET225" s="249"/>
      <c r="EU225" s="249"/>
      <c r="EV225" s="249"/>
      <c r="EW225" s="249"/>
      <c r="EX225" s="249"/>
      <c r="EY225" s="249"/>
      <c r="EZ225" s="249"/>
      <c r="FA225" s="249"/>
      <c r="FB225" s="249"/>
      <c r="FC225" s="249"/>
      <c r="FD225" s="249"/>
      <c r="FE225" s="249"/>
      <c r="FF225" s="249"/>
      <c r="FG225" s="249"/>
      <c r="FH225" s="249"/>
      <c r="FI225" s="249"/>
      <c r="FJ225" s="249"/>
      <c r="FK225" s="249"/>
      <c r="FL225" s="249"/>
      <c r="FM225" s="249"/>
      <c r="FN225" s="249"/>
      <c r="FO225" s="249"/>
      <c r="FP225" s="249"/>
      <c r="FQ225" s="249"/>
      <c r="FR225" s="249"/>
      <c r="FS225" s="249"/>
      <c r="FT225" s="249"/>
      <c r="FU225" s="249"/>
      <c r="FV225" s="249"/>
      <c r="FW225" s="249"/>
      <c r="FX225" s="249"/>
      <c r="FY225" s="249"/>
      <c r="FZ225" s="249"/>
      <c r="GA225" s="249"/>
      <c r="GB225" s="249"/>
      <c r="GC225" s="249"/>
      <c r="GD225" s="249"/>
      <c r="GE225" s="249"/>
      <c r="GF225" s="249"/>
      <c r="GG225" s="249"/>
      <c r="GH225" s="249"/>
      <c r="GI225" s="249"/>
      <c r="GJ225" s="249"/>
      <c r="GK225" s="249"/>
      <c r="GL225" s="249"/>
      <c r="GM225" s="249"/>
      <c r="GN225" s="249"/>
      <c r="GO225" s="249"/>
      <c r="GP225" s="249"/>
      <c r="GQ225" s="249"/>
      <c r="GR225" s="249"/>
    </row>
    <row r="226" spans="1:200" s="252" customFormat="1" ht="12.75" customHeight="1" x14ac:dyDescent="0.2">
      <c r="A226" s="709"/>
      <c r="B226" s="1110"/>
      <c r="C226" s="1110"/>
      <c r="D226" s="257"/>
      <c r="E226" s="613"/>
      <c r="F226" s="249"/>
      <c r="G226" s="250"/>
      <c r="H226" s="250"/>
      <c r="I226" s="250"/>
      <c r="J226" s="250"/>
      <c r="K226" s="250"/>
      <c r="L226" s="250"/>
      <c r="M226" s="250"/>
      <c r="N226" s="250"/>
      <c r="O226" s="250"/>
      <c r="P226" s="251"/>
      <c r="Q226" s="251"/>
      <c r="R226" s="251"/>
      <c r="S226" s="251"/>
      <c r="T226" s="251"/>
      <c r="U226" s="243"/>
      <c r="V226" s="2101" t="str">
        <f>CONCATENATE(INPUT!F61, " ",INPUT!G61)</f>
        <v>7-7/8 " x Tricone IADC 537</v>
      </c>
      <c r="W226" s="286">
        <f>Rockbits!G26</f>
        <v>330605.94</v>
      </c>
      <c r="X226" s="1447"/>
      <c r="Y226" s="348"/>
      <c r="Z226" s="348"/>
      <c r="AA226" s="348"/>
      <c r="AB226" s="348"/>
      <c r="AC226" s="348"/>
      <c r="AD226" s="348"/>
      <c r="AE226" s="348"/>
      <c r="AF226" s="348"/>
      <c r="AG226" s="348"/>
      <c r="AH226" s="246"/>
      <c r="AI226" s="2159">
        <f>IF(RH_BH="Regular Hole",0,INPUT!$H61)*IF($AI$203="",0,1)</f>
        <v>0</v>
      </c>
      <c r="AJ226" s="246"/>
      <c r="AK226" s="246"/>
      <c r="AL226" s="246"/>
      <c r="AM226" s="246">
        <f>(W226*AI226)</f>
        <v>0</v>
      </c>
      <c r="AN226" s="254"/>
      <c r="AO226" s="249"/>
      <c r="AP226" s="250"/>
      <c r="AQ226" s="250"/>
      <c r="AR226" s="250"/>
      <c r="AS226" s="250"/>
      <c r="AT226" s="250"/>
      <c r="AU226" s="250"/>
      <c r="AV226" s="249"/>
      <c r="AW226" s="249"/>
      <c r="AX226" s="249"/>
      <c r="AY226" s="249"/>
      <c r="AZ226" s="249"/>
      <c r="BA226" s="249"/>
      <c r="BB226" s="249"/>
      <c r="BC226" s="249"/>
      <c r="BD226" s="249"/>
      <c r="BE226" s="249"/>
      <c r="BF226" s="249"/>
      <c r="BG226" s="249"/>
      <c r="BH226" s="249"/>
      <c r="BI226" s="249"/>
      <c r="BJ226" s="249"/>
      <c r="BK226" s="249"/>
      <c r="BL226" s="249"/>
      <c r="BM226" s="249"/>
      <c r="BN226" s="249"/>
      <c r="BO226" s="249"/>
      <c r="BP226" s="249"/>
      <c r="BQ226" s="249"/>
      <c r="BR226" s="249"/>
      <c r="BS226" s="249"/>
      <c r="BT226" s="249"/>
      <c r="BU226" s="249"/>
      <c r="BV226" s="249"/>
      <c r="BW226" s="249"/>
      <c r="BX226" s="249"/>
      <c r="BY226" s="249"/>
      <c r="BZ226" s="249"/>
      <c r="CA226" s="249"/>
      <c r="CB226" s="249"/>
      <c r="CC226" s="249"/>
      <c r="CD226" s="249"/>
      <c r="CE226" s="249"/>
      <c r="CF226" s="249"/>
      <c r="CG226" s="249"/>
      <c r="CH226" s="249"/>
      <c r="CI226" s="249"/>
      <c r="CJ226" s="249"/>
      <c r="CK226" s="249"/>
      <c r="CL226" s="249"/>
      <c r="CM226" s="249"/>
      <c r="CN226" s="249"/>
      <c r="CO226" s="249"/>
      <c r="CP226" s="249"/>
      <c r="CQ226" s="249"/>
      <c r="CR226" s="249"/>
      <c r="CS226" s="249"/>
      <c r="CT226" s="249"/>
      <c r="CU226" s="249"/>
      <c r="CV226" s="249"/>
      <c r="CW226" s="249"/>
      <c r="CX226" s="249"/>
      <c r="CY226" s="249"/>
      <c r="CZ226" s="249"/>
      <c r="DA226" s="249"/>
      <c r="DB226" s="249"/>
      <c r="DC226" s="249"/>
      <c r="DD226" s="249"/>
      <c r="DE226" s="249"/>
      <c r="DF226" s="249"/>
      <c r="DG226" s="249"/>
      <c r="DH226" s="249"/>
      <c r="DI226" s="249"/>
      <c r="DJ226" s="249"/>
      <c r="DK226" s="249"/>
      <c r="DL226" s="249"/>
      <c r="DM226" s="249"/>
      <c r="DN226" s="249"/>
      <c r="DO226" s="249"/>
      <c r="DP226" s="249"/>
      <c r="DQ226" s="249"/>
      <c r="DR226" s="249"/>
      <c r="DS226" s="249"/>
      <c r="DT226" s="249"/>
      <c r="DU226" s="249"/>
      <c r="DV226" s="249"/>
      <c r="DW226" s="249"/>
      <c r="DX226" s="249"/>
      <c r="DY226" s="249"/>
      <c r="DZ226" s="249"/>
      <c r="EA226" s="249"/>
      <c r="EB226" s="249"/>
      <c r="EC226" s="249"/>
      <c r="ED226" s="249"/>
      <c r="EE226" s="249"/>
      <c r="EF226" s="249"/>
      <c r="EG226" s="249"/>
      <c r="EH226" s="249"/>
      <c r="EI226" s="249"/>
      <c r="EJ226" s="249"/>
      <c r="EK226" s="249"/>
      <c r="EL226" s="249"/>
      <c r="EM226" s="249"/>
      <c r="EN226" s="249"/>
      <c r="EO226" s="249"/>
      <c r="EP226" s="249"/>
      <c r="EQ226" s="249"/>
      <c r="ER226" s="249"/>
      <c r="ES226" s="249"/>
      <c r="ET226" s="249"/>
      <c r="EU226" s="249"/>
      <c r="EV226" s="249"/>
      <c r="EW226" s="249"/>
      <c r="EX226" s="249"/>
      <c r="EY226" s="249"/>
      <c r="EZ226" s="249"/>
      <c r="FA226" s="249"/>
      <c r="FB226" s="249"/>
      <c r="FC226" s="249"/>
      <c r="FD226" s="249"/>
      <c r="FE226" s="249"/>
      <c r="FF226" s="249"/>
      <c r="FG226" s="249"/>
      <c r="FH226" s="249"/>
      <c r="FI226" s="249"/>
      <c r="FJ226" s="249"/>
      <c r="FK226" s="249"/>
      <c r="FL226" s="249"/>
      <c r="FM226" s="249"/>
      <c r="FN226" s="249"/>
      <c r="FO226" s="249"/>
      <c r="FP226" s="249"/>
      <c r="FQ226" s="249"/>
      <c r="FR226" s="249"/>
      <c r="FS226" s="249"/>
      <c r="FT226" s="249"/>
      <c r="FU226" s="249"/>
      <c r="FV226" s="249"/>
      <c r="FW226" s="249"/>
      <c r="FX226" s="249"/>
      <c r="FY226" s="249"/>
      <c r="FZ226" s="249"/>
      <c r="GA226" s="249"/>
      <c r="GB226" s="249"/>
      <c r="GC226" s="249"/>
      <c r="GD226" s="249"/>
      <c r="GE226" s="249"/>
      <c r="GF226" s="249"/>
      <c r="GG226" s="249"/>
      <c r="GH226" s="249"/>
      <c r="GI226" s="249"/>
      <c r="GJ226" s="249"/>
      <c r="GK226" s="249"/>
      <c r="GL226" s="249"/>
      <c r="GM226" s="249"/>
      <c r="GN226" s="249"/>
      <c r="GO226" s="249"/>
      <c r="GP226" s="249"/>
      <c r="GQ226" s="249"/>
      <c r="GR226" s="249"/>
    </row>
    <row r="227" spans="1:200" s="252" customFormat="1" ht="12.75" customHeight="1" x14ac:dyDescent="0.2">
      <c r="A227" s="709"/>
      <c r="B227" s="1110"/>
      <c r="C227" s="1110"/>
      <c r="D227" s="257"/>
      <c r="E227" s="613"/>
      <c r="F227" s="249"/>
      <c r="G227" s="250"/>
      <c r="H227" s="250"/>
      <c r="I227" s="250"/>
      <c r="J227" s="250"/>
      <c r="K227" s="250"/>
      <c r="L227" s="250"/>
      <c r="M227" s="250"/>
      <c r="N227" s="250"/>
      <c r="O227" s="250"/>
      <c r="P227" s="251"/>
      <c r="Q227" s="251"/>
      <c r="R227" s="251"/>
      <c r="S227" s="251"/>
      <c r="T227" s="251"/>
      <c r="U227" s="243"/>
      <c r="V227" s="2101" t="str">
        <f>CONCATENATE(INPUT!F62, " ",INPUT!G62)</f>
        <v>7-7/8 " x Tricone IADC 637</v>
      </c>
      <c r="W227" s="286">
        <f>Rockbits!G27</f>
        <v>0</v>
      </c>
      <c r="X227" s="1447"/>
      <c r="Y227" s="348"/>
      <c r="Z227" s="348"/>
      <c r="AA227" s="348"/>
      <c r="AB227" s="348"/>
      <c r="AC227" s="348"/>
      <c r="AD227" s="348"/>
      <c r="AE227" s="348"/>
      <c r="AF227" s="348"/>
      <c r="AG227" s="348"/>
      <c r="AH227" s="246"/>
      <c r="AI227" s="2159">
        <f>IF(RH_BH="Regular Hole",0,INPUT!$H62)*IF($AI$203="",0,1)</f>
        <v>0</v>
      </c>
      <c r="AJ227" s="246"/>
      <c r="AK227" s="246"/>
      <c r="AL227" s="246"/>
      <c r="AM227" s="246">
        <f>(W227*AI227)</f>
        <v>0</v>
      </c>
      <c r="AN227" s="254"/>
      <c r="AO227" s="249"/>
      <c r="AP227" s="250"/>
      <c r="AQ227" s="250"/>
      <c r="AR227" s="250"/>
      <c r="AS227" s="250"/>
      <c r="AT227" s="250"/>
      <c r="AU227" s="250"/>
      <c r="AV227" s="249"/>
      <c r="AW227" s="249"/>
      <c r="AX227" s="249"/>
      <c r="AY227" s="249"/>
      <c r="AZ227" s="249"/>
      <c r="BA227" s="249"/>
      <c r="BB227" s="249"/>
      <c r="BC227" s="249"/>
      <c r="BD227" s="249"/>
      <c r="BE227" s="249"/>
      <c r="BF227" s="249"/>
      <c r="BG227" s="249"/>
      <c r="BH227" s="249"/>
      <c r="BI227" s="249"/>
      <c r="BJ227" s="249"/>
      <c r="BK227" s="249"/>
      <c r="BL227" s="249"/>
      <c r="BM227" s="249"/>
      <c r="BN227" s="249"/>
      <c r="BO227" s="249"/>
      <c r="BP227" s="249"/>
      <c r="BQ227" s="249"/>
      <c r="BR227" s="249"/>
      <c r="BS227" s="249"/>
      <c r="BT227" s="249"/>
      <c r="BU227" s="249"/>
      <c r="BV227" s="249"/>
      <c r="BW227" s="249"/>
      <c r="BX227" s="249"/>
      <c r="BY227" s="249"/>
      <c r="BZ227" s="249"/>
      <c r="CA227" s="249"/>
      <c r="CB227" s="249"/>
      <c r="CC227" s="249"/>
      <c r="CD227" s="249"/>
      <c r="CE227" s="249"/>
      <c r="CF227" s="249"/>
      <c r="CG227" s="249"/>
      <c r="CH227" s="249"/>
      <c r="CI227" s="249"/>
      <c r="CJ227" s="249"/>
      <c r="CK227" s="249"/>
      <c r="CL227" s="249"/>
      <c r="CM227" s="249"/>
      <c r="CN227" s="249"/>
      <c r="CO227" s="249"/>
      <c r="CP227" s="249"/>
      <c r="CQ227" s="249"/>
      <c r="CR227" s="249"/>
      <c r="CS227" s="249"/>
      <c r="CT227" s="249"/>
      <c r="CU227" s="249"/>
      <c r="CV227" s="249"/>
      <c r="CW227" s="249"/>
      <c r="CX227" s="249"/>
      <c r="CY227" s="249"/>
      <c r="CZ227" s="249"/>
      <c r="DA227" s="249"/>
      <c r="DB227" s="249"/>
      <c r="DC227" s="249"/>
      <c r="DD227" s="249"/>
      <c r="DE227" s="249"/>
      <c r="DF227" s="249"/>
      <c r="DG227" s="249"/>
      <c r="DH227" s="249"/>
      <c r="DI227" s="249"/>
      <c r="DJ227" s="249"/>
      <c r="DK227" s="249"/>
      <c r="DL227" s="249"/>
      <c r="DM227" s="249"/>
      <c r="DN227" s="249"/>
      <c r="DO227" s="249"/>
      <c r="DP227" s="249"/>
      <c r="DQ227" s="249"/>
      <c r="DR227" s="249"/>
      <c r="DS227" s="249"/>
      <c r="DT227" s="249"/>
      <c r="DU227" s="249"/>
      <c r="DV227" s="249"/>
      <c r="DW227" s="249"/>
      <c r="DX227" s="249"/>
      <c r="DY227" s="249"/>
      <c r="DZ227" s="249"/>
      <c r="EA227" s="249"/>
      <c r="EB227" s="249"/>
      <c r="EC227" s="249"/>
      <c r="ED227" s="249"/>
      <c r="EE227" s="249"/>
      <c r="EF227" s="249"/>
      <c r="EG227" s="249"/>
      <c r="EH227" s="249"/>
      <c r="EI227" s="249"/>
      <c r="EJ227" s="249"/>
      <c r="EK227" s="249"/>
      <c r="EL227" s="249"/>
      <c r="EM227" s="249"/>
      <c r="EN227" s="249"/>
      <c r="EO227" s="249"/>
      <c r="EP227" s="249"/>
      <c r="EQ227" s="249"/>
      <c r="ER227" s="249"/>
      <c r="ES227" s="249"/>
      <c r="ET227" s="249"/>
      <c r="EU227" s="249"/>
      <c r="EV227" s="249"/>
      <c r="EW227" s="249"/>
      <c r="EX227" s="249"/>
      <c r="EY227" s="249"/>
      <c r="EZ227" s="249"/>
      <c r="FA227" s="249"/>
      <c r="FB227" s="249"/>
      <c r="FC227" s="249"/>
      <c r="FD227" s="249"/>
      <c r="FE227" s="249"/>
      <c r="FF227" s="249"/>
      <c r="FG227" s="249"/>
      <c r="FH227" s="249"/>
      <c r="FI227" s="249"/>
      <c r="FJ227" s="249"/>
      <c r="FK227" s="249"/>
      <c r="FL227" s="249"/>
      <c r="FM227" s="249"/>
      <c r="FN227" s="249"/>
      <c r="FO227" s="249"/>
      <c r="FP227" s="249"/>
      <c r="FQ227" s="249"/>
      <c r="FR227" s="249"/>
      <c r="FS227" s="249"/>
      <c r="FT227" s="249"/>
      <c r="FU227" s="249"/>
      <c r="FV227" s="249"/>
      <c r="FW227" s="249"/>
      <c r="FX227" s="249"/>
      <c r="FY227" s="249"/>
      <c r="FZ227" s="249"/>
      <c r="GA227" s="249"/>
      <c r="GB227" s="249"/>
      <c r="GC227" s="249"/>
      <c r="GD227" s="249"/>
      <c r="GE227" s="249"/>
      <c r="GF227" s="249"/>
      <c r="GG227" s="249"/>
      <c r="GH227" s="249"/>
      <c r="GI227" s="249"/>
      <c r="GJ227" s="249"/>
      <c r="GK227" s="249"/>
      <c r="GL227" s="249"/>
      <c r="GM227" s="249"/>
      <c r="GN227" s="249"/>
      <c r="GO227" s="249"/>
      <c r="GP227" s="249"/>
      <c r="GQ227" s="249"/>
      <c r="GR227" s="249"/>
    </row>
    <row r="228" spans="1:200" s="252" customFormat="1" ht="12.75" customHeight="1" x14ac:dyDescent="0.2">
      <c r="A228" s="709"/>
      <c r="B228" s="1110"/>
      <c r="C228" s="1110"/>
      <c r="D228" s="257"/>
      <c r="E228" s="613"/>
      <c r="F228" s="249"/>
      <c r="G228" s="250"/>
      <c r="H228" s="250"/>
      <c r="I228" s="250"/>
      <c r="J228" s="250"/>
      <c r="K228" s="250"/>
      <c r="L228" s="250"/>
      <c r="M228" s="250"/>
      <c r="N228" s="250"/>
      <c r="O228" s="250"/>
      <c r="P228" s="251"/>
      <c r="Q228" s="251"/>
      <c r="R228" s="251"/>
      <c r="S228" s="251"/>
      <c r="T228" s="251"/>
      <c r="U228" s="243"/>
      <c r="V228" s="2101" t="str">
        <f>CONCATENATE(INPUT!F63, " ",INPUT!G63)</f>
        <v>6-1/8" x Tricone IADC Code 200/300</v>
      </c>
      <c r="W228" s="286">
        <f>Rockbits!G28</f>
        <v>214046.60250000001</v>
      </c>
      <c r="X228" s="1447"/>
      <c r="Y228" s="348"/>
      <c r="Z228" s="348"/>
      <c r="AA228" s="348"/>
      <c r="AB228" s="348"/>
      <c r="AC228" s="348"/>
      <c r="AD228" s="348"/>
      <c r="AE228" s="348"/>
      <c r="AF228" s="348"/>
      <c r="AG228" s="348"/>
      <c r="AH228" s="348"/>
      <c r="AI228" s="348"/>
      <c r="AJ228" s="348"/>
      <c r="AK228" s="348"/>
      <c r="AL228" s="246"/>
      <c r="AM228" s="246"/>
      <c r="AN228" s="254"/>
      <c r="AO228" s="249"/>
      <c r="AP228" s="250"/>
      <c r="AQ228" s="250"/>
      <c r="AR228" s="250"/>
      <c r="AS228" s="250"/>
      <c r="AT228" s="250"/>
      <c r="AU228" s="250"/>
      <c r="AV228" s="249"/>
      <c r="AW228" s="249"/>
      <c r="AX228" s="249"/>
      <c r="AY228" s="249"/>
      <c r="AZ228" s="249"/>
      <c r="BA228" s="249"/>
      <c r="BB228" s="249"/>
      <c r="BC228" s="249"/>
      <c r="BD228" s="249"/>
      <c r="BE228" s="249"/>
      <c r="BF228" s="249"/>
      <c r="BG228" s="249"/>
      <c r="BH228" s="249"/>
      <c r="BI228" s="249"/>
      <c r="BJ228" s="249"/>
      <c r="BK228" s="249"/>
      <c r="BL228" s="249"/>
      <c r="BM228" s="249"/>
      <c r="BN228" s="249"/>
      <c r="BO228" s="249"/>
      <c r="BP228" s="249"/>
      <c r="BQ228" s="249"/>
      <c r="BR228" s="249"/>
      <c r="BS228" s="249"/>
      <c r="BT228" s="249"/>
      <c r="BU228" s="249"/>
      <c r="BV228" s="249"/>
      <c r="BW228" s="249"/>
      <c r="BX228" s="249"/>
      <c r="BY228" s="249"/>
      <c r="BZ228" s="249"/>
      <c r="CA228" s="249"/>
      <c r="CB228" s="249"/>
      <c r="CC228" s="249"/>
      <c r="CD228" s="249"/>
      <c r="CE228" s="249"/>
      <c r="CF228" s="249"/>
      <c r="CG228" s="249"/>
      <c r="CH228" s="249"/>
      <c r="CI228" s="249"/>
      <c r="CJ228" s="249"/>
      <c r="CK228" s="249"/>
      <c r="CL228" s="249"/>
      <c r="CM228" s="249"/>
      <c r="CN228" s="249"/>
      <c r="CO228" s="249"/>
      <c r="CP228" s="249"/>
      <c r="CQ228" s="249"/>
      <c r="CR228" s="249"/>
      <c r="CS228" s="249"/>
      <c r="CT228" s="249"/>
      <c r="CU228" s="249"/>
      <c r="CV228" s="249"/>
      <c r="CW228" s="249"/>
      <c r="CX228" s="249"/>
      <c r="CY228" s="249"/>
      <c r="CZ228" s="249"/>
      <c r="DA228" s="249"/>
      <c r="DB228" s="249"/>
      <c r="DC228" s="249"/>
      <c r="DD228" s="249"/>
      <c r="DE228" s="249"/>
      <c r="DF228" s="249"/>
      <c r="DG228" s="249"/>
      <c r="DH228" s="249"/>
      <c r="DI228" s="249"/>
      <c r="DJ228" s="249"/>
      <c r="DK228" s="249"/>
      <c r="DL228" s="249"/>
      <c r="DM228" s="249"/>
      <c r="DN228" s="249"/>
      <c r="DO228" s="249"/>
      <c r="DP228" s="249"/>
      <c r="DQ228" s="249"/>
      <c r="DR228" s="249"/>
      <c r="DS228" s="249"/>
      <c r="DT228" s="249"/>
      <c r="DU228" s="249"/>
      <c r="DV228" s="249"/>
      <c r="DW228" s="249"/>
      <c r="DX228" s="249"/>
      <c r="DY228" s="249"/>
      <c r="DZ228" s="249"/>
      <c r="EA228" s="249"/>
      <c r="EB228" s="249"/>
      <c r="EC228" s="249"/>
      <c r="ED228" s="249"/>
      <c r="EE228" s="249"/>
      <c r="EF228" s="249"/>
      <c r="EG228" s="249"/>
      <c r="EH228" s="249"/>
      <c r="EI228" s="249"/>
      <c r="EJ228" s="249"/>
      <c r="EK228" s="249"/>
      <c r="EL228" s="249"/>
      <c r="EM228" s="249"/>
      <c r="EN228" s="249"/>
      <c r="EO228" s="249"/>
      <c r="EP228" s="249"/>
      <c r="EQ228" s="249"/>
      <c r="ER228" s="249"/>
      <c r="ES228" s="249"/>
      <c r="ET228" s="249"/>
      <c r="EU228" s="249"/>
      <c r="EV228" s="249"/>
      <c r="EW228" s="249"/>
      <c r="EX228" s="249"/>
      <c r="EY228" s="249"/>
      <c r="EZ228" s="249"/>
      <c r="FA228" s="249"/>
      <c r="FB228" s="249"/>
      <c r="FC228" s="249"/>
      <c r="FD228" s="249"/>
      <c r="FE228" s="249"/>
      <c r="FF228" s="249"/>
      <c r="FG228" s="249"/>
      <c r="FH228" s="249"/>
      <c r="FI228" s="249"/>
      <c r="FJ228" s="249"/>
      <c r="FK228" s="249"/>
      <c r="FL228" s="249"/>
      <c r="FM228" s="249"/>
      <c r="FN228" s="249"/>
      <c r="FO228" s="249"/>
      <c r="FP228" s="249"/>
      <c r="FQ228" s="249"/>
      <c r="FR228" s="249"/>
      <c r="FS228" s="249"/>
      <c r="FT228" s="249"/>
      <c r="FU228" s="249"/>
      <c r="FV228" s="249"/>
      <c r="FW228" s="249"/>
      <c r="FX228" s="249"/>
      <c r="FY228" s="249"/>
      <c r="FZ228" s="249"/>
      <c r="GA228" s="249"/>
      <c r="GB228" s="249"/>
      <c r="GC228" s="249"/>
      <c r="GD228" s="249"/>
      <c r="GE228" s="249"/>
      <c r="GF228" s="249"/>
      <c r="GG228" s="249"/>
      <c r="GH228" s="249"/>
      <c r="GI228" s="249"/>
      <c r="GJ228" s="249"/>
      <c r="GK228" s="249"/>
      <c r="GL228" s="249"/>
      <c r="GM228" s="249"/>
      <c r="GN228" s="249"/>
      <c r="GO228" s="249"/>
      <c r="GP228" s="249"/>
      <c r="GQ228" s="249"/>
      <c r="GR228" s="249"/>
    </row>
    <row r="229" spans="1:200" s="252" customFormat="1" ht="12.75" customHeight="1" x14ac:dyDescent="0.2">
      <c r="A229" s="709"/>
      <c r="B229" s="1110"/>
      <c r="C229" s="1110"/>
      <c r="D229" s="257"/>
      <c r="E229" s="613"/>
      <c r="F229" s="249"/>
      <c r="G229" s="250"/>
      <c r="H229" s="250"/>
      <c r="I229" s="250"/>
      <c r="J229" s="250"/>
      <c r="K229" s="250"/>
      <c r="L229" s="250"/>
      <c r="M229" s="250"/>
      <c r="N229" s="250"/>
      <c r="O229" s="250"/>
      <c r="P229" s="251"/>
      <c r="Q229" s="251"/>
      <c r="R229" s="251"/>
      <c r="S229" s="251"/>
      <c r="T229" s="251"/>
      <c r="U229" s="243"/>
      <c r="V229" s="2101" t="str">
        <f>CONCATENATE(INPUT!F64, " ",INPUT!G64)</f>
        <v>6-1/8" x Tricone IADC Code 500/600</v>
      </c>
      <c r="W229" s="286">
        <f>Rockbits!G29</f>
        <v>0</v>
      </c>
      <c r="X229" s="1447"/>
      <c r="Y229" s="348"/>
      <c r="Z229" s="348"/>
      <c r="AA229" s="348"/>
      <c r="AB229" s="348"/>
      <c r="AC229" s="348"/>
      <c r="AD229" s="348"/>
      <c r="AE229" s="348"/>
      <c r="AF229" s="348"/>
      <c r="AG229" s="348"/>
      <c r="AH229" s="348"/>
      <c r="AI229" s="348"/>
      <c r="AJ229" s="348"/>
      <c r="AK229" s="348"/>
      <c r="AL229" s="246"/>
      <c r="AM229" s="246"/>
      <c r="AN229" s="254"/>
      <c r="AO229" s="249"/>
      <c r="AP229" s="250"/>
      <c r="AQ229" s="250"/>
      <c r="AR229" s="250"/>
      <c r="AS229" s="250"/>
      <c r="AT229" s="250"/>
      <c r="AU229" s="250"/>
      <c r="AV229" s="249"/>
      <c r="AW229" s="249"/>
      <c r="AX229" s="249"/>
      <c r="AY229" s="249"/>
      <c r="AZ229" s="249"/>
      <c r="BA229" s="249"/>
      <c r="BB229" s="249"/>
      <c r="BC229" s="249"/>
      <c r="BD229" s="249"/>
      <c r="BE229" s="249"/>
      <c r="BF229" s="249"/>
      <c r="BG229" s="249"/>
      <c r="BH229" s="249"/>
      <c r="BI229" s="249"/>
      <c r="BJ229" s="249"/>
      <c r="BK229" s="249"/>
      <c r="BL229" s="249"/>
      <c r="BM229" s="249"/>
      <c r="BN229" s="249"/>
      <c r="BO229" s="249"/>
      <c r="BP229" s="249"/>
      <c r="BQ229" s="249"/>
      <c r="BR229" s="249"/>
      <c r="BS229" s="249"/>
      <c r="BT229" s="249"/>
      <c r="BU229" s="249"/>
      <c r="BV229" s="249"/>
      <c r="BW229" s="249"/>
      <c r="BX229" s="249"/>
      <c r="BY229" s="249"/>
      <c r="BZ229" s="249"/>
      <c r="CA229" s="249"/>
      <c r="CB229" s="249"/>
      <c r="CC229" s="249"/>
      <c r="CD229" s="249"/>
      <c r="CE229" s="249"/>
      <c r="CF229" s="249"/>
      <c r="CG229" s="249"/>
      <c r="CH229" s="249"/>
      <c r="CI229" s="249"/>
      <c r="CJ229" s="249"/>
      <c r="CK229" s="249"/>
      <c r="CL229" s="249"/>
      <c r="CM229" s="249"/>
      <c r="CN229" s="249"/>
      <c r="CO229" s="249"/>
      <c r="CP229" s="249"/>
      <c r="CQ229" s="249"/>
      <c r="CR229" s="249"/>
      <c r="CS229" s="249"/>
      <c r="CT229" s="249"/>
      <c r="CU229" s="249"/>
      <c r="CV229" s="249"/>
      <c r="CW229" s="249"/>
      <c r="CX229" s="249"/>
      <c r="CY229" s="249"/>
      <c r="CZ229" s="249"/>
      <c r="DA229" s="249"/>
      <c r="DB229" s="249"/>
      <c r="DC229" s="249"/>
      <c r="DD229" s="249"/>
      <c r="DE229" s="249"/>
      <c r="DF229" s="249"/>
      <c r="DG229" s="249"/>
      <c r="DH229" s="249"/>
      <c r="DI229" s="249"/>
      <c r="DJ229" s="249"/>
      <c r="DK229" s="249"/>
      <c r="DL229" s="249"/>
      <c r="DM229" s="249"/>
      <c r="DN229" s="249"/>
      <c r="DO229" s="249"/>
      <c r="DP229" s="249"/>
      <c r="DQ229" s="249"/>
      <c r="DR229" s="249"/>
      <c r="DS229" s="249"/>
      <c r="DT229" s="249"/>
      <c r="DU229" s="249"/>
      <c r="DV229" s="249"/>
      <c r="DW229" s="249"/>
      <c r="DX229" s="249"/>
      <c r="DY229" s="249"/>
      <c r="DZ229" s="249"/>
      <c r="EA229" s="249"/>
      <c r="EB229" s="249"/>
      <c r="EC229" s="249"/>
      <c r="ED229" s="249"/>
      <c r="EE229" s="249"/>
      <c r="EF229" s="249"/>
      <c r="EG229" s="249"/>
      <c r="EH229" s="249"/>
      <c r="EI229" s="249"/>
      <c r="EJ229" s="249"/>
      <c r="EK229" s="249"/>
      <c r="EL229" s="249"/>
      <c r="EM229" s="249"/>
      <c r="EN229" s="249"/>
      <c r="EO229" s="249"/>
      <c r="EP229" s="249"/>
      <c r="EQ229" s="249"/>
      <c r="ER229" s="249"/>
      <c r="ES229" s="249"/>
      <c r="ET229" s="249"/>
      <c r="EU229" s="249"/>
      <c r="EV229" s="249"/>
      <c r="EW229" s="249"/>
      <c r="EX229" s="249"/>
      <c r="EY229" s="249"/>
      <c r="EZ229" s="249"/>
      <c r="FA229" s="249"/>
      <c r="FB229" s="249"/>
      <c r="FC229" s="249"/>
      <c r="FD229" s="249"/>
      <c r="FE229" s="249"/>
      <c r="FF229" s="249"/>
      <c r="FG229" s="249"/>
      <c r="FH229" s="249"/>
      <c r="FI229" s="249"/>
      <c r="FJ229" s="249"/>
      <c r="FK229" s="249"/>
      <c r="FL229" s="249"/>
      <c r="FM229" s="249"/>
      <c r="FN229" s="249"/>
      <c r="FO229" s="249"/>
      <c r="FP229" s="249"/>
      <c r="FQ229" s="249"/>
      <c r="FR229" s="249"/>
      <c r="FS229" s="249"/>
      <c r="FT229" s="249"/>
      <c r="FU229" s="249"/>
      <c r="FV229" s="249"/>
      <c r="FW229" s="249"/>
      <c r="FX229" s="249"/>
      <c r="FY229" s="249"/>
      <c r="FZ229" s="249"/>
      <c r="GA229" s="249"/>
      <c r="GB229" s="249"/>
      <c r="GC229" s="249"/>
      <c r="GD229" s="249"/>
      <c r="GE229" s="249"/>
      <c r="GF229" s="249"/>
      <c r="GG229" s="249"/>
      <c r="GH229" s="249"/>
      <c r="GI229" s="249"/>
      <c r="GJ229" s="249"/>
      <c r="GK229" s="249"/>
      <c r="GL229" s="249"/>
      <c r="GM229" s="249"/>
      <c r="GN229" s="249"/>
      <c r="GO229" s="249"/>
      <c r="GP229" s="249"/>
      <c r="GQ229" s="249"/>
      <c r="GR229" s="249"/>
    </row>
    <row r="230" spans="1:200" s="252" customFormat="1" ht="12.75" customHeight="1" x14ac:dyDescent="0.2">
      <c r="A230" s="709"/>
      <c r="B230" s="1110"/>
      <c r="C230" s="1110"/>
      <c r="D230" s="257"/>
      <c r="E230" s="613"/>
      <c r="F230" s="249"/>
      <c r="G230" s="250"/>
      <c r="H230" s="250"/>
      <c r="I230" s="250"/>
      <c r="J230" s="250"/>
      <c r="K230" s="250"/>
      <c r="L230" s="250"/>
      <c r="M230" s="250"/>
      <c r="N230" s="250"/>
      <c r="O230" s="250"/>
      <c r="P230" s="251"/>
      <c r="Q230" s="251"/>
      <c r="R230" s="251"/>
      <c r="S230" s="251"/>
      <c r="T230" s="251"/>
      <c r="U230" s="243"/>
      <c r="V230" s="2101" t="str">
        <f>CONCATENATE(INPUT!F65, " ",INPUT!G65)</f>
        <v>6" x Tricone IADC Code 200/300</v>
      </c>
      <c r="W230" s="286">
        <f>Rockbits!G30</f>
        <v>211888.74</v>
      </c>
      <c r="X230" s="1447"/>
      <c r="Y230" s="348"/>
      <c r="Z230" s="348"/>
      <c r="AA230" s="348"/>
      <c r="AB230" s="348"/>
      <c r="AC230" s="348"/>
      <c r="AD230" s="348"/>
      <c r="AE230" s="348"/>
      <c r="AF230" s="348"/>
      <c r="AG230" s="348"/>
      <c r="AH230" s="348"/>
      <c r="AI230" s="348"/>
      <c r="AJ230" s="348"/>
      <c r="AK230" s="348"/>
      <c r="AL230" s="246"/>
      <c r="AM230" s="246"/>
      <c r="AN230" s="254"/>
      <c r="AO230" s="249"/>
      <c r="AP230" s="250"/>
      <c r="AQ230" s="250"/>
      <c r="AR230" s="250"/>
      <c r="AS230" s="250"/>
      <c r="AT230" s="250"/>
      <c r="AU230" s="250"/>
      <c r="AV230" s="249"/>
      <c r="AW230" s="249"/>
      <c r="AX230" s="249"/>
      <c r="AY230" s="249"/>
      <c r="AZ230" s="249"/>
      <c r="BA230" s="249"/>
      <c r="BB230" s="249"/>
      <c r="BC230" s="249"/>
      <c r="BD230" s="249"/>
      <c r="BE230" s="249"/>
      <c r="BF230" s="249"/>
      <c r="BG230" s="249"/>
      <c r="BH230" s="249"/>
      <c r="BI230" s="249"/>
      <c r="BJ230" s="249"/>
      <c r="BK230" s="249"/>
      <c r="BL230" s="249"/>
      <c r="BM230" s="249"/>
      <c r="BN230" s="249"/>
      <c r="BO230" s="249"/>
      <c r="BP230" s="249"/>
      <c r="BQ230" s="249"/>
      <c r="BR230" s="249"/>
      <c r="BS230" s="249"/>
      <c r="BT230" s="249"/>
      <c r="BU230" s="249"/>
      <c r="BV230" s="249"/>
      <c r="BW230" s="249"/>
      <c r="BX230" s="249"/>
      <c r="BY230" s="249"/>
      <c r="BZ230" s="249"/>
      <c r="CA230" s="249"/>
      <c r="CB230" s="249"/>
      <c r="CC230" s="249"/>
      <c r="CD230" s="249"/>
      <c r="CE230" s="249"/>
      <c r="CF230" s="249"/>
      <c r="CG230" s="249"/>
      <c r="CH230" s="249"/>
      <c r="CI230" s="249"/>
      <c r="CJ230" s="249"/>
      <c r="CK230" s="249"/>
      <c r="CL230" s="249"/>
      <c r="CM230" s="249"/>
      <c r="CN230" s="249"/>
      <c r="CO230" s="249"/>
      <c r="CP230" s="249"/>
      <c r="CQ230" s="249"/>
      <c r="CR230" s="249"/>
      <c r="CS230" s="249"/>
      <c r="CT230" s="249"/>
      <c r="CU230" s="249"/>
      <c r="CV230" s="249"/>
      <c r="CW230" s="249"/>
      <c r="CX230" s="249"/>
      <c r="CY230" s="249"/>
      <c r="CZ230" s="249"/>
      <c r="DA230" s="249"/>
      <c r="DB230" s="249"/>
      <c r="DC230" s="249"/>
      <c r="DD230" s="249"/>
      <c r="DE230" s="249"/>
      <c r="DF230" s="249"/>
      <c r="DG230" s="249"/>
      <c r="DH230" s="249"/>
      <c r="DI230" s="249"/>
      <c r="DJ230" s="249"/>
      <c r="DK230" s="249"/>
      <c r="DL230" s="249"/>
      <c r="DM230" s="249"/>
      <c r="DN230" s="249"/>
      <c r="DO230" s="249"/>
      <c r="DP230" s="249"/>
      <c r="DQ230" s="249"/>
      <c r="DR230" s="249"/>
      <c r="DS230" s="249"/>
      <c r="DT230" s="249"/>
      <c r="DU230" s="249"/>
      <c r="DV230" s="249"/>
      <c r="DW230" s="249"/>
      <c r="DX230" s="249"/>
      <c r="DY230" s="249"/>
      <c r="DZ230" s="249"/>
      <c r="EA230" s="249"/>
      <c r="EB230" s="249"/>
      <c r="EC230" s="249"/>
      <c r="ED230" s="249"/>
      <c r="EE230" s="249"/>
      <c r="EF230" s="249"/>
      <c r="EG230" s="249"/>
      <c r="EH230" s="249"/>
      <c r="EI230" s="249"/>
      <c r="EJ230" s="249"/>
      <c r="EK230" s="249"/>
      <c r="EL230" s="249"/>
      <c r="EM230" s="249"/>
      <c r="EN230" s="249"/>
      <c r="EO230" s="249"/>
      <c r="EP230" s="249"/>
      <c r="EQ230" s="249"/>
      <c r="ER230" s="249"/>
      <c r="ES230" s="249"/>
      <c r="ET230" s="249"/>
      <c r="EU230" s="249"/>
      <c r="EV230" s="249"/>
      <c r="EW230" s="249"/>
      <c r="EX230" s="249"/>
      <c r="EY230" s="249"/>
      <c r="EZ230" s="249"/>
      <c r="FA230" s="249"/>
      <c r="FB230" s="249"/>
      <c r="FC230" s="249"/>
      <c r="FD230" s="249"/>
      <c r="FE230" s="249"/>
      <c r="FF230" s="249"/>
      <c r="FG230" s="249"/>
      <c r="FH230" s="249"/>
      <c r="FI230" s="249"/>
      <c r="FJ230" s="249"/>
      <c r="FK230" s="249"/>
      <c r="FL230" s="249"/>
      <c r="FM230" s="249"/>
      <c r="FN230" s="249"/>
      <c r="FO230" s="249"/>
      <c r="FP230" s="249"/>
      <c r="FQ230" s="249"/>
      <c r="FR230" s="249"/>
      <c r="FS230" s="249"/>
      <c r="FT230" s="249"/>
      <c r="FU230" s="249"/>
      <c r="FV230" s="249"/>
      <c r="FW230" s="249"/>
      <c r="FX230" s="249"/>
      <c r="FY230" s="249"/>
      <c r="FZ230" s="249"/>
      <c r="GA230" s="249"/>
      <c r="GB230" s="249"/>
      <c r="GC230" s="249"/>
      <c r="GD230" s="249"/>
      <c r="GE230" s="249"/>
      <c r="GF230" s="249"/>
      <c r="GG230" s="249"/>
      <c r="GH230" s="249"/>
      <c r="GI230" s="249"/>
      <c r="GJ230" s="249"/>
      <c r="GK230" s="249"/>
      <c r="GL230" s="249"/>
      <c r="GM230" s="249"/>
      <c r="GN230" s="249"/>
      <c r="GO230" s="249"/>
      <c r="GP230" s="249"/>
      <c r="GQ230" s="249"/>
      <c r="GR230" s="249"/>
    </row>
    <row r="231" spans="1:200" s="252" customFormat="1" ht="12.75" customHeight="1" x14ac:dyDescent="0.2">
      <c r="A231" s="709"/>
      <c r="B231" s="1110"/>
      <c r="C231" s="1110"/>
      <c r="D231" s="257"/>
      <c r="E231" s="613"/>
      <c r="F231" s="249"/>
      <c r="G231" s="250"/>
      <c r="H231" s="250"/>
      <c r="I231" s="250"/>
      <c r="J231" s="250"/>
      <c r="K231" s="250"/>
      <c r="L231" s="250"/>
      <c r="M231" s="250"/>
      <c r="N231" s="250"/>
      <c r="O231" s="250"/>
      <c r="P231" s="251"/>
      <c r="Q231" s="251"/>
      <c r="R231" s="251"/>
      <c r="S231" s="251"/>
      <c r="T231" s="251"/>
      <c r="U231" s="243"/>
      <c r="V231" s="2101" t="str">
        <f>CONCATENATE(INPUT!F66, " ",INPUT!G66)</f>
        <v>6" x Tricone IADC Code 500/600</v>
      </c>
      <c r="W231" s="286">
        <f>Rockbits!G31</f>
        <v>246265.65</v>
      </c>
      <c r="X231" s="1447"/>
      <c r="Y231" s="348"/>
      <c r="Z231" s="348"/>
      <c r="AA231" s="348"/>
      <c r="AB231" s="348"/>
      <c r="AC231" s="348"/>
      <c r="AD231" s="348"/>
      <c r="AE231" s="348"/>
      <c r="AF231" s="348"/>
      <c r="AG231" s="348"/>
      <c r="AH231" s="246"/>
      <c r="AI231" s="348"/>
      <c r="AJ231" s="246"/>
      <c r="AK231" s="246"/>
      <c r="AL231" s="246"/>
      <c r="AM231" s="246"/>
      <c r="AN231" s="254"/>
      <c r="AO231" s="249"/>
      <c r="AP231" s="250"/>
      <c r="AQ231" s="250"/>
      <c r="AR231" s="250"/>
      <c r="AS231" s="250"/>
      <c r="AT231" s="250"/>
      <c r="AU231" s="250"/>
      <c r="AV231" s="249"/>
      <c r="AW231" s="249"/>
      <c r="AX231" s="249"/>
      <c r="AY231" s="249"/>
      <c r="AZ231" s="249"/>
      <c r="BA231" s="249"/>
      <c r="BB231" s="249"/>
      <c r="BC231" s="249"/>
      <c r="BD231" s="249"/>
      <c r="BE231" s="249"/>
      <c r="BF231" s="249"/>
      <c r="BG231" s="249"/>
      <c r="BH231" s="249"/>
      <c r="BI231" s="249"/>
      <c r="BJ231" s="249"/>
      <c r="BK231" s="249"/>
      <c r="BL231" s="249"/>
      <c r="BM231" s="249"/>
      <c r="BN231" s="249"/>
      <c r="BO231" s="249"/>
      <c r="BP231" s="249"/>
      <c r="BQ231" s="249"/>
      <c r="BR231" s="249"/>
      <c r="BS231" s="249"/>
      <c r="BT231" s="249"/>
      <c r="BU231" s="249"/>
      <c r="BV231" s="249"/>
      <c r="BW231" s="249"/>
      <c r="BX231" s="249"/>
      <c r="BY231" s="249"/>
      <c r="BZ231" s="249"/>
      <c r="CA231" s="249"/>
      <c r="CB231" s="249"/>
      <c r="CC231" s="249"/>
      <c r="CD231" s="249"/>
      <c r="CE231" s="249"/>
      <c r="CF231" s="249"/>
      <c r="CG231" s="249"/>
      <c r="CH231" s="249"/>
      <c r="CI231" s="249"/>
      <c r="CJ231" s="249"/>
      <c r="CK231" s="249"/>
      <c r="CL231" s="249"/>
      <c r="CM231" s="249"/>
      <c r="CN231" s="249"/>
      <c r="CO231" s="249"/>
      <c r="CP231" s="249"/>
      <c r="CQ231" s="249"/>
      <c r="CR231" s="249"/>
      <c r="CS231" s="249"/>
      <c r="CT231" s="249"/>
      <c r="CU231" s="249"/>
      <c r="CV231" s="249"/>
      <c r="CW231" s="249"/>
      <c r="CX231" s="249"/>
      <c r="CY231" s="249"/>
      <c r="CZ231" s="249"/>
      <c r="DA231" s="249"/>
      <c r="DB231" s="249"/>
      <c r="DC231" s="249"/>
      <c r="DD231" s="249"/>
      <c r="DE231" s="249"/>
      <c r="DF231" s="249"/>
      <c r="DG231" s="249"/>
      <c r="DH231" s="249"/>
      <c r="DI231" s="249"/>
      <c r="DJ231" s="249"/>
      <c r="DK231" s="249"/>
      <c r="DL231" s="249"/>
      <c r="DM231" s="249"/>
      <c r="DN231" s="249"/>
      <c r="DO231" s="249"/>
      <c r="DP231" s="249"/>
      <c r="DQ231" s="249"/>
      <c r="DR231" s="249"/>
      <c r="DS231" s="249"/>
      <c r="DT231" s="249"/>
      <c r="DU231" s="249"/>
      <c r="DV231" s="249"/>
      <c r="DW231" s="249"/>
      <c r="DX231" s="249"/>
      <c r="DY231" s="249"/>
      <c r="DZ231" s="249"/>
      <c r="EA231" s="249"/>
      <c r="EB231" s="249"/>
      <c r="EC231" s="249"/>
      <c r="ED231" s="249"/>
      <c r="EE231" s="249"/>
      <c r="EF231" s="249"/>
      <c r="EG231" s="249"/>
      <c r="EH231" s="249"/>
      <c r="EI231" s="249"/>
      <c r="EJ231" s="249"/>
      <c r="EK231" s="249"/>
      <c r="EL231" s="249"/>
      <c r="EM231" s="249"/>
      <c r="EN231" s="249"/>
      <c r="EO231" s="249"/>
      <c r="EP231" s="249"/>
      <c r="EQ231" s="249"/>
      <c r="ER231" s="249"/>
      <c r="ES231" s="249"/>
      <c r="ET231" s="249"/>
      <c r="EU231" s="249"/>
      <c r="EV231" s="249"/>
      <c r="EW231" s="249"/>
      <c r="EX231" s="249"/>
      <c r="EY231" s="249"/>
      <c r="EZ231" s="249"/>
      <c r="FA231" s="249"/>
      <c r="FB231" s="249"/>
      <c r="FC231" s="249"/>
      <c r="FD231" s="249"/>
      <c r="FE231" s="249"/>
      <c r="FF231" s="249"/>
      <c r="FG231" s="249"/>
      <c r="FH231" s="249"/>
      <c r="FI231" s="249"/>
      <c r="FJ231" s="249"/>
      <c r="FK231" s="249"/>
      <c r="FL231" s="249"/>
      <c r="FM231" s="249"/>
      <c r="FN231" s="249"/>
      <c r="FO231" s="249"/>
      <c r="FP231" s="249"/>
      <c r="FQ231" s="249"/>
      <c r="FR231" s="249"/>
      <c r="FS231" s="249"/>
      <c r="FT231" s="249"/>
      <c r="FU231" s="249"/>
      <c r="FV231" s="249"/>
      <c r="FW231" s="249"/>
      <c r="FX231" s="249"/>
      <c r="FY231" s="249"/>
      <c r="FZ231" s="249"/>
      <c r="GA231" s="249"/>
      <c r="GB231" s="249"/>
      <c r="GC231" s="249"/>
      <c r="GD231" s="249"/>
      <c r="GE231" s="249"/>
      <c r="GF231" s="249"/>
      <c r="GG231" s="249"/>
      <c r="GH231" s="249"/>
      <c r="GI231" s="249"/>
      <c r="GJ231" s="249"/>
      <c r="GK231" s="249"/>
      <c r="GL231" s="249"/>
      <c r="GM231" s="249"/>
      <c r="GN231" s="249"/>
      <c r="GO231" s="249"/>
      <c r="GP231" s="249"/>
      <c r="GQ231" s="249"/>
      <c r="GR231" s="249"/>
    </row>
    <row r="232" spans="1:200" s="252" customFormat="1" ht="13.5" customHeight="1" x14ac:dyDescent="0.2">
      <c r="A232" s="712"/>
      <c r="B232" s="1113"/>
      <c r="C232" s="1113"/>
      <c r="D232" s="533"/>
      <c r="E232" s="613"/>
      <c r="F232" s="249"/>
      <c r="G232" s="250"/>
      <c r="H232" s="250"/>
      <c r="I232" s="250"/>
      <c r="J232" s="250"/>
      <c r="K232" s="250"/>
      <c r="L232" s="250"/>
      <c r="M232" s="250"/>
      <c r="N232" s="250"/>
      <c r="O232" s="250"/>
      <c r="P232" s="251"/>
      <c r="Q232" s="251"/>
      <c r="R232" s="251"/>
      <c r="S232" s="251"/>
      <c r="T232" s="251"/>
      <c r="U232" s="254"/>
      <c r="V232" s="254"/>
      <c r="W232" s="257"/>
      <c r="X232" s="246"/>
      <c r="Y232" s="246">
        <f>SUMPRODUCT(Y204:Y231,$W$204:$W$231)</f>
        <v>0</v>
      </c>
      <c r="Z232" s="246"/>
      <c r="AA232" s="246">
        <f>SUMPRODUCT(AA204:AA231,$W$204:$W$231)</f>
        <v>0</v>
      </c>
      <c r="AB232" s="246"/>
      <c r="AC232" s="246">
        <f>SUMPRODUCT(AC204:AC231,$W$204:$W$231)</f>
        <v>1038148.07</v>
      </c>
      <c r="AD232" s="246"/>
      <c r="AE232" s="246">
        <f>SUMPRODUCT(AE204:AE231,$W$204:$W$231)</f>
        <v>2160056.4499999997</v>
      </c>
      <c r="AF232" s="246"/>
      <c r="AG232" s="246">
        <f>SUMPRODUCT(AG204:AG231,$W$204:$W$231)</f>
        <v>1960263.7427272729</v>
      </c>
      <c r="AH232" s="246"/>
      <c r="AI232" s="246">
        <f>SUMPRODUCT(AI204:AI231,$W$204:$W$231)</f>
        <v>0</v>
      </c>
      <c r="AJ232" s="246"/>
      <c r="AK232" s="246"/>
      <c r="AL232" s="246"/>
      <c r="AM232" s="1439">
        <f>SUM(AM205:AM231)</f>
        <v>5158468.2627272727</v>
      </c>
      <c r="AN232" s="172"/>
      <c r="AO232" s="249"/>
      <c r="AP232" s="250"/>
      <c r="AQ232" s="250"/>
      <c r="AR232" s="250"/>
      <c r="AS232" s="250"/>
      <c r="AT232" s="250"/>
      <c r="AU232" s="250"/>
      <c r="AV232" s="249"/>
      <c r="AW232" s="249"/>
      <c r="AX232" s="249"/>
      <c r="AY232" s="249"/>
      <c r="AZ232" s="249"/>
      <c r="BA232" s="249"/>
      <c r="BB232" s="249"/>
      <c r="BC232" s="249"/>
      <c r="BD232" s="249"/>
      <c r="BE232" s="249"/>
      <c r="BF232" s="249"/>
      <c r="BG232" s="249"/>
      <c r="BH232" s="249"/>
      <c r="BI232" s="249"/>
      <c r="BJ232" s="249"/>
      <c r="BK232" s="249"/>
      <c r="BL232" s="249"/>
      <c r="BM232" s="249"/>
      <c r="BN232" s="249"/>
      <c r="BO232" s="249"/>
      <c r="BP232" s="249"/>
      <c r="BQ232" s="249"/>
      <c r="BR232" s="249"/>
      <c r="BS232" s="249"/>
      <c r="BT232" s="249"/>
      <c r="BU232" s="249"/>
      <c r="BV232" s="249"/>
      <c r="BW232" s="249"/>
      <c r="BX232" s="249"/>
      <c r="BY232" s="249"/>
      <c r="BZ232" s="249"/>
      <c r="CA232" s="249"/>
      <c r="CB232" s="249"/>
      <c r="CC232" s="249"/>
      <c r="CD232" s="249"/>
      <c r="CE232" s="249"/>
      <c r="CF232" s="249"/>
      <c r="CG232" s="249"/>
      <c r="CH232" s="249"/>
      <c r="CI232" s="249"/>
      <c r="CJ232" s="249"/>
      <c r="CK232" s="249"/>
      <c r="CL232" s="249"/>
      <c r="CM232" s="249"/>
      <c r="CN232" s="249"/>
      <c r="CO232" s="249"/>
      <c r="CP232" s="249"/>
      <c r="CQ232" s="249"/>
      <c r="CR232" s="249"/>
      <c r="CS232" s="249"/>
      <c r="CT232" s="249"/>
      <c r="CU232" s="249"/>
      <c r="CV232" s="249"/>
      <c r="CW232" s="249"/>
      <c r="CX232" s="249"/>
      <c r="CY232" s="249"/>
      <c r="CZ232" s="249"/>
      <c r="DA232" s="249"/>
      <c r="DB232" s="249"/>
      <c r="DC232" s="249"/>
      <c r="DD232" s="249"/>
      <c r="DE232" s="249"/>
      <c r="DF232" s="249"/>
      <c r="DG232" s="249"/>
      <c r="DH232" s="249"/>
      <c r="DI232" s="249"/>
      <c r="DJ232" s="249"/>
      <c r="DK232" s="249"/>
      <c r="DL232" s="249"/>
      <c r="DM232" s="249"/>
      <c r="DN232" s="249"/>
      <c r="DO232" s="249"/>
      <c r="DP232" s="249"/>
      <c r="DQ232" s="249"/>
      <c r="DR232" s="249"/>
      <c r="DS232" s="249"/>
      <c r="DT232" s="249"/>
      <c r="DU232" s="249"/>
      <c r="DV232" s="249"/>
      <c r="DW232" s="249"/>
      <c r="DX232" s="249"/>
      <c r="DY232" s="249"/>
      <c r="DZ232" s="249"/>
      <c r="EA232" s="249"/>
      <c r="EB232" s="249"/>
      <c r="EC232" s="249"/>
      <c r="ED232" s="249"/>
      <c r="EE232" s="249"/>
      <c r="EF232" s="249"/>
      <c r="EG232" s="249"/>
      <c r="EH232" s="249"/>
      <c r="EI232" s="249"/>
      <c r="EJ232" s="249"/>
      <c r="EK232" s="249"/>
      <c r="EL232" s="249"/>
      <c r="EM232" s="249"/>
      <c r="EN232" s="249"/>
      <c r="EO232" s="249"/>
      <c r="EP232" s="249"/>
      <c r="EQ232" s="249"/>
      <c r="ER232" s="249"/>
      <c r="ES232" s="249"/>
      <c r="ET232" s="249"/>
      <c r="EU232" s="249"/>
      <c r="EV232" s="249"/>
      <c r="EW232" s="249"/>
      <c r="EX232" s="249"/>
      <c r="EY232" s="249"/>
      <c r="EZ232" s="249"/>
      <c r="FA232" s="249"/>
      <c r="FB232" s="249"/>
      <c r="FC232" s="249"/>
      <c r="FD232" s="249"/>
      <c r="FE232" s="249"/>
      <c r="FF232" s="249"/>
      <c r="FG232" s="249"/>
      <c r="FH232" s="249"/>
      <c r="FI232" s="249"/>
      <c r="FJ232" s="249"/>
      <c r="FK232" s="249"/>
      <c r="FL232" s="249"/>
      <c r="FM232" s="249"/>
      <c r="FN232" s="249"/>
      <c r="FO232" s="249"/>
      <c r="FP232" s="249"/>
      <c r="FQ232" s="249"/>
      <c r="FR232" s="249"/>
      <c r="FS232" s="249"/>
      <c r="FT232" s="249"/>
      <c r="FU232" s="249"/>
      <c r="FV232" s="249"/>
      <c r="FW232" s="249"/>
      <c r="FX232" s="249"/>
      <c r="FY232" s="249"/>
      <c r="FZ232" s="249"/>
      <c r="GA232" s="249"/>
      <c r="GB232" s="249"/>
      <c r="GC232" s="249"/>
      <c r="GD232" s="249"/>
      <c r="GE232" s="249"/>
      <c r="GF232" s="249"/>
      <c r="GG232" s="249"/>
      <c r="GH232" s="249"/>
      <c r="GI232" s="249"/>
      <c r="GJ232" s="249"/>
      <c r="GK232" s="249"/>
      <c r="GL232" s="249"/>
      <c r="GM232" s="249"/>
      <c r="GN232" s="249"/>
      <c r="GO232" s="249"/>
      <c r="GP232" s="249"/>
      <c r="GQ232" s="249"/>
      <c r="GR232" s="249"/>
    </row>
    <row r="233" spans="1:200" s="252" customFormat="1" ht="13.5" customHeight="1" x14ac:dyDescent="0.2">
      <c r="A233" s="724"/>
      <c r="B233" s="1125"/>
      <c r="C233" s="1125"/>
      <c r="D233" s="528"/>
      <c r="E233" s="596"/>
      <c r="F233" s="249"/>
      <c r="G233" s="250"/>
      <c r="H233" s="250"/>
      <c r="I233" s="250"/>
      <c r="J233" s="250"/>
      <c r="K233" s="250"/>
      <c r="L233" s="250"/>
      <c r="M233" s="250"/>
      <c r="N233" s="250"/>
      <c r="O233" s="250"/>
      <c r="P233" s="251"/>
      <c r="Q233" s="251"/>
      <c r="R233" s="251"/>
      <c r="S233" s="251"/>
      <c r="T233" s="251"/>
      <c r="U233" s="254"/>
      <c r="V233" s="254"/>
      <c r="W233" s="254"/>
      <c r="X233" s="1448"/>
      <c r="Y233" s="1448"/>
      <c r="Z233" s="1448"/>
      <c r="AA233" s="1448"/>
      <c r="AB233" s="1448"/>
      <c r="AC233" s="1448"/>
      <c r="AD233" s="1448"/>
      <c r="AE233" s="1448"/>
      <c r="AF233" s="1448"/>
      <c r="AG233" s="1448"/>
      <c r="AH233" s="1448"/>
      <c r="AI233" s="1448"/>
      <c r="AJ233" s="1448"/>
      <c r="AK233" s="1448"/>
      <c r="AL233" s="1448"/>
      <c r="AM233" s="528"/>
      <c r="AN233" s="224"/>
      <c r="AO233" s="249"/>
      <c r="AP233" s="250"/>
      <c r="AQ233" s="250"/>
      <c r="AR233" s="250"/>
      <c r="AS233" s="250"/>
      <c r="AT233" s="250"/>
      <c r="AU233" s="250"/>
      <c r="AV233" s="249"/>
      <c r="AW233" s="249"/>
      <c r="AX233" s="249"/>
      <c r="AY233" s="249"/>
      <c r="AZ233" s="249"/>
      <c r="BA233" s="249"/>
      <c r="BB233" s="249"/>
      <c r="BC233" s="249"/>
      <c r="BD233" s="249"/>
      <c r="BE233" s="249"/>
      <c r="BF233" s="249"/>
      <c r="BG233" s="249"/>
      <c r="BH233" s="249"/>
      <c r="BI233" s="249"/>
      <c r="BJ233" s="249"/>
      <c r="BK233" s="249"/>
      <c r="BL233" s="249"/>
      <c r="BM233" s="249"/>
      <c r="BN233" s="249"/>
      <c r="BO233" s="249"/>
      <c r="BP233" s="249"/>
      <c r="BQ233" s="249"/>
      <c r="BR233" s="249"/>
      <c r="BS233" s="249"/>
      <c r="BT233" s="249"/>
      <c r="BU233" s="249"/>
      <c r="BV233" s="249"/>
      <c r="BW233" s="249"/>
      <c r="BX233" s="249"/>
      <c r="BY233" s="249"/>
      <c r="BZ233" s="249"/>
      <c r="CA233" s="249"/>
      <c r="CB233" s="249"/>
      <c r="CC233" s="249"/>
      <c r="CD233" s="249"/>
      <c r="CE233" s="249"/>
      <c r="CF233" s="249"/>
      <c r="CG233" s="249"/>
      <c r="CH233" s="249"/>
      <c r="CI233" s="249"/>
      <c r="CJ233" s="249"/>
      <c r="CK233" s="249"/>
      <c r="CL233" s="249"/>
      <c r="CM233" s="249"/>
      <c r="CN233" s="249"/>
      <c r="CO233" s="249"/>
      <c r="CP233" s="249"/>
      <c r="CQ233" s="249"/>
      <c r="CR233" s="249"/>
      <c r="CS233" s="249"/>
      <c r="CT233" s="249"/>
      <c r="CU233" s="249"/>
      <c r="CV233" s="249"/>
      <c r="CW233" s="249"/>
      <c r="CX233" s="249"/>
      <c r="CY233" s="249"/>
      <c r="CZ233" s="249"/>
      <c r="DA233" s="249"/>
      <c r="DB233" s="249"/>
      <c r="DC233" s="249"/>
      <c r="DD233" s="249"/>
      <c r="DE233" s="249"/>
      <c r="DF233" s="249"/>
      <c r="DG233" s="249"/>
      <c r="DH233" s="249"/>
      <c r="DI233" s="249"/>
      <c r="DJ233" s="249"/>
      <c r="DK233" s="249"/>
      <c r="DL233" s="249"/>
      <c r="DM233" s="249"/>
      <c r="DN233" s="249"/>
      <c r="DO233" s="249"/>
      <c r="DP233" s="249"/>
      <c r="DQ233" s="249"/>
      <c r="DR233" s="249"/>
      <c r="DS233" s="249"/>
      <c r="DT233" s="249"/>
      <c r="DU233" s="249"/>
      <c r="DV233" s="249"/>
      <c r="DW233" s="249"/>
      <c r="DX233" s="249"/>
      <c r="DY233" s="249"/>
      <c r="DZ233" s="249"/>
      <c r="EA233" s="249"/>
      <c r="EB233" s="249"/>
      <c r="EC233" s="249"/>
      <c r="ED233" s="249"/>
      <c r="EE233" s="249"/>
      <c r="EF233" s="249"/>
      <c r="EG233" s="249"/>
      <c r="EH233" s="249"/>
      <c r="EI233" s="249"/>
      <c r="EJ233" s="249"/>
      <c r="EK233" s="249"/>
      <c r="EL233" s="249"/>
      <c r="EM233" s="249"/>
      <c r="EN233" s="249"/>
      <c r="EO233" s="249"/>
      <c r="EP233" s="249"/>
      <c r="EQ233" s="249"/>
      <c r="ER233" s="249"/>
      <c r="ES233" s="249"/>
      <c r="ET233" s="249"/>
      <c r="EU233" s="249"/>
      <c r="EV233" s="249"/>
      <c r="EW233" s="249"/>
      <c r="EX233" s="249"/>
      <c r="EY233" s="249"/>
      <c r="EZ233" s="249"/>
      <c r="FA233" s="249"/>
      <c r="FB233" s="249"/>
      <c r="FC233" s="249"/>
      <c r="FD233" s="249"/>
      <c r="FE233" s="249"/>
      <c r="FF233" s="249"/>
      <c r="FG233" s="249"/>
      <c r="FH233" s="249"/>
      <c r="FI233" s="249"/>
      <c r="FJ233" s="249"/>
      <c r="FK233" s="249"/>
      <c r="FL233" s="249"/>
      <c r="FM233" s="249"/>
      <c r="FN233" s="249"/>
      <c r="FO233" s="249"/>
      <c r="FP233" s="249"/>
      <c r="FQ233" s="249"/>
      <c r="FR233" s="249"/>
      <c r="FS233" s="249"/>
      <c r="FT233" s="249"/>
      <c r="FU233" s="249"/>
      <c r="FV233" s="249"/>
      <c r="FW233" s="249"/>
      <c r="FX233" s="249"/>
      <c r="FY233" s="249"/>
      <c r="FZ233" s="249"/>
      <c r="GA233" s="249"/>
      <c r="GB233" s="249"/>
      <c r="GC233" s="249"/>
      <c r="GD233" s="249"/>
      <c r="GE233" s="249"/>
      <c r="GF233" s="249"/>
      <c r="GG233" s="249"/>
      <c r="GH233" s="249"/>
      <c r="GI233" s="249"/>
      <c r="GJ233" s="249"/>
      <c r="GK233" s="249"/>
      <c r="GL233" s="249"/>
      <c r="GM233" s="249"/>
      <c r="GN233" s="249"/>
      <c r="GO233" s="249"/>
      <c r="GP233" s="249"/>
      <c r="GQ233" s="249"/>
      <c r="GR233" s="249"/>
    </row>
    <row r="234" spans="1:200" s="252" customFormat="1" ht="13.5" customHeight="1" x14ac:dyDescent="0.2">
      <c r="A234" s="733"/>
      <c r="B234" s="1134"/>
      <c r="C234" s="1134"/>
      <c r="D234" s="535"/>
      <c r="E234" s="613"/>
      <c r="F234" s="249"/>
      <c r="G234" s="250"/>
      <c r="H234" s="250"/>
      <c r="I234" s="250"/>
      <c r="J234" s="250"/>
      <c r="K234" s="250"/>
      <c r="L234" s="250"/>
      <c r="M234" s="250"/>
      <c r="N234" s="250"/>
      <c r="O234" s="250"/>
      <c r="P234" s="251"/>
      <c r="Q234" s="251"/>
      <c r="R234" s="251"/>
      <c r="S234" s="251"/>
      <c r="T234" s="251"/>
      <c r="U234" s="2513" t="s">
        <v>152</v>
      </c>
      <c r="V234" s="2514"/>
      <c r="W234" s="1440" t="s">
        <v>2655</v>
      </c>
      <c r="X234" s="1426" t="str">
        <f t="shared" ref="X234:AK234" si="68">X$14</f>
        <v>RIGMOVE</v>
      </c>
      <c r="Y234" s="1426" t="str">
        <f t="shared" si="68"/>
        <v>DSURFACE</v>
      </c>
      <c r="Z234" s="1426" t="str">
        <f t="shared" si="68"/>
        <v>FSURFACE</v>
      </c>
      <c r="AA234" s="1426" t="str">
        <f t="shared" si="68"/>
        <v>DINTERMEDIATE</v>
      </c>
      <c r="AB234" s="1426" t="str">
        <f t="shared" si="68"/>
        <v>FINTERMEDIATE</v>
      </c>
      <c r="AC234" s="1426" t="str">
        <f t="shared" si="68"/>
        <v>DPRODUCTION</v>
      </c>
      <c r="AD234" s="1426" t="str">
        <f t="shared" si="68"/>
        <v>FPRODUCTION</v>
      </c>
      <c r="AE234" s="1426" t="str">
        <f t="shared" si="68"/>
        <v>DLINER1</v>
      </c>
      <c r="AF234" s="1426" t="str">
        <f t="shared" si="68"/>
        <v>FLINER1</v>
      </c>
      <c r="AG234" s="1426" t="str">
        <f t="shared" si="68"/>
        <v>DLINER2</v>
      </c>
      <c r="AH234" s="1426" t="str">
        <f t="shared" si="68"/>
        <v>FLINER2</v>
      </c>
      <c r="AI234" s="1426" t="str">
        <f t="shared" si="68"/>
        <v/>
      </c>
      <c r="AJ234" s="1426" t="str">
        <f t="shared" si="68"/>
        <v/>
      </c>
      <c r="AK234" s="1426" t="str">
        <f t="shared" si="68"/>
        <v/>
      </c>
      <c r="AL234" s="1426"/>
      <c r="AM234" s="1449" t="s">
        <v>46</v>
      </c>
      <c r="AN234" s="254"/>
      <c r="AO234" s="249"/>
      <c r="AP234" s="250"/>
      <c r="AQ234" s="250"/>
      <c r="AR234" s="250"/>
      <c r="AS234" s="250"/>
      <c r="AT234" s="250"/>
      <c r="AU234" s="250"/>
      <c r="AV234" s="249"/>
      <c r="AW234" s="249"/>
      <c r="AX234" s="249"/>
      <c r="AY234" s="249"/>
      <c r="AZ234" s="249"/>
      <c r="BA234" s="249"/>
      <c r="BB234" s="249"/>
      <c r="BC234" s="249"/>
      <c r="BD234" s="249"/>
      <c r="BE234" s="249"/>
      <c r="BF234" s="249"/>
      <c r="BG234" s="249"/>
      <c r="BH234" s="249"/>
      <c r="BI234" s="249"/>
      <c r="BJ234" s="249"/>
      <c r="BK234" s="249"/>
      <c r="BL234" s="249"/>
      <c r="BM234" s="249"/>
      <c r="BN234" s="249"/>
      <c r="BO234" s="249"/>
      <c r="BP234" s="249"/>
      <c r="BQ234" s="249"/>
      <c r="BR234" s="249"/>
      <c r="BS234" s="249"/>
      <c r="BT234" s="249"/>
      <c r="BU234" s="249"/>
      <c r="BV234" s="249"/>
      <c r="BW234" s="249"/>
      <c r="BX234" s="249"/>
      <c r="BY234" s="249"/>
      <c r="BZ234" s="249"/>
      <c r="CA234" s="249"/>
      <c r="CB234" s="249"/>
      <c r="CC234" s="249"/>
      <c r="CD234" s="249"/>
      <c r="CE234" s="249"/>
      <c r="CF234" s="249"/>
      <c r="CG234" s="249"/>
      <c r="CH234" s="249"/>
      <c r="CI234" s="249"/>
      <c r="CJ234" s="249"/>
      <c r="CK234" s="249"/>
      <c r="CL234" s="249"/>
      <c r="CM234" s="249"/>
      <c r="CN234" s="249"/>
      <c r="CO234" s="249"/>
      <c r="CP234" s="249"/>
      <c r="CQ234" s="249"/>
      <c r="CR234" s="249"/>
      <c r="CS234" s="249"/>
      <c r="CT234" s="249"/>
      <c r="CU234" s="249"/>
      <c r="CV234" s="249"/>
      <c r="CW234" s="249"/>
      <c r="CX234" s="249"/>
      <c r="CY234" s="249"/>
      <c r="CZ234" s="249"/>
      <c r="DA234" s="249"/>
      <c r="DB234" s="249"/>
      <c r="DC234" s="249"/>
      <c r="DD234" s="249"/>
      <c r="DE234" s="249"/>
      <c r="DF234" s="249"/>
      <c r="DG234" s="249"/>
      <c r="DH234" s="249"/>
      <c r="DI234" s="249"/>
      <c r="DJ234" s="249"/>
      <c r="DK234" s="249"/>
      <c r="DL234" s="249"/>
      <c r="DM234" s="249"/>
      <c r="DN234" s="249"/>
      <c r="DO234" s="249"/>
      <c r="DP234" s="249"/>
      <c r="DQ234" s="249"/>
      <c r="DR234" s="249"/>
      <c r="DS234" s="249"/>
      <c r="DT234" s="249"/>
      <c r="DU234" s="249"/>
      <c r="DV234" s="249"/>
      <c r="DW234" s="249"/>
      <c r="DX234" s="249"/>
      <c r="DY234" s="249"/>
      <c r="DZ234" s="249"/>
      <c r="EA234" s="249"/>
      <c r="EB234" s="249"/>
      <c r="EC234" s="249"/>
      <c r="ED234" s="249"/>
      <c r="EE234" s="249"/>
      <c r="EF234" s="249"/>
      <c r="EG234" s="249"/>
      <c r="EH234" s="249"/>
      <c r="EI234" s="249"/>
      <c r="EJ234" s="249"/>
      <c r="EK234" s="249"/>
      <c r="EL234" s="249"/>
      <c r="EM234" s="249"/>
      <c r="EN234" s="249"/>
      <c r="EO234" s="249"/>
      <c r="EP234" s="249"/>
      <c r="EQ234" s="249"/>
      <c r="ER234" s="249"/>
      <c r="ES234" s="249"/>
      <c r="ET234" s="249"/>
      <c r="EU234" s="249"/>
      <c r="EV234" s="249"/>
      <c r="EW234" s="249"/>
      <c r="EX234" s="249"/>
      <c r="EY234" s="249"/>
      <c r="EZ234" s="249"/>
      <c r="FA234" s="249"/>
      <c r="FB234" s="249"/>
      <c r="FC234" s="249"/>
      <c r="FD234" s="249"/>
      <c r="FE234" s="249"/>
      <c r="FF234" s="249"/>
      <c r="FG234" s="249"/>
      <c r="FH234" s="249"/>
      <c r="FI234" s="249"/>
      <c r="FJ234" s="249"/>
      <c r="FK234" s="249"/>
      <c r="FL234" s="249"/>
      <c r="FM234" s="249"/>
      <c r="FN234" s="249"/>
      <c r="FO234" s="249"/>
      <c r="FP234" s="249"/>
      <c r="FQ234" s="249"/>
      <c r="FR234" s="249"/>
      <c r="FS234" s="249"/>
      <c r="FT234" s="249"/>
      <c r="FU234" s="249"/>
      <c r="FV234" s="249"/>
      <c r="FW234" s="249"/>
      <c r="FX234" s="249"/>
      <c r="FY234" s="249"/>
      <c r="FZ234" s="249"/>
      <c r="GA234" s="249"/>
      <c r="GB234" s="249"/>
      <c r="GC234" s="249"/>
      <c r="GD234" s="249"/>
      <c r="GE234" s="249"/>
      <c r="GF234" s="249"/>
      <c r="GG234" s="249"/>
      <c r="GH234" s="249"/>
      <c r="GI234" s="249"/>
      <c r="GJ234" s="249"/>
      <c r="GK234" s="249"/>
      <c r="GL234" s="249"/>
      <c r="GM234" s="249"/>
      <c r="GN234" s="249"/>
      <c r="GO234" s="249"/>
      <c r="GP234" s="249"/>
      <c r="GQ234" s="249"/>
      <c r="GR234" s="249"/>
    </row>
    <row r="235" spans="1:200" s="252" customFormat="1" ht="13.5" customHeight="1" x14ac:dyDescent="0.2">
      <c r="A235" s="593"/>
      <c r="B235" s="593"/>
      <c r="C235" s="593"/>
      <c r="D235" s="593"/>
      <c r="E235" s="2152"/>
      <c r="F235" s="249"/>
      <c r="G235" s="250"/>
      <c r="H235" s="250"/>
      <c r="I235" s="250"/>
      <c r="J235" s="250"/>
      <c r="K235" s="250"/>
      <c r="L235" s="250"/>
      <c r="M235" s="250"/>
      <c r="N235" s="250"/>
      <c r="O235" s="250"/>
      <c r="P235" s="251"/>
      <c r="Q235" s="251"/>
      <c r="R235" s="251"/>
      <c r="S235" s="251"/>
      <c r="T235" s="251"/>
      <c r="U235" s="2153"/>
      <c r="V235" s="326" t="str">
        <f>V204</f>
        <v>32"  TCI Cutters (3 pcs)</v>
      </c>
      <c r="W235" s="2154">
        <f>Rockbits!J4</f>
        <v>1120775.2050000001</v>
      </c>
      <c r="X235" s="2155"/>
      <c r="Y235" s="2159">
        <f>IF(RH_BH="Regular Hole",0,INPUT!$J39)</f>
        <v>1</v>
      </c>
      <c r="Z235" s="348"/>
      <c r="AA235" s="246"/>
      <c r="AB235" s="246"/>
      <c r="AC235" s="246"/>
      <c r="AD235" s="246"/>
      <c r="AE235" s="246"/>
      <c r="AF235" s="246"/>
      <c r="AG235" s="246"/>
      <c r="AH235" s="246"/>
      <c r="AI235" s="246"/>
      <c r="AJ235" s="2155"/>
      <c r="AK235" s="2155"/>
      <c r="AL235" s="2155"/>
      <c r="AM235" s="246">
        <f>(W235*Y235)</f>
        <v>1120775.2050000001</v>
      </c>
      <c r="AN235" s="294"/>
      <c r="AO235" s="249"/>
      <c r="AP235" s="250"/>
      <c r="AQ235" s="250"/>
      <c r="AR235" s="250"/>
      <c r="AS235" s="250"/>
      <c r="AT235" s="250"/>
      <c r="AU235" s="250"/>
      <c r="AV235" s="249"/>
      <c r="AW235" s="249"/>
      <c r="AX235" s="249"/>
      <c r="AY235" s="249"/>
      <c r="AZ235" s="249"/>
      <c r="BA235" s="249"/>
      <c r="BB235" s="249"/>
      <c r="BC235" s="249"/>
      <c r="BD235" s="249"/>
      <c r="BE235" s="249"/>
      <c r="BF235" s="249"/>
      <c r="BG235" s="249"/>
      <c r="BH235" s="249"/>
      <c r="BI235" s="249"/>
      <c r="BJ235" s="249"/>
      <c r="BK235" s="249"/>
      <c r="BL235" s="249"/>
      <c r="BM235" s="249"/>
      <c r="BN235" s="249"/>
      <c r="BO235" s="249"/>
      <c r="BP235" s="249"/>
      <c r="BQ235" s="249"/>
      <c r="BR235" s="249"/>
      <c r="BS235" s="249"/>
      <c r="BT235" s="249"/>
      <c r="BU235" s="249"/>
      <c r="BV235" s="249"/>
      <c r="BW235" s="249"/>
      <c r="BX235" s="249"/>
      <c r="BY235" s="249"/>
      <c r="BZ235" s="249"/>
      <c r="CA235" s="249"/>
      <c r="CB235" s="249"/>
      <c r="CC235" s="249"/>
      <c r="CD235" s="249"/>
      <c r="CE235" s="249"/>
      <c r="CF235" s="249"/>
      <c r="CG235" s="249"/>
      <c r="CH235" s="249"/>
      <c r="CI235" s="249"/>
      <c r="CJ235" s="249"/>
      <c r="CK235" s="249"/>
      <c r="CL235" s="249"/>
      <c r="CM235" s="249"/>
      <c r="CN235" s="249"/>
      <c r="CO235" s="249"/>
      <c r="CP235" s="249"/>
      <c r="CQ235" s="249"/>
      <c r="CR235" s="249"/>
      <c r="CS235" s="249"/>
      <c r="CT235" s="249"/>
      <c r="CU235" s="249"/>
      <c r="CV235" s="249"/>
      <c r="CW235" s="249"/>
      <c r="CX235" s="249"/>
      <c r="CY235" s="249"/>
      <c r="CZ235" s="249"/>
      <c r="DA235" s="249"/>
      <c r="DB235" s="249"/>
      <c r="DC235" s="249"/>
      <c r="DD235" s="249"/>
      <c r="DE235" s="249"/>
      <c r="DF235" s="249"/>
      <c r="DG235" s="249"/>
      <c r="DH235" s="249"/>
      <c r="DI235" s="249"/>
      <c r="DJ235" s="249"/>
      <c r="DK235" s="249"/>
      <c r="DL235" s="249"/>
      <c r="DM235" s="249"/>
      <c r="DN235" s="249"/>
      <c r="DO235" s="249"/>
      <c r="DP235" s="249"/>
      <c r="DQ235" s="249"/>
      <c r="DR235" s="249"/>
      <c r="DS235" s="249"/>
      <c r="DT235" s="249"/>
      <c r="DU235" s="249"/>
      <c r="DV235" s="249"/>
      <c r="DW235" s="249"/>
      <c r="DX235" s="249"/>
      <c r="DY235" s="249"/>
      <c r="DZ235" s="249"/>
      <c r="EA235" s="249"/>
      <c r="EB235" s="249"/>
      <c r="EC235" s="249"/>
      <c r="ED235" s="249"/>
      <c r="EE235" s="249"/>
      <c r="EF235" s="249"/>
      <c r="EG235" s="249"/>
      <c r="EH235" s="249"/>
      <c r="EI235" s="249"/>
      <c r="EJ235" s="249"/>
      <c r="EK235" s="249"/>
      <c r="EL235" s="249"/>
      <c r="EM235" s="249"/>
      <c r="EN235" s="249"/>
      <c r="EO235" s="249"/>
      <c r="EP235" s="249"/>
      <c r="EQ235" s="249"/>
      <c r="ER235" s="249"/>
      <c r="ES235" s="249"/>
      <c r="ET235" s="249"/>
      <c r="EU235" s="249"/>
      <c r="EV235" s="249"/>
      <c r="EW235" s="249"/>
      <c r="EX235" s="249"/>
      <c r="EY235" s="249"/>
      <c r="EZ235" s="249"/>
      <c r="FA235" s="249"/>
      <c r="FB235" s="249"/>
      <c r="FC235" s="249"/>
      <c r="FD235" s="249"/>
      <c r="FE235" s="249"/>
      <c r="FF235" s="249"/>
      <c r="FG235" s="249"/>
      <c r="FH235" s="249"/>
      <c r="FI235" s="249"/>
      <c r="FJ235" s="249"/>
      <c r="FK235" s="249"/>
      <c r="FL235" s="249"/>
      <c r="FM235" s="249"/>
      <c r="FN235" s="249"/>
      <c r="FO235" s="249"/>
      <c r="FP235" s="249"/>
      <c r="FQ235" s="249"/>
      <c r="FR235" s="249"/>
      <c r="FS235" s="249"/>
      <c r="FT235" s="249"/>
      <c r="FU235" s="249"/>
      <c r="FV235" s="249"/>
      <c r="FW235" s="249"/>
      <c r="FX235" s="249"/>
      <c r="FY235" s="249"/>
      <c r="FZ235" s="249"/>
      <c r="GA235" s="249"/>
      <c r="GB235" s="249"/>
      <c r="GC235" s="249"/>
      <c r="GD235" s="249"/>
      <c r="GE235" s="249"/>
      <c r="GF235" s="249"/>
      <c r="GG235" s="249"/>
      <c r="GH235" s="249"/>
      <c r="GI235" s="249"/>
      <c r="GJ235" s="249"/>
      <c r="GK235" s="249"/>
      <c r="GL235" s="249"/>
      <c r="GM235" s="249"/>
      <c r="GN235" s="249"/>
      <c r="GO235" s="249"/>
      <c r="GP235" s="249"/>
      <c r="GQ235" s="249"/>
      <c r="GR235" s="249"/>
    </row>
    <row r="236" spans="1:200" s="252" customFormat="1" ht="13.5" customHeight="1" x14ac:dyDescent="0.2">
      <c r="A236" s="593"/>
      <c r="B236" s="593"/>
      <c r="C236" s="593"/>
      <c r="D236" s="593"/>
      <c r="E236" s="2152"/>
      <c r="F236" s="249"/>
      <c r="G236" s="250"/>
      <c r="H236" s="250"/>
      <c r="I236" s="250"/>
      <c r="J236" s="250"/>
      <c r="K236" s="250"/>
      <c r="L236" s="250"/>
      <c r="M236" s="250"/>
      <c r="N236" s="250"/>
      <c r="O236" s="250"/>
      <c r="P236" s="251"/>
      <c r="Q236" s="251"/>
      <c r="R236" s="251"/>
      <c r="S236" s="251"/>
      <c r="T236" s="251"/>
      <c r="U236" s="2153"/>
      <c r="V236" s="326" t="str">
        <f t="shared" ref="V236:V262" si="69">V205</f>
        <v>26" x Tricone IADC Code 515</v>
      </c>
      <c r="W236" s="2154">
        <f>Rockbits!J5</f>
        <v>1927533.62</v>
      </c>
      <c r="X236" s="2155"/>
      <c r="Y236" s="2159">
        <f>INPUT!$J40</f>
        <v>1</v>
      </c>
      <c r="Z236" s="348"/>
      <c r="AA236" s="246"/>
      <c r="AB236" s="246"/>
      <c r="AC236" s="246"/>
      <c r="AD236" s="246"/>
      <c r="AE236" s="246"/>
      <c r="AF236" s="246"/>
      <c r="AG236" s="246"/>
      <c r="AH236" s="246"/>
      <c r="AI236" s="246"/>
      <c r="AJ236" s="2155"/>
      <c r="AK236" s="2155"/>
      <c r="AL236" s="2155"/>
      <c r="AM236" s="246">
        <f>(W236*Y236)</f>
        <v>1927533.62</v>
      </c>
      <c r="AN236" s="294"/>
      <c r="AO236" s="249"/>
      <c r="AP236" s="250"/>
      <c r="AQ236" s="250"/>
      <c r="AR236" s="250"/>
      <c r="AS236" s="250"/>
      <c r="AT236" s="250"/>
      <c r="AU236" s="250"/>
      <c r="AV236" s="249"/>
      <c r="AW236" s="249"/>
      <c r="AX236" s="249"/>
      <c r="AY236" s="249"/>
      <c r="AZ236" s="249"/>
      <c r="BA236" s="249"/>
      <c r="BB236" s="249"/>
      <c r="BC236" s="249"/>
      <c r="BD236" s="249"/>
      <c r="BE236" s="249"/>
      <c r="BF236" s="249"/>
      <c r="BG236" s="249"/>
      <c r="BH236" s="249"/>
      <c r="BI236" s="249"/>
      <c r="BJ236" s="249"/>
      <c r="BK236" s="249"/>
      <c r="BL236" s="249"/>
      <c r="BM236" s="249"/>
      <c r="BN236" s="249"/>
      <c r="BO236" s="249"/>
      <c r="BP236" s="249"/>
      <c r="BQ236" s="249"/>
      <c r="BR236" s="249"/>
      <c r="BS236" s="249"/>
      <c r="BT236" s="249"/>
      <c r="BU236" s="249"/>
      <c r="BV236" s="249"/>
      <c r="BW236" s="249"/>
      <c r="BX236" s="249"/>
      <c r="BY236" s="249"/>
      <c r="BZ236" s="249"/>
      <c r="CA236" s="249"/>
      <c r="CB236" s="249"/>
      <c r="CC236" s="249"/>
      <c r="CD236" s="249"/>
      <c r="CE236" s="249"/>
      <c r="CF236" s="249"/>
      <c r="CG236" s="249"/>
      <c r="CH236" s="249"/>
      <c r="CI236" s="249"/>
      <c r="CJ236" s="249"/>
      <c r="CK236" s="249"/>
      <c r="CL236" s="249"/>
      <c r="CM236" s="249"/>
      <c r="CN236" s="249"/>
      <c r="CO236" s="249"/>
      <c r="CP236" s="249"/>
      <c r="CQ236" s="249"/>
      <c r="CR236" s="249"/>
      <c r="CS236" s="249"/>
      <c r="CT236" s="249"/>
      <c r="CU236" s="249"/>
      <c r="CV236" s="249"/>
      <c r="CW236" s="249"/>
      <c r="CX236" s="249"/>
      <c r="CY236" s="249"/>
      <c r="CZ236" s="249"/>
      <c r="DA236" s="249"/>
      <c r="DB236" s="249"/>
      <c r="DC236" s="249"/>
      <c r="DD236" s="249"/>
      <c r="DE236" s="249"/>
      <c r="DF236" s="249"/>
      <c r="DG236" s="249"/>
      <c r="DH236" s="249"/>
      <c r="DI236" s="249"/>
      <c r="DJ236" s="249"/>
      <c r="DK236" s="249"/>
      <c r="DL236" s="249"/>
      <c r="DM236" s="249"/>
      <c r="DN236" s="249"/>
      <c r="DO236" s="249"/>
      <c r="DP236" s="249"/>
      <c r="DQ236" s="249"/>
      <c r="DR236" s="249"/>
      <c r="DS236" s="249"/>
      <c r="DT236" s="249"/>
      <c r="DU236" s="249"/>
      <c r="DV236" s="249"/>
      <c r="DW236" s="249"/>
      <c r="DX236" s="249"/>
      <c r="DY236" s="249"/>
      <c r="DZ236" s="249"/>
      <c r="EA236" s="249"/>
      <c r="EB236" s="249"/>
      <c r="EC236" s="249"/>
      <c r="ED236" s="249"/>
      <c r="EE236" s="249"/>
      <c r="EF236" s="249"/>
      <c r="EG236" s="249"/>
      <c r="EH236" s="249"/>
      <c r="EI236" s="249"/>
      <c r="EJ236" s="249"/>
      <c r="EK236" s="249"/>
      <c r="EL236" s="249"/>
      <c r="EM236" s="249"/>
      <c r="EN236" s="249"/>
      <c r="EO236" s="249"/>
      <c r="EP236" s="249"/>
      <c r="EQ236" s="249"/>
      <c r="ER236" s="249"/>
      <c r="ES236" s="249"/>
      <c r="ET236" s="249"/>
      <c r="EU236" s="249"/>
      <c r="EV236" s="249"/>
      <c r="EW236" s="249"/>
      <c r="EX236" s="249"/>
      <c r="EY236" s="249"/>
      <c r="EZ236" s="249"/>
      <c r="FA236" s="249"/>
      <c r="FB236" s="249"/>
      <c r="FC236" s="249"/>
      <c r="FD236" s="249"/>
      <c r="FE236" s="249"/>
      <c r="FF236" s="249"/>
      <c r="FG236" s="249"/>
      <c r="FH236" s="249"/>
      <c r="FI236" s="249"/>
      <c r="FJ236" s="249"/>
      <c r="FK236" s="249"/>
      <c r="FL236" s="249"/>
      <c r="FM236" s="249"/>
      <c r="FN236" s="249"/>
      <c r="FO236" s="249"/>
      <c r="FP236" s="249"/>
      <c r="FQ236" s="249"/>
      <c r="FR236" s="249"/>
      <c r="FS236" s="249"/>
      <c r="FT236" s="249"/>
      <c r="FU236" s="249"/>
      <c r="FV236" s="249"/>
      <c r="FW236" s="249"/>
      <c r="FX236" s="249"/>
      <c r="FY236" s="249"/>
      <c r="FZ236" s="249"/>
      <c r="GA236" s="249"/>
      <c r="GB236" s="249"/>
      <c r="GC236" s="249"/>
      <c r="GD236" s="249"/>
      <c r="GE236" s="249"/>
      <c r="GF236" s="249"/>
      <c r="GG236" s="249"/>
      <c r="GH236" s="249"/>
      <c r="GI236" s="249"/>
      <c r="GJ236" s="249"/>
      <c r="GK236" s="249"/>
      <c r="GL236" s="249"/>
      <c r="GM236" s="249"/>
      <c r="GN236" s="249"/>
      <c r="GO236" s="249"/>
      <c r="GP236" s="249"/>
      <c r="GQ236" s="249"/>
      <c r="GR236" s="249"/>
    </row>
    <row r="237" spans="1:200" s="252" customFormat="1" ht="13.5" customHeight="1" x14ac:dyDescent="0.2">
      <c r="A237" s="593"/>
      <c r="B237" s="593"/>
      <c r="C237" s="593"/>
      <c r="D237" s="593"/>
      <c r="E237" s="2152"/>
      <c r="F237" s="249"/>
      <c r="G237" s="250"/>
      <c r="H237" s="250"/>
      <c r="I237" s="250"/>
      <c r="J237" s="250"/>
      <c r="K237" s="250"/>
      <c r="L237" s="250"/>
      <c r="M237" s="250"/>
      <c r="N237" s="250"/>
      <c r="O237" s="250"/>
      <c r="P237" s="251"/>
      <c r="Q237" s="251"/>
      <c r="R237" s="251"/>
      <c r="S237" s="251"/>
      <c r="T237" s="251"/>
      <c r="U237" s="2153"/>
      <c r="V237" s="326" t="str">
        <f t="shared" si="69"/>
        <v>23" x Tricone IADC Code 515</v>
      </c>
      <c r="W237" s="2154">
        <f>Rockbits!J6</f>
        <v>2112234.9133333336</v>
      </c>
      <c r="X237" s="2155"/>
      <c r="Y237" s="348"/>
      <c r="Z237" s="348"/>
      <c r="AA237" s="2159">
        <f>INPUT!$J41</f>
        <v>1</v>
      </c>
      <c r="AB237" s="246"/>
      <c r="AC237" s="246"/>
      <c r="AD237" s="246"/>
      <c r="AE237" s="246"/>
      <c r="AF237" s="246"/>
      <c r="AG237" s="246"/>
      <c r="AH237" s="246"/>
      <c r="AI237" s="246"/>
      <c r="AJ237" s="2155"/>
      <c r="AK237" s="2155"/>
      <c r="AL237" s="2155"/>
      <c r="AM237" s="246">
        <f>(W237*AA237)</f>
        <v>2112234.9133333336</v>
      </c>
      <c r="AN237" s="294"/>
      <c r="AO237" s="249"/>
      <c r="AP237" s="250"/>
      <c r="AQ237" s="250"/>
      <c r="AR237" s="250"/>
      <c r="AS237" s="250"/>
      <c r="AT237" s="250"/>
      <c r="AU237" s="250"/>
      <c r="AV237" s="249"/>
      <c r="AW237" s="249"/>
      <c r="AX237" s="249"/>
      <c r="AY237" s="249"/>
      <c r="AZ237" s="249"/>
      <c r="BA237" s="249"/>
      <c r="BB237" s="249"/>
      <c r="BC237" s="249"/>
      <c r="BD237" s="249"/>
      <c r="BE237" s="249"/>
      <c r="BF237" s="249"/>
      <c r="BG237" s="249"/>
      <c r="BH237" s="249"/>
      <c r="BI237" s="249"/>
      <c r="BJ237" s="249"/>
      <c r="BK237" s="249"/>
      <c r="BL237" s="249"/>
      <c r="BM237" s="249"/>
      <c r="BN237" s="249"/>
      <c r="BO237" s="249"/>
      <c r="BP237" s="249"/>
      <c r="BQ237" s="249"/>
      <c r="BR237" s="249"/>
      <c r="BS237" s="249"/>
      <c r="BT237" s="249"/>
      <c r="BU237" s="249"/>
      <c r="BV237" s="249"/>
      <c r="BW237" s="249"/>
      <c r="BX237" s="249"/>
      <c r="BY237" s="249"/>
      <c r="BZ237" s="249"/>
      <c r="CA237" s="249"/>
      <c r="CB237" s="249"/>
      <c r="CC237" s="249"/>
      <c r="CD237" s="249"/>
      <c r="CE237" s="249"/>
      <c r="CF237" s="249"/>
      <c r="CG237" s="249"/>
      <c r="CH237" s="249"/>
      <c r="CI237" s="249"/>
      <c r="CJ237" s="249"/>
      <c r="CK237" s="249"/>
      <c r="CL237" s="249"/>
      <c r="CM237" s="249"/>
      <c r="CN237" s="249"/>
      <c r="CO237" s="249"/>
      <c r="CP237" s="249"/>
      <c r="CQ237" s="249"/>
      <c r="CR237" s="249"/>
      <c r="CS237" s="249"/>
      <c r="CT237" s="249"/>
      <c r="CU237" s="249"/>
      <c r="CV237" s="249"/>
      <c r="CW237" s="249"/>
      <c r="CX237" s="249"/>
      <c r="CY237" s="249"/>
      <c r="CZ237" s="249"/>
      <c r="DA237" s="249"/>
      <c r="DB237" s="249"/>
      <c r="DC237" s="249"/>
      <c r="DD237" s="249"/>
      <c r="DE237" s="249"/>
      <c r="DF237" s="249"/>
      <c r="DG237" s="249"/>
      <c r="DH237" s="249"/>
      <c r="DI237" s="249"/>
      <c r="DJ237" s="249"/>
      <c r="DK237" s="249"/>
      <c r="DL237" s="249"/>
      <c r="DM237" s="249"/>
      <c r="DN237" s="249"/>
      <c r="DO237" s="249"/>
      <c r="DP237" s="249"/>
      <c r="DQ237" s="249"/>
      <c r="DR237" s="249"/>
      <c r="DS237" s="249"/>
      <c r="DT237" s="249"/>
      <c r="DU237" s="249"/>
      <c r="DV237" s="249"/>
      <c r="DW237" s="249"/>
      <c r="DX237" s="249"/>
      <c r="DY237" s="249"/>
      <c r="DZ237" s="249"/>
      <c r="EA237" s="249"/>
      <c r="EB237" s="249"/>
      <c r="EC237" s="249"/>
      <c r="ED237" s="249"/>
      <c r="EE237" s="249"/>
      <c r="EF237" s="249"/>
      <c r="EG237" s="249"/>
      <c r="EH237" s="249"/>
      <c r="EI237" s="249"/>
      <c r="EJ237" s="249"/>
      <c r="EK237" s="249"/>
      <c r="EL237" s="249"/>
      <c r="EM237" s="249"/>
      <c r="EN237" s="249"/>
      <c r="EO237" s="249"/>
      <c r="EP237" s="249"/>
      <c r="EQ237" s="249"/>
      <c r="ER237" s="249"/>
      <c r="ES237" s="249"/>
      <c r="ET237" s="249"/>
      <c r="EU237" s="249"/>
      <c r="EV237" s="249"/>
      <c r="EW237" s="249"/>
      <c r="EX237" s="249"/>
      <c r="EY237" s="249"/>
      <c r="EZ237" s="249"/>
      <c r="FA237" s="249"/>
      <c r="FB237" s="249"/>
      <c r="FC237" s="249"/>
      <c r="FD237" s="249"/>
      <c r="FE237" s="249"/>
      <c r="FF237" s="249"/>
      <c r="FG237" s="249"/>
      <c r="FH237" s="249"/>
      <c r="FI237" s="249"/>
      <c r="FJ237" s="249"/>
      <c r="FK237" s="249"/>
      <c r="FL237" s="249"/>
      <c r="FM237" s="249"/>
      <c r="FN237" s="249"/>
      <c r="FO237" s="249"/>
      <c r="FP237" s="249"/>
      <c r="FQ237" s="249"/>
      <c r="FR237" s="249"/>
      <c r="FS237" s="249"/>
      <c r="FT237" s="249"/>
      <c r="FU237" s="249"/>
      <c r="FV237" s="249"/>
      <c r="FW237" s="249"/>
      <c r="FX237" s="249"/>
      <c r="FY237" s="249"/>
      <c r="FZ237" s="249"/>
      <c r="GA237" s="249"/>
      <c r="GB237" s="249"/>
      <c r="GC237" s="249"/>
      <c r="GD237" s="249"/>
      <c r="GE237" s="249"/>
      <c r="GF237" s="249"/>
      <c r="GG237" s="249"/>
      <c r="GH237" s="249"/>
      <c r="GI237" s="249"/>
      <c r="GJ237" s="249"/>
      <c r="GK237" s="249"/>
      <c r="GL237" s="249"/>
      <c r="GM237" s="249"/>
      <c r="GN237" s="249"/>
      <c r="GO237" s="249"/>
      <c r="GP237" s="249"/>
      <c r="GQ237" s="249"/>
      <c r="GR237" s="249"/>
    </row>
    <row r="238" spans="1:200" s="252" customFormat="1" ht="13.5" customHeight="1" x14ac:dyDescent="0.2">
      <c r="A238" s="593"/>
      <c r="B238" s="593"/>
      <c r="C238" s="593"/>
      <c r="D238" s="593"/>
      <c r="E238" s="2152"/>
      <c r="F238" s="249"/>
      <c r="G238" s="250"/>
      <c r="H238" s="250"/>
      <c r="I238" s="250"/>
      <c r="J238" s="250"/>
      <c r="K238" s="250"/>
      <c r="L238" s="250"/>
      <c r="M238" s="250"/>
      <c r="N238" s="250"/>
      <c r="O238" s="250"/>
      <c r="P238" s="251"/>
      <c r="Q238" s="251"/>
      <c r="R238" s="251"/>
      <c r="S238" s="251"/>
      <c r="T238" s="251"/>
      <c r="U238" s="2153"/>
      <c r="V238" s="326" t="str">
        <f t="shared" si="69"/>
        <v>17 " x Tricone IADC Code 525</v>
      </c>
      <c r="W238" s="2154">
        <f>Rockbits!J7</f>
        <v>1444849.2092307692</v>
      </c>
      <c r="X238" s="2155"/>
      <c r="Y238" s="348"/>
      <c r="Z238" s="348"/>
      <c r="AA238" s="2160">
        <f>IF(RH_BH="Big Hole",0,INPUT!$J42)</f>
        <v>0</v>
      </c>
      <c r="AB238" s="246"/>
      <c r="AC238" s="2159">
        <f>INPUT!$J42</f>
        <v>1</v>
      </c>
      <c r="AD238" s="246"/>
      <c r="AE238" s="246"/>
      <c r="AF238" s="246"/>
      <c r="AG238" s="246"/>
      <c r="AH238" s="246"/>
      <c r="AI238" s="246"/>
      <c r="AJ238" s="2155"/>
      <c r="AK238" s="2155"/>
      <c r="AL238" s="2155"/>
      <c r="AM238" s="246">
        <f>(W238*AA238)+(AC238*W238)</f>
        <v>1444849.2092307692</v>
      </c>
      <c r="AN238" s="294"/>
      <c r="AO238" s="249"/>
      <c r="AP238" s="250"/>
      <c r="AQ238" s="250"/>
      <c r="AR238" s="250"/>
      <c r="AS238" s="250"/>
      <c r="AT238" s="250"/>
      <c r="AU238" s="250"/>
      <c r="AV238" s="249"/>
      <c r="AW238" s="249"/>
      <c r="AX238" s="249"/>
      <c r="AY238" s="249"/>
      <c r="AZ238" s="249"/>
      <c r="BA238" s="249"/>
      <c r="BB238" s="249"/>
      <c r="BC238" s="249"/>
      <c r="BD238" s="249"/>
      <c r="BE238" s="249"/>
      <c r="BF238" s="249"/>
      <c r="BG238" s="249"/>
      <c r="BH238" s="249"/>
      <c r="BI238" s="249"/>
      <c r="BJ238" s="249"/>
      <c r="BK238" s="249"/>
      <c r="BL238" s="249"/>
      <c r="BM238" s="249"/>
      <c r="BN238" s="249"/>
      <c r="BO238" s="249"/>
      <c r="BP238" s="249"/>
      <c r="BQ238" s="249"/>
      <c r="BR238" s="249"/>
      <c r="BS238" s="249"/>
      <c r="BT238" s="249"/>
      <c r="BU238" s="249"/>
      <c r="BV238" s="249"/>
      <c r="BW238" s="249"/>
      <c r="BX238" s="249"/>
      <c r="BY238" s="249"/>
      <c r="BZ238" s="249"/>
      <c r="CA238" s="249"/>
      <c r="CB238" s="249"/>
      <c r="CC238" s="249"/>
      <c r="CD238" s="249"/>
      <c r="CE238" s="249"/>
      <c r="CF238" s="249"/>
      <c r="CG238" s="249"/>
      <c r="CH238" s="249"/>
      <c r="CI238" s="249"/>
      <c r="CJ238" s="249"/>
      <c r="CK238" s="249"/>
      <c r="CL238" s="249"/>
      <c r="CM238" s="249"/>
      <c r="CN238" s="249"/>
      <c r="CO238" s="249"/>
      <c r="CP238" s="249"/>
      <c r="CQ238" s="249"/>
      <c r="CR238" s="249"/>
      <c r="CS238" s="249"/>
      <c r="CT238" s="249"/>
      <c r="CU238" s="249"/>
      <c r="CV238" s="249"/>
      <c r="CW238" s="249"/>
      <c r="CX238" s="249"/>
      <c r="CY238" s="249"/>
      <c r="CZ238" s="249"/>
      <c r="DA238" s="249"/>
      <c r="DB238" s="249"/>
      <c r="DC238" s="249"/>
      <c r="DD238" s="249"/>
      <c r="DE238" s="249"/>
      <c r="DF238" s="249"/>
      <c r="DG238" s="249"/>
      <c r="DH238" s="249"/>
      <c r="DI238" s="249"/>
      <c r="DJ238" s="249"/>
      <c r="DK238" s="249"/>
      <c r="DL238" s="249"/>
      <c r="DM238" s="249"/>
      <c r="DN238" s="249"/>
      <c r="DO238" s="249"/>
      <c r="DP238" s="249"/>
      <c r="DQ238" s="249"/>
      <c r="DR238" s="249"/>
      <c r="DS238" s="249"/>
      <c r="DT238" s="249"/>
      <c r="DU238" s="249"/>
      <c r="DV238" s="249"/>
      <c r="DW238" s="249"/>
      <c r="DX238" s="249"/>
      <c r="DY238" s="249"/>
      <c r="DZ238" s="249"/>
      <c r="EA238" s="249"/>
      <c r="EB238" s="249"/>
      <c r="EC238" s="249"/>
      <c r="ED238" s="249"/>
      <c r="EE238" s="249"/>
      <c r="EF238" s="249"/>
      <c r="EG238" s="249"/>
      <c r="EH238" s="249"/>
      <c r="EI238" s="249"/>
      <c r="EJ238" s="249"/>
      <c r="EK238" s="249"/>
      <c r="EL238" s="249"/>
      <c r="EM238" s="249"/>
      <c r="EN238" s="249"/>
      <c r="EO238" s="249"/>
      <c r="EP238" s="249"/>
      <c r="EQ238" s="249"/>
      <c r="ER238" s="249"/>
      <c r="ES238" s="249"/>
      <c r="ET238" s="249"/>
      <c r="EU238" s="249"/>
      <c r="EV238" s="249"/>
      <c r="EW238" s="249"/>
      <c r="EX238" s="249"/>
      <c r="EY238" s="249"/>
      <c r="EZ238" s="249"/>
      <c r="FA238" s="249"/>
      <c r="FB238" s="249"/>
      <c r="FC238" s="249"/>
      <c r="FD238" s="249"/>
      <c r="FE238" s="249"/>
      <c r="FF238" s="249"/>
      <c r="FG238" s="249"/>
      <c r="FH238" s="249"/>
      <c r="FI238" s="249"/>
      <c r="FJ238" s="249"/>
      <c r="FK238" s="249"/>
      <c r="FL238" s="249"/>
      <c r="FM238" s="249"/>
      <c r="FN238" s="249"/>
      <c r="FO238" s="249"/>
      <c r="FP238" s="249"/>
      <c r="FQ238" s="249"/>
      <c r="FR238" s="249"/>
      <c r="FS238" s="249"/>
      <c r="FT238" s="249"/>
      <c r="FU238" s="249"/>
      <c r="FV238" s="249"/>
      <c r="FW238" s="249"/>
      <c r="FX238" s="249"/>
      <c r="FY238" s="249"/>
      <c r="FZ238" s="249"/>
      <c r="GA238" s="249"/>
      <c r="GB238" s="249"/>
      <c r="GC238" s="249"/>
      <c r="GD238" s="249"/>
      <c r="GE238" s="249"/>
      <c r="GF238" s="249"/>
      <c r="GG238" s="249"/>
      <c r="GH238" s="249"/>
      <c r="GI238" s="249"/>
      <c r="GJ238" s="249"/>
      <c r="GK238" s="249"/>
      <c r="GL238" s="249"/>
      <c r="GM238" s="249"/>
      <c r="GN238" s="249"/>
      <c r="GO238" s="249"/>
      <c r="GP238" s="249"/>
      <c r="GQ238" s="249"/>
      <c r="GR238" s="249"/>
    </row>
    <row r="239" spans="1:200" s="252" customFormat="1" ht="13.5" customHeight="1" x14ac:dyDescent="0.2">
      <c r="A239" s="593"/>
      <c r="B239" s="593"/>
      <c r="C239" s="593"/>
      <c r="D239" s="593"/>
      <c r="E239" s="2152"/>
      <c r="F239" s="249"/>
      <c r="G239" s="250"/>
      <c r="H239" s="250"/>
      <c r="I239" s="250"/>
      <c r="J239" s="250"/>
      <c r="K239" s="250"/>
      <c r="L239" s="250"/>
      <c r="M239" s="250"/>
      <c r="N239" s="250"/>
      <c r="O239" s="250"/>
      <c r="P239" s="251"/>
      <c r="Q239" s="251"/>
      <c r="R239" s="251"/>
      <c r="S239" s="251"/>
      <c r="T239" s="251"/>
      <c r="U239" s="2153"/>
      <c r="V239" s="326" t="str">
        <f t="shared" si="69"/>
        <v>17 " x Tricone IADC Code 615</v>
      </c>
      <c r="W239" s="2154">
        <f>Rockbits!J8</f>
        <v>1040181.5225</v>
      </c>
      <c r="X239" s="2155"/>
      <c r="Y239" s="348"/>
      <c r="Z239" s="348"/>
      <c r="AA239" s="2160">
        <f>IF(RH_BH="Big Hole",0,INPUT!$J43)</f>
        <v>0</v>
      </c>
      <c r="AB239" s="246"/>
      <c r="AC239" s="2159">
        <f>INPUT!$J43</f>
        <v>0</v>
      </c>
      <c r="AD239" s="246"/>
      <c r="AE239" s="246"/>
      <c r="AF239" s="246"/>
      <c r="AG239" s="246"/>
      <c r="AH239" s="246"/>
      <c r="AI239" s="246"/>
      <c r="AJ239" s="2155"/>
      <c r="AK239" s="2155"/>
      <c r="AL239" s="2155"/>
      <c r="AM239" s="246">
        <f>(W239*AA239)+(AC239*W239)</f>
        <v>0</v>
      </c>
      <c r="AN239" s="294"/>
      <c r="AO239" s="249"/>
      <c r="AP239" s="250"/>
      <c r="AQ239" s="250"/>
      <c r="AR239" s="250"/>
      <c r="AS239" s="250"/>
      <c r="AT239" s="250"/>
      <c r="AU239" s="250"/>
      <c r="AV239" s="249"/>
      <c r="AW239" s="249"/>
      <c r="AX239" s="249"/>
      <c r="AY239" s="249"/>
      <c r="AZ239" s="249"/>
      <c r="BA239" s="249"/>
      <c r="BB239" s="249"/>
      <c r="BC239" s="249"/>
      <c r="BD239" s="249"/>
      <c r="BE239" s="249"/>
      <c r="BF239" s="249"/>
      <c r="BG239" s="249"/>
      <c r="BH239" s="249"/>
      <c r="BI239" s="249"/>
      <c r="BJ239" s="249"/>
      <c r="BK239" s="249"/>
      <c r="BL239" s="249"/>
      <c r="BM239" s="249"/>
      <c r="BN239" s="249"/>
      <c r="BO239" s="249"/>
      <c r="BP239" s="249"/>
      <c r="BQ239" s="249"/>
      <c r="BR239" s="249"/>
      <c r="BS239" s="249"/>
      <c r="BT239" s="249"/>
      <c r="BU239" s="249"/>
      <c r="BV239" s="249"/>
      <c r="BW239" s="249"/>
      <c r="BX239" s="249"/>
      <c r="BY239" s="249"/>
      <c r="BZ239" s="249"/>
      <c r="CA239" s="249"/>
      <c r="CB239" s="249"/>
      <c r="CC239" s="249"/>
      <c r="CD239" s="249"/>
      <c r="CE239" s="249"/>
      <c r="CF239" s="249"/>
      <c r="CG239" s="249"/>
      <c r="CH239" s="249"/>
      <c r="CI239" s="249"/>
      <c r="CJ239" s="249"/>
      <c r="CK239" s="249"/>
      <c r="CL239" s="249"/>
      <c r="CM239" s="249"/>
      <c r="CN239" s="249"/>
      <c r="CO239" s="249"/>
      <c r="CP239" s="249"/>
      <c r="CQ239" s="249"/>
      <c r="CR239" s="249"/>
      <c r="CS239" s="249"/>
      <c r="CT239" s="249"/>
      <c r="CU239" s="249"/>
      <c r="CV239" s="249"/>
      <c r="CW239" s="249"/>
      <c r="CX239" s="249"/>
      <c r="CY239" s="249"/>
      <c r="CZ239" s="249"/>
      <c r="DA239" s="249"/>
      <c r="DB239" s="249"/>
      <c r="DC239" s="249"/>
      <c r="DD239" s="249"/>
      <c r="DE239" s="249"/>
      <c r="DF239" s="249"/>
      <c r="DG239" s="249"/>
      <c r="DH239" s="249"/>
      <c r="DI239" s="249"/>
      <c r="DJ239" s="249"/>
      <c r="DK239" s="249"/>
      <c r="DL239" s="249"/>
      <c r="DM239" s="249"/>
      <c r="DN239" s="249"/>
      <c r="DO239" s="249"/>
      <c r="DP239" s="249"/>
      <c r="DQ239" s="249"/>
      <c r="DR239" s="249"/>
      <c r="DS239" s="249"/>
      <c r="DT239" s="249"/>
      <c r="DU239" s="249"/>
      <c r="DV239" s="249"/>
      <c r="DW239" s="249"/>
      <c r="DX239" s="249"/>
      <c r="DY239" s="249"/>
      <c r="DZ239" s="249"/>
      <c r="EA239" s="249"/>
      <c r="EB239" s="249"/>
      <c r="EC239" s="249"/>
      <c r="ED239" s="249"/>
      <c r="EE239" s="249"/>
      <c r="EF239" s="249"/>
      <c r="EG239" s="249"/>
      <c r="EH239" s="249"/>
      <c r="EI239" s="249"/>
      <c r="EJ239" s="249"/>
      <c r="EK239" s="249"/>
      <c r="EL239" s="249"/>
      <c r="EM239" s="249"/>
      <c r="EN239" s="249"/>
      <c r="EO239" s="249"/>
      <c r="EP239" s="249"/>
      <c r="EQ239" s="249"/>
      <c r="ER239" s="249"/>
      <c r="ES239" s="249"/>
      <c r="ET239" s="249"/>
      <c r="EU239" s="249"/>
      <c r="EV239" s="249"/>
      <c r="EW239" s="249"/>
      <c r="EX239" s="249"/>
      <c r="EY239" s="249"/>
      <c r="EZ239" s="249"/>
      <c r="FA239" s="249"/>
      <c r="FB239" s="249"/>
      <c r="FC239" s="249"/>
      <c r="FD239" s="249"/>
      <c r="FE239" s="249"/>
      <c r="FF239" s="249"/>
      <c r="FG239" s="249"/>
      <c r="FH239" s="249"/>
      <c r="FI239" s="249"/>
      <c r="FJ239" s="249"/>
      <c r="FK239" s="249"/>
      <c r="FL239" s="249"/>
      <c r="FM239" s="249"/>
      <c r="FN239" s="249"/>
      <c r="FO239" s="249"/>
      <c r="FP239" s="249"/>
      <c r="FQ239" s="249"/>
      <c r="FR239" s="249"/>
      <c r="FS239" s="249"/>
      <c r="FT239" s="249"/>
      <c r="FU239" s="249"/>
      <c r="FV239" s="249"/>
      <c r="FW239" s="249"/>
      <c r="FX239" s="249"/>
      <c r="FY239" s="249"/>
      <c r="FZ239" s="249"/>
      <c r="GA239" s="249"/>
      <c r="GB239" s="249"/>
      <c r="GC239" s="249"/>
      <c r="GD239" s="249"/>
      <c r="GE239" s="249"/>
      <c r="GF239" s="249"/>
      <c r="GG239" s="249"/>
      <c r="GH239" s="249"/>
      <c r="GI239" s="249"/>
      <c r="GJ239" s="249"/>
      <c r="GK239" s="249"/>
      <c r="GL239" s="249"/>
      <c r="GM239" s="249"/>
      <c r="GN239" s="249"/>
      <c r="GO239" s="249"/>
      <c r="GP239" s="249"/>
      <c r="GQ239" s="249"/>
      <c r="GR239" s="249"/>
    </row>
    <row r="240" spans="1:200" s="252" customFormat="1" ht="13.5" customHeight="1" x14ac:dyDescent="0.2">
      <c r="A240" s="593"/>
      <c r="B240" s="593"/>
      <c r="C240" s="593"/>
      <c r="D240" s="593"/>
      <c r="E240" s="2152"/>
      <c r="F240" s="249"/>
      <c r="G240" s="250"/>
      <c r="H240" s="250"/>
      <c r="I240" s="250"/>
      <c r="J240" s="250"/>
      <c r="K240" s="250"/>
      <c r="L240" s="250"/>
      <c r="M240" s="250"/>
      <c r="N240" s="250"/>
      <c r="O240" s="250"/>
      <c r="P240" s="251"/>
      <c r="Q240" s="251"/>
      <c r="R240" s="251"/>
      <c r="S240" s="251"/>
      <c r="T240" s="251"/>
      <c r="U240" s="2153"/>
      <c r="V240" s="326" t="str">
        <f t="shared" si="69"/>
        <v>12.25 " x PDC PDC BIT</v>
      </c>
      <c r="W240" s="2154">
        <f>Rockbits!J9</f>
        <v>2160056.4499999997</v>
      </c>
      <c r="X240" s="2155"/>
      <c r="Y240" s="348"/>
      <c r="Z240" s="348"/>
      <c r="AA240" s="246"/>
      <c r="AB240" s="246"/>
      <c r="AC240" s="2160">
        <f>IF(RH_BH="Big Hole",0,INPUT!$J44)</f>
        <v>0</v>
      </c>
      <c r="AD240" s="246"/>
      <c r="AE240" s="2159">
        <f>INPUT!$J44</f>
        <v>0</v>
      </c>
      <c r="AF240" s="246"/>
      <c r="AG240" s="246"/>
      <c r="AH240" s="246"/>
      <c r="AI240" s="246"/>
      <c r="AJ240" s="2155"/>
      <c r="AK240" s="2155"/>
      <c r="AL240" s="2155"/>
      <c r="AM240" s="246">
        <f t="shared" ref="AM240:AM245" si="70">(W240*AE240)+(AC240*W240)</f>
        <v>0</v>
      </c>
      <c r="AN240" s="294"/>
      <c r="AO240" s="249"/>
      <c r="AP240" s="250"/>
      <c r="AQ240" s="250"/>
      <c r="AR240" s="250"/>
      <c r="AS240" s="250"/>
      <c r="AT240" s="250"/>
      <c r="AU240" s="250"/>
      <c r="AV240" s="249"/>
      <c r="AW240" s="249"/>
      <c r="AX240" s="249"/>
      <c r="AY240" s="249"/>
      <c r="AZ240" s="249"/>
      <c r="BA240" s="249"/>
      <c r="BB240" s="249"/>
      <c r="BC240" s="249"/>
      <c r="BD240" s="249"/>
      <c r="BE240" s="249"/>
      <c r="BF240" s="249"/>
      <c r="BG240" s="249"/>
      <c r="BH240" s="249"/>
      <c r="BI240" s="249"/>
      <c r="BJ240" s="249"/>
      <c r="BK240" s="249"/>
      <c r="BL240" s="249"/>
      <c r="BM240" s="249"/>
      <c r="BN240" s="249"/>
      <c r="BO240" s="249"/>
      <c r="BP240" s="249"/>
      <c r="BQ240" s="249"/>
      <c r="BR240" s="249"/>
      <c r="BS240" s="249"/>
      <c r="BT240" s="249"/>
      <c r="BU240" s="249"/>
      <c r="BV240" s="249"/>
      <c r="BW240" s="249"/>
      <c r="BX240" s="249"/>
      <c r="BY240" s="249"/>
      <c r="BZ240" s="249"/>
      <c r="CA240" s="249"/>
      <c r="CB240" s="249"/>
      <c r="CC240" s="249"/>
      <c r="CD240" s="249"/>
      <c r="CE240" s="249"/>
      <c r="CF240" s="249"/>
      <c r="CG240" s="249"/>
      <c r="CH240" s="249"/>
      <c r="CI240" s="249"/>
      <c r="CJ240" s="249"/>
      <c r="CK240" s="249"/>
      <c r="CL240" s="249"/>
      <c r="CM240" s="249"/>
      <c r="CN240" s="249"/>
      <c r="CO240" s="249"/>
      <c r="CP240" s="249"/>
      <c r="CQ240" s="249"/>
      <c r="CR240" s="249"/>
      <c r="CS240" s="249"/>
      <c r="CT240" s="249"/>
      <c r="CU240" s="249"/>
      <c r="CV240" s="249"/>
      <c r="CW240" s="249"/>
      <c r="CX240" s="249"/>
      <c r="CY240" s="249"/>
      <c r="CZ240" s="249"/>
      <c r="DA240" s="249"/>
      <c r="DB240" s="249"/>
      <c r="DC240" s="249"/>
      <c r="DD240" s="249"/>
      <c r="DE240" s="249"/>
      <c r="DF240" s="249"/>
      <c r="DG240" s="249"/>
      <c r="DH240" s="249"/>
      <c r="DI240" s="249"/>
      <c r="DJ240" s="249"/>
      <c r="DK240" s="249"/>
      <c r="DL240" s="249"/>
      <c r="DM240" s="249"/>
      <c r="DN240" s="249"/>
      <c r="DO240" s="249"/>
      <c r="DP240" s="249"/>
      <c r="DQ240" s="249"/>
      <c r="DR240" s="249"/>
      <c r="DS240" s="249"/>
      <c r="DT240" s="249"/>
      <c r="DU240" s="249"/>
      <c r="DV240" s="249"/>
      <c r="DW240" s="249"/>
      <c r="DX240" s="249"/>
      <c r="DY240" s="249"/>
      <c r="DZ240" s="249"/>
      <c r="EA240" s="249"/>
      <c r="EB240" s="249"/>
      <c r="EC240" s="249"/>
      <c r="ED240" s="249"/>
      <c r="EE240" s="249"/>
      <c r="EF240" s="249"/>
      <c r="EG240" s="249"/>
      <c r="EH240" s="249"/>
      <c r="EI240" s="249"/>
      <c r="EJ240" s="249"/>
      <c r="EK240" s="249"/>
      <c r="EL240" s="249"/>
      <c r="EM240" s="249"/>
      <c r="EN240" s="249"/>
      <c r="EO240" s="249"/>
      <c r="EP240" s="249"/>
      <c r="EQ240" s="249"/>
      <c r="ER240" s="249"/>
      <c r="ES240" s="249"/>
      <c r="ET240" s="249"/>
      <c r="EU240" s="249"/>
      <c r="EV240" s="249"/>
      <c r="EW240" s="249"/>
      <c r="EX240" s="249"/>
      <c r="EY240" s="249"/>
      <c r="EZ240" s="249"/>
      <c r="FA240" s="249"/>
      <c r="FB240" s="249"/>
      <c r="FC240" s="249"/>
      <c r="FD240" s="249"/>
      <c r="FE240" s="249"/>
      <c r="FF240" s="249"/>
      <c r="FG240" s="249"/>
      <c r="FH240" s="249"/>
      <c r="FI240" s="249"/>
      <c r="FJ240" s="249"/>
      <c r="FK240" s="249"/>
      <c r="FL240" s="249"/>
      <c r="FM240" s="249"/>
      <c r="FN240" s="249"/>
      <c r="FO240" s="249"/>
      <c r="FP240" s="249"/>
      <c r="FQ240" s="249"/>
      <c r="FR240" s="249"/>
      <c r="FS240" s="249"/>
      <c r="FT240" s="249"/>
      <c r="FU240" s="249"/>
      <c r="FV240" s="249"/>
      <c r="FW240" s="249"/>
      <c r="FX240" s="249"/>
      <c r="FY240" s="249"/>
      <c r="FZ240" s="249"/>
      <c r="GA240" s="249"/>
      <c r="GB240" s="249"/>
      <c r="GC240" s="249"/>
      <c r="GD240" s="249"/>
      <c r="GE240" s="249"/>
      <c r="GF240" s="249"/>
      <c r="GG240" s="249"/>
      <c r="GH240" s="249"/>
      <c r="GI240" s="249"/>
      <c r="GJ240" s="249"/>
      <c r="GK240" s="249"/>
      <c r="GL240" s="249"/>
      <c r="GM240" s="249"/>
      <c r="GN240" s="249"/>
      <c r="GO240" s="249"/>
      <c r="GP240" s="249"/>
      <c r="GQ240" s="249"/>
      <c r="GR240" s="249"/>
    </row>
    <row r="241" spans="1:200" s="252" customFormat="1" ht="13.5" customHeight="1" x14ac:dyDescent="0.2">
      <c r="A241" s="593"/>
      <c r="B241" s="593"/>
      <c r="C241" s="593"/>
      <c r="D241" s="593"/>
      <c r="E241" s="2152"/>
      <c r="F241" s="249"/>
      <c r="G241" s="250"/>
      <c r="H241" s="250"/>
      <c r="I241" s="250"/>
      <c r="J241" s="250"/>
      <c r="K241" s="250"/>
      <c r="L241" s="250"/>
      <c r="M241" s="250"/>
      <c r="N241" s="250"/>
      <c r="O241" s="250"/>
      <c r="P241" s="251"/>
      <c r="Q241" s="251"/>
      <c r="R241" s="251"/>
      <c r="S241" s="251"/>
      <c r="T241" s="251"/>
      <c r="U241" s="2153"/>
      <c r="V241" s="326" t="str">
        <f t="shared" si="69"/>
        <v>12.25 " x Tricone IADC 217</v>
      </c>
      <c r="W241" s="2154">
        <f>Rockbits!J10</f>
        <v>414438.20666666672</v>
      </c>
      <c r="X241" s="2155"/>
      <c r="Y241" s="348"/>
      <c r="Z241" s="348"/>
      <c r="AA241" s="246"/>
      <c r="AB241" s="246"/>
      <c r="AC241" s="2160">
        <f>IF(RH_BH="Big Hole",0,INPUT!$J45)</f>
        <v>0</v>
      </c>
      <c r="AD241" s="246"/>
      <c r="AE241" s="2159">
        <f>INPUT!$J45</f>
        <v>0</v>
      </c>
      <c r="AF241" s="246"/>
      <c r="AG241" s="246"/>
      <c r="AH241" s="246"/>
      <c r="AI241" s="246"/>
      <c r="AJ241" s="2155"/>
      <c r="AK241" s="2155"/>
      <c r="AL241" s="2155"/>
      <c r="AM241" s="246">
        <f t="shared" si="70"/>
        <v>0</v>
      </c>
      <c r="AN241" s="294"/>
      <c r="AO241" s="249"/>
      <c r="AP241" s="250"/>
      <c r="AQ241" s="250"/>
      <c r="AR241" s="250"/>
      <c r="AS241" s="250"/>
      <c r="AT241" s="250"/>
      <c r="AU241" s="250"/>
      <c r="AV241" s="249"/>
      <c r="AW241" s="249"/>
      <c r="AX241" s="249"/>
      <c r="AY241" s="249"/>
      <c r="AZ241" s="249"/>
      <c r="BA241" s="249"/>
      <c r="BB241" s="249"/>
      <c r="BC241" s="249"/>
      <c r="BD241" s="249"/>
      <c r="BE241" s="249"/>
      <c r="BF241" s="249"/>
      <c r="BG241" s="249"/>
      <c r="BH241" s="249"/>
      <c r="BI241" s="249"/>
      <c r="BJ241" s="249"/>
      <c r="BK241" s="249"/>
      <c r="BL241" s="249"/>
      <c r="BM241" s="249"/>
      <c r="BN241" s="249"/>
      <c r="BO241" s="249"/>
      <c r="BP241" s="249"/>
      <c r="BQ241" s="249"/>
      <c r="BR241" s="249"/>
      <c r="BS241" s="249"/>
      <c r="BT241" s="249"/>
      <c r="BU241" s="249"/>
      <c r="BV241" s="249"/>
      <c r="BW241" s="249"/>
      <c r="BX241" s="249"/>
      <c r="BY241" s="249"/>
      <c r="BZ241" s="249"/>
      <c r="CA241" s="249"/>
      <c r="CB241" s="249"/>
      <c r="CC241" s="249"/>
      <c r="CD241" s="249"/>
      <c r="CE241" s="249"/>
      <c r="CF241" s="249"/>
      <c r="CG241" s="249"/>
      <c r="CH241" s="249"/>
      <c r="CI241" s="249"/>
      <c r="CJ241" s="249"/>
      <c r="CK241" s="249"/>
      <c r="CL241" s="249"/>
      <c r="CM241" s="249"/>
      <c r="CN241" s="249"/>
      <c r="CO241" s="249"/>
      <c r="CP241" s="249"/>
      <c r="CQ241" s="249"/>
      <c r="CR241" s="249"/>
      <c r="CS241" s="249"/>
      <c r="CT241" s="249"/>
      <c r="CU241" s="249"/>
      <c r="CV241" s="249"/>
      <c r="CW241" s="249"/>
      <c r="CX241" s="249"/>
      <c r="CY241" s="249"/>
      <c r="CZ241" s="249"/>
      <c r="DA241" s="249"/>
      <c r="DB241" s="249"/>
      <c r="DC241" s="249"/>
      <c r="DD241" s="249"/>
      <c r="DE241" s="249"/>
      <c r="DF241" s="249"/>
      <c r="DG241" s="249"/>
      <c r="DH241" s="249"/>
      <c r="DI241" s="249"/>
      <c r="DJ241" s="249"/>
      <c r="DK241" s="249"/>
      <c r="DL241" s="249"/>
      <c r="DM241" s="249"/>
      <c r="DN241" s="249"/>
      <c r="DO241" s="249"/>
      <c r="DP241" s="249"/>
      <c r="DQ241" s="249"/>
      <c r="DR241" s="249"/>
      <c r="DS241" s="249"/>
      <c r="DT241" s="249"/>
      <c r="DU241" s="249"/>
      <c r="DV241" s="249"/>
      <c r="DW241" s="249"/>
      <c r="DX241" s="249"/>
      <c r="DY241" s="249"/>
      <c r="DZ241" s="249"/>
      <c r="EA241" s="249"/>
      <c r="EB241" s="249"/>
      <c r="EC241" s="249"/>
      <c r="ED241" s="249"/>
      <c r="EE241" s="249"/>
      <c r="EF241" s="249"/>
      <c r="EG241" s="249"/>
      <c r="EH241" s="249"/>
      <c r="EI241" s="249"/>
      <c r="EJ241" s="249"/>
      <c r="EK241" s="249"/>
      <c r="EL241" s="249"/>
      <c r="EM241" s="249"/>
      <c r="EN241" s="249"/>
      <c r="EO241" s="249"/>
      <c r="EP241" s="249"/>
      <c r="EQ241" s="249"/>
      <c r="ER241" s="249"/>
      <c r="ES241" s="249"/>
      <c r="ET241" s="249"/>
      <c r="EU241" s="249"/>
      <c r="EV241" s="249"/>
      <c r="EW241" s="249"/>
      <c r="EX241" s="249"/>
      <c r="EY241" s="249"/>
      <c r="EZ241" s="249"/>
      <c r="FA241" s="249"/>
      <c r="FB241" s="249"/>
      <c r="FC241" s="249"/>
      <c r="FD241" s="249"/>
      <c r="FE241" s="249"/>
      <c r="FF241" s="249"/>
      <c r="FG241" s="249"/>
      <c r="FH241" s="249"/>
      <c r="FI241" s="249"/>
      <c r="FJ241" s="249"/>
      <c r="FK241" s="249"/>
      <c r="FL241" s="249"/>
      <c r="FM241" s="249"/>
      <c r="FN241" s="249"/>
      <c r="FO241" s="249"/>
      <c r="FP241" s="249"/>
      <c r="FQ241" s="249"/>
      <c r="FR241" s="249"/>
      <c r="FS241" s="249"/>
      <c r="FT241" s="249"/>
      <c r="FU241" s="249"/>
      <c r="FV241" s="249"/>
      <c r="FW241" s="249"/>
      <c r="FX241" s="249"/>
      <c r="FY241" s="249"/>
      <c r="FZ241" s="249"/>
      <c r="GA241" s="249"/>
      <c r="GB241" s="249"/>
      <c r="GC241" s="249"/>
      <c r="GD241" s="249"/>
      <c r="GE241" s="249"/>
      <c r="GF241" s="249"/>
      <c r="GG241" s="249"/>
      <c r="GH241" s="249"/>
      <c r="GI241" s="249"/>
      <c r="GJ241" s="249"/>
      <c r="GK241" s="249"/>
      <c r="GL241" s="249"/>
      <c r="GM241" s="249"/>
      <c r="GN241" s="249"/>
      <c r="GO241" s="249"/>
      <c r="GP241" s="249"/>
      <c r="GQ241" s="249"/>
      <c r="GR241" s="249"/>
    </row>
    <row r="242" spans="1:200" s="252" customFormat="1" ht="13.5" customHeight="1" x14ac:dyDescent="0.2">
      <c r="A242" s="593"/>
      <c r="B242" s="593"/>
      <c r="C242" s="593"/>
      <c r="D242" s="593"/>
      <c r="E242" s="2152"/>
      <c r="F242" s="249"/>
      <c r="G242" s="250"/>
      <c r="H242" s="250"/>
      <c r="I242" s="250"/>
      <c r="J242" s="250"/>
      <c r="K242" s="250"/>
      <c r="L242" s="250"/>
      <c r="M242" s="250"/>
      <c r="N242" s="250"/>
      <c r="O242" s="250"/>
      <c r="P242" s="251"/>
      <c r="Q242" s="251"/>
      <c r="R242" s="251"/>
      <c r="S242" s="251"/>
      <c r="T242" s="251"/>
      <c r="U242" s="2153"/>
      <c r="V242" s="326" t="str">
        <f t="shared" si="69"/>
        <v>12.25 " x Tricone IADC 517</v>
      </c>
      <c r="W242" s="2154">
        <f>Rockbits!J11</f>
        <v>0</v>
      </c>
      <c r="X242" s="2155"/>
      <c r="Y242" s="348"/>
      <c r="Z242" s="348"/>
      <c r="AA242" s="246"/>
      <c r="AB242" s="246"/>
      <c r="AC242" s="2160">
        <f>IF(RH_BH="Big Hole",0,INPUT!$J46)</f>
        <v>0</v>
      </c>
      <c r="AD242" s="246"/>
      <c r="AE242" s="2159">
        <f>INPUT!$J46</f>
        <v>0</v>
      </c>
      <c r="AF242" s="246"/>
      <c r="AG242" s="246"/>
      <c r="AH242" s="246"/>
      <c r="AI242" s="246"/>
      <c r="AJ242" s="2155"/>
      <c r="AK242" s="2155"/>
      <c r="AL242" s="2155"/>
      <c r="AM242" s="246">
        <f t="shared" si="70"/>
        <v>0</v>
      </c>
      <c r="AN242" s="294"/>
      <c r="AO242" s="249"/>
      <c r="AP242" s="250"/>
      <c r="AQ242" s="250"/>
      <c r="AR242" s="250"/>
      <c r="AS242" s="250"/>
      <c r="AT242" s="250"/>
      <c r="AU242" s="250"/>
      <c r="AV242" s="249"/>
      <c r="AW242" s="249"/>
      <c r="AX242" s="249"/>
      <c r="AY242" s="249"/>
      <c r="AZ242" s="249"/>
      <c r="BA242" s="249"/>
      <c r="BB242" s="249"/>
      <c r="BC242" s="249"/>
      <c r="BD242" s="249"/>
      <c r="BE242" s="249"/>
      <c r="BF242" s="249"/>
      <c r="BG242" s="249"/>
      <c r="BH242" s="249"/>
      <c r="BI242" s="249"/>
      <c r="BJ242" s="249"/>
      <c r="BK242" s="249"/>
      <c r="BL242" s="249"/>
      <c r="BM242" s="249"/>
      <c r="BN242" s="249"/>
      <c r="BO242" s="249"/>
      <c r="BP242" s="249"/>
      <c r="BQ242" s="249"/>
      <c r="BR242" s="249"/>
      <c r="BS242" s="249"/>
      <c r="BT242" s="249"/>
      <c r="BU242" s="249"/>
      <c r="BV242" s="249"/>
      <c r="BW242" s="249"/>
      <c r="BX242" s="249"/>
      <c r="BY242" s="249"/>
      <c r="BZ242" s="249"/>
      <c r="CA242" s="249"/>
      <c r="CB242" s="249"/>
      <c r="CC242" s="249"/>
      <c r="CD242" s="249"/>
      <c r="CE242" s="249"/>
      <c r="CF242" s="249"/>
      <c r="CG242" s="249"/>
      <c r="CH242" s="249"/>
      <c r="CI242" s="249"/>
      <c r="CJ242" s="249"/>
      <c r="CK242" s="249"/>
      <c r="CL242" s="249"/>
      <c r="CM242" s="249"/>
      <c r="CN242" s="249"/>
      <c r="CO242" s="249"/>
      <c r="CP242" s="249"/>
      <c r="CQ242" s="249"/>
      <c r="CR242" s="249"/>
      <c r="CS242" s="249"/>
      <c r="CT242" s="249"/>
      <c r="CU242" s="249"/>
      <c r="CV242" s="249"/>
      <c r="CW242" s="249"/>
      <c r="CX242" s="249"/>
      <c r="CY242" s="249"/>
      <c r="CZ242" s="249"/>
      <c r="DA242" s="249"/>
      <c r="DB242" s="249"/>
      <c r="DC242" s="249"/>
      <c r="DD242" s="249"/>
      <c r="DE242" s="249"/>
      <c r="DF242" s="249"/>
      <c r="DG242" s="249"/>
      <c r="DH242" s="249"/>
      <c r="DI242" s="249"/>
      <c r="DJ242" s="249"/>
      <c r="DK242" s="249"/>
      <c r="DL242" s="249"/>
      <c r="DM242" s="249"/>
      <c r="DN242" s="249"/>
      <c r="DO242" s="249"/>
      <c r="DP242" s="249"/>
      <c r="DQ242" s="249"/>
      <c r="DR242" s="249"/>
      <c r="DS242" s="249"/>
      <c r="DT242" s="249"/>
      <c r="DU242" s="249"/>
      <c r="DV242" s="249"/>
      <c r="DW242" s="249"/>
      <c r="DX242" s="249"/>
      <c r="DY242" s="249"/>
      <c r="DZ242" s="249"/>
      <c r="EA242" s="249"/>
      <c r="EB242" s="249"/>
      <c r="EC242" s="249"/>
      <c r="ED242" s="249"/>
      <c r="EE242" s="249"/>
      <c r="EF242" s="249"/>
      <c r="EG242" s="249"/>
      <c r="EH242" s="249"/>
      <c r="EI242" s="249"/>
      <c r="EJ242" s="249"/>
      <c r="EK242" s="249"/>
      <c r="EL242" s="249"/>
      <c r="EM242" s="249"/>
      <c r="EN242" s="249"/>
      <c r="EO242" s="249"/>
      <c r="EP242" s="249"/>
      <c r="EQ242" s="249"/>
      <c r="ER242" s="249"/>
      <c r="ES242" s="249"/>
      <c r="ET242" s="249"/>
      <c r="EU242" s="249"/>
      <c r="EV242" s="249"/>
      <c r="EW242" s="249"/>
      <c r="EX242" s="249"/>
      <c r="EY242" s="249"/>
      <c r="EZ242" s="249"/>
      <c r="FA242" s="249"/>
      <c r="FB242" s="249"/>
      <c r="FC242" s="249"/>
      <c r="FD242" s="249"/>
      <c r="FE242" s="249"/>
      <c r="FF242" s="249"/>
      <c r="FG242" s="249"/>
      <c r="FH242" s="249"/>
      <c r="FI242" s="249"/>
      <c r="FJ242" s="249"/>
      <c r="FK242" s="249"/>
      <c r="FL242" s="249"/>
      <c r="FM242" s="249"/>
      <c r="FN242" s="249"/>
      <c r="FO242" s="249"/>
      <c r="FP242" s="249"/>
      <c r="FQ242" s="249"/>
      <c r="FR242" s="249"/>
      <c r="FS242" s="249"/>
      <c r="FT242" s="249"/>
      <c r="FU242" s="249"/>
      <c r="FV242" s="249"/>
      <c r="FW242" s="249"/>
      <c r="FX242" s="249"/>
      <c r="FY242" s="249"/>
      <c r="FZ242" s="249"/>
      <c r="GA242" s="249"/>
      <c r="GB242" s="249"/>
      <c r="GC242" s="249"/>
      <c r="GD242" s="249"/>
      <c r="GE242" s="249"/>
      <c r="GF242" s="249"/>
      <c r="GG242" s="249"/>
      <c r="GH242" s="249"/>
      <c r="GI242" s="249"/>
      <c r="GJ242" s="249"/>
      <c r="GK242" s="249"/>
      <c r="GL242" s="249"/>
      <c r="GM242" s="249"/>
      <c r="GN242" s="249"/>
      <c r="GO242" s="249"/>
      <c r="GP242" s="249"/>
      <c r="GQ242" s="249"/>
      <c r="GR242" s="249"/>
    </row>
    <row r="243" spans="1:200" s="252" customFormat="1" ht="13.5" customHeight="1" x14ac:dyDescent="0.2">
      <c r="A243" s="593"/>
      <c r="B243" s="593"/>
      <c r="C243" s="593"/>
      <c r="D243" s="593"/>
      <c r="E243" s="2152"/>
      <c r="F243" s="249"/>
      <c r="G243" s="250"/>
      <c r="H243" s="250"/>
      <c r="I243" s="250"/>
      <c r="J243" s="250"/>
      <c r="K243" s="250"/>
      <c r="L243" s="250"/>
      <c r="M243" s="250"/>
      <c r="N243" s="250"/>
      <c r="O243" s="250"/>
      <c r="P243" s="251"/>
      <c r="Q243" s="251"/>
      <c r="R243" s="251"/>
      <c r="S243" s="251"/>
      <c r="T243" s="251"/>
      <c r="U243" s="2153"/>
      <c r="V243" s="326" t="str">
        <f t="shared" si="69"/>
        <v>12.25 " x Tricone IADC 537</v>
      </c>
      <c r="W243" s="2154">
        <f>Rockbits!J12</f>
        <v>764997.09</v>
      </c>
      <c r="X243" s="2155"/>
      <c r="Y243" s="348"/>
      <c r="Z243" s="348"/>
      <c r="AA243" s="246"/>
      <c r="AB243" s="246"/>
      <c r="AC243" s="2160">
        <f>IF(RH_BH="Big Hole",0,INPUT!$J47)</f>
        <v>0</v>
      </c>
      <c r="AD243" s="246"/>
      <c r="AE243" s="2159">
        <f>INPUT!$J47</f>
        <v>0</v>
      </c>
      <c r="AF243" s="246"/>
      <c r="AG243" s="246"/>
      <c r="AH243" s="246"/>
      <c r="AI243" s="246"/>
      <c r="AJ243" s="2155"/>
      <c r="AK243" s="2155"/>
      <c r="AL243" s="2155"/>
      <c r="AM243" s="246">
        <f t="shared" si="70"/>
        <v>0</v>
      </c>
      <c r="AN243" s="294"/>
      <c r="AO243" s="249"/>
      <c r="AP243" s="250"/>
      <c r="AQ243" s="250"/>
      <c r="AR243" s="250"/>
      <c r="AS243" s="250"/>
      <c r="AT243" s="250"/>
      <c r="AU243" s="250"/>
      <c r="AV243" s="249"/>
      <c r="AW243" s="249"/>
      <c r="AX243" s="249"/>
      <c r="AY243" s="249"/>
      <c r="AZ243" s="249"/>
      <c r="BA243" s="249"/>
      <c r="BB243" s="249"/>
      <c r="BC243" s="249"/>
      <c r="BD243" s="249"/>
      <c r="BE243" s="249"/>
      <c r="BF243" s="249"/>
      <c r="BG243" s="249"/>
      <c r="BH243" s="249"/>
      <c r="BI243" s="249"/>
      <c r="BJ243" s="249"/>
      <c r="BK243" s="249"/>
      <c r="BL243" s="249"/>
      <c r="BM243" s="249"/>
      <c r="BN243" s="249"/>
      <c r="BO243" s="249"/>
      <c r="BP243" s="249"/>
      <c r="BQ243" s="249"/>
      <c r="BR243" s="249"/>
      <c r="BS243" s="249"/>
      <c r="BT243" s="249"/>
      <c r="BU243" s="249"/>
      <c r="BV243" s="249"/>
      <c r="BW243" s="249"/>
      <c r="BX243" s="249"/>
      <c r="BY243" s="249"/>
      <c r="BZ243" s="249"/>
      <c r="CA243" s="249"/>
      <c r="CB243" s="249"/>
      <c r="CC243" s="249"/>
      <c r="CD243" s="249"/>
      <c r="CE243" s="249"/>
      <c r="CF243" s="249"/>
      <c r="CG243" s="249"/>
      <c r="CH243" s="249"/>
      <c r="CI243" s="249"/>
      <c r="CJ243" s="249"/>
      <c r="CK243" s="249"/>
      <c r="CL243" s="249"/>
      <c r="CM243" s="249"/>
      <c r="CN243" s="249"/>
      <c r="CO243" s="249"/>
      <c r="CP243" s="249"/>
      <c r="CQ243" s="249"/>
      <c r="CR243" s="249"/>
      <c r="CS243" s="249"/>
      <c r="CT243" s="249"/>
      <c r="CU243" s="249"/>
      <c r="CV243" s="249"/>
      <c r="CW243" s="249"/>
      <c r="CX243" s="249"/>
      <c r="CY243" s="249"/>
      <c r="CZ243" s="249"/>
      <c r="DA243" s="249"/>
      <c r="DB243" s="249"/>
      <c r="DC243" s="249"/>
      <c r="DD243" s="249"/>
      <c r="DE243" s="249"/>
      <c r="DF243" s="249"/>
      <c r="DG243" s="249"/>
      <c r="DH243" s="249"/>
      <c r="DI243" s="249"/>
      <c r="DJ243" s="249"/>
      <c r="DK243" s="249"/>
      <c r="DL243" s="249"/>
      <c r="DM243" s="249"/>
      <c r="DN243" s="249"/>
      <c r="DO243" s="249"/>
      <c r="DP243" s="249"/>
      <c r="DQ243" s="249"/>
      <c r="DR243" s="249"/>
      <c r="DS243" s="249"/>
      <c r="DT243" s="249"/>
      <c r="DU243" s="249"/>
      <c r="DV243" s="249"/>
      <c r="DW243" s="249"/>
      <c r="DX243" s="249"/>
      <c r="DY243" s="249"/>
      <c r="DZ243" s="249"/>
      <c r="EA243" s="249"/>
      <c r="EB243" s="249"/>
      <c r="EC243" s="249"/>
      <c r="ED243" s="249"/>
      <c r="EE243" s="249"/>
      <c r="EF243" s="249"/>
      <c r="EG243" s="249"/>
      <c r="EH243" s="249"/>
      <c r="EI243" s="249"/>
      <c r="EJ243" s="249"/>
      <c r="EK243" s="249"/>
      <c r="EL243" s="249"/>
      <c r="EM243" s="249"/>
      <c r="EN243" s="249"/>
      <c r="EO243" s="249"/>
      <c r="EP243" s="249"/>
      <c r="EQ243" s="249"/>
      <c r="ER243" s="249"/>
      <c r="ES243" s="249"/>
      <c r="ET243" s="249"/>
      <c r="EU243" s="249"/>
      <c r="EV243" s="249"/>
      <c r="EW243" s="249"/>
      <c r="EX243" s="249"/>
      <c r="EY243" s="249"/>
      <c r="EZ243" s="249"/>
      <c r="FA243" s="249"/>
      <c r="FB243" s="249"/>
      <c r="FC243" s="249"/>
      <c r="FD243" s="249"/>
      <c r="FE243" s="249"/>
      <c r="FF243" s="249"/>
      <c r="FG243" s="249"/>
      <c r="FH243" s="249"/>
      <c r="FI243" s="249"/>
      <c r="FJ243" s="249"/>
      <c r="FK243" s="249"/>
      <c r="FL243" s="249"/>
      <c r="FM243" s="249"/>
      <c r="FN243" s="249"/>
      <c r="FO243" s="249"/>
      <c r="FP243" s="249"/>
      <c r="FQ243" s="249"/>
      <c r="FR243" s="249"/>
      <c r="FS243" s="249"/>
      <c r="FT243" s="249"/>
      <c r="FU243" s="249"/>
      <c r="FV243" s="249"/>
      <c r="FW243" s="249"/>
      <c r="FX243" s="249"/>
      <c r="FY243" s="249"/>
      <c r="FZ243" s="249"/>
      <c r="GA243" s="249"/>
      <c r="GB243" s="249"/>
      <c r="GC243" s="249"/>
      <c r="GD243" s="249"/>
      <c r="GE243" s="249"/>
      <c r="GF243" s="249"/>
      <c r="GG243" s="249"/>
      <c r="GH243" s="249"/>
      <c r="GI243" s="249"/>
      <c r="GJ243" s="249"/>
      <c r="GK243" s="249"/>
      <c r="GL243" s="249"/>
      <c r="GM243" s="249"/>
      <c r="GN243" s="249"/>
      <c r="GO243" s="249"/>
      <c r="GP243" s="249"/>
      <c r="GQ243" s="249"/>
      <c r="GR243" s="249"/>
    </row>
    <row r="244" spans="1:200" s="252" customFormat="1" ht="13.5" customHeight="1" x14ac:dyDescent="0.2">
      <c r="A244" s="593"/>
      <c r="B244" s="593"/>
      <c r="C244" s="593"/>
      <c r="D244" s="593"/>
      <c r="E244" s="2152"/>
      <c r="F244" s="249"/>
      <c r="G244" s="250"/>
      <c r="H244" s="250"/>
      <c r="I244" s="250"/>
      <c r="J244" s="250"/>
      <c r="K244" s="250"/>
      <c r="L244" s="250"/>
      <c r="M244" s="250"/>
      <c r="N244" s="250"/>
      <c r="O244" s="250"/>
      <c r="P244" s="251"/>
      <c r="Q244" s="251"/>
      <c r="R244" s="251"/>
      <c r="S244" s="251"/>
      <c r="T244" s="251"/>
      <c r="U244" s="2153"/>
      <c r="V244" s="326" t="str">
        <f t="shared" si="69"/>
        <v>12.25 " x Tricone IADC 547</v>
      </c>
      <c r="W244" s="2154">
        <f>Rockbits!J13</f>
        <v>1433412.29</v>
      </c>
      <c r="X244" s="2155"/>
      <c r="Y244" s="348"/>
      <c r="Z244" s="348"/>
      <c r="AA244" s="246"/>
      <c r="AB244" s="246"/>
      <c r="AC244" s="2160">
        <f>IF(RH_BH="Big Hole",0,INPUT!$J48)</f>
        <v>0</v>
      </c>
      <c r="AD244" s="246"/>
      <c r="AE244" s="2159">
        <f>INPUT!$J48</f>
        <v>0</v>
      </c>
      <c r="AF244" s="246"/>
      <c r="AG244" s="246"/>
      <c r="AH244" s="246"/>
      <c r="AI244" s="246"/>
      <c r="AJ244" s="2155"/>
      <c r="AK244" s="2155"/>
      <c r="AL244" s="2155"/>
      <c r="AM244" s="246">
        <f t="shared" si="70"/>
        <v>0</v>
      </c>
      <c r="AN244" s="294"/>
      <c r="AO244" s="249"/>
      <c r="AP244" s="250"/>
      <c r="AQ244" s="250"/>
      <c r="AR244" s="250"/>
      <c r="AS244" s="250"/>
      <c r="AT244" s="250"/>
      <c r="AU244" s="250"/>
      <c r="AV244" s="249"/>
      <c r="AW244" s="249"/>
      <c r="AX244" s="249"/>
      <c r="AY244" s="249"/>
      <c r="AZ244" s="249"/>
      <c r="BA244" s="249"/>
      <c r="BB244" s="249"/>
      <c r="BC244" s="249"/>
      <c r="BD244" s="249"/>
      <c r="BE244" s="249"/>
      <c r="BF244" s="249"/>
      <c r="BG244" s="249"/>
      <c r="BH244" s="249"/>
      <c r="BI244" s="249"/>
      <c r="BJ244" s="249"/>
      <c r="BK244" s="249"/>
      <c r="BL244" s="249"/>
      <c r="BM244" s="249"/>
      <c r="BN244" s="249"/>
      <c r="BO244" s="249"/>
      <c r="BP244" s="249"/>
      <c r="BQ244" s="249"/>
      <c r="BR244" s="249"/>
      <c r="BS244" s="249"/>
      <c r="BT244" s="249"/>
      <c r="BU244" s="249"/>
      <c r="BV244" s="249"/>
      <c r="BW244" s="249"/>
      <c r="BX244" s="249"/>
      <c r="BY244" s="249"/>
      <c r="BZ244" s="249"/>
      <c r="CA244" s="249"/>
      <c r="CB244" s="249"/>
      <c r="CC244" s="249"/>
      <c r="CD244" s="249"/>
      <c r="CE244" s="249"/>
      <c r="CF244" s="249"/>
      <c r="CG244" s="249"/>
      <c r="CH244" s="249"/>
      <c r="CI244" s="249"/>
      <c r="CJ244" s="249"/>
      <c r="CK244" s="249"/>
      <c r="CL244" s="249"/>
      <c r="CM244" s="249"/>
      <c r="CN244" s="249"/>
      <c r="CO244" s="249"/>
      <c r="CP244" s="249"/>
      <c r="CQ244" s="249"/>
      <c r="CR244" s="249"/>
      <c r="CS244" s="249"/>
      <c r="CT244" s="249"/>
      <c r="CU244" s="249"/>
      <c r="CV244" s="249"/>
      <c r="CW244" s="249"/>
      <c r="CX244" s="249"/>
      <c r="CY244" s="249"/>
      <c r="CZ244" s="249"/>
      <c r="DA244" s="249"/>
      <c r="DB244" s="249"/>
      <c r="DC244" s="249"/>
      <c r="DD244" s="249"/>
      <c r="DE244" s="249"/>
      <c r="DF244" s="249"/>
      <c r="DG244" s="249"/>
      <c r="DH244" s="249"/>
      <c r="DI244" s="249"/>
      <c r="DJ244" s="249"/>
      <c r="DK244" s="249"/>
      <c r="DL244" s="249"/>
      <c r="DM244" s="249"/>
      <c r="DN244" s="249"/>
      <c r="DO244" s="249"/>
      <c r="DP244" s="249"/>
      <c r="DQ244" s="249"/>
      <c r="DR244" s="249"/>
      <c r="DS244" s="249"/>
      <c r="DT244" s="249"/>
      <c r="DU244" s="249"/>
      <c r="DV244" s="249"/>
      <c r="DW244" s="249"/>
      <c r="DX244" s="249"/>
      <c r="DY244" s="249"/>
      <c r="DZ244" s="249"/>
      <c r="EA244" s="249"/>
      <c r="EB244" s="249"/>
      <c r="EC244" s="249"/>
      <c r="ED244" s="249"/>
      <c r="EE244" s="249"/>
      <c r="EF244" s="249"/>
      <c r="EG244" s="249"/>
      <c r="EH244" s="249"/>
      <c r="EI244" s="249"/>
      <c r="EJ244" s="249"/>
      <c r="EK244" s="249"/>
      <c r="EL244" s="249"/>
      <c r="EM244" s="249"/>
      <c r="EN244" s="249"/>
      <c r="EO244" s="249"/>
      <c r="EP244" s="249"/>
      <c r="EQ244" s="249"/>
      <c r="ER244" s="249"/>
      <c r="ES244" s="249"/>
      <c r="ET244" s="249"/>
      <c r="EU244" s="249"/>
      <c r="EV244" s="249"/>
      <c r="EW244" s="249"/>
      <c r="EX244" s="249"/>
      <c r="EY244" s="249"/>
      <c r="EZ244" s="249"/>
      <c r="FA244" s="249"/>
      <c r="FB244" s="249"/>
      <c r="FC244" s="249"/>
      <c r="FD244" s="249"/>
      <c r="FE244" s="249"/>
      <c r="FF244" s="249"/>
      <c r="FG244" s="249"/>
      <c r="FH244" s="249"/>
      <c r="FI244" s="249"/>
      <c r="FJ244" s="249"/>
      <c r="FK244" s="249"/>
      <c r="FL244" s="249"/>
      <c r="FM244" s="249"/>
      <c r="FN244" s="249"/>
      <c r="FO244" s="249"/>
      <c r="FP244" s="249"/>
      <c r="FQ244" s="249"/>
      <c r="FR244" s="249"/>
      <c r="FS244" s="249"/>
      <c r="FT244" s="249"/>
      <c r="FU244" s="249"/>
      <c r="FV244" s="249"/>
      <c r="FW244" s="249"/>
      <c r="FX244" s="249"/>
      <c r="FY244" s="249"/>
      <c r="FZ244" s="249"/>
      <c r="GA244" s="249"/>
      <c r="GB244" s="249"/>
      <c r="GC244" s="249"/>
      <c r="GD244" s="249"/>
      <c r="GE244" s="249"/>
      <c r="GF244" s="249"/>
      <c r="GG244" s="249"/>
      <c r="GH244" s="249"/>
      <c r="GI244" s="249"/>
      <c r="GJ244" s="249"/>
      <c r="GK244" s="249"/>
      <c r="GL244" s="249"/>
      <c r="GM244" s="249"/>
      <c r="GN244" s="249"/>
      <c r="GO244" s="249"/>
      <c r="GP244" s="249"/>
      <c r="GQ244" s="249"/>
      <c r="GR244" s="249"/>
    </row>
    <row r="245" spans="1:200" s="252" customFormat="1" ht="12.75" customHeight="1" x14ac:dyDescent="0.2">
      <c r="A245" s="709"/>
      <c r="B245" s="1110"/>
      <c r="C245" s="1110"/>
      <c r="D245" s="257"/>
      <c r="E245" s="613"/>
      <c r="F245" s="249"/>
      <c r="G245" s="250"/>
      <c r="H245" s="250"/>
      <c r="I245" s="250"/>
      <c r="J245" s="250"/>
      <c r="K245" s="250"/>
      <c r="L245" s="250"/>
      <c r="M245" s="250"/>
      <c r="N245" s="250"/>
      <c r="O245" s="250"/>
      <c r="P245" s="251"/>
      <c r="Q245" s="251"/>
      <c r="R245" s="251"/>
      <c r="S245" s="251"/>
      <c r="T245" s="251"/>
      <c r="U245" s="243"/>
      <c r="V245" s="326" t="str">
        <f t="shared" si="69"/>
        <v>12.25 " x Tricone IADC 637</v>
      </c>
      <c r="W245" s="2154">
        <f>Rockbits!J14</f>
        <v>1901141.67</v>
      </c>
      <c r="X245" s="246"/>
      <c r="Y245" s="348"/>
      <c r="Z245" s="348"/>
      <c r="AA245" s="246"/>
      <c r="AB245" s="246"/>
      <c r="AC245" s="2160">
        <f>IF(RH_BH="Big Hole",0,INPUT!$J49)</f>
        <v>0</v>
      </c>
      <c r="AD245" s="246"/>
      <c r="AE245" s="2159">
        <f>INPUT!$J49</f>
        <v>0</v>
      </c>
      <c r="AF245" s="246"/>
      <c r="AG245" s="246"/>
      <c r="AH245" s="246"/>
      <c r="AI245" s="246"/>
      <c r="AJ245" s="341"/>
      <c r="AK245" s="341"/>
      <c r="AL245" s="246"/>
      <c r="AM245" s="246">
        <f t="shared" si="70"/>
        <v>0</v>
      </c>
      <c r="AN245" s="254"/>
      <c r="AO245" s="249"/>
      <c r="AP245" s="250"/>
      <c r="AQ245" s="250"/>
      <c r="AR245" s="250"/>
      <c r="AS245" s="250"/>
      <c r="AT245" s="250"/>
      <c r="AU245" s="250"/>
      <c r="AV245" s="249"/>
      <c r="AW245" s="249"/>
      <c r="AX245" s="249"/>
      <c r="AY245" s="249"/>
      <c r="AZ245" s="249"/>
      <c r="BA245" s="249"/>
      <c r="BB245" s="249"/>
      <c r="BC245" s="249"/>
      <c r="BD245" s="249"/>
      <c r="BE245" s="249"/>
      <c r="BF245" s="249"/>
      <c r="BG245" s="249"/>
      <c r="BH245" s="249"/>
      <c r="BI245" s="249"/>
      <c r="BJ245" s="249"/>
      <c r="BK245" s="249"/>
      <c r="BL245" s="249"/>
      <c r="BM245" s="249"/>
      <c r="BN245" s="249"/>
      <c r="BO245" s="249"/>
      <c r="BP245" s="249"/>
      <c r="BQ245" s="249"/>
      <c r="BR245" s="249"/>
      <c r="BS245" s="249"/>
      <c r="BT245" s="249"/>
      <c r="BU245" s="249"/>
      <c r="BV245" s="249"/>
      <c r="BW245" s="249"/>
      <c r="BX245" s="249"/>
      <c r="BY245" s="249"/>
      <c r="BZ245" s="249"/>
      <c r="CA245" s="249"/>
      <c r="CB245" s="249"/>
      <c r="CC245" s="249"/>
      <c r="CD245" s="249"/>
      <c r="CE245" s="249"/>
      <c r="CF245" s="249"/>
      <c r="CG245" s="249"/>
      <c r="CH245" s="249"/>
      <c r="CI245" s="249"/>
      <c r="CJ245" s="249"/>
      <c r="CK245" s="249"/>
      <c r="CL245" s="249"/>
      <c r="CM245" s="249"/>
      <c r="CN245" s="249"/>
      <c r="CO245" s="249"/>
      <c r="CP245" s="249"/>
      <c r="CQ245" s="249"/>
      <c r="CR245" s="249"/>
      <c r="CS245" s="249"/>
      <c r="CT245" s="249"/>
      <c r="CU245" s="249"/>
      <c r="CV245" s="249"/>
      <c r="CW245" s="249"/>
      <c r="CX245" s="249"/>
      <c r="CY245" s="249"/>
      <c r="CZ245" s="249"/>
      <c r="DA245" s="249"/>
      <c r="DB245" s="249"/>
      <c r="DC245" s="249"/>
      <c r="DD245" s="249"/>
      <c r="DE245" s="249"/>
      <c r="DF245" s="249"/>
      <c r="DG245" s="249"/>
      <c r="DH245" s="249"/>
      <c r="DI245" s="249"/>
      <c r="DJ245" s="249"/>
      <c r="DK245" s="249"/>
      <c r="DL245" s="249"/>
      <c r="DM245" s="249"/>
      <c r="DN245" s="249"/>
      <c r="DO245" s="249"/>
      <c r="DP245" s="249"/>
      <c r="DQ245" s="249"/>
      <c r="DR245" s="249"/>
      <c r="DS245" s="249"/>
      <c r="DT245" s="249"/>
      <c r="DU245" s="249"/>
      <c r="DV245" s="249"/>
      <c r="DW245" s="249"/>
      <c r="DX245" s="249"/>
      <c r="DY245" s="249"/>
      <c r="DZ245" s="249"/>
      <c r="EA245" s="249"/>
      <c r="EB245" s="249"/>
      <c r="EC245" s="249"/>
      <c r="ED245" s="249"/>
      <c r="EE245" s="249"/>
      <c r="EF245" s="249"/>
      <c r="EG245" s="249"/>
      <c r="EH245" s="249"/>
      <c r="EI245" s="249"/>
      <c r="EJ245" s="249"/>
      <c r="EK245" s="249"/>
      <c r="EL245" s="249"/>
      <c r="EM245" s="249"/>
      <c r="EN245" s="249"/>
      <c r="EO245" s="249"/>
      <c r="EP245" s="249"/>
      <c r="EQ245" s="249"/>
      <c r="ER245" s="249"/>
      <c r="ES245" s="249"/>
      <c r="ET245" s="249"/>
      <c r="EU245" s="249"/>
      <c r="EV245" s="249"/>
      <c r="EW245" s="249"/>
      <c r="EX245" s="249"/>
      <c r="EY245" s="249"/>
      <c r="EZ245" s="249"/>
      <c r="FA245" s="249"/>
      <c r="FB245" s="249"/>
      <c r="FC245" s="249"/>
      <c r="FD245" s="249"/>
      <c r="FE245" s="249"/>
      <c r="FF245" s="249"/>
      <c r="FG245" s="249"/>
      <c r="FH245" s="249"/>
      <c r="FI245" s="249"/>
      <c r="FJ245" s="249"/>
      <c r="FK245" s="249"/>
      <c r="FL245" s="249"/>
      <c r="FM245" s="249"/>
      <c r="FN245" s="249"/>
      <c r="FO245" s="249"/>
      <c r="FP245" s="249"/>
      <c r="FQ245" s="249"/>
      <c r="FR245" s="249"/>
      <c r="FS245" s="249"/>
      <c r="FT245" s="249"/>
      <c r="FU245" s="249"/>
      <c r="FV245" s="249"/>
      <c r="FW245" s="249"/>
      <c r="FX245" s="249"/>
      <c r="FY245" s="249"/>
      <c r="FZ245" s="249"/>
      <c r="GA245" s="249"/>
      <c r="GB245" s="249"/>
      <c r="GC245" s="249"/>
      <c r="GD245" s="249"/>
      <c r="GE245" s="249"/>
      <c r="GF245" s="249"/>
      <c r="GG245" s="249"/>
      <c r="GH245" s="249"/>
      <c r="GI245" s="249"/>
      <c r="GJ245" s="249"/>
      <c r="GK245" s="249"/>
      <c r="GL245" s="249"/>
      <c r="GM245" s="249"/>
      <c r="GN245" s="249"/>
      <c r="GO245" s="249"/>
      <c r="GP245" s="249"/>
      <c r="GQ245" s="249"/>
      <c r="GR245" s="249"/>
    </row>
    <row r="246" spans="1:200" s="252" customFormat="1" ht="12.75" customHeight="1" x14ac:dyDescent="0.2">
      <c r="A246" s="709"/>
      <c r="B246" s="1110"/>
      <c r="C246" s="1110"/>
      <c r="D246" s="257"/>
      <c r="E246" s="613"/>
      <c r="F246" s="249"/>
      <c r="G246" s="250"/>
      <c r="H246" s="250"/>
      <c r="I246" s="250"/>
      <c r="J246" s="250"/>
      <c r="K246" s="250"/>
      <c r="L246" s="250"/>
      <c r="M246" s="250"/>
      <c r="N246" s="250"/>
      <c r="O246" s="250"/>
      <c r="P246" s="251"/>
      <c r="Q246" s="251"/>
      <c r="R246" s="251"/>
      <c r="S246" s="251"/>
      <c r="T246" s="251"/>
      <c r="U246" s="243"/>
      <c r="V246" s="326" t="str">
        <f t="shared" si="69"/>
        <v>9-7/8 " x PDC PDC Bit</v>
      </c>
      <c r="W246" s="2154">
        <f>Rockbits!J15</f>
        <v>1863890.11</v>
      </c>
      <c r="X246" s="246"/>
      <c r="Y246" s="348"/>
      <c r="Z246" s="348"/>
      <c r="AA246" s="246"/>
      <c r="AB246" s="246"/>
      <c r="AC246" s="246"/>
      <c r="AD246" s="246"/>
      <c r="AE246" s="246"/>
      <c r="AF246" s="246"/>
      <c r="AG246" s="2159">
        <f>INPUT!$J50</f>
        <v>0</v>
      </c>
      <c r="AH246" s="246"/>
      <c r="AI246" s="246"/>
      <c r="AJ246" s="341"/>
      <c r="AK246" s="341"/>
      <c r="AL246" s="246"/>
      <c r="AM246" s="246">
        <f>(W246*AG246)</f>
        <v>0</v>
      </c>
      <c r="AN246" s="254"/>
      <c r="AO246" s="249"/>
      <c r="AP246" s="250"/>
      <c r="AQ246" s="250"/>
      <c r="AR246" s="250"/>
      <c r="AS246" s="250"/>
      <c r="AT246" s="250"/>
      <c r="AU246" s="250"/>
      <c r="AV246" s="249"/>
      <c r="AW246" s="249"/>
      <c r="AX246" s="249"/>
      <c r="AY246" s="249"/>
      <c r="AZ246" s="249"/>
      <c r="BA246" s="249"/>
      <c r="BB246" s="249"/>
      <c r="BC246" s="249"/>
      <c r="BD246" s="249"/>
      <c r="BE246" s="249"/>
      <c r="BF246" s="249"/>
      <c r="BG246" s="249"/>
      <c r="BH246" s="249"/>
      <c r="BI246" s="249"/>
      <c r="BJ246" s="249"/>
      <c r="BK246" s="249"/>
      <c r="BL246" s="249"/>
      <c r="BM246" s="249"/>
      <c r="BN246" s="249"/>
      <c r="BO246" s="249"/>
      <c r="BP246" s="249"/>
      <c r="BQ246" s="249"/>
      <c r="BR246" s="249"/>
      <c r="BS246" s="249"/>
      <c r="BT246" s="249"/>
      <c r="BU246" s="249"/>
      <c r="BV246" s="249"/>
      <c r="BW246" s="249"/>
      <c r="BX246" s="249"/>
      <c r="BY246" s="249"/>
      <c r="BZ246" s="249"/>
      <c r="CA246" s="249"/>
      <c r="CB246" s="249"/>
      <c r="CC246" s="249"/>
      <c r="CD246" s="249"/>
      <c r="CE246" s="249"/>
      <c r="CF246" s="249"/>
      <c r="CG246" s="249"/>
      <c r="CH246" s="249"/>
      <c r="CI246" s="249"/>
      <c r="CJ246" s="249"/>
      <c r="CK246" s="249"/>
      <c r="CL246" s="249"/>
      <c r="CM246" s="249"/>
      <c r="CN246" s="249"/>
      <c r="CO246" s="249"/>
      <c r="CP246" s="249"/>
      <c r="CQ246" s="249"/>
      <c r="CR246" s="249"/>
      <c r="CS246" s="249"/>
      <c r="CT246" s="249"/>
      <c r="CU246" s="249"/>
      <c r="CV246" s="249"/>
      <c r="CW246" s="249"/>
      <c r="CX246" s="249"/>
      <c r="CY246" s="249"/>
      <c r="CZ246" s="249"/>
      <c r="DA246" s="249"/>
      <c r="DB246" s="249"/>
      <c r="DC246" s="249"/>
      <c r="DD246" s="249"/>
      <c r="DE246" s="249"/>
      <c r="DF246" s="249"/>
      <c r="DG246" s="249"/>
      <c r="DH246" s="249"/>
      <c r="DI246" s="249"/>
      <c r="DJ246" s="249"/>
      <c r="DK246" s="249"/>
      <c r="DL246" s="249"/>
      <c r="DM246" s="249"/>
      <c r="DN246" s="249"/>
      <c r="DO246" s="249"/>
      <c r="DP246" s="249"/>
      <c r="DQ246" s="249"/>
      <c r="DR246" s="249"/>
      <c r="DS246" s="249"/>
      <c r="DT246" s="249"/>
      <c r="DU246" s="249"/>
      <c r="DV246" s="249"/>
      <c r="DW246" s="249"/>
      <c r="DX246" s="249"/>
      <c r="DY246" s="249"/>
      <c r="DZ246" s="249"/>
      <c r="EA246" s="249"/>
      <c r="EB246" s="249"/>
      <c r="EC246" s="249"/>
      <c r="ED246" s="249"/>
      <c r="EE246" s="249"/>
      <c r="EF246" s="249"/>
      <c r="EG246" s="249"/>
      <c r="EH246" s="249"/>
      <c r="EI246" s="249"/>
      <c r="EJ246" s="249"/>
      <c r="EK246" s="249"/>
      <c r="EL246" s="249"/>
      <c r="EM246" s="249"/>
      <c r="EN246" s="249"/>
      <c r="EO246" s="249"/>
      <c r="EP246" s="249"/>
      <c r="EQ246" s="249"/>
      <c r="ER246" s="249"/>
      <c r="ES246" s="249"/>
      <c r="ET246" s="249"/>
      <c r="EU246" s="249"/>
      <c r="EV246" s="249"/>
      <c r="EW246" s="249"/>
      <c r="EX246" s="249"/>
      <c r="EY246" s="249"/>
      <c r="EZ246" s="249"/>
      <c r="FA246" s="249"/>
      <c r="FB246" s="249"/>
      <c r="FC246" s="249"/>
      <c r="FD246" s="249"/>
      <c r="FE246" s="249"/>
      <c r="FF246" s="249"/>
      <c r="FG246" s="249"/>
      <c r="FH246" s="249"/>
      <c r="FI246" s="249"/>
      <c r="FJ246" s="249"/>
      <c r="FK246" s="249"/>
      <c r="FL246" s="249"/>
      <c r="FM246" s="249"/>
      <c r="FN246" s="249"/>
      <c r="FO246" s="249"/>
      <c r="FP246" s="249"/>
      <c r="FQ246" s="249"/>
      <c r="FR246" s="249"/>
      <c r="FS246" s="249"/>
      <c r="FT246" s="249"/>
      <c r="FU246" s="249"/>
      <c r="FV246" s="249"/>
      <c r="FW246" s="249"/>
      <c r="FX246" s="249"/>
      <c r="FY246" s="249"/>
      <c r="FZ246" s="249"/>
      <c r="GA246" s="249"/>
      <c r="GB246" s="249"/>
      <c r="GC246" s="249"/>
      <c r="GD246" s="249"/>
      <c r="GE246" s="249"/>
      <c r="GF246" s="249"/>
      <c r="GG246" s="249"/>
      <c r="GH246" s="249"/>
      <c r="GI246" s="249"/>
      <c r="GJ246" s="249"/>
      <c r="GK246" s="249"/>
      <c r="GL246" s="249"/>
      <c r="GM246" s="249"/>
      <c r="GN246" s="249"/>
      <c r="GO246" s="249"/>
      <c r="GP246" s="249"/>
      <c r="GQ246" s="249"/>
      <c r="GR246" s="249"/>
    </row>
    <row r="247" spans="1:200" s="252" customFormat="1" ht="12.75" customHeight="1" x14ac:dyDescent="0.2">
      <c r="A247" s="709"/>
      <c r="B247" s="1110"/>
      <c r="C247" s="1110"/>
      <c r="D247" s="257"/>
      <c r="E247" s="613"/>
      <c r="F247" s="249"/>
      <c r="G247" s="250"/>
      <c r="H247" s="250"/>
      <c r="I247" s="250"/>
      <c r="J247" s="250"/>
      <c r="K247" s="250"/>
      <c r="L247" s="250"/>
      <c r="M247" s="250"/>
      <c r="N247" s="250"/>
      <c r="O247" s="250"/>
      <c r="P247" s="251"/>
      <c r="Q247" s="251"/>
      <c r="R247" s="251"/>
      <c r="S247" s="251"/>
      <c r="T247" s="251"/>
      <c r="U247" s="243"/>
      <c r="V247" s="326" t="str">
        <f t="shared" si="69"/>
        <v>9-7/8 " x Tricone IADC 117/217</v>
      </c>
      <c r="W247" s="2154">
        <f>Rockbits!J16</f>
        <v>0</v>
      </c>
      <c r="X247" s="246"/>
      <c r="Y247" s="348"/>
      <c r="Z247" s="348"/>
      <c r="AA247" s="246"/>
      <c r="AB247" s="246"/>
      <c r="AC247" s="246"/>
      <c r="AD247" s="246"/>
      <c r="AE247" s="246"/>
      <c r="AF247" s="246"/>
      <c r="AG247" s="2159">
        <f>INPUT!$J51</f>
        <v>0</v>
      </c>
      <c r="AH247" s="246"/>
      <c r="AI247" s="246"/>
      <c r="AJ247" s="341"/>
      <c r="AK247" s="341"/>
      <c r="AL247" s="246"/>
      <c r="AM247" s="246">
        <f>(W247*AG247)</f>
        <v>0</v>
      </c>
      <c r="AN247" s="254"/>
      <c r="AO247" s="249"/>
      <c r="AP247" s="250"/>
      <c r="AQ247" s="250"/>
      <c r="AR247" s="250"/>
      <c r="AS247" s="250"/>
      <c r="AT247" s="250"/>
      <c r="AU247" s="250"/>
      <c r="AV247" s="249"/>
      <c r="AW247" s="249"/>
      <c r="AX247" s="249"/>
      <c r="AY247" s="249"/>
      <c r="AZ247" s="249"/>
      <c r="BA247" s="249"/>
      <c r="BB247" s="249"/>
      <c r="BC247" s="249"/>
      <c r="BD247" s="249"/>
      <c r="BE247" s="249"/>
      <c r="BF247" s="249"/>
      <c r="BG247" s="249"/>
      <c r="BH247" s="249"/>
      <c r="BI247" s="249"/>
      <c r="BJ247" s="249"/>
      <c r="BK247" s="249"/>
      <c r="BL247" s="249"/>
      <c r="BM247" s="249"/>
      <c r="BN247" s="249"/>
      <c r="BO247" s="249"/>
      <c r="BP247" s="249"/>
      <c r="BQ247" s="249"/>
      <c r="BR247" s="249"/>
      <c r="BS247" s="249"/>
      <c r="BT247" s="249"/>
      <c r="BU247" s="249"/>
      <c r="BV247" s="249"/>
      <c r="BW247" s="249"/>
      <c r="BX247" s="249"/>
      <c r="BY247" s="249"/>
      <c r="BZ247" s="249"/>
      <c r="CA247" s="249"/>
      <c r="CB247" s="249"/>
      <c r="CC247" s="249"/>
      <c r="CD247" s="249"/>
      <c r="CE247" s="249"/>
      <c r="CF247" s="249"/>
      <c r="CG247" s="249"/>
      <c r="CH247" s="249"/>
      <c r="CI247" s="249"/>
      <c r="CJ247" s="249"/>
      <c r="CK247" s="249"/>
      <c r="CL247" s="249"/>
      <c r="CM247" s="249"/>
      <c r="CN247" s="249"/>
      <c r="CO247" s="249"/>
      <c r="CP247" s="249"/>
      <c r="CQ247" s="249"/>
      <c r="CR247" s="249"/>
      <c r="CS247" s="249"/>
      <c r="CT247" s="249"/>
      <c r="CU247" s="249"/>
      <c r="CV247" s="249"/>
      <c r="CW247" s="249"/>
      <c r="CX247" s="249"/>
      <c r="CY247" s="249"/>
      <c r="CZ247" s="249"/>
      <c r="DA247" s="249"/>
      <c r="DB247" s="249"/>
      <c r="DC247" s="249"/>
      <c r="DD247" s="249"/>
      <c r="DE247" s="249"/>
      <c r="DF247" s="249"/>
      <c r="DG247" s="249"/>
      <c r="DH247" s="249"/>
      <c r="DI247" s="249"/>
      <c r="DJ247" s="249"/>
      <c r="DK247" s="249"/>
      <c r="DL247" s="249"/>
      <c r="DM247" s="249"/>
      <c r="DN247" s="249"/>
      <c r="DO247" s="249"/>
      <c r="DP247" s="249"/>
      <c r="DQ247" s="249"/>
      <c r="DR247" s="249"/>
      <c r="DS247" s="249"/>
      <c r="DT247" s="249"/>
      <c r="DU247" s="249"/>
      <c r="DV247" s="249"/>
      <c r="DW247" s="249"/>
      <c r="DX247" s="249"/>
      <c r="DY247" s="249"/>
      <c r="DZ247" s="249"/>
      <c r="EA247" s="249"/>
      <c r="EB247" s="249"/>
      <c r="EC247" s="249"/>
      <c r="ED247" s="249"/>
      <c r="EE247" s="249"/>
      <c r="EF247" s="249"/>
      <c r="EG247" s="249"/>
      <c r="EH247" s="249"/>
      <c r="EI247" s="249"/>
      <c r="EJ247" s="249"/>
      <c r="EK247" s="249"/>
      <c r="EL247" s="249"/>
      <c r="EM247" s="249"/>
      <c r="EN247" s="249"/>
      <c r="EO247" s="249"/>
      <c r="EP247" s="249"/>
      <c r="EQ247" s="249"/>
      <c r="ER247" s="249"/>
      <c r="ES247" s="249"/>
      <c r="ET247" s="249"/>
      <c r="EU247" s="249"/>
      <c r="EV247" s="249"/>
      <c r="EW247" s="249"/>
      <c r="EX247" s="249"/>
      <c r="EY247" s="249"/>
      <c r="EZ247" s="249"/>
      <c r="FA247" s="249"/>
      <c r="FB247" s="249"/>
      <c r="FC247" s="249"/>
      <c r="FD247" s="249"/>
      <c r="FE247" s="249"/>
      <c r="FF247" s="249"/>
      <c r="FG247" s="249"/>
      <c r="FH247" s="249"/>
      <c r="FI247" s="249"/>
      <c r="FJ247" s="249"/>
      <c r="FK247" s="249"/>
      <c r="FL247" s="249"/>
      <c r="FM247" s="249"/>
      <c r="FN247" s="249"/>
      <c r="FO247" s="249"/>
      <c r="FP247" s="249"/>
      <c r="FQ247" s="249"/>
      <c r="FR247" s="249"/>
      <c r="FS247" s="249"/>
      <c r="FT247" s="249"/>
      <c r="FU247" s="249"/>
      <c r="FV247" s="249"/>
      <c r="FW247" s="249"/>
      <c r="FX247" s="249"/>
      <c r="FY247" s="249"/>
      <c r="FZ247" s="249"/>
      <c r="GA247" s="249"/>
      <c r="GB247" s="249"/>
      <c r="GC247" s="249"/>
      <c r="GD247" s="249"/>
      <c r="GE247" s="249"/>
      <c r="GF247" s="249"/>
      <c r="GG247" s="249"/>
      <c r="GH247" s="249"/>
      <c r="GI247" s="249"/>
      <c r="GJ247" s="249"/>
      <c r="GK247" s="249"/>
      <c r="GL247" s="249"/>
      <c r="GM247" s="249"/>
      <c r="GN247" s="249"/>
      <c r="GO247" s="249"/>
      <c r="GP247" s="249"/>
      <c r="GQ247" s="249"/>
      <c r="GR247" s="249"/>
    </row>
    <row r="248" spans="1:200" s="252" customFormat="1" ht="12.75" customHeight="1" x14ac:dyDescent="0.2">
      <c r="A248" s="709"/>
      <c r="B248" s="1110"/>
      <c r="C248" s="1110"/>
      <c r="D248" s="257"/>
      <c r="E248" s="613"/>
      <c r="F248" s="249"/>
      <c r="G248" s="250"/>
      <c r="H248" s="250"/>
      <c r="I248" s="250"/>
      <c r="J248" s="250"/>
      <c r="K248" s="250"/>
      <c r="L248" s="250"/>
      <c r="M248" s="250"/>
      <c r="N248" s="250"/>
      <c r="O248" s="250"/>
      <c r="P248" s="251"/>
      <c r="Q248" s="251"/>
      <c r="R248" s="251"/>
      <c r="S248" s="251"/>
      <c r="T248" s="251"/>
      <c r="U248" s="243"/>
      <c r="V248" s="326" t="str">
        <f t="shared" si="69"/>
        <v>9-7/8 " x Tricone IADC 517</v>
      </c>
      <c r="W248" s="2154">
        <f>Rockbits!J17</f>
        <v>1424401.99</v>
      </c>
      <c r="X248" s="246"/>
      <c r="Y248" s="348"/>
      <c r="Z248" s="348"/>
      <c r="AA248" s="246"/>
      <c r="AB248" s="246"/>
      <c r="AC248" s="246"/>
      <c r="AD248" s="246"/>
      <c r="AE248" s="246"/>
      <c r="AF248" s="246"/>
      <c r="AG248" s="2159">
        <f>INPUT!$J52</f>
        <v>0</v>
      </c>
      <c r="AH248" s="246"/>
      <c r="AI248" s="246"/>
      <c r="AJ248" s="341"/>
      <c r="AK248" s="341"/>
      <c r="AL248" s="246"/>
      <c r="AM248" s="246">
        <f>(W248*AG248)</f>
        <v>0</v>
      </c>
      <c r="AN248" s="254"/>
      <c r="AO248" s="249"/>
      <c r="AP248" s="250"/>
      <c r="AQ248" s="250"/>
      <c r="AR248" s="250"/>
      <c r="AS248" s="250"/>
      <c r="AT248" s="250"/>
      <c r="AU248" s="250"/>
      <c r="AV248" s="249"/>
      <c r="AW248" s="249"/>
      <c r="AX248" s="249"/>
      <c r="AY248" s="249"/>
      <c r="AZ248" s="249"/>
      <c r="BA248" s="249"/>
      <c r="BB248" s="249"/>
      <c r="BC248" s="249"/>
      <c r="BD248" s="249"/>
      <c r="BE248" s="249"/>
      <c r="BF248" s="249"/>
      <c r="BG248" s="249"/>
      <c r="BH248" s="249"/>
      <c r="BI248" s="249"/>
      <c r="BJ248" s="249"/>
      <c r="BK248" s="249"/>
      <c r="BL248" s="249"/>
      <c r="BM248" s="249"/>
      <c r="BN248" s="249"/>
      <c r="BO248" s="249"/>
      <c r="BP248" s="249"/>
      <c r="BQ248" s="249"/>
      <c r="BR248" s="249"/>
      <c r="BS248" s="249"/>
      <c r="BT248" s="249"/>
      <c r="BU248" s="249"/>
      <c r="BV248" s="249"/>
      <c r="BW248" s="249"/>
      <c r="BX248" s="249"/>
      <c r="BY248" s="249"/>
      <c r="BZ248" s="249"/>
      <c r="CA248" s="249"/>
      <c r="CB248" s="249"/>
      <c r="CC248" s="249"/>
      <c r="CD248" s="249"/>
      <c r="CE248" s="249"/>
      <c r="CF248" s="249"/>
      <c r="CG248" s="249"/>
      <c r="CH248" s="249"/>
      <c r="CI248" s="249"/>
      <c r="CJ248" s="249"/>
      <c r="CK248" s="249"/>
      <c r="CL248" s="249"/>
      <c r="CM248" s="249"/>
      <c r="CN248" s="249"/>
      <c r="CO248" s="249"/>
      <c r="CP248" s="249"/>
      <c r="CQ248" s="249"/>
      <c r="CR248" s="249"/>
      <c r="CS248" s="249"/>
      <c r="CT248" s="249"/>
      <c r="CU248" s="249"/>
      <c r="CV248" s="249"/>
      <c r="CW248" s="249"/>
      <c r="CX248" s="249"/>
      <c r="CY248" s="249"/>
      <c r="CZ248" s="249"/>
      <c r="DA248" s="249"/>
      <c r="DB248" s="249"/>
      <c r="DC248" s="249"/>
      <c r="DD248" s="249"/>
      <c r="DE248" s="249"/>
      <c r="DF248" s="249"/>
      <c r="DG248" s="249"/>
      <c r="DH248" s="249"/>
      <c r="DI248" s="249"/>
      <c r="DJ248" s="249"/>
      <c r="DK248" s="249"/>
      <c r="DL248" s="249"/>
      <c r="DM248" s="249"/>
      <c r="DN248" s="249"/>
      <c r="DO248" s="249"/>
      <c r="DP248" s="249"/>
      <c r="DQ248" s="249"/>
      <c r="DR248" s="249"/>
      <c r="DS248" s="249"/>
      <c r="DT248" s="249"/>
      <c r="DU248" s="249"/>
      <c r="DV248" s="249"/>
      <c r="DW248" s="249"/>
      <c r="DX248" s="249"/>
      <c r="DY248" s="249"/>
      <c r="DZ248" s="249"/>
      <c r="EA248" s="249"/>
      <c r="EB248" s="249"/>
      <c r="EC248" s="249"/>
      <c r="ED248" s="249"/>
      <c r="EE248" s="249"/>
      <c r="EF248" s="249"/>
      <c r="EG248" s="249"/>
      <c r="EH248" s="249"/>
      <c r="EI248" s="249"/>
      <c r="EJ248" s="249"/>
      <c r="EK248" s="249"/>
      <c r="EL248" s="249"/>
      <c r="EM248" s="249"/>
      <c r="EN248" s="249"/>
      <c r="EO248" s="249"/>
      <c r="EP248" s="249"/>
      <c r="EQ248" s="249"/>
      <c r="ER248" s="249"/>
      <c r="ES248" s="249"/>
      <c r="ET248" s="249"/>
      <c r="EU248" s="249"/>
      <c r="EV248" s="249"/>
      <c r="EW248" s="249"/>
      <c r="EX248" s="249"/>
      <c r="EY248" s="249"/>
      <c r="EZ248" s="249"/>
      <c r="FA248" s="249"/>
      <c r="FB248" s="249"/>
      <c r="FC248" s="249"/>
      <c r="FD248" s="249"/>
      <c r="FE248" s="249"/>
      <c r="FF248" s="249"/>
      <c r="FG248" s="249"/>
      <c r="FH248" s="249"/>
      <c r="FI248" s="249"/>
      <c r="FJ248" s="249"/>
      <c r="FK248" s="249"/>
      <c r="FL248" s="249"/>
      <c r="FM248" s="249"/>
      <c r="FN248" s="249"/>
      <c r="FO248" s="249"/>
      <c r="FP248" s="249"/>
      <c r="FQ248" s="249"/>
      <c r="FR248" s="249"/>
      <c r="FS248" s="249"/>
      <c r="FT248" s="249"/>
      <c r="FU248" s="249"/>
      <c r="FV248" s="249"/>
      <c r="FW248" s="249"/>
      <c r="FX248" s="249"/>
      <c r="FY248" s="249"/>
      <c r="FZ248" s="249"/>
      <c r="GA248" s="249"/>
      <c r="GB248" s="249"/>
      <c r="GC248" s="249"/>
      <c r="GD248" s="249"/>
      <c r="GE248" s="249"/>
      <c r="GF248" s="249"/>
      <c r="GG248" s="249"/>
      <c r="GH248" s="249"/>
      <c r="GI248" s="249"/>
      <c r="GJ248" s="249"/>
      <c r="GK248" s="249"/>
      <c r="GL248" s="249"/>
      <c r="GM248" s="249"/>
      <c r="GN248" s="249"/>
      <c r="GO248" s="249"/>
      <c r="GP248" s="249"/>
      <c r="GQ248" s="249"/>
      <c r="GR248" s="249"/>
    </row>
    <row r="249" spans="1:200" s="252" customFormat="1" ht="12.75" customHeight="1" x14ac:dyDescent="0.2">
      <c r="A249" s="709"/>
      <c r="B249" s="1110"/>
      <c r="C249" s="1110"/>
      <c r="D249" s="257"/>
      <c r="E249" s="613"/>
      <c r="F249" s="249"/>
      <c r="G249" s="250"/>
      <c r="H249" s="250"/>
      <c r="I249" s="250"/>
      <c r="J249" s="250"/>
      <c r="K249" s="250"/>
      <c r="L249" s="250"/>
      <c r="M249" s="250"/>
      <c r="N249" s="250"/>
      <c r="O249" s="250"/>
      <c r="P249" s="251"/>
      <c r="Q249" s="251"/>
      <c r="R249" s="251"/>
      <c r="S249" s="251"/>
      <c r="T249" s="251"/>
      <c r="U249" s="243"/>
      <c r="V249" s="326" t="str">
        <f t="shared" si="69"/>
        <v>9-7/8 " x Tricone IADC 537</v>
      </c>
      <c r="W249" s="2154">
        <f>Rockbits!J18</f>
        <v>1413994.5859999999</v>
      </c>
      <c r="X249" s="246"/>
      <c r="Y249" s="348"/>
      <c r="Z249" s="348"/>
      <c r="AA249" s="246"/>
      <c r="AB249" s="246"/>
      <c r="AC249" s="246"/>
      <c r="AD249" s="246"/>
      <c r="AE249" s="246"/>
      <c r="AF249" s="246"/>
      <c r="AG249" s="2159">
        <f>INPUT!$J53</f>
        <v>0</v>
      </c>
      <c r="AH249" s="246"/>
      <c r="AI249" s="246"/>
      <c r="AJ249" s="341"/>
      <c r="AK249" s="341"/>
      <c r="AL249" s="246"/>
      <c r="AM249" s="246">
        <f>(W249*AG249)</f>
        <v>0</v>
      </c>
      <c r="AN249" s="254"/>
      <c r="AO249" s="249"/>
      <c r="AP249" s="250"/>
      <c r="AQ249" s="250"/>
      <c r="AR249" s="250"/>
      <c r="AS249" s="250"/>
      <c r="AT249" s="250"/>
      <c r="AU249" s="250"/>
      <c r="AV249" s="249"/>
      <c r="AW249" s="249"/>
      <c r="AX249" s="249"/>
      <c r="AY249" s="249"/>
      <c r="AZ249" s="249"/>
      <c r="BA249" s="249"/>
      <c r="BB249" s="249"/>
      <c r="BC249" s="249"/>
      <c r="BD249" s="249"/>
      <c r="BE249" s="249"/>
      <c r="BF249" s="249"/>
      <c r="BG249" s="249"/>
      <c r="BH249" s="249"/>
      <c r="BI249" s="249"/>
      <c r="BJ249" s="249"/>
      <c r="BK249" s="249"/>
      <c r="BL249" s="249"/>
      <c r="BM249" s="249"/>
      <c r="BN249" s="249"/>
      <c r="BO249" s="249"/>
      <c r="BP249" s="249"/>
      <c r="BQ249" s="249"/>
      <c r="BR249" s="249"/>
      <c r="BS249" s="249"/>
      <c r="BT249" s="249"/>
      <c r="BU249" s="249"/>
      <c r="BV249" s="249"/>
      <c r="BW249" s="249"/>
      <c r="BX249" s="249"/>
      <c r="BY249" s="249"/>
      <c r="BZ249" s="249"/>
      <c r="CA249" s="249"/>
      <c r="CB249" s="249"/>
      <c r="CC249" s="249"/>
      <c r="CD249" s="249"/>
      <c r="CE249" s="249"/>
      <c r="CF249" s="249"/>
      <c r="CG249" s="249"/>
      <c r="CH249" s="249"/>
      <c r="CI249" s="249"/>
      <c r="CJ249" s="249"/>
      <c r="CK249" s="249"/>
      <c r="CL249" s="249"/>
      <c r="CM249" s="249"/>
      <c r="CN249" s="249"/>
      <c r="CO249" s="249"/>
      <c r="CP249" s="249"/>
      <c r="CQ249" s="249"/>
      <c r="CR249" s="249"/>
      <c r="CS249" s="249"/>
      <c r="CT249" s="249"/>
      <c r="CU249" s="249"/>
      <c r="CV249" s="249"/>
      <c r="CW249" s="249"/>
      <c r="CX249" s="249"/>
      <c r="CY249" s="249"/>
      <c r="CZ249" s="249"/>
      <c r="DA249" s="249"/>
      <c r="DB249" s="249"/>
      <c r="DC249" s="249"/>
      <c r="DD249" s="249"/>
      <c r="DE249" s="249"/>
      <c r="DF249" s="249"/>
      <c r="DG249" s="249"/>
      <c r="DH249" s="249"/>
      <c r="DI249" s="249"/>
      <c r="DJ249" s="249"/>
      <c r="DK249" s="249"/>
      <c r="DL249" s="249"/>
      <c r="DM249" s="249"/>
      <c r="DN249" s="249"/>
      <c r="DO249" s="249"/>
      <c r="DP249" s="249"/>
      <c r="DQ249" s="249"/>
      <c r="DR249" s="249"/>
      <c r="DS249" s="249"/>
      <c r="DT249" s="249"/>
      <c r="DU249" s="249"/>
      <c r="DV249" s="249"/>
      <c r="DW249" s="249"/>
      <c r="DX249" s="249"/>
      <c r="DY249" s="249"/>
      <c r="DZ249" s="249"/>
      <c r="EA249" s="249"/>
      <c r="EB249" s="249"/>
      <c r="EC249" s="249"/>
      <c r="ED249" s="249"/>
      <c r="EE249" s="249"/>
      <c r="EF249" s="249"/>
      <c r="EG249" s="249"/>
      <c r="EH249" s="249"/>
      <c r="EI249" s="249"/>
      <c r="EJ249" s="249"/>
      <c r="EK249" s="249"/>
      <c r="EL249" s="249"/>
      <c r="EM249" s="249"/>
      <c r="EN249" s="249"/>
      <c r="EO249" s="249"/>
      <c r="EP249" s="249"/>
      <c r="EQ249" s="249"/>
      <c r="ER249" s="249"/>
      <c r="ES249" s="249"/>
      <c r="ET249" s="249"/>
      <c r="EU249" s="249"/>
      <c r="EV249" s="249"/>
      <c r="EW249" s="249"/>
      <c r="EX249" s="249"/>
      <c r="EY249" s="249"/>
      <c r="EZ249" s="249"/>
      <c r="FA249" s="249"/>
      <c r="FB249" s="249"/>
      <c r="FC249" s="249"/>
      <c r="FD249" s="249"/>
      <c r="FE249" s="249"/>
      <c r="FF249" s="249"/>
      <c r="FG249" s="249"/>
      <c r="FH249" s="249"/>
      <c r="FI249" s="249"/>
      <c r="FJ249" s="249"/>
      <c r="FK249" s="249"/>
      <c r="FL249" s="249"/>
      <c r="FM249" s="249"/>
      <c r="FN249" s="249"/>
      <c r="FO249" s="249"/>
      <c r="FP249" s="249"/>
      <c r="FQ249" s="249"/>
      <c r="FR249" s="249"/>
      <c r="FS249" s="249"/>
      <c r="FT249" s="249"/>
      <c r="FU249" s="249"/>
      <c r="FV249" s="249"/>
      <c r="FW249" s="249"/>
      <c r="FX249" s="249"/>
      <c r="FY249" s="249"/>
      <c r="FZ249" s="249"/>
      <c r="GA249" s="249"/>
      <c r="GB249" s="249"/>
      <c r="GC249" s="249"/>
      <c r="GD249" s="249"/>
      <c r="GE249" s="249"/>
      <c r="GF249" s="249"/>
      <c r="GG249" s="249"/>
      <c r="GH249" s="249"/>
      <c r="GI249" s="249"/>
      <c r="GJ249" s="249"/>
      <c r="GK249" s="249"/>
      <c r="GL249" s="249"/>
      <c r="GM249" s="249"/>
      <c r="GN249" s="249"/>
      <c r="GO249" s="249"/>
      <c r="GP249" s="249"/>
      <c r="GQ249" s="249"/>
      <c r="GR249" s="249"/>
    </row>
    <row r="250" spans="1:200" s="252" customFormat="1" ht="12.75" customHeight="1" x14ac:dyDescent="0.2">
      <c r="A250" s="709"/>
      <c r="B250" s="1110"/>
      <c r="C250" s="1110"/>
      <c r="D250" s="257"/>
      <c r="E250" s="613"/>
      <c r="F250" s="249"/>
      <c r="G250" s="250"/>
      <c r="H250" s="250"/>
      <c r="I250" s="250"/>
      <c r="J250" s="250"/>
      <c r="K250" s="250"/>
      <c r="L250" s="250"/>
      <c r="M250" s="250"/>
      <c r="N250" s="250"/>
      <c r="O250" s="250"/>
      <c r="P250" s="251"/>
      <c r="Q250" s="251"/>
      <c r="R250" s="251"/>
      <c r="S250" s="251"/>
      <c r="T250" s="251"/>
      <c r="U250" s="243"/>
      <c r="V250" s="326" t="str">
        <f t="shared" si="69"/>
        <v>9-7/8 " x Tricone IADC 637</v>
      </c>
      <c r="W250" s="2154">
        <f>Rockbits!J19</f>
        <v>1301189.1866666668</v>
      </c>
      <c r="X250" s="246"/>
      <c r="Y250" s="348"/>
      <c r="Z250" s="348"/>
      <c r="AA250" s="246"/>
      <c r="AB250" s="246"/>
      <c r="AC250" s="246"/>
      <c r="AD250" s="246"/>
      <c r="AE250" s="246"/>
      <c r="AF250" s="246"/>
      <c r="AG250" s="2159">
        <f>INPUT!$J54</f>
        <v>0</v>
      </c>
      <c r="AH250" s="246"/>
      <c r="AI250" s="246"/>
      <c r="AJ250" s="341"/>
      <c r="AK250" s="341"/>
      <c r="AL250" s="246"/>
      <c r="AM250" s="246">
        <f>(W250*AG250)</f>
        <v>0</v>
      </c>
      <c r="AN250" s="254"/>
      <c r="AO250" s="249"/>
      <c r="AP250" s="250"/>
      <c r="AQ250" s="250"/>
      <c r="AR250" s="250"/>
      <c r="AS250" s="250"/>
      <c r="AT250" s="250"/>
      <c r="AU250" s="250"/>
      <c r="AV250" s="249"/>
      <c r="AW250" s="249"/>
      <c r="AX250" s="249"/>
      <c r="AY250" s="249"/>
      <c r="AZ250" s="249"/>
      <c r="BA250" s="249"/>
      <c r="BB250" s="249"/>
      <c r="BC250" s="249"/>
      <c r="BD250" s="249"/>
      <c r="BE250" s="249"/>
      <c r="BF250" s="249"/>
      <c r="BG250" s="249"/>
      <c r="BH250" s="249"/>
      <c r="BI250" s="249"/>
      <c r="BJ250" s="249"/>
      <c r="BK250" s="249"/>
      <c r="BL250" s="249"/>
      <c r="BM250" s="249"/>
      <c r="BN250" s="249"/>
      <c r="BO250" s="249"/>
      <c r="BP250" s="249"/>
      <c r="BQ250" s="249"/>
      <c r="BR250" s="249"/>
      <c r="BS250" s="249"/>
      <c r="BT250" s="249"/>
      <c r="BU250" s="249"/>
      <c r="BV250" s="249"/>
      <c r="BW250" s="249"/>
      <c r="BX250" s="249"/>
      <c r="BY250" s="249"/>
      <c r="BZ250" s="249"/>
      <c r="CA250" s="249"/>
      <c r="CB250" s="249"/>
      <c r="CC250" s="249"/>
      <c r="CD250" s="249"/>
      <c r="CE250" s="249"/>
      <c r="CF250" s="249"/>
      <c r="CG250" s="249"/>
      <c r="CH250" s="249"/>
      <c r="CI250" s="249"/>
      <c r="CJ250" s="249"/>
      <c r="CK250" s="249"/>
      <c r="CL250" s="249"/>
      <c r="CM250" s="249"/>
      <c r="CN250" s="249"/>
      <c r="CO250" s="249"/>
      <c r="CP250" s="249"/>
      <c r="CQ250" s="249"/>
      <c r="CR250" s="249"/>
      <c r="CS250" s="249"/>
      <c r="CT250" s="249"/>
      <c r="CU250" s="249"/>
      <c r="CV250" s="249"/>
      <c r="CW250" s="249"/>
      <c r="CX250" s="249"/>
      <c r="CY250" s="249"/>
      <c r="CZ250" s="249"/>
      <c r="DA250" s="249"/>
      <c r="DB250" s="249"/>
      <c r="DC250" s="249"/>
      <c r="DD250" s="249"/>
      <c r="DE250" s="249"/>
      <c r="DF250" s="249"/>
      <c r="DG250" s="249"/>
      <c r="DH250" s="249"/>
      <c r="DI250" s="249"/>
      <c r="DJ250" s="249"/>
      <c r="DK250" s="249"/>
      <c r="DL250" s="249"/>
      <c r="DM250" s="249"/>
      <c r="DN250" s="249"/>
      <c r="DO250" s="249"/>
      <c r="DP250" s="249"/>
      <c r="DQ250" s="249"/>
      <c r="DR250" s="249"/>
      <c r="DS250" s="249"/>
      <c r="DT250" s="249"/>
      <c r="DU250" s="249"/>
      <c r="DV250" s="249"/>
      <c r="DW250" s="249"/>
      <c r="DX250" s="249"/>
      <c r="DY250" s="249"/>
      <c r="DZ250" s="249"/>
      <c r="EA250" s="249"/>
      <c r="EB250" s="249"/>
      <c r="EC250" s="249"/>
      <c r="ED250" s="249"/>
      <c r="EE250" s="249"/>
      <c r="EF250" s="249"/>
      <c r="EG250" s="249"/>
      <c r="EH250" s="249"/>
      <c r="EI250" s="249"/>
      <c r="EJ250" s="249"/>
      <c r="EK250" s="249"/>
      <c r="EL250" s="249"/>
      <c r="EM250" s="249"/>
      <c r="EN250" s="249"/>
      <c r="EO250" s="249"/>
      <c r="EP250" s="249"/>
      <c r="EQ250" s="249"/>
      <c r="ER250" s="249"/>
      <c r="ES250" s="249"/>
      <c r="ET250" s="249"/>
      <c r="EU250" s="249"/>
      <c r="EV250" s="249"/>
      <c r="EW250" s="249"/>
      <c r="EX250" s="249"/>
      <c r="EY250" s="249"/>
      <c r="EZ250" s="249"/>
      <c r="FA250" s="249"/>
      <c r="FB250" s="249"/>
      <c r="FC250" s="249"/>
      <c r="FD250" s="249"/>
      <c r="FE250" s="249"/>
      <c r="FF250" s="249"/>
      <c r="FG250" s="249"/>
      <c r="FH250" s="249"/>
      <c r="FI250" s="249"/>
      <c r="FJ250" s="249"/>
      <c r="FK250" s="249"/>
      <c r="FL250" s="249"/>
      <c r="FM250" s="249"/>
      <c r="FN250" s="249"/>
      <c r="FO250" s="249"/>
      <c r="FP250" s="249"/>
      <c r="FQ250" s="249"/>
      <c r="FR250" s="249"/>
      <c r="FS250" s="249"/>
      <c r="FT250" s="249"/>
      <c r="FU250" s="249"/>
      <c r="FV250" s="249"/>
      <c r="FW250" s="249"/>
      <c r="FX250" s="249"/>
      <c r="FY250" s="249"/>
      <c r="FZ250" s="249"/>
      <c r="GA250" s="249"/>
      <c r="GB250" s="249"/>
      <c r="GC250" s="249"/>
      <c r="GD250" s="249"/>
      <c r="GE250" s="249"/>
      <c r="GF250" s="249"/>
      <c r="GG250" s="249"/>
      <c r="GH250" s="249"/>
      <c r="GI250" s="249"/>
      <c r="GJ250" s="249"/>
      <c r="GK250" s="249"/>
      <c r="GL250" s="249"/>
      <c r="GM250" s="249"/>
      <c r="GN250" s="249"/>
      <c r="GO250" s="249"/>
      <c r="GP250" s="249"/>
      <c r="GQ250" s="249"/>
      <c r="GR250" s="249"/>
    </row>
    <row r="251" spans="1:200" s="252" customFormat="1" ht="12" customHeight="1" x14ac:dyDescent="0.2">
      <c r="A251" s="709"/>
      <c r="B251" s="1110"/>
      <c r="C251" s="1110"/>
      <c r="D251" s="257"/>
      <c r="E251" s="613"/>
      <c r="F251" s="249"/>
      <c r="G251" s="250"/>
      <c r="H251" s="250"/>
      <c r="I251" s="250"/>
      <c r="J251" s="250"/>
      <c r="K251" s="250"/>
      <c r="L251" s="250"/>
      <c r="M251" s="250"/>
      <c r="N251" s="250"/>
      <c r="O251" s="250"/>
      <c r="P251" s="251"/>
      <c r="Q251" s="251"/>
      <c r="R251" s="251"/>
      <c r="S251" s="251"/>
      <c r="T251" s="251"/>
      <c r="U251" s="243"/>
      <c r="V251" s="326" t="str">
        <f t="shared" si="69"/>
        <v xml:space="preserve">8.5 " x PDC PDC BIT </v>
      </c>
      <c r="W251" s="2154">
        <f>Rockbits!J20</f>
        <v>1834568.3049999999</v>
      </c>
      <c r="X251" s="246"/>
      <c r="Y251" s="348"/>
      <c r="Z251" s="348"/>
      <c r="AA251" s="246"/>
      <c r="AB251" s="246"/>
      <c r="AC251" s="246"/>
      <c r="AD251" s="246"/>
      <c r="AE251" s="2160">
        <f>IF(RH_BH="Big Hole",0,INPUT!$J53)</f>
        <v>0</v>
      </c>
      <c r="AF251" s="246"/>
      <c r="AG251" s="2158">
        <f>IF(U251="Yes",INPUT!$J55,0)</f>
        <v>0</v>
      </c>
      <c r="AH251" s="246"/>
      <c r="AI251" s="246"/>
      <c r="AJ251" s="341"/>
      <c r="AK251" s="341"/>
      <c r="AL251" s="246"/>
      <c r="AM251" s="246">
        <f>(W251*AG251)+(AE251*W251)</f>
        <v>0</v>
      </c>
      <c r="AN251" s="254"/>
      <c r="AO251" s="249"/>
      <c r="AP251" s="250"/>
      <c r="AQ251" s="250"/>
      <c r="AR251" s="250"/>
      <c r="AS251" s="250"/>
      <c r="AT251" s="250"/>
      <c r="AU251" s="250"/>
      <c r="AV251" s="249"/>
      <c r="AW251" s="249"/>
      <c r="AX251" s="249"/>
      <c r="AY251" s="249"/>
      <c r="AZ251" s="249"/>
      <c r="BA251" s="249"/>
      <c r="BB251" s="249"/>
      <c r="BC251" s="249"/>
      <c r="BD251" s="249"/>
      <c r="BE251" s="249"/>
      <c r="BF251" s="249"/>
      <c r="BG251" s="249"/>
      <c r="BH251" s="249"/>
      <c r="BI251" s="249"/>
      <c r="BJ251" s="249"/>
      <c r="BK251" s="249"/>
      <c r="BL251" s="249"/>
      <c r="BM251" s="249"/>
      <c r="BN251" s="249"/>
      <c r="BO251" s="249"/>
      <c r="BP251" s="249"/>
      <c r="BQ251" s="249"/>
      <c r="BR251" s="249"/>
      <c r="BS251" s="249"/>
      <c r="BT251" s="249"/>
      <c r="BU251" s="249"/>
      <c r="BV251" s="249"/>
      <c r="BW251" s="249"/>
      <c r="BX251" s="249"/>
      <c r="BY251" s="249"/>
      <c r="BZ251" s="249"/>
      <c r="CA251" s="249"/>
      <c r="CB251" s="249"/>
      <c r="CC251" s="249"/>
      <c r="CD251" s="249"/>
      <c r="CE251" s="249"/>
      <c r="CF251" s="249"/>
      <c r="CG251" s="249"/>
      <c r="CH251" s="249"/>
      <c r="CI251" s="249"/>
      <c r="CJ251" s="249"/>
      <c r="CK251" s="249"/>
      <c r="CL251" s="249"/>
      <c r="CM251" s="249"/>
      <c r="CN251" s="249"/>
      <c r="CO251" s="249"/>
      <c r="CP251" s="249"/>
      <c r="CQ251" s="249"/>
      <c r="CR251" s="249"/>
      <c r="CS251" s="249"/>
      <c r="CT251" s="249"/>
      <c r="CU251" s="249"/>
      <c r="CV251" s="249"/>
      <c r="CW251" s="249"/>
      <c r="CX251" s="249"/>
      <c r="CY251" s="249"/>
      <c r="CZ251" s="249"/>
      <c r="DA251" s="249"/>
      <c r="DB251" s="249"/>
      <c r="DC251" s="249"/>
      <c r="DD251" s="249"/>
      <c r="DE251" s="249"/>
      <c r="DF251" s="249"/>
      <c r="DG251" s="249"/>
      <c r="DH251" s="249"/>
      <c r="DI251" s="249"/>
      <c r="DJ251" s="249"/>
      <c r="DK251" s="249"/>
      <c r="DL251" s="249"/>
      <c r="DM251" s="249"/>
      <c r="DN251" s="249"/>
      <c r="DO251" s="249"/>
      <c r="DP251" s="249"/>
      <c r="DQ251" s="249"/>
      <c r="DR251" s="249"/>
      <c r="DS251" s="249"/>
      <c r="DT251" s="249"/>
      <c r="DU251" s="249"/>
      <c r="DV251" s="249"/>
      <c r="DW251" s="249"/>
      <c r="DX251" s="249"/>
      <c r="DY251" s="249"/>
      <c r="DZ251" s="249"/>
      <c r="EA251" s="249"/>
      <c r="EB251" s="249"/>
      <c r="EC251" s="249"/>
      <c r="ED251" s="249"/>
      <c r="EE251" s="249"/>
      <c r="EF251" s="249"/>
      <c r="EG251" s="249"/>
      <c r="EH251" s="249"/>
      <c r="EI251" s="249"/>
      <c r="EJ251" s="249"/>
      <c r="EK251" s="249"/>
      <c r="EL251" s="249"/>
      <c r="EM251" s="249"/>
      <c r="EN251" s="249"/>
      <c r="EO251" s="249"/>
      <c r="EP251" s="249"/>
      <c r="EQ251" s="249"/>
      <c r="ER251" s="249"/>
      <c r="ES251" s="249"/>
      <c r="ET251" s="249"/>
      <c r="EU251" s="249"/>
      <c r="EV251" s="249"/>
      <c r="EW251" s="249"/>
      <c r="EX251" s="249"/>
      <c r="EY251" s="249"/>
      <c r="EZ251" s="249"/>
      <c r="FA251" s="249"/>
      <c r="FB251" s="249"/>
      <c r="FC251" s="249"/>
      <c r="FD251" s="249"/>
      <c r="FE251" s="249"/>
      <c r="FF251" s="249"/>
      <c r="FG251" s="249"/>
      <c r="FH251" s="249"/>
      <c r="FI251" s="249"/>
      <c r="FJ251" s="249"/>
      <c r="FK251" s="249"/>
      <c r="FL251" s="249"/>
      <c r="FM251" s="249"/>
      <c r="FN251" s="249"/>
      <c r="FO251" s="249"/>
      <c r="FP251" s="249"/>
      <c r="FQ251" s="249"/>
      <c r="FR251" s="249"/>
      <c r="FS251" s="249"/>
      <c r="FT251" s="249"/>
      <c r="FU251" s="249"/>
      <c r="FV251" s="249"/>
      <c r="FW251" s="249"/>
      <c r="FX251" s="249"/>
      <c r="FY251" s="249"/>
      <c r="FZ251" s="249"/>
      <c r="GA251" s="249"/>
      <c r="GB251" s="249"/>
      <c r="GC251" s="249"/>
      <c r="GD251" s="249"/>
      <c r="GE251" s="249"/>
      <c r="GF251" s="249"/>
      <c r="GG251" s="249"/>
      <c r="GH251" s="249"/>
      <c r="GI251" s="249"/>
      <c r="GJ251" s="249"/>
      <c r="GK251" s="249"/>
      <c r="GL251" s="249"/>
      <c r="GM251" s="249"/>
      <c r="GN251" s="249"/>
      <c r="GO251" s="249"/>
      <c r="GP251" s="249"/>
      <c r="GQ251" s="249"/>
      <c r="GR251" s="249"/>
    </row>
    <row r="252" spans="1:200" s="252" customFormat="1" ht="12.75" customHeight="1" x14ac:dyDescent="0.2">
      <c r="A252" s="709"/>
      <c r="B252" s="1110"/>
      <c r="C252" s="1110"/>
      <c r="D252" s="257"/>
      <c r="E252" s="613"/>
      <c r="F252" s="249"/>
      <c r="G252" s="250"/>
      <c r="H252" s="250"/>
      <c r="I252" s="250"/>
      <c r="J252" s="250"/>
      <c r="K252" s="250"/>
      <c r="L252" s="250"/>
      <c r="M252" s="250"/>
      <c r="N252" s="250"/>
      <c r="O252" s="250"/>
      <c r="P252" s="251"/>
      <c r="Q252" s="251"/>
      <c r="R252" s="251"/>
      <c r="S252" s="251"/>
      <c r="T252" s="251"/>
      <c r="U252" s="243"/>
      <c r="V252" s="326" t="str">
        <f t="shared" si="69"/>
        <v>8.5 " x Tricone IADC 117 / 217</v>
      </c>
      <c r="W252" s="2154">
        <f>Rockbits!J21</f>
        <v>0</v>
      </c>
      <c r="X252" s="246"/>
      <c r="Y252" s="348"/>
      <c r="Z252" s="348"/>
      <c r="AA252" s="246"/>
      <c r="AB252" s="246"/>
      <c r="AC252" s="246"/>
      <c r="AD252" s="246"/>
      <c r="AE252" s="2160">
        <f>IF(RH_BH="Big Hole",0,INPUT!$J54)</f>
        <v>0</v>
      </c>
      <c r="AF252" s="246"/>
      <c r="AG252" s="2158">
        <f>IF(U252="Yes",INPUT!$J56,0)</f>
        <v>0</v>
      </c>
      <c r="AH252" s="246"/>
      <c r="AI252" s="246"/>
      <c r="AJ252" s="341"/>
      <c r="AK252" s="341"/>
      <c r="AL252" s="246"/>
      <c r="AM252" s="246">
        <f>(W252*AG252)+(AE252*W252)</f>
        <v>0</v>
      </c>
      <c r="AN252" s="254"/>
      <c r="AO252" s="249"/>
      <c r="AP252" s="250"/>
      <c r="AQ252" s="250"/>
      <c r="AR252" s="250"/>
      <c r="AS252" s="250"/>
      <c r="AT252" s="250"/>
      <c r="AU252" s="250"/>
      <c r="AV252" s="249"/>
      <c r="AW252" s="249"/>
      <c r="AX252" s="249"/>
      <c r="AY252" s="249"/>
      <c r="AZ252" s="249"/>
      <c r="BA252" s="249"/>
      <c r="BB252" s="249"/>
      <c r="BC252" s="249"/>
      <c r="BD252" s="249"/>
      <c r="BE252" s="249"/>
      <c r="BF252" s="249"/>
      <c r="BG252" s="249"/>
      <c r="BH252" s="249"/>
      <c r="BI252" s="249"/>
      <c r="BJ252" s="249"/>
      <c r="BK252" s="249"/>
      <c r="BL252" s="249"/>
      <c r="BM252" s="249"/>
      <c r="BN252" s="249"/>
      <c r="BO252" s="249"/>
      <c r="BP252" s="249"/>
      <c r="BQ252" s="249"/>
      <c r="BR252" s="249"/>
      <c r="BS252" s="249"/>
      <c r="BT252" s="249"/>
      <c r="BU252" s="249"/>
      <c r="BV252" s="249"/>
      <c r="BW252" s="249"/>
      <c r="BX252" s="249"/>
      <c r="BY252" s="249"/>
      <c r="BZ252" s="249"/>
      <c r="CA252" s="249"/>
      <c r="CB252" s="249"/>
      <c r="CC252" s="249"/>
      <c r="CD252" s="249"/>
      <c r="CE252" s="249"/>
      <c r="CF252" s="249"/>
      <c r="CG252" s="249"/>
      <c r="CH252" s="249"/>
      <c r="CI252" s="249"/>
      <c r="CJ252" s="249"/>
      <c r="CK252" s="249"/>
      <c r="CL252" s="249"/>
      <c r="CM252" s="249"/>
      <c r="CN252" s="249"/>
      <c r="CO252" s="249"/>
      <c r="CP252" s="249"/>
      <c r="CQ252" s="249"/>
      <c r="CR252" s="249"/>
      <c r="CS252" s="249"/>
      <c r="CT252" s="249"/>
      <c r="CU252" s="249"/>
      <c r="CV252" s="249"/>
      <c r="CW252" s="249"/>
      <c r="CX252" s="249"/>
      <c r="CY252" s="249"/>
      <c r="CZ252" s="249"/>
      <c r="DA252" s="249"/>
      <c r="DB252" s="249"/>
      <c r="DC252" s="249"/>
      <c r="DD252" s="249"/>
      <c r="DE252" s="249"/>
      <c r="DF252" s="249"/>
      <c r="DG252" s="249"/>
      <c r="DH252" s="249"/>
      <c r="DI252" s="249"/>
      <c r="DJ252" s="249"/>
      <c r="DK252" s="249"/>
      <c r="DL252" s="249"/>
      <c r="DM252" s="249"/>
      <c r="DN252" s="249"/>
      <c r="DO252" s="249"/>
      <c r="DP252" s="249"/>
      <c r="DQ252" s="249"/>
      <c r="DR252" s="249"/>
      <c r="DS252" s="249"/>
      <c r="DT252" s="249"/>
      <c r="DU252" s="249"/>
      <c r="DV252" s="249"/>
      <c r="DW252" s="249"/>
      <c r="DX252" s="249"/>
      <c r="DY252" s="249"/>
      <c r="DZ252" s="249"/>
      <c r="EA252" s="249"/>
      <c r="EB252" s="249"/>
      <c r="EC252" s="249"/>
      <c r="ED252" s="249"/>
      <c r="EE252" s="249"/>
      <c r="EF252" s="249"/>
      <c r="EG252" s="249"/>
      <c r="EH252" s="249"/>
      <c r="EI252" s="249"/>
      <c r="EJ252" s="249"/>
      <c r="EK252" s="249"/>
      <c r="EL252" s="249"/>
      <c r="EM252" s="249"/>
      <c r="EN252" s="249"/>
      <c r="EO252" s="249"/>
      <c r="EP252" s="249"/>
      <c r="EQ252" s="249"/>
      <c r="ER252" s="249"/>
      <c r="ES252" s="249"/>
      <c r="ET252" s="249"/>
      <c r="EU252" s="249"/>
      <c r="EV252" s="249"/>
      <c r="EW252" s="249"/>
      <c r="EX252" s="249"/>
      <c r="EY252" s="249"/>
      <c r="EZ252" s="249"/>
      <c r="FA252" s="249"/>
      <c r="FB252" s="249"/>
      <c r="FC252" s="249"/>
      <c r="FD252" s="249"/>
      <c r="FE252" s="249"/>
      <c r="FF252" s="249"/>
      <c r="FG252" s="249"/>
      <c r="FH252" s="249"/>
      <c r="FI252" s="249"/>
      <c r="FJ252" s="249"/>
      <c r="FK252" s="249"/>
      <c r="FL252" s="249"/>
      <c r="FM252" s="249"/>
      <c r="FN252" s="249"/>
      <c r="FO252" s="249"/>
      <c r="FP252" s="249"/>
      <c r="FQ252" s="249"/>
      <c r="FR252" s="249"/>
      <c r="FS252" s="249"/>
      <c r="FT252" s="249"/>
      <c r="FU252" s="249"/>
      <c r="FV252" s="249"/>
      <c r="FW252" s="249"/>
      <c r="FX252" s="249"/>
      <c r="FY252" s="249"/>
      <c r="FZ252" s="249"/>
      <c r="GA252" s="249"/>
      <c r="GB252" s="249"/>
      <c r="GC252" s="249"/>
      <c r="GD252" s="249"/>
      <c r="GE252" s="249"/>
      <c r="GF252" s="249"/>
      <c r="GG252" s="249"/>
      <c r="GH252" s="249"/>
      <c r="GI252" s="249"/>
      <c r="GJ252" s="249"/>
      <c r="GK252" s="249"/>
      <c r="GL252" s="249"/>
      <c r="GM252" s="249"/>
      <c r="GN252" s="249"/>
      <c r="GO252" s="249"/>
      <c r="GP252" s="249"/>
      <c r="GQ252" s="249"/>
      <c r="GR252" s="249"/>
    </row>
    <row r="253" spans="1:200" s="252" customFormat="1" ht="12.75" customHeight="1" x14ac:dyDescent="0.2">
      <c r="A253" s="709"/>
      <c r="B253" s="1110"/>
      <c r="C253" s="1110"/>
      <c r="D253" s="257"/>
      <c r="E253" s="614"/>
      <c r="F253" s="249"/>
      <c r="G253" s="250"/>
      <c r="H253" s="250"/>
      <c r="I253" s="250"/>
      <c r="J253" s="250"/>
      <c r="K253" s="250"/>
      <c r="L253" s="250"/>
      <c r="M253" s="250"/>
      <c r="N253" s="250"/>
      <c r="O253" s="250"/>
      <c r="P253" s="251"/>
      <c r="Q253" s="251"/>
      <c r="R253" s="251"/>
      <c r="S253" s="251"/>
      <c r="T253" s="251"/>
      <c r="U253" s="243"/>
      <c r="V253" s="326" t="str">
        <f t="shared" si="69"/>
        <v>8.5 " x Tricone IADC 637</v>
      </c>
      <c r="W253" s="2154">
        <f>Rockbits!J22</f>
        <v>763760.05888888892</v>
      </c>
      <c r="X253" s="246"/>
      <c r="Y253" s="348"/>
      <c r="Z253" s="348"/>
      <c r="AA253" s="348"/>
      <c r="AB253" s="348"/>
      <c r="AC253" s="348"/>
      <c r="AD253" s="348"/>
      <c r="AE253" s="2160">
        <f>IF(RH_BH="Big Hole",0,INPUT!$J55)</f>
        <v>0</v>
      </c>
      <c r="AF253" s="348"/>
      <c r="AG253" s="2158">
        <f>IF(U253="Yes",INPUT!$J57,0)</f>
        <v>0</v>
      </c>
      <c r="AH253" s="246"/>
      <c r="AI253" s="246"/>
      <c r="AJ253" s="341"/>
      <c r="AK253" s="341"/>
      <c r="AL253" s="246"/>
      <c r="AM253" s="246">
        <f>(W253*AG253)+(AE253*W253)</f>
        <v>0</v>
      </c>
      <c r="AN253" s="254"/>
      <c r="AO253" s="249"/>
      <c r="AP253" s="250"/>
      <c r="AQ253" s="250"/>
      <c r="AR253" s="250"/>
      <c r="AS253" s="250"/>
      <c r="AT253" s="250"/>
      <c r="AU253" s="250"/>
      <c r="AV253" s="249"/>
      <c r="AW253" s="249"/>
      <c r="AX253" s="249"/>
      <c r="AY253" s="249"/>
      <c r="AZ253" s="249"/>
      <c r="BA253" s="249"/>
      <c r="BB253" s="249"/>
      <c r="BC253" s="249"/>
      <c r="BD253" s="249"/>
      <c r="BE253" s="249"/>
      <c r="BF253" s="249"/>
      <c r="BG253" s="249"/>
      <c r="BH253" s="249"/>
      <c r="BI253" s="249"/>
      <c r="BJ253" s="249"/>
      <c r="BK253" s="249"/>
      <c r="BL253" s="249"/>
      <c r="BM253" s="249"/>
      <c r="BN253" s="249"/>
      <c r="BO253" s="249"/>
      <c r="BP253" s="249"/>
      <c r="BQ253" s="249"/>
      <c r="BR253" s="249"/>
      <c r="BS253" s="249"/>
      <c r="BT253" s="249"/>
      <c r="BU253" s="249"/>
      <c r="BV253" s="249"/>
      <c r="BW253" s="249"/>
      <c r="BX253" s="249"/>
      <c r="BY253" s="249"/>
      <c r="BZ253" s="249"/>
      <c r="CA253" s="249"/>
      <c r="CB253" s="249"/>
      <c r="CC253" s="249"/>
      <c r="CD253" s="249"/>
      <c r="CE253" s="249"/>
      <c r="CF253" s="249"/>
      <c r="CG253" s="249"/>
      <c r="CH253" s="249"/>
      <c r="CI253" s="249"/>
      <c r="CJ253" s="249"/>
      <c r="CK253" s="249"/>
      <c r="CL253" s="249"/>
      <c r="CM253" s="249"/>
      <c r="CN253" s="249"/>
      <c r="CO253" s="249"/>
      <c r="CP253" s="249"/>
      <c r="CQ253" s="249"/>
      <c r="CR253" s="249"/>
      <c r="CS253" s="249"/>
      <c r="CT253" s="249"/>
      <c r="CU253" s="249"/>
      <c r="CV253" s="249"/>
      <c r="CW253" s="249"/>
      <c r="CX253" s="249"/>
      <c r="CY253" s="249"/>
      <c r="CZ253" s="249"/>
      <c r="DA253" s="249"/>
      <c r="DB253" s="249"/>
      <c r="DC253" s="249"/>
      <c r="DD253" s="249"/>
      <c r="DE253" s="249"/>
      <c r="DF253" s="249"/>
      <c r="DG253" s="249"/>
      <c r="DH253" s="249"/>
      <c r="DI253" s="249"/>
      <c r="DJ253" s="249"/>
      <c r="DK253" s="249"/>
      <c r="DL253" s="249"/>
      <c r="DM253" s="249"/>
      <c r="DN253" s="249"/>
      <c r="DO253" s="249"/>
      <c r="DP253" s="249"/>
      <c r="DQ253" s="249"/>
      <c r="DR253" s="249"/>
      <c r="DS253" s="249"/>
      <c r="DT253" s="249"/>
      <c r="DU253" s="249"/>
      <c r="DV253" s="249"/>
      <c r="DW253" s="249"/>
      <c r="DX253" s="249"/>
      <c r="DY253" s="249"/>
      <c r="DZ253" s="249"/>
      <c r="EA253" s="249"/>
      <c r="EB253" s="249"/>
      <c r="EC253" s="249"/>
      <c r="ED253" s="249"/>
      <c r="EE253" s="249"/>
      <c r="EF253" s="249"/>
      <c r="EG253" s="249"/>
      <c r="EH253" s="249"/>
      <c r="EI253" s="249"/>
      <c r="EJ253" s="249"/>
      <c r="EK253" s="249"/>
      <c r="EL253" s="249"/>
      <c r="EM253" s="249"/>
      <c r="EN253" s="249"/>
      <c r="EO253" s="249"/>
      <c r="EP253" s="249"/>
      <c r="EQ253" s="249"/>
      <c r="ER253" s="249"/>
      <c r="ES253" s="249"/>
      <c r="ET253" s="249"/>
      <c r="EU253" s="249"/>
      <c r="EV253" s="249"/>
      <c r="EW253" s="249"/>
      <c r="EX253" s="249"/>
      <c r="EY253" s="249"/>
      <c r="EZ253" s="249"/>
      <c r="FA253" s="249"/>
      <c r="FB253" s="249"/>
      <c r="FC253" s="249"/>
      <c r="FD253" s="249"/>
      <c r="FE253" s="249"/>
      <c r="FF253" s="249"/>
      <c r="FG253" s="249"/>
      <c r="FH253" s="249"/>
      <c r="FI253" s="249"/>
      <c r="FJ253" s="249"/>
      <c r="FK253" s="249"/>
      <c r="FL253" s="249"/>
      <c r="FM253" s="249"/>
      <c r="FN253" s="249"/>
      <c r="FO253" s="249"/>
      <c r="FP253" s="249"/>
      <c r="FQ253" s="249"/>
      <c r="FR253" s="249"/>
      <c r="FS253" s="249"/>
      <c r="FT253" s="249"/>
      <c r="FU253" s="249"/>
      <c r="FV253" s="249"/>
      <c r="FW253" s="249"/>
      <c r="FX253" s="249"/>
      <c r="FY253" s="249"/>
      <c r="FZ253" s="249"/>
      <c r="GA253" s="249"/>
      <c r="GB253" s="249"/>
      <c r="GC253" s="249"/>
      <c r="GD253" s="249"/>
      <c r="GE253" s="249"/>
      <c r="GF253" s="249"/>
      <c r="GG253" s="249"/>
      <c r="GH253" s="249"/>
      <c r="GI253" s="249"/>
      <c r="GJ253" s="249"/>
      <c r="GK253" s="249"/>
      <c r="GL253" s="249"/>
      <c r="GM253" s="249"/>
      <c r="GN253" s="249"/>
      <c r="GO253" s="249"/>
      <c r="GP253" s="249"/>
      <c r="GQ253" s="249"/>
      <c r="GR253" s="249"/>
    </row>
    <row r="254" spans="1:200" s="252" customFormat="1" ht="12.75" customHeight="1" x14ac:dyDescent="0.2">
      <c r="A254" s="709"/>
      <c r="B254" s="1110"/>
      <c r="C254" s="1110"/>
      <c r="D254" s="257"/>
      <c r="E254" s="614"/>
      <c r="F254" s="249"/>
      <c r="G254" s="250"/>
      <c r="H254" s="250"/>
      <c r="I254" s="250"/>
      <c r="J254" s="250"/>
      <c r="K254" s="250"/>
      <c r="L254" s="250"/>
      <c r="M254" s="250"/>
      <c r="N254" s="250"/>
      <c r="O254" s="250"/>
      <c r="P254" s="251"/>
      <c r="Q254" s="251"/>
      <c r="R254" s="251"/>
      <c r="S254" s="251"/>
      <c r="T254" s="251"/>
      <c r="U254" s="243"/>
      <c r="V254" s="326" t="str">
        <f t="shared" si="69"/>
        <v>7-7/8 " x PDC PDC Bit</v>
      </c>
      <c r="W254" s="2154">
        <f>Rockbits!J23</f>
        <v>0</v>
      </c>
      <c r="X254" s="246"/>
      <c r="Y254" s="348"/>
      <c r="Z254" s="348"/>
      <c r="AA254" s="348"/>
      <c r="AB254" s="348"/>
      <c r="AC254" s="348"/>
      <c r="AD254" s="348"/>
      <c r="AE254" s="348"/>
      <c r="AF254" s="348"/>
      <c r="AG254" s="348"/>
      <c r="AH254" s="246"/>
      <c r="AI254" s="2159">
        <f>IF(RH_BH="Regular Hole",0,INPUT!$J58)*IF($AI$203="",0,1)</f>
        <v>0</v>
      </c>
      <c r="AJ254" s="341"/>
      <c r="AK254" s="341"/>
      <c r="AL254" s="246"/>
      <c r="AM254" s="246">
        <f>(W254*AI254)</f>
        <v>0</v>
      </c>
      <c r="AN254" s="254"/>
      <c r="AO254" s="249"/>
      <c r="AP254" s="250"/>
      <c r="AQ254" s="250"/>
      <c r="AR254" s="250"/>
      <c r="AS254" s="250"/>
      <c r="AT254" s="250"/>
      <c r="AU254" s="250"/>
      <c r="AV254" s="249"/>
      <c r="AW254" s="249"/>
      <c r="AX254" s="249"/>
      <c r="AY254" s="249"/>
      <c r="AZ254" s="249"/>
      <c r="BA254" s="249"/>
      <c r="BB254" s="249"/>
      <c r="BC254" s="249"/>
      <c r="BD254" s="249"/>
      <c r="BE254" s="249"/>
      <c r="BF254" s="249"/>
      <c r="BG254" s="249"/>
      <c r="BH254" s="249"/>
      <c r="BI254" s="249"/>
      <c r="BJ254" s="249"/>
      <c r="BK254" s="249"/>
      <c r="BL254" s="249"/>
      <c r="BM254" s="249"/>
      <c r="BN254" s="249"/>
      <c r="BO254" s="249"/>
      <c r="BP254" s="249"/>
      <c r="BQ254" s="249"/>
      <c r="BR254" s="249"/>
      <c r="BS254" s="249"/>
      <c r="BT254" s="249"/>
      <c r="BU254" s="249"/>
      <c r="BV254" s="249"/>
      <c r="BW254" s="249"/>
      <c r="BX254" s="249"/>
      <c r="BY254" s="249"/>
      <c r="BZ254" s="249"/>
      <c r="CA254" s="249"/>
      <c r="CB254" s="249"/>
      <c r="CC254" s="249"/>
      <c r="CD254" s="249"/>
      <c r="CE254" s="249"/>
      <c r="CF254" s="249"/>
      <c r="CG254" s="249"/>
      <c r="CH254" s="249"/>
      <c r="CI254" s="249"/>
      <c r="CJ254" s="249"/>
      <c r="CK254" s="249"/>
      <c r="CL254" s="249"/>
      <c r="CM254" s="249"/>
      <c r="CN254" s="249"/>
      <c r="CO254" s="249"/>
      <c r="CP254" s="249"/>
      <c r="CQ254" s="249"/>
      <c r="CR254" s="249"/>
      <c r="CS254" s="249"/>
      <c r="CT254" s="249"/>
      <c r="CU254" s="249"/>
      <c r="CV254" s="249"/>
      <c r="CW254" s="249"/>
      <c r="CX254" s="249"/>
      <c r="CY254" s="249"/>
      <c r="CZ254" s="249"/>
      <c r="DA254" s="249"/>
      <c r="DB254" s="249"/>
      <c r="DC254" s="249"/>
      <c r="DD254" s="249"/>
      <c r="DE254" s="249"/>
      <c r="DF254" s="249"/>
      <c r="DG254" s="249"/>
      <c r="DH254" s="249"/>
      <c r="DI254" s="249"/>
      <c r="DJ254" s="249"/>
      <c r="DK254" s="249"/>
      <c r="DL254" s="249"/>
      <c r="DM254" s="249"/>
      <c r="DN254" s="249"/>
      <c r="DO254" s="249"/>
      <c r="DP254" s="249"/>
      <c r="DQ254" s="249"/>
      <c r="DR254" s="249"/>
      <c r="DS254" s="249"/>
      <c r="DT254" s="249"/>
      <c r="DU254" s="249"/>
      <c r="DV254" s="249"/>
      <c r="DW254" s="249"/>
      <c r="DX254" s="249"/>
      <c r="DY254" s="249"/>
      <c r="DZ254" s="249"/>
      <c r="EA254" s="249"/>
      <c r="EB254" s="249"/>
      <c r="EC254" s="249"/>
      <c r="ED254" s="249"/>
      <c r="EE254" s="249"/>
      <c r="EF254" s="249"/>
      <c r="EG254" s="249"/>
      <c r="EH254" s="249"/>
      <c r="EI254" s="249"/>
      <c r="EJ254" s="249"/>
      <c r="EK254" s="249"/>
      <c r="EL254" s="249"/>
      <c r="EM254" s="249"/>
      <c r="EN254" s="249"/>
      <c r="EO254" s="249"/>
      <c r="EP254" s="249"/>
      <c r="EQ254" s="249"/>
      <c r="ER254" s="249"/>
      <c r="ES254" s="249"/>
      <c r="ET254" s="249"/>
      <c r="EU254" s="249"/>
      <c r="EV254" s="249"/>
      <c r="EW254" s="249"/>
      <c r="EX254" s="249"/>
      <c r="EY254" s="249"/>
      <c r="EZ254" s="249"/>
      <c r="FA254" s="249"/>
      <c r="FB254" s="249"/>
      <c r="FC254" s="249"/>
      <c r="FD254" s="249"/>
      <c r="FE254" s="249"/>
      <c r="FF254" s="249"/>
      <c r="FG254" s="249"/>
      <c r="FH254" s="249"/>
      <c r="FI254" s="249"/>
      <c r="FJ254" s="249"/>
      <c r="FK254" s="249"/>
      <c r="FL254" s="249"/>
      <c r="FM254" s="249"/>
      <c r="FN254" s="249"/>
      <c r="FO254" s="249"/>
      <c r="FP254" s="249"/>
      <c r="FQ254" s="249"/>
      <c r="FR254" s="249"/>
      <c r="FS254" s="249"/>
      <c r="FT254" s="249"/>
      <c r="FU254" s="249"/>
      <c r="FV254" s="249"/>
      <c r="FW254" s="249"/>
      <c r="FX254" s="249"/>
      <c r="FY254" s="249"/>
      <c r="FZ254" s="249"/>
      <c r="GA254" s="249"/>
      <c r="GB254" s="249"/>
      <c r="GC254" s="249"/>
      <c r="GD254" s="249"/>
      <c r="GE254" s="249"/>
      <c r="GF254" s="249"/>
      <c r="GG254" s="249"/>
      <c r="GH254" s="249"/>
      <c r="GI254" s="249"/>
      <c r="GJ254" s="249"/>
      <c r="GK254" s="249"/>
      <c r="GL254" s="249"/>
      <c r="GM254" s="249"/>
      <c r="GN254" s="249"/>
      <c r="GO254" s="249"/>
      <c r="GP254" s="249"/>
      <c r="GQ254" s="249"/>
      <c r="GR254" s="249"/>
    </row>
    <row r="255" spans="1:200" s="252" customFormat="1" ht="12.75" customHeight="1" x14ac:dyDescent="0.2">
      <c r="A255" s="709"/>
      <c r="B255" s="1110"/>
      <c r="C255" s="1110"/>
      <c r="D255" s="257"/>
      <c r="E255" s="614"/>
      <c r="F255" s="249"/>
      <c r="G255" s="250"/>
      <c r="H255" s="250"/>
      <c r="I255" s="250"/>
      <c r="J255" s="250"/>
      <c r="K255" s="250"/>
      <c r="L255" s="250"/>
      <c r="M255" s="250"/>
      <c r="N255" s="250"/>
      <c r="O255" s="250"/>
      <c r="P255" s="251"/>
      <c r="Q255" s="251"/>
      <c r="R255" s="251"/>
      <c r="S255" s="251"/>
      <c r="T255" s="251"/>
      <c r="U255" s="243"/>
      <c r="V255" s="326" t="str">
        <f t="shared" si="69"/>
        <v>7-7/8 " x Tricone IADC 217</v>
      </c>
      <c r="W255" s="2154">
        <f>Rockbits!J24</f>
        <v>252716.79999999999</v>
      </c>
      <c r="X255" s="246"/>
      <c r="Y255" s="348"/>
      <c r="Z255" s="348"/>
      <c r="AA255" s="348"/>
      <c r="AB255" s="348"/>
      <c r="AC255" s="348"/>
      <c r="AD255" s="348"/>
      <c r="AE255" s="348"/>
      <c r="AF255" s="348"/>
      <c r="AG255" s="348"/>
      <c r="AH255" s="246"/>
      <c r="AI255" s="2159">
        <f>IF(RH_BH="Regular Hole",0,INPUT!$J59)*IF($AI$203="",0,1)</f>
        <v>0</v>
      </c>
      <c r="AJ255" s="341"/>
      <c r="AK255" s="341"/>
      <c r="AL255" s="246"/>
      <c r="AM255" s="246">
        <f>(W255*AI255)</f>
        <v>0</v>
      </c>
      <c r="AN255" s="254"/>
      <c r="AO255" s="249"/>
      <c r="AP255" s="250"/>
      <c r="AQ255" s="250"/>
      <c r="AR255" s="250"/>
      <c r="AS255" s="250"/>
      <c r="AT255" s="250"/>
      <c r="AU255" s="250"/>
      <c r="AV255" s="249"/>
      <c r="AW255" s="249"/>
      <c r="AX255" s="249"/>
      <c r="AY255" s="249"/>
      <c r="AZ255" s="249"/>
      <c r="BA255" s="249"/>
      <c r="BB255" s="249"/>
      <c r="BC255" s="249"/>
      <c r="BD255" s="249"/>
      <c r="BE255" s="249"/>
      <c r="BF255" s="249"/>
      <c r="BG255" s="249"/>
      <c r="BH255" s="249"/>
      <c r="BI255" s="249"/>
      <c r="BJ255" s="249"/>
      <c r="BK255" s="249"/>
      <c r="BL255" s="249"/>
      <c r="BM255" s="249"/>
      <c r="BN255" s="249"/>
      <c r="BO255" s="249"/>
      <c r="BP255" s="249"/>
      <c r="BQ255" s="249"/>
      <c r="BR255" s="249"/>
      <c r="BS255" s="249"/>
      <c r="BT255" s="249"/>
      <c r="BU255" s="249"/>
      <c r="BV255" s="249"/>
      <c r="BW255" s="249"/>
      <c r="BX255" s="249"/>
      <c r="BY255" s="249"/>
      <c r="BZ255" s="249"/>
      <c r="CA255" s="249"/>
      <c r="CB255" s="249"/>
      <c r="CC255" s="249"/>
      <c r="CD255" s="249"/>
      <c r="CE255" s="249"/>
      <c r="CF255" s="249"/>
      <c r="CG255" s="249"/>
      <c r="CH255" s="249"/>
      <c r="CI255" s="249"/>
      <c r="CJ255" s="249"/>
      <c r="CK255" s="249"/>
      <c r="CL255" s="249"/>
      <c r="CM255" s="249"/>
      <c r="CN255" s="249"/>
      <c r="CO255" s="249"/>
      <c r="CP255" s="249"/>
      <c r="CQ255" s="249"/>
      <c r="CR255" s="249"/>
      <c r="CS255" s="249"/>
      <c r="CT255" s="249"/>
      <c r="CU255" s="249"/>
      <c r="CV255" s="249"/>
      <c r="CW255" s="249"/>
      <c r="CX255" s="249"/>
      <c r="CY255" s="249"/>
      <c r="CZ255" s="249"/>
      <c r="DA255" s="249"/>
      <c r="DB255" s="249"/>
      <c r="DC255" s="249"/>
      <c r="DD255" s="249"/>
      <c r="DE255" s="249"/>
      <c r="DF255" s="249"/>
      <c r="DG255" s="249"/>
      <c r="DH255" s="249"/>
      <c r="DI255" s="249"/>
      <c r="DJ255" s="249"/>
      <c r="DK255" s="249"/>
      <c r="DL255" s="249"/>
      <c r="DM255" s="249"/>
      <c r="DN255" s="249"/>
      <c r="DO255" s="249"/>
      <c r="DP255" s="249"/>
      <c r="DQ255" s="249"/>
      <c r="DR255" s="249"/>
      <c r="DS255" s="249"/>
      <c r="DT255" s="249"/>
      <c r="DU255" s="249"/>
      <c r="DV255" s="249"/>
      <c r="DW255" s="249"/>
      <c r="DX255" s="249"/>
      <c r="DY255" s="249"/>
      <c r="DZ255" s="249"/>
      <c r="EA255" s="249"/>
      <c r="EB255" s="249"/>
      <c r="EC255" s="249"/>
      <c r="ED255" s="249"/>
      <c r="EE255" s="249"/>
      <c r="EF255" s="249"/>
      <c r="EG255" s="249"/>
      <c r="EH255" s="249"/>
      <c r="EI255" s="249"/>
      <c r="EJ255" s="249"/>
      <c r="EK255" s="249"/>
      <c r="EL255" s="249"/>
      <c r="EM255" s="249"/>
      <c r="EN255" s="249"/>
      <c r="EO255" s="249"/>
      <c r="EP255" s="249"/>
      <c r="EQ255" s="249"/>
      <c r="ER255" s="249"/>
      <c r="ES255" s="249"/>
      <c r="ET255" s="249"/>
      <c r="EU255" s="249"/>
      <c r="EV255" s="249"/>
      <c r="EW255" s="249"/>
      <c r="EX255" s="249"/>
      <c r="EY255" s="249"/>
      <c r="EZ255" s="249"/>
      <c r="FA255" s="249"/>
      <c r="FB255" s="249"/>
      <c r="FC255" s="249"/>
      <c r="FD255" s="249"/>
      <c r="FE255" s="249"/>
      <c r="FF255" s="249"/>
      <c r="FG255" s="249"/>
      <c r="FH255" s="249"/>
      <c r="FI255" s="249"/>
      <c r="FJ255" s="249"/>
      <c r="FK255" s="249"/>
      <c r="FL255" s="249"/>
      <c r="FM255" s="249"/>
      <c r="FN255" s="249"/>
      <c r="FO255" s="249"/>
      <c r="FP255" s="249"/>
      <c r="FQ255" s="249"/>
      <c r="FR255" s="249"/>
      <c r="FS255" s="249"/>
      <c r="FT255" s="249"/>
      <c r="FU255" s="249"/>
      <c r="FV255" s="249"/>
      <c r="FW255" s="249"/>
      <c r="FX255" s="249"/>
      <c r="FY255" s="249"/>
      <c r="FZ255" s="249"/>
      <c r="GA255" s="249"/>
      <c r="GB255" s="249"/>
      <c r="GC255" s="249"/>
      <c r="GD255" s="249"/>
      <c r="GE255" s="249"/>
      <c r="GF255" s="249"/>
      <c r="GG255" s="249"/>
      <c r="GH255" s="249"/>
      <c r="GI255" s="249"/>
      <c r="GJ255" s="249"/>
      <c r="GK255" s="249"/>
      <c r="GL255" s="249"/>
      <c r="GM255" s="249"/>
      <c r="GN255" s="249"/>
      <c r="GO255" s="249"/>
      <c r="GP255" s="249"/>
      <c r="GQ255" s="249"/>
      <c r="GR255" s="249"/>
    </row>
    <row r="256" spans="1:200" s="252" customFormat="1" ht="12.75" customHeight="1" x14ac:dyDescent="0.2">
      <c r="A256" s="709"/>
      <c r="B256" s="1110"/>
      <c r="C256" s="1110"/>
      <c r="D256" s="257"/>
      <c r="E256" s="614"/>
      <c r="F256" s="249"/>
      <c r="G256" s="250"/>
      <c r="H256" s="250"/>
      <c r="I256" s="250"/>
      <c r="J256" s="250"/>
      <c r="K256" s="250"/>
      <c r="L256" s="250"/>
      <c r="M256" s="250"/>
      <c r="N256" s="250"/>
      <c r="O256" s="250"/>
      <c r="P256" s="251"/>
      <c r="Q256" s="251"/>
      <c r="R256" s="251"/>
      <c r="S256" s="251"/>
      <c r="T256" s="251"/>
      <c r="U256" s="243"/>
      <c r="V256" s="326" t="str">
        <f t="shared" si="69"/>
        <v>7-7/8 " x Tricone IADC 517</v>
      </c>
      <c r="W256" s="2154">
        <f>Rockbits!J25</f>
        <v>0</v>
      </c>
      <c r="X256" s="246"/>
      <c r="Y256" s="348"/>
      <c r="Z256" s="348"/>
      <c r="AA256" s="348"/>
      <c r="AB256" s="348"/>
      <c r="AC256" s="348"/>
      <c r="AD256" s="348"/>
      <c r="AE256" s="348"/>
      <c r="AF256" s="348"/>
      <c r="AG256" s="348"/>
      <c r="AH256" s="246"/>
      <c r="AI256" s="2159">
        <f>IF(RH_BH="Regular Hole",0,INPUT!$J60)*IF($AI$203="",0,1)</f>
        <v>0</v>
      </c>
      <c r="AJ256" s="341"/>
      <c r="AK256" s="341"/>
      <c r="AL256" s="246"/>
      <c r="AM256" s="246">
        <f>(W256*AI256)</f>
        <v>0</v>
      </c>
      <c r="AN256" s="254"/>
      <c r="AO256" s="249"/>
      <c r="AP256" s="250"/>
      <c r="AQ256" s="250"/>
      <c r="AR256" s="250"/>
      <c r="AS256" s="250"/>
      <c r="AT256" s="250"/>
      <c r="AU256" s="250"/>
      <c r="AV256" s="249"/>
      <c r="AW256" s="249"/>
      <c r="AX256" s="249"/>
      <c r="AY256" s="249"/>
      <c r="AZ256" s="249"/>
      <c r="BA256" s="249"/>
      <c r="BB256" s="249"/>
      <c r="BC256" s="249"/>
      <c r="BD256" s="249"/>
      <c r="BE256" s="249"/>
      <c r="BF256" s="249"/>
      <c r="BG256" s="249"/>
      <c r="BH256" s="249"/>
      <c r="BI256" s="249"/>
      <c r="BJ256" s="249"/>
      <c r="BK256" s="249"/>
      <c r="BL256" s="249"/>
      <c r="BM256" s="249"/>
      <c r="BN256" s="249"/>
      <c r="BO256" s="249"/>
      <c r="BP256" s="249"/>
      <c r="BQ256" s="249"/>
      <c r="BR256" s="249"/>
      <c r="BS256" s="249"/>
      <c r="BT256" s="249"/>
      <c r="BU256" s="249"/>
      <c r="BV256" s="249"/>
      <c r="BW256" s="249"/>
      <c r="BX256" s="249"/>
      <c r="BY256" s="249"/>
      <c r="BZ256" s="249"/>
      <c r="CA256" s="249"/>
      <c r="CB256" s="249"/>
      <c r="CC256" s="249"/>
      <c r="CD256" s="249"/>
      <c r="CE256" s="249"/>
      <c r="CF256" s="249"/>
      <c r="CG256" s="249"/>
      <c r="CH256" s="249"/>
      <c r="CI256" s="249"/>
      <c r="CJ256" s="249"/>
      <c r="CK256" s="249"/>
      <c r="CL256" s="249"/>
      <c r="CM256" s="249"/>
      <c r="CN256" s="249"/>
      <c r="CO256" s="249"/>
      <c r="CP256" s="249"/>
      <c r="CQ256" s="249"/>
      <c r="CR256" s="249"/>
      <c r="CS256" s="249"/>
      <c r="CT256" s="249"/>
      <c r="CU256" s="249"/>
      <c r="CV256" s="249"/>
      <c r="CW256" s="249"/>
      <c r="CX256" s="249"/>
      <c r="CY256" s="249"/>
      <c r="CZ256" s="249"/>
      <c r="DA256" s="249"/>
      <c r="DB256" s="249"/>
      <c r="DC256" s="249"/>
      <c r="DD256" s="249"/>
      <c r="DE256" s="249"/>
      <c r="DF256" s="249"/>
      <c r="DG256" s="249"/>
      <c r="DH256" s="249"/>
      <c r="DI256" s="249"/>
      <c r="DJ256" s="249"/>
      <c r="DK256" s="249"/>
      <c r="DL256" s="249"/>
      <c r="DM256" s="249"/>
      <c r="DN256" s="249"/>
      <c r="DO256" s="249"/>
      <c r="DP256" s="249"/>
      <c r="DQ256" s="249"/>
      <c r="DR256" s="249"/>
      <c r="DS256" s="249"/>
      <c r="DT256" s="249"/>
      <c r="DU256" s="249"/>
      <c r="DV256" s="249"/>
      <c r="DW256" s="249"/>
      <c r="DX256" s="249"/>
      <c r="DY256" s="249"/>
      <c r="DZ256" s="249"/>
      <c r="EA256" s="249"/>
      <c r="EB256" s="249"/>
      <c r="EC256" s="249"/>
      <c r="ED256" s="249"/>
      <c r="EE256" s="249"/>
      <c r="EF256" s="249"/>
      <c r="EG256" s="249"/>
      <c r="EH256" s="249"/>
      <c r="EI256" s="249"/>
      <c r="EJ256" s="249"/>
      <c r="EK256" s="249"/>
      <c r="EL256" s="249"/>
      <c r="EM256" s="249"/>
      <c r="EN256" s="249"/>
      <c r="EO256" s="249"/>
      <c r="EP256" s="249"/>
      <c r="EQ256" s="249"/>
      <c r="ER256" s="249"/>
      <c r="ES256" s="249"/>
      <c r="ET256" s="249"/>
      <c r="EU256" s="249"/>
      <c r="EV256" s="249"/>
      <c r="EW256" s="249"/>
      <c r="EX256" s="249"/>
      <c r="EY256" s="249"/>
      <c r="EZ256" s="249"/>
      <c r="FA256" s="249"/>
      <c r="FB256" s="249"/>
      <c r="FC256" s="249"/>
      <c r="FD256" s="249"/>
      <c r="FE256" s="249"/>
      <c r="FF256" s="249"/>
      <c r="FG256" s="249"/>
      <c r="FH256" s="249"/>
      <c r="FI256" s="249"/>
      <c r="FJ256" s="249"/>
      <c r="FK256" s="249"/>
      <c r="FL256" s="249"/>
      <c r="FM256" s="249"/>
      <c r="FN256" s="249"/>
      <c r="FO256" s="249"/>
      <c r="FP256" s="249"/>
      <c r="FQ256" s="249"/>
      <c r="FR256" s="249"/>
      <c r="FS256" s="249"/>
      <c r="FT256" s="249"/>
      <c r="FU256" s="249"/>
      <c r="FV256" s="249"/>
      <c r="FW256" s="249"/>
      <c r="FX256" s="249"/>
      <c r="FY256" s="249"/>
      <c r="FZ256" s="249"/>
      <c r="GA256" s="249"/>
      <c r="GB256" s="249"/>
      <c r="GC256" s="249"/>
      <c r="GD256" s="249"/>
      <c r="GE256" s="249"/>
      <c r="GF256" s="249"/>
      <c r="GG256" s="249"/>
      <c r="GH256" s="249"/>
      <c r="GI256" s="249"/>
      <c r="GJ256" s="249"/>
      <c r="GK256" s="249"/>
      <c r="GL256" s="249"/>
      <c r="GM256" s="249"/>
      <c r="GN256" s="249"/>
      <c r="GO256" s="249"/>
      <c r="GP256" s="249"/>
      <c r="GQ256" s="249"/>
      <c r="GR256" s="249"/>
    </row>
    <row r="257" spans="1:200" s="252" customFormat="1" ht="12.75" customHeight="1" x14ac:dyDescent="0.2">
      <c r="A257" s="709"/>
      <c r="B257" s="1110"/>
      <c r="C257" s="1110"/>
      <c r="D257" s="257"/>
      <c r="E257" s="614"/>
      <c r="F257" s="249"/>
      <c r="G257" s="250"/>
      <c r="H257" s="250"/>
      <c r="I257" s="250"/>
      <c r="J257" s="250"/>
      <c r="K257" s="250"/>
      <c r="L257" s="250"/>
      <c r="M257" s="250"/>
      <c r="N257" s="250"/>
      <c r="O257" s="250"/>
      <c r="P257" s="251"/>
      <c r="Q257" s="251"/>
      <c r="R257" s="251"/>
      <c r="S257" s="251"/>
      <c r="T257" s="251"/>
      <c r="U257" s="243"/>
      <c r="V257" s="326" t="str">
        <f t="shared" si="69"/>
        <v>7-7/8 " x Tricone IADC 537</v>
      </c>
      <c r="W257" s="2154">
        <f>Rockbits!J26</f>
        <v>0</v>
      </c>
      <c r="X257" s="246"/>
      <c r="Y257" s="348"/>
      <c r="Z257" s="348"/>
      <c r="AA257" s="348"/>
      <c r="AB257" s="348"/>
      <c r="AC257" s="348"/>
      <c r="AD257" s="348"/>
      <c r="AE257" s="348"/>
      <c r="AF257" s="348"/>
      <c r="AG257" s="348"/>
      <c r="AH257" s="246"/>
      <c r="AI257" s="2159">
        <f>IF(RH_BH="Regular Hole",0,INPUT!$J61)*IF($AI$203="",0,1)</f>
        <v>0</v>
      </c>
      <c r="AJ257" s="341"/>
      <c r="AK257" s="341"/>
      <c r="AL257" s="246"/>
      <c r="AM257" s="246">
        <f>(W257*AI257)</f>
        <v>0</v>
      </c>
      <c r="AN257" s="254"/>
      <c r="AO257" s="249"/>
      <c r="AP257" s="250"/>
      <c r="AQ257" s="250"/>
      <c r="AR257" s="250"/>
      <c r="AS257" s="250"/>
      <c r="AT257" s="250"/>
      <c r="AU257" s="250"/>
      <c r="AV257" s="249"/>
      <c r="AW257" s="249"/>
      <c r="AX257" s="249"/>
      <c r="AY257" s="249"/>
      <c r="AZ257" s="249"/>
      <c r="BA257" s="249"/>
      <c r="BB257" s="249"/>
      <c r="BC257" s="249"/>
      <c r="BD257" s="249"/>
      <c r="BE257" s="249"/>
      <c r="BF257" s="249"/>
      <c r="BG257" s="249"/>
      <c r="BH257" s="249"/>
      <c r="BI257" s="249"/>
      <c r="BJ257" s="249"/>
      <c r="BK257" s="249"/>
      <c r="BL257" s="249"/>
      <c r="BM257" s="249"/>
      <c r="BN257" s="249"/>
      <c r="BO257" s="249"/>
      <c r="BP257" s="249"/>
      <c r="BQ257" s="249"/>
      <c r="BR257" s="249"/>
      <c r="BS257" s="249"/>
      <c r="BT257" s="249"/>
      <c r="BU257" s="249"/>
      <c r="BV257" s="249"/>
      <c r="BW257" s="249"/>
      <c r="BX257" s="249"/>
      <c r="BY257" s="249"/>
      <c r="BZ257" s="249"/>
      <c r="CA257" s="249"/>
      <c r="CB257" s="249"/>
      <c r="CC257" s="249"/>
      <c r="CD257" s="249"/>
      <c r="CE257" s="249"/>
      <c r="CF257" s="249"/>
      <c r="CG257" s="249"/>
      <c r="CH257" s="249"/>
      <c r="CI257" s="249"/>
      <c r="CJ257" s="249"/>
      <c r="CK257" s="249"/>
      <c r="CL257" s="249"/>
      <c r="CM257" s="249"/>
      <c r="CN257" s="249"/>
      <c r="CO257" s="249"/>
      <c r="CP257" s="249"/>
      <c r="CQ257" s="249"/>
      <c r="CR257" s="249"/>
      <c r="CS257" s="249"/>
      <c r="CT257" s="249"/>
      <c r="CU257" s="249"/>
      <c r="CV257" s="249"/>
      <c r="CW257" s="249"/>
      <c r="CX257" s="249"/>
      <c r="CY257" s="249"/>
      <c r="CZ257" s="249"/>
      <c r="DA257" s="249"/>
      <c r="DB257" s="249"/>
      <c r="DC257" s="249"/>
      <c r="DD257" s="249"/>
      <c r="DE257" s="249"/>
      <c r="DF257" s="249"/>
      <c r="DG257" s="249"/>
      <c r="DH257" s="249"/>
      <c r="DI257" s="249"/>
      <c r="DJ257" s="249"/>
      <c r="DK257" s="249"/>
      <c r="DL257" s="249"/>
      <c r="DM257" s="249"/>
      <c r="DN257" s="249"/>
      <c r="DO257" s="249"/>
      <c r="DP257" s="249"/>
      <c r="DQ257" s="249"/>
      <c r="DR257" s="249"/>
      <c r="DS257" s="249"/>
      <c r="DT257" s="249"/>
      <c r="DU257" s="249"/>
      <c r="DV257" s="249"/>
      <c r="DW257" s="249"/>
      <c r="DX257" s="249"/>
      <c r="DY257" s="249"/>
      <c r="DZ257" s="249"/>
      <c r="EA257" s="249"/>
      <c r="EB257" s="249"/>
      <c r="EC257" s="249"/>
      <c r="ED257" s="249"/>
      <c r="EE257" s="249"/>
      <c r="EF257" s="249"/>
      <c r="EG257" s="249"/>
      <c r="EH257" s="249"/>
      <c r="EI257" s="249"/>
      <c r="EJ257" s="249"/>
      <c r="EK257" s="249"/>
      <c r="EL257" s="249"/>
      <c r="EM257" s="249"/>
      <c r="EN257" s="249"/>
      <c r="EO257" s="249"/>
      <c r="EP257" s="249"/>
      <c r="EQ257" s="249"/>
      <c r="ER257" s="249"/>
      <c r="ES257" s="249"/>
      <c r="ET257" s="249"/>
      <c r="EU257" s="249"/>
      <c r="EV257" s="249"/>
      <c r="EW257" s="249"/>
      <c r="EX257" s="249"/>
      <c r="EY257" s="249"/>
      <c r="EZ257" s="249"/>
      <c r="FA257" s="249"/>
      <c r="FB257" s="249"/>
      <c r="FC257" s="249"/>
      <c r="FD257" s="249"/>
      <c r="FE257" s="249"/>
      <c r="FF257" s="249"/>
      <c r="FG257" s="249"/>
      <c r="FH257" s="249"/>
      <c r="FI257" s="249"/>
      <c r="FJ257" s="249"/>
      <c r="FK257" s="249"/>
      <c r="FL257" s="249"/>
      <c r="FM257" s="249"/>
      <c r="FN257" s="249"/>
      <c r="FO257" s="249"/>
      <c r="FP257" s="249"/>
      <c r="FQ257" s="249"/>
      <c r="FR257" s="249"/>
      <c r="FS257" s="249"/>
      <c r="FT257" s="249"/>
      <c r="FU257" s="249"/>
      <c r="FV257" s="249"/>
      <c r="FW257" s="249"/>
      <c r="FX257" s="249"/>
      <c r="FY257" s="249"/>
      <c r="FZ257" s="249"/>
      <c r="GA257" s="249"/>
      <c r="GB257" s="249"/>
      <c r="GC257" s="249"/>
      <c r="GD257" s="249"/>
      <c r="GE257" s="249"/>
      <c r="GF257" s="249"/>
      <c r="GG257" s="249"/>
      <c r="GH257" s="249"/>
      <c r="GI257" s="249"/>
      <c r="GJ257" s="249"/>
      <c r="GK257" s="249"/>
      <c r="GL257" s="249"/>
      <c r="GM257" s="249"/>
      <c r="GN257" s="249"/>
      <c r="GO257" s="249"/>
      <c r="GP257" s="249"/>
      <c r="GQ257" s="249"/>
      <c r="GR257" s="249"/>
    </row>
    <row r="258" spans="1:200" s="252" customFormat="1" ht="12.75" customHeight="1" x14ac:dyDescent="0.2">
      <c r="A258" s="709"/>
      <c r="B258" s="1110"/>
      <c r="C258" s="1110"/>
      <c r="D258" s="257"/>
      <c r="E258" s="614"/>
      <c r="F258" s="249"/>
      <c r="G258" s="250"/>
      <c r="H258" s="250"/>
      <c r="I258" s="250"/>
      <c r="J258" s="250"/>
      <c r="K258" s="250"/>
      <c r="L258" s="250"/>
      <c r="M258" s="250"/>
      <c r="N258" s="250"/>
      <c r="O258" s="250"/>
      <c r="P258" s="251"/>
      <c r="Q258" s="251"/>
      <c r="R258" s="251"/>
      <c r="S258" s="251"/>
      <c r="T258" s="251"/>
      <c r="U258" s="243"/>
      <c r="V258" s="326" t="str">
        <f t="shared" si="69"/>
        <v>7-7/8 " x Tricone IADC 637</v>
      </c>
      <c r="W258" s="2154">
        <f>Rockbits!J27</f>
        <v>0</v>
      </c>
      <c r="X258" s="246"/>
      <c r="Y258" s="348"/>
      <c r="Z258" s="348"/>
      <c r="AA258" s="348"/>
      <c r="AB258" s="348"/>
      <c r="AC258" s="348"/>
      <c r="AD258" s="348"/>
      <c r="AE258" s="348"/>
      <c r="AF258" s="348"/>
      <c r="AG258" s="348"/>
      <c r="AH258" s="246"/>
      <c r="AI258" s="2159">
        <f>IF(RH_BH="Regular Hole",0,INPUT!$J62)*IF($AI$203="",0,1)</f>
        <v>0</v>
      </c>
      <c r="AJ258" s="341"/>
      <c r="AK258" s="341"/>
      <c r="AL258" s="246"/>
      <c r="AM258" s="246">
        <f>(W258*AI258)</f>
        <v>0</v>
      </c>
      <c r="AN258" s="254"/>
      <c r="AO258" s="249"/>
      <c r="AP258" s="250"/>
      <c r="AQ258" s="250"/>
      <c r="AR258" s="250"/>
      <c r="AS258" s="250"/>
      <c r="AT258" s="250"/>
      <c r="AU258" s="250"/>
      <c r="AV258" s="249"/>
      <c r="AW258" s="249"/>
      <c r="AX258" s="249"/>
      <c r="AY258" s="249"/>
      <c r="AZ258" s="249"/>
      <c r="BA258" s="249"/>
      <c r="BB258" s="249"/>
      <c r="BC258" s="249"/>
      <c r="BD258" s="249"/>
      <c r="BE258" s="249"/>
      <c r="BF258" s="249"/>
      <c r="BG258" s="249"/>
      <c r="BH258" s="249"/>
      <c r="BI258" s="249"/>
      <c r="BJ258" s="249"/>
      <c r="BK258" s="249"/>
      <c r="BL258" s="249"/>
      <c r="BM258" s="249"/>
      <c r="BN258" s="249"/>
      <c r="BO258" s="249"/>
      <c r="BP258" s="249"/>
      <c r="BQ258" s="249"/>
      <c r="BR258" s="249"/>
      <c r="BS258" s="249"/>
      <c r="BT258" s="249"/>
      <c r="BU258" s="249"/>
      <c r="BV258" s="249"/>
      <c r="BW258" s="249"/>
      <c r="BX258" s="249"/>
      <c r="BY258" s="249"/>
      <c r="BZ258" s="249"/>
      <c r="CA258" s="249"/>
      <c r="CB258" s="249"/>
      <c r="CC258" s="249"/>
      <c r="CD258" s="249"/>
      <c r="CE258" s="249"/>
      <c r="CF258" s="249"/>
      <c r="CG258" s="249"/>
      <c r="CH258" s="249"/>
      <c r="CI258" s="249"/>
      <c r="CJ258" s="249"/>
      <c r="CK258" s="249"/>
      <c r="CL258" s="249"/>
      <c r="CM258" s="249"/>
      <c r="CN258" s="249"/>
      <c r="CO258" s="249"/>
      <c r="CP258" s="249"/>
      <c r="CQ258" s="249"/>
      <c r="CR258" s="249"/>
      <c r="CS258" s="249"/>
      <c r="CT258" s="249"/>
      <c r="CU258" s="249"/>
      <c r="CV258" s="249"/>
      <c r="CW258" s="249"/>
      <c r="CX258" s="249"/>
      <c r="CY258" s="249"/>
      <c r="CZ258" s="249"/>
      <c r="DA258" s="249"/>
      <c r="DB258" s="249"/>
      <c r="DC258" s="249"/>
      <c r="DD258" s="249"/>
      <c r="DE258" s="249"/>
      <c r="DF258" s="249"/>
      <c r="DG258" s="249"/>
      <c r="DH258" s="249"/>
      <c r="DI258" s="249"/>
      <c r="DJ258" s="249"/>
      <c r="DK258" s="249"/>
      <c r="DL258" s="249"/>
      <c r="DM258" s="249"/>
      <c r="DN258" s="249"/>
      <c r="DO258" s="249"/>
      <c r="DP258" s="249"/>
      <c r="DQ258" s="249"/>
      <c r="DR258" s="249"/>
      <c r="DS258" s="249"/>
      <c r="DT258" s="249"/>
      <c r="DU258" s="249"/>
      <c r="DV258" s="249"/>
      <c r="DW258" s="249"/>
      <c r="DX258" s="249"/>
      <c r="DY258" s="249"/>
      <c r="DZ258" s="249"/>
      <c r="EA258" s="249"/>
      <c r="EB258" s="249"/>
      <c r="EC258" s="249"/>
      <c r="ED258" s="249"/>
      <c r="EE258" s="249"/>
      <c r="EF258" s="249"/>
      <c r="EG258" s="249"/>
      <c r="EH258" s="249"/>
      <c r="EI258" s="249"/>
      <c r="EJ258" s="249"/>
      <c r="EK258" s="249"/>
      <c r="EL258" s="249"/>
      <c r="EM258" s="249"/>
      <c r="EN258" s="249"/>
      <c r="EO258" s="249"/>
      <c r="EP258" s="249"/>
      <c r="EQ258" s="249"/>
      <c r="ER258" s="249"/>
      <c r="ES258" s="249"/>
      <c r="ET258" s="249"/>
      <c r="EU258" s="249"/>
      <c r="EV258" s="249"/>
      <c r="EW258" s="249"/>
      <c r="EX258" s="249"/>
      <c r="EY258" s="249"/>
      <c r="EZ258" s="249"/>
      <c r="FA258" s="249"/>
      <c r="FB258" s="249"/>
      <c r="FC258" s="249"/>
      <c r="FD258" s="249"/>
      <c r="FE258" s="249"/>
      <c r="FF258" s="249"/>
      <c r="FG258" s="249"/>
      <c r="FH258" s="249"/>
      <c r="FI258" s="249"/>
      <c r="FJ258" s="249"/>
      <c r="FK258" s="249"/>
      <c r="FL258" s="249"/>
      <c r="FM258" s="249"/>
      <c r="FN258" s="249"/>
      <c r="FO258" s="249"/>
      <c r="FP258" s="249"/>
      <c r="FQ258" s="249"/>
      <c r="FR258" s="249"/>
      <c r="FS258" s="249"/>
      <c r="FT258" s="249"/>
      <c r="FU258" s="249"/>
      <c r="FV258" s="249"/>
      <c r="FW258" s="249"/>
      <c r="FX258" s="249"/>
      <c r="FY258" s="249"/>
      <c r="FZ258" s="249"/>
      <c r="GA258" s="249"/>
      <c r="GB258" s="249"/>
      <c r="GC258" s="249"/>
      <c r="GD258" s="249"/>
      <c r="GE258" s="249"/>
      <c r="GF258" s="249"/>
      <c r="GG258" s="249"/>
      <c r="GH258" s="249"/>
      <c r="GI258" s="249"/>
      <c r="GJ258" s="249"/>
      <c r="GK258" s="249"/>
      <c r="GL258" s="249"/>
      <c r="GM258" s="249"/>
      <c r="GN258" s="249"/>
      <c r="GO258" s="249"/>
      <c r="GP258" s="249"/>
      <c r="GQ258" s="249"/>
      <c r="GR258" s="249"/>
    </row>
    <row r="259" spans="1:200" s="252" customFormat="1" ht="12.75" customHeight="1" x14ac:dyDescent="0.2">
      <c r="A259" s="709"/>
      <c r="B259" s="1110"/>
      <c r="C259" s="1110"/>
      <c r="D259" s="257"/>
      <c r="E259" s="613"/>
      <c r="F259" s="249"/>
      <c r="G259" s="250"/>
      <c r="H259" s="250"/>
      <c r="I259" s="250"/>
      <c r="J259" s="250"/>
      <c r="K259" s="250"/>
      <c r="L259" s="250"/>
      <c r="M259" s="250"/>
      <c r="N259" s="250"/>
      <c r="O259" s="250"/>
      <c r="P259" s="251"/>
      <c r="Q259" s="251"/>
      <c r="R259" s="251"/>
      <c r="S259" s="251"/>
      <c r="T259" s="251"/>
      <c r="U259" s="243"/>
      <c r="V259" s="326" t="str">
        <f t="shared" si="69"/>
        <v>6-1/8" x Tricone IADC Code 200/300</v>
      </c>
      <c r="W259" s="2157"/>
      <c r="X259" s="246"/>
      <c r="Y259" s="348"/>
      <c r="Z259" s="348"/>
      <c r="AA259" s="348"/>
      <c r="AB259" s="348"/>
      <c r="AC259" s="348"/>
      <c r="AD259" s="348"/>
      <c r="AE259" s="348"/>
      <c r="AF259" s="348"/>
      <c r="AG259" s="348"/>
      <c r="AH259" s="348"/>
      <c r="AI259" s="348"/>
      <c r="AJ259" s="341"/>
      <c r="AK259" s="341"/>
      <c r="AL259" s="246"/>
      <c r="AM259" s="246"/>
      <c r="AN259" s="254"/>
      <c r="AO259" s="249"/>
      <c r="AP259" s="295"/>
      <c r="AQ259" s="295"/>
      <c r="AR259" s="295"/>
      <c r="AS259" s="295"/>
      <c r="AT259" s="295"/>
      <c r="AU259" s="295"/>
      <c r="AV259" s="249"/>
      <c r="AW259" s="249"/>
      <c r="AX259" s="249"/>
      <c r="AY259" s="249"/>
      <c r="AZ259" s="249"/>
      <c r="BA259" s="249"/>
      <c r="BB259" s="249"/>
      <c r="BC259" s="249"/>
      <c r="BD259" s="249"/>
      <c r="BE259" s="249"/>
      <c r="BF259" s="249"/>
      <c r="BG259" s="249"/>
      <c r="BH259" s="249"/>
      <c r="BI259" s="249"/>
      <c r="BJ259" s="249"/>
      <c r="BK259" s="249"/>
      <c r="BL259" s="249"/>
      <c r="BM259" s="249"/>
      <c r="BN259" s="249"/>
      <c r="BO259" s="249"/>
      <c r="BP259" s="249"/>
      <c r="BQ259" s="249"/>
      <c r="BR259" s="249"/>
      <c r="BS259" s="249"/>
      <c r="BT259" s="249"/>
      <c r="BU259" s="249"/>
      <c r="BV259" s="249"/>
      <c r="BW259" s="249"/>
      <c r="BX259" s="249"/>
      <c r="BY259" s="249"/>
      <c r="BZ259" s="249"/>
      <c r="CA259" s="249"/>
      <c r="CB259" s="249"/>
      <c r="CC259" s="249"/>
      <c r="CD259" s="249"/>
      <c r="CE259" s="249"/>
      <c r="CF259" s="249"/>
      <c r="CG259" s="249"/>
      <c r="CH259" s="249"/>
      <c r="CI259" s="249"/>
      <c r="CJ259" s="249"/>
      <c r="CK259" s="249"/>
      <c r="CL259" s="249"/>
      <c r="CM259" s="249"/>
      <c r="CN259" s="249"/>
      <c r="CO259" s="249"/>
      <c r="CP259" s="249"/>
      <c r="CQ259" s="249"/>
      <c r="CR259" s="249"/>
      <c r="CS259" s="249"/>
      <c r="CT259" s="249"/>
      <c r="CU259" s="249"/>
      <c r="CV259" s="249"/>
      <c r="CW259" s="249"/>
      <c r="CX259" s="249"/>
      <c r="CY259" s="249"/>
      <c r="CZ259" s="249"/>
      <c r="DA259" s="249"/>
      <c r="DB259" s="249"/>
      <c r="DC259" s="249"/>
      <c r="DD259" s="249"/>
      <c r="DE259" s="249"/>
      <c r="DF259" s="249"/>
      <c r="DG259" s="249"/>
      <c r="DH259" s="249"/>
      <c r="DI259" s="249"/>
      <c r="DJ259" s="249"/>
      <c r="DK259" s="249"/>
      <c r="DL259" s="249"/>
      <c r="DM259" s="249"/>
      <c r="DN259" s="249"/>
      <c r="DO259" s="249"/>
      <c r="DP259" s="249"/>
      <c r="DQ259" s="249"/>
      <c r="DR259" s="249"/>
      <c r="DS259" s="249"/>
      <c r="DT259" s="249"/>
      <c r="DU259" s="249"/>
      <c r="DV259" s="249"/>
      <c r="DW259" s="249"/>
      <c r="DX259" s="249"/>
      <c r="DY259" s="249"/>
      <c r="DZ259" s="249"/>
      <c r="EA259" s="249"/>
      <c r="EB259" s="249"/>
      <c r="EC259" s="249"/>
      <c r="ED259" s="249"/>
      <c r="EE259" s="249"/>
      <c r="EF259" s="249"/>
      <c r="EG259" s="249"/>
      <c r="EH259" s="249"/>
      <c r="EI259" s="249"/>
      <c r="EJ259" s="249"/>
      <c r="EK259" s="249"/>
      <c r="EL259" s="249"/>
      <c r="EM259" s="249"/>
      <c r="EN259" s="249"/>
      <c r="EO259" s="249"/>
      <c r="EP259" s="249"/>
      <c r="EQ259" s="249"/>
      <c r="ER259" s="249"/>
      <c r="ES259" s="249"/>
      <c r="ET259" s="249"/>
      <c r="EU259" s="249"/>
      <c r="EV259" s="249"/>
      <c r="EW259" s="249"/>
      <c r="EX259" s="249"/>
      <c r="EY259" s="249"/>
      <c r="EZ259" s="249"/>
      <c r="FA259" s="249"/>
      <c r="FB259" s="249"/>
      <c r="FC259" s="249"/>
      <c r="FD259" s="249"/>
      <c r="FE259" s="249"/>
      <c r="FF259" s="249"/>
      <c r="FG259" s="249"/>
      <c r="FH259" s="249"/>
      <c r="FI259" s="249"/>
      <c r="FJ259" s="249"/>
      <c r="FK259" s="249"/>
      <c r="FL259" s="249"/>
      <c r="FM259" s="249"/>
      <c r="FN259" s="249"/>
      <c r="FO259" s="249"/>
      <c r="FP259" s="249"/>
      <c r="FQ259" s="249"/>
      <c r="FR259" s="249"/>
      <c r="FS259" s="249"/>
      <c r="FT259" s="249"/>
      <c r="FU259" s="249"/>
      <c r="FV259" s="249"/>
      <c r="FW259" s="249"/>
      <c r="FX259" s="249"/>
      <c r="FY259" s="249"/>
      <c r="FZ259" s="249"/>
      <c r="GA259" s="249"/>
      <c r="GB259" s="249"/>
      <c r="GC259" s="249"/>
      <c r="GD259" s="249"/>
      <c r="GE259" s="249"/>
      <c r="GF259" s="249"/>
      <c r="GG259" s="249"/>
      <c r="GH259" s="249"/>
      <c r="GI259" s="249"/>
      <c r="GJ259" s="249"/>
      <c r="GK259" s="249"/>
      <c r="GL259" s="249"/>
      <c r="GM259" s="249"/>
      <c r="GN259" s="249"/>
      <c r="GO259" s="249"/>
      <c r="GP259" s="249"/>
      <c r="GQ259" s="249"/>
      <c r="GR259" s="249"/>
    </row>
    <row r="260" spans="1:200" s="252" customFormat="1" ht="12.75" customHeight="1" x14ac:dyDescent="0.2">
      <c r="A260" s="709"/>
      <c r="B260" s="1110"/>
      <c r="C260" s="1110"/>
      <c r="D260" s="257"/>
      <c r="E260" s="613"/>
      <c r="F260" s="249"/>
      <c r="G260" s="250"/>
      <c r="H260" s="250"/>
      <c r="I260" s="250"/>
      <c r="J260" s="250"/>
      <c r="K260" s="250"/>
      <c r="L260" s="250"/>
      <c r="M260" s="250"/>
      <c r="N260" s="250"/>
      <c r="O260" s="250"/>
      <c r="P260" s="251"/>
      <c r="Q260" s="251"/>
      <c r="R260" s="251"/>
      <c r="S260" s="251"/>
      <c r="T260" s="251"/>
      <c r="U260" s="243"/>
      <c r="V260" s="326" t="str">
        <f t="shared" si="69"/>
        <v>6-1/8" x Tricone IADC Code 500/600</v>
      </c>
      <c r="W260" s="2157"/>
      <c r="X260" s="246"/>
      <c r="Y260" s="348"/>
      <c r="Z260" s="348"/>
      <c r="AA260" s="348"/>
      <c r="AB260" s="348"/>
      <c r="AC260" s="348"/>
      <c r="AD260" s="348"/>
      <c r="AE260" s="348"/>
      <c r="AF260" s="348"/>
      <c r="AG260" s="348"/>
      <c r="AH260" s="348"/>
      <c r="AI260" s="348"/>
      <c r="AJ260" s="341"/>
      <c r="AK260" s="341"/>
      <c r="AL260" s="246"/>
      <c r="AM260" s="246"/>
      <c r="AN260" s="254"/>
      <c r="AO260" s="249"/>
      <c r="AP260" s="250"/>
      <c r="AQ260" s="250"/>
      <c r="AR260" s="250"/>
      <c r="AS260" s="250"/>
      <c r="AT260" s="250"/>
      <c r="AU260" s="250"/>
      <c r="AV260" s="249"/>
      <c r="AW260" s="249"/>
      <c r="AX260" s="249"/>
      <c r="AY260" s="249"/>
      <c r="AZ260" s="249"/>
      <c r="BA260" s="249"/>
      <c r="BB260" s="249"/>
      <c r="BC260" s="249"/>
      <c r="BD260" s="249"/>
      <c r="BE260" s="249"/>
      <c r="BF260" s="249"/>
      <c r="BG260" s="249"/>
      <c r="BH260" s="249"/>
      <c r="BI260" s="249"/>
      <c r="BJ260" s="249"/>
      <c r="BK260" s="249"/>
      <c r="BL260" s="249"/>
      <c r="BM260" s="249"/>
      <c r="BN260" s="249"/>
      <c r="BO260" s="249"/>
      <c r="BP260" s="249"/>
      <c r="BQ260" s="249"/>
      <c r="BR260" s="249"/>
      <c r="BS260" s="249"/>
      <c r="BT260" s="249"/>
      <c r="BU260" s="249"/>
      <c r="BV260" s="249"/>
      <c r="BW260" s="249"/>
      <c r="BX260" s="249"/>
      <c r="BY260" s="249"/>
      <c r="BZ260" s="249"/>
      <c r="CA260" s="249"/>
      <c r="CB260" s="249"/>
      <c r="CC260" s="249"/>
      <c r="CD260" s="249"/>
      <c r="CE260" s="249"/>
      <c r="CF260" s="249"/>
      <c r="CG260" s="249"/>
      <c r="CH260" s="249"/>
      <c r="CI260" s="249"/>
      <c r="CJ260" s="249"/>
      <c r="CK260" s="249"/>
      <c r="CL260" s="249"/>
      <c r="CM260" s="249"/>
      <c r="CN260" s="249"/>
      <c r="CO260" s="249"/>
      <c r="CP260" s="249"/>
      <c r="CQ260" s="249"/>
      <c r="CR260" s="249"/>
      <c r="CS260" s="249"/>
      <c r="CT260" s="249"/>
      <c r="CU260" s="249"/>
      <c r="CV260" s="249"/>
      <c r="CW260" s="249"/>
      <c r="CX260" s="249"/>
      <c r="CY260" s="249"/>
      <c r="CZ260" s="249"/>
      <c r="DA260" s="249"/>
      <c r="DB260" s="249"/>
      <c r="DC260" s="249"/>
      <c r="DD260" s="249"/>
      <c r="DE260" s="249"/>
      <c r="DF260" s="249"/>
      <c r="DG260" s="249"/>
      <c r="DH260" s="249"/>
      <c r="DI260" s="249"/>
      <c r="DJ260" s="249"/>
      <c r="DK260" s="249"/>
      <c r="DL260" s="249"/>
      <c r="DM260" s="249"/>
      <c r="DN260" s="249"/>
      <c r="DO260" s="249"/>
      <c r="DP260" s="249"/>
      <c r="DQ260" s="249"/>
      <c r="DR260" s="249"/>
      <c r="DS260" s="249"/>
      <c r="DT260" s="249"/>
      <c r="DU260" s="249"/>
      <c r="DV260" s="249"/>
      <c r="DW260" s="249"/>
      <c r="DX260" s="249"/>
      <c r="DY260" s="249"/>
      <c r="DZ260" s="249"/>
      <c r="EA260" s="249"/>
      <c r="EB260" s="249"/>
      <c r="EC260" s="249"/>
      <c r="ED260" s="249"/>
      <c r="EE260" s="249"/>
      <c r="EF260" s="249"/>
      <c r="EG260" s="249"/>
      <c r="EH260" s="249"/>
      <c r="EI260" s="249"/>
      <c r="EJ260" s="249"/>
      <c r="EK260" s="249"/>
      <c r="EL260" s="249"/>
      <c r="EM260" s="249"/>
      <c r="EN260" s="249"/>
      <c r="EO260" s="249"/>
      <c r="EP260" s="249"/>
      <c r="EQ260" s="249"/>
      <c r="ER260" s="249"/>
      <c r="ES260" s="249"/>
      <c r="ET260" s="249"/>
      <c r="EU260" s="249"/>
      <c r="EV260" s="249"/>
      <c r="EW260" s="249"/>
      <c r="EX260" s="249"/>
      <c r="EY260" s="249"/>
      <c r="EZ260" s="249"/>
      <c r="FA260" s="249"/>
      <c r="FB260" s="249"/>
      <c r="FC260" s="249"/>
      <c r="FD260" s="249"/>
      <c r="FE260" s="249"/>
      <c r="FF260" s="249"/>
      <c r="FG260" s="249"/>
      <c r="FH260" s="249"/>
      <c r="FI260" s="249"/>
      <c r="FJ260" s="249"/>
      <c r="FK260" s="249"/>
      <c r="FL260" s="249"/>
      <c r="FM260" s="249"/>
      <c r="FN260" s="249"/>
      <c r="FO260" s="249"/>
      <c r="FP260" s="249"/>
      <c r="FQ260" s="249"/>
      <c r="FR260" s="249"/>
      <c r="FS260" s="249"/>
      <c r="FT260" s="249"/>
      <c r="FU260" s="249"/>
      <c r="FV260" s="249"/>
      <c r="FW260" s="249"/>
      <c r="FX260" s="249"/>
      <c r="FY260" s="249"/>
      <c r="FZ260" s="249"/>
      <c r="GA260" s="249"/>
      <c r="GB260" s="249"/>
      <c r="GC260" s="249"/>
      <c r="GD260" s="249"/>
      <c r="GE260" s="249"/>
      <c r="GF260" s="249"/>
      <c r="GG260" s="249"/>
      <c r="GH260" s="249"/>
      <c r="GI260" s="249"/>
      <c r="GJ260" s="249"/>
      <c r="GK260" s="249"/>
      <c r="GL260" s="249"/>
      <c r="GM260" s="249"/>
      <c r="GN260" s="249"/>
      <c r="GO260" s="249"/>
      <c r="GP260" s="249"/>
      <c r="GQ260" s="249"/>
      <c r="GR260" s="249"/>
    </row>
    <row r="261" spans="1:200" s="252" customFormat="1" ht="12.75" customHeight="1" x14ac:dyDescent="0.2">
      <c r="A261" s="709"/>
      <c r="B261" s="1110"/>
      <c r="C261" s="1110"/>
      <c r="D261" s="257"/>
      <c r="E261" s="614"/>
      <c r="F261" s="249"/>
      <c r="G261" s="250"/>
      <c r="H261" s="250"/>
      <c r="I261" s="250"/>
      <c r="J261" s="250"/>
      <c r="K261" s="250"/>
      <c r="L261" s="250"/>
      <c r="M261" s="250"/>
      <c r="N261" s="250"/>
      <c r="O261" s="250"/>
      <c r="P261" s="251"/>
      <c r="Q261" s="251"/>
      <c r="R261" s="251"/>
      <c r="S261" s="251"/>
      <c r="T261" s="251"/>
      <c r="U261" s="243"/>
      <c r="V261" s="326" t="str">
        <f t="shared" si="69"/>
        <v>6" x Tricone IADC Code 200/300</v>
      </c>
      <c r="W261" s="2157"/>
      <c r="X261" s="246"/>
      <c r="Y261" s="348"/>
      <c r="Z261" s="348"/>
      <c r="AA261" s="348"/>
      <c r="AB261" s="348"/>
      <c r="AC261" s="348"/>
      <c r="AD261" s="348"/>
      <c r="AE261" s="348"/>
      <c r="AF261" s="348"/>
      <c r="AG261" s="348"/>
      <c r="AH261" s="348"/>
      <c r="AI261" s="348"/>
      <c r="AJ261" s="341"/>
      <c r="AK261" s="341"/>
      <c r="AL261" s="246"/>
      <c r="AM261" s="246"/>
      <c r="AN261" s="254"/>
      <c r="AO261" s="249"/>
      <c r="AP261" s="250"/>
      <c r="AQ261" s="250"/>
      <c r="AR261" s="250"/>
      <c r="AS261" s="250"/>
      <c r="AT261" s="250"/>
      <c r="AU261" s="250"/>
      <c r="AV261" s="249"/>
      <c r="AW261" s="249"/>
      <c r="AX261" s="249"/>
      <c r="AY261" s="249"/>
      <c r="AZ261" s="249"/>
      <c r="BA261" s="249"/>
      <c r="BB261" s="249"/>
      <c r="BC261" s="249"/>
      <c r="BD261" s="249"/>
      <c r="BE261" s="249"/>
      <c r="BF261" s="249"/>
      <c r="BG261" s="249"/>
      <c r="BH261" s="249"/>
      <c r="BI261" s="249"/>
      <c r="BJ261" s="249"/>
      <c r="BK261" s="249"/>
      <c r="BL261" s="249"/>
      <c r="BM261" s="249"/>
      <c r="BN261" s="249"/>
      <c r="BO261" s="249"/>
      <c r="BP261" s="249"/>
      <c r="BQ261" s="249"/>
      <c r="BR261" s="249"/>
      <c r="BS261" s="249"/>
      <c r="BT261" s="249"/>
      <c r="BU261" s="249"/>
      <c r="BV261" s="249"/>
      <c r="BW261" s="249"/>
      <c r="BX261" s="249"/>
      <c r="BY261" s="249"/>
      <c r="BZ261" s="249"/>
      <c r="CA261" s="249"/>
      <c r="CB261" s="249"/>
      <c r="CC261" s="249"/>
      <c r="CD261" s="249"/>
      <c r="CE261" s="249"/>
      <c r="CF261" s="249"/>
      <c r="CG261" s="249"/>
      <c r="CH261" s="249"/>
      <c r="CI261" s="249"/>
      <c r="CJ261" s="249"/>
      <c r="CK261" s="249"/>
      <c r="CL261" s="249"/>
      <c r="CM261" s="249"/>
      <c r="CN261" s="249"/>
      <c r="CO261" s="249"/>
      <c r="CP261" s="249"/>
      <c r="CQ261" s="249"/>
      <c r="CR261" s="249"/>
      <c r="CS261" s="249"/>
      <c r="CT261" s="249"/>
      <c r="CU261" s="249"/>
      <c r="CV261" s="249"/>
      <c r="CW261" s="249"/>
      <c r="CX261" s="249"/>
      <c r="CY261" s="249"/>
      <c r="CZ261" s="249"/>
      <c r="DA261" s="249"/>
      <c r="DB261" s="249"/>
      <c r="DC261" s="249"/>
      <c r="DD261" s="249"/>
      <c r="DE261" s="249"/>
      <c r="DF261" s="249"/>
      <c r="DG261" s="249"/>
      <c r="DH261" s="249"/>
      <c r="DI261" s="249"/>
      <c r="DJ261" s="249"/>
      <c r="DK261" s="249"/>
      <c r="DL261" s="249"/>
      <c r="DM261" s="249"/>
      <c r="DN261" s="249"/>
      <c r="DO261" s="249"/>
      <c r="DP261" s="249"/>
      <c r="DQ261" s="249"/>
      <c r="DR261" s="249"/>
      <c r="DS261" s="249"/>
      <c r="DT261" s="249"/>
      <c r="DU261" s="249"/>
      <c r="DV261" s="249"/>
      <c r="DW261" s="249"/>
      <c r="DX261" s="249"/>
      <c r="DY261" s="249"/>
      <c r="DZ261" s="249"/>
      <c r="EA261" s="249"/>
      <c r="EB261" s="249"/>
      <c r="EC261" s="249"/>
      <c r="ED261" s="249"/>
      <c r="EE261" s="249"/>
      <c r="EF261" s="249"/>
      <c r="EG261" s="249"/>
      <c r="EH261" s="249"/>
      <c r="EI261" s="249"/>
      <c r="EJ261" s="249"/>
      <c r="EK261" s="249"/>
      <c r="EL261" s="249"/>
      <c r="EM261" s="249"/>
      <c r="EN261" s="249"/>
      <c r="EO261" s="249"/>
      <c r="EP261" s="249"/>
      <c r="EQ261" s="249"/>
      <c r="ER261" s="249"/>
      <c r="ES261" s="249"/>
      <c r="ET261" s="249"/>
      <c r="EU261" s="249"/>
      <c r="EV261" s="249"/>
      <c r="EW261" s="249"/>
      <c r="EX261" s="249"/>
      <c r="EY261" s="249"/>
      <c r="EZ261" s="249"/>
      <c r="FA261" s="249"/>
      <c r="FB261" s="249"/>
      <c r="FC261" s="249"/>
      <c r="FD261" s="249"/>
      <c r="FE261" s="249"/>
      <c r="FF261" s="249"/>
      <c r="FG261" s="249"/>
      <c r="FH261" s="249"/>
      <c r="FI261" s="249"/>
      <c r="FJ261" s="249"/>
      <c r="FK261" s="249"/>
      <c r="FL261" s="249"/>
      <c r="FM261" s="249"/>
      <c r="FN261" s="249"/>
      <c r="FO261" s="249"/>
      <c r="FP261" s="249"/>
      <c r="FQ261" s="249"/>
      <c r="FR261" s="249"/>
      <c r="FS261" s="249"/>
      <c r="FT261" s="249"/>
      <c r="FU261" s="249"/>
      <c r="FV261" s="249"/>
      <c r="FW261" s="249"/>
      <c r="FX261" s="249"/>
      <c r="FY261" s="249"/>
      <c r="FZ261" s="249"/>
      <c r="GA261" s="249"/>
      <c r="GB261" s="249"/>
      <c r="GC261" s="249"/>
      <c r="GD261" s="249"/>
      <c r="GE261" s="249"/>
      <c r="GF261" s="249"/>
      <c r="GG261" s="249"/>
      <c r="GH261" s="249"/>
      <c r="GI261" s="249"/>
      <c r="GJ261" s="249"/>
      <c r="GK261" s="249"/>
      <c r="GL261" s="249"/>
      <c r="GM261" s="249"/>
      <c r="GN261" s="249"/>
      <c r="GO261" s="249"/>
      <c r="GP261" s="249"/>
      <c r="GQ261" s="249"/>
      <c r="GR261" s="249"/>
    </row>
    <row r="262" spans="1:200" s="252" customFormat="1" ht="13.5" customHeight="1" x14ac:dyDescent="0.2">
      <c r="A262" s="709"/>
      <c r="B262" s="1110"/>
      <c r="C262" s="1110"/>
      <c r="D262" s="257"/>
      <c r="E262" s="613"/>
      <c r="F262" s="249"/>
      <c r="G262" s="295"/>
      <c r="H262" s="295"/>
      <c r="I262" s="295"/>
      <c r="J262" s="295"/>
      <c r="K262" s="295"/>
      <c r="L262" s="295"/>
      <c r="M262" s="250"/>
      <c r="N262" s="250"/>
      <c r="O262" s="250"/>
      <c r="P262" s="251"/>
      <c r="Q262" s="251"/>
      <c r="R262" s="251"/>
      <c r="S262" s="251"/>
      <c r="T262" s="251"/>
      <c r="U262" s="243"/>
      <c r="V262" s="326" t="str">
        <f t="shared" si="69"/>
        <v>6" x Tricone IADC Code 500/600</v>
      </c>
      <c r="W262" s="2157"/>
      <c r="X262" s="246"/>
      <c r="Y262" s="246"/>
      <c r="Z262" s="246"/>
      <c r="AA262" s="246"/>
      <c r="AB262" s="246"/>
      <c r="AC262" s="246"/>
      <c r="AD262" s="246"/>
      <c r="AE262" s="348"/>
      <c r="AF262" s="246"/>
      <c r="AG262" s="348"/>
      <c r="AH262" s="341"/>
      <c r="AI262" s="348"/>
      <c r="AJ262" s="341"/>
      <c r="AK262" s="341"/>
      <c r="AL262" s="246"/>
      <c r="AM262" s="246"/>
      <c r="AN262" s="254"/>
      <c r="AO262" s="249"/>
      <c r="AP262" s="250"/>
      <c r="AQ262" s="250"/>
      <c r="AR262" s="250"/>
      <c r="AS262" s="250"/>
      <c r="AT262" s="250"/>
      <c r="AU262" s="250"/>
      <c r="AV262" s="249"/>
      <c r="AW262" s="249"/>
      <c r="AX262" s="249"/>
      <c r="AY262" s="249"/>
      <c r="AZ262" s="249"/>
      <c r="BA262" s="249"/>
      <c r="BB262" s="249"/>
      <c r="BC262" s="249"/>
      <c r="BD262" s="249"/>
      <c r="BE262" s="249"/>
      <c r="BF262" s="249"/>
      <c r="BG262" s="249"/>
      <c r="BH262" s="249"/>
      <c r="BI262" s="249"/>
      <c r="BJ262" s="249"/>
      <c r="BK262" s="249"/>
      <c r="BL262" s="249"/>
      <c r="BM262" s="249"/>
      <c r="BN262" s="249"/>
      <c r="BO262" s="249"/>
      <c r="BP262" s="249"/>
      <c r="BQ262" s="249"/>
      <c r="BR262" s="249"/>
      <c r="BS262" s="249"/>
      <c r="BT262" s="249"/>
      <c r="BU262" s="249"/>
      <c r="BV262" s="249"/>
      <c r="BW262" s="249"/>
      <c r="BX262" s="249"/>
      <c r="BY262" s="249"/>
      <c r="BZ262" s="249"/>
      <c r="CA262" s="249"/>
      <c r="CB262" s="249"/>
      <c r="CC262" s="249"/>
      <c r="CD262" s="249"/>
      <c r="CE262" s="249"/>
      <c r="CF262" s="249"/>
      <c r="CG262" s="249"/>
      <c r="CH262" s="249"/>
      <c r="CI262" s="249"/>
      <c r="CJ262" s="249"/>
      <c r="CK262" s="249"/>
      <c r="CL262" s="249"/>
      <c r="CM262" s="249"/>
      <c r="CN262" s="249"/>
      <c r="CO262" s="249"/>
      <c r="CP262" s="249"/>
      <c r="CQ262" s="249"/>
      <c r="CR262" s="249"/>
      <c r="CS262" s="249"/>
      <c r="CT262" s="249"/>
      <c r="CU262" s="249"/>
      <c r="CV262" s="249"/>
      <c r="CW262" s="249"/>
      <c r="CX262" s="249"/>
      <c r="CY262" s="249"/>
      <c r="CZ262" s="249"/>
      <c r="DA262" s="249"/>
      <c r="DB262" s="249"/>
      <c r="DC262" s="249"/>
      <c r="DD262" s="249"/>
      <c r="DE262" s="249"/>
      <c r="DF262" s="249"/>
      <c r="DG262" s="249"/>
      <c r="DH262" s="249"/>
      <c r="DI262" s="249"/>
      <c r="DJ262" s="249"/>
      <c r="DK262" s="249"/>
      <c r="DL262" s="249"/>
      <c r="DM262" s="249"/>
      <c r="DN262" s="249"/>
      <c r="DO262" s="249"/>
      <c r="DP262" s="249"/>
      <c r="DQ262" s="249"/>
      <c r="DR262" s="249"/>
      <c r="DS262" s="249"/>
      <c r="DT262" s="249"/>
      <c r="DU262" s="249"/>
      <c r="DV262" s="249"/>
      <c r="DW262" s="249"/>
      <c r="DX262" s="249"/>
      <c r="DY262" s="249"/>
      <c r="DZ262" s="249"/>
      <c r="EA262" s="249"/>
      <c r="EB262" s="249"/>
      <c r="EC262" s="249"/>
      <c r="ED262" s="249"/>
      <c r="EE262" s="249"/>
      <c r="EF262" s="249"/>
      <c r="EG262" s="249"/>
      <c r="EH262" s="249"/>
      <c r="EI262" s="249"/>
      <c r="EJ262" s="249"/>
      <c r="EK262" s="249"/>
      <c r="EL262" s="249"/>
      <c r="EM262" s="249"/>
      <c r="EN262" s="249"/>
      <c r="EO262" s="249"/>
      <c r="EP262" s="249"/>
      <c r="EQ262" s="249"/>
      <c r="ER262" s="249"/>
      <c r="ES262" s="249"/>
      <c r="ET262" s="249"/>
      <c r="EU262" s="249"/>
      <c r="EV262" s="249"/>
      <c r="EW262" s="249"/>
      <c r="EX262" s="249"/>
      <c r="EY262" s="249"/>
      <c r="EZ262" s="249"/>
      <c r="FA262" s="249"/>
      <c r="FB262" s="249"/>
      <c r="FC262" s="249"/>
      <c r="FD262" s="249"/>
      <c r="FE262" s="249"/>
      <c r="FF262" s="249"/>
      <c r="FG262" s="249"/>
      <c r="FH262" s="249"/>
      <c r="FI262" s="249"/>
      <c r="FJ262" s="249"/>
      <c r="FK262" s="249"/>
      <c r="FL262" s="249"/>
      <c r="FM262" s="249"/>
      <c r="FN262" s="249"/>
      <c r="FO262" s="249"/>
      <c r="FP262" s="249"/>
      <c r="FQ262" s="249"/>
      <c r="FR262" s="249"/>
      <c r="FS262" s="249"/>
      <c r="FT262" s="249"/>
      <c r="FU262" s="249"/>
      <c r="FV262" s="249"/>
      <c r="FW262" s="249"/>
      <c r="FX262" s="249"/>
      <c r="FY262" s="249"/>
      <c r="FZ262" s="249"/>
      <c r="GA262" s="249"/>
      <c r="GB262" s="249"/>
      <c r="GC262" s="249"/>
      <c r="GD262" s="249"/>
      <c r="GE262" s="249"/>
      <c r="GF262" s="249"/>
      <c r="GG262" s="249"/>
      <c r="GH262" s="249"/>
      <c r="GI262" s="249"/>
      <c r="GJ262" s="249"/>
      <c r="GK262" s="249"/>
      <c r="GL262" s="249"/>
      <c r="GM262" s="249"/>
      <c r="GN262" s="249"/>
      <c r="GO262" s="249"/>
      <c r="GP262" s="249"/>
      <c r="GQ262" s="249"/>
      <c r="GR262" s="249"/>
    </row>
    <row r="263" spans="1:200" s="252" customFormat="1" ht="13.5" customHeight="1" x14ac:dyDescent="0.2">
      <c r="A263" s="712"/>
      <c r="B263" s="1113"/>
      <c r="C263" s="1113"/>
      <c r="D263" s="533"/>
      <c r="E263" s="613"/>
      <c r="F263" s="249"/>
      <c r="G263" s="250"/>
      <c r="H263" s="250"/>
      <c r="I263" s="250"/>
      <c r="J263" s="250"/>
      <c r="K263" s="250"/>
      <c r="L263" s="250"/>
      <c r="M263" s="250"/>
      <c r="N263" s="250"/>
      <c r="O263" s="250"/>
      <c r="P263" s="251"/>
      <c r="Q263" s="251"/>
      <c r="R263" s="251"/>
      <c r="S263" s="251"/>
      <c r="T263" s="251"/>
      <c r="U263" s="254"/>
      <c r="V263" s="254"/>
      <c r="W263" s="257"/>
      <c r="X263" s="246">
        <f t="shared" ref="X263" si="71">SUM(X245:X262)</f>
        <v>0</v>
      </c>
      <c r="Y263" s="246">
        <f>SUMPRODUCT(Y235:Y262,$W$235:$W$262)</f>
        <v>3048308.8250000002</v>
      </c>
      <c r="Z263" s="246"/>
      <c r="AA263" s="246">
        <f>SUMPRODUCT(AA235:AA262,$W$235:$W$262)</f>
        <v>2112234.9133333336</v>
      </c>
      <c r="AB263" s="246"/>
      <c r="AC263" s="246">
        <f>SUMPRODUCT(AC235:AC262,$W$235:$W$262)</f>
        <v>1444849.2092307692</v>
      </c>
      <c r="AD263" s="246"/>
      <c r="AE263" s="246">
        <f>SUMPRODUCT(AE235:AE262,$W$235:$W$262)</f>
        <v>0</v>
      </c>
      <c r="AF263" s="246"/>
      <c r="AG263" s="246">
        <f>SUMPRODUCT(AG235:AG262,$W$235:$W$262)</f>
        <v>0</v>
      </c>
      <c r="AH263" s="246"/>
      <c r="AI263" s="246">
        <f>SUMPRODUCT(AI235:AI262,$W$235:$W$262)</f>
        <v>0</v>
      </c>
      <c r="AJ263" s="246"/>
      <c r="AK263" s="246"/>
      <c r="AL263" s="246"/>
      <c r="AM263" s="1439">
        <f>SUM(AM235:AM262)</f>
        <v>6605392.9475641027</v>
      </c>
      <c r="AN263" s="172"/>
      <c r="AO263" s="249"/>
      <c r="AP263" s="250"/>
      <c r="AQ263" s="250"/>
      <c r="AR263" s="250"/>
      <c r="AS263" s="250"/>
      <c r="AT263" s="250"/>
      <c r="AU263" s="250"/>
      <c r="AV263" s="249"/>
      <c r="AW263" s="249"/>
      <c r="AX263" s="249"/>
      <c r="AY263" s="249"/>
      <c r="AZ263" s="249"/>
      <c r="BA263" s="249"/>
      <c r="BB263" s="249"/>
      <c r="BC263" s="249"/>
      <c r="BD263" s="249"/>
      <c r="BE263" s="249"/>
      <c r="BF263" s="249"/>
      <c r="BG263" s="249"/>
      <c r="BH263" s="249"/>
      <c r="BI263" s="249"/>
      <c r="BJ263" s="249"/>
      <c r="BK263" s="249"/>
      <c r="BL263" s="249"/>
      <c r="BM263" s="249"/>
      <c r="BN263" s="249"/>
      <c r="BO263" s="249"/>
      <c r="BP263" s="249"/>
      <c r="BQ263" s="249"/>
      <c r="BR263" s="249"/>
      <c r="BS263" s="249"/>
      <c r="BT263" s="249"/>
      <c r="BU263" s="249"/>
      <c r="BV263" s="249"/>
      <c r="BW263" s="249"/>
      <c r="BX263" s="249"/>
      <c r="BY263" s="249"/>
      <c r="BZ263" s="249"/>
      <c r="CA263" s="249"/>
      <c r="CB263" s="249"/>
      <c r="CC263" s="249"/>
      <c r="CD263" s="249"/>
      <c r="CE263" s="249"/>
      <c r="CF263" s="249"/>
      <c r="CG263" s="249"/>
      <c r="CH263" s="249"/>
      <c r="CI263" s="249"/>
      <c r="CJ263" s="249"/>
      <c r="CK263" s="249"/>
      <c r="CL263" s="249"/>
      <c r="CM263" s="249"/>
      <c r="CN263" s="249"/>
      <c r="CO263" s="249"/>
      <c r="CP263" s="249"/>
      <c r="CQ263" s="249"/>
      <c r="CR263" s="249"/>
      <c r="CS263" s="249"/>
      <c r="CT263" s="249"/>
      <c r="CU263" s="249"/>
      <c r="CV263" s="249"/>
      <c r="CW263" s="249"/>
      <c r="CX263" s="249"/>
      <c r="CY263" s="249"/>
      <c r="CZ263" s="249"/>
      <c r="DA263" s="249"/>
      <c r="DB263" s="249"/>
      <c r="DC263" s="249"/>
      <c r="DD263" s="249"/>
      <c r="DE263" s="249"/>
      <c r="DF263" s="249"/>
      <c r="DG263" s="249"/>
      <c r="DH263" s="249"/>
      <c r="DI263" s="249"/>
      <c r="DJ263" s="249"/>
      <c r="DK263" s="249"/>
      <c r="DL263" s="249"/>
      <c r="DM263" s="249"/>
      <c r="DN263" s="249"/>
      <c r="DO263" s="249"/>
      <c r="DP263" s="249"/>
      <c r="DQ263" s="249"/>
      <c r="DR263" s="249"/>
      <c r="DS263" s="249"/>
      <c r="DT263" s="249"/>
      <c r="DU263" s="249"/>
      <c r="DV263" s="249"/>
      <c r="DW263" s="249"/>
      <c r="DX263" s="249"/>
      <c r="DY263" s="249"/>
      <c r="DZ263" s="249"/>
      <c r="EA263" s="249"/>
      <c r="EB263" s="249"/>
      <c r="EC263" s="249"/>
      <c r="ED263" s="249"/>
      <c r="EE263" s="249"/>
      <c r="EF263" s="249"/>
      <c r="EG263" s="249"/>
      <c r="EH263" s="249"/>
      <c r="EI263" s="249"/>
      <c r="EJ263" s="249"/>
      <c r="EK263" s="249"/>
      <c r="EL263" s="249"/>
      <c r="EM263" s="249"/>
      <c r="EN263" s="249"/>
      <c r="EO263" s="249"/>
      <c r="EP263" s="249"/>
      <c r="EQ263" s="249"/>
      <c r="ER263" s="249"/>
      <c r="ES263" s="249"/>
      <c r="ET263" s="249"/>
      <c r="EU263" s="249"/>
      <c r="EV263" s="249"/>
      <c r="EW263" s="249"/>
      <c r="EX263" s="249"/>
      <c r="EY263" s="249"/>
      <c r="EZ263" s="249"/>
      <c r="FA263" s="249"/>
      <c r="FB263" s="249"/>
      <c r="FC263" s="249"/>
      <c r="FD263" s="249"/>
      <c r="FE263" s="249"/>
      <c r="FF263" s="249"/>
      <c r="FG263" s="249"/>
      <c r="FH263" s="249"/>
      <c r="FI263" s="249"/>
      <c r="FJ263" s="249"/>
      <c r="FK263" s="249"/>
      <c r="FL263" s="249"/>
      <c r="FM263" s="249"/>
      <c r="FN263" s="249"/>
      <c r="FO263" s="249"/>
      <c r="FP263" s="249"/>
      <c r="FQ263" s="249"/>
      <c r="FR263" s="249"/>
      <c r="FS263" s="249"/>
      <c r="FT263" s="249"/>
      <c r="FU263" s="249"/>
      <c r="FV263" s="249"/>
      <c r="FW263" s="249"/>
      <c r="FX263" s="249"/>
      <c r="FY263" s="249"/>
      <c r="FZ263" s="249"/>
      <c r="GA263" s="249"/>
      <c r="GB263" s="249"/>
      <c r="GC263" s="249"/>
      <c r="GD263" s="249"/>
      <c r="GE263" s="249"/>
      <c r="GF263" s="249"/>
      <c r="GG263" s="249"/>
      <c r="GH263" s="249"/>
      <c r="GI263" s="249"/>
      <c r="GJ263" s="249"/>
      <c r="GK263" s="249"/>
      <c r="GL263" s="249"/>
      <c r="GM263" s="249"/>
      <c r="GN263" s="249"/>
      <c r="GO263" s="249"/>
      <c r="GP263" s="249"/>
      <c r="GQ263" s="249"/>
      <c r="GR263" s="249"/>
    </row>
    <row r="264" spans="1:200" s="252" customFormat="1" ht="12.75" customHeight="1" x14ac:dyDescent="0.2">
      <c r="A264" s="723"/>
      <c r="B264" s="1124"/>
      <c r="C264" s="1124"/>
      <c r="D264" s="527"/>
      <c r="E264" s="596"/>
      <c r="F264" s="249"/>
      <c r="G264" s="250"/>
      <c r="H264" s="250"/>
      <c r="I264" s="250"/>
      <c r="J264" s="250"/>
      <c r="K264" s="250"/>
      <c r="L264" s="250"/>
      <c r="M264" s="250"/>
      <c r="N264" s="250"/>
      <c r="O264" s="250"/>
      <c r="P264" s="251"/>
      <c r="Q264" s="251"/>
      <c r="R264" s="251"/>
      <c r="S264" s="251"/>
      <c r="T264" s="251"/>
      <c r="U264" s="172"/>
      <c r="V264" s="172"/>
      <c r="W264" s="172"/>
      <c r="X264" s="254"/>
      <c r="Y264" s="254"/>
      <c r="Z264" s="254"/>
      <c r="AA264" s="528"/>
      <c r="AB264" s="528"/>
      <c r="AC264" s="530"/>
      <c r="AD264" s="530"/>
      <c r="AE264" s="530"/>
      <c r="AF264" s="530"/>
      <c r="AG264" s="530"/>
      <c r="AH264" s="530"/>
      <c r="AI264" s="530"/>
      <c r="AJ264" s="530"/>
      <c r="AK264" s="530"/>
      <c r="AL264" s="530"/>
      <c r="AM264" s="527"/>
      <c r="AN264" s="172"/>
      <c r="AO264" s="249"/>
      <c r="AP264" s="250"/>
      <c r="AQ264" s="250"/>
      <c r="AR264" s="250"/>
      <c r="AS264" s="250"/>
      <c r="AT264" s="250"/>
      <c r="AU264" s="250"/>
      <c r="AV264" s="249"/>
      <c r="AW264" s="249"/>
      <c r="AX264" s="249"/>
      <c r="AY264" s="249"/>
      <c r="AZ264" s="249"/>
      <c r="BA264" s="249"/>
      <c r="BB264" s="249"/>
      <c r="BC264" s="249"/>
      <c r="BD264" s="249"/>
      <c r="BE264" s="249"/>
      <c r="BF264" s="249"/>
      <c r="BG264" s="249"/>
      <c r="BH264" s="249"/>
      <c r="BI264" s="249"/>
      <c r="BJ264" s="249"/>
      <c r="BK264" s="249"/>
      <c r="BL264" s="249"/>
      <c r="BM264" s="249"/>
      <c r="BN264" s="249"/>
      <c r="BO264" s="249"/>
      <c r="BP264" s="249"/>
      <c r="BQ264" s="249"/>
      <c r="BR264" s="249"/>
      <c r="BS264" s="249"/>
      <c r="BT264" s="249"/>
      <c r="BU264" s="249"/>
      <c r="BV264" s="249"/>
      <c r="BW264" s="249"/>
      <c r="BX264" s="249"/>
      <c r="BY264" s="249"/>
      <c r="BZ264" s="249"/>
      <c r="CA264" s="249"/>
      <c r="CB264" s="249"/>
      <c r="CC264" s="249"/>
      <c r="CD264" s="249"/>
      <c r="CE264" s="249"/>
      <c r="CF264" s="249"/>
      <c r="CG264" s="249"/>
      <c r="CH264" s="249"/>
      <c r="CI264" s="249"/>
      <c r="CJ264" s="249"/>
      <c r="CK264" s="249"/>
      <c r="CL264" s="249"/>
      <c r="CM264" s="249"/>
      <c r="CN264" s="249"/>
      <c r="CO264" s="249"/>
      <c r="CP264" s="249"/>
      <c r="CQ264" s="249"/>
      <c r="CR264" s="249"/>
      <c r="CS264" s="249"/>
      <c r="CT264" s="249"/>
      <c r="CU264" s="249"/>
      <c r="CV264" s="249"/>
      <c r="CW264" s="249"/>
      <c r="CX264" s="249"/>
      <c r="CY264" s="249"/>
      <c r="CZ264" s="249"/>
      <c r="DA264" s="249"/>
      <c r="DB264" s="249"/>
      <c r="DC264" s="249"/>
      <c r="DD264" s="249"/>
      <c r="DE264" s="249"/>
      <c r="DF264" s="249"/>
      <c r="DG264" s="249"/>
      <c r="DH264" s="249"/>
      <c r="DI264" s="249"/>
      <c r="DJ264" s="249"/>
      <c r="DK264" s="249"/>
      <c r="DL264" s="249"/>
      <c r="DM264" s="249"/>
      <c r="DN264" s="249"/>
      <c r="DO264" s="249"/>
      <c r="DP264" s="249"/>
      <c r="DQ264" s="249"/>
      <c r="DR264" s="249"/>
      <c r="DS264" s="249"/>
      <c r="DT264" s="249"/>
      <c r="DU264" s="249"/>
      <c r="DV264" s="249"/>
      <c r="DW264" s="249"/>
      <c r="DX264" s="249"/>
      <c r="DY264" s="249"/>
      <c r="DZ264" s="249"/>
      <c r="EA264" s="249"/>
      <c r="EB264" s="249"/>
      <c r="EC264" s="249"/>
      <c r="ED264" s="249"/>
      <c r="EE264" s="249"/>
      <c r="EF264" s="249"/>
      <c r="EG264" s="249"/>
      <c r="EH264" s="249"/>
      <c r="EI264" s="249"/>
      <c r="EJ264" s="249"/>
      <c r="EK264" s="249"/>
      <c r="EL264" s="249"/>
      <c r="EM264" s="249"/>
      <c r="EN264" s="249"/>
      <c r="EO264" s="249"/>
      <c r="EP264" s="249"/>
      <c r="EQ264" s="249"/>
      <c r="ER264" s="249"/>
      <c r="ES264" s="249"/>
      <c r="ET264" s="249"/>
      <c r="EU264" s="249"/>
      <c r="EV264" s="249"/>
      <c r="EW264" s="249"/>
      <c r="EX264" s="249"/>
      <c r="EY264" s="249"/>
      <c r="EZ264" s="249"/>
      <c r="FA264" s="249"/>
      <c r="FB264" s="249"/>
      <c r="FC264" s="249"/>
      <c r="FD264" s="249"/>
      <c r="FE264" s="249"/>
      <c r="FF264" s="249"/>
      <c r="FG264" s="249"/>
      <c r="FH264" s="249"/>
      <c r="FI264" s="249"/>
      <c r="FJ264" s="249"/>
      <c r="FK264" s="249"/>
      <c r="FL264" s="249"/>
      <c r="FM264" s="249"/>
      <c r="FN264" s="249"/>
      <c r="FO264" s="249"/>
      <c r="FP264" s="249"/>
      <c r="FQ264" s="249"/>
      <c r="FR264" s="249"/>
      <c r="FS264" s="249"/>
      <c r="FT264" s="249"/>
      <c r="FU264" s="249"/>
      <c r="FV264" s="249"/>
      <c r="FW264" s="249"/>
      <c r="FX264" s="249"/>
      <c r="FY264" s="249"/>
      <c r="FZ264" s="249"/>
      <c r="GA264" s="249"/>
      <c r="GB264" s="249"/>
      <c r="GC264" s="249"/>
      <c r="GD264" s="249"/>
      <c r="GE264" s="249"/>
      <c r="GF264" s="249"/>
      <c r="GG264" s="249"/>
      <c r="GH264" s="249"/>
      <c r="GI264" s="249"/>
      <c r="GJ264" s="249"/>
      <c r="GK264" s="249"/>
      <c r="GL264" s="249"/>
      <c r="GM264" s="249"/>
      <c r="GN264" s="249"/>
      <c r="GO264" s="249"/>
      <c r="GP264" s="249"/>
      <c r="GQ264" s="249"/>
      <c r="GR264" s="249"/>
    </row>
    <row r="265" spans="1:200" s="252" customFormat="1" ht="12.75" customHeight="1" x14ac:dyDescent="0.2">
      <c r="A265" s="734"/>
      <c r="B265" s="1135"/>
      <c r="C265" s="1135"/>
      <c r="D265" s="237"/>
      <c r="E265" s="596"/>
      <c r="F265" s="249"/>
      <c r="G265" s="250"/>
      <c r="H265" s="250"/>
      <c r="I265" s="250"/>
      <c r="J265" s="250"/>
      <c r="K265" s="250"/>
      <c r="L265" s="250"/>
      <c r="M265" s="250"/>
      <c r="N265" s="250"/>
      <c r="O265" s="250"/>
      <c r="P265" s="251"/>
      <c r="Q265" s="251"/>
      <c r="R265" s="251"/>
      <c r="S265" s="251"/>
      <c r="T265" s="251"/>
      <c r="U265" s="172"/>
      <c r="V265" s="172"/>
      <c r="W265" s="172"/>
      <c r="X265" s="172"/>
      <c r="Y265" s="172"/>
      <c r="Z265" s="172"/>
      <c r="AA265" s="228"/>
      <c r="AB265" s="228"/>
      <c r="AC265" s="196"/>
      <c r="AD265" s="196"/>
      <c r="AE265" s="196"/>
      <c r="AF265" s="196"/>
      <c r="AG265" s="196"/>
      <c r="AH265" s="196"/>
      <c r="AI265" s="196"/>
      <c r="AJ265" s="196"/>
      <c r="AK265" s="196"/>
      <c r="AL265" s="196"/>
      <c r="AM265" s="237"/>
      <c r="AN265" s="172"/>
      <c r="AO265" s="249"/>
      <c r="AP265" s="250"/>
      <c r="AQ265" s="250"/>
      <c r="AR265" s="250"/>
      <c r="AS265" s="250"/>
      <c r="AT265" s="250"/>
      <c r="AU265" s="250"/>
      <c r="AV265" s="249"/>
      <c r="AW265" s="249"/>
      <c r="AX265" s="249"/>
      <c r="AY265" s="249"/>
      <c r="AZ265" s="249"/>
      <c r="BA265" s="249"/>
      <c r="BB265" s="249"/>
      <c r="BC265" s="249"/>
      <c r="BD265" s="249"/>
      <c r="BE265" s="249"/>
      <c r="BF265" s="249"/>
      <c r="BG265" s="249"/>
      <c r="BH265" s="249"/>
      <c r="BI265" s="249"/>
      <c r="BJ265" s="249"/>
      <c r="BK265" s="249"/>
      <c r="BL265" s="249"/>
      <c r="BM265" s="249"/>
      <c r="BN265" s="249"/>
      <c r="BO265" s="249"/>
      <c r="BP265" s="249"/>
      <c r="BQ265" s="249"/>
      <c r="BR265" s="249"/>
      <c r="BS265" s="249"/>
      <c r="BT265" s="249"/>
      <c r="BU265" s="249"/>
      <c r="BV265" s="249"/>
      <c r="BW265" s="249"/>
      <c r="BX265" s="249"/>
      <c r="BY265" s="249"/>
      <c r="BZ265" s="249"/>
      <c r="CA265" s="249"/>
      <c r="CB265" s="249"/>
      <c r="CC265" s="249"/>
      <c r="CD265" s="249"/>
      <c r="CE265" s="249"/>
      <c r="CF265" s="249"/>
      <c r="CG265" s="249"/>
      <c r="CH265" s="249"/>
      <c r="CI265" s="249"/>
      <c r="CJ265" s="249"/>
      <c r="CK265" s="249"/>
      <c r="CL265" s="249"/>
      <c r="CM265" s="249"/>
      <c r="CN265" s="249"/>
      <c r="CO265" s="249"/>
      <c r="CP265" s="249"/>
      <c r="CQ265" s="249"/>
      <c r="CR265" s="249"/>
      <c r="CS265" s="249"/>
      <c r="CT265" s="249"/>
      <c r="CU265" s="249"/>
      <c r="CV265" s="249"/>
      <c r="CW265" s="249"/>
      <c r="CX265" s="249"/>
      <c r="CY265" s="249"/>
      <c r="CZ265" s="249"/>
      <c r="DA265" s="249"/>
      <c r="DB265" s="249"/>
      <c r="DC265" s="249"/>
      <c r="DD265" s="249"/>
      <c r="DE265" s="249"/>
      <c r="DF265" s="249"/>
      <c r="DG265" s="249"/>
      <c r="DH265" s="249"/>
      <c r="DI265" s="249"/>
      <c r="DJ265" s="249"/>
      <c r="DK265" s="249"/>
      <c r="DL265" s="249"/>
      <c r="DM265" s="249"/>
      <c r="DN265" s="249"/>
      <c r="DO265" s="249"/>
      <c r="DP265" s="249"/>
      <c r="DQ265" s="249"/>
      <c r="DR265" s="249"/>
      <c r="DS265" s="249"/>
      <c r="DT265" s="249"/>
      <c r="DU265" s="249"/>
      <c r="DV265" s="249"/>
      <c r="DW265" s="249"/>
      <c r="DX265" s="249"/>
      <c r="DY265" s="249"/>
      <c r="DZ265" s="249"/>
      <c r="EA265" s="249"/>
      <c r="EB265" s="249"/>
      <c r="EC265" s="249"/>
      <c r="ED265" s="249"/>
      <c r="EE265" s="249"/>
      <c r="EF265" s="249"/>
      <c r="EG265" s="249"/>
      <c r="EH265" s="249"/>
      <c r="EI265" s="249"/>
      <c r="EJ265" s="249"/>
      <c r="EK265" s="249"/>
      <c r="EL265" s="249"/>
      <c r="EM265" s="249"/>
      <c r="EN265" s="249"/>
      <c r="EO265" s="249"/>
      <c r="EP265" s="249"/>
      <c r="EQ265" s="249"/>
      <c r="ER265" s="249"/>
      <c r="ES265" s="249"/>
      <c r="ET265" s="249"/>
      <c r="EU265" s="249"/>
      <c r="EV265" s="249"/>
      <c r="EW265" s="249"/>
      <c r="EX265" s="249"/>
      <c r="EY265" s="249"/>
      <c r="EZ265" s="249"/>
      <c r="FA265" s="249"/>
      <c r="FB265" s="249"/>
      <c r="FC265" s="249"/>
      <c r="FD265" s="249"/>
      <c r="FE265" s="249"/>
      <c r="FF265" s="249"/>
      <c r="FG265" s="249"/>
      <c r="FH265" s="249"/>
      <c r="FI265" s="249"/>
      <c r="FJ265" s="249"/>
      <c r="FK265" s="249"/>
      <c r="FL265" s="249"/>
      <c r="FM265" s="249"/>
      <c r="FN265" s="249"/>
      <c r="FO265" s="249"/>
      <c r="FP265" s="249"/>
      <c r="FQ265" s="249"/>
      <c r="FR265" s="249"/>
      <c r="FS265" s="249"/>
      <c r="FT265" s="249"/>
      <c r="FU265" s="249"/>
      <c r="FV265" s="249"/>
      <c r="FW265" s="249"/>
      <c r="FX265" s="249"/>
      <c r="FY265" s="249"/>
      <c r="FZ265" s="249"/>
      <c r="GA265" s="249"/>
      <c r="GB265" s="249"/>
      <c r="GC265" s="249"/>
      <c r="GD265" s="249"/>
      <c r="GE265" s="249"/>
      <c r="GF265" s="249"/>
      <c r="GG265" s="249"/>
      <c r="GH265" s="249"/>
      <c r="GI265" s="249"/>
      <c r="GJ265" s="249"/>
      <c r="GK265" s="249"/>
      <c r="GL265" s="249"/>
      <c r="GM265" s="249"/>
      <c r="GN265" s="249"/>
      <c r="GO265" s="249"/>
      <c r="GP265" s="249"/>
      <c r="GQ265" s="249"/>
      <c r="GR265" s="249"/>
    </row>
    <row r="266" spans="1:200" s="252" customFormat="1" ht="13.5" customHeight="1" x14ac:dyDescent="0.2">
      <c r="A266" s="709"/>
      <c r="B266" s="1110"/>
      <c r="C266" s="1110"/>
      <c r="D266" s="257"/>
      <c r="E266" s="596"/>
      <c r="F266" s="249"/>
      <c r="G266" s="250"/>
      <c r="H266" s="250"/>
      <c r="I266" s="250"/>
      <c r="J266" s="250"/>
      <c r="K266" s="250"/>
      <c r="L266" s="250"/>
      <c r="M266" s="250"/>
      <c r="N266" s="250"/>
      <c r="O266" s="250"/>
      <c r="P266" s="251"/>
      <c r="Q266" s="251"/>
      <c r="R266" s="251"/>
      <c r="S266" s="251"/>
      <c r="T266" s="251"/>
      <c r="U266" s="1398"/>
      <c r="V266" s="1423" t="s">
        <v>164</v>
      </c>
      <c r="W266" s="254"/>
      <c r="X266" s="254"/>
      <c r="Y266" s="254"/>
      <c r="Z266" s="254"/>
      <c r="AA266" s="257"/>
      <c r="AB266" s="257"/>
      <c r="AC266" s="257"/>
      <c r="AD266" s="257"/>
      <c r="AE266" s="257"/>
      <c r="AF266" s="257"/>
      <c r="AG266" s="257"/>
      <c r="AH266" s="257"/>
      <c r="AI266" s="257"/>
      <c r="AJ266" s="257"/>
      <c r="AK266" s="257"/>
      <c r="AL266" s="257"/>
      <c r="AM266" s="257"/>
      <c r="AN266" s="254"/>
      <c r="AO266" s="249"/>
      <c r="AP266" s="250"/>
      <c r="AQ266" s="250"/>
      <c r="AR266" s="250"/>
      <c r="AS266" s="250"/>
      <c r="AT266" s="250"/>
      <c r="AU266" s="250"/>
      <c r="AV266" s="249"/>
      <c r="AW266" s="249"/>
      <c r="AX266" s="249"/>
      <c r="AY266" s="249"/>
      <c r="AZ266" s="249"/>
      <c r="BA266" s="249"/>
      <c r="BB266" s="249"/>
      <c r="BC266" s="249"/>
      <c r="BD266" s="249"/>
      <c r="BE266" s="249"/>
      <c r="BF266" s="249"/>
      <c r="BG266" s="249"/>
      <c r="BH266" s="249"/>
      <c r="BI266" s="249"/>
      <c r="BJ266" s="249"/>
      <c r="BK266" s="249"/>
      <c r="BL266" s="249"/>
      <c r="BM266" s="249"/>
      <c r="BN266" s="249"/>
      <c r="BO266" s="249"/>
      <c r="BP266" s="249"/>
      <c r="BQ266" s="249"/>
      <c r="BR266" s="249"/>
      <c r="BS266" s="249"/>
      <c r="BT266" s="249"/>
      <c r="BU266" s="249"/>
      <c r="BV266" s="249"/>
      <c r="BW266" s="249"/>
      <c r="BX266" s="249"/>
      <c r="BY266" s="249"/>
      <c r="BZ266" s="249"/>
      <c r="CA266" s="249"/>
      <c r="CB266" s="249"/>
      <c r="CC266" s="249"/>
      <c r="CD266" s="249"/>
      <c r="CE266" s="249"/>
      <c r="CF266" s="249"/>
      <c r="CG266" s="249"/>
      <c r="CH266" s="249"/>
      <c r="CI266" s="249"/>
      <c r="CJ266" s="249"/>
      <c r="CK266" s="249"/>
      <c r="CL266" s="249"/>
      <c r="CM266" s="249"/>
      <c r="CN266" s="249"/>
      <c r="CO266" s="249"/>
      <c r="CP266" s="249"/>
      <c r="CQ266" s="249"/>
      <c r="CR266" s="249"/>
      <c r="CS266" s="249"/>
      <c r="CT266" s="249"/>
      <c r="CU266" s="249"/>
      <c r="CV266" s="249"/>
      <c r="CW266" s="249"/>
      <c r="CX266" s="249"/>
      <c r="CY266" s="249"/>
      <c r="CZ266" s="249"/>
      <c r="DA266" s="249"/>
      <c r="DB266" s="249"/>
      <c r="DC266" s="249"/>
      <c r="DD266" s="249"/>
      <c r="DE266" s="249"/>
      <c r="DF266" s="249"/>
      <c r="DG266" s="249"/>
      <c r="DH266" s="249"/>
      <c r="DI266" s="249"/>
      <c r="DJ266" s="249"/>
      <c r="DK266" s="249"/>
      <c r="DL266" s="249"/>
      <c r="DM266" s="249"/>
      <c r="DN266" s="249"/>
      <c r="DO266" s="249"/>
      <c r="DP266" s="249"/>
      <c r="DQ266" s="249"/>
      <c r="DR266" s="249"/>
      <c r="DS266" s="249"/>
      <c r="DT266" s="249"/>
      <c r="DU266" s="249"/>
      <c r="DV266" s="249"/>
      <c r="DW266" s="249"/>
      <c r="DX266" s="249"/>
      <c r="DY266" s="249"/>
      <c r="DZ266" s="249"/>
      <c r="EA266" s="249"/>
      <c r="EB266" s="249"/>
      <c r="EC266" s="249"/>
      <c r="ED266" s="249"/>
      <c r="EE266" s="249"/>
      <c r="EF266" s="249"/>
      <c r="EG266" s="249"/>
      <c r="EH266" s="249"/>
      <c r="EI266" s="249"/>
      <c r="EJ266" s="249"/>
      <c r="EK266" s="249"/>
      <c r="EL266" s="249"/>
      <c r="EM266" s="249"/>
      <c r="EN266" s="249"/>
      <c r="EO266" s="249"/>
      <c r="EP266" s="249"/>
      <c r="EQ266" s="249"/>
      <c r="ER266" s="249"/>
      <c r="ES266" s="249"/>
      <c r="ET266" s="249"/>
      <c r="EU266" s="249"/>
      <c r="EV266" s="249"/>
      <c r="EW266" s="249"/>
      <c r="EX266" s="249"/>
      <c r="EY266" s="249"/>
      <c r="EZ266" s="249"/>
      <c r="FA266" s="249"/>
      <c r="FB266" s="249"/>
      <c r="FC266" s="249"/>
      <c r="FD266" s="249"/>
      <c r="FE266" s="249"/>
      <c r="FF266" s="249"/>
      <c r="FG266" s="249"/>
      <c r="FH266" s="249"/>
      <c r="FI266" s="249"/>
      <c r="FJ266" s="249"/>
      <c r="FK266" s="249"/>
      <c r="FL266" s="249"/>
      <c r="FM266" s="249"/>
      <c r="FN266" s="249"/>
      <c r="FO266" s="249"/>
      <c r="FP266" s="249"/>
      <c r="FQ266" s="249"/>
      <c r="FR266" s="249"/>
      <c r="FS266" s="249"/>
      <c r="FT266" s="249"/>
      <c r="FU266" s="249"/>
      <c r="FV266" s="249"/>
      <c r="FW266" s="249"/>
      <c r="FX266" s="249"/>
      <c r="FY266" s="249"/>
      <c r="FZ266" s="249"/>
      <c r="GA266" s="249"/>
      <c r="GB266" s="249"/>
      <c r="GC266" s="249"/>
      <c r="GD266" s="249"/>
      <c r="GE266" s="249"/>
      <c r="GF266" s="249"/>
      <c r="GG266" s="249"/>
      <c r="GH266" s="249"/>
      <c r="GI266" s="249"/>
      <c r="GJ266" s="249"/>
      <c r="GK266" s="249"/>
      <c r="GL266" s="249"/>
      <c r="GM266" s="249"/>
      <c r="GN266" s="249"/>
      <c r="GO266" s="249"/>
      <c r="GP266" s="249"/>
      <c r="GQ266" s="249"/>
      <c r="GR266" s="249"/>
    </row>
    <row r="267" spans="1:200" s="252" customFormat="1" ht="13.5" customHeight="1" x14ac:dyDescent="0.2">
      <c r="A267" s="728"/>
      <c r="B267" s="1129"/>
      <c r="C267" s="1129"/>
      <c r="D267" s="531"/>
      <c r="E267" s="613"/>
      <c r="F267" s="249"/>
      <c r="G267" s="250"/>
      <c r="H267" s="250"/>
      <c r="I267" s="250"/>
      <c r="J267" s="250"/>
      <c r="K267" s="250"/>
      <c r="L267" s="250"/>
      <c r="M267" s="250"/>
      <c r="N267" s="250"/>
      <c r="O267" s="250"/>
      <c r="P267" s="251"/>
      <c r="Q267" s="251"/>
      <c r="R267" s="251"/>
      <c r="S267" s="251"/>
      <c r="T267" s="251"/>
      <c r="U267" s="2513" t="s">
        <v>152</v>
      </c>
      <c r="V267" s="2514"/>
      <c r="W267" s="1440" t="s">
        <v>153</v>
      </c>
      <c r="X267" s="1426" t="str">
        <f t="shared" ref="X267:AK267" si="72">X$14</f>
        <v>RIGMOVE</v>
      </c>
      <c r="Y267" s="1426" t="str">
        <f t="shared" si="72"/>
        <v>DSURFACE</v>
      </c>
      <c r="Z267" s="1426" t="str">
        <f t="shared" si="72"/>
        <v>FSURFACE</v>
      </c>
      <c r="AA267" s="1426" t="str">
        <f t="shared" si="72"/>
        <v>DINTERMEDIATE</v>
      </c>
      <c r="AB267" s="1426" t="str">
        <f t="shared" si="72"/>
        <v>FINTERMEDIATE</v>
      </c>
      <c r="AC267" s="1426" t="str">
        <f t="shared" si="72"/>
        <v>DPRODUCTION</v>
      </c>
      <c r="AD267" s="1426" t="str">
        <f t="shared" si="72"/>
        <v>FPRODUCTION</v>
      </c>
      <c r="AE267" s="1426" t="str">
        <f t="shared" si="72"/>
        <v>DLINER1</v>
      </c>
      <c r="AF267" s="1426" t="str">
        <f t="shared" si="72"/>
        <v>FLINER1</v>
      </c>
      <c r="AG267" s="1426" t="str">
        <f t="shared" si="72"/>
        <v>DLINER2</v>
      </c>
      <c r="AH267" s="1426" t="str">
        <f t="shared" si="72"/>
        <v>FLINER2</v>
      </c>
      <c r="AI267" s="1426" t="str">
        <f t="shared" si="72"/>
        <v/>
      </c>
      <c r="AJ267" s="1426" t="str">
        <f t="shared" si="72"/>
        <v/>
      </c>
      <c r="AK267" s="1426" t="str">
        <f t="shared" si="72"/>
        <v/>
      </c>
      <c r="AL267" s="1426"/>
      <c r="AM267" s="1437" t="s">
        <v>101</v>
      </c>
      <c r="AN267" s="254"/>
      <c r="AO267" s="249"/>
      <c r="AP267" s="250"/>
      <c r="AQ267" s="250"/>
      <c r="AR267" s="250"/>
      <c r="AS267" s="250"/>
      <c r="AT267" s="250"/>
      <c r="AU267" s="250"/>
      <c r="AV267" s="249"/>
      <c r="AW267" s="249"/>
      <c r="AX267" s="249"/>
      <c r="AY267" s="249"/>
      <c r="AZ267" s="249"/>
      <c r="BA267" s="249"/>
      <c r="BB267" s="249"/>
      <c r="BC267" s="249"/>
      <c r="BD267" s="249"/>
      <c r="BE267" s="249"/>
      <c r="BF267" s="249"/>
      <c r="BG267" s="249"/>
      <c r="BH267" s="249"/>
      <c r="BI267" s="249"/>
      <c r="BJ267" s="249"/>
      <c r="BK267" s="249"/>
      <c r="BL267" s="249"/>
      <c r="BM267" s="249"/>
      <c r="BN267" s="249"/>
      <c r="BO267" s="249"/>
      <c r="BP267" s="249"/>
      <c r="BQ267" s="249"/>
      <c r="BR267" s="249"/>
      <c r="BS267" s="249"/>
      <c r="BT267" s="249"/>
      <c r="BU267" s="249"/>
      <c r="BV267" s="249"/>
      <c r="BW267" s="249"/>
      <c r="BX267" s="249"/>
      <c r="BY267" s="249"/>
      <c r="BZ267" s="249"/>
      <c r="CA267" s="249"/>
      <c r="CB267" s="249"/>
      <c r="CC267" s="249"/>
      <c r="CD267" s="249"/>
      <c r="CE267" s="249"/>
      <c r="CF267" s="249"/>
      <c r="CG267" s="249"/>
      <c r="CH267" s="249"/>
      <c r="CI267" s="249"/>
      <c r="CJ267" s="249"/>
      <c r="CK267" s="249"/>
      <c r="CL267" s="249"/>
      <c r="CM267" s="249"/>
      <c r="CN267" s="249"/>
      <c r="CO267" s="249"/>
      <c r="CP267" s="249"/>
      <c r="CQ267" s="249"/>
      <c r="CR267" s="249"/>
      <c r="CS267" s="249"/>
      <c r="CT267" s="249"/>
      <c r="CU267" s="249"/>
      <c r="CV267" s="249"/>
      <c r="CW267" s="249"/>
      <c r="CX267" s="249"/>
      <c r="CY267" s="249"/>
      <c r="CZ267" s="249"/>
      <c r="DA267" s="249"/>
      <c r="DB267" s="249"/>
      <c r="DC267" s="249"/>
      <c r="DD267" s="249"/>
      <c r="DE267" s="249"/>
      <c r="DF267" s="249"/>
      <c r="DG267" s="249"/>
      <c r="DH267" s="249"/>
      <c r="DI267" s="249"/>
      <c r="DJ267" s="249"/>
      <c r="DK267" s="249"/>
      <c r="DL267" s="249"/>
      <c r="DM267" s="249"/>
      <c r="DN267" s="249"/>
      <c r="DO267" s="249"/>
      <c r="DP267" s="249"/>
      <c r="DQ267" s="249"/>
      <c r="DR267" s="249"/>
      <c r="DS267" s="249"/>
      <c r="DT267" s="249"/>
      <c r="DU267" s="249"/>
      <c r="DV267" s="249"/>
      <c r="DW267" s="249"/>
      <c r="DX267" s="249"/>
      <c r="DY267" s="249"/>
      <c r="DZ267" s="249"/>
      <c r="EA267" s="249"/>
      <c r="EB267" s="249"/>
      <c r="EC267" s="249"/>
      <c r="ED267" s="249"/>
      <c r="EE267" s="249"/>
      <c r="EF267" s="249"/>
      <c r="EG267" s="249"/>
      <c r="EH267" s="249"/>
      <c r="EI267" s="249"/>
      <c r="EJ267" s="249"/>
      <c r="EK267" s="249"/>
      <c r="EL267" s="249"/>
      <c r="EM267" s="249"/>
      <c r="EN267" s="249"/>
      <c r="EO267" s="249"/>
      <c r="EP267" s="249"/>
      <c r="EQ267" s="249"/>
      <c r="ER267" s="249"/>
      <c r="ES267" s="249"/>
      <c r="ET267" s="249"/>
      <c r="EU267" s="249"/>
      <c r="EV267" s="249"/>
      <c r="EW267" s="249"/>
      <c r="EX267" s="249"/>
      <c r="EY267" s="249"/>
      <c r="EZ267" s="249"/>
      <c r="FA267" s="249"/>
      <c r="FB267" s="249"/>
      <c r="FC267" s="249"/>
      <c r="FD267" s="249"/>
      <c r="FE267" s="249"/>
      <c r="FF267" s="249"/>
      <c r="FG267" s="249"/>
      <c r="FH267" s="249"/>
      <c r="FI267" s="249"/>
      <c r="FJ267" s="249"/>
      <c r="FK267" s="249"/>
      <c r="FL267" s="249"/>
      <c r="FM267" s="249"/>
      <c r="FN267" s="249"/>
      <c r="FO267" s="249"/>
      <c r="FP267" s="249"/>
      <c r="FQ267" s="249"/>
      <c r="FR267" s="249"/>
      <c r="FS267" s="249"/>
      <c r="FT267" s="249"/>
      <c r="FU267" s="249"/>
      <c r="FV267" s="249"/>
      <c r="FW267" s="249"/>
      <c r="FX267" s="249"/>
      <c r="FY267" s="249"/>
      <c r="FZ267" s="249"/>
      <c r="GA267" s="249"/>
      <c r="GB267" s="249"/>
      <c r="GC267" s="249"/>
      <c r="GD267" s="249"/>
      <c r="GE267" s="249"/>
      <c r="GF267" s="249"/>
      <c r="GG267" s="249"/>
      <c r="GH267" s="249"/>
      <c r="GI267" s="249"/>
      <c r="GJ267" s="249"/>
      <c r="GK267" s="249"/>
      <c r="GL267" s="249"/>
      <c r="GM267" s="249"/>
      <c r="GN267" s="249"/>
      <c r="GO267" s="249"/>
      <c r="GP267" s="249"/>
      <c r="GQ267" s="249"/>
      <c r="GR267" s="249"/>
    </row>
    <row r="268" spans="1:200" s="252" customFormat="1" ht="12.75" customHeight="1" x14ac:dyDescent="0.2">
      <c r="A268" s="709"/>
      <c r="B268" s="1110"/>
      <c r="C268" s="1110"/>
      <c r="D268" s="257"/>
      <c r="E268" s="613"/>
      <c r="F268" s="249"/>
      <c r="G268" s="250"/>
      <c r="H268" s="250"/>
      <c r="I268" s="250"/>
      <c r="J268" s="250"/>
      <c r="K268" s="250"/>
      <c r="L268" s="250"/>
      <c r="M268" s="250"/>
      <c r="N268" s="250"/>
      <c r="O268" s="250"/>
      <c r="P268" s="251"/>
      <c r="Q268" s="251"/>
      <c r="R268" s="251"/>
      <c r="S268" s="249"/>
      <c r="T268" s="249"/>
      <c r="U268" s="287"/>
      <c r="V268" s="1399" t="s">
        <v>165</v>
      </c>
      <c r="W268" s="286" t="s">
        <v>163</v>
      </c>
      <c r="X268" s="246"/>
      <c r="Y268" s="246">
        <f>IF((Y16=0),0,5)</f>
        <v>5</v>
      </c>
      <c r="Z268" s="246"/>
      <c r="AA268" s="246">
        <f>IF((AA16=0),0,4)</f>
        <v>4</v>
      </c>
      <c r="AB268" s="246"/>
      <c r="AC268" s="246">
        <f>IF((AC16=0),0,8)</f>
        <v>8</v>
      </c>
      <c r="AD268" s="246"/>
      <c r="AE268" s="246">
        <f>IF((AE16=0),0,4)</f>
        <v>4</v>
      </c>
      <c r="AF268" s="246"/>
      <c r="AG268" s="246">
        <f>IF((INPUT!$D$8="NO"),0,4)</f>
        <v>4</v>
      </c>
      <c r="AH268" s="246"/>
      <c r="AI268" s="246">
        <f>IF((INPUT!$D$8="NO"),0,4)*IF(AI267="",0,1)</f>
        <v>0</v>
      </c>
      <c r="AJ268" s="246"/>
      <c r="AK268" s="246"/>
      <c r="AL268" s="246"/>
      <c r="AM268" s="246">
        <f>SUM(X268:AL268)</f>
        <v>25</v>
      </c>
      <c r="AN268" s="254"/>
      <c r="AO268" s="249"/>
      <c r="AP268" s="250"/>
      <c r="AQ268" s="250"/>
      <c r="AR268" s="250"/>
      <c r="AS268" s="250"/>
      <c r="AT268" s="250"/>
      <c r="AU268" s="250"/>
      <c r="AV268" s="249"/>
      <c r="AW268" s="249"/>
      <c r="AX268" s="249"/>
      <c r="AY268" s="249"/>
      <c r="AZ268" s="249"/>
      <c r="BA268" s="249"/>
      <c r="BB268" s="249"/>
      <c r="BC268" s="249"/>
      <c r="BD268" s="249"/>
      <c r="BE268" s="249"/>
      <c r="BF268" s="249"/>
      <c r="BG268" s="249"/>
      <c r="BH268" s="249"/>
      <c r="BI268" s="249"/>
      <c r="BJ268" s="249"/>
      <c r="BK268" s="249"/>
      <c r="BL268" s="249"/>
      <c r="BM268" s="249"/>
      <c r="BN268" s="249"/>
      <c r="BO268" s="249"/>
      <c r="BP268" s="249"/>
      <c r="BQ268" s="249"/>
      <c r="BR268" s="249"/>
      <c r="BS268" s="249"/>
      <c r="BT268" s="249"/>
      <c r="BU268" s="249"/>
      <c r="BV268" s="249"/>
      <c r="BW268" s="249"/>
      <c r="BX268" s="249"/>
      <c r="BY268" s="249"/>
      <c r="BZ268" s="249"/>
      <c r="CA268" s="249"/>
      <c r="CB268" s="249"/>
      <c r="CC268" s="249"/>
      <c r="CD268" s="249"/>
      <c r="CE268" s="249"/>
      <c r="CF268" s="249"/>
      <c r="CG268" s="249"/>
      <c r="CH268" s="249"/>
      <c r="CI268" s="249"/>
      <c r="CJ268" s="249"/>
      <c r="CK268" s="249"/>
      <c r="CL268" s="249"/>
      <c r="CM268" s="249"/>
      <c r="CN268" s="249"/>
      <c r="CO268" s="249"/>
      <c r="CP268" s="249"/>
      <c r="CQ268" s="249"/>
      <c r="CR268" s="249"/>
      <c r="CS268" s="249"/>
      <c r="CT268" s="249"/>
      <c r="CU268" s="249"/>
      <c r="CV268" s="249"/>
      <c r="CW268" s="249"/>
      <c r="CX268" s="249"/>
      <c r="CY268" s="249"/>
      <c r="CZ268" s="249"/>
      <c r="DA268" s="249"/>
      <c r="DB268" s="249"/>
      <c r="DC268" s="249"/>
      <c r="DD268" s="249"/>
      <c r="DE268" s="249"/>
      <c r="DF268" s="249"/>
      <c r="DG268" s="249"/>
      <c r="DH268" s="249"/>
      <c r="DI268" s="249"/>
      <c r="DJ268" s="249"/>
      <c r="DK268" s="249"/>
      <c r="DL268" s="249"/>
      <c r="DM268" s="249"/>
      <c r="DN268" s="249"/>
      <c r="DO268" s="249"/>
      <c r="DP268" s="249"/>
      <c r="DQ268" s="249"/>
      <c r="DR268" s="249"/>
      <c r="DS268" s="249"/>
      <c r="DT268" s="249"/>
      <c r="DU268" s="249"/>
      <c r="DV268" s="249"/>
      <c r="DW268" s="249"/>
      <c r="DX268" s="249"/>
      <c r="DY268" s="249"/>
      <c r="DZ268" s="249"/>
      <c r="EA268" s="249"/>
      <c r="EB268" s="249"/>
      <c r="EC268" s="249"/>
      <c r="ED268" s="249"/>
      <c r="EE268" s="249"/>
      <c r="EF268" s="249"/>
      <c r="EG268" s="249"/>
      <c r="EH268" s="249"/>
      <c r="EI268" s="249"/>
      <c r="EJ268" s="249"/>
      <c r="EK268" s="249"/>
      <c r="EL268" s="249"/>
      <c r="EM268" s="249"/>
      <c r="EN268" s="249"/>
      <c r="EO268" s="249"/>
      <c r="EP268" s="249"/>
      <c r="EQ268" s="249"/>
      <c r="ER268" s="249"/>
      <c r="ES268" s="249"/>
      <c r="ET268" s="249"/>
      <c r="EU268" s="249"/>
      <c r="EV268" s="249"/>
      <c r="EW268" s="249"/>
      <c r="EX268" s="249"/>
      <c r="EY268" s="249"/>
      <c r="EZ268" s="249"/>
      <c r="FA268" s="249"/>
      <c r="FB268" s="249"/>
      <c r="FC268" s="249"/>
      <c r="FD268" s="249"/>
      <c r="FE268" s="249"/>
      <c r="FF268" s="249"/>
      <c r="FG268" s="249"/>
      <c r="FH268" s="249"/>
      <c r="FI268" s="249"/>
      <c r="FJ268" s="249"/>
      <c r="FK268" s="249"/>
      <c r="FL268" s="249"/>
      <c r="FM268" s="249"/>
      <c r="FN268" s="249"/>
      <c r="FO268" s="249"/>
      <c r="FP268" s="249"/>
      <c r="FQ268" s="249"/>
      <c r="FR268" s="249"/>
      <c r="FS268" s="249"/>
      <c r="FT268" s="249"/>
      <c r="FU268" s="249"/>
      <c r="FV268" s="249"/>
      <c r="FW268" s="249"/>
      <c r="FX268" s="249"/>
      <c r="FY268" s="249"/>
      <c r="FZ268" s="249"/>
      <c r="GA268" s="249"/>
      <c r="GB268" s="249"/>
      <c r="GC268" s="249"/>
      <c r="GD268" s="249"/>
      <c r="GE268" s="249"/>
      <c r="GF268" s="249"/>
      <c r="GG268" s="249"/>
      <c r="GH268" s="249"/>
      <c r="GI268" s="249"/>
      <c r="GJ268" s="249"/>
      <c r="GK268" s="249"/>
      <c r="GL268" s="249"/>
      <c r="GM268" s="249"/>
      <c r="GN268" s="249"/>
      <c r="GO268" s="249"/>
      <c r="GP268" s="249"/>
      <c r="GQ268" s="249"/>
      <c r="GR268" s="249"/>
    </row>
    <row r="269" spans="1:200" s="252" customFormat="1" ht="13.5" customHeight="1" x14ac:dyDescent="0.2">
      <c r="A269" s="709"/>
      <c r="B269" s="1110"/>
      <c r="C269" s="1110"/>
      <c r="D269" s="257"/>
      <c r="E269" s="613"/>
      <c r="F269" s="249"/>
      <c r="G269" s="250"/>
      <c r="H269" s="250"/>
      <c r="I269" s="250"/>
      <c r="J269" s="250"/>
      <c r="K269" s="250"/>
      <c r="L269" s="250"/>
      <c r="M269" s="250"/>
      <c r="N269" s="250"/>
      <c r="O269" s="250"/>
      <c r="P269" s="251"/>
      <c r="Q269" s="251"/>
      <c r="R269" s="251"/>
      <c r="S269" s="249"/>
      <c r="T269" s="249"/>
      <c r="U269" s="287"/>
      <c r="V269" s="1399" t="s">
        <v>166</v>
      </c>
      <c r="W269" s="286" t="s">
        <v>167</v>
      </c>
      <c r="X269" s="246"/>
      <c r="Y269" s="246">
        <f>IF(INPUT!D7="Big Hole",IF(INPUT!I23&gt;0,1,0),0)</f>
        <v>1</v>
      </c>
      <c r="Z269" s="246"/>
      <c r="AA269" s="246"/>
      <c r="AB269" s="246"/>
      <c r="AC269" s="246"/>
      <c r="AD269" s="246"/>
      <c r="AE269" s="246"/>
      <c r="AF269" s="246"/>
      <c r="AG269" s="246"/>
      <c r="AH269" s="246"/>
      <c r="AI269" s="246"/>
      <c r="AJ269" s="246"/>
      <c r="AK269" s="246"/>
      <c r="AL269" s="246"/>
      <c r="AM269" s="246">
        <f>SUM(X269:AL269)</f>
        <v>1</v>
      </c>
      <c r="AN269" s="172"/>
      <c r="AO269" s="249"/>
      <c r="AP269" s="250"/>
      <c r="AQ269" s="250"/>
      <c r="AR269" s="250"/>
      <c r="AS269" s="250"/>
      <c r="AT269" s="250"/>
      <c r="AU269" s="250"/>
      <c r="AV269" s="249"/>
      <c r="AW269" s="249"/>
      <c r="AX269" s="249"/>
      <c r="AY269" s="249"/>
      <c r="AZ269" s="249"/>
      <c r="BA269" s="249"/>
      <c r="BB269" s="249"/>
      <c r="BC269" s="249"/>
      <c r="BD269" s="249"/>
      <c r="BE269" s="249"/>
      <c r="BF269" s="249"/>
      <c r="BG269" s="249"/>
      <c r="BH269" s="249"/>
      <c r="BI269" s="249"/>
      <c r="BJ269" s="249"/>
      <c r="BK269" s="249"/>
      <c r="BL269" s="249"/>
      <c r="BM269" s="249"/>
      <c r="BN269" s="249"/>
      <c r="BO269" s="249"/>
      <c r="BP269" s="249"/>
      <c r="BQ269" s="249"/>
      <c r="BR269" s="249"/>
      <c r="BS269" s="249"/>
      <c r="BT269" s="249"/>
      <c r="BU269" s="249"/>
      <c r="BV269" s="249"/>
      <c r="BW269" s="249"/>
      <c r="BX269" s="249"/>
      <c r="BY269" s="249"/>
      <c r="BZ269" s="249"/>
      <c r="CA269" s="249"/>
      <c r="CB269" s="249"/>
      <c r="CC269" s="249"/>
      <c r="CD269" s="249"/>
      <c r="CE269" s="249"/>
      <c r="CF269" s="249"/>
      <c r="CG269" s="249"/>
      <c r="CH269" s="249"/>
      <c r="CI269" s="249"/>
      <c r="CJ269" s="249"/>
      <c r="CK269" s="249"/>
      <c r="CL269" s="249"/>
      <c r="CM269" s="249"/>
      <c r="CN269" s="249"/>
      <c r="CO269" s="249"/>
      <c r="CP269" s="249"/>
      <c r="CQ269" s="249"/>
      <c r="CR269" s="249"/>
      <c r="CS269" s="249"/>
      <c r="CT269" s="249"/>
      <c r="CU269" s="249"/>
      <c r="CV269" s="249"/>
      <c r="CW269" s="249"/>
      <c r="CX269" s="249"/>
      <c r="CY269" s="249"/>
      <c r="CZ269" s="249"/>
      <c r="DA269" s="249"/>
      <c r="DB269" s="249"/>
      <c r="DC269" s="249"/>
      <c r="DD269" s="249"/>
      <c r="DE269" s="249"/>
      <c r="DF269" s="249"/>
      <c r="DG269" s="249"/>
      <c r="DH269" s="249"/>
      <c r="DI269" s="249"/>
      <c r="DJ269" s="249"/>
      <c r="DK269" s="249"/>
      <c r="DL269" s="249"/>
      <c r="DM269" s="249"/>
      <c r="DN269" s="249"/>
      <c r="DO269" s="249"/>
      <c r="DP269" s="249"/>
      <c r="DQ269" s="249"/>
      <c r="DR269" s="249"/>
      <c r="DS269" s="249"/>
      <c r="DT269" s="249"/>
      <c r="DU269" s="249"/>
      <c r="DV269" s="249"/>
      <c r="DW269" s="249"/>
      <c r="DX269" s="249"/>
      <c r="DY269" s="249"/>
      <c r="DZ269" s="249"/>
      <c r="EA269" s="249"/>
      <c r="EB269" s="249"/>
      <c r="EC269" s="249"/>
      <c r="ED269" s="249"/>
      <c r="EE269" s="249"/>
      <c r="EF269" s="249"/>
      <c r="EG269" s="249"/>
      <c r="EH269" s="249"/>
      <c r="EI269" s="249"/>
      <c r="EJ269" s="249"/>
      <c r="EK269" s="249"/>
      <c r="EL269" s="249"/>
      <c r="EM269" s="249"/>
      <c r="EN269" s="249"/>
      <c r="EO269" s="249"/>
      <c r="EP269" s="249"/>
      <c r="EQ269" s="249"/>
      <c r="ER269" s="249"/>
      <c r="ES269" s="249"/>
      <c r="ET269" s="249"/>
      <c r="EU269" s="249"/>
      <c r="EV269" s="249"/>
      <c r="EW269" s="249"/>
      <c r="EX269" s="249"/>
      <c r="EY269" s="249"/>
      <c r="EZ269" s="249"/>
      <c r="FA269" s="249"/>
      <c r="FB269" s="249"/>
      <c r="FC269" s="249"/>
      <c r="FD269" s="249"/>
      <c r="FE269" s="249"/>
      <c r="FF269" s="249"/>
      <c r="FG269" s="249"/>
      <c r="FH269" s="249"/>
      <c r="FI269" s="249"/>
      <c r="FJ269" s="249"/>
      <c r="FK269" s="249"/>
      <c r="FL269" s="249"/>
      <c r="FM269" s="249"/>
      <c r="FN269" s="249"/>
      <c r="FO269" s="249"/>
      <c r="FP269" s="249"/>
      <c r="FQ269" s="249"/>
      <c r="FR269" s="249"/>
      <c r="FS269" s="249"/>
      <c r="FT269" s="249"/>
      <c r="FU269" s="249"/>
      <c r="FV269" s="249"/>
      <c r="FW269" s="249"/>
      <c r="FX269" s="249"/>
      <c r="FY269" s="249"/>
      <c r="FZ269" s="249"/>
      <c r="GA269" s="249"/>
      <c r="GB269" s="249"/>
      <c r="GC269" s="249"/>
      <c r="GD269" s="249"/>
      <c r="GE269" s="249"/>
      <c r="GF269" s="249"/>
      <c r="GG269" s="249"/>
      <c r="GH269" s="249"/>
      <c r="GI269" s="249"/>
      <c r="GJ269" s="249"/>
      <c r="GK269" s="249"/>
      <c r="GL269" s="249"/>
      <c r="GM269" s="249"/>
      <c r="GN269" s="249"/>
      <c r="GO269" s="249"/>
      <c r="GP269" s="249"/>
      <c r="GQ269" s="249"/>
      <c r="GR269" s="249"/>
    </row>
    <row r="270" spans="1:200" s="252" customFormat="1" ht="13.5" customHeight="1" x14ac:dyDescent="0.2">
      <c r="A270" s="724"/>
      <c r="B270" s="1125"/>
      <c r="C270" s="1125"/>
      <c r="D270" s="528"/>
      <c r="E270" s="596"/>
      <c r="F270" s="249"/>
      <c r="G270" s="250"/>
      <c r="H270" s="250"/>
      <c r="I270" s="250"/>
      <c r="J270" s="250"/>
      <c r="K270" s="250"/>
      <c r="L270" s="250"/>
      <c r="M270" s="250"/>
      <c r="N270" s="250"/>
      <c r="O270" s="250"/>
      <c r="P270" s="251"/>
      <c r="Q270" s="251"/>
      <c r="R270" s="251"/>
      <c r="S270" s="249"/>
      <c r="T270" s="249"/>
      <c r="U270" s="665"/>
      <c r="V270" s="665"/>
      <c r="W270" s="254"/>
      <c r="X270" s="257"/>
      <c r="Y270" s="257"/>
      <c r="Z270" s="257"/>
      <c r="AA270" s="257"/>
      <c r="AB270" s="257"/>
      <c r="AC270" s="254"/>
      <c r="AD270" s="254"/>
      <c r="AE270" s="254"/>
      <c r="AF270" s="254"/>
      <c r="AG270" s="254"/>
      <c r="AH270" s="254"/>
      <c r="AI270" s="254"/>
      <c r="AJ270" s="254"/>
      <c r="AK270" s="254"/>
      <c r="AL270" s="254"/>
      <c r="AM270" s="528"/>
      <c r="AN270" s="254"/>
      <c r="AO270" s="249"/>
      <c r="AP270" s="295"/>
      <c r="AQ270" s="295"/>
      <c r="AR270" s="295"/>
      <c r="AS270" s="295"/>
      <c r="AT270" s="295"/>
      <c r="AU270" s="295"/>
      <c r="AV270" s="249"/>
      <c r="AW270" s="249"/>
      <c r="AX270" s="249"/>
      <c r="AY270" s="249"/>
      <c r="AZ270" s="249"/>
      <c r="BA270" s="249"/>
      <c r="BB270" s="249"/>
      <c r="BC270" s="249"/>
      <c r="BD270" s="249"/>
      <c r="BE270" s="249"/>
      <c r="BF270" s="249"/>
      <c r="BG270" s="249"/>
      <c r="BH270" s="249"/>
      <c r="BI270" s="249"/>
      <c r="BJ270" s="249"/>
      <c r="BK270" s="249"/>
      <c r="BL270" s="249"/>
      <c r="BM270" s="249"/>
      <c r="BN270" s="249"/>
      <c r="BO270" s="249"/>
      <c r="BP270" s="249"/>
      <c r="BQ270" s="249"/>
      <c r="BR270" s="249"/>
      <c r="BS270" s="249"/>
      <c r="BT270" s="249"/>
      <c r="BU270" s="249"/>
      <c r="BV270" s="249"/>
      <c r="BW270" s="249"/>
      <c r="BX270" s="249"/>
      <c r="BY270" s="249"/>
      <c r="BZ270" s="249"/>
      <c r="CA270" s="249"/>
      <c r="CB270" s="249"/>
      <c r="CC270" s="249"/>
      <c r="CD270" s="249"/>
      <c r="CE270" s="249"/>
      <c r="CF270" s="249"/>
      <c r="CG270" s="249"/>
      <c r="CH270" s="249"/>
      <c r="CI270" s="249"/>
      <c r="CJ270" s="249"/>
      <c r="CK270" s="249"/>
      <c r="CL270" s="249"/>
      <c r="CM270" s="249"/>
      <c r="CN270" s="249"/>
      <c r="CO270" s="249"/>
      <c r="CP270" s="249"/>
      <c r="CQ270" s="249"/>
      <c r="CR270" s="249"/>
      <c r="CS270" s="249"/>
      <c r="CT270" s="249"/>
      <c r="CU270" s="249"/>
      <c r="CV270" s="249"/>
      <c r="CW270" s="249"/>
      <c r="CX270" s="249"/>
      <c r="CY270" s="249"/>
      <c r="CZ270" s="249"/>
      <c r="DA270" s="249"/>
      <c r="DB270" s="249"/>
      <c r="DC270" s="249"/>
      <c r="DD270" s="249"/>
      <c r="DE270" s="249"/>
      <c r="DF270" s="249"/>
      <c r="DG270" s="249"/>
      <c r="DH270" s="249"/>
      <c r="DI270" s="249"/>
      <c r="DJ270" s="249"/>
      <c r="DK270" s="249"/>
      <c r="DL270" s="249"/>
      <c r="DM270" s="249"/>
      <c r="DN270" s="249"/>
      <c r="DO270" s="249"/>
      <c r="DP270" s="249"/>
      <c r="DQ270" s="249"/>
      <c r="DR270" s="249"/>
      <c r="DS270" s="249"/>
      <c r="DT270" s="249"/>
      <c r="DU270" s="249"/>
      <c r="DV270" s="249"/>
      <c r="DW270" s="249"/>
      <c r="DX270" s="249"/>
      <c r="DY270" s="249"/>
      <c r="DZ270" s="249"/>
      <c r="EA270" s="249"/>
      <c r="EB270" s="249"/>
      <c r="EC270" s="249"/>
      <c r="ED270" s="249"/>
      <c r="EE270" s="249"/>
      <c r="EF270" s="249"/>
      <c r="EG270" s="249"/>
      <c r="EH270" s="249"/>
      <c r="EI270" s="249"/>
      <c r="EJ270" s="249"/>
      <c r="EK270" s="249"/>
      <c r="EL270" s="249"/>
      <c r="EM270" s="249"/>
      <c r="EN270" s="249"/>
      <c r="EO270" s="249"/>
      <c r="EP270" s="249"/>
      <c r="EQ270" s="249"/>
      <c r="ER270" s="249"/>
      <c r="ES270" s="249"/>
      <c r="ET270" s="249"/>
      <c r="EU270" s="249"/>
      <c r="EV270" s="249"/>
      <c r="EW270" s="249"/>
      <c r="EX270" s="249"/>
      <c r="EY270" s="249"/>
      <c r="EZ270" s="249"/>
      <c r="FA270" s="249"/>
      <c r="FB270" s="249"/>
      <c r="FC270" s="249"/>
      <c r="FD270" s="249"/>
      <c r="FE270" s="249"/>
      <c r="FF270" s="249"/>
      <c r="FG270" s="249"/>
      <c r="FH270" s="249"/>
      <c r="FI270" s="249"/>
      <c r="FJ270" s="249"/>
      <c r="FK270" s="249"/>
      <c r="FL270" s="249"/>
      <c r="FM270" s="249"/>
      <c r="FN270" s="249"/>
      <c r="FO270" s="249"/>
      <c r="FP270" s="249"/>
      <c r="FQ270" s="249"/>
      <c r="FR270" s="249"/>
      <c r="FS270" s="249"/>
      <c r="FT270" s="249"/>
      <c r="FU270" s="249"/>
      <c r="FV270" s="249"/>
      <c r="FW270" s="249"/>
      <c r="FX270" s="249"/>
      <c r="FY270" s="249"/>
      <c r="FZ270" s="249"/>
      <c r="GA270" s="249"/>
      <c r="GB270" s="249"/>
      <c r="GC270" s="249"/>
      <c r="GD270" s="249"/>
      <c r="GE270" s="249"/>
      <c r="GF270" s="249"/>
      <c r="GG270" s="249"/>
      <c r="GH270" s="249"/>
      <c r="GI270" s="249"/>
      <c r="GJ270" s="249"/>
      <c r="GK270" s="249"/>
      <c r="GL270" s="249"/>
      <c r="GM270" s="249"/>
      <c r="GN270" s="249"/>
      <c r="GO270" s="249"/>
      <c r="GP270" s="249"/>
      <c r="GQ270" s="249"/>
      <c r="GR270" s="249"/>
    </row>
    <row r="271" spans="1:200" s="252" customFormat="1" ht="13.5" customHeight="1" x14ac:dyDescent="0.2">
      <c r="A271" s="733"/>
      <c r="B271" s="1134"/>
      <c r="C271" s="1134"/>
      <c r="D271" s="535"/>
      <c r="E271" s="613"/>
      <c r="F271" s="249"/>
      <c r="G271" s="250"/>
      <c r="H271" s="250"/>
      <c r="I271" s="250"/>
      <c r="J271" s="250"/>
      <c r="K271" s="250"/>
      <c r="L271" s="250"/>
      <c r="M271" s="250"/>
      <c r="N271" s="250"/>
      <c r="O271" s="250"/>
      <c r="P271" s="251"/>
      <c r="Q271" s="251"/>
      <c r="R271" s="251"/>
      <c r="S271" s="249"/>
      <c r="T271" s="249"/>
      <c r="U271" s="2513" t="s">
        <v>152</v>
      </c>
      <c r="V271" s="2514"/>
      <c r="W271" s="1440" t="s">
        <v>153</v>
      </c>
      <c r="X271" s="1426" t="str">
        <f t="shared" ref="X271:AI271" si="73">X$14</f>
        <v>RIGMOVE</v>
      </c>
      <c r="Y271" s="1426" t="str">
        <f t="shared" si="73"/>
        <v>DSURFACE</v>
      </c>
      <c r="Z271" s="1426" t="str">
        <f t="shared" si="73"/>
        <v>FSURFACE</v>
      </c>
      <c r="AA271" s="1426" t="str">
        <f t="shared" si="73"/>
        <v>DINTERMEDIATE</v>
      </c>
      <c r="AB271" s="1426" t="str">
        <f t="shared" si="73"/>
        <v>FINTERMEDIATE</v>
      </c>
      <c r="AC271" s="1426" t="str">
        <f t="shared" si="73"/>
        <v>DPRODUCTION</v>
      </c>
      <c r="AD271" s="1426" t="str">
        <f t="shared" si="73"/>
        <v>FPRODUCTION</v>
      </c>
      <c r="AE271" s="1426" t="str">
        <f t="shared" si="73"/>
        <v>DLINER1</v>
      </c>
      <c r="AF271" s="1426" t="str">
        <f t="shared" si="73"/>
        <v>FLINER1</v>
      </c>
      <c r="AG271" s="1426" t="str">
        <f t="shared" si="73"/>
        <v>DLINER2</v>
      </c>
      <c r="AH271" s="1426" t="str">
        <f>AH$14</f>
        <v>FLINER2</v>
      </c>
      <c r="AI271" s="1426" t="str">
        <f t="shared" si="73"/>
        <v/>
      </c>
      <c r="AJ271" s="1426" t="str">
        <f>AJ$14</f>
        <v/>
      </c>
      <c r="AK271" s="1426" t="str">
        <f>AK$14</f>
        <v/>
      </c>
      <c r="AL271" s="1426"/>
      <c r="AM271" s="1449" t="s">
        <v>46</v>
      </c>
      <c r="AN271" s="254"/>
      <c r="AO271" s="249"/>
      <c r="AP271" s="250"/>
      <c r="AQ271" s="250"/>
      <c r="AR271" s="250"/>
      <c r="AS271" s="250"/>
      <c r="AT271" s="250"/>
      <c r="AU271" s="250"/>
      <c r="AV271" s="249"/>
      <c r="AW271" s="249"/>
      <c r="AX271" s="249"/>
      <c r="AY271" s="249"/>
      <c r="AZ271" s="249"/>
      <c r="BA271" s="249"/>
      <c r="BB271" s="249"/>
      <c r="BC271" s="249"/>
      <c r="BD271" s="249"/>
      <c r="BE271" s="249"/>
      <c r="BF271" s="249"/>
      <c r="BG271" s="249"/>
      <c r="BH271" s="249"/>
      <c r="BI271" s="249"/>
      <c r="BJ271" s="249"/>
      <c r="BK271" s="249"/>
      <c r="BL271" s="249"/>
      <c r="BM271" s="249"/>
      <c r="BN271" s="249"/>
      <c r="BO271" s="249"/>
      <c r="BP271" s="249"/>
      <c r="BQ271" s="249"/>
      <c r="BR271" s="249"/>
      <c r="BS271" s="249"/>
      <c r="BT271" s="249"/>
      <c r="BU271" s="249"/>
      <c r="BV271" s="249"/>
      <c r="BW271" s="249"/>
      <c r="BX271" s="249"/>
      <c r="BY271" s="249"/>
      <c r="BZ271" s="249"/>
      <c r="CA271" s="249"/>
      <c r="CB271" s="249"/>
      <c r="CC271" s="249"/>
      <c r="CD271" s="249"/>
      <c r="CE271" s="249"/>
      <c r="CF271" s="249"/>
      <c r="CG271" s="249"/>
      <c r="CH271" s="249"/>
      <c r="CI271" s="249"/>
      <c r="CJ271" s="249"/>
      <c r="CK271" s="249"/>
      <c r="CL271" s="249"/>
      <c r="CM271" s="249"/>
      <c r="CN271" s="249"/>
      <c r="CO271" s="249"/>
      <c r="CP271" s="249"/>
      <c r="CQ271" s="249"/>
      <c r="CR271" s="249"/>
      <c r="CS271" s="249"/>
      <c r="CT271" s="249"/>
      <c r="CU271" s="249"/>
      <c r="CV271" s="249"/>
      <c r="CW271" s="249"/>
      <c r="CX271" s="249"/>
      <c r="CY271" s="249"/>
      <c r="CZ271" s="249"/>
      <c r="DA271" s="249"/>
      <c r="DB271" s="249"/>
      <c r="DC271" s="249"/>
      <c r="DD271" s="249"/>
      <c r="DE271" s="249"/>
      <c r="DF271" s="249"/>
      <c r="DG271" s="249"/>
      <c r="DH271" s="249"/>
      <c r="DI271" s="249"/>
      <c r="DJ271" s="249"/>
      <c r="DK271" s="249"/>
      <c r="DL271" s="249"/>
      <c r="DM271" s="249"/>
      <c r="DN271" s="249"/>
      <c r="DO271" s="249"/>
      <c r="DP271" s="249"/>
      <c r="DQ271" s="249"/>
      <c r="DR271" s="249"/>
      <c r="DS271" s="249"/>
      <c r="DT271" s="249"/>
      <c r="DU271" s="249"/>
      <c r="DV271" s="249"/>
      <c r="DW271" s="249"/>
      <c r="DX271" s="249"/>
      <c r="DY271" s="249"/>
      <c r="DZ271" s="249"/>
      <c r="EA271" s="249"/>
      <c r="EB271" s="249"/>
      <c r="EC271" s="249"/>
      <c r="ED271" s="249"/>
      <c r="EE271" s="249"/>
      <c r="EF271" s="249"/>
      <c r="EG271" s="249"/>
      <c r="EH271" s="249"/>
      <c r="EI271" s="249"/>
      <c r="EJ271" s="249"/>
      <c r="EK271" s="249"/>
      <c r="EL271" s="249"/>
      <c r="EM271" s="249"/>
      <c r="EN271" s="249"/>
      <c r="EO271" s="249"/>
      <c r="EP271" s="249"/>
      <c r="EQ271" s="249"/>
      <c r="ER271" s="249"/>
      <c r="ES271" s="249"/>
      <c r="ET271" s="249"/>
      <c r="EU271" s="249"/>
      <c r="EV271" s="249"/>
      <c r="EW271" s="249"/>
      <c r="EX271" s="249"/>
      <c r="EY271" s="249"/>
      <c r="EZ271" s="249"/>
      <c r="FA271" s="249"/>
      <c r="FB271" s="249"/>
      <c r="FC271" s="249"/>
      <c r="FD271" s="249"/>
      <c r="FE271" s="249"/>
      <c r="FF271" s="249"/>
      <c r="FG271" s="249"/>
      <c r="FH271" s="249"/>
      <c r="FI271" s="249"/>
      <c r="FJ271" s="249"/>
      <c r="FK271" s="249"/>
      <c r="FL271" s="249"/>
      <c r="FM271" s="249"/>
      <c r="FN271" s="249"/>
      <c r="FO271" s="249"/>
      <c r="FP271" s="249"/>
      <c r="FQ271" s="249"/>
      <c r="FR271" s="249"/>
      <c r="FS271" s="249"/>
      <c r="FT271" s="249"/>
      <c r="FU271" s="249"/>
      <c r="FV271" s="249"/>
      <c r="FW271" s="249"/>
      <c r="FX271" s="249"/>
      <c r="FY271" s="249"/>
      <c r="FZ271" s="249"/>
      <c r="GA271" s="249"/>
      <c r="GB271" s="249"/>
      <c r="GC271" s="249"/>
      <c r="GD271" s="249"/>
      <c r="GE271" s="249"/>
      <c r="GF271" s="249"/>
      <c r="GG271" s="249"/>
      <c r="GH271" s="249"/>
      <c r="GI271" s="249"/>
      <c r="GJ271" s="249"/>
      <c r="GK271" s="249"/>
      <c r="GL271" s="249"/>
      <c r="GM271" s="249"/>
      <c r="GN271" s="249"/>
      <c r="GO271" s="249"/>
      <c r="GP271" s="249"/>
      <c r="GQ271" s="249"/>
      <c r="GR271" s="249"/>
    </row>
    <row r="272" spans="1:200" s="302" customFormat="1" ht="12.75" customHeight="1" x14ac:dyDescent="0.15">
      <c r="A272" s="709"/>
      <c r="B272" s="1110"/>
      <c r="C272" s="1110"/>
      <c r="D272" s="667" t="s">
        <v>722</v>
      </c>
      <c r="E272" s="613"/>
      <c r="F272" s="249"/>
      <c r="G272" s="295"/>
      <c r="H272" s="295"/>
      <c r="I272" s="295"/>
      <c r="J272" s="295"/>
      <c r="K272" s="295"/>
      <c r="L272" s="295"/>
      <c r="M272" s="250"/>
      <c r="N272" s="250"/>
      <c r="O272" s="250"/>
      <c r="P272" s="251"/>
      <c r="Q272" s="251"/>
      <c r="R272" s="251"/>
      <c r="S272" s="251"/>
      <c r="T272" s="251"/>
      <c r="U272" s="1399" t="str">
        <f>V268</f>
        <v>Shale Shaker Screens</v>
      </c>
      <c r="V272" s="1399"/>
      <c r="W272" s="1314">
        <f>IF(OR(INPUT!$D$5="RIG 1",INPUT!$D$5="RIG 2"),0,(2000*FOREX))</f>
        <v>0</v>
      </c>
      <c r="X272" s="246">
        <f>$W272*X268</f>
        <v>0</v>
      </c>
      <c r="Y272" s="246">
        <f>$W272*Y268</f>
        <v>0</v>
      </c>
      <c r="Z272" s="246"/>
      <c r="AA272" s="246">
        <f>$W272*AA268</f>
        <v>0</v>
      </c>
      <c r="AB272" s="246"/>
      <c r="AC272" s="246">
        <f>$W272*AC268</f>
        <v>0</v>
      </c>
      <c r="AD272" s="246"/>
      <c r="AE272" s="246">
        <f>$W272*AE268</f>
        <v>0</v>
      </c>
      <c r="AF272" s="246"/>
      <c r="AG272" s="246">
        <f>$W272*AG268</f>
        <v>0</v>
      </c>
      <c r="AH272" s="246"/>
      <c r="AI272" s="246">
        <f>$W272*AI268</f>
        <v>0</v>
      </c>
      <c r="AJ272" s="246"/>
      <c r="AK272" s="246"/>
      <c r="AL272" s="246"/>
      <c r="AM272" s="246">
        <f>SUM(X272:AL272)</f>
        <v>0</v>
      </c>
      <c r="AN272" s="254"/>
      <c r="AO272" s="249"/>
      <c r="AP272" s="250"/>
      <c r="AQ272" s="250"/>
      <c r="AR272" s="250"/>
      <c r="AS272" s="250"/>
      <c r="AT272" s="250"/>
      <c r="AU272" s="250"/>
      <c r="AV272" s="249"/>
      <c r="AW272" s="249"/>
      <c r="AX272" s="249"/>
      <c r="AY272" s="249"/>
      <c r="AZ272" s="249"/>
      <c r="BA272" s="249"/>
      <c r="BB272" s="249"/>
      <c r="BC272" s="249"/>
      <c r="BD272" s="249"/>
      <c r="BE272" s="249"/>
      <c r="BF272" s="249"/>
      <c r="BG272" s="249"/>
      <c r="BH272" s="249"/>
      <c r="BI272" s="249"/>
      <c r="BJ272" s="249"/>
      <c r="BK272" s="249"/>
      <c r="BL272" s="249"/>
      <c r="BM272" s="249"/>
      <c r="BN272" s="249"/>
      <c r="BO272" s="249"/>
      <c r="BP272" s="249"/>
      <c r="BQ272" s="249"/>
      <c r="BR272" s="249"/>
      <c r="BS272" s="249"/>
      <c r="BT272" s="249"/>
      <c r="BU272" s="249"/>
      <c r="BV272" s="249"/>
      <c r="BW272" s="249"/>
      <c r="BX272" s="249"/>
      <c r="BY272" s="249"/>
      <c r="BZ272" s="249"/>
      <c r="CA272" s="249"/>
      <c r="CB272" s="249"/>
      <c r="CC272" s="249"/>
      <c r="CD272" s="249"/>
      <c r="CE272" s="249"/>
      <c r="CF272" s="249"/>
      <c r="CG272" s="249"/>
      <c r="CH272" s="249"/>
      <c r="CI272" s="249"/>
      <c r="CJ272" s="249"/>
      <c r="CK272" s="249"/>
      <c r="CL272" s="249"/>
      <c r="CM272" s="249"/>
      <c r="CN272" s="249"/>
      <c r="CO272" s="249"/>
      <c r="CP272" s="249"/>
      <c r="CQ272" s="249"/>
      <c r="CR272" s="249"/>
      <c r="CS272" s="249"/>
      <c r="CT272" s="249"/>
      <c r="CU272" s="249"/>
      <c r="CV272" s="249"/>
      <c r="CW272" s="249"/>
      <c r="CX272" s="249"/>
      <c r="CY272" s="249"/>
      <c r="CZ272" s="249"/>
      <c r="DA272" s="249"/>
      <c r="DB272" s="249"/>
      <c r="DC272" s="249"/>
      <c r="DD272" s="249"/>
      <c r="DE272" s="249"/>
      <c r="DF272" s="249"/>
      <c r="DG272" s="249"/>
      <c r="DH272" s="249"/>
      <c r="DI272" s="249"/>
      <c r="DJ272" s="249"/>
      <c r="DK272" s="249"/>
      <c r="DL272" s="249"/>
      <c r="DM272" s="249"/>
      <c r="DN272" s="249"/>
      <c r="DO272" s="249"/>
      <c r="DP272" s="249"/>
      <c r="DQ272" s="249"/>
      <c r="DR272" s="249"/>
      <c r="DS272" s="249"/>
      <c r="DT272" s="249"/>
      <c r="DU272" s="249"/>
      <c r="DV272" s="249"/>
      <c r="DW272" s="249"/>
      <c r="DX272" s="249"/>
      <c r="DY272" s="249"/>
      <c r="DZ272" s="249"/>
      <c r="EA272" s="249"/>
      <c r="EB272" s="249"/>
      <c r="EC272" s="249"/>
      <c r="ED272" s="249"/>
      <c r="EE272" s="249"/>
      <c r="EF272" s="249"/>
      <c r="EG272" s="249"/>
      <c r="EH272" s="249"/>
      <c r="EI272" s="249"/>
      <c r="EJ272" s="249"/>
      <c r="EK272" s="249"/>
      <c r="EL272" s="249"/>
      <c r="EM272" s="249"/>
      <c r="EN272" s="249"/>
      <c r="EO272" s="249"/>
      <c r="EP272" s="249"/>
      <c r="EQ272" s="249"/>
      <c r="ER272" s="249"/>
      <c r="ES272" s="249"/>
      <c r="ET272" s="249"/>
      <c r="EU272" s="249"/>
      <c r="EV272" s="249"/>
      <c r="EW272" s="249"/>
      <c r="EX272" s="249"/>
      <c r="EY272" s="249"/>
      <c r="EZ272" s="249"/>
      <c r="FA272" s="249"/>
      <c r="FB272" s="249"/>
      <c r="FC272" s="249"/>
      <c r="FD272" s="249"/>
      <c r="FE272" s="249"/>
      <c r="FF272" s="249"/>
      <c r="FG272" s="249"/>
      <c r="FH272" s="249"/>
      <c r="FI272" s="249"/>
      <c r="FJ272" s="249"/>
      <c r="FK272" s="249"/>
      <c r="FL272" s="249"/>
      <c r="FM272" s="249"/>
      <c r="FN272" s="249"/>
      <c r="FO272" s="249"/>
      <c r="FP272" s="249"/>
      <c r="FQ272" s="249"/>
      <c r="FR272" s="249"/>
      <c r="FS272" s="249"/>
      <c r="FT272" s="249"/>
      <c r="FU272" s="249"/>
      <c r="FV272" s="249"/>
      <c r="FW272" s="249"/>
      <c r="FX272" s="249"/>
      <c r="FY272" s="249"/>
      <c r="FZ272" s="249"/>
      <c r="GA272" s="249"/>
      <c r="GB272" s="249"/>
      <c r="GC272" s="249"/>
      <c r="GD272" s="249"/>
      <c r="GE272" s="249"/>
      <c r="GF272" s="249"/>
      <c r="GG272" s="249"/>
      <c r="GH272" s="249"/>
      <c r="GI272" s="249"/>
      <c r="GJ272" s="249"/>
      <c r="GK272" s="249"/>
      <c r="GL272" s="249"/>
      <c r="GM272" s="249"/>
      <c r="GN272" s="249"/>
      <c r="GO272" s="249"/>
      <c r="GP272" s="249"/>
      <c r="GQ272" s="249"/>
      <c r="GR272" s="249"/>
    </row>
    <row r="273" spans="1:200" s="252" customFormat="1" ht="13.5" customHeight="1" x14ac:dyDescent="0.2">
      <c r="A273" s="709"/>
      <c r="B273" s="1110"/>
      <c r="C273" s="1110"/>
      <c r="D273" s="257"/>
      <c r="E273" s="613"/>
      <c r="F273" s="249"/>
      <c r="G273" s="250"/>
      <c r="H273" s="250"/>
      <c r="I273" s="250"/>
      <c r="J273" s="250"/>
      <c r="K273" s="250"/>
      <c r="L273" s="250"/>
      <c r="M273" s="250"/>
      <c r="N273" s="250"/>
      <c r="O273" s="250"/>
      <c r="P273" s="251"/>
      <c r="Q273" s="251"/>
      <c r="R273" s="251"/>
      <c r="S273" s="249"/>
      <c r="T273" s="249"/>
      <c r="U273" s="1399" t="str">
        <f>V269</f>
        <v>32" TCI Cutters</v>
      </c>
      <c r="V273" s="1399"/>
      <c r="W273" s="1314">
        <f>IF(OR(INPUT!$D$5="RIG 1",INPUT!$D$5="RIG 2"),0,(6000*FOREX))</f>
        <v>0</v>
      </c>
      <c r="X273" s="246">
        <f>$W273*X269</f>
        <v>0</v>
      </c>
      <c r="Y273" s="246">
        <f>$W273*Y269</f>
        <v>0</v>
      </c>
      <c r="Z273" s="246"/>
      <c r="AA273" s="246">
        <f>$W273*AA269</f>
        <v>0</v>
      </c>
      <c r="AB273" s="246"/>
      <c r="AC273" s="246">
        <f>$W273*AC269</f>
        <v>0</v>
      </c>
      <c r="AD273" s="246"/>
      <c r="AE273" s="246">
        <f>$W273*AE269</f>
        <v>0</v>
      </c>
      <c r="AF273" s="246"/>
      <c r="AG273" s="246">
        <f>$W273*AG269</f>
        <v>0</v>
      </c>
      <c r="AH273" s="246"/>
      <c r="AI273" s="246">
        <f>$W273*AI269</f>
        <v>0</v>
      </c>
      <c r="AJ273" s="246"/>
      <c r="AK273" s="246"/>
      <c r="AL273" s="246"/>
      <c r="AM273" s="246">
        <f>SUM(X273:AL273)</f>
        <v>0</v>
      </c>
      <c r="AN273" s="254"/>
      <c r="AO273" s="249"/>
      <c r="AP273" s="250"/>
      <c r="AQ273" s="250"/>
      <c r="AR273" s="250"/>
      <c r="AS273" s="250"/>
      <c r="AT273" s="250"/>
      <c r="AU273" s="250"/>
      <c r="AV273" s="249"/>
      <c r="AW273" s="249"/>
      <c r="AX273" s="249"/>
      <c r="AY273" s="249"/>
      <c r="AZ273" s="249"/>
      <c r="BA273" s="249"/>
      <c r="BB273" s="249"/>
      <c r="BC273" s="249"/>
      <c r="BD273" s="249"/>
      <c r="BE273" s="249"/>
      <c r="BF273" s="249"/>
      <c r="BG273" s="249"/>
      <c r="BH273" s="249"/>
      <c r="BI273" s="249"/>
      <c r="BJ273" s="249"/>
      <c r="BK273" s="249"/>
      <c r="BL273" s="249"/>
      <c r="BM273" s="249"/>
      <c r="BN273" s="249"/>
      <c r="BO273" s="249"/>
      <c r="BP273" s="249"/>
      <c r="BQ273" s="249"/>
      <c r="BR273" s="249"/>
      <c r="BS273" s="249"/>
      <c r="BT273" s="249"/>
      <c r="BU273" s="249"/>
      <c r="BV273" s="249"/>
      <c r="BW273" s="249"/>
      <c r="BX273" s="249"/>
      <c r="BY273" s="249"/>
      <c r="BZ273" s="249"/>
      <c r="CA273" s="249"/>
      <c r="CB273" s="249"/>
      <c r="CC273" s="249"/>
      <c r="CD273" s="249"/>
      <c r="CE273" s="249"/>
      <c r="CF273" s="249"/>
      <c r="CG273" s="249"/>
      <c r="CH273" s="249"/>
      <c r="CI273" s="249"/>
      <c r="CJ273" s="249"/>
      <c r="CK273" s="249"/>
      <c r="CL273" s="249"/>
      <c r="CM273" s="249"/>
      <c r="CN273" s="249"/>
      <c r="CO273" s="249"/>
      <c r="CP273" s="249"/>
      <c r="CQ273" s="249"/>
      <c r="CR273" s="249"/>
      <c r="CS273" s="249"/>
      <c r="CT273" s="249"/>
      <c r="CU273" s="249"/>
      <c r="CV273" s="249"/>
      <c r="CW273" s="249"/>
      <c r="CX273" s="249"/>
      <c r="CY273" s="249"/>
      <c r="CZ273" s="249"/>
      <c r="DA273" s="249"/>
      <c r="DB273" s="249"/>
      <c r="DC273" s="249"/>
      <c r="DD273" s="249"/>
      <c r="DE273" s="249"/>
      <c r="DF273" s="249"/>
      <c r="DG273" s="249"/>
      <c r="DH273" s="249"/>
      <c r="DI273" s="249"/>
      <c r="DJ273" s="249"/>
      <c r="DK273" s="249"/>
      <c r="DL273" s="249"/>
      <c r="DM273" s="249"/>
      <c r="DN273" s="249"/>
      <c r="DO273" s="249"/>
      <c r="DP273" s="249"/>
      <c r="DQ273" s="249"/>
      <c r="DR273" s="249"/>
      <c r="DS273" s="249"/>
      <c r="DT273" s="249"/>
      <c r="DU273" s="249"/>
      <c r="DV273" s="249"/>
      <c r="DW273" s="249"/>
      <c r="DX273" s="249"/>
      <c r="DY273" s="249"/>
      <c r="DZ273" s="249"/>
      <c r="EA273" s="249"/>
      <c r="EB273" s="249"/>
      <c r="EC273" s="249"/>
      <c r="ED273" s="249"/>
      <c r="EE273" s="249"/>
      <c r="EF273" s="249"/>
      <c r="EG273" s="249"/>
      <c r="EH273" s="249"/>
      <c r="EI273" s="249"/>
      <c r="EJ273" s="249"/>
      <c r="EK273" s="249"/>
      <c r="EL273" s="249"/>
      <c r="EM273" s="249"/>
      <c r="EN273" s="249"/>
      <c r="EO273" s="249"/>
      <c r="EP273" s="249"/>
      <c r="EQ273" s="249"/>
      <c r="ER273" s="249"/>
      <c r="ES273" s="249"/>
      <c r="ET273" s="249"/>
      <c r="EU273" s="249"/>
      <c r="EV273" s="249"/>
      <c r="EW273" s="249"/>
      <c r="EX273" s="249"/>
      <c r="EY273" s="249"/>
      <c r="EZ273" s="249"/>
      <c r="FA273" s="249"/>
      <c r="FB273" s="249"/>
      <c r="FC273" s="249"/>
      <c r="FD273" s="249"/>
      <c r="FE273" s="249"/>
      <c r="FF273" s="249"/>
      <c r="FG273" s="249"/>
      <c r="FH273" s="249"/>
      <c r="FI273" s="249"/>
      <c r="FJ273" s="249"/>
      <c r="FK273" s="249"/>
      <c r="FL273" s="249"/>
      <c r="FM273" s="249"/>
      <c r="FN273" s="249"/>
      <c r="FO273" s="249"/>
      <c r="FP273" s="249"/>
      <c r="FQ273" s="249"/>
      <c r="FR273" s="249"/>
      <c r="FS273" s="249"/>
      <c r="FT273" s="249"/>
      <c r="FU273" s="249"/>
      <c r="FV273" s="249"/>
      <c r="FW273" s="249"/>
      <c r="FX273" s="249"/>
      <c r="FY273" s="249"/>
      <c r="FZ273" s="249"/>
      <c r="GA273" s="249"/>
      <c r="GB273" s="249"/>
      <c r="GC273" s="249"/>
      <c r="GD273" s="249"/>
      <c r="GE273" s="249"/>
      <c r="GF273" s="249"/>
      <c r="GG273" s="249"/>
      <c r="GH273" s="249"/>
      <c r="GI273" s="249"/>
      <c r="GJ273" s="249"/>
      <c r="GK273" s="249"/>
      <c r="GL273" s="249"/>
      <c r="GM273" s="249"/>
      <c r="GN273" s="249"/>
      <c r="GO273" s="249"/>
      <c r="GP273" s="249"/>
      <c r="GQ273" s="249"/>
      <c r="GR273" s="249"/>
    </row>
    <row r="274" spans="1:200" s="252" customFormat="1" ht="13.5" customHeight="1" x14ac:dyDescent="0.2">
      <c r="A274" s="712"/>
      <c r="B274" s="1113"/>
      <c r="C274" s="1113"/>
      <c r="D274" s="536"/>
      <c r="E274" s="613"/>
      <c r="F274" s="249"/>
      <c r="G274" s="250"/>
      <c r="H274" s="250"/>
      <c r="I274" s="250"/>
      <c r="J274" s="250"/>
      <c r="K274" s="250"/>
      <c r="L274" s="250"/>
      <c r="M274" s="250"/>
      <c r="N274" s="250"/>
      <c r="O274" s="250"/>
      <c r="P274" s="251"/>
      <c r="Q274" s="251"/>
      <c r="R274" s="251"/>
      <c r="S274" s="249"/>
      <c r="T274" s="249"/>
      <c r="U274" s="256"/>
      <c r="V274" s="256"/>
      <c r="W274" s="257"/>
      <c r="X274" s="246">
        <f>SUM(X272:X273)</f>
        <v>0</v>
      </c>
      <c r="Y274" s="246">
        <f>SUM(Y272:Y273)</f>
        <v>0</v>
      </c>
      <c r="Z274" s="246"/>
      <c r="AA274" s="246">
        <f>SUM(AA272:AA273)</f>
        <v>0</v>
      </c>
      <c r="AB274" s="246"/>
      <c r="AC274" s="246">
        <f>SUM(AC272:AC273)</f>
        <v>0</v>
      </c>
      <c r="AD274" s="246"/>
      <c r="AE274" s="246">
        <f>SUM(AE272:AE273)</f>
        <v>0</v>
      </c>
      <c r="AF274" s="246"/>
      <c r="AG274" s="246">
        <f>SUM(AG272:AG273)</f>
        <v>0</v>
      </c>
      <c r="AH274" s="246"/>
      <c r="AI274" s="246">
        <f>SUM(AI272:AI273)</f>
        <v>0</v>
      </c>
      <c r="AJ274" s="246"/>
      <c r="AK274" s="246"/>
      <c r="AL274" s="246"/>
      <c r="AM274" s="1450">
        <f>SUM(AM272:AM273)</f>
        <v>0</v>
      </c>
      <c r="AN274" s="172"/>
      <c r="AO274" s="249"/>
      <c r="AP274" s="250"/>
      <c r="AQ274" s="250"/>
      <c r="AR274" s="250"/>
      <c r="AS274" s="250"/>
      <c r="AT274" s="250"/>
      <c r="AU274" s="250"/>
      <c r="AV274" s="249"/>
      <c r="AW274" s="249"/>
      <c r="AX274" s="249"/>
      <c r="AY274" s="249"/>
      <c r="AZ274" s="249"/>
      <c r="BA274" s="249"/>
      <c r="BB274" s="249"/>
      <c r="BC274" s="249"/>
      <c r="BD274" s="249"/>
      <c r="BE274" s="249"/>
      <c r="BF274" s="249"/>
      <c r="BG274" s="249"/>
      <c r="BH274" s="249"/>
      <c r="BI274" s="249"/>
      <c r="BJ274" s="249"/>
      <c r="BK274" s="249"/>
      <c r="BL274" s="249"/>
      <c r="BM274" s="249"/>
      <c r="BN274" s="249"/>
      <c r="BO274" s="249"/>
      <c r="BP274" s="249"/>
      <c r="BQ274" s="249"/>
      <c r="BR274" s="249"/>
      <c r="BS274" s="249"/>
      <c r="BT274" s="249"/>
      <c r="BU274" s="249"/>
      <c r="BV274" s="249"/>
      <c r="BW274" s="249"/>
      <c r="BX274" s="249"/>
      <c r="BY274" s="249"/>
      <c r="BZ274" s="249"/>
      <c r="CA274" s="249"/>
      <c r="CB274" s="249"/>
      <c r="CC274" s="249"/>
      <c r="CD274" s="249"/>
      <c r="CE274" s="249"/>
      <c r="CF274" s="249"/>
      <c r="CG274" s="249"/>
      <c r="CH274" s="249"/>
      <c r="CI274" s="249"/>
      <c r="CJ274" s="249"/>
      <c r="CK274" s="249"/>
      <c r="CL274" s="249"/>
      <c r="CM274" s="249"/>
      <c r="CN274" s="249"/>
      <c r="CO274" s="249"/>
      <c r="CP274" s="249"/>
      <c r="CQ274" s="249"/>
      <c r="CR274" s="249"/>
      <c r="CS274" s="249"/>
      <c r="CT274" s="249"/>
      <c r="CU274" s="249"/>
      <c r="CV274" s="249"/>
      <c r="CW274" s="249"/>
      <c r="CX274" s="249"/>
      <c r="CY274" s="249"/>
      <c r="CZ274" s="249"/>
      <c r="DA274" s="249"/>
      <c r="DB274" s="249"/>
      <c r="DC274" s="249"/>
      <c r="DD274" s="249"/>
      <c r="DE274" s="249"/>
      <c r="DF274" s="249"/>
      <c r="DG274" s="249"/>
      <c r="DH274" s="249"/>
      <c r="DI274" s="249"/>
      <c r="DJ274" s="249"/>
      <c r="DK274" s="249"/>
      <c r="DL274" s="249"/>
      <c r="DM274" s="249"/>
      <c r="DN274" s="249"/>
      <c r="DO274" s="249"/>
      <c r="DP274" s="249"/>
      <c r="DQ274" s="249"/>
      <c r="DR274" s="249"/>
      <c r="DS274" s="249"/>
      <c r="DT274" s="249"/>
      <c r="DU274" s="249"/>
      <c r="DV274" s="249"/>
      <c r="DW274" s="249"/>
      <c r="DX274" s="249"/>
      <c r="DY274" s="249"/>
      <c r="DZ274" s="249"/>
      <c r="EA274" s="249"/>
      <c r="EB274" s="249"/>
      <c r="EC274" s="249"/>
      <c r="ED274" s="249"/>
      <c r="EE274" s="249"/>
      <c r="EF274" s="249"/>
      <c r="EG274" s="249"/>
      <c r="EH274" s="249"/>
      <c r="EI274" s="249"/>
      <c r="EJ274" s="249"/>
      <c r="EK274" s="249"/>
      <c r="EL274" s="249"/>
      <c r="EM274" s="249"/>
      <c r="EN274" s="249"/>
      <c r="EO274" s="249"/>
      <c r="EP274" s="249"/>
      <c r="EQ274" s="249"/>
      <c r="ER274" s="249"/>
      <c r="ES274" s="249"/>
      <c r="ET274" s="249"/>
      <c r="EU274" s="249"/>
      <c r="EV274" s="249"/>
      <c r="EW274" s="249"/>
      <c r="EX274" s="249"/>
      <c r="EY274" s="249"/>
      <c r="EZ274" s="249"/>
      <c r="FA274" s="249"/>
      <c r="FB274" s="249"/>
      <c r="FC274" s="249"/>
      <c r="FD274" s="249"/>
      <c r="FE274" s="249"/>
      <c r="FF274" s="249"/>
      <c r="FG274" s="249"/>
      <c r="FH274" s="249"/>
      <c r="FI274" s="249"/>
      <c r="FJ274" s="249"/>
      <c r="FK274" s="249"/>
      <c r="FL274" s="249"/>
      <c r="FM274" s="249"/>
      <c r="FN274" s="249"/>
      <c r="FO274" s="249"/>
      <c r="FP274" s="249"/>
      <c r="FQ274" s="249"/>
      <c r="FR274" s="249"/>
      <c r="FS274" s="249"/>
      <c r="FT274" s="249"/>
      <c r="FU274" s="249"/>
      <c r="FV274" s="249"/>
      <c r="FW274" s="249"/>
      <c r="FX274" s="249"/>
      <c r="FY274" s="249"/>
      <c r="FZ274" s="249"/>
      <c r="GA274" s="249"/>
      <c r="GB274" s="249"/>
      <c r="GC274" s="249"/>
      <c r="GD274" s="249"/>
      <c r="GE274" s="249"/>
      <c r="GF274" s="249"/>
      <c r="GG274" s="249"/>
      <c r="GH274" s="249"/>
      <c r="GI274" s="249"/>
      <c r="GJ274" s="249"/>
      <c r="GK274" s="249"/>
      <c r="GL274" s="249"/>
      <c r="GM274" s="249"/>
      <c r="GN274" s="249"/>
      <c r="GO274" s="249"/>
      <c r="GP274" s="249"/>
      <c r="GQ274" s="249"/>
      <c r="GR274" s="249"/>
    </row>
    <row r="275" spans="1:200" s="252" customFormat="1" ht="12.75" customHeight="1" x14ac:dyDescent="0.2">
      <c r="A275" s="712"/>
      <c r="B275" s="1113"/>
      <c r="C275" s="1113"/>
      <c r="D275" s="522"/>
      <c r="E275" s="596"/>
      <c r="F275" s="249"/>
      <c r="G275" s="250"/>
      <c r="H275" s="250"/>
      <c r="I275" s="250"/>
      <c r="J275" s="250"/>
      <c r="K275" s="250"/>
      <c r="L275" s="250"/>
      <c r="M275" s="250"/>
      <c r="N275" s="250"/>
      <c r="O275" s="250"/>
      <c r="P275" s="251"/>
      <c r="Q275" s="251"/>
      <c r="R275" s="251"/>
      <c r="S275" s="249"/>
      <c r="T275" s="249"/>
      <c r="U275" s="173"/>
      <c r="V275" s="238"/>
      <c r="W275" s="172"/>
      <c r="X275" s="528"/>
      <c r="Y275" s="257"/>
      <c r="Z275" s="257"/>
      <c r="AA275" s="254"/>
      <c r="AB275" s="254"/>
      <c r="AC275" s="530"/>
      <c r="AD275" s="530"/>
      <c r="AE275" s="530"/>
      <c r="AF275" s="530"/>
      <c r="AG275" s="530"/>
      <c r="AH275" s="530"/>
      <c r="AI275" s="530"/>
      <c r="AJ275" s="530"/>
      <c r="AK275" s="530"/>
      <c r="AL275" s="530"/>
      <c r="AM275" s="522"/>
      <c r="AN275" s="172"/>
      <c r="AO275" s="249"/>
      <c r="AP275" s="250"/>
      <c r="AQ275" s="250"/>
      <c r="AR275" s="250"/>
      <c r="AS275" s="250"/>
      <c r="AT275" s="250"/>
      <c r="AU275" s="250"/>
      <c r="AV275" s="249"/>
      <c r="AW275" s="249"/>
      <c r="AX275" s="249"/>
      <c r="AY275" s="249"/>
      <c r="AZ275" s="249"/>
      <c r="BA275" s="249"/>
      <c r="BB275" s="249"/>
      <c r="BC275" s="249"/>
      <c r="BD275" s="249"/>
      <c r="BE275" s="249"/>
      <c r="BF275" s="249"/>
      <c r="BG275" s="249"/>
      <c r="BH275" s="249"/>
      <c r="BI275" s="249"/>
      <c r="BJ275" s="249"/>
      <c r="BK275" s="249"/>
      <c r="BL275" s="249"/>
      <c r="BM275" s="249"/>
      <c r="BN275" s="249"/>
      <c r="BO275" s="249"/>
      <c r="BP275" s="249"/>
      <c r="BQ275" s="249"/>
      <c r="BR275" s="249"/>
      <c r="BS275" s="249"/>
      <c r="BT275" s="249"/>
      <c r="BU275" s="249"/>
      <c r="BV275" s="249"/>
      <c r="BW275" s="249"/>
      <c r="BX275" s="249"/>
      <c r="BY275" s="249"/>
      <c r="BZ275" s="249"/>
      <c r="CA275" s="249"/>
      <c r="CB275" s="249"/>
      <c r="CC275" s="249"/>
      <c r="CD275" s="249"/>
      <c r="CE275" s="249"/>
      <c r="CF275" s="249"/>
      <c r="CG275" s="249"/>
      <c r="CH275" s="249"/>
      <c r="CI275" s="249"/>
      <c r="CJ275" s="249"/>
      <c r="CK275" s="249"/>
      <c r="CL275" s="249"/>
      <c r="CM275" s="249"/>
      <c r="CN275" s="249"/>
      <c r="CO275" s="249"/>
      <c r="CP275" s="249"/>
      <c r="CQ275" s="249"/>
      <c r="CR275" s="249"/>
      <c r="CS275" s="249"/>
      <c r="CT275" s="249"/>
      <c r="CU275" s="249"/>
      <c r="CV275" s="249"/>
      <c r="CW275" s="249"/>
      <c r="CX275" s="249"/>
      <c r="CY275" s="249"/>
      <c r="CZ275" s="249"/>
      <c r="DA275" s="249"/>
      <c r="DB275" s="249"/>
      <c r="DC275" s="249"/>
      <c r="DD275" s="249"/>
      <c r="DE275" s="249"/>
      <c r="DF275" s="249"/>
      <c r="DG275" s="249"/>
      <c r="DH275" s="249"/>
      <c r="DI275" s="249"/>
      <c r="DJ275" s="249"/>
      <c r="DK275" s="249"/>
      <c r="DL275" s="249"/>
      <c r="DM275" s="249"/>
      <c r="DN275" s="249"/>
      <c r="DO275" s="249"/>
      <c r="DP275" s="249"/>
      <c r="DQ275" s="249"/>
      <c r="DR275" s="249"/>
      <c r="DS275" s="249"/>
      <c r="DT275" s="249"/>
      <c r="DU275" s="249"/>
      <c r="DV275" s="249"/>
      <c r="DW275" s="249"/>
      <c r="DX275" s="249"/>
      <c r="DY275" s="249"/>
      <c r="DZ275" s="249"/>
      <c r="EA275" s="249"/>
      <c r="EB275" s="249"/>
      <c r="EC275" s="249"/>
      <c r="ED275" s="249"/>
      <c r="EE275" s="249"/>
      <c r="EF275" s="249"/>
      <c r="EG275" s="249"/>
      <c r="EH275" s="249"/>
      <c r="EI275" s="249"/>
      <c r="EJ275" s="249"/>
      <c r="EK275" s="249"/>
      <c r="EL275" s="249"/>
      <c r="EM275" s="249"/>
      <c r="EN275" s="249"/>
      <c r="EO275" s="249"/>
      <c r="EP275" s="249"/>
      <c r="EQ275" s="249"/>
      <c r="ER275" s="249"/>
      <c r="ES275" s="249"/>
      <c r="ET275" s="249"/>
      <c r="EU275" s="249"/>
      <c r="EV275" s="249"/>
      <c r="EW275" s="249"/>
      <c r="EX275" s="249"/>
      <c r="EY275" s="249"/>
      <c r="EZ275" s="249"/>
      <c r="FA275" s="249"/>
      <c r="FB275" s="249"/>
      <c r="FC275" s="249"/>
      <c r="FD275" s="249"/>
      <c r="FE275" s="249"/>
      <c r="FF275" s="249"/>
      <c r="FG275" s="249"/>
      <c r="FH275" s="249"/>
      <c r="FI275" s="249"/>
      <c r="FJ275" s="249"/>
      <c r="FK275" s="249"/>
      <c r="FL275" s="249"/>
      <c r="FM275" s="249"/>
      <c r="FN275" s="249"/>
      <c r="FO275" s="249"/>
      <c r="FP275" s="249"/>
      <c r="FQ275" s="249"/>
      <c r="FR275" s="249"/>
      <c r="FS275" s="249"/>
      <c r="FT275" s="249"/>
      <c r="FU275" s="249"/>
      <c r="FV275" s="249"/>
      <c r="FW275" s="249"/>
      <c r="FX275" s="249"/>
      <c r="FY275" s="249"/>
      <c r="FZ275" s="249"/>
      <c r="GA275" s="249"/>
      <c r="GB275" s="249"/>
      <c r="GC275" s="249"/>
      <c r="GD275" s="249"/>
      <c r="GE275" s="249"/>
      <c r="GF275" s="249"/>
      <c r="GG275" s="249"/>
      <c r="GH275" s="249"/>
      <c r="GI275" s="249"/>
      <c r="GJ275" s="249"/>
      <c r="GK275" s="249"/>
      <c r="GL275" s="249"/>
      <c r="GM275" s="249"/>
      <c r="GN275" s="249"/>
      <c r="GO275" s="249"/>
      <c r="GP275" s="249"/>
      <c r="GQ275" s="249"/>
      <c r="GR275" s="249"/>
    </row>
    <row r="276" spans="1:200" s="252" customFormat="1" ht="12.75" customHeight="1" x14ac:dyDescent="0.2">
      <c r="A276" s="732"/>
      <c r="B276" s="1133"/>
      <c r="C276" s="1133"/>
      <c r="D276" s="220"/>
      <c r="E276" s="596"/>
      <c r="F276" s="249"/>
      <c r="G276" s="250"/>
      <c r="H276" s="250"/>
      <c r="I276" s="250"/>
      <c r="J276" s="250"/>
      <c r="K276" s="250"/>
      <c r="L276" s="250"/>
      <c r="M276" s="250"/>
      <c r="N276" s="250"/>
      <c r="O276" s="250"/>
      <c r="P276" s="251"/>
      <c r="Q276" s="251"/>
      <c r="R276" s="251"/>
      <c r="S276" s="249"/>
      <c r="T276" s="249"/>
      <c r="U276" s="173"/>
      <c r="V276" s="238"/>
      <c r="W276" s="172"/>
      <c r="X276" s="228"/>
      <c r="Y276" s="202"/>
      <c r="Z276" s="202"/>
      <c r="AA276" s="172"/>
      <c r="AB276" s="172" t="s">
        <v>2265</v>
      </c>
      <c r="AC276" s="196"/>
      <c r="AD276" s="196"/>
      <c r="AE276" s="196"/>
      <c r="AF276" s="196"/>
      <c r="AG276" s="196"/>
      <c r="AH276" s="196"/>
      <c r="AI276" s="196"/>
      <c r="AJ276" s="196"/>
      <c r="AK276" s="196"/>
      <c r="AL276" s="196"/>
      <c r="AM276" s="220"/>
      <c r="AN276" s="172"/>
      <c r="AO276" s="249"/>
      <c r="AP276" s="250"/>
      <c r="AQ276" s="250"/>
      <c r="AR276" s="250"/>
      <c r="AS276" s="250"/>
      <c r="AT276" s="250"/>
      <c r="AU276" s="250"/>
      <c r="AV276" s="249"/>
      <c r="AW276" s="249"/>
      <c r="AX276" s="249"/>
      <c r="AY276" s="249"/>
      <c r="AZ276" s="249"/>
      <c r="BA276" s="249"/>
      <c r="BB276" s="249"/>
      <c r="BC276" s="249"/>
      <c r="BD276" s="249"/>
      <c r="BE276" s="249"/>
      <c r="BF276" s="249"/>
      <c r="BG276" s="249"/>
      <c r="BH276" s="249"/>
      <c r="BI276" s="249"/>
      <c r="BJ276" s="249"/>
      <c r="BK276" s="249"/>
      <c r="BL276" s="249"/>
      <c r="BM276" s="249"/>
      <c r="BN276" s="249"/>
      <c r="BO276" s="249"/>
      <c r="BP276" s="249"/>
      <c r="BQ276" s="249"/>
      <c r="BR276" s="249"/>
      <c r="BS276" s="249"/>
      <c r="BT276" s="249"/>
      <c r="BU276" s="249"/>
      <c r="BV276" s="249"/>
      <c r="BW276" s="249"/>
      <c r="BX276" s="249"/>
      <c r="BY276" s="249"/>
      <c r="BZ276" s="249"/>
      <c r="CA276" s="249"/>
      <c r="CB276" s="249"/>
      <c r="CC276" s="249"/>
      <c r="CD276" s="249"/>
      <c r="CE276" s="249"/>
      <c r="CF276" s="249"/>
      <c r="CG276" s="249"/>
      <c r="CH276" s="249"/>
      <c r="CI276" s="249"/>
      <c r="CJ276" s="249"/>
      <c r="CK276" s="249"/>
      <c r="CL276" s="249"/>
      <c r="CM276" s="249"/>
      <c r="CN276" s="249"/>
      <c r="CO276" s="249"/>
      <c r="CP276" s="249"/>
      <c r="CQ276" s="249"/>
      <c r="CR276" s="249"/>
      <c r="CS276" s="249"/>
      <c r="CT276" s="249"/>
      <c r="CU276" s="249"/>
      <c r="CV276" s="249"/>
      <c r="CW276" s="249"/>
      <c r="CX276" s="249"/>
      <c r="CY276" s="249"/>
      <c r="CZ276" s="249"/>
      <c r="DA276" s="249"/>
      <c r="DB276" s="249"/>
      <c r="DC276" s="249"/>
      <c r="DD276" s="249"/>
      <c r="DE276" s="249"/>
      <c r="DF276" s="249"/>
      <c r="DG276" s="249"/>
      <c r="DH276" s="249"/>
      <c r="DI276" s="249"/>
      <c r="DJ276" s="249"/>
      <c r="DK276" s="249"/>
      <c r="DL276" s="249"/>
      <c r="DM276" s="249"/>
      <c r="DN276" s="249"/>
      <c r="DO276" s="249"/>
      <c r="DP276" s="249"/>
      <c r="DQ276" s="249"/>
      <c r="DR276" s="249"/>
      <c r="DS276" s="249"/>
      <c r="DT276" s="249"/>
      <c r="DU276" s="249"/>
      <c r="DV276" s="249"/>
      <c r="DW276" s="249"/>
      <c r="DX276" s="249"/>
      <c r="DY276" s="249"/>
      <c r="DZ276" s="249"/>
      <c r="EA276" s="249"/>
      <c r="EB276" s="249"/>
      <c r="EC276" s="249"/>
      <c r="ED276" s="249"/>
      <c r="EE276" s="249"/>
      <c r="EF276" s="249"/>
      <c r="EG276" s="249"/>
      <c r="EH276" s="249"/>
      <c r="EI276" s="249"/>
      <c r="EJ276" s="249"/>
      <c r="EK276" s="249"/>
      <c r="EL276" s="249"/>
      <c r="EM276" s="249"/>
      <c r="EN276" s="249"/>
      <c r="EO276" s="249"/>
      <c r="EP276" s="249"/>
      <c r="EQ276" s="249"/>
      <c r="ER276" s="249"/>
      <c r="ES276" s="249"/>
      <c r="ET276" s="249"/>
      <c r="EU276" s="249"/>
      <c r="EV276" s="249"/>
      <c r="EW276" s="249"/>
      <c r="EX276" s="249"/>
      <c r="EY276" s="249"/>
      <c r="EZ276" s="249"/>
      <c r="FA276" s="249"/>
      <c r="FB276" s="249"/>
      <c r="FC276" s="249"/>
      <c r="FD276" s="249"/>
      <c r="FE276" s="249"/>
      <c r="FF276" s="249"/>
      <c r="FG276" s="249"/>
      <c r="FH276" s="249"/>
      <c r="FI276" s="249"/>
      <c r="FJ276" s="249"/>
      <c r="FK276" s="249"/>
      <c r="FL276" s="249"/>
      <c r="FM276" s="249"/>
      <c r="FN276" s="249"/>
      <c r="FO276" s="249"/>
      <c r="FP276" s="249"/>
      <c r="FQ276" s="249"/>
      <c r="FR276" s="249"/>
      <c r="FS276" s="249"/>
      <c r="FT276" s="249"/>
      <c r="FU276" s="249"/>
      <c r="FV276" s="249"/>
      <c r="FW276" s="249"/>
      <c r="FX276" s="249"/>
      <c r="FY276" s="249"/>
      <c r="FZ276" s="249"/>
      <c r="GA276" s="249"/>
      <c r="GB276" s="249"/>
      <c r="GC276" s="249"/>
      <c r="GD276" s="249"/>
      <c r="GE276" s="249"/>
      <c r="GF276" s="249"/>
      <c r="GG276" s="249"/>
      <c r="GH276" s="249"/>
      <c r="GI276" s="249"/>
      <c r="GJ276" s="249"/>
      <c r="GK276" s="249"/>
      <c r="GL276" s="249"/>
      <c r="GM276" s="249"/>
      <c r="GN276" s="249"/>
      <c r="GO276" s="249"/>
      <c r="GP276" s="249"/>
      <c r="GQ276" s="249"/>
      <c r="GR276" s="249"/>
    </row>
    <row r="277" spans="1:200" s="252" customFormat="1" ht="13.5" customHeight="1" x14ac:dyDescent="0.2">
      <c r="A277" s="724"/>
      <c r="B277" s="1125"/>
      <c r="C277" s="1125"/>
      <c r="D277" s="528"/>
      <c r="E277" s="596"/>
      <c r="F277" s="249"/>
      <c r="G277" s="250"/>
      <c r="H277" s="250"/>
      <c r="I277" s="250"/>
      <c r="J277" s="250"/>
      <c r="K277" s="250"/>
      <c r="L277" s="250"/>
      <c r="M277" s="250"/>
      <c r="N277" s="250"/>
      <c r="O277" s="250"/>
      <c r="P277" s="251"/>
      <c r="Q277" s="251"/>
      <c r="R277" s="251"/>
      <c r="S277" s="251"/>
      <c r="T277" s="251"/>
      <c r="U277" s="1968" t="s">
        <v>2446</v>
      </c>
      <c r="V277" s="1423" t="s">
        <v>168</v>
      </c>
      <c r="W277" s="1444"/>
      <c r="X277" s="665"/>
      <c r="Y277" s="254"/>
      <c r="Z277" s="254"/>
      <c r="AA277" s="528"/>
      <c r="AB277" s="2169" t="str">
        <f>INPUT!D14</f>
        <v>NO</v>
      </c>
      <c r="AC277" s="254"/>
      <c r="AD277" s="254"/>
      <c r="AE277" s="254"/>
      <c r="AF277" s="254"/>
      <c r="AG277" s="254"/>
      <c r="AH277" s="254"/>
      <c r="AI277" s="254"/>
      <c r="AJ277" s="254"/>
      <c r="AK277" s="254"/>
      <c r="AL277" s="254"/>
      <c r="AM277" s="528"/>
      <c r="AN277" s="254"/>
      <c r="AO277" s="249"/>
      <c r="AP277" s="250"/>
      <c r="AQ277" s="250"/>
      <c r="AR277" s="250"/>
      <c r="AS277" s="250"/>
      <c r="AT277" s="250"/>
      <c r="AU277" s="250"/>
      <c r="AV277" s="249"/>
      <c r="AW277" s="249"/>
      <c r="AX277" s="249"/>
      <c r="AY277" s="249"/>
      <c r="AZ277" s="249"/>
      <c r="BA277" s="249"/>
      <c r="BB277" s="249"/>
      <c r="BC277" s="249"/>
      <c r="BD277" s="249"/>
      <c r="BE277" s="249"/>
      <c r="BF277" s="249"/>
      <c r="BG277" s="249"/>
      <c r="BH277" s="249"/>
      <c r="BI277" s="249"/>
      <c r="BJ277" s="249"/>
      <c r="BK277" s="249"/>
      <c r="BL277" s="249"/>
      <c r="BM277" s="249"/>
      <c r="BN277" s="249"/>
      <c r="BO277" s="249"/>
      <c r="BP277" s="249"/>
      <c r="BQ277" s="249"/>
      <c r="BR277" s="249"/>
      <c r="BS277" s="249"/>
      <c r="BT277" s="249"/>
      <c r="BU277" s="249"/>
      <c r="BV277" s="249"/>
      <c r="BW277" s="249"/>
      <c r="BX277" s="249"/>
      <c r="BY277" s="249"/>
      <c r="BZ277" s="249"/>
      <c r="CA277" s="249"/>
      <c r="CB277" s="249"/>
      <c r="CC277" s="249"/>
      <c r="CD277" s="249"/>
      <c r="CE277" s="249"/>
      <c r="CF277" s="249"/>
      <c r="CG277" s="249"/>
      <c r="CH277" s="249"/>
      <c r="CI277" s="249"/>
      <c r="CJ277" s="249"/>
      <c r="CK277" s="249"/>
      <c r="CL277" s="249"/>
      <c r="CM277" s="249"/>
      <c r="CN277" s="249"/>
      <c r="CO277" s="249"/>
      <c r="CP277" s="249"/>
      <c r="CQ277" s="249"/>
      <c r="CR277" s="249"/>
      <c r="CS277" s="249"/>
      <c r="CT277" s="249"/>
      <c r="CU277" s="249"/>
      <c r="CV277" s="249"/>
      <c r="CW277" s="249"/>
      <c r="CX277" s="249"/>
      <c r="CY277" s="249"/>
      <c r="CZ277" s="249"/>
      <c r="DA277" s="249"/>
      <c r="DB277" s="249"/>
      <c r="DC277" s="249"/>
      <c r="DD277" s="249"/>
      <c r="DE277" s="249"/>
      <c r="DF277" s="249"/>
      <c r="DG277" s="249"/>
      <c r="DH277" s="249"/>
      <c r="DI277" s="249"/>
      <c r="DJ277" s="249"/>
      <c r="DK277" s="249"/>
      <c r="DL277" s="249"/>
      <c r="DM277" s="249"/>
      <c r="DN277" s="249"/>
      <c r="DO277" s="249"/>
      <c r="DP277" s="249"/>
      <c r="DQ277" s="249"/>
      <c r="DR277" s="249"/>
      <c r="DS277" s="249"/>
      <c r="DT277" s="249"/>
      <c r="DU277" s="249"/>
      <c r="DV277" s="249"/>
      <c r="DW277" s="249"/>
      <c r="DX277" s="249"/>
      <c r="DY277" s="249"/>
      <c r="DZ277" s="249"/>
      <c r="EA277" s="249"/>
      <c r="EB277" s="249"/>
      <c r="EC277" s="249"/>
      <c r="ED277" s="249"/>
      <c r="EE277" s="249"/>
      <c r="EF277" s="249"/>
      <c r="EG277" s="249"/>
      <c r="EH277" s="249"/>
      <c r="EI277" s="249"/>
      <c r="EJ277" s="249"/>
      <c r="EK277" s="249"/>
      <c r="EL277" s="249"/>
      <c r="EM277" s="249"/>
      <c r="EN277" s="249"/>
      <c r="EO277" s="249"/>
      <c r="EP277" s="249"/>
      <c r="EQ277" s="249"/>
      <c r="ER277" s="249"/>
      <c r="ES277" s="249"/>
      <c r="ET277" s="249"/>
      <c r="EU277" s="249"/>
      <c r="EV277" s="249"/>
      <c r="EW277" s="249"/>
      <c r="EX277" s="249"/>
      <c r="EY277" s="249"/>
      <c r="EZ277" s="249"/>
      <c r="FA277" s="249"/>
      <c r="FB277" s="249"/>
      <c r="FC277" s="249"/>
      <c r="FD277" s="249"/>
      <c r="FE277" s="249"/>
      <c r="FF277" s="249"/>
      <c r="FG277" s="249"/>
      <c r="FH277" s="249"/>
      <c r="FI277" s="249"/>
      <c r="FJ277" s="249"/>
      <c r="FK277" s="249"/>
      <c r="FL277" s="249"/>
      <c r="FM277" s="249"/>
      <c r="FN277" s="249"/>
      <c r="FO277" s="249"/>
      <c r="FP277" s="249"/>
      <c r="FQ277" s="249"/>
      <c r="FR277" s="249"/>
      <c r="FS277" s="249"/>
      <c r="FT277" s="249"/>
      <c r="FU277" s="249"/>
      <c r="FV277" s="249"/>
      <c r="FW277" s="249"/>
      <c r="FX277" s="249"/>
      <c r="FY277" s="249"/>
      <c r="FZ277" s="249"/>
      <c r="GA277" s="249"/>
      <c r="GB277" s="249"/>
      <c r="GC277" s="249"/>
      <c r="GD277" s="249"/>
      <c r="GE277" s="249"/>
      <c r="GF277" s="249"/>
      <c r="GG277" s="249"/>
      <c r="GH277" s="249"/>
      <c r="GI277" s="249"/>
      <c r="GJ277" s="249"/>
      <c r="GK277" s="249"/>
      <c r="GL277" s="249"/>
      <c r="GM277" s="249"/>
      <c r="GN277" s="249"/>
      <c r="GO277" s="249"/>
      <c r="GP277" s="249"/>
      <c r="GQ277" s="249"/>
      <c r="GR277" s="249"/>
    </row>
    <row r="278" spans="1:200" s="252" customFormat="1" ht="13.5" customHeight="1" x14ac:dyDescent="0.2">
      <c r="A278" s="728"/>
      <c r="B278" s="1129"/>
      <c r="C278" s="1129"/>
      <c r="D278" s="531"/>
      <c r="E278" s="613"/>
      <c r="F278" s="249"/>
      <c r="G278" s="250"/>
      <c r="H278" s="250"/>
      <c r="I278" s="250"/>
      <c r="J278" s="250"/>
      <c r="K278" s="250"/>
      <c r="L278" s="250"/>
      <c r="M278" s="250"/>
      <c r="N278" s="250"/>
      <c r="O278" s="250"/>
      <c r="P278" s="251"/>
      <c r="Q278" s="251"/>
      <c r="R278" s="251"/>
      <c r="S278" s="251"/>
      <c r="T278" s="251"/>
      <c r="U278" s="2513" t="s">
        <v>152</v>
      </c>
      <c r="V278" s="2514"/>
      <c r="W278" s="1440" t="s">
        <v>153</v>
      </c>
      <c r="X278" s="1426" t="str">
        <f t="shared" ref="X278:AK278" si="74">X$14</f>
        <v>RIGMOVE</v>
      </c>
      <c r="Y278" s="1426" t="str">
        <f t="shared" si="74"/>
        <v>DSURFACE</v>
      </c>
      <c r="Z278" s="1426" t="str">
        <f t="shared" si="74"/>
        <v>FSURFACE</v>
      </c>
      <c r="AA278" s="1426" t="str">
        <f t="shared" si="74"/>
        <v>DINTERMEDIATE</v>
      </c>
      <c r="AB278" s="1426" t="str">
        <f t="shared" si="74"/>
        <v>FINTERMEDIATE</v>
      </c>
      <c r="AC278" s="1426" t="str">
        <f t="shared" si="74"/>
        <v>DPRODUCTION</v>
      </c>
      <c r="AD278" s="1426" t="str">
        <f t="shared" si="74"/>
        <v>FPRODUCTION</v>
      </c>
      <c r="AE278" s="1426" t="str">
        <f t="shared" si="74"/>
        <v>DLINER1</v>
      </c>
      <c r="AF278" s="1426" t="str">
        <f t="shared" si="74"/>
        <v>FLINER1</v>
      </c>
      <c r="AG278" s="1426" t="str">
        <f t="shared" si="74"/>
        <v>DLINER2</v>
      </c>
      <c r="AH278" s="1426" t="str">
        <f t="shared" si="74"/>
        <v>FLINER2</v>
      </c>
      <c r="AI278" s="1426" t="str">
        <f t="shared" si="74"/>
        <v/>
      </c>
      <c r="AJ278" s="1426" t="str">
        <f t="shared" si="74"/>
        <v/>
      </c>
      <c r="AK278" s="1426" t="str">
        <f t="shared" si="74"/>
        <v/>
      </c>
      <c r="AL278" s="1426"/>
      <c r="AM278" s="1437" t="s">
        <v>101</v>
      </c>
      <c r="AN278" s="254"/>
      <c r="AO278" s="249"/>
      <c r="AP278" s="250"/>
      <c r="AQ278" s="250"/>
      <c r="AR278" s="250"/>
      <c r="AS278" s="250"/>
      <c r="AT278" s="250"/>
      <c r="AU278" s="250"/>
      <c r="AV278" s="249"/>
      <c r="AW278" s="249"/>
      <c r="AX278" s="249"/>
      <c r="AY278" s="249"/>
      <c r="AZ278" s="249"/>
      <c r="BA278" s="249"/>
      <c r="BB278" s="249"/>
      <c r="BC278" s="249"/>
      <c r="BD278" s="249"/>
      <c r="BE278" s="249"/>
      <c r="BF278" s="249"/>
      <c r="BG278" s="249"/>
      <c r="BH278" s="249"/>
      <c r="BI278" s="249"/>
      <c r="BJ278" s="249"/>
      <c r="BK278" s="249"/>
      <c r="BL278" s="249"/>
      <c r="BM278" s="249"/>
      <c r="BN278" s="249"/>
      <c r="BO278" s="249"/>
      <c r="BP278" s="249"/>
      <c r="BQ278" s="249"/>
      <c r="BR278" s="249"/>
      <c r="BS278" s="249"/>
      <c r="BT278" s="249"/>
      <c r="BU278" s="249"/>
      <c r="BV278" s="249"/>
      <c r="BW278" s="249"/>
      <c r="BX278" s="249"/>
      <c r="BY278" s="249"/>
      <c r="BZ278" s="249"/>
      <c r="CA278" s="249"/>
      <c r="CB278" s="249"/>
      <c r="CC278" s="249"/>
      <c r="CD278" s="249"/>
      <c r="CE278" s="249"/>
      <c r="CF278" s="249"/>
      <c r="CG278" s="249"/>
      <c r="CH278" s="249"/>
      <c r="CI278" s="249"/>
      <c r="CJ278" s="249"/>
      <c r="CK278" s="249"/>
      <c r="CL278" s="249"/>
      <c r="CM278" s="249"/>
      <c r="CN278" s="249"/>
      <c r="CO278" s="249"/>
      <c r="CP278" s="249"/>
      <c r="CQ278" s="249"/>
      <c r="CR278" s="249"/>
      <c r="CS278" s="249"/>
      <c r="CT278" s="249"/>
      <c r="CU278" s="249"/>
      <c r="CV278" s="249"/>
      <c r="CW278" s="249"/>
      <c r="CX278" s="249"/>
      <c r="CY278" s="249"/>
      <c r="CZ278" s="249"/>
      <c r="DA278" s="249"/>
      <c r="DB278" s="249"/>
      <c r="DC278" s="249"/>
      <c r="DD278" s="249"/>
      <c r="DE278" s="249"/>
      <c r="DF278" s="249"/>
      <c r="DG278" s="249"/>
      <c r="DH278" s="249"/>
      <c r="DI278" s="249"/>
      <c r="DJ278" s="249"/>
      <c r="DK278" s="249"/>
      <c r="DL278" s="249"/>
      <c r="DM278" s="249"/>
      <c r="DN278" s="249"/>
      <c r="DO278" s="249"/>
      <c r="DP278" s="249"/>
      <c r="DQ278" s="249"/>
      <c r="DR278" s="249"/>
      <c r="DS278" s="249"/>
      <c r="DT278" s="249"/>
      <c r="DU278" s="249"/>
      <c r="DV278" s="249"/>
      <c r="DW278" s="249"/>
      <c r="DX278" s="249"/>
      <c r="DY278" s="249"/>
      <c r="DZ278" s="249"/>
      <c r="EA278" s="249"/>
      <c r="EB278" s="249"/>
      <c r="EC278" s="249"/>
      <c r="ED278" s="249"/>
      <c r="EE278" s="249"/>
      <c r="EF278" s="249"/>
      <c r="EG278" s="249"/>
      <c r="EH278" s="249"/>
      <c r="EI278" s="249"/>
      <c r="EJ278" s="249"/>
      <c r="EK278" s="249"/>
      <c r="EL278" s="249"/>
      <c r="EM278" s="249"/>
      <c r="EN278" s="249"/>
      <c r="EO278" s="249"/>
      <c r="EP278" s="249"/>
      <c r="EQ278" s="249"/>
      <c r="ER278" s="249"/>
      <c r="ES278" s="249"/>
      <c r="ET278" s="249"/>
      <c r="EU278" s="249"/>
      <c r="EV278" s="249"/>
      <c r="EW278" s="249"/>
      <c r="EX278" s="249"/>
      <c r="EY278" s="249"/>
      <c r="EZ278" s="249"/>
      <c r="FA278" s="249"/>
      <c r="FB278" s="249"/>
      <c r="FC278" s="249"/>
      <c r="FD278" s="249"/>
      <c r="FE278" s="249"/>
      <c r="FF278" s="249"/>
      <c r="FG278" s="249"/>
      <c r="FH278" s="249"/>
      <c r="FI278" s="249"/>
      <c r="FJ278" s="249"/>
      <c r="FK278" s="249"/>
      <c r="FL278" s="249"/>
      <c r="FM278" s="249"/>
      <c r="FN278" s="249"/>
      <c r="FO278" s="249"/>
      <c r="FP278" s="249"/>
      <c r="FQ278" s="249"/>
      <c r="FR278" s="249"/>
      <c r="FS278" s="249"/>
      <c r="FT278" s="249"/>
      <c r="FU278" s="249"/>
      <c r="FV278" s="249"/>
      <c r="FW278" s="249"/>
      <c r="FX278" s="249"/>
      <c r="FY278" s="249"/>
      <c r="FZ278" s="249"/>
      <c r="GA278" s="249"/>
      <c r="GB278" s="249"/>
      <c r="GC278" s="249"/>
      <c r="GD278" s="249"/>
      <c r="GE278" s="249"/>
      <c r="GF278" s="249"/>
      <c r="GG278" s="249"/>
      <c r="GH278" s="249"/>
      <c r="GI278" s="249"/>
      <c r="GJ278" s="249"/>
      <c r="GK278" s="249"/>
      <c r="GL278" s="249"/>
      <c r="GM278" s="249"/>
      <c r="GN278" s="249"/>
      <c r="GO278" s="249"/>
      <c r="GP278" s="249"/>
      <c r="GQ278" s="249"/>
      <c r="GR278" s="249"/>
    </row>
    <row r="279" spans="1:200" s="252" customFormat="1" ht="12.75" customHeight="1" x14ac:dyDescent="0.2">
      <c r="A279" s="722"/>
      <c r="B279" s="1123"/>
      <c r="C279" s="1123"/>
      <c r="D279" s="525"/>
      <c r="E279" s="599"/>
      <c r="F279" s="249"/>
      <c r="G279" s="250"/>
      <c r="H279" s="250"/>
      <c r="I279" s="250"/>
      <c r="J279" s="250"/>
      <c r="K279" s="250"/>
      <c r="L279" s="250"/>
      <c r="M279" s="250"/>
      <c r="N279" s="250"/>
      <c r="O279" s="250"/>
      <c r="P279" s="251"/>
      <c r="Q279" s="251"/>
      <c r="R279" s="251"/>
      <c r="S279" s="251"/>
      <c r="T279" s="251"/>
      <c r="U279" s="287" t="str">
        <f t="shared" ref="U279:U319" si="75">IF(RH_BH="Big Hole","Yes", "No")</f>
        <v>Yes</v>
      </c>
      <c r="V279" s="1446" t="str">
        <f>IF(U279="Yes",'Casings et al'!C3,'Casings et al'!I3)</f>
        <v>26" OD Casing, 203ppf, Grade  X56, LSD</v>
      </c>
      <c r="W279" s="286" t="s">
        <v>169</v>
      </c>
      <c r="X279" s="243"/>
      <c r="Y279" s="243"/>
      <c r="Z279" s="2103">
        <f>IF(U279="Yes",'Casings et al'!E3,'Casings et al'!K3)</f>
        <v>12</v>
      </c>
      <c r="AA279" s="243"/>
      <c r="AB279" s="243">
        <f>IFERROR((VLOOKUP($V279,IF((INPUT!$D$7="Big Hole"),BHCSG,RHCSG),3,FALSE)*IF((VLOOKUP(V279,IF((INPUT!$D$7="Big Hole"),BHCSG,RHCSG),2,FALSE)=AB$278),1,0)),0)</f>
        <v>0</v>
      </c>
      <c r="AC279" s="243"/>
      <c r="AD279" s="243">
        <f>IFERROR((VLOOKUP($V279,IF((INPUT!$D$7="Big Hole"),BHCSG,RHCSG),3,FALSE)*IF((VLOOKUP($V279,IF((INPUT!$D$7="Big Hole"),BHCSG,RHCSG),2,FALSE)=AD$278),1,0)),0)</f>
        <v>0</v>
      </c>
      <c r="AE279" s="243"/>
      <c r="AF279" s="243">
        <f>IFERROR((VLOOKUP($V279,IF((INPUT!$D$7="Big Hole"),BHCSG,RHCSG),3,FALSE)*IF((VLOOKUP($V279,IF((INPUT!$D$7="Big Hole"),BHCSG,RHCSG),2,FALSE)=AF$278),1,0)),0)</f>
        <v>0</v>
      </c>
      <c r="AG279" s="243"/>
      <c r="AH279" s="243">
        <f>IFERROR((VLOOKUP($V279,IF((INPUT!$D$7="Big Hole"),BHCSG,RHCSG),3,FALSE)*IF((VLOOKUP($V279,IF((INPUT!$D$7="Big Hole"),BHCSG,RHCSG),2,FALSE)=AH$278),1,0)),0)</f>
        <v>0</v>
      </c>
      <c r="AI279" s="243"/>
      <c r="AJ279" s="243">
        <f>IFERROR((VLOOKUP($V279,IF((INPUT!$D$7="Big Hole"),BHCSG,RHCSG),3,FALSE)*IF((VLOOKUP($V279,IF((INPUT!$D$7="Big Hole"),BHCSG,RHCSG),2,FALSE)=AJ$278),1,0)),0)</f>
        <v>0</v>
      </c>
      <c r="AK279" s="243">
        <f>IFERROR((VLOOKUP($V279,IF((INPUT!$D$7="Big Hole"),BHCSG,RHCSG),3,FALSE)*IF((VLOOKUP($V279,IF((INPUT!$D$7="Big Hole"),BHCSG,RHCSG),2,FALSE)=AK$278),1,0)),0)</f>
        <v>0</v>
      </c>
      <c r="AL279" s="243"/>
      <c r="AM279" s="475">
        <f t="shared" ref="AM279:AM311" si="76">SUM(X279:AL279)</f>
        <v>12</v>
      </c>
      <c r="AN279" s="254"/>
      <c r="AO279" s="249"/>
      <c r="AP279" s="250"/>
      <c r="AQ279" s="250"/>
      <c r="AR279" s="250"/>
      <c r="AS279" s="250"/>
      <c r="AT279" s="250"/>
      <c r="AU279" s="250"/>
      <c r="AV279" s="249"/>
      <c r="AW279" s="249"/>
      <c r="AX279" s="249"/>
      <c r="AY279" s="249"/>
      <c r="AZ279" s="249"/>
      <c r="BA279" s="249"/>
      <c r="BB279" s="249"/>
      <c r="BC279" s="249"/>
      <c r="BD279" s="249"/>
      <c r="BE279" s="249"/>
      <c r="BF279" s="249"/>
      <c r="BG279" s="249"/>
      <c r="BH279" s="249"/>
      <c r="BI279" s="249"/>
      <c r="BJ279" s="249"/>
      <c r="BK279" s="249"/>
      <c r="BL279" s="249"/>
      <c r="BM279" s="249"/>
      <c r="BN279" s="249"/>
      <c r="BO279" s="249"/>
      <c r="BP279" s="249"/>
      <c r="BQ279" s="249"/>
      <c r="BR279" s="249"/>
      <c r="BS279" s="249"/>
      <c r="BT279" s="249"/>
      <c r="BU279" s="249"/>
      <c r="BV279" s="249"/>
      <c r="BW279" s="249"/>
      <c r="BX279" s="249"/>
      <c r="BY279" s="249"/>
      <c r="BZ279" s="249"/>
      <c r="CA279" s="249"/>
      <c r="CB279" s="249"/>
      <c r="CC279" s="249"/>
      <c r="CD279" s="249"/>
      <c r="CE279" s="249"/>
      <c r="CF279" s="249"/>
      <c r="CG279" s="249"/>
      <c r="CH279" s="249"/>
      <c r="CI279" s="249"/>
      <c r="CJ279" s="249"/>
      <c r="CK279" s="249"/>
      <c r="CL279" s="249"/>
      <c r="CM279" s="249"/>
      <c r="CN279" s="249"/>
      <c r="CO279" s="249"/>
      <c r="CP279" s="249"/>
      <c r="CQ279" s="249"/>
      <c r="CR279" s="249"/>
      <c r="CS279" s="249"/>
      <c r="CT279" s="249"/>
      <c r="CU279" s="249"/>
      <c r="CV279" s="249"/>
      <c r="CW279" s="249"/>
      <c r="CX279" s="249"/>
      <c r="CY279" s="249"/>
      <c r="CZ279" s="249"/>
      <c r="DA279" s="249"/>
      <c r="DB279" s="249"/>
      <c r="DC279" s="249"/>
      <c r="DD279" s="249"/>
      <c r="DE279" s="249"/>
      <c r="DF279" s="249"/>
      <c r="DG279" s="249"/>
      <c r="DH279" s="249"/>
      <c r="DI279" s="249"/>
      <c r="DJ279" s="249"/>
      <c r="DK279" s="249"/>
      <c r="DL279" s="249"/>
      <c r="DM279" s="249"/>
      <c r="DN279" s="249"/>
      <c r="DO279" s="249"/>
      <c r="DP279" s="249"/>
      <c r="DQ279" s="249"/>
      <c r="DR279" s="249"/>
      <c r="DS279" s="249"/>
      <c r="DT279" s="249"/>
      <c r="DU279" s="249"/>
      <c r="DV279" s="249"/>
      <c r="DW279" s="249"/>
      <c r="DX279" s="249"/>
      <c r="DY279" s="249"/>
      <c r="DZ279" s="249"/>
      <c r="EA279" s="249"/>
      <c r="EB279" s="249"/>
      <c r="EC279" s="249"/>
      <c r="ED279" s="249"/>
      <c r="EE279" s="249"/>
      <c r="EF279" s="249"/>
      <c r="EG279" s="249"/>
      <c r="EH279" s="249"/>
      <c r="EI279" s="249"/>
      <c r="EJ279" s="249"/>
      <c r="EK279" s="249"/>
      <c r="EL279" s="249"/>
      <c r="EM279" s="249"/>
      <c r="EN279" s="249"/>
      <c r="EO279" s="249"/>
      <c r="EP279" s="249"/>
      <c r="EQ279" s="249"/>
      <c r="ER279" s="249"/>
      <c r="ES279" s="249"/>
      <c r="ET279" s="249"/>
      <c r="EU279" s="249"/>
      <c r="EV279" s="249"/>
      <c r="EW279" s="249"/>
      <c r="EX279" s="249"/>
      <c r="EY279" s="249"/>
      <c r="EZ279" s="249"/>
      <c r="FA279" s="249"/>
      <c r="FB279" s="249"/>
      <c r="FC279" s="249"/>
      <c r="FD279" s="249"/>
      <c r="FE279" s="249"/>
      <c r="FF279" s="249"/>
      <c r="FG279" s="249"/>
      <c r="FH279" s="249"/>
      <c r="FI279" s="249"/>
      <c r="FJ279" s="249"/>
      <c r="FK279" s="249"/>
      <c r="FL279" s="249"/>
      <c r="FM279" s="249"/>
      <c r="FN279" s="249"/>
      <c r="FO279" s="249"/>
      <c r="FP279" s="249"/>
      <c r="FQ279" s="249"/>
      <c r="FR279" s="249"/>
      <c r="FS279" s="249"/>
      <c r="FT279" s="249"/>
      <c r="FU279" s="249"/>
      <c r="FV279" s="249"/>
      <c r="FW279" s="249"/>
      <c r="FX279" s="249"/>
      <c r="FY279" s="249"/>
      <c r="FZ279" s="249"/>
      <c r="GA279" s="249"/>
      <c r="GB279" s="249"/>
      <c r="GC279" s="249"/>
      <c r="GD279" s="249"/>
      <c r="GE279" s="249"/>
      <c r="GF279" s="249"/>
      <c r="GG279" s="249"/>
      <c r="GH279" s="249"/>
      <c r="GI279" s="249"/>
      <c r="GJ279" s="249"/>
      <c r="GK279" s="249"/>
      <c r="GL279" s="249"/>
      <c r="GM279" s="249"/>
      <c r="GN279" s="249"/>
      <c r="GO279" s="249"/>
      <c r="GP279" s="249"/>
      <c r="GQ279" s="249"/>
      <c r="GR279" s="249"/>
    </row>
    <row r="280" spans="1:200" s="252" customFormat="1" ht="12.75" customHeight="1" x14ac:dyDescent="0.2">
      <c r="A280" s="722"/>
      <c r="B280" s="1123"/>
      <c r="C280" s="1123"/>
      <c r="D280" s="525"/>
      <c r="E280" s="599"/>
      <c r="F280" s="249"/>
      <c r="G280" s="250"/>
      <c r="H280" s="250"/>
      <c r="I280" s="250"/>
      <c r="J280" s="250"/>
      <c r="K280" s="250"/>
      <c r="L280" s="250"/>
      <c r="M280" s="250"/>
      <c r="N280" s="250"/>
      <c r="O280" s="250"/>
      <c r="P280" s="251"/>
      <c r="Q280" s="251"/>
      <c r="R280" s="251"/>
      <c r="S280" s="251"/>
      <c r="T280" s="251"/>
      <c r="U280" s="287" t="str">
        <f t="shared" si="75"/>
        <v>Yes</v>
      </c>
      <c r="V280" s="1969" t="str">
        <f>IF(U280="Yes",'Casings et al'!C4,'Casings et al'!I4)</f>
        <v>26" FLOAT SHOE, SILI w/ accs.</v>
      </c>
      <c r="W280" s="286" t="s">
        <v>163</v>
      </c>
      <c r="X280" s="243"/>
      <c r="Y280" s="243"/>
      <c r="Z280" s="2103">
        <f>IF(U280="Yes",'Casings et al'!E4,'Casings et al'!K4)</f>
        <v>1</v>
      </c>
      <c r="AA280" s="243"/>
      <c r="AB280" s="243">
        <f>IFERROR((VLOOKUP($V280,IF((INPUT!$D$7="Big Hole"),BHCSG,RHCSG),3,FALSE)*IF((VLOOKUP(V280,IF((INPUT!$D$7="Big Hole"),BHCSG,RHCSG),2,FALSE)=AB$278),1,0)),0)</f>
        <v>0</v>
      </c>
      <c r="AC280" s="243"/>
      <c r="AD280" s="243">
        <f>IFERROR((VLOOKUP($V280,IF((INPUT!$D$7="Big Hole"),BHCSG,RHCSG),3,FALSE)*IF((VLOOKUP($V280,IF((INPUT!$D$7="Big Hole"),BHCSG,RHCSG),2,FALSE)=AD$278),1,0)),0)</f>
        <v>0</v>
      </c>
      <c r="AE280" s="243"/>
      <c r="AF280" s="243">
        <f>IFERROR((VLOOKUP($V280,IF((INPUT!$D$7="Big Hole"),BHCSG,RHCSG),3,FALSE)*IF((VLOOKUP($V280,IF((INPUT!$D$7="Big Hole"),BHCSG,RHCSG),2,FALSE)=AF$278),1,0)),0)</f>
        <v>0</v>
      </c>
      <c r="AG280" s="243"/>
      <c r="AH280" s="243">
        <f>IFERROR((VLOOKUP($V280,IF((INPUT!$D$7="Big Hole"),BHCSG,RHCSG),3,FALSE)*IF((VLOOKUP($V280,IF((INPUT!$D$7="Big Hole"),BHCSG,RHCSG),2,FALSE)=AH$278),1,0)),0)</f>
        <v>0</v>
      </c>
      <c r="AI280" s="243"/>
      <c r="AJ280" s="243">
        <f>IFERROR((VLOOKUP($V280,IF((INPUT!$D$7="Big Hole"),BHCSG,RHCSG),3,FALSE)*IF((VLOOKUP($V280,IF((INPUT!$D$7="Big Hole"),BHCSG,RHCSG),2,FALSE)=AJ$278),1,0)),0)</f>
        <v>0</v>
      </c>
      <c r="AK280" s="243">
        <f>IFERROR((VLOOKUP($V280,IF((INPUT!$D$7="Big Hole"),BHCSG,RHCSG),3,FALSE)*IF((VLOOKUP($V280,IF((INPUT!$D$7="Big Hole"),BHCSG,RHCSG),2,FALSE)=AK$278),1,0)),0)</f>
        <v>0</v>
      </c>
      <c r="AL280" s="243"/>
      <c r="AM280" s="475">
        <f t="shared" si="76"/>
        <v>1</v>
      </c>
      <c r="AN280" s="254"/>
      <c r="AO280" s="249"/>
      <c r="AP280" s="250"/>
      <c r="AQ280" s="250"/>
      <c r="AR280" s="250"/>
      <c r="AS280" s="250"/>
      <c r="AT280" s="250"/>
      <c r="AU280" s="250"/>
      <c r="AV280" s="249"/>
      <c r="AW280" s="249"/>
      <c r="AX280" s="249"/>
      <c r="AY280" s="249"/>
      <c r="AZ280" s="249"/>
      <c r="BA280" s="249"/>
      <c r="BB280" s="249"/>
      <c r="BC280" s="249"/>
      <c r="BD280" s="249"/>
      <c r="BE280" s="249"/>
      <c r="BF280" s="249"/>
      <c r="BG280" s="249"/>
      <c r="BH280" s="249"/>
      <c r="BI280" s="249"/>
      <c r="BJ280" s="249"/>
      <c r="BK280" s="249"/>
      <c r="BL280" s="249"/>
      <c r="BM280" s="249"/>
      <c r="BN280" s="249"/>
      <c r="BO280" s="249"/>
      <c r="BP280" s="249"/>
      <c r="BQ280" s="249"/>
      <c r="BR280" s="249"/>
      <c r="BS280" s="249"/>
      <c r="BT280" s="249"/>
      <c r="BU280" s="249"/>
      <c r="BV280" s="249"/>
      <c r="BW280" s="249"/>
      <c r="BX280" s="249"/>
      <c r="BY280" s="249"/>
      <c r="BZ280" s="249"/>
      <c r="CA280" s="249"/>
      <c r="CB280" s="249"/>
      <c r="CC280" s="249"/>
      <c r="CD280" s="249"/>
      <c r="CE280" s="249"/>
      <c r="CF280" s="249"/>
      <c r="CG280" s="249"/>
      <c r="CH280" s="249"/>
      <c r="CI280" s="249"/>
      <c r="CJ280" s="249"/>
      <c r="CK280" s="249"/>
      <c r="CL280" s="249"/>
      <c r="CM280" s="249"/>
      <c r="CN280" s="249"/>
      <c r="CO280" s="249"/>
      <c r="CP280" s="249"/>
      <c r="CQ280" s="249"/>
      <c r="CR280" s="249"/>
      <c r="CS280" s="249"/>
      <c r="CT280" s="249"/>
      <c r="CU280" s="249"/>
      <c r="CV280" s="249"/>
      <c r="CW280" s="249"/>
      <c r="CX280" s="249"/>
      <c r="CY280" s="249"/>
      <c r="CZ280" s="249"/>
      <c r="DA280" s="249"/>
      <c r="DB280" s="249"/>
      <c r="DC280" s="249"/>
      <c r="DD280" s="249"/>
      <c r="DE280" s="249"/>
      <c r="DF280" s="249"/>
      <c r="DG280" s="249"/>
      <c r="DH280" s="249"/>
      <c r="DI280" s="249"/>
      <c r="DJ280" s="249"/>
      <c r="DK280" s="249"/>
      <c r="DL280" s="249"/>
      <c r="DM280" s="249"/>
      <c r="DN280" s="249"/>
      <c r="DO280" s="249"/>
      <c r="DP280" s="249"/>
      <c r="DQ280" s="249"/>
      <c r="DR280" s="249"/>
      <c r="DS280" s="249"/>
      <c r="DT280" s="249"/>
      <c r="DU280" s="249"/>
      <c r="DV280" s="249"/>
      <c r="DW280" s="249"/>
      <c r="DX280" s="249"/>
      <c r="DY280" s="249"/>
      <c r="DZ280" s="249"/>
      <c r="EA280" s="249"/>
      <c r="EB280" s="249"/>
      <c r="EC280" s="249"/>
      <c r="ED280" s="249"/>
      <c r="EE280" s="249"/>
      <c r="EF280" s="249"/>
      <c r="EG280" s="249"/>
      <c r="EH280" s="249"/>
      <c r="EI280" s="249"/>
      <c r="EJ280" s="249"/>
      <c r="EK280" s="249"/>
      <c r="EL280" s="249"/>
      <c r="EM280" s="249"/>
      <c r="EN280" s="249"/>
      <c r="EO280" s="249"/>
      <c r="EP280" s="249"/>
      <c r="EQ280" s="249"/>
      <c r="ER280" s="249"/>
      <c r="ES280" s="249"/>
      <c r="ET280" s="249"/>
      <c r="EU280" s="249"/>
      <c r="EV280" s="249"/>
      <c r="EW280" s="249"/>
      <c r="EX280" s="249"/>
      <c r="EY280" s="249"/>
      <c r="EZ280" s="249"/>
      <c r="FA280" s="249"/>
      <c r="FB280" s="249"/>
      <c r="FC280" s="249"/>
      <c r="FD280" s="249"/>
      <c r="FE280" s="249"/>
      <c r="FF280" s="249"/>
      <c r="FG280" s="249"/>
      <c r="FH280" s="249"/>
      <c r="FI280" s="249"/>
      <c r="FJ280" s="249"/>
      <c r="FK280" s="249"/>
      <c r="FL280" s="249"/>
      <c r="FM280" s="249"/>
      <c r="FN280" s="249"/>
      <c r="FO280" s="249"/>
      <c r="FP280" s="249"/>
      <c r="FQ280" s="249"/>
      <c r="FR280" s="249"/>
      <c r="FS280" s="249"/>
      <c r="FT280" s="249"/>
      <c r="FU280" s="249"/>
      <c r="FV280" s="249"/>
      <c r="FW280" s="249"/>
      <c r="FX280" s="249"/>
      <c r="FY280" s="249"/>
      <c r="FZ280" s="249"/>
      <c r="GA280" s="249"/>
      <c r="GB280" s="249"/>
      <c r="GC280" s="249"/>
      <c r="GD280" s="249"/>
      <c r="GE280" s="249"/>
      <c r="GF280" s="249"/>
      <c r="GG280" s="249"/>
      <c r="GH280" s="249"/>
      <c r="GI280" s="249"/>
      <c r="GJ280" s="249"/>
      <c r="GK280" s="249"/>
      <c r="GL280" s="249"/>
      <c r="GM280" s="249"/>
      <c r="GN280" s="249"/>
      <c r="GO280" s="249"/>
      <c r="GP280" s="249"/>
      <c r="GQ280" s="249"/>
      <c r="GR280" s="249"/>
    </row>
    <row r="281" spans="1:200" s="252" customFormat="1" ht="12.75" customHeight="1" x14ac:dyDescent="0.2">
      <c r="A281" s="722"/>
      <c r="B281" s="1123"/>
      <c r="C281" s="1123"/>
      <c r="D281" s="525"/>
      <c r="E281" s="599"/>
      <c r="F281" s="249"/>
      <c r="G281" s="250"/>
      <c r="H281" s="250"/>
      <c r="I281" s="250"/>
      <c r="J281" s="250"/>
      <c r="K281" s="250"/>
      <c r="L281" s="250"/>
      <c r="M281" s="250"/>
      <c r="N281" s="250"/>
      <c r="O281" s="250"/>
      <c r="P281" s="251"/>
      <c r="Q281" s="251"/>
      <c r="R281" s="251"/>
      <c r="S281" s="251"/>
      <c r="T281" s="251"/>
      <c r="U281" s="287" t="str">
        <f t="shared" si="75"/>
        <v>Yes</v>
      </c>
      <c r="V281" s="1969" t="str">
        <f>IF(U281="Yes",'Casings et al'!C5,'Casings et al'!I5)</f>
        <v>26" x 32" Centralizer, Bow Type</v>
      </c>
      <c r="W281" s="286" t="s">
        <v>163</v>
      </c>
      <c r="X281" s="290"/>
      <c r="Y281" s="243"/>
      <c r="Z281" s="2103">
        <f>IF(U281="Yes",'Casings et al'!E5,'Casings et al'!K5)</f>
        <v>4</v>
      </c>
      <c r="AA281" s="243"/>
      <c r="AB281" s="243">
        <f>IFERROR((VLOOKUP($V281,IF((INPUT!$D$7="Big Hole"),BHCSG,RHCSG),3,FALSE)*IF((VLOOKUP(V281,IF((INPUT!$D$7="Big Hole"),BHCSG,RHCSG),2,FALSE)=AB$278),1,0)),0)</f>
        <v>0</v>
      </c>
      <c r="AC281" s="243"/>
      <c r="AD281" s="243">
        <f>IFERROR((VLOOKUP($V281,IF((INPUT!$D$7="Big Hole"),BHCSG,RHCSG),3,FALSE)*IF((VLOOKUP($V281,IF((INPUT!$D$7="Big Hole"),BHCSG,RHCSG),2,FALSE)=AD$278),1,0)),0)</f>
        <v>0</v>
      </c>
      <c r="AE281" s="243"/>
      <c r="AF281" s="243">
        <f>IFERROR((VLOOKUP($V281,IF((INPUT!$D$7="Big Hole"),BHCSG,RHCSG),3,FALSE)*IF((VLOOKUP($V281,IF((INPUT!$D$7="Big Hole"),BHCSG,RHCSG),2,FALSE)=AF$278),1,0)),0)</f>
        <v>0</v>
      </c>
      <c r="AG281" s="243"/>
      <c r="AH281" s="243">
        <f>IFERROR((VLOOKUP($V281,IF((INPUT!$D$7="Big Hole"),BHCSG,RHCSG),3,FALSE)*IF((VLOOKUP($V281,IF((INPUT!$D$7="Big Hole"),BHCSG,RHCSG),2,FALSE)=AH$278),1,0)),0)</f>
        <v>0</v>
      </c>
      <c r="AI281" s="243"/>
      <c r="AJ281" s="243">
        <f>IFERROR((VLOOKUP($V281,IF((INPUT!$D$7="Big Hole"),BHCSG,RHCSG),3,FALSE)*IF((VLOOKUP($V281,IF((INPUT!$D$7="Big Hole"),BHCSG,RHCSG),2,FALSE)=AJ$278),1,0)),0)</f>
        <v>0</v>
      </c>
      <c r="AK281" s="243">
        <f>IFERROR((VLOOKUP($V281,IF((INPUT!$D$7="Big Hole"),BHCSG,RHCSG),3,FALSE)*IF((VLOOKUP($V281,IF((INPUT!$D$7="Big Hole"),BHCSG,RHCSG),2,FALSE)=AK$278),1,0)),0)</f>
        <v>0</v>
      </c>
      <c r="AL281" s="243"/>
      <c r="AM281" s="475">
        <f t="shared" si="76"/>
        <v>4</v>
      </c>
      <c r="AN281" s="254"/>
      <c r="AO281" s="249"/>
      <c r="AP281" s="250"/>
      <c r="AQ281" s="250"/>
      <c r="AR281" s="250"/>
      <c r="AS281" s="250"/>
      <c r="AT281" s="250"/>
      <c r="AU281" s="250"/>
      <c r="AV281" s="249"/>
      <c r="AW281" s="249"/>
      <c r="AX281" s="249"/>
      <c r="AY281" s="249"/>
      <c r="AZ281" s="249"/>
      <c r="BA281" s="249"/>
      <c r="BB281" s="249"/>
      <c r="BC281" s="249"/>
      <c r="BD281" s="249"/>
      <c r="BE281" s="249"/>
      <c r="BF281" s="249"/>
      <c r="BG281" s="249"/>
      <c r="BH281" s="249"/>
      <c r="BI281" s="249"/>
      <c r="BJ281" s="249"/>
      <c r="BK281" s="249"/>
      <c r="BL281" s="249"/>
      <c r="BM281" s="249"/>
      <c r="BN281" s="249"/>
      <c r="BO281" s="249"/>
      <c r="BP281" s="249"/>
      <c r="BQ281" s="249"/>
      <c r="BR281" s="249"/>
      <c r="BS281" s="249"/>
      <c r="BT281" s="249"/>
      <c r="BU281" s="249"/>
      <c r="BV281" s="249"/>
      <c r="BW281" s="249"/>
      <c r="BX281" s="249"/>
      <c r="BY281" s="249"/>
      <c r="BZ281" s="249"/>
      <c r="CA281" s="249"/>
      <c r="CB281" s="249"/>
      <c r="CC281" s="249"/>
      <c r="CD281" s="249"/>
      <c r="CE281" s="249"/>
      <c r="CF281" s="249"/>
      <c r="CG281" s="249"/>
      <c r="CH281" s="249"/>
      <c r="CI281" s="249"/>
      <c r="CJ281" s="249"/>
      <c r="CK281" s="249"/>
      <c r="CL281" s="249"/>
      <c r="CM281" s="249"/>
      <c r="CN281" s="249"/>
      <c r="CO281" s="249"/>
      <c r="CP281" s="249"/>
      <c r="CQ281" s="249"/>
      <c r="CR281" s="249"/>
      <c r="CS281" s="249"/>
      <c r="CT281" s="249"/>
      <c r="CU281" s="249"/>
      <c r="CV281" s="249"/>
      <c r="CW281" s="249"/>
      <c r="CX281" s="249"/>
      <c r="CY281" s="249"/>
      <c r="CZ281" s="249"/>
      <c r="DA281" s="249"/>
      <c r="DB281" s="249"/>
      <c r="DC281" s="249"/>
      <c r="DD281" s="249"/>
      <c r="DE281" s="249"/>
      <c r="DF281" s="249"/>
      <c r="DG281" s="249"/>
      <c r="DH281" s="249"/>
      <c r="DI281" s="249"/>
      <c r="DJ281" s="249"/>
      <c r="DK281" s="249"/>
      <c r="DL281" s="249"/>
      <c r="DM281" s="249"/>
      <c r="DN281" s="249"/>
      <c r="DO281" s="249"/>
      <c r="DP281" s="249"/>
      <c r="DQ281" s="249"/>
      <c r="DR281" s="249"/>
      <c r="DS281" s="249"/>
      <c r="DT281" s="249"/>
      <c r="DU281" s="249"/>
      <c r="DV281" s="249"/>
      <c r="DW281" s="249"/>
      <c r="DX281" s="249"/>
      <c r="DY281" s="249"/>
      <c r="DZ281" s="249"/>
      <c r="EA281" s="249"/>
      <c r="EB281" s="249"/>
      <c r="EC281" s="249"/>
      <c r="ED281" s="249"/>
      <c r="EE281" s="249"/>
      <c r="EF281" s="249"/>
      <c r="EG281" s="249"/>
      <c r="EH281" s="249"/>
      <c r="EI281" s="249"/>
      <c r="EJ281" s="249"/>
      <c r="EK281" s="249"/>
      <c r="EL281" s="249"/>
      <c r="EM281" s="249"/>
      <c r="EN281" s="249"/>
      <c r="EO281" s="249"/>
      <c r="EP281" s="249"/>
      <c r="EQ281" s="249"/>
      <c r="ER281" s="249"/>
      <c r="ES281" s="249"/>
      <c r="ET281" s="249"/>
      <c r="EU281" s="249"/>
      <c r="EV281" s="249"/>
      <c r="EW281" s="249"/>
      <c r="EX281" s="249"/>
      <c r="EY281" s="249"/>
      <c r="EZ281" s="249"/>
      <c r="FA281" s="249"/>
      <c r="FB281" s="249"/>
      <c r="FC281" s="249"/>
      <c r="FD281" s="249"/>
      <c r="FE281" s="249"/>
      <c r="FF281" s="249"/>
      <c r="FG281" s="249"/>
      <c r="FH281" s="249"/>
      <c r="FI281" s="249"/>
      <c r="FJ281" s="249"/>
      <c r="FK281" s="249"/>
      <c r="FL281" s="249"/>
      <c r="FM281" s="249"/>
      <c r="FN281" s="249"/>
      <c r="FO281" s="249"/>
      <c r="FP281" s="249"/>
      <c r="FQ281" s="249"/>
      <c r="FR281" s="249"/>
      <c r="FS281" s="249"/>
      <c r="FT281" s="249"/>
      <c r="FU281" s="249"/>
      <c r="FV281" s="249"/>
      <c r="FW281" s="249"/>
      <c r="FX281" s="249"/>
      <c r="FY281" s="249"/>
      <c r="FZ281" s="249"/>
      <c r="GA281" s="249"/>
      <c r="GB281" s="249"/>
      <c r="GC281" s="249"/>
      <c r="GD281" s="249"/>
      <c r="GE281" s="249"/>
      <c r="GF281" s="249"/>
      <c r="GG281" s="249"/>
      <c r="GH281" s="249"/>
      <c r="GI281" s="249"/>
      <c r="GJ281" s="249"/>
      <c r="GK281" s="249"/>
      <c r="GL281" s="249"/>
      <c r="GM281" s="249"/>
      <c r="GN281" s="249"/>
      <c r="GO281" s="249"/>
      <c r="GP281" s="249"/>
      <c r="GQ281" s="249"/>
      <c r="GR281" s="249"/>
    </row>
    <row r="282" spans="1:200" s="252" customFormat="1" ht="12.75" customHeight="1" x14ac:dyDescent="0.2">
      <c r="A282" s="722"/>
      <c r="B282" s="1123"/>
      <c r="C282" s="1123"/>
      <c r="D282" s="525"/>
      <c r="E282" s="599"/>
      <c r="F282" s="249"/>
      <c r="G282" s="250"/>
      <c r="H282" s="250"/>
      <c r="I282" s="250"/>
      <c r="J282" s="250"/>
      <c r="K282" s="250"/>
      <c r="L282" s="250"/>
      <c r="M282" s="250"/>
      <c r="N282" s="250"/>
      <c r="O282" s="250"/>
      <c r="P282" s="251"/>
      <c r="Q282" s="251"/>
      <c r="R282" s="251"/>
      <c r="S282" s="251"/>
      <c r="T282" s="251"/>
      <c r="U282" s="287" t="str">
        <f t="shared" si="75"/>
        <v>Yes</v>
      </c>
      <c r="V282" s="1969" t="str">
        <f>IF(U282="Yes",'Casings et al'!C6,'Casings et al'!I6)</f>
        <v>Corrosion Ring, 4-1/2"IF &amp; 5"X Hole</v>
      </c>
      <c r="W282" s="286" t="s">
        <v>163</v>
      </c>
      <c r="X282" s="290"/>
      <c r="Y282" s="243"/>
      <c r="Z282" s="2103">
        <f>IF(U282="Yes",'Casings et al'!E6,'Casings et al'!K6)</f>
        <v>5</v>
      </c>
      <c r="AA282" s="243"/>
      <c r="AB282" s="243">
        <f>IFERROR((VLOOKUP($V282,IF((INPUT!$D$7="Big Hole"),BHCSG,RHCSG),3,FALSE)*IF((VLOOKUP(V282,IF((INPUT!$D$7="Big Hole"),BHCSG,RHCSG),2,FALSE)=AB$278),1,0)),0)</f>
        <v>0</v>
      </c>
      <c r="AC282" s="243"/>
      <c r="AD282" s="243">
        <f>IFERROR((VLOOKUP($V282,IF((INPUT!$D$7="Big Hole"),BHCSG,RHCSG),3,FALSE)*IF((VLOOKUP($V282,IF((INPUT!$D$7="Big Hole"),BHCSG,RHCSG),2,FALSE)=AD$278),1,0)),0)</f>
        <v>0</v>
      </c>
      <c r="AE282" s="243"/>
      <c r="AF282" s="243">
        <f>IFERROR((VLOOKUP($V282,IF((INPUT!$D$7="Big Hole"),BHCSG,RHCSG),3,FALSE)*IF((VLOOKUP($V282,IF((INPUT!$D$7="Big Hole"),BHCSG,RHCSG),2,FALSE)=AF$278),1,0)),0)</f>
        <v>0</v>
      </c>
      <c r="AG282" s="243"/>
      <c r="AH282" s="243">
        <f>IFERROR((VLOOKUP($V282,IF((INPUT!$D$7="Big Hole"),BHCSG,RHCSG),3,FALSE)*IF((VLOOKUP($V282,IF((INPUT!$D$7="Big Hole"),BHCSG,RHCSG),2,FALSE)=AH$278),1,0)),0)</f>
        <v>0</v>
      </c>
      <c r="AI282" s="243"/>
      <c r="AJ282" s="243">
        <f>IFERROR((VLOOKUP($V282,IF((INPUT!$D$7="Big Hole"),BHCSG,RHCSG),3,FALSE)*IF((VLOOKUP($V282,IF((INPUT!$D$7="Big Hole"),BHCSG,RHCSG),2,FALSE)=AJ$278),1,0)),0)</f>
        <v>0</v>
      </c>
      <c r="AK282" s="243">
        <f>IFERROR((VLOOKUP($V282,IF((INPUT!$D$7="Big Hole"),BHCSG,RHCSG),3,FALSE)*IF((VLOOKUP($V282,IF((INPUT!$D$7="Big Hole"),BHCSG,RHCSG),2,FALSE)=AK$278),1,0)),0)</f>
        <v>0</v>
      </c>
      <c r="AL282" s="243"/>
      <c r="AM282" s="475">
        <f t="shared" si="76"/>
        <v>5</v>
      </c>
      <c r="AN282" s="254"/>
      <c r="AO282" s="249"/>
      <c r="AP282" s="250"/>
      <c r="AQ282" s="250"/>
      <c r="AR282" s="250"/>
      <c r="AS282" s="250"/>
      <c r="AT282" s="250"/>
      <c r="AU282" s="250"/>
      <c r="AV282" s="249"/>
      <c r="AW282" s="249"/>
      <c r="AX282" s="249"/>
      <c r="AY282" s="249"/>
      <c r="AZ282" s="249"/>
      <c r="BA282" s="249"/>
      <c r="BB282" s="249"/>
      <c r="BC282" s="249"/>
      <c r="BD282" s="249"/>
      <c r="BE282" s="249"/>
      <c r="BF282" s="249"/>
      <c r="BG282" s="249"/>
      <c r="BH282" s="249"/>
      <c r="BI282" s="249"/>
      <c r="BJ282" s="249"/>
      <c r="BK282" s="249"/>
      <c r="BL282" s="249"/>
      <c r="BM282" s="249"/>
      <c r="BN282" s="249"/>
      <c r="BO282" s="249"/>
      <c r="BP282" s="249"/>
      <c r="BQ282" s="249"/>
      <c r="BR282" s="249"/>
      <c r="BS282" s="249"/>
      <c r="BT282" s="249"/>
      <c r="BU282" s="249"/>
      <c r="BV282" s="249"/>
      <c r="BW282" s="249"/>
      <c r="BX282" s="249"/>
      <c r="BY282" s="249"/>
      <c r="BZ282" s="249"/>
      <c r="CA282" s="249"/>
      <c r="CB282" s="249"/>
      <c r="CC282" s="249"/>
      <c r="CD282" s="249"/>
      <c r="CE282" s="249"/>
      <c r="CF282" s="249"/>
      <c r="CG282" s="249"/>
      <c r="CH282" s="249"/>
      <c r="CI282" s="249"/>
      <c r="CJ282" s="249"/>
      <c r="CK282" s="249"/>
      <c r="CL282" s="249"/>
      <c r="CM282" s="249"/>
      <c r="CN282" s="249"/>
      <c r="CO282" s="249"/>
      <c r="CP282" s="249"/>
      <c r="CQ282" s="249"/>
      <c r="CR282" s="249"/>
      <c r="CS282" s="249"/>
      <c r="CT282" s="249"/>
      <c r="CU282" s="249"/>
      <c r="CV282" s="249"/>
      <c r="CW282" s="249"/>
      <c r="CX282" s="249"/>
      <c r="CY282" s="249"/>
      <c r="CZ282" s="249"/>
      <c r="DA282" s="249"/>
      <c r="DB282" s="249"/>
      <c r="DC282" s="249"/>
      <c r="DD282" s="249"/>
      <c r="DE282" s="249"/>
      <c r="DF282" s="249"/>
      <c r="DG282" s="249"/>
      <c r="DH282" s="249"/>
      <c r="DI282" s="249"/>
      <c r="DJ282" s="249"/>
      <c r="DK282" s="249"/>
      <c r="DL282" s="249"/>
      <c r="DM282" s="249"/>
      <c r="DN282" s="249"/>
      <c r="DO282" s="249"/>
      <c r="DP282" s="249"/>
      <c r="DQ282" s="249"/>
      <c r="DR282" s="249"/>
      <c r="DS282" s="249"/>
      <c r="DT282" s="249"/>
      <c r="DU282" s="249"/>
      <c r="DV282" s="249"/>
      <c r="DW282" s="249"/>
      <c r="DX282" s="249"/>
      <c r="DY282" s="249"/>
      <c r="DZ282" s="249"/>
      <c r="EA282" s="249"/>
      <c r="EB282" s="249"/>
      <c r="EC282" s="249"/>
      <c r="ED282" s="249"/>
      <c r="EE282" s="249"/>
      <c r="EF282" s="249"/>
      <c r="EG282" s="249"/>
      <c r="EH282" s="249"/>
      <c r="EI282" s="249"/>
      <c r="EJ282" s="249"/>
      <c r="EK282" s="249"/>
      <c r="EL282" s="249"/>
      <c r="EM282" s="249"/>
      <c r="EN282" s="249"/>
      <c r="EO282" s="249"/>
      <c r="EP282" s="249"/>
      <c r="EQ282" s="249"/>
      <c r="ER282" s="249"/>
      <c r="ES282" s="249"/>
      <c r="ET282" s="249"/>
      <c r="EU282" s="249"/>
      <c r="EV282" s="249"/>
      <c r="EW282" s="249"/>
      <c r="EX282" s="249"/>
      <c r="EY282" s="249"/>
      <c r="EZ282" s="249"/>
      <c r="FA282" s="249"/>
      <c r="FB282" s="249"/>
      <c r="FC282" s="249"/>
      <c r="FD282" s="249"/>
      <c r="FE282" s="249"/>
      <c r="FF282" s="249"/>
      <c r="FG282" s="249"/>
      <c r="FH282" s="249"/>
      <c r="FI282" s="249"/>
      <c r="FJ282" s="249"/>
      <c r="FK282" s="249"/>
      <c r="FL282" s="249"/>
      <c r="FM282" s="249"/>
      <c r="FN282" s="249"/>
      <c r="FO282" s="249"/>
      <c r="FP282" s="249"/>
      <c r="FQ282" s="249"/>
      <c r="FR282" s="249"/>
      <c r="FS282" s="249"/>
      <c r="FT282" s="249"/>
      <c r="FU282" s="249"/>
      <c r="FV282" s="249"/>
      <c r="FW282" s="249"/>
      <c r="FX282" s="249"/>
      <c r="FY282" s="249"/>
      <c r="FZ282" s="249"/>
      <c r="GA282" s="249"/>
      <c r="GB282" s="249"/>
      <c r="GC282" s="249"/>
      <c r="GD282" s="249"/>
      <c r="GE282" s="249"/>
      <c r="GF282" s="249"/>
      <c r="GG282" s="249"/>
      <c r="GH282" s="249"/>
      <c r="GI282" s="249"/>
      <c r="GJ282" s="249"/>
      <c r="GK282" s="249"/>
      <c r="GL282" s="249"/>
      <c r="GM282" s="249"/>
      <c r="GN282" s="249"/>
      <c r="GO282" s="249"/>
      <c r="GP282" s="249"/>
      <c r="GQ282" s="249"/>
      <c r="GR282" s="249"/>
    </row>
    <row r="283" spans="1:200" s="252" customFormat="1" ht="12.75" customHeight="1" x14ac:dyDescent="0.2">
      <c r="A283" s="722"/>
      <c r="B283" s="1123"/>
      <c r="C283" s="1123"/>
      <c r="D283" s="525"/>
      <c r="E283" s="599"/>
      <c r="F283" s="249"/>
      <c r="G283" s="250"/>
      <c r="H283" s="250"/>
      <c r="I283" s="250"/>
      <c r="J283" s="250"/>
      <c r="K283" s="250"/>
      <c r="L283" s="250"/>
      <c r="M283" s="250"/>
      <c r="N283" s="250"/>
      <c r="O283" s="250"/>
      <c r="P283" s="251"/>
      <c r="Q283" s="251"/>
      <c r="R283" s="251"/>
      <c r="S283" s="251"/>
      <c r="T283" s="251"/>
      <c r="U283" s="287" t="str">
        <f t="shared" si="75"/>
        <v>Yes</v>
      </c>
      <c r="V283" s="1969" t="str">
        <f>IF(U283="Yes",'Casings et al'!C7,'Casings et al'!I7)</f>
        <v>Thread Locking Compound * Baker Lock</v>
      </c>
      <c r="W283" s="286" t="s">
        <v>163</v>
      </c>
      <c r="X283" s="290"/>
      <c r="Y283" s="243"/>
      <c r="Z283" s="2103">
        <f>IF(U283="Yes",'Casings et al'!E7,'Casings et al'!K7)</f>
        <v>2</v>
      </c>
      <c r="AA283" s="243"/>
      <c r="AB283" s="243">
        <f>IFERROR((VLOOKUP($V283,IF((INPUT!$D$7="Big Hole"),BHCSG,RHCSG),3,FALSE)*IF((VLOOKUP(V283,IF((INPUT!$D$7="Big Hole"),BHCSG,RHCSG),2,FALSE)=AB$278),1,0)),0)</f>
        <v>0</v>
      </c>
      <c r="AC283" s="243"/>
      <c r="AD283" s="243">
        <f>IFERROR((VLOOKUP($V283,IF((INPUT!$D$7="Big Hole"),BHCSG,RHCSG),3,FALSE)*IF((VLOOKUP($V283,IF((INPUT!$D$7="Big Hole"),BHCSG,RHCSG),2,FALSE)=AD$278),1,0)),0)</f>
        <v>0</v>
      </c>
      <c r="AE283" s="243"/>
      <c r="AF283" s="243">
        <f>IFERROR((VLOOKUP($V283,IF((INPUT!$D$7="Big Hole"),BHCSG,RHCSG),3,FALSE)*IF((VLOOKUP($V283,IF((INPUT!$D$7="Big Hole"),BHCSG,RHCSG),2,FALSE)=AF$278),1,0)),0)</f>
        <v>0</v>
      </c>
      <c r="AG283" s="243"/>
      <c r="AH283" s="243">
        <f>IFERROR((VLOOKUP($V283,IF((INPUT!$D$7="Big Hole"),BHCSG,RHCSG),3,FALSE)*IF((VLOOKUP($V283,IF((INPUT!$D$7="Big Hole"),BHCSG,RHCSG),2,FALSE)=AH$278),1,0)),0)</f>
        <v>0</v>
      </c>
      <c r="AI283" s="243"/>
      <c r="AJ283" s="243">
        <f>IFERROR((VLOOKUP($V283,IF((INPUT!$D$7="Big Hole"),BHCSG,RHCSG),3,FALSE)*IF((VLOOKUP($V283,IF((INPUT!$D$7="Big Hole"),BHCSG,RHCSG),2,FALSE)=AJ$278),1,0)),0)</f>
        <v>0</v>
      </c>
      <c r="AK283" s="243">
        <f>IFERROR((VLOOKUP($V283,IF((INPUT!$D$7="Big Hole"),BHCSG,RHCSG),3,FALSE)*IF((VLOOKUP($V283,IF((INPUT!$D$7="Big Hole"),BHCSG,RHCSG),2,FALSE)=AK$278),1,0)),0)</f>
        <v>0</v>
      </c>
      <c r="AL283" s="243"/>
      <c r="AM283" s="475">
        <f t="shared" si="76"/>
        <v>2</v>
      </c>
      <c r="AN283" s="254"/>
      <c r="AO283" s="249"/>
      <c r="AP283" s="250"/>
      <c r="AQ283" s="250"/>
      <c r="AR283" s="250"/>
      <c r="AS283" s="250"/>
      <c r="AT283" s="250"/>
      <c r="AU283" s="250"/>
      <c r="AV283" s="249"/>
      <c r="AW283" s="249"/>
      <c r="AX283" s="249"/>
      <c r="AY283" s="249"/>
      <c r="AZ283" s="249"/>
      <c r="BA283" s="249"/>
      <c r="BB283" s="249"/>
      <c r="BC283" s="249"/>
      <c r="BD283" s="249"/>
      <c r="BE283" s="249"/>
      <c r="BF283" s="249"/>
      <c r="BG283" s="249"/>
      <c r="BH283" s="249"/>
      <c r="BI283" s="249"/>
      <c r="BJ283" s="249"/>
      <c r="BK283" s="249"/>
      <c r="BL283" s="249"/>
      <c r="BM283" s="249"/>
      <c r="BN283" s="249"/>
      <c r="BO283" s="249"/>
      <c r="BP283" s="249"/>
      <c r="BQ283" s="249"/>
      <c r="BR283" s="249"/>
      <c r="BS283" s="249"/>
      <c r="BT283" s="249"/>
      <c r="BU283" s="249"/>
      <c r="BV283" s="249"/>
      <c r="BW283" s="249"/>
      <c r="BX283" s="249"/>
      <c r="BY283" s="249"/>
      <c r="BZ283" s="249"/>
      <c r="CA283" s="249"/>
      <c r="CB283" s="249"/>
      <c r="CC283" s="249"/>
      <c r="CD283" s="249"/>
      <c r="CE283" s="249"/>
      <c r="CF283" s="249"/>
      <c r="CG283" s="249"/>
      <c r="CH283" s="249"/>
      <c r="CI283" s="249"/>
      <c r="CJ283" s="249"/>
      <c r="CK283" s="249"/>
      <c r="CL283" s="249"/>
      <c r="CM283" s="249"/>
      <c r="CN283" s="249"/>
      <c r="CO283" s="249"/>
      <c r="CP283" s="249"/>
      <c r="CQ283" s="249"/>
      <c r="CR283" s="249"/>
      <c r="CS283" s="249"/>
      <c r="CT283" s="249"/>
      <c r="CU283" s="249"/>
      <c r="CV283" s="249"/>
      <c r="CW283" s="249"/>
      <c r="CX283" s="249"/>
      <c r="CY283" s="249"/>
      <c r="CZ283" s="249"/>
      <c r="DA283" s="249"/>
      <c r="DB283" s="249"/>
      <c r="DC283" s="249"/>
      <c r="DD283" s="249"/>
      <c r="DE283" s="249"/>
      <c r="DF283" s="249"/>
      <c r="DG283" s="249"/>
      <c r="DH283" s="249"/>
      <c r="DI283" s="249"/>
      <c r="DJ283" s="249"/>
      <c r="DK283" s="249"/>
      <c r="DL283" s="249"/>
      <c r="DM283" s="249"/>
      <c r="DN283" s="249"/>
      <c r="DO283" s="249"/>
      <c r="DP283" s="249"/>
      <c r="DQ283" s="249"/>
      <c r="DR283" s="249"/>
      <c r="DS283" s="249"/>
      <c r="DT283" s="249"/>
      <c r="DU283" s="249"/>
      <c r="DV283" s="249"/>
      <c r="DW283" s="249"/>
      <c r="DX283" s="249"/>
      <c r="DY283" s="249"/>
      <c r="DZ283" s="249"/>
      <c r="EA283" s="249"/>
      <c r="EB283" s="249"/>
      <c r="EC283" s="249"/>
      <c r="ED283" s="249"/>
      <c r="EE283" s="249"/>
      <c r="EF283" s="249"/>
      <c r="EG283" s="249"/>
      <c r="EH283" s="249"/>
      <c r="EI283" s="249"/>
      <c r="EJ283" s="249"/>
      <c r="EK283" s="249"/>
      <c r="EL283" s="249"/>
      <c r="EM283" s="249"/>
      <c r="EN283" s="249"/>
      <c r="EO283" s="249"/>
      <c r="EP283" s="249"/>
      <c r="EQ283" s="249"/>
      <c r="ER283" s="249"/>
      <c r="ES283" s="249"/>
      <c r="ET283" s="249"/>
      <c r="EU283" s="249"/>
      <c r="EV283" s="249"/>
      <c r="EW283" s="249"/>
      <c r="EX283" s="249"/>
      <c r="EY283" s="249"/>
      <c r="EZ283" s="249"/>
      <c r="FA283" s="249"/>
      <c r="FB283" s="249"/>
      <c r="FC283" s="249"/>
      <c r="FD283" s="249"/>
      <c r="FE283" s="249"/>
      <c r="FF283" s="249"/>
      <c r="FG283" s="249"/>
      <c r="FH283" s="249"/>
      <c r="FI283" s="249"/>
      <c r="FJ283" s="249"/>
      <c r="FK283" s="249"/>
      <c r="FL283" s="249"/>
      <c r="FM283" s="249"/>
      <c r="FN283" s="249"/>
      <c r="FO283" s="249"/>
      <c r="FP283" s="249"/>
      <c r="FQ283" s="249"/>
      <c r="FR283" s="249"/>
      <c r="FS283" s="249"/>
      <c r="FT283" s="249"/>
      <c r="FU283" s="249"/>
      <c r="FV283" s="249"/>
      <c r="FW283" s="249"/>
      <c r="FX283" s="249"/>
      <c r="FY283" s="249"/>
      <c r="FZ283" s="249"/>
      <c r="GA283" s="249"/>
      <c r="GB283" s="249"/>
      <c r="GC283" s="249"/>
      <c r="GD283" s="249"/>
      <c r="GE283" s="249"/>
      <c r="GF283" s="249"/>
      <c r="GG283" s="249"/>
      <c r="GH283" s="249"/>
      <c r="GI283" s="249"/>
      <c r="GJ283" s="249"/>
      <c r="GK283" s="249"/>
      <c r="GL283" s="249"/>
      <c r="GM283" s="249"/>
      <c r="GN283" s="249"/>
      <c r="GO283" s="249"/>
      <c r="GP283" s="249"/>
      <c r="GQ283" s="249"/>
      <c r="GR283" s="249"/>
    </row>
    <row r="284" spans="1:200" s="252" customFormat="1" ht="12.75" customHeight="1" x14ac:dyDescent="0.2">
      <c r="A284" s="722"/>
      <c r="B284" s="1123"/>
      <c r="C284" s="1123"/>
      <c r="D284" s="525"/>
      <c r="E284" s="599"/>
      <c r="F284" s="249"/>
      <c r="G284" s="250"/>
      <c r="H284" s="250"/>
      <c r="I284" s="250"/>
      <c r="J284" s="250"/>
      <c r="K284" s="250"/>
      <c r="L284" s="250"/>
      <c r="M284" s="250"/>
      <c r="N284" s="250"/>
      <c r="O284" s="250"/>
      <c r="P284" s="251"/>
      <c r="Q284" s="251"/>
      <c r="R284" s="251"/>
      <c r="S284" s="251"/>
      <c r="T284" s="251"/>
      <c r="U284" s="287" t="str">
        <f t="shared" si="75"/>
        <v>Yes</v>
      </c>
      <c r="V284" s="1969" t="str">
        <f>IF(U284="Yes",'Casings et al'!C8,'Casings et al'!I8)</f>
        <v>Thread Sealant * Premium Thread Compound</v>
      </c>
      <c r="W284" s="286" t="s">
        <v>163</v>
      </c>
      <c r="X284" s="290"/>
      <c r="Y284" s="243"/>
      <c r="Z284" s="2103">
        <f>IF(U284="Yes",'Casings et al'!E8,'Casings et al'!K8)</f>
        <v>1</v>
      </c>
      <c r="AA284" s="243"/>
      <c r="AB284" s="243">
        <f>IFERROR((VLOOKUP($V284,IF((INPUT!$D$7="Big Hole"),BHCSG,RHCSG),3,FALSE)*IF((VLOOKUP(V284,IF((INPUT!$D$7="Big Hole"),BHCSG,RHCSG),2,FALSE)=AB$278),1,0)),0)</f>
        <v>0</v>
      </c>
      <c r="AC284" s="243"/>
      <c r="AD284" s="243">
        <f>IFERROR((VLOOKUP($V284,IF((INPUT!$D$7="Big Hole"),BHCSG,RHCSG),3,FALSE)*IF((VLOOKUP($V284,IF((INPUT!$D$7="Big Hole"),BHCSG,RHCSG),2,FALSE)=AD$278),1,0)),0)</f>
        <v>0</v>
      </c>
      <c r="AE284" s="243"/>
      <c r="AF284" s="243">
        <f>IFERROR((VLOOKUP($V284,IF((INPUT!$D$7="Big Hole"),BHCSG,RHCSG),3,FALSE)*IF((VLOOKUP($V284,IF((INPUT!$D$7="Big Hole"),BHCSG,RHCSG),2,FALSE)=AF$278),1,0)),0)</f>
        <v>0</v>
      </c>
      <c r="AG284" s="243"/>
      <c r="AH284" s="243">
        <f>IFERROR((VLOOKUP($V284,IF((INPUT!$D$7="Big Hole"),BHCSG,RHCSG),3,FALSE)*IF((VLOOKUP($V284,IF((INPUT!$D$7="Big Hole"),BHCSG,RHCSG),2,FALSE)=AH$278),1,0)),0)</f>
        <v>0</v>
      </c>
      <c r="AI284" s="243"/>
      <c r="AJ284" s="243">
        <f>IFERROR((VLOOKUP($V284,IF((INPUT!$D$7="Big Hole"),BHCSG,RHCSG),3,FALSE)*IF((VLOOKUP($V284,IF((INPUT!$D$7="Big Hole"),BHCSG,RHCSG),2,FALSE)=AJ$278),1,0)),0)</f>
        <v>0</v>
      </c>
      <c r="AK284" s="243">
        <f>IFERROR((VLOOKUP($V284,IF((INPUT!$D$7="Big Hole"),BHCSG,RHCSG),3,FALSE)*IF((VLOOKUP($V284,IF((INPUT!$D$7="Big Hole"),BHCSG,RHCSG),2,FALSE)=AK$278),1,0)),0)</f>
        <v>0</v>
      </c>
      <c r="AL284" s="243"/>
      <c r="AM284" s="475">
        <f t="shared" si="76"/>
        <v>1</v>
      </c>
      <c r="AN284" s="254"/>
      <c r="AO284" s="249"/>
      <c r="AP284" s="250"/>
      <c r="AQ284" s="250"/>
      <c r="AR284" s="250"/>
      <c r="AS284" s="250"/>
      <c r="AT284" s="250"/>
      <c r="AU284" s="250"/>
      <c r="AV284" s="249"/>
      <c r="AW284" s="249"/>
      <c r="AX284" s="249"/>
      <c r="AY284" s="249"/>
      <c r="AZ284" s="249"/>
      <c r="BA284" s="249"/>
      <c r="BB284" s="249"/>
      <c r="BC284" s="249"/>
      <c r="BD284" s="249"/>
      <c r="BE284" s="249"/>
      <c r="BF284" s="249"/>
      <c r="BG284" s="249"/>
      <c r="BH284" s="249"/>
      <c r="BI284" s="249"/>
      <c r="BJ284" s="249"/>
      <c r="BK284" s="249"/>
      <c r="BL284" s="249"/>
      <c r="BM284" s="249"/>
      <c r="BN284" s="249"/>
      <c r="BO284" s="249"/>
      <c r="BP284" s="249"/>
      <c r="BQ284" s="249"/>
      <c r="BR284" s="249"/>
      <c r="BS284" s="249"/>
      <c r="BT284" s="249"/>
      <c r="BU284" s="249"/>
      <c r="BV284" s="249"/>
      <c r="BW284" s="249"/>
      <c r="BX284" s="249"/>
      <c r="BY284" s="249"/>
      <c r="BZ284" s="249"/>
      <c r="CA284" s="249"/>
      <c r="CB284" s="249"/>
      <c r="CC284" s="249"/>
      <c r="CD284" s="249"/>
      <c r="CE284" s="249"/>
      <c r="CF284" s="249"/>
      <c r="CG284" s="249"/>
      <c r="CH284" s="249"/>
      <c r="CI284" s="249"/>
      <c r="CJ284" s="249"/>
      <c r="CK284" s="249"/>
      <c r="CL284" s="249"/>
      <c r="CM284" s="249"/>
      <c r="CN284" s="249"/>
      <c r="CO284" s="249"/>
      <c r="CP284" s="249"/>
      <c r="CQ284" s="249"/>
      <c r="CR284" s="249"/>
      <c r="CS284" s="249"/>
      <c r="CT284" s="249"/>
      <c r="CU284" s="249"/>
      <c r="CV284" s="249"/>
      <c r="CW284" s="249"/>
      <c r="CX284" s="249"/>
      <c r="CY284" s="249"/>
      <c r="CZ284" s="249"/>
      <c r="DA284" s="249"/>
      <c r="DB284" s="249"/>
      <c r="DC284" s="249"/>
      <c r="DD284" s="249"/>
      <c r="DE284" s="249"/>
      <c r="DF284" s="249"/>
      <c r="DG284" s="249"/>
      <c r="DH284" s="249"/>
      <c r="DI284" s="249"/>
      <c r="DJ284" s="249"/>
      <c r="DK284" s="249"/>
      <c r="DL284" s="249"/>
      <c r="DM284" s="249"/>
      <c r="DN284" s="249"/>
      <c r="DO284" s="249"/>
      <c r="DP284" s="249"/>
      <c r="DQ284" s="249"/>
      <c r="DR284" s="249"/>
      <c r="DS284" s="249"/>
      <c r="DT284" s="249"/>
      <c r="DU284" s="249"/>
      <c r="DV284" s="249"/>
      <c r="DW284" s="249"/>
      <c r="DX284" s="249"/>
      <c r="DY284" s="249"/>
      <c r="DZ284" s="249"/>
      <c r="EA284" s="249"/>
      <c r="EB284" s="249"/>
      <c r="EC284" s="249"/>
      <c r="ED284" s="249"/>
      <c r="EE284" s="249"/>
      <c r="EF284" s="249"/>
      <c r="EG284" s="249"/>
      <c r="EH284" s="249"/>
      <c r="EI284" s="249"/>
      <c r="EJ284" s="249"/>
      <c r="EK284" s="249"/>
      <c r="EL284" s="249"/>
      <c r="EM284" s="249"/>
      <c r="EN284" s="249"/>
      <c r="EO284" s="249"/>
      <c r="EP284" s="249"/>
      <c r="EQ284" s="249"/>
      <c r="ER284" s="249"/>
      <c r="ES284" s="249"/>
      <c r="ET284" s="249"/>
      <c r="EU284" s="249"/>
      <c r="EV284" s="249"/>
      <c r="EW284" s="249"/>
      <c r="EX284" s="249"/>
      <c r="EY284" s="249"/>
      <c r="EZ284" s="249"/>
      <c r="FA284" s="249"/>
      <c r="FB284" s="249"/>
      <c r="FC284" s="249"/>
      <c r="FD284" s="249"/>
      <c r="FE284" s="249"/>
      <c r="FF284" s="249"/>
      <c r="FG284" s="249"/>
      <c r="FH284" s="249"/>
      <c r="FI284" s="249"/>
      <c r="FJ284" s="249"/>
      <c r="FK284" s="249"/>
      <c r="FL284" s="249"/>
      <c r="FM284" s="249"/>
      <c r="FN284" s="249"/>
      <c r="FO284" s="249"/>
      <c r="FP284" s="249"/>
      <c r="FQ284" s="249"/>
      <c r="FR284" s="249"/>
      <c r="FS284" s="249"/>
      <c r="FT284" s="249"/>
      <c r="FU284" s="249"/>
      <c r="FV284" s="249"/>
      <c r="FW284" s="249"/>
      <c r="FX284" s="249"/>
      <c r="FY284" s="249"/>
      <c r="FZ284" s="249"/>
      <c r="GA284" s="249"/>
      <c r="GB284" s="249"/>
      <c r="GC284" s="249"/>
      <c r="GD284" s="249"/>
      <c r="GE284" s="249"/>
      <c r="GF284" s="249"/>
      <c r="GG284" s="249"/>
      <c r="GH284" s="249"/>
      <c r="GI284" s="249"/>
      <c r="GJ284" s="249"/>
      <c r="GK284" s="249"/>
      <c r="GL284" s="249"/>
      <c r="GM284" s="249"/>
      <c r="GN284" s="249"/>
      <c r="GO284" s="249"/>
      <c r="GP284" s="249"/>
      <c r="GQ284" s="249"/>
      <c r="GR284" s="249"/>
    </row>
    <row r="285" spans="1:200" s="252" customFormat="1" ht="12.75" customHeight="1" x14ac:dyDescent="0.2">
      <c r="A285" s="722"/>
      <c r="B285" s="1123"/>
      <c r="C285" s="1123"/>
      <c r="D285" s="525"/>
      <c r="E285" s="599"/>
      <c r="F285" s="249"/>
      <c r="G285" s="250"/>
      <c r="H285" s="250"/>
      <c r="I285" s="250"/>
      <c r="J285" s="250"/>
      <c r="K285" s="250"/>
      <c r="L285" s="250"/>
      <c r="M285" s="250"/>
      <c r="N285" s="250"/>
      <c r="O285" s="250"/>
      <c r="P285" s="251"/>
      <c r="Q285" s="251"/>
      <c r="R285" s="251"/>
      <c r="S285" s="251"/>
      <c r="T285" s="251"/>
      <c r="U285" s="287" t="str">
        <f t="shared" si="75"/>
        <v>Yes</v>
      </c>
      <c r="V285" s="1969">
        <f>IF(U285="Yes",'Casings et al'!C9,'Casings et al'!I9)</f>
        <v>0</v>
      </c>
      <c r="W285" s="286" t="s">
        <v>163</v>
      </c>
      <c r="X285" s="290"/>
      <c r="Y285" s="243"/>
      <c r="Z285" s="2103">
        <f>IF(U285="Yes",'Casings et al'!E9,'Casings et al'!K9)</f>
        <v>0</v>
      </c>
      <c r="AA285" s="1162"/>
      <c r="AB285" s="243">
        <f>IFERROR((VLOOKUP($V285,IF((INPUT!$D$7="Big Hole"),BHCSG,RHCSG),3,FALSE)*IF((VLOOKUP(V285,IF((INPUT!$D$7="Big Hole"),BHCSG,RHCSG),2,FALSE)=AB$278),1,0)),0)</f>
        <v>0</v>
      </c>
      <c r="AC285" s="243"/>
      <c r="AD285" s="243">
        <f>IFERROR((VLOOKUP($V285,IF((INPUT!$D$7="Big Hole"),BHCSG,RHCSG),3,FALSE)*IF((VLOOKUP($V285,IF((INPUT!$D$7="Big Hole"),BHCSG,RHCSG),2,FALSE)=AD$278),1,0)),0)</f>
        <v>0</v>
      </c>
      <c r="AE285" s="243"/>
      <c r="AF285" s="243">
        <f>IFERROR((VLOOKUP($V285,IF((INPUT!$D$7="Big Hole"),BHCSG,RHCSG),3,FALSE)*IF((VLOOKUP($V285,IF((INPUT!$D$7="Big Hole"),BHCSG,RHCSG),2,FALSE)=AF$278),1,0)),0)</f>
        <v>0</v>
      </c>
      <c r="AG285" s="243"/>
      <c r="AH285" s="243">
        <f>IFERROR((VLOOKUP($V285,IF((INPUT!$D$7="Big Hole"),BHCSG,RHCSG),3,FALSE)*IF((VLOOKUP($V285,IF((INPUT!$D$7="Big Hole"),BHCSG,RHCSG),2,FALSE)=AH$278),1,0)),0)</f>
        <v>0</v>
      </c>
      <c r="AI285" s="243"/>
      <c r="AJ285" s="243">
        <f>IFERROR((VLOOKUP($V285,IF((INPUT!$D$7="Big Hole"),BHCSG,RHCSG),3,FALSE)*IF((VLOOKUP($V285,IF((INPUT!$D$7="Big Hole"),BHCSG,RHCSG),2,FALSE)=AJ$278),1,0)),0)</f>
        <v>0</v>
      </c>
      <c r="AK285" s="243">
        <f>IFERROR((VLOOKUP($V285,IF((INPUT!$D$7="Big Hole"),BHCSG,RHCSG),3,FALSE)*IF((VLOOKUP($V285,IF((INPUT!$D$7="Big Hole"),BHCSG,RHCSG),2,FALSE)=AK$278),1,0)),0)</f>
        <v>0</v>
      </c>
      <c r="AL285" s="243"/>
      <c r="AM285" s="475">
        <f t="shared" si="76"/>
        <v>0</v>
      </c>
      <c r="AN285" s="254"/>
      <c r="AO285" s="249"/>
      <c r="AP285" s="250"/>
      <c r="AQ285" s="250"/>
      <c r="AR285" s="250"/>
      <c r="AS285" s="250"/>
      <c r="AT285" s="250"/>
      <c r="AU285" s="250"/>
      <c r="AV285" s="249"/>
      <c r="AW285" s="249"/>
      <c r="AX285" s="249"/>
      <c r="AY285" s="249"/>
      <c r="AZ285" s="249"/>
      <c r="BA285" s="249"/>
      <c r="BB285" s="249"/>
      <c r="BC285" s="249"/>
      <c r="BD285" s="249"/>
      <c r="BE285" s="249"/>
      <c r="BF285" s="249"/>
      <c r="BG285" s="249"/>
      <c r="BH285" s="249"/>
      <c r="BI285" s="249"/>
      <c r="BJ285" s="249"/>
      <c r="BK285" s="249"/>
      <c r="BL285" s="249"/>
      <c r="BM285" s="249"/>
      <c r="BN285" s="249"/>
      <c r="BO285" s="249"/>
      <c r="BP285" s="249"/>
      <c r="BQ285" s="249"/>
      <c r="BR285" s="249"/>
      <c r="BS285" s="249"/>
      <c r="BT285" s="249"/>
      <c r="BU285" s="249"/>
      <c r="BV285" s="249"/>
      <c r="BW285" s="249"/>
      <c r="BX285" s="249"/>
      <c r="BY285" s="249"/>
      <c r="BZ285" s="249"/>
      <c r="CA285" s="249"/>
      <c r="CB285" s="249"/>
      <c r="CC285" s="249"/>
      <c r="CD285" s="249"/>
      <c r="CE285" s="249"/>
      <c r="CF285" s="249"/>
      <c r="CG285" s="249"/>
      <c r="CH285" s="249"/>
      <c r="CI285" s="249"/>
      <c r="CJ285" s="249"/>
      <c r="CK285" s="249"/>
      <c r="CL285" s="249"/>
      <c r="CM285" s="249"/>
      <c r="CN285" s="249"/>
      <c r="CO285" s="249"/>
      <c r="CP285" s="249"/>
      <c r="CQ285" s="249"/>
      <c r="CR285" s="249"/>
      <c r="CS285" s="249"/>
      <c r="CT285" s="249"/>
      <c r="CU285" s="249"/>
      <c r="CV285" s="249"/>
      <c r="CW285" s="249"/>
      <c r="CX285" s="249"/>
      <c r="CY285" s="249"/>
      <c r="CZ285" s="249"/>
      <c r="DA285" s="249"/>
      <c r="DB285" s="249"/>
      <c r="DC285" s="249"/>
      <c r="DD285" s="249"/>
      <c r="DE285" s="249"/>
      <c r="DF285" s="249"/>
      <c r="DG285" s="249"/>
      <c r="DH285" s="249"/>
      <c r="DI285" s="249"/>
      <c r="DJ285" s="249"/>
      <c r="DK285" s="249"/>
      <c r="DL285" s="249"/>
      <c r="DM285" s="249"/>
      <c r="DN285" s="249"/>
      <c r="DO285" s="249"/>
      <c r="DP285" s="249"/>
      <c r="DQ285" s="249"/>
      <c r="DR285" s="249"/>
      <c r="DS285" s="249"/>
      <c r="DT285" s="249"/>
      <c r="DU285" s="249"/>
      <c r="DV285" s="249"/>
      <c r="DW285" s="249"/>
      <c r="DX285" s="249"/>
      <c r="DY285" s="249"/>
      <c r="DZ285" s="249"/>
      <c r="EA285" s="249"/>
      <c r="EB285" s="249"/>
      <c r="EC285" s="249"/>
      <c r="ED285" s="249"/>
      <c r="EE285" s="249"/>
      <c r="EF285" s="249"/>
      <c r="EG285" s="249"/>
      <c r="EH285" s="249"/>
      <c r="EI285" s="249"/>
      <c r="EJ285" s="249"/>
      <c r="EK285" s="249"/>
      <c r="EL285" s="249"/>
      <c r="EM285" s="249"/>
      <c r="EN285" s="249"/>
      <c r="EO285" s="249"/>
      <c r="EP285" s="249"/>
      <c r="EQ285" s="249"/>
      <c r="ER285" s="249"/>
      <c r="ES285" s="249"/>
      <c r="ET285" s="249"/>
      <c r="EU285" s="249"/>
      <c r="EV285" s="249"/>
      <c r="EW285" s="249"/>
      <c r="EX285" s="249"/>
      <c r="EY285" s="249"/>
      <c r="EZ285" s="249"/>
      <c r="FA285" s="249"/>
      <c r="FB285" s="249"/>
      <c r="FC285" s="249"/>
      <c r="FD285" s="249"/>
      <c r="FE285" s="249"/>
      <c r="FF285" s="249"/>
      <c r="FG285" s="249"/>
      <c r="FH285" s="249"/>
      <c r="FI285" s="249"/>
      <c r="FJ285" s="249"/>
      <c r="FK285" s="249"/>
      <c r="FL285" s="249"/>
      <c r="FM285" s="249"/>
      <c r="FN285" s="249"/>
      <c r="FO285" s="249"/>
      <c r="FP285" s="249"/>
      <c r="FQ285" s="249"/>
      <c r="FR285" s="249"/>
      <c r="FS285" s="249"/>
      <c r="FT285" s="249"/>
      <c r="FU285" s="249"/>
      <c r="FV285" s="249"/>
      <c r="FW285" s="249"/>
      <c r="FX285" s="249"/>
      <c r="FY285" s="249"/>
      <c r="FZ285" s="249"/>
      <c r="GA285" s="249"/>
      <c r="GB285" s="249"/>
      <c r="GC285" s="249"/>
      <c r="GD285" s="249"/>
      <c r="GE285" s="249"/>
      <c r="GF285" s="249"/>
      <c r="GG285" s="249"/>
      <c r="GH285" s="249"/>
      <c r="GI285" s="249"/>
      <c r="GJ285" s="249"/>
      <c r="GK285" s="249"/>
      <c r="GL285" s="249"/>
      <c r="GM285" s="249"/>
      <c r="GN285" s="249"/>
      <c r="GO285" s="249"/>
      <c r="GP285" s="249"/>
      <c r="GQ285" s="249"/>
      <c r="GR285" s="249"/>
    </row>
    <row r="286" spans="1:200" s="252" customFormat="1" ht="12.75" customHeight="1" x14ac:dyDescent="0.2">
      <c r="A286" s="722"/>
      <c r="B286" s="1123"/>
      <c r="C286" s="1123"/>
      <c r="D286" s="525"/>
      <c r="E286" s="599"/>
      <c r="F286" s="249"/>
      <c r="G286" s="250"/>
      <c r="H286" s="250"/>
      <c r="I286" s="250"/>
      <c r="J286" s="250"/>
      <c r="K286" s="250"/>
      <c r="L286" s="250"/>
      <c r="M286" s="250"/>
      <c r="N286" s="250"/>
      <c r="O286" s="250"/>
      <c r="P286" s="251"/>
      <c r="Q286" s="251"/>
      <c r="R286" s="251"/>
      <c r="S286" s="251"/>
      <c r="T286" s="251"/>
      <c r="U286" s="287" t="str">
        <f t="shared" si="75"/>
        <v>Yes</v>
      </c>
      <c r="V286" s="1971" t="str">
        <f>IF(U286="Yes",'Casings et al'!C10,'Casings et al'!I10)</f>
        <v>18-5/8" OD Casing, 114PPF, K55, BTC</v>
      </c>
      <c r="W286" s="286" t="s">
        <v>169</v>
      </c>
      <c r="X286" s="290"/>
      <c r="Y286" s="243"/>
      <c r="Z286" s="243">
        <f>IFERROR((VLOOKUP($V286,IF((INPUT!$D$7="Big Hole"),BHCSG,RHCSG),3,FALSE)*IF((VLOOKUP($V286,IF((INPUT!$D$7="Big Hole"),BHCSG,RHCSG),2,FALSE)=Z$278),1,0)),0)</f>
        <v>0</v>
      </c>
      <c r="AA286" s="1162"/>
      <c r="AB286" s="2103">
        <f>IF($U285="Yes",'Casings et al'!$E10,'Casings et al'!$K10)</f>
        <v>52</v>
      </c>
      <c r="AC286" s="243"/>
      <c r="AD286" s="243">
        <f>IFERROR((VLOOKUP($V286,IF((INPUT!$D$7="Big Hole"),BHCSG,RHCSG),3,FALSE)*IF((VLOOKUP($V286,IF((INPUT!$D$7="Big Hole"),BHCSG,RHCSG),2,FALSE)=AD$278),1,0)),0)</f>
        <v>0</v>
      </c>
      <c r="AE286" s="243"/>
      <c r="AF286" s="243">
        <f>IFERROR((VLOOKUP($V286,IF((INPUT!$D$7="Big Hole"),BHCSG,RHCSG),3,FALSE)*IF((VLOOKUP($V286,IF((INPUT!$D$7="Big Hole"),BHCSG,RHCSG),2,FALSE)=AF$278),1,0)),0)</f>
        <v>0</v>
      </c>
      <c r="AG286" s="243"/>
      <c r="AH286" s="243">
        <f>IFERROR((VLOOKUP($V286,IF((INPUT!$D$7="Big Hole"),BHCSG,RHCSG),3,FALSE)*IF((VLOOKUP($V286,IF((INPUT!$D$7="Big Hole"),BHCSG,RHCSG),2,FALSE)=AH$278),1,0)),0)</f>
        <v>0</v>
      </c>
      <c r="AI286" s="243"/>
      <c r="AJ286" s="243">
        <f>IFERROR((VLOOKUP($V286,IF((INPUT!$D$7="Big Hole"),BHCSG,RHCSG),3,FALSE)*IF((VLOOKUP($V286,IF((INPUT!$D$7="Big Hole"),BHCSG,RHCSG),2,FALSE)=AJ$278),1,0)),0)</f>
        <v>0</v>
      </c>
      <c r="AK286" s="243">
        <f>IFERROR((VLOOKUP($V286,IF((INPUT!$D$7="Big Hole"),BHCSG,RHCSG),3,FALSE)*IF((VLOOKUP($V286,IF((INPUT!$D$7="Big Hole"),BHCSG,RHCSG),2,FALSE)=AK$278),1,0)),0)</f>
        <v>0</v>
      </c>
      <c r="AL286" s="243"/>
      <c r="AM286" s="475">
        <f t="shared" si="76"/>
        <v>52</v>
      </c>
      <c r="AN286" s="254"/>
      <c r="AO286" s="249"/>
      <c r="AP286" s="250"/>
      <c r="AQ286" s="250"/>
      <c r="AR286" s="250"/>
      <c r="AS286" s="250"/>
      <c r="AT286" s="250"/>
      <c r="AU286" s="250"/>
      <c r="AV286" s="249"/>
      <c r="AW286" s="249"/>
      <c r="AX286" s="249"/>
      <c r="AY286" s="249"/>
      <c r="AZ286" s="249"/>
      <c r="BA286" s="249"/>
      <c r="BB286" s="249"/>
      <c r="BC286" s="249"/>
      <c r="BD286" s="249"/>
      <c r="BE286" s="249"/>
      <c r="BF286" s="249"/>
      <c r="BG286" s="249"/>
      <c r="BH286" s="249"/>
      <c r="BI286" s="249"/>
      <c r="BJ286" s="249"/>
      <c r="BK286" s="249"/>
      <c r="BL286" s="249"/>
      <c r="BM286" s="249"/>
      <c r="BN286" s="249"/>
      <c r="BO286" s="249"/>
      <c r="BP286" s="249"/>
      <c r="BQ286" s="249"/>
      <c r="BR286" s="249"/>
      <c r="BS286" s="249"/>
      <c r="BT286" s="249"/>
      <c r="BU286" s="249"/>
      <c r="BV286" s="249"/>
      <c r="BW286" s="249"/>
      <c r="BX286" s="249"/>
      <c r="BY286" s="249"/>
      <c r="BZ286" s="249"/>
      <c r="CA286" s="249"/>
      <c r="CB286" s="249"/>
      <c r="CC286" s="249"/>
      <c r="CD286" s="249"/>
      <c r="CE286" s="249"/>
      <c r="CF286" s="249"/>
      <c r="CG286" s="249"/>
      <c r="CH286" s="249"/>
      <c r="CI286" s="249"/>
      <c r="CJ286" s="249"/>
      <c r="CK286" s="249"/>
      <c r="CL286" s="249"/>
      <c r="CM286" s="249"/>
      <c r="CN286" s="249"/>
      <c r="CO286" s="249"/>
      <c r="CP286" s="249"/>
      <c r="CQ286" s="249"/>
      <c r="CR286" s="249"/>
      <c r="CS286" s="249"/>
      <c r="CT286" s="249"/>
      <c r="CU286" s="249"/>
      <c r="CV286" s="249"/>
      <c r="CW286" s="249"/>
      <c r="CX286" s="249"/>
      <c r="CY286" s="249"/>
      <c r="CZ286" s="249"/>
      <c r="DA286" s="249"/>
      <c r="DB286" s="249"/>
      <c r="DC286" s="249"/>
      <c r="DD286" s="249"/>
      <c r="DE286" s="249"/>
      <c r="DF286" s="249"/>
      <c r="DG286" s="249"/>
      <c r="DH286" s="249"/>
      <c r="DI286" s="249"/>
      <c r="DJ286" s="249"/>
      <c r="DK286" s="249"/>
      <c r="DL286" s="249"/>
      <c r="DM286" s="249"/>
      <c r="DN286" s="249"/>
      <c r="DO286" s="249"/>
      <c r="DP286" s="249"/>
      <c r="DQ286" s="249"/>
      <c r="DR286" s="249"/>
      <c r="DS286" s="249"/>
      <c r="DT286" s="249"/>
      <c r="DU286" s="249"/>
      <c r="DV286" s="249"/>
      <c r="DW286" s="249"/>
      <c r="DX286" s="249"/>
      <c r="DY286" s="249"/>
      <c r="DZ286" s="249"/>
      <c r="EA286" s="249"/>
      <c r="EB286" s="249"/>
      <c r="EC286" s="249"/>
      <c r="ED286" s="249"/>
      <c r="EE286" s="249"/>
      <c r="EF286" s="249"/>
      <c r="EG286" s="249"/>
      <c r="EH286" s="249"/>
      <c r="EI286" s="249"/>
      <c r="EJ286" s="249"/>
      <c r="EK286" s="249"/>
      <c r="EL286" s="249"/>
      <c r="EM286" s="249"/>
      <c r="EN286" s="249"/>
      <c r="EO286" s="249"/>
      <c r="EP286" s="249"/>
      <c r="EQ286" s="249"/>
      <c r="ER286" s="249"/>
      <c r="ES286" s="249"/>
      <c r="ET286" s="249"/>
      <c r="EU286" s="249"/>
      <c r="EV286" s="249"/>
      <c r="EW286" s="249"/>
      <c r="EX286" s="249"/>
      <c r="EY286" s="249"/>
      <c r="EZ286" s="249"/>
      <c r="FA286" s="249"/>
      <c r="FB286" s="249"/>
      <c r="FC286" s="249"/>
      <c r="FD286" s="249"/>
      <c r="FE286" s="249"/>
      <c r="FF286" s="249"/>
      <c r="FG286" s="249"/>
      <c r="FH286" s="249"/>
      <c r="FI286" s="249"/>
      <c r="FJ286" s="249"/>
      <c r="FK286" s="249"/>
      <c r="FL286" s="249"/>
      <c r="FM286" s="249"/>
      <c r="FN286" s="249"/>
      <c r="FO286" s="249"/>
      <c r="FP286" s="249"/>
      <c r="FQ286" s="249"/>
      <c r="FR286" s="249"/>
      <c r="FS286" s="249"/>
      <c r="FT286" s="249"/>
      <c r="FU286" s="249"/>
      <c r="FV286" s="249"/>
      <c r="FW286" s="249"/>
      <c r="FX286" s="249"/>
      <c r="FY286" s="249"/>
      <c r="FZ286" s="249"/>
      <c r="GA286" s="249"/>
      <c r="GB286" s="249"/>
      <c r="GC286" s="249"/>
      <c r="GD286" s="249"/>
      <c r="GE286" s="249"/>
      <c r="GF286" s="249"/>
      <c r="GG286" s="249"/>
      <c r="GH286" s="249"/>
      <c r="GI286" s="249"/>
      <c r="GJ286" s="249"/>
      <c r="GK286" s="249"/>
      <c r="GL286" s="249"/>
      <c r="GM286" s="249"/>
      <c r="GN286" s="249"/>
      <c r="GO286" s="249"/>
      <c r="GP286" s="249"/>
      <c r="GQ286" s="249"/>
      <c r="GR286" s="249"/>
    </row>
    <row r="287" spans="1:200" s="252" customFormat="1" ht="12.75" customHeight="1" x14ac:dyDescent="0.2">
      <c r="A287" s="722"/>
      <c r="B287" s="1123"/>
      <c r="C287" s="1123"/>
      <c r="D287" s="525"/>
      <c r="E287" s="599"/>
      <c r="F287" s="249"/>
      <c r="G287" s="250"/>
      <c r="H287" s="250"/>
      <c r="I287" s="250"/>
      <c r="J287" s="250"/>
      <c r="K287" s="250"/>
      <c r="L287" s="250"/>
      <c r="M287" s="250"/>
      <c r="N287" s="250"/>
      <c r="O287" s="250"/>
      <c r="P287" s="251"/>
      <c r="Q287" s="251"/>
      <c r="R287" s="251"/>
      <c r="S287" s="251"/>
      <c r="T287" s="251"/>
      <c r="U287" s="287" t="str">
        <f t="shared" si="75"/>
        <v>Yes</v>
      </c>
      <c r="V287" s="1971" t="str">
        <f>IF(U287="Yes",'Casings et al'!C11,'Casings et al'!I11)</f>
        <v>18-5/8" Float Shoe, BTC</v>
      </c>
      <c r="W287" s="286" t="s">
        <v>163</v>
      </c>
      <c r="X287" s="290"/>
      <c r="Y287" s="243"/>
      <c r="Z287" s="243">
        <f>IFERROR((VLOOKUP($V287,IF((INPUT!$D$7="Big Hole"),BHCSG,RHCSG),3,FALSE)*IF((VLOOKUP($V287,IF((INPUT!$D$7="Big Hole"),BHCSG,RHCSG),2,FALSE)=Z$278),1,0)),0)</f>
        <v>0</v>
      </c>
      <c r="AA287" s="1162"/>
      <c r="AB287" s="2103">
        <f>IF($U286="Yes",'Casings et al'!$E11,'Casings et al'!$K11)</f>
        <v>1</v>
      </c>
      <c r="AC287" s="243"/>
      <c r="AD287" s="243">
        <f>IFERROR((VLOOKUP($V287,IF((INPUT!$D$7="Big Hole"),BHCSG,RHCSG),3,FALSE)*IF((VLOOKUP($V287,IF((INPUT!$D$7="Big Hole"),BHCSG,RHCSG),2,FALSE)=AD$278),1,0)),0)</f>
        <v>0</v>
      </c>
      <c r="AE287" s="243"/>
      <c r="AF287" s="243">
        <f>IFERROR((VLOOKUP($V287,IF((INPUT!$D$7="Big Hole"),BHCSG,RHCSG),3,FALSE)*IF((VLOOKUP($V287,IF((INPUT!$D$7="Big Hole"),BHCSG,RHCSG),2,FALSE)=AF$278),1,0)),0)</f>
        <v>0</v>
      </c>
      <c r="AG287" s="243"/>
      <c r="AH287" s="243">
        <f>IFERROR((VLOOKUP($V287,IF((INPUT!$D$7="Big Hole"),BHCSG,RHCSG),3,FALSE)*IF((VLOOKUP($V287,IF((INPUT!$D$7="Big Hole"),BHCSG,RHCSG),2,FALSE)=AH$278),1,0)),0)</f>
        <v>0</v>
      </c>
      <c r="AI287" s="243"/>
      <c r="AJ287" s="243">
        <f>IFERROR((VLOOKUP($V287,IF((INPUT!$D$7="Big Hole"),BHCSG,RHCSG),3,FALSE)*IF((VLOOKUP($V287,IF((INPUT!$D$7="Big Hole"),BHCSG,RHCSG),2,FALSE)=AJ$278),1,0)),0)</f>
        <v>0</v>
      </c>
      <c r="AK287" s="243">
        <f>IFERROR((VLOOKUP($V287,IF((INPUT!$D$7="Big Hole"),BHCSG,RHCSG),3,FALSE)*IF((VLOOKUP($V287,IF((INPUT!$D$7="Big Hole"),BHCSG,RHCSG),2,FALSE)=AK$278),1,0)),0)</f>
        <v>0</v>
      </c>
      <c r="AL287" s="243"/>
      <c r="AM287" s="475">
        <f t="shared" si="76"/>
        <v>1</v>
      </c>
      <c r="AN287" s="254"/>
      <c r="AO287" s="249"/>
      <c r="AP287" s="250"/>
      <c r="AQ287" s="250"/>
      <c r="AR287" s="250"/>
      <c r="AS287" s="250"/>
      <c r="AT287" s="250"/>
      <c r="AU287" s="250"/>
      <c r="AV287" s="249"/>
      <c r="AW287" s="249"/>
      <c r="AX287" s="249"/>
      <c r="AY287" s="249"/>
      <c r="AZ287" s="249"/>
      <c r="BA287" s="249"/>
      <c r="BB287" s="249"/>
      <c r="BC287" s="249"/>
      <c r="BD287" s="249"/>
      <c r="BE287" s="249"/>
      <c r="BF287" s="249"/>
      <c r="BG287" s="249"/>
      <c r="BH287" s="249"/>
      <c r="BI287" s="249"/>
      <c r="BJ287" s="249"/>
      <c r="BK287" s="249"/>
      <c r="BL287" s="249"/>
      <c r="BM287" s="249"/>
      <c r="BN287" s="249"/>
      <c r="BO287" s="249"/>
      <c r="BP287" s="249"/>
      <c r="BQ287" s="249"/>
      <c r="BR287" s="249"/>
      <c r="BS287" s="249"/>
      <c r="BT287" s="249"/>
      <c r="BU287" s="249"/>
      <c r="BV287" s="249"/>
      <c r="BW287" s="249"/>
      <c r="BX287" s="249"/>
      <c r="BY287" s="249"/>
      <c r="BZ287" s="249"/>
      <c r="CA287" s="249"/>
      <c r="CB287" s="249"/>
      <c r="CC287" s="249"/>
      <c r="CD287" s="249"/>
      <c r="CE287" s="249"/>
      <c r="CF287" s="249"/>
      <c r="CG287" s="249"/>
      <c r="CH287" s="249"/>
      <c r="CI287" s="249"/>
      <c r="CJ287" s="249"/>
      <c r="CK287" s="249"/>
      <c r="CL287" s="249"/>
      <c r="CM287" s="249"/>
      <c r="CN287" s="249"/>
      <c r="CO287" s="249"/>
      <c r="CP287" s="249"/>
      <c r="CQ287" s="249"/>
      <c r="CR287" s="249"/>
      <c r="CS287" s="249"/>
      <c r="CT287" s="249"/>
      <c r="CU287" s="249"/>
      <c r="CV287" s="249"/>
      <c r="CW287" s="249"/>
      <c r="CX287" s="249"/>
      <c r="CY287" s="249"/>
      <c r="CZ287" s="249"/>
      <c r="DA287" s="249"/>
      <c r="DB287" s="249"/>
      <c r="DC287" s="249"/>
      <c r="DD287" s="249"/>
      <c r="DE287" s="249"/>
      <c r="DF287" s="249"/>
      <c r="DG287" s="249"/>
      <c r="DH287" s="249"/>
      <c r="DI287" s="249"/>
      <c r="DJ287" s="249"/>
      <c r="DK287" s="249"/>
      <c r="DL287" s="249"/>
      <c r="DM287" s="249"/>
      <c r="DN287" s="249"/>
      <c r="DO287" s="249"/>
      <c r="DP287" s="249"/>
      <c r="DQ287" s="249"/>
      <c r="DR287" s="249"/>
      <c r="DS287" s="249"/>
      <c r="DT287" s="249"/>
      <c r="DU287" s="249"/>
      <c r="DV287" s="249"/>
      <c r="DW287" s="249"/>
      <c r="DX287" s="249"/>
      <c r="DY287" s="249"/>
      <c r="DZ287" s="249"/>
      <c r="EA287" s="249"/>
      <c r="EB287" s="249"/>
      <c r="EC287" s="249"/>
      <c r="ED287" s="249"/>
      <c r="EE287" s="249"/>
      <c r="EF287" s="249"/>
      <c r="EG287" s="249"/>
      <c r="EH287" s="249"/>
      <c r="EI287" s="249"/>
      <c r="EJ287" s="249"/>
      <c r="EK287" s="249"/>
      <c r="EL287" s="249"/>
      <c r="EM287" s="249"/>
      <c r="EN287" s="249"/>
      <c r="EO287" s="249"/>
      <c r="EP287" s="249"/>
      <c r="EQ287" s="249"/>
      <c r="ER287" s="249"/>
      <c r="ES287" s="249"/>
      <c r="ET287" s="249"/>
      <c r="EU287" s="249"/>
      <c r="EV287" s="249"/>
      <c r="EW287" s="249"/>
      <c r="EX287" s="249"/>
      <c r="EY287" s="249"/>
      <c r="EZ287" s="249"/>
      <c r="FA287" s="249"/>
      <c r="FB287" s="249"/>
      <c r="FC287" s="249"/>
      <c r="FD287" s="249"/>
      <c r="FE287" s="249"/>
      <c r="FF287" s="249"/>
      <c r="FG287" s="249"/>
      <c r="FH287" s="249"/>
      <c r="FI287" s="249"/>
      <c r="FJ287" s="249"/>
      <c r="FK287" s="249"/>
      <c r="FL287" s="249"/>
      <c r="FM287" s="249"/>
      <c r="FN287" s="249"/>
      <c r="FO287" s="249"/>
      <c r="FP287" s="249"/>
      <c r="FQ287" s="249"/>
      <c r="FR287" s="249"/>
      <c r="FS287" s="249"/>
      <c r="FT287" s="249"/>
      <c r="FU287" s="249"/>
      <c r="FV287" s="249"/>
      <c r="FW287" s="249"/>
      <c r="FX287" s="249"/>
      <c r="FY287" s="249"/>
      <c r="FZ287" s="249"/>
      <c r="GA287" s="249"/>
      <c r="GB287" s="249"/>
      <c r="GC287" s="249"/>
      <c r="GD287" s="249"/>
      <c r="GE287" s="249"/>
      <c r="GF287" s="249"/>
      <c r="GG287" s="249"/>
      <c r="GH287" s="249"/>
      <c r="GI287" s="249"/>
      <c r="GJ287" s="249"/>
      <c r="GK287" s="249"/>
      <c r="GL287" s="249"/>
      <c r="GM287" s="249"/>
      <c r="GN287" s="249"/>
      <c r="GO287" s="249"/>
      <c r="GP287" s="249"/>
      <c r="GQ287" s="249"/>
      <c r="GR287" s="249"/>
    </row>
    <row r="288" spans="1:200" s="252" customFormat="1" ht="12.75" customHeight="1" x14ac:dyDescent="0.2">
      <c r="A288" s="722"/>
      <c r="B288" s="1123"/>
      <c r="C288" s="1123"/>
      <c r="D288" s="525"/>
      <c r="E288" s="599"/>
      <c r="F288" s="249"/>
      <c r="G288" s="250"/>
      <c r="H288" s="250"/>
      <c r="I288" s="250"/>
      <c r="J288" s="250"/>
      <c r="K288" s="250"/>
      <c r="L288" s="250"/>
      <c r="M288" s="250"/>
      <c r="N288" s="250"/>
      <c r="O288" s="250"/>
      <c r="P288" s="251"/>
      <c r="Q288" s="251"/>
      <c r="R288" s="251"/>
      <c r="S288" s="251"/>
      <c r="T288" s="251"/>
      <c r="U288" s="287" t="str">
        <f t="shared" si="75"/>
        <v>Yes</v>
      </c>
      <c r="V288" s="1971" t="str">
        <f>IF(U288="Yes",'Casings et al'!C12,'Casings et al'!I12)</f>
        <v>18-5/8" Float Collar, 114PPF, BTC SILI w/ accs</v>
      </c>
      <c r="W288" s="286" t="s">
        <v>163</v>
      </c>
      <c r="X288" s="290"/>
      <c r="Y288" s="243"/>
      <c r="Z288" s="243">
        <f>IFERROR((VLOOKUP($V288,IF((INPUT!$D$7="Big Hole"),BHCSG,RHCSG),3,FALSE)*IF((VLOOKUP($V288,IF((INPUT!$D$7="Big Hole"),BHCSG,RHCSG),2,FALSE)=Z$278),1,0)),0)</f>
        <v>0</v>
      </c>
      <c r="AA288" s="1162"/>
      <c r="AB288" s="2103">
        <f>IF($U287="Yes",'Casings et al'!$E12,'Casings et al'!$K12)</f>
        <v>1</v>
      </c>
      <c r="AC288" s="243"/>
      <c r="AD288" s="243">
        <f>IFERROR((VLOOKUP($V288,IF((INPUT!$D$7="Big Hole"),BHCSG,RHCSG),3,FALSE)*IF((VLOOKUP($V288,IF((INPUT!$D$7="Big Hole"),BHCSG,RHCSG),2,FALSE)=AD$278),1,0)),0)</f>
        <v>0</v>
      </c>
      <c r="AE288" s="243"/>
      <c r="AF288" s="243">
        <f>IFERROR((VLOOKUP($V288,IF((INPUT!$D$7="Big Hole"),BHCSG,RHCSG),3,FALSE)*IF((VLOOKUP($V288,IF((INPUT!$D$7="Big Hole"),BHCSG,RHCSG),2,FALSE)=AF$278),1,0)),0)</f>
        <v>0</v>
      </c>
      <c r="AG288" s="243"/>
      <c r="AH288" s="243">
        <f>IFERROR((VLOOKUP($V288,IF((INPUT!$D$7="Big Hole"),BHCSG,RHCSG),3,FALSE)*IF((VLOOKUP($V288,IF((INPUT!$D$7="Big Hole"),BHCSG,RHCSG),2,FALSE)=AH$278),1,0)),0)</f>
        <v>0</v>
      </c>
      <c r="AI288" s="243"/>
      <c r="AJ288" s="243">
        <f>IFERROR((VLOOKUP($V288,IF((INPUT!$D$7="Big Hole"),BHCSG,RHCSG),3,FALSE)*IF((VLOOKUP($V288,IF((INPUT!$D$7="Big Hole"),BHCSG,RHCSG),2,FALSE)=AJ$278),1,0)),0)</f>
        <v>0</v>
      </c>
      <c r="AK288" s="243">
        <f>IFERROR((VLOOKUP($V288,IF((INPUT!$D$7="Big Hole"),BHCSG,RHCSG),3,FALSE)*IF((VLOOKUP($V288,IF((INPUT!$D$7="Big Hole"),BHCSG,RHCSG),2,FALSE)=AK$278),1,0)),0)</f>
        <v>0</v>
      </c>
      <c r="AL288" s="243"/>
      <c r="AM288" s="475">
        <f t="shared" si="76"/>
        <v>1</v>
      </c>
      <c r="AN288" s="254"/>
      <c r="AO288" s="249"/>
      <c r="AP288" s="250"/>
      <c r="AQ288" s="250"/>
      <c r="AR288" s="250"/>
      <c r="AS288" s="250"/>
      <c r="AT288" s="250"/>
      <c r="AU288" s="250"/>
      <c r="AV288" s="249"/>
      <c r="AW288" s="249"/>
      <c r="AX288" s="249"/>
      <c r="AY288" s="249"/>
      <c r="AZ288" s="249"/>
      <c r="BA288" s="249"/>
      <c r="BB288" s="249"/>
      <c r="BC288" s="249"/>
      <c r="BD288" s="249"/>
      <c r="BE288" s="249"/>
      <c r="BF288" s="249"/>
      <c r="BG288" s="249"/>
      <c r="BH288" s="249"/>
      <c r="BI288" s="249"/>
      <c r="BJ288" s="249"/>
      <c r="BK288" s="249"/>
      <c r="BL288" s="249"/>
      <c r="BM288" s="249"/>
      <c r="BN288" s="249"/>
      <c r="BO288" s="249"/>
      <c r="BP288" s="249"/>
      <c r="BQ288" s="249"/>
      <c r="BR288" s="249"/>
      <c r="BS288" s="249"/>
      <c r="BT288" s="249"/>
      <c r="BU288" s="249"/>
      <c r="BV288" s="249"/>
      <c r="BW288" s="249"/>
      <c r="BX288" s="249"/>
      <c r="BY288" s="249"/>
      <c r="BZ288" s="249"/>
      <c r="CA288" s="249"/>
      <c r="CB288" s="249"/>
      <c r="CC288" s="249"/>
      <c r="CD288" s="249"/>
      <c r="CE288" s="249"/>
      <c r="CF288" s="249"/>
      <c r="CG288" s="249"/>
      <c r="CH288" s="249"/>
      <c r="CI288" s="249"/>
      <c r="CJ288" s="249"/>
      <c r="CK288" s="249"/>
      <c r="CL288" s="249"/>
      <c r="CM288" s="249"/>
      <c r="CN288" s="249"/>
      <c r="CO288" s="249"/>
      <c r="CP288" s="249"/>
      <c r="CQ288" s="249"/>
      <c r="CR288" s="249"/>
      <c r="CS288" s="249"/>
      <c r="CT288" s="249"/>
      <c r="CU288" s="249"/>
      <c r="CV288" s="249"/>
      <c r="CW288" s="249"/>
      <c r="CX288" s="249"/>
      <c r="CY288" s="249"/>
      <c r="CZ288" s="249"/>
      <c r="DA288" s="249"/>
      <c r="DB288" s="249"/>
      <c r="DC288" s="249"/>
      <c r="DD288" s="249"/>
      <c r="DE288" s="249"/>
      <c r="DF288" s="249"/>
      <c r="DG288" s="249"/>
      <c r="DH288" s="249"/>
      <c r="DI288" s="249"/>
      <c r="DJ288" s="249"/>
      <c r="DK288" s="249"/>
      <c r="DL288" s="249"/>
      <c r="DM288" s="249"/>
      <c r="DN288" s="249"/>
      <c r="DO288" s="249"/>
      <c r="DP288" s="249"/>
      <c r="DQ288" s="249"/>
      <c r="DR288" s="249"/>
      <c r="DS288" s="249"/>
      <c r="DT288" s="249"/>
      <c r="DU288" s="249"/>
      <c r="DV288" s="249"/>
      <c r="DW288" s="249"/>
      <c r="DX288" s="249"/>
      <c r="DY288" s="249"/>
      <c r="DZ288" s="249"/>
      <c r="EA288" s="249"/>
      <c r="EB288" s="249"/>
      <c r="EC288" s="249"/>
      <c r="ED288" s="249"/>
      <c r="EE288" s="249"/>
      <c r="EF288" s="249"/>
      <c r="EG288" s="249"/>
      <c r="EH288" s="249"/>
      <c r="EI288" s="249"/>
      <c r="EJ288" s="249"/>
      <c r="EK288" s="249"/>
      <c r="EL288" s="249"/>
      <c r="EM288" s="249"/>
      <c r="EN288" s="249"/>
      <c r="EO288" s="249"/>
      <c r="EP288" s="249"/>
      <c r="EQ288" s="249"/>
      <c r="ER288" s="249"/>
      <c r="ES288" s="249"/>
      <c r="ET288" s="249"/>
      <c r="EU288" s="249"/>
      <c r="EV288" s="249"/>
      <c r="EW288" s="249"/>
      <c r="EX288" s="249"/>
      <c r="EY288" s="249"/>
      <c r="EZ288" s="249"/>
      <c r="FA288" s="249"/>
      <c r="FB288" s="249"/>
      <c r="FC288" s="249"/>
      <c r="FD288" s="249"/>
      <c r="FE288" s="249"/>
      <c r="FF288" s="249"/>
      <c r="FG288" s="249"/>
      <c r="FH288" s="249"/>
      <c r="FI288" s="249"/>
      <c r="FJ288" s="249"/>
      <c r="FK288" s="249"/>
      <c r="FL288" s="249"/>
      <c r="FM288" s="249"/>
      <c r="FN288" s="249"/>
      <c r="FO288" s="249"/>
      <c r="FP288" s="249"/>
      <c r="FQ288" s="249"/>
      <c r="FR288" s="249"/>
      <c r="FS288" s="249"/>
      <c r="FT288" s="249"/>
      <c r="FU288" s="249"/>
      <c r="FV288" s="249"/>
      <c r="FW288" s="249"/>
      <c r="FX288" s="249"/>
      <c r="FY288" s="249"/>
      <c r="FZ288" s="249"/>
      <c r="GA288" s="249"/>
      <c r="GB288" s="249"/>
      <c r="GC288" s="249"/>
      <c r="GD288" s="249"/>
      <c r="GE288" s="249"/>
      <c r="GF288" s="249"/>
      <c r="GG288" s="249"/>
      <c r="GH288" s="249"/>
      <c r="GI288" s="249"/>
      <c r="GJ288" s="249"/>
      <c r="GK288" s="249"/>
      <c r="GL288" s="249"/>
      <c r="GM288" s="249"/>
      <c r="GN288" s="249"/>
      <c r="GO288" s="249"/>
      <c r="GP288" s="249"/>
      <c r="GQ288" s="249"/>
      <c r="GR288" s="249"/>
    </row>
    <row r="289" spans="1:200" s="252" customFormat="1" ht="12.75" customHeight="1" x14ac:dyDescent="0.2">
      <c r="A289" s="722"/>
      <c r="B289" s="1123"/>
      <c r="C289" s="1123"/>
      <c r="D289" s="525"/>
      <c r="E289" s="599"/>
      <c r="F289" s="249"/>
      <c r="G289" s="250"/>
      <c r="H289" s="250"/>
      <c r="I289" s="250"/>
      <c r="J289" s="250"/>
      <c r="K289" s="250"/>
      <c r="L289" s="250"/>
      <c r="M289" s="250"/>
      <c r="N289" s="250"/>
      <c r="O289" s="250"/>
      <c r="P289" s="251"/>
      <c r="Q289" s="251"/>
      <c r="R289" s="251"/>
      <c r="S289" s="251"/>
      <c r="T289" s="251"/>
      <c r="U289" s="287" t="str">
        <f t="shared" si="75"/>
        <v>Yes</v>
      </c>
      <c r="V289" s="1971" t="str">
        <f>IF(U289="Yes",'Casings et al'!C13,'Casings et al'!I13)</f>
        <v>18-5/8" x 23" Centralizer, Stand-off</v>
      </c>
      <c r="W289" s="286" t="s">
        <v>163</v>
      </c>
      <c r="X289" s="290"/>
      <c r="Y289" s="243"/>
      <c r="Z289" s="243">
        <f>IFERROR((VLOOKUP($V289,IF((INPUT!$D$7="Big Hole"),BHCSG,RHCSG),3,FALSE)*IF((VLOOKUP($V289,IF((INPUT!$D$7="Big Hole"),BHCSG,RHCSG),2,FALSE)=Z$278),1,0)),0)</f>
        <v>0</v>
      </c>
      <c r="AA289" s="1162"/>
      <c r="AB289" s="2103">
        <f>IF($U288="Yes",'Casings et al'!$E13,'Casings et al'!$K13)</f>
        <v>6</v>
      </c>
      <c r="AC289" s="243"/>
      <c r="AD289" s="243">
        <f>IFERROR((VLOOKUP($V289,IF((INPUT!$D$7="Big Hole"),BHCSG,RHCSG),3,FALSE)*IF((VLOOKUP($V289,IF((INPUT!$D$7="Big Hole"),BHCSG,RHCSG),2,FALSE)=AD$278),1,0)),0)</f>
        <v>0</v>
      </c>
      <c r="AE289" s="243"/>
      <c r="AF289" s="243">
        <f>IFERROR((VLOOKUP($V289,IF((INPUT!$D$7="Big Hole"),BHCSG,RHCSG),3,FALSE)*IF((VLOOKUP($V289,IF((INPUT!$D$7="Big Hole"),BHCSG,RHCSG),2,FALSE)=AF$278),1,0)),0)</f>
        <v>0</v>
      </c>
      <c r="AG289" s="243"/>
      <c r="AH289" s="243">
        <f>IFERROR((VLOOKUP($V289,IF((INPUT!$D$7="Big Hole"),BHCSG,RHCSG),3,FALSE)*IF((VLOOKUP($V289,IF((INPUT!$D$7="Big Hole"),BHCSG,RHCSG),2,FALSE)=AH$278),1,0)),0)</f>
        <v>0</v>
      </c>
      <c r="AI289" s="243"/>
      <c r="AJ289" s="243">
        <f>IFERROR((VLOOKUP($V289,IF((INPUT!$D$7="Big Hole"),BHCSG,RHCSG),3,FALSE)*IF((VLOOKUP($V289,IF((INPUT!$D$7="Big Hole"),BHCSG,RHCSG),2,FALSE)=AJ$278),1,0)),0)</f>
        <v>0</v>
      </c>
      <c r="AK289" s="243">
        <f>IFERROR((VLOOKUP($V289,IF((INPUT!$D$7="Big Hole"),BHCSG,RHCSG),3,FALSE)*IF((VLOOKUP($V289,IF((INPUT!$D$7="Big Hole"),BHCSG,RHCSG),2,FALSE)=AK$278),1,0)),0)</f>
        <v>0</v>
      </c>
      <c r="AL289" s="243"/>
      <c r="AM289" s="475">
        <f t="shared" si="76"/>
        <v>6</v>
      </c>
      <c r="AN289" s="254"/>
      <c r="AO289" s="249"/>
      <c r="AP289" s="250"/>
      <c r="AQ289" s="250"/>
      <c r="AR289" s="250"/>
      <c r="AS289" s="250"/>
      <c r="AT289" s="250"/>
      <c r="AU289" s="250"/>
      <c r="AV289" s="249"/>
      <c r="AW289" s="249"/>
      <c r="AX289" s="249"/>
      <c r="AY289" s="249"/>
      <c r="AZ289" s="249"/>
      <c r="BA289" s="249"/>
      <c r="BB289" s="249"/>
      <c r="BC289" s="249"/>
      <c r="BD289" s="249"/>
      <c r="BE289" s="249"/>
      <c r="BF289" s="249"/>
      <c r="BG289" s="249"/>
      <c r="BH289" s="249"/>
      <c r="BI289" s="249"/>
      <c r="BJ289" s="249"/>
      <c r="BK289" s="249"/>
      <c r="BL289" s="249"/>
      <c r="BM289" s="249"/>
      <c r="BN289" s="249"/>
      <c r="BO289" s="249"/>
      <c r="BP289" s="249"/>
      <c r="BQ289" s="249"/>
      <c r="BR289" s="249"/>
      <c r="BS289" s="249"/>
      <c r="BT289" s="249"/>
      <c r="BU289" s="249"/>
      <c r="BV289" s="249"/>
      <c r="BW289" s="249"/>
      <c r="BX289" s="249"/>
      <c r="BY289" s="249"/>
      <c r="BZ289" s="249"/>
      <c r="CA289" s="249"/>
      <c r="CB289" s="249"/>
      <c r="CC289" s="249"/>
      <c r="CD289" s="249"/>
      <c r="CE289" s="249"/>
      <c r="CF289" s="249"/>
      <c r="CG289" s="249"/>
      <c r="CH289" s="249"/>
      <c r="CI289" s="249"/>
      <c r="CJ289" s="249"/>
      <c r="CK289" s="249"/>
      <c r="CL289" s="249"/>
      <c r="CM289" s="249"/>
      <c r="CN289" s="249"/>
      <c r="CO289" s="249"/>
      <c r="CP289" s="249"/>
      <c r="CQ289" s="249"/>
      <c r="CR289" s="249"/>
      <c r="CS289" s="249"/>
      <c r="CT289" s="249"/>
      <c r="CU289" s="249"/>
      <c r="CV289" s="249"/>
      <c r="CW289" s="249"/>
      <c r="CX289" s="249"/>
      <c r="CY289" s="249"/>
      <c r="CZ289" s="249"/>
      <c r="DA289" s="249"/>
      <c r="DB289" s="249"/>
      <c r="DC289" s="249"/>
      <c r="DD289" s="249"/>
      <c r="DE289" s="249"/>
      <c r="DF289" s="249"/>
      <c r="DG289" s="249"/>
      <c r="DH289" s="249"/>
      <c r="DI289" s="249"/>
      <c r="DJ289" s="249"/>
      <c r="DK289" s="249"/>
      <c r="DL289" s="249"/>
      <c r="DM289" s="249"/>
      <c r="DN289" s="249"/>
      <c r="DO289" s="249"/>
      <c r="DP289" s="249"/>
      <c r="DQ289" s="249"/>
      <c r="DR289" s="249"/>
      <c r="DS289" s="249"/>
      <c r="DT289" s="249"/>
      <c r="DU289" s="249"/>
      <c r="DV289" s="249"/>
      <c r="DW289" s="249"/>
      <c r="DX289" s="249"/>
      <c r="DY289" s="249"/>
      <c r="DZ289" s="249"/>
      <c r="EA289" s="249"/>
      <c r="EB289" s="249"/>
      <c r="EC289" s="249"/>
      <c r="ED289" s="249"/>
      <c r="EE289" s="249"/>
      <c r="EF289" s="249"/>
      <c r="EG289" s="249"/>
      <c r="EH289" s="249"/>
      <c r="EI289" s="249"/>
      <c r="EJ289" s="249"/>
      <c r="EK289" s="249"/>
      <c r="EL289" s="249"/>
      <c r="EM289" s="249"/>
      <c r="EN289" s="249"/>
      <c r="EO289" s="249"/>
      <c r="EP289" s="249"/>
      <c r="EQ289" s="249"/>
      <c r="ER289" s="249"/>
      <c r="ES289" s="249"/>
      <c r="ET289" s="249"/>
      <c r="EU289" s="249"/>
      <c r="EV289" s="249"/>
      <c r="EW289" s="249"/>
      <c r="EX289" s="249"/>
      <c r="EY289" s="249"/>
      <c r="EZ289" s="249"/>
      <c r="FA289" s="249"/>
      <c r="FB289" s="249"/>
      <c r="FC289" s="249"/>
      <c r="FD289" s="249"/>
      <c r="FE289" s="249"/>
      <c r="FF289" s="249"/>
      <c r="FG289" s="249"/>
      <c r="FH289" s="249"/>
      <c r="FI289" s="249"/>
      <c r="FJ289" s="249"/>
      <c r="FK289" s="249"/>
      <c r="FL289" s="249"/>
      <c r="FM289" s="249"/>
      <c r="FN289" s="249"/>
      <c r="FO289" s="249"/>
      <c r="FP289" s="249"/>
      <c r="FQ289" s="249"/>
      <c r="FR289" s="249"/>
      <c r="FS289" s="249"/>
      <c r="FT289" s="249"/>
      <c r="FU289" s="249"/>
      <c r="FV289" s="249"/>
      <c r="FW289" s="249"/>
      <c r="FX289" s="249"/>
      <c r="FY289" s="249"/>
      <c r="FZ289" s="249"/>
      <c r="GA289" s="249"/>
      <c r="GB289" s="249"/>
      <c r="GC289" s="249"/>
      <c r="GD289" s="249"/>
      <c r="GE289" s="249"/>
      <c r="GF289" s="249"/>
      <c r="GG289" s="249"/>
      <c r="GH289" s="249"/>
      <c r="GI289" s="249"/>
      <c r="GJ289" s="249"/>
      <c r="GK289" s="249"/>
      <c r="GL289" s="249"/>
      <c r="GM289" s="249"/>
      <c r="GN289" s="249"/>
      <c r="GO289" s="249"/>
      <c r="GP289" s="249"/>
      <c r="GQ289" s="249"/>
      <c r="GR289" s="249"/>
    </row>
    <row r="290" spans="1:200" s="252" customFormat="1" ht="12.75" customHeight="1" x14ac:dyDescent="0.2">
      <c r="A290" s="722"/>
      <c r="B290" s="1123"/>
      <c r="C290" s="1123"/>
      <c r="D290" s="525"/>
      <c r="E290" s="599"/>
      <c r="F290" s="249"/>
      <c r="G290" s="250"/>
      <c r="H290" s="250"/>
      <c r="I290" s="250"/>
      <c r="J290" s="250"/>
      <c r="K290" s="250"/>
      <c r="L290" s="250"/>
      <c r="M290" s="250"/>
      <c r="N290" s="250"/>
      <c r="O290" s="250"/>
      <c r="P290" s="251"/>
      <c r="Q290" s="251"/>
      <c r="R290" s="251"/>
      <c r="S290" s="251"/>
      <c r="T290" s="251"/>
      <c r="U290" s="287" t="str">
        <f t="shared" si="75"/>
        <v>Yes</v>
      </c>
      <c r="V290" s="1971" t="str">
        <f>IF(U290="Yes",'Casings et al'!C14,'Casings et al'!I14)</f>
        <v>18-5/8" x 23" Centralizer, Bow Type</v>
      </c>
      <c r="W290" s="286" t="s">
        <v>163</v>
      </c>
      <c r="X290" s="243"/>
      <c r="Y290" s="243"/>
      <c r="Z290" s="243">
        <f>IFERROR((VLOOKUP($V290,IF((INPUT!$D$7="Big Hole"),BHCSG,RHCSG),3,FALSE)*IF((VLOOKUP($V290,IF((INPUT!$D$7="Big Hole"),BHCSG,RHCSG),2,FALSE)=Z$278),1,0)),0)</f>
        <v>0</v>
      </c>
      <c r="AA290" s="1162"/>
      <c r="AB290" s="2103">
        <f>IF($U289="Yes",'Casings et al'!$E14,'Casings et al'!$K14)</f>
        <v>17</v>
      </c>
      <c r="AC290" s="243"/>
      <c r="AD290" s="243">
        <f>IFERROR((VLOOKUP($V290,IF((INPUT!$D$7="Big Hole"),BHCSG,RHCSG),3,FALSE)*IF((VLOOKUP($V290,IF((INPUT!$D$7="Big Hole"),BHCSG,RHCSG),2,FALSE)=AD$278),1,0)),0)</f>
        <v>0</v>
      </c>
      <c r="AE290" s="243"/>
      <c r="AF290" s="243">
        <f>IFERROR((VLOOKUP($V290,IF((INPUT!$D$7="Big Hole"),BHCSG,RHCSG),3,FALSE)*IF((VLOOKUP($V290,IF((INPUT!$D$7="Big Hole"),BHCSG,RHCSG),2,FALSE)=AF$278),1,0)),0)</f>
        <v>0</v>
      </c>
      <c r="AG290" s="243"/>
      <c r="AH290" s="243">
        <f>IFERROR((VLOOKUP($V290,IF((INPUT!$D$7="Big Hole"),BHCSG,RHCSG),3,FALSE)*IF((VLOOKUP($V290,IF((INPUT!$D$7="Big Hole"),BHCSG,RHCSG),2,FALSE)=AH$278),1,0)),0)</f>
        <v>0</v>
      </c>
      <c r="AI290" s="243"/>
      <c r="AJ290" s="243">
        <f>IFERROR((VLOOKUP($V290,IF((INPUT!$D$7="Big Hole"),BHCSG,RHCSG),3,FALSE)*IF((VLOOKUP($V290,IF((INPUT!$D$7="Big Hole"),BHCSG,RHCSG),2,FALSE)=AJ$278),1,0)),0)</f>
        <v>0</v>
      </c>
      <c r="AK290" s="243">
        <f>IFERROR((VLOOKUP($V290,IF((INPUT!$D$7="Big Hole"),BHCSG,RHCSG),3,FALSE)*IF((VLOOKUP($V290,IF((INPUT!$D$7="Big Hole"),BHCSG,RHCSG),2,FALSE)=AK$278),1,0)),0)</f>
        <v>0</v>
      </c>
      <c r="AL290" s="243"/>
      <c r="AM290" s="475">
        <f t="shared" si="76"/>
        <v>17</v>
      </c>
      <c r="AN290" s="254"/>
      <c r="AO290" s="249"/>
      <c r="AP290" s="250"/>
      <c r="AQ290" s="250"/>
      <c r="AR290" s="250"/>
      <c r="AS290" s="250"/>
      <c r="AT290" s="250"/>
      <c r="AU290" s="250"/>
      <c r="AV290" s="249"/>
      <c r="AW290" s="249"/>
      <c r="AX290" s="249"/>
      <c r="AY290" s="249"/>
      <c r="AZ290" s="249"/>
      <c r="BA290" s="249"/>
      <c r="BB290" s="249"/>
      <c r="BC290" s="249"/>
      <c r="BD290" s="249"/>
      <c r="BE290" s="249"/>
      <c r="BF290" s="249"/>
      <c r="BG290" s="249"/>
      <c r="BH290" s="249"/>
      <c r="BI290" s="249"/>
      <c r="BJ290" s="249"/>
      <c r="BK290" s="249"/>
      <c r="BL290" s="249"/>
      <c r="BM290" s="249"/>
      <c r="BN290" s="249"/>
      <c r="BO290" s="249"/>
      <c r="BP290" s="249"/>
      <c r="BQ290" s="249"/>
      <c r="BR290" s="249"/>
      <c r="BS290" s="249"/>
      <c r="BT290" s="249"/>
      <c r="BU290" s="249"/>
      <c r="BV290" s="249"/>
      <c r="BW290" s="249"/>
      <c r="BX290" s="249"/>
      <c r="BY290" s="249"/>
      <c r="BZ290" s="249"/>
      <c r="CA290" s="249"/>
      <c r="CB290" s="249"/>
      <c r="CC290" s="249"/>
      <c r="CD290" s="249"/>
      <c r="CE290" s="249"/>
      <c r="CF290" s="249"/>
      <c r="CG290" s="249"/>
      <c r="CH290" s="249"/>
      <c r="CI290" s="249"/>
      <c r="CJ290" s="249"/>
      <c r="CK290" s="249"/>
      <c r="CL290" s="249"/>
      <c r="CM290" s="249"/>
      <c r="CN290" s="249"/>
      <c r="CO290" s="249"/>
      <c r="CP290" s="249"/>
      <c r="CQ290" s="249"/>
      <c r="CR290" s="249"/>
      <c r="CS290" s="249"/>
      <c r="CT290" s="249"/>
      <c r="CU290" s="249"/>
      <c r="CV290" s="249"/>
      <c r="CW290" s="249"/>
      <c r="CX290" s="249"/>
      <c r="CY290" s="249"/>
      <c r="CZ290" s="249"/>
      <c r="DA290" s="249"/>
      <c r="DB290" s="249"/>
      <c r="DC290" s="249"/>
      <c r="DD290" s="249"/>
      <c r="DE290" s="249"/>
      <c r="DF290" s="249"/>
      <c r="DG290" s="249"/>
      <c r="DH290" s="249"/>
      <c r="DI290" s="249"/>
      <c r="DJ290" s="249"/>
      <c r="DK290" s="249"/>
      <c r="DL290" s="249"/>
      <c r="DM290" s="249"/>
      <c r="DN290" s="249"/>
      <c r="DO290" s="249"/>
      <c r="DP290" s="249"/>
      <c r="DQ290" s="249"/>
      <c r="DR290" s="249"/>
      <c r="DS290" s="249"/>
      <c r="DT290" s="249"/>
      <c r="DU290" s="249"/>
      <c r="DV290" s="249"/>
      <c r="DW290" s="249"/>
      <c r="DX290" s="249"/>
      <c r="DY290" s="249"/>
      <c r="DZ290" s="249"/>
      <c r="EA290" s="249"/>
      <c r="EB290" s="249"/>
      <c r="EC290" s="249"/>
      <c r="ED290" s="249"/>
      <c r="EE290" s="249"/>
      <c r="EF290" s="249"/>
      <c r="EG290" s="249"/>
      <c r="EH290" s="249"/>
      <c r="EI290" s="249"/>
      <c r="EJ290" s="249"/>
      <c r="EK290" s="249"/>
      <c r="EL290" s="249"/>
      <c r="EM290" s="249"/>
      <c r="EN290" s="249"/>
      <c r="EO290" s="249"/>
      <c r="EP290" s="249"/>
      <c r="EQ290" s="249"/>
      <c r="ER290" s="249"/>
      <c r="ES290" s="249"/>
      <c r="ET290" s="249"/>
      <c r="EU290" s="249"/>
      <c r="EV290" s="249"/>
      <c r="EW290" s="249"/>
      <c r="EX290" s="249"/>
      <c r="EY290" s="249"/>
      <c r="EZ290" s="249"/>
      <c r="FA290" s="249"/>
      <c r="FB290" s="249"/>
      <c r="FC290" s="249"/>
      <c r="FD290" s="249"/>
      <c r="FE290" s="249"/>
      <c r="FF290" s="249"/>
      <c r="FG290" s="249"/>
      <c r="FH290" s="249"/>
      <c r="FI290" s="249"/>
      <c r="FJ290" s="249"/>
      <c r="FK290" s="249"/>
      <c r="FL290" s="249"/>
      <c r="FM290" s="249"/>
      <c r="FN290" s="249"/>
      <c r="FO290" s="249"/>
      <c r="FP290" s="249"/>
      <c r="FQ290" s="249"/>
      <c r="FR290" s="249"/>
      <c r="FS290" s="249"/>
      <c r="FT290" s="249"/>
      <c r="FU290" s="249"/>
      <c r="FV290" s="249"/>
      <c r="FW290" s="249"/>
      <c r="FX290" s="249"/>
      <c r="FY290" s="249"/>
      <c r="FZ290" s="249"/>
      <c r="GA290" s="249"/>
      <c r="GB290" s="249"/>
      <c r="GC290" s="249"/>
      <c r="GD290" s="249"/>
      <c r="GE290" s="249"/>
      <c r="GF290" s="249"/>
      <c r="GG290" s="249"/>
      <c r="GH290" s="249"/>
      <c r="GI290" s="249"/>
      <c r="GJ290" s="249"/>
      <c r="GK290" s="249"/>
      <c r="GL290" s="249"/>
      <c r="GM290" s="249"/>
      <c r="GN290" s="249"/>
      <c r="GO290" s="249"/>
      <c r="GP290" s="249"/>
      <c r="GQ290" s="249"/>
      <c r="GR290" s="249"/>
    </row>
    <row r="291" spans="1:200" s="252" customFormat="1" ht="12.75" customHeight="1" x14ac:dyDescent="0.2">
      <c r="A291" s="722"/>
      <c r="B291" s="1123"/>
      <c r="C291" s="1123"/>
      <c r="D291" s="525"/>
      <c r="E291" s="599"/>
      <c r="F291" s="249"/>
      <c r="G291" s="250"/>
      <c r="H291" s="250"/>
      <c r="I291" s="250"/>
      <c r="J291" s="250"/>
      <c r="K291" s="250"/>
      <c r="L291" s="250"/>
      <c r="M291" s="250"/>
      <c r="N291" s="250"/>
      <c r="O291" s="250"/>
      <c r="P291" s="251"/>
      <c r="Q291" s="251"/>
      <c r="R291" s="251"/>
      <c r="S291" s="251"/>
      <c r="T291" s="251"/>
      <c r="U291" s="287" t="str">
        <f t="shared" si="75"/>
        <v>Yes</v>
      </c>
      <c r="V291" s="1971" t="str">
        <f>IF(U291="Yes",'Casings et al'!C15,'Casings et al'!I15)</f>
        <v>18-5/8" x 23" Metal Petal Basket</v>
      </c>
      <c r="W291" s="286" t="s">
        <v>169</v>
      </c>
      <c r="X291" s="243"/>
      <c r="Y291" s="243"/>
      <c r="Z291" s="243">
        <f>IFERROR((VLOOKUP($V291,IF((INPUT!$D$7="Big Hole"),BHCSG,RHCSG),3,FALSE)*IF((VLOOKUP($V291,IF((INPUT!$D$7="Big Hole"),BHCSG,RHCSG),2,FALSE)=Z$278),1,0)),0)</f>
        <v>0</v>
      </c>
      <c r="AA291" s="1162"/>
      <c r="AB291" s="2103">
        <f>IF($U290="Yes",'Casings et al'!$E15,'Casings et al'!$K15)</f>
        <v>2</v>
      </c>
      <c r="AC291" s="243"/>
      <c r="AD291" s="243">
        <f>IFERROR((VLOOKUP($V291,IF((INPUT!$D$7="Big Hole"),BHCSG,RHCSG),3,FALSE)*IF((VLOOKUP($V291,IF((INPUT!$D$7="Big Hole"),BHCSG,RHCSG),2,FALSE)=AD$278),1,0)),0)</f>
        <v>0</v>
      </c>
      <c r="AE291" s="243"/>
      <c r="AF291" s="243">
        <f>IFERROR((VLOOKUP($V291,IF((INPUT!$D$7="Big Hole"),BHCSG,RHCSG),3,FALSE)*IF((VLOOKUP($V291,IF((INPUT!$D$7="Big Hole"),BHCSG,RHCSG),2,FALSE)=AF$278),1,0)),0)</f>
        <v>0</v>
      </c>
      <c r="AG291" s="243"/>
      <c r="AH291" s="243">
        <f>IFERROR((VLOOKUP($V291,IF((INPUT!$D$7="Big Hole"),BHCSG,RHCSG),3,FALSE)*IF((VLOOKUP($V291,IF((INPUT!$D$7="Big Hole"),BHCSG,RHCSG),2,FALSE)=AH$278),1,0)),0)</f>
        <v>0</v>
      </c>
      <c r="AI291" s="243"/>
      <c r="AJ291" s="243">
        <f>IFERROR((VLOOKUP($V291,IF((INPUT!$D$7="Big Hole"),BHCSG,RHCSG),3,FALSE)*IF((VLOOKUP($V291,IF((INPUT!$D$7="Big Hole"),BHCSG,RHCSG),2,FALSE)=AJ$278),1,0)),0)</f>
        <v>0</v>
      </c>
      <c r="AK291" s="243">
        <f>IFERROR((VLOOKUP($V291,IF((INPUT!$D$7="Big Hole"),BHCSG,RHCSG),3,FALSE)*IF((VLOOKUP($V291,IF((INPUT!$D$7="Big Hole"),BHCSG,RHCSG),2,FALSE)=AK$278),1,0)),0)</f>
        <v>0</v>
      </c>
      <c r="AL291" s="243"/>
      <c r="AM291" s="475">
        <f t="shared" si="76"/>
        <v>2</v>
      </c>
      <c r="AN291" s="254"/>
      <c r="AO291" s="249"/>
      <c r="AP291" s="250"/>
      <c r="AQ291" s="250"/>
      <c r="AR291" s="250"/>
      <c r="AS291" s="250"/>
      <c r="AT291" s="250"/>
      <c r="AU291" s="250"/>
      <c r="AV291" s="249"/>
      <c r="AW291" s="249"/>
      <c r="AX291" s="249"/>
      <c r="AY291" s="249"/>
      <c r="AZ291" s="249"/>
      <c r="BA291" s="249"/>
      <c r="BB291" s="249"/>
      <c r="BC291" s="249"/>
      <c r="BD291" s="249"/>
      <c r="BE291" s="249"/>
      <c r="BF291" s="249"/>
      <c r="BG291" s="249"/>
      <c r="BH291" s="249"/>
      <c r="BI291" s="249"/>
      <c r="BJ291" s="249"/>
      <c r="BK291" s="249"/>
      <c r="BL291" s="249"/>
      <c r="BM291" s="249"/>
      <c r="BN291" s="249"/>
      <c r="BO291" s="249"/>
      <c r="BP291" s="249"/>
      <c r="BQ291" s="249"/>
      <c r="BR291" s="249"/>
      <c r="BS291" s="249"/>
      <c r="BT291" s="249"/>
      <c r="BU291" s="249"/>
      <c r="BV291" s="249"/>
      <c r="BW291" s="249"/>
      <c r="BX291" s="249"/>
      <c r="BY291" s="249"/>
      <c r="BZ291" s="249"/>
      <c r="CA291" s="249"/>
      <c r="CB291" s="249"/>
      <c r="CC291" s="249"/>
      <c r="CD291" s="249"/>
      <c r="CE291" s="249"/>
      <c r="CF291" s="249"/>
      <c r="CG291" s="249"/>
      <c r="CH291" s="249"/>
      <c r="CI291" s="249"/>
      <c r="CJ291" s="249"/>
      <c r="CK291" s="249"/>
      <c r="CL291" s="249"/>
      <c r="CM291" s="249"/>
      <c r="CN291" s="249"/>
      <c r="CO291" s="249"/>
      <c r="CP291" s="249"/>
      <c r="CQ291" s="249"/>
      <c r="CR291" s="249"/>
      <c r="CS291" s="249"/>
      <c r="CT291" s="249"/>
      <c r="CU291" s="249"/>
      <c r="CV291" s="249"/>
      <c r="CW291" s="249"/>
      <c r="CX291" s="249"/>
      <c r="CY291" s="249"/>
      <c r="CZ291" s="249"/>
      <c r="DA291" s="249"/>
      <c r="DB291" s="249"/>
      <c r="DC291" s="249"/>
      <c r="DD291" s="249"/>
      <c r="DE291" s="249"/>
      <c r="DF291" s="249"/>
      <c r="DG291" s="249"/>
      <c r="DH291" s="249"/>
      <c r="DI291" s="249"/>
      <c r="DJ291" s="249"/>
      <c r="DK291" s="249"/>
      <c r="DL291" s="249"/>
      <c r="DM291" s="249"/>
      <c r="DN291" s="249"/>
      <c r="DO291" s="249"/>
      <c r="DP291" s="249"/>
      <c r="DQ291" s="249"/>
      <c r="DR291" s="249"/>
      <c r="DS291" s="249"/>
      <c r="DT291" s="249"/>
      <c r="DU291" s="249"/>
      <c r="DV291" s="249"/>
      <c r="DW291" s="249"/>
      <c r="DX291" s="249"/>
      <c r="DY291" s="249"/>
      <c r="DZ291" s="249"/>
      <c r="EA291" s="249"/>
      <c r="EB291" s="249"/>
      <c r="EC291" s="249"/>
      <c r="ED291" s="249"/>
      <c r="EE291" s="249"/>
      <c r="EF291" s="249"/>
      <c r="EG291" s="249"/>
      <c r="EH291" s="249"/>
      <c r="EI291" s="249"/>
      <c r="EJ291" s="249"/>
      <c r="EK291" s="249"/>
      <c r="EL291" s="249"/>
      <c r="EM291" s="249"/>
      <c r="EN291" s="249"/>
      <c r="EO291" s="249"/>
      <c r="EP291" s="249"/>
      <c r="EQ291" s="249"/>
      <c r="ER291" s="249"/>
      <c r="ES291" s="249"/>
      <c r="ET291" s="249"/>
      <c r="EU291" s="249"/>
      <c r="EV291" s="249"/>
      <c r="EW291" s="249"/>
      <c r="EX291" s="249"/>
      <c r="EY291" s="249"/>
      <c r="EZ291" s="249"/>
      <c r="FA291" s="249"/>
      <c r="FB291" s="249"/>
      <c r="FC291" s="249"/>
      <c r="FD291" s="249"/>
      <c r="FE291" s="249"/>
      <c r="FF291" s="249"/>
      <c r="FG291" s="249"/>
      <c r="FH291" s="249"/>
      <c r="FI291" s="249"/>
      <c r="FJ291" s="249"/>
      <c r="FK291" s="249"/>
      <c r="FL291" s="249"/>
      <c r="FM291" s="249"/>
      <c r="FN291" s="249"/>
      <c r="FO291" s="249"/>
      <c r="FP291" s="249"/>
      <c r="FQ291" s="249"/>
      <c r="FR291" s="249"/>
      <c r="FS291" s="249"/>
      <c r="FT291" s="249"/>
      <c r="FU291" s="249"/>
      <c r="FV291" s="249"/>
      <c r="FW291" s="249"/>
      <c r="FX291" s="249"/>
      <c r="FY291" s="249"/>
      <c r="FZ291" s="249"/>
      <c r="GA291" s="249"/>
      <c r="GB291" s="249"/>
      <c r="GC291" s="249"/>
      <c r="GD291" s="249"/>
      <c r="GE291" s="249"/>
      <c r="GF291" s="249"/>
      <c r="GG291" s="249"/>
      <c r="GH291" s="249"/>
      <c r="GI291" s="249"/>
      <c r="GJ291" s="249"/>
      <c r="GK291" s="249"/>
      <c r="GL291" s="249"/>
      <c r="GM291" s="249"/>
      <c r="GN291" s="249"/>
      <c r="GO291" s="249"/>
      <c r="GP291" s="249"/>
      <c r="GQ291" s="249"/>
      <c r="GR291" s="249"/>
    </row>
    <row r="292" spans="1:200" s="252" customFormat="1" ht="12.75" customHeight="1" x14ac:dyDescent="0.2">
      <c r="A292" s="722"/>
      <c r="B292" s="1123"/>
      <c r="C292" s="1123"/>
      <c r="D292" s="525"/>
      <c r="E292" s="599"/>
      <c r="F292" s="249"/>
      <c r="G292" s="250"/>
      <c r="H292" s="250"/>
      <c r="I292" s="250"/>
      <c r="J292" s="250"/>
      <c r="K292" s="250"/>
      <c r="L292" s="250"/>
      <c r="M292" s="250"/>
      <c r="N292" s="250"/>
      <c r="O292" s="250"/>
      <c r="P292" s="251"/>
      <c r="Q292" s="251"/>
      <c r="R292" s="251"/>
      <c r="S292" s="251"/>
      <c r="T292" s="251"/>
      <c r="U292" s="287" t="str">
        <f t="shared" si="75"/>
        <v>Yes</v>
      </c>
      <c r="V292" s="1971" t="str">
        <f>IF(U292="Yes",'Casings et al'!C16,'Casings et al'!I16)</f>
        <v>Corrosion Ring, 4-1/2"IF &amp; 5"X Hole</v>
      </c>
      <c r="W292" s="286" t="s">
        <v>163</v>
      </c>
      <c r="X292" s="243"/>
      <c r="Y292" s="243"/>
      <c r="Z292" s="243">
        <f>IFERROR((VLOOKUP($V292,IF((INPUT!$D$7="Big Hole"),BHCSG,RHCSG),3,FALSE)*IF((VLOOKUP($V292,IF((INPUT!$D$7="Big Hole"),BHCSG,RHCSG),2,FALSE)=Z$278),1,0)),0)</f>
        <v>0</v>
      </c>
      <c r="AA292" s="1162"/>
      <c r="AB292" s="2103">
        <f>IF($U291="Yes",'Casings et al'!$E16,'Casings et al'!$K16)</f>
        <v>5</v>
      </c>
      <c r="AC292" s="243"/>
      <c r="AD292" s="243">
        <f>IFERROR((VLOOKUP($V292,IF((INPUT!$D$7="Big Hole"),BHCSG,RHCSG),3,FALSE)*IF((VLOOKUP($V292,IF((INPUT!$D$7="Big Hole"),BHCSG,RHCSG),2,FALSE)=AD$278),1,0)),0)</f>
        <v>0</v>
      </c>
      <c r="AE292" s="243"/>
      <c r="AF292" s="243">
        <f>IFERROR((VLOOKUP($V292,IF((INPUT!$D$7="Big Hole"),BHCSG,RHCSG),3,FALSE)*IF((VLOOKUP($V292,IF((INPUT!$D$7="Big Hole"),BHCSG,RHCSG),2,FALSE)=AF$278),1,0)),0)</f>
        <v>0</v>
      </c>
      <c r="AG292" s="243"/>
      <c r="AH292" s="243">
        <f>IFERROR((VLOOKUP($V292,IF((INPUT!$D$7="Big Hole"),BHCSG,RHCSG),3,FALSE)*IF((VLOOKUP($V292,IF((INPUT!$D$7="Big Hole"),BHCSG,RHCSG),2,FALSE)=AH$278),1,0)),0)</f>
        <v>0</v>
      </c>
      <c r="AI292" s="243"/>
      <c r="AJ292" s="243">
        <f>IFERROR((VLOOKUP($V292,IF((INPUT!$D$7="Big Hole"),BHCSG,RHCSG),3,FALSE)*IF((VLOOKUP($V292,IF((INPUT!$D$7="Big Hole"),BHCSG,RHCSG),2,FALSE)=AJ$278),1,0)),0)</f>
        <v>0</v>
      </c>
      <c r="AK292" s="243">
        <f>IFERROR((VLOOKUP($V292,IF((INPUT!$D$7="Big Hole"),BHCSG,RHCSG),3,FALSE)*IF((VLOOKUP($V292,IF((INPUT!$D$7="Big Hole"),BHCSG,RHCSG),2,FALSE)=AK$278),1,0)),0)</f>
        <v>0</v>
      </c>
      <c r="AL292" s="243"/>
      <c r="AM292" s="475">
        <f t="shared" si="76"/>
        <v>5</v>
      </c>
      <c r="AN292" s="254"/>
      <c r="AO292" s="249"/>
      <c r="AP292" s="250"/>
      <c r="AQ292" s="250"/>
      <c r="AR292" s="250"/>
      <c r="AS292" s="250"/>
      <c r="AT292" s="250"/>
      <c r="AU292" s="250"/>
      <c r="AV292" s="249"/>
      <c r="AW292" s="249"/>
      <c r="AX292" s="249"/>
      <c r="AY292" s="249"/>
      <c r="AZ292" s="249"/>
      <c r="BA292" s="249"/>
      <c r="BB292" s="249"/>
      <c r="BC292" s="249"/>
      <c r="BD292" s="249"/>
      <c r="BE292" s="249"/>
      <c r="BF292" s="249"/>
      <c r="BG292" s="249"/>
      <c r="BH292" s="249"/>
      <c r="BI292" s="249"/>
      <c r="BJ292" s="249"/>
      <c r="BK292" s="249"/>
      <c r="BL292" s="249"/>
      <c r="BM292" s="249"/>
      <c r="BN292" s="249"/>
      <c r="BO292" s="249"/>
      <c r="BP292" s="249"/>
      <c r="BQ292" s="249"/>
      <c r="BR292" s="249"/>
      <c r="BS292" s="249"/>
      <c r="BT292" s="249"/>
      <c r="BU292" s="249"/>
      <c r="BV292" s="249"/>
      <c r="BW292" s="249"/>
      <c r="BX292" s="249"/>
      <c r="BY292" s="249"/>
      <c r="BZ292" s="249"/>
      <c r="CA292" s="249"/>
      <c r="CB292" s="249"/>
      <c r="CC292" s="249"/>
      <c r="CD292" s="249"/>
      <c r="CE292" s="249"/>
      <c r="CF292" s="249"/>
      <c r="CG292" s="249"/>
      <c r="CH292" s="249"/>
      <c r="CI292" s="249"/>
      <c r="CJ292" s="249"/>
      <c r="CK292" s="249"/>
      <c r="CL292" s="249"/>
      <c r="CM292" s="249"/>
      <c r="CN292" s="249"/>
      <c r="CO292" s="249"/>
      <c r="CP292" s="249"/>
      <c r="CQ292" s="249"/>
      <c r="CR292" s="249"/>
      <c r="CS292" s="249"/>
      <c r="CT292" s="249"/>
      <c r="CU292" s="249"/>
      <c r="CV292" s="249"/>
      <c r="CW292" s="249"/>
      <c r="CX292" s="249"/>
      <c r="CY292" s="249"/>
      <c r="CZ292" s="249"/>
      <c r="DA292" s="249"/>
      <c r="DB292" s="249"/>
      <c r="DC292" s="249"/>
      <c r="DD292" s="249"/>
      <c r="DE292" s="249"/>
      <c r="DF292" s="249"/>
      <c r="DG292" s="249"/>
      <c r="DH292" s="249"/>
      <c r="DI292" s="249"/>
      <c r="DJ292" s="249"/>
      <c r="DK292" s="249"/>
      <c r="DL292" s="249"/>
      <c r="DM292" s="249"/>
      <c r="DN292" s="249"/>
      <c r="DO292" s="249"/>
      <c r="DP292" s="249"/>
      <c r="DQ292" s="249"/>
      <c r="DR292" s="249"/>
      <c r="DS292" s="249"/>
      <c r="DT292" s="249"/>
      <c r="DU292" s="249"/>
      <c r="DV292" s="249"/>
      <c r="DW292" s="249"/>
      <c r="DX292" s="249"/>
      <c r="DY292" s="249"/>
      <c r="DZ292" s="249"/>
      <c r="EA292" s="249"/>
      <c r="EB292" s="249"/>
      <c r="EC292" s="249"/>
      <c r="ED292" s="249"/>
      <c r="EE292" s="249"/>
      <c r="EF292" s="249"/>
      <c r="EG292" s="249"/>
      <c r="EH292" s="249"/>
      <c r="EI292" s="249"/>
      <c r="EJ292" s="249"/>
      <c r="EK292" s="249"/>
      <c r="EL292" s="249"/>
      <c r="EM292" s="249"/>
      <c r="EN292" s="249"/>
      <c r="EO292" s="249"/>
      <c r="EP292" s="249"/>
      <c r="EQ292" s="249"/>
      <c r="ER292" s="249"/>
      <c r="ES292" s="249"/>
      <c r="ET292" s="249"/>
      <c r="EU292" s="249"/>
      <c r="EV292" s="249"/>
      <c r="EW292" s="249"/>
      <c r="EX292" s="249"/>
      <c r="EY292" s="249"/>
      <c r="EZ292" s="249"/>
      <c r="FA292" s="249"/>
      <c r="FB292" s="249"/>
      <c r="FC292" s="249"/>
      <c r="FD292" s="249"/>
      <c r="FE292" s="249"/>
      <c r="FF292" s="249"/>
      <c r="FG292" s="249"/>
      <c r="FH292" s="249"/>
      <c r="FI292" s="249"/>
      <c r="FJ292" s="249"/>
      <c r="FK292" s="249"/>
      <c r="FL292" s="249"/>
      <c r="FM292" s="249"/>
      <c r="FN292" s="249"/>
      <c r="FO292" s="249"/>
      <c r="FP292" s="249"/>
      <c r="FQ292" s="249"/>
      <c r="FR292" s="249"/>
      <c r="FS292" s="249"/>
      <c r="FT292" s="249"/>
      <c r="FU292" s="249"/>
      <c r="FV292" s="249"/>
      <c r="FW292" s="249"/>
      <c r="FX292" s="249"/>
      <c r="FY292" s="249"/>
      <c r="FZ292" s="249"/>
      <c r="GA292" s="249"/>
      <c r="GB292" s="249"/>
      <c r="GC292" s="249"/>
      <c r="GD292" s="249"/>
      <c r="GE292" s="249"/>
      <c r="GF292" s="249"/>
      <c r="GG292" s="249"/>
      <c r="GH292" s="249"/>
      <c r="GI292" s="249"/>
      <c r="GJ292" s="249"/>
      <c r="GK292" s="249"/>
      <c r="GL292" s="249"/>
      <c r="GM292" s="249"/>
      <c r="GN292" s="249"/>
      <c r="GO292" s="249"/>
      <c r="GP292" s="249"/>
      <c r="GQ292" s="249"/>
      <c r="GR292" s="249"/>
    </row>
    <row r="293" spans="1:200" s="252" customFormat="1" ht="12.75" customHeight="1" x14ac:dyDescent="0.2">
      <c r="A293" s="722"/>
      <c r="B293" s="1123"/>
      <c r="C293" s="1123"/>
      <c r="D293" s="525"/>
      <c r="E293" s="599"/>
      <c r="F293" s="249"/>
      <c r="G293" s="250"/>
      <c r="H293" s="250"/>
      <c r="I293" s="250"/>
      <c r="J293" s="250"/>
      <c r="K293" s="250"/>
      <c r="L293" s="250"/>
      <c r="M293" s="250"/>
      <c r="N293" s="250"/>
      <c r="O293" s="250"/>
      <c r="P293" s="251"/>
      <c r="Q293" s="251"/>
      <c r="R293" s="251"/>
      <c r="S293" s="251"/>
      <c r="T293" s="251"/>
      <c r="U293" s="287" t="str">
        <f t="shared" si="75"/>
        <v>Yes</v>
      </c>
      <c r="V293" s="1971" t="str">
        <f>IF(U293="Yes",'Casings et al'!C17,'Casings et al'!I17)</f>
        <v>Thread Locking Compound * Baker Lock</v>
      </c>
      <c r="W293" s="286" t="s">
        <v>163</v>
      </c>
      <c r="X293" s="243"/>
      <c r="Y293" s="243"/>
      <c r="Z293" s="243">
        <f>IFERROR((VLOOKUP($V293,IF((INPUT!$D$7="Big Hole"),BHCSG,RHCSG),3,FALSE)*IF((VLOOKUP($V293,IF((INPUT!$D$7="Big Hole"),BHCSG,RHCSG),2,FALSE)=Z$278),1,0)),0)</f>
        <v>0</v>
      </c>
      <c r="AA293" s="1162"/>
      <c r="AB293" s="2103">
        <f>IF($U292="Yes",'Casings et al'!$E17,'Casings et al'!$K17)</f>
        <v>5</v>
      </c>
      <c r="AC293" s="243"/>
      <c r="AD293" s="243">
        <f>IFERROR((VLOOKUP($V293,IF((INPUT!$D$7="Big Hole"),BHCSG,RHCSG),3,FALSE)*IF((VLOOKUP($V293,IF((INPUT!$D$7="Big Hole"),BHCSG,RHCSG),2,FALSE)=AD$278),1,0)),0)</f>
        <v>0</v>
      </c>
      <c r="AE293" s="243"/>
      <c r="AF293" s="243">
        <f>IFERROR((VLOOKUP($V293,IF((INPUT!$D$7="Big Hole"),BHCSG,RHCSG),3,FALSE)*IF((VLOOKUP($V293,IF((INPUT!$D$7="Big Hole"),BHCSG,RHCSG),2,FALSE)=AF$278),1,0)),0)</f>
        <v>0</v>
      </c>
      <c r="AG293" s="243"/>
      <c r="AH293" s="243">
        <f>IFERROR((VLOOKUP($V293,IF((INPUT!$D$7="Big Hole"),BHCSG,RHCSG),3,FALSE)*IF((VLOOKUP($V293,IF((INPUT!$D$7="Big Hole"),BHCSG,RHCSG),2,FALSE)=AH$278),1,0)),0)</f>
        <v>0</v>
      </c>
      <c r="AI293" s="243"/>
      <c r="AJ293" s="243">
        <f>IFERROR((VLOOKUP($V293,IF((INPUT!$D$7="Big Hole"),BHCSG,RHCSG),3,FALSE)*IF((VLOOKUP($V293,IF((INPUT!$D$7="Big Hole"),BHCSG,RHCSG),2,FALSE)=AJ$278),1,0)),0)</f>
        <v>0</v>
      </c>
      <c r="AK293" s="243">
        <f>IFERROR((VLOOKUP($V293,IF((INPUT!$D$7="Big Hole"),BHCSG,RHCSG),3,FALSE)*IF((VLOOKUP($V293,IF((INPUT!$D$7="Big Hole"),BHCSG,RHCSG),2,FALSE)=AK$278),1,0)),0)</f>
        <v>0</v>
      </c>
      <c r="AL293" s="243"/>
      <c r="AM293" s="475">
        <f t="shared" si="76"/>
        <v>5</v>
      </c>
      <c r="AN293" s="254"/>
      <c r="AO293" s="249"/>
      <c r="AP293" s="250"/>
      <c r="AQ293" s="250"/>
      <c r="AR293" s="250"/>
      <c r="AS293" s="250"/>
      <c r="AT293" s="250"/>
      <c r="AU293" s="250"/>
      <c r="AV293" s="249"/>
      <c r="AW293" s="249"/>
      <c r="AX293" s="249"/>
      <c r="AY293" s="249"/>
      <c r="AZ293" s="249"/>
      <c r="BA293" s="249"/>
      <c r="BB293" s="249"/>
      <c r="BC293" s="249"/>
      <c r="BD293" s="249"/>
      <c r="BE293" s="249"/>
      <c r="BF293" s="249"/>
      <c r="BG293" s="249"/>
      <c r="BH293" s="249"/>
      <c r="BI293" s="249"/>
      <c r="BJ293" s="249"/>
      <c r="BK293" s="249"/>
      <c r="BL293" s="249"/>
      <c r="BM293" s="249"/>
      <c r="BN293" s="249"/>
      <c r="BO293" s="249"/>
      <c r="BP293" s="249"/>
      <c r="BQ293" s="249"/>
      <c r="BR293" s="249"/>
      <c r="BS293" s="249"/>
      <c r="BT293" s="249"/>
      <c r="BU293" s="249"/>
      <c r="BV293" s="249"/>
      <c r="BW293" s="249"/>
      <c r="BX293" s="249"/>
      <c r="BY293" s="249"/>
      <c r="BZ293" s="249"/>
      <c r="CA293" s="249"/>
      <c r="CB293" s="249"/>
      <c r="CC293" s="249"/>
      <c r="CD293" s="249"/>
      <c r="CE293" s="249"/>
      <c r="CF293" s="249"/>
      <c r="CG293" s="249"/>
      <c r="CH293" s="249"/>
      <c r="CI293" s="249"/>
      <c r="CJ293" s="249"/>
      <c r="CK293" s="249"/>
      <c r="CL293" s="249"/>
      <c r="CM293" s="249"/>
      <c r="CN293" s="249"/>
      <c r="CO293" s="249"/>
      <c r="CP293" s="249"/>
      <c r="CQ293" s="249"/>
      <c r="CR293" s="249"/>
      <c r="CS293" s="249"/>
      <c r="CT293" s="249"/>
      <c r="CU293" s="249"/>
      <c r="CV293" s="249"/>
      <c r="CW293" s="249"/>
      <c r="CX293" s="249"/>
      <c r="CY293" s="249"/>
      <c r="CZ293" s="249"/>
      <c r="DA293" s="249"/>
      <c r="DB293" s="249"/>
      <c r="DC293" s="249"/>
      <c r="DD293" s="249"/>
      <c r="DE293" s="249"/>
      <c r="DF293" s="249"/>
      <c r="DG293" s="249"/>
      <c r="DH293" s="249"/>
      <c r="DI293" s="249"/>
      <c r="DJ293" s="249"/>
      <c r="DK293" s="249"/>
      <c r="DL293" s="249"/>
      <c r="DM293" s="249"/>
      <c r="DN293" s="249"/>
      <c r="DO293" s="249"/>
      <c r="DP293" s="249"/>
      <c r="DQ293" s="249"/>
      <c r="DR293" s="249"/>
      <c r="DS293" s="249"/>
      <c r="DT293" s="249"/>
      <c r="DU293" s="249"/>
      <c r="DV293" s="249"/>
      <c r="DW293" s="249"/>
      <c r="DX293" s="249"/>
      <c r="DY293" s="249"/>
      <c r="DZ293" s="249"/>
      <c r="EA293" s="249"/>
      <c r="EB293" s="249"/>
      <c r="EC293" s="249"/>
      <c r="ED293" s="249"/>
      <c r="EE293" s="249"/>
      <c r="EF293" s="249"/>
      <c r="EG293" s="249"/>
      <c r="EH293" s="249"/>
      <c r="EI293" s="249"/>
      <c r="EJ293" s="249"/>
      <c r="EK293" s="249"/>
      <c r="EL293" s="249"/>
      <c r="EM293" s="249"/>
      <c r="EN293" s="249"/>
      <c r="EO293" s="249"/>
      <c r="EP293" s="249"/>
      <c r="EQ293" s="249"/>
      <c r="ER293" s="249"/>
      <c r="ES293" s="249"/>
      <c r="ET293" s="249"/>
      <c r="EU293" s="249"/>
      <c r="EV293" s="249"/>
      <c r="EW293" s="249"/>
      <c r="EX293" s="249"/>
      <c r="EY293" s="249"/>
      <c r="EZ293" s="249"/>
      <c r="FA293" s="249"/>
      <c r="FB293" s="249"/>
      <c r="FC293" s="249"/>
      <c r="FD293" s="249"/>
      <c r="FE293" s="249"/>
      <c r="FF293" s="249"/>
      <c r="FG293" s="249"/>
      <c r="FH293" s="249"/>
      <c r="FI293" s="249"/>
      <c r="FJ293" s="249"/>
      <c r="FK293" s="249"/>
      <c r="FL293" s="249"/>
      <c r="FM293" s="249"/>
      <c r="FN293" s="249"/>
      <c r="FO293" s="249"/>
      <c r="FP293" s="249"/>
      <c r="FQ293" s="249"/>
      <c r="FR293" s="249"/>
      <c r="FS293" s="249"/>
      <c r="FT293" s="249"/>
      <c r="FU293" s="249"/>
      <c r="FV293" s="249"/>
      <c r="FW293" s="249"/>
      <c r="FX293" s="249"/>
      <c r="FY293" s="249"/>
      <c r="FZ293" s="249"/>
      <c r="GA293" s="249"/>
      <c r="GB293" s="249"/>
      <c r="GC293" s="249"/>
      <c r="GD293" s="249"/>
      <c r="GE293" s="249"/>
      <c r="GF293" s="249"/>
      <c r="GG293" s="249"/>
      <c r="GH293" s="249"/>
      <c r="GI293" s="249"/>
      <c r="GJ293" s="249"/>
      <c r="GK293" s="249"/>
      <c r="GL293" s="249"/>
      <c r="GM293" s="249"/>
      <c r="GN293" s="249"/>
      <c r="GO293" s="249"/>
      <c r="GP293" s="249"/>
      <c r="GQ293" s="249"/>
      <c r="GR293" s="249"/>
    </row>
    <row r="294" spans="1:200" s="252" customFormat="1" ht="12.75" customHeight="1" x14ac:dyDescent="0.2">
      <c r="A294" s="722"/>
      <c r="B294" s="1123"/>
      <c r="C294" s="1123"/>
      <c r="D294" s="525"/>
      <c r="E294" s="599"/>
      <c r="F294" s="249"/>
      <c r="G294" s="250"/>
      <c r="H294" s="250"/>
      <c r="I294" s="250"/>
      <c r="J294" s="250"/>
      <c r="K294" s="250"/>
      <c r="L294" s="250"/>
      <c r="M294" s="250"/>
      <c r="N294" s="250"/>
      <c r="O294" s="250"/>
      <c r="P294" s="251"/>
      <c r="Q294" s="251"/>
      <c r="R294" s="251"/>
      <c r="S294" s="251"/>
      <c r="T294" s="251"/>
      <c r="U294" s="287" t="str">
        <f t="shared" si="75"/>
        <v>Yes</v>
      </c>
      <c r="V294" s="1971" t="str">
        <f>IF(U294="Yes",'Casings et al'!C18,'Casings et al'!I18)</f>
        <v>Thread Sealant * Premium Thread Compound</v>
      </c>
      <c r="W294" s="286" t="s">
        <v>163</v>
      </c>
      <c r="X294" s="243"/>
      <c r="Y294" s="243"/>
      <c r="Z294" s="243">
        <f>IFERROR((VLOOKUP($V294,IF((INPUT!$D$7="Big Hole"),BHCSG,RHCSG),3,FALSE)*IF((VLOOKUP($V294,IF((INPUT!$D$7="Big Hole"),BHCSG,RHCSG),2,FALSE)=Z$278),1,0)),0)</f>
        <v>0</v>
      </c>
      <c r="AA294" s="1162"/>
      <c r="AB294" s="2103">
        <f>IF($U293="Yes",'Casings et al'!$E18,'Casings et al'!$K18)</f>
        <v>1</v>
      </c>
      <c r="AC294" s="243"/>
      <c r="AD294" s="243">
        <f>IFERROR((VLOOKUP($V294,IF((INPUT!$D$7="Big Hole"),BHCSG,RHCSG),3,FALSE)*IF((VLOOKUP($V294,IF((INPUT!$D$7="Big Hole"),BHCSG,RHCSG),2,FALSE)=AD$278),1,0)),0)</f>
        <v>0</v>
      </c>
      <c r="AE294" s="243"/>
      <c r="AF294" s="243">
        <f>IFERROR((VLOOKUP($V294,IF((INPUT!$D$7="Big Hole"),BHCSG,RHCSG),3,FALSE)*IF((VLOOKUP($V294,IF((INPUT!$D$7="Big Hole"),BHCSG,RHCSG),2,FALSE)=AF$278),1,0)),0)</f>
        <v>0</v>
      </c>
      <c r="AG294" s="243"/>
      <c r="AH294" s="243">
        <f>IFERROR((VLOOKUP($V294,IF((INPUT!$D$7="Big Hole"),BHCSG,RHCSG),3,FALSE)*IF((VLOOKUP($V294,IF((INPUT!$D$7="Big Hole"),BHCSG,RHCSG),2,FALSE)=AH$278),1,0)),0)</f>
        <v>0</v>
      </c>
      <c r="AI294" s="243"/>
      <c r="AJ294" s="243">
        <f>IFERROR((VLOOKUP($V294,IF((INPUT!$D$7="Big Hole"),BHCSG,RHCSG),3,FALSE)*IF((VLOOKUP($V294,IF((INPUT!$D$7="Big Hole"),BHCSG,RHCSG),2,FALSE)=AJ$278),1,0)),0)</f>
        <v>0</v>
      </c>
      <c r="AK294" s="243">
        <f>IFERROR((VLOOKUP($V294,IF((INPUT!$D$7="Big Hole"),BHCSG,RHCSG),3,FALSE)*IF((VLOOKUP($V294,IF((INPUT!$D$7="Big Hole"),BHCSG,RHCSG),2,FALSE)=AK$278),1,0)),0)</f>
        <v>0</v>
      </c>
      <c r="AL294" s="243"/>
      <c r="AM294" s="475">
        <f t="shared" si="76"/>
        <v>1</v>
      </c>
      <c r="AN294" s="254"/>
      <c r="AO294" s="249"/>
      <c r="AP294" s="250"/>
      <c r="AQ294" s="250"/>
      <c r="AR294" s="250"/>
      <c r="AS294" s="250"/>
      <c r="AT294" s="250"/>
      <c r="AU294" s="250"/>
      <c r="AV294" s="249"/>
      <c r="AW294" s="249"/>
      <c r="AX294" s="249"/>
      <c r="AY294" s="249"/>
      <c r="AZ294" s="249"/>
      <c r="BA294" s="249"/>
      <c r="BB294" s="249"/>
      <c r="BC294" s="249"/>
      <c r="BD294" s="249"/>
      <c r="BE294" s="249"/>
      <c r="BF294" s="249"/>
      <c r="BG294" s="249"/>
      <c r="BH294" s="249"/>
      <c r="BI294" s="249"/>
      <c r="BJ294" s="249"/>
      <c r="BK294" s="249"/>
      <c r="BL294" s="249"/>
      <c r="BM294" s="249"/>
      <c r="BN294" s="249"/>
      <c r="BO294" s="249"/>
      <c r="BP294" s="249"/>
      <c r="BQ294" s="249"/>
      <c r="BR294" s="249"/>
      <c r="BS294" s="249"/>
      <c r="BT294" s="249"/>
      <c r="BU294" s="249"/>
      <c r="BV294" s="249"/>
      <c r="BW294" s="249"/>
      <c r="BX294" s="249"/>
      <c r="BY294" s="249"/>
      <c r="BZ294" s="249"/>
      <c r="CA294" s="249"/>
      <c r="CB294" s="249"/>
      <c r="CC294" s="249"/>
      <c r="CD294" s="249"/>
      <c r="CE294" s="249"/>
      <c r="CF294" s="249"/>
      <c r="CG294" s="249"/>
      <c r="CH294" s="249"/>
      <c r="CI294" s="249"/>
      <c r="CJ294" s="249"/>
      <c r="CK294" s="249"/>
      <c r="CL294" s="249"/>
      <c r="CM294" s="249"/>
      <c r="CN294" s="249"/>
      <c r="CO294" s="249"/>
      <c r="CP294" s="249"/>
      <c r="CQ294" s="249"/>
      <c r="CR294" s="249"/>
      <c r="CS294" s="249"/>
      <c r="CT294" s="249"/>
      <c r="CU294" s="249"/>
      <c r="CV294" s="249"/>
      <c r="CW294" s="249"/>
      <c r="CX294" s="249"/>
      <c r="CY294" s="249"/>
      <c r="CZ294" s="249"/>
      <c r="DA294" s="249"/>
      <c r="DB294" s="249"/>
      <c r="DC294" s="249"/>
      <c r="DD294" s="249"/>
      <c r="DE294" s="249"/>
      <c r="DF294" s="249"/>
      <c r="DG294" s="249"/>
      <c r="DH294" s="249"/>
      <c r="DI294" s="249"/>
      <c r="DJ294" s="249"/>
      <c r="DK294" s="249"/>
      <c r="DL294" s="249"/>
      <c r="DM294" s="249"/>
      <c r="DN294" s="249"/>
      <c r="DO294" s="249"/>
      <c r="DP294" s="249"/>
      <c r="DQ294" s="249"/>
      <c r="DR294" s="249"/>
      <c r="DS294" s="249"/>
      <c r="DT294" s="249"/>
      <c r="DU294" s="249"/>
      <c r="DV294" s="249"/>
      <c r="DW294" s="249"/>
      <c r="DX294" s="249"/>
      <c r="DY294" s="249"/>
      <c r="DZ294" s="249"/>
      <c r="EA294" s="249"/>
      <c r="EB294" s="249"/>
      <c r="EC294" s="249"/>
      <c r="ED294" s="249"/>
      <c r="EE294" s="249"/>
      <c r="EF294" s="249"/>
      <c r="EG294" s="249"/>
      <c r="EH294" s="249"/>
      <c r="EI294" s="249"/>
      <c r="EJ294" s="249"/>
      <c r="EK294" s="249"/>
      <c r="EL294" s="249"/>
      <c r="EM294" s="249"/>
      <c r="EN294" s="249"/>
      <c r="EO294" s="249"/>
      <c r="EP294" s="249"/>
      <c r="EQ294" s="249"/>
      <c r="ER294" s="249"/>
      <c r="ES294" s="249"/>
      <c r="ET294" s="249"/>
      <c r="EU294" s="249"/>
      <c r="EV294" s="249"/>
      <c r="EW294" s="249"/>
      <c r="EX294" s="249"/>
      <c r="EY294" s="249"/>
      <c r="EZ294" s="249"/>
      <c r="FA294" s="249"/>
      <c r="FB294" s="249"/>
      <c r="FC294" s="249"/>
      <c r="FD294" s="249"/>
      <c r="FE294" s="249"/>
      <c r="FF294" s="249"/>
      <c r="FG294" s="249"/>
      <c r="FH294" s="249"/>
      <c r="FI294" s="249"/>
      <c r="FJ294" s="249"/>
      <c r="FK294" s="249"/>
      <c r="FL294" s="249"/>
      <c r="FM294" s="249"/>
      <c r="FN294" s="249"/>
      <c r="FO294" s="249"/>
      <c r="FP294" s="249"/>
      <c r="FQ294" s="249"/>
      <c r="FR294" s="249"/>
      <c r="FS294" s="249"/>
      <c r="FT294" s="249"/>
      <c r="FU294" s="249"/>
      <c r="FV294" s="249"/>
      <c r="FW294" s="249"/>
      <c r="FX294" s="249"/>
      <c r="FY294" s="249"/>
      <c r="FZ294" s="249"/>
      <c r="GA294" s="249"/>
      <c r="GB294" s="249"/>
      <c r="GC294" s="249"/>
      <c r="GD294" s="249"/>
      <c r="GE294" s="249"/>
      <c r="GF294" s="249"/>
      <c r="GG294" s="249"/>
      <c r="GH294" s="249"/>
      <c r="GI294" s="249"/>
      <c r="GJ294" s="249"/>
      <c r="GK294" s="249"/>
      <c r="GL294" s="249"/>
      <c r="GM294" s="249"/>
      <c r="GN294" s="249"/>
      <c r="GO294" s="249"/>
      <c r="GP294" s="249"/>
      <c r="GQ294" s="249"/>
      <c r="GR294" s="249"/>
    </row>
    <row r="295" spans="1:200" s="252" customFormat="1" ht="12.75" customHeight="1" x14ac:dyDescent="0.2">
      <c r="A295" s="722"/>
      <c r="B295" s="1123"/>
      <c r="C295" s="1123"/>
      <c r="D295" s="525"/>
      <c r="E295" s="599"/>
      <c r="F295" s="249"/>
      <c r="G295" s="250"/>
      <c r="H295" s="250"/>
      <c r="I295" s="250"/>
      <c r="J295" s="250"/>
      <c r="K295" s="250"/>
      <c r="L295" s="250"/>
      <c r="M295" s="250"/>
      <c r="N295" s="250"/>
      <c r="O295" s="250"/>
      <c r="P295" s="251"/>
      <c r="Q295" s="251"/>
      <c r="R295" s="251"/>
      <c r="S295" s="251"/>
      <c r="T295" s="251"/>
      <c r="U295" s="287" t="str">
        <f t="shared" si="75"/>
        <v>Yes</v>
      </c>
      <c r="V295" s="1971" t="str">
        <f>IF(U295="Yes",'Casings et al'!C19,'Casings et al'!I19)</f>
        <v>13-3/8" OD Casing; 68 PPF, Grade L80, BTC</v>
      </c>
      <c r="W295" s="286" t="s">
        <v>163</v>
      </c>
      <c r="X295" s="243"/>
      <c r="Y295" s="243"/>
      <c r="Z295" s="243">
        <f>IFERROR((VLOOKUP($V295,IF((INPUT!$D$7="Big Hole"),BHCSG,RHCSG),3,FALSE)*IF((VLOOKUP($V295,IF((INPUT!$D$7="Big Hole"),BHCSG,RHCSG),2,FALSE)=Z$278),1,0)),0)</f>
        <v>0</v>
      </c>
      <c r="AA295" s="1162"/>
      <c r="AB295" s="243">
        <f>IFERROR((VLOOKUP($V295,IF((INPUT!$D$7="Big Hole"),BHCSG,RHCSG),3,FALSE)*IF((VLOOKUP(V295,IF((INPUT!$D$7="Big Hole"),BHCSG,RHCSG),2,FALSE)=AB$278),1,0)),0)</f>
        <v>0</v>
      </c>
      <c r="AC295" s="243"/>
      <c r="AD295" s="2103">
        <f>IF($U295="Yes",'Casings et al'!$E19,'Casings et al'!$K19)</f>
        <v>113</v>
      </c>
      <c r="AE295" s="243"/>
      <c r="AF295" s="243">
        <f>IFERROR((VLOOKUP($V295,IF((INPUT!$D$7="Big Hole"),BHCSG,RHCSG),3,FALSE)*IF((VLOOKUP($V295,IF((INPUT!$D$7="Big Hole"),BHCSG,RHCSG),2,FALSE)=AF$278),1,0)),0)</f>
        <v>0</v>
      </c>
      <c r="AG295" s="243"/>
      <c r="AH295" s="243">
        <f>IFERROR((VLOOKUP($V295,IF((INPUT!$D$7="Big Hole"),BHCSG,RHCSG),3,FALSE)*IF((VLOOKUP($V295,IF((INPUT!$D$7="Big Hole"),BHCSG,RHCSG),2,FALSE)=AH$278),1,0)),0)</f>
        <v>0</v>
      </c>
      <c r="AI295" s="243"/>
      <c r="AJ295" s="243">
        <f>IFERROR((VLOOKUP($V295,IF((INPUT!$D$7="Big Hole"),BHCSG,RHCSG),3,FALSE)*IF((VLOOKUP($V295,IF((INPUT!$D$7="Big Hole"),BHCSG,RHCSG),2,FALSE)=AJ$278),1,0)),0)</f>
        <v>0</v>
      </c>
      <c r="AK295" s="243">
        <f>IFERROR((VLOOKUP($V295,IF((INPUT!$D$7="Big Hole"),BHCSG,RHCSG),3,FALSE)*IF((VLOOKUP($V295,IF((INPUT!$D$7="Big Hole"),BHCSG,RHCSG),2,FALSE)=AK$278),1,0)),0)</f>
        <v>0</v>
      </c>
      <c r="AL295" s="243"/>
      <c r="AM295" s="475">
        <f t="shared" si="76"/>
        <v>113</v>
      </c>
      <c r="AN295" s="254"/>
      <c r="AO295" s="249"/>
      <c r="AP295" s="250"/>
      <c r="AQ295" s="250"/>
      <c r="AR295" s="250"/>
      <c r="AS295" s="250"/>
      <c r="AT295" s="250"/>
      <c r="AU295" s="250"/>
      <c r="AV295" s="249"/>
      <c r="AW295" s="249"/>
      <c r="AX295" s="249"/>
      <c r="AY295" s="249"/>
      <c r="AZ295" s="249"/>
      <c r="BA295" s="249"/>
      <c r="BB295" s="249"/>
      <c r="BC295" s="249"/>
      <c r="BD295" s="249"/>
      <c r="BE295" s="249"/>
      <c r="BF295" s="249"/>
      <c r="BG295" s="249"/>
      <c r="BH295" s="249"/>
      <c r="BI295" s="249"/>
      <c r="BJ295" s="249"/>
      <c r="BK295" s="249"/>
      <c r="BL295" s="249"/>
      <c r="BM295" s="249"/>
      <c r="BN295" s="249"/>
      <c r="BO295" s="249"/>
      <c r="BP295" s="249"/>
      <c r="BQ295" s="249"/>
      <c r="BR295" s="249"/>
      <c r="BS295" s="249"/>
      <c r="BT295" s="249"/>
      <c r="BU295" s="249"/>
      <c r="BV295" s="249"/>
      <c r="BW295" s="249"/>
      <c r="BX295" s="249"/>
      <c r="BY295" s="249"/>
      <c r="BZ295" s="249"/>
      <c r="CA295" s="249"/>
      <c r="CB295" s="249"/>
      <c r="CC295" s="249"/>
      <c r="CD295" s="249"/>
      <c r="CE295" s="249"/>
      <c r="CF295" s="249"/>
      <c r="CG295" s="249"/>
      <c r="CH295" s="249"/>
      <c r="CI295" s="249"/>
      <c r="CJ295" s="249"/>
      <c r="CK295" s="249"/>
      <c r="CL295" s="249"/>
      <c r="CM295" s="249"/>
      <c r="CN295" s="249"/>
      <c r="CO295" s="249"/>
      <c r="CP295" s="249"/>
      <c r="CQ295" s="249"/>
      <c r="CR295" s="249"/>
      <c r="CS295" s="249"/>
      <c r="CT295" s="249"/>
      <c r="CU295" s="249"/>
      <c r="CV295" s="249"/>
      <c r="CW295" s="249"/>
      <c r="CX295" s="249"/>
      <c r="CY295" s="249"/>
      <c r="CZ295" s="249"/>
      <c r="DA295" s="249"/>
      <c r="DB295" s="249"/>
      <c r="DC295" s="249"/>
      <c r="DD295" s="249"/>
      <c r="DE295" s="249"/>
      <c r="DF295" s="249"/>
      <c r="DG295" s="249"/>
      <c r="DH295" s="249"/>
      <c r="DI295" s="249"/>
      <c r="DJ295" s="249"/>
      <c r="DK295" s="249"/>
      <c r="DL295" s="249"/>
      <c r="DM295" s="249"/>
      <c r="DN295" s="249"/>
      <c r="DO295" s="249"/>
      <c r="DP295" s="249"/>
      <c r="DQ295" s="249"/>
      <c r="DR295" s="249"/>
      <c r="DS295" s="249"/>
      <c r="DT295" s="249"/>
      <c r="DU295" s="249"/>
      <c r="DV295" s="249"/>
      <c r="DW295" s="249"/>
      <c r="DX295" s="249"/>
      <c r="DY295" s="249"/>
      <c r="DZ295" s="249"/>
      <c r="EA295" s="249"/>
      <c r="EB295" s="249"/>
      <c r="EC295" s="249"/>
      <c r="ED295" s="249"/>
      <c r="EE295" s="249"/>
      <c r="EF295" s="249"/>
      <c r="EG295" s="249"/>
      <c r="EH295" s="249"/>
      <c r="EI295" s="249"/>
      <c r="EJ295" s="249"/>
      <c r="EK295" s="249"/>
      <c r="EL295" s="249"/>
      <c r="EM295" s="249"/>
      <c r="EN295" s="249"/>
      <c r="EO295" s="249"/>
      <c r="EP295" s="249"/>
      <c r="EQ295" s="249"/>
      <c r="ER295" s="249"/>
      <c r="ES295" s="249"/>
      <c r="ET295" s="249"/>
      <c r="EU295" s="249"/>
      <c r="EV295" s="249"/>
      <c r="EW295" s="249"/>
      <c r="EX295" s="249"/>
      <c r="EY295" s="249"/>
      <c r="EZ295" s="249"/>
      <c r="FA295" s="249"/>
      <c r="FB295" s="249"/>
      <c r="FC295" s="249"/>
      <c r="FD295" s="249"/>
      <c r="FE295" s="249"/>
      <c r="FF295" s="249"/>
      <c r="FG295" s="249"/>
      <c r="FH295" s="249"/>
      <c r="FI295" s="249"/>
      <c r="FJ295" s="249"/>
      <c r="FK295" s="249"/>
      <c r="FL295" s="249"/>
      <c r="FM295" s="249"/>
      <c r="FN295" s="249"/>
      <c r="FO295" s="249"/>
      <c r="FP295" s="249"/>
      <c r="FQ295" s="249"/>
      <c r="FR295" s="249"/>
      <c r="FS295" s="249"/>
      <c r="FT295" s="249"/>
      <c r="FU295" s="249"/>
      <c r="FV295" s="249"/>
      <c r="FW295" s="249"/>
      <c r="FX295" s="249"/>
      <c r="FY295" s="249"/>
      <c r="FZ295" s="249"/>
      <c r="GA295" s="249"/>
      <c r="GB295" s="249"/>
      <c r="GC295" s="249"/>
      <c r="GD295" s="249"/>
      <c r="GE295" s="249"/>
      <c r="GF295" s="249"/>
      <c r="GG295" s="249"/>
      <c r="GH295" s="249"/>
      <c r="GI295" s="249"/>
      <c r="GJ295" s="249"/>
      <c r="GK295" s="249"/>
      <c r="GL295" s="249"/>
      <c r="GM295" s="249"/>
      <c r="GN295" s="249"/>
      <c r="GO295" s="249"/>
      <c r="GP295" s="249"/>
      <c r="GQ295" s="249"/>
      <c r="GR295" s="249"/>
    </row>
    <row r="296" spans="1:200" s="252" customFormat="1" ht="12.75" customHeight="1" x14ac:dyDescent="0.2">
      <c r="A296" s="722"/>
      <c r="B296" s="1123"/>
      <c r="C296" s="1123"/>
      <c r="D296" s="525"/>
      <c r="E296" s="599"/>
      <c r="F296" s="249"/>
      <c r="G296" s="250"/>
      <c r="H296" s="250"/>
      <c r="I296" s="250"/>
      <c r="J296" s="250"/>
      <c r="K296" s="250"/>
      <c r="L296" s="250"/>
      <c r="M296" s="250"/>
      <c r="N296" s="250"/>
      <c r="O296" s="250"/>
      <c r="P296" s="251"/>
      <c r="Q296" s="251"/>
      <c r="R296" s="251"/>
      <c r="S296" s="251"/>
      <c r="T296" s="251"/>
      <c r="U296" s="287" t="str">
        <f t="shared" si="75"/>
        <v>Yes</v>
      </c>
      <c r="V296" s="1971" t="str">
        <f>IF(U296="Yes",'Casings et al'!C20,'Casings et al'!I20)</f>
        <v>13-3/8" Float Shoe; 68ppf, BTC</v>
      </c>
      <c r="W296" s="286" t="s">
        <v>163</v>
      </c>
      <c r="X296" s="243"/>
      <c r="Y296" s="243"/>
      <c r="Z296" s="243">
        <f>IFERROR((VLOOKUP($V296,IF((INPUT!$D$7="Big Hole"),BHCSG,RHCSG),3,FALSE)*IF((VLOOKUP($V296,IF((INPUT!$D$7="Big Hole"),BHCSG,RHCSG),2,FALSE)=Z$278),1,0)),0)</f>
        <v>0</v>
      </c>
      <c r="AA296" s="243"/>
      <c r="AB296" s="243">
        <f>IFERROR((VLOOKUP($V296,IF((INPUT!$D$7="Big Hole"),BHCSG,RHCSG),3,FALSE)*IF((VLOOKUP(V296,IF((INPUT!$D$7="Big Hole"),BHCSG,RHCSG),2,FALSE)=AB$278),1,0)),0)</f>
        <v>0</v>
      </c>
      <c r="AC296" s="243"/>
      <c r="AD296" s="2103">
        <f>IF($U296="Yes",'Casings et al'!$E20,'Casings et al'!$K20)</f>
        <v>1</v>
      </c>
      <c r="AE296" s="243"/>
      <c r="AF296" s="243">
        <f>IFERROR((VLOOKUP($V296,IF((INPUT!$D$7="Big Hole"),BHCSG,RHCSG),3,FALSE)*IF((VLOOKUP($V296,IF((INPUT!$D$7="Big Hole"),BHCSG,RHCSG),2,FALSE)=AF$278),1,0)),0)</f>
        <v>0</v>
      </c>
      <c r="AG296" s="243"/>
      <c r="AH296" s="243">
        <f>IFERROR((VLOOKUP($V296,IF((INPUT!$D$7="Big Hole"),BHCSG,RHCSG),3,FALSE)*IF((VLOOKUP($V296,IF((INPUT!$D$7="Big Hole"),BHCSG,RHCSG),2,FALSE)=AH$278),1,0)),0)</f>
        <v>0</v>
      </c>
      <c r="AI296" s="243"/>
      <c r="AJ296" s="243">
        <f>IFERROR((VLOOKUP($V296,IF((INPUT!$D$7="Big Hole"),BHCSG,RHCSG),3,FALSE)*IF((VLOOKUP($V296,IF((INPUT!$D$7="Big Hole"),BHCSG,RHCSG),2,FALSE)=AJ$278),1,0)),0)</f>
        <v>0</v>
      </c>
      <c r="AK296" s="243">
        <f>IFERROR((VLOOKUP($V296,IF((INPUT!$D$7="Big Hole"),BHCSG,RHCSG),3,FALSE)*IF((VLOOKUP($V296,IF((INPUT!$D$7="Big Hole"),BHCSG,RHCSG),2,FALSE)=AK$278),1,0)),0)</f>
        <v>0</v>
      </c>
      <c r="AL296" s="243"/>
      <c r="AM296" s="475">
        <f t="shared" si="76"/>
        <v>1</v>
      </c>
      <c r="AN296" s="254"/>
      <c r="AO296" s="249"/>
      <c r="AP296" s="250"/>
      <c r="AQ296" s="250"/>
      <c r="AR296" s="250"/>
      <c r="AS296" s="250"/>
      <c r="AT296" s="250"/>
      <c r="AU296" s="250"/>
      <c r="AV296" s="249"/>
      <c r="AW296" s="249"/>
      <c r="AX296" s="249"/>
      <c r="AY296" s="249"/>
      <c r="AZ296" s="249"/>
      <c r="BA296" s="249"/>
      <c r="BB296" s="249"/>
      <c r="BC296" s="249"/>
      <c r="BD296" s="249"/>
      <c r="BE296" s="249"/>
      <c r="BF296" s="249"/>
      <c r="BG296" s="249"/>
      <c r="BH296" s="249"/>
      <c r="BI296" s="249"/>
      <c r="BJ296" s="249"/>
      <c r="BK296" s="249"/>
      <c r="BL296" s="249"/>
      <c r="BM296" s="249"/>
      <c r="BN296" s="249"/>
      <c r="BO296" s="249"/>
      <c r="BP296" s="249"/>
      <c r="BQ296" s="249"/>
      <c r="BR296" s="249"/>
      <c r="BS296" s="249"/>
      <c r="BT296" s="249"/>
      <c r="BU296" s="249"/>
      <c r="BV296" s="249"/>
      <c r="BW296" s="249"/>
      <c r="BX296" s="249"/>
      <c r="BY296" s="249"/>
      <c r="BZ296" s="249"/>
      <c r="CA296" s="249"/>
      <c r="CB296" s="249"/>
      <c r="CC296" s="249"/>
      <c r="CD296" s="249"/>
      <c r="CE296" s="249"/>
      <c r="CF296" s="249"/>
      <c r="CG296" s="249"/>
      <c r="CH296" s="249"/>
      <c r="CI296" s="249"/>
      <c r="CJ296" s="249"/>
      <c r="CK296" s="249"/>
      <c r="CL296" s="249"/>
      <c r="CM296" s="249"/>
      <c r="CN296" s="249"/>
      <c r="CO296" s="249"/>
      <c r="CP296" s="249"/>
      <c r="CQ296" s="249"/>
      <c r="CR296" s="249"/>
      <c r="CS296" s="249"/>
      <c r="CT296" s="249"/>
      <c r="CU296" s="249"/>
      <c r="CV296" s="249"/>
      <c r="CW296" s="249"/>
      <c r="CX296" s="249"/>
      <c r="CY296" s="249"/>
      <c r="CZ296" s="249"/>
      <c r="DA296" s="249"/>
      <c r="DB296" s="249"/>
      <c r="DC296" s="249"/>
      <c r="DD296" s="249"/>
      <c r="DE296" s="249"/>
      <c r="DF296" s="249"/>
      <c r="DG296" s="249"/>
      <c r="DH296" s="249"/>
      <c r="DI296" s="249"/>
      <c r="DJ296" s="249"/>
      <c r="DK296" s="249"/>
      <c r="DL296" s="249"/>
      <c r="DM296" s="249"/>
      <c r="DN296" s="249"/>
      <c r="DO296" s="249"/>
      <c r="DP296" s="249"/>
      <c r="DQ296" s="249"/>
      <c r="DR296" s="249"/>
      <c r="DS296" s="249"/>
      <c r="DT296" s="249"/>
      <c r="DU296" s="249"/>
      <c r="DV296" s="249"/>
      <c r="DW296" s="249"/>
      <c r="DX296" s="249"/>
      <c r="DY296" s="249"/>
      <c r="DZ296" s="249"/>
      <c r="EA296" s="249"/>
      <c r="EB296" s="249"/>
      <c r="EC296" s="249"/>
      <c r="ED296" s="249"/>
      <c r="EE296" s="249"/>
      <c r="EF296" s="249"/>
      <c r="EG296" s="249"/>
      <c r="EH296" s="249"/>
      <c r="EI296" s="249"/>
      <c r="EJ296" s="249"/>
      <c r="EK296" s="249"/>
      <c r="EL296" s="249"/>
      <c r="EM296" s="249"/>
      <c r="EN296" s="249"/>
      <c r="EO296" s="249"/>
      <c r="EP296" s="249"/>
      <c r="EQ296" s="249"/>
      <c r="ER296" s="249"/>
      <c r="ES296" s="249"/>
      <c r="ET296" s="249"/>
      <c r="EU296" s="249"/>
      <c r="EV296" s="249"/>
      <c r="EW296" s="249"/>
      <c r="EX296" s="249"/>
      <c r="EY296" s="249"/>
      <c r="EZ296" s="249"/>
      <c r="FA296" s="249"/>
      <c r="FB296" s="249"/>
      <c r="FC296" s="249"/>
      <c r="FD296" s="249"/>
      <c r="FE296" s="249"/>
      <c r="FF296" s="249"/>
      <c r="FG296" s="249"/>
      <c r="FH296" s="249"/>
      <c r="FI296" s="249"/>
      <c r="FJ296" s="249"/>
      <c r="FK296" s="249"/>
      <c r="FL296" s="249"/>
      <c r="FM296" s="249"/>
      <c r="FN296" s="249"/>
      <c r="FO296" s="249"/>
      <c r="FP296" s="249"/>
      <c r="FQ296" s="249"/>
      <c r="FR296" s="249"/>
      <c r="FS296" s="249"/>
      <c r="FT296" s="249"/>
      <c r="FU296" s="249"/>
      <c r="FV296" s="249"/>
      <c r="FW296" s="249"/>
      <c r="FX296" s="249"/>
      <c r="FY296" s="249"/>
      <c r="FZ296" s="249"/>
      <c r="GA296" s="249"/>
      <c r="GB296" s="249"/>
      <c r="GC296" s="249"/>
      <c r="GD296" s="249"/>
      <c r="GE296" s="249"/>
      <c r="GF296" s="249"/>
      <c r="GG296" s="249"/>
      <c r="GH296" s="249"/>
      <c r="GI296" s="249"/>
      <c r="GJ296" s="249"/>
      <c r="GK296" s="249"/>
      <c r="GL296" s="249"/>
      <c r="GM296" s="249"/>
      <c r="GN296" s="249"/>
      <c r="GO296" s="249"/>
      <c r="GP296" s="249"/>
      <c r="GQ296" s="249"/>
      <c r="GR296" s="249"/>
    </row>
    <row r="297" spans="1:200" s="252" customFormat="1" ht="12.75" customHeight="1" x14ac:dyDescent="0.2">
      <c r="A297" s="722"/>
      <c r="B297" s="1123"/>
      <c r="C297" s="1123"/>
      <c r="D297" s="525"/>
      <c r="E297" s="599"/>
      <c r="F297" s="249"/>
      <c r="G297" s="250"/>
      <c r="H297" s="250"/>
      <c r="I297" s="250"/>
      <c r="J297" s="250"/>
      <c r="K297" s="250"/>
      <c r="L297" s="250"/>
      <c r="M297" s="250"/>
      <c r="N297" s="250"/>
      <c r="O297" s="250"/>
      <c r="P297" s="251"/>
      <c r="Q297" s="251"/>
      <c r="R297" s="251"/>
      <c r="S297" s="251"/>
      <c r="T297" s="251"/>
      <c r="U297" s="287" t="str">
        <f t="shared" si="75"/>
        <v>Yes</v>
      </c>
      <c r="V297" s="1971" t="str">
        <f>IF(U297="Yes",'Casings et al'!C21,'Casings et al'!I21)</f>
        <v>13-3/8" Float Collar, 68ppf, BTC</v>
      </c>
      <c r="W297" s="286" t="s">
        <v>169</v>
      </c>
      <c r="X297" s="243"/>
      <c r="Y297" s="243"/>
      <c r="Z297" s="243">
        <f>IFERROR((VLOOKUP($V297,IF((INPUT!$D$7="Big Hole"),BHCSG,RHCSG),3,FALSE)*IF((VLOOKUP($V297,IF((INPUT!$D$7="Big Hole"),BHCSG,RHCSG),2,FALSE)=Z$278),1,0)),0)</f>
        <v>0</v>
      </c>
      <c r="AA297" s="243"/>
      <c r="AB297" s="243">
        <f>IFERROR((VLOOKUP($V297,IF((INPUT!$D$7="Big Hole"),BHCSG,RHCSG),3,FALSE)*IF((VLOOKUP(V297,IF((INPUT!$D$7="Big Hole"),BHCSG,RHCSG),2,FALSE)=AB$278),1,0)),0)</f>
        <v>0</v>
      </c>
      <c r="AC297" s="243"/>
      <c r="AD297" s="2103">
        <f>IF($U297="Yes",'Casings et al'!$E21,'Casings et al'!$K21)</f>
        <v>1</v>
      </c>
      <c r="AE297" s="243"/>
      <c r="AF297" s="243">
        <f>IFERROR((VLOOKUP($V297,IF((INPUT!$D$7="Big Hole"),BHCSG,RHCSG),3,FALSE)*IF((VLOOKUP($V297,IF((INPUT!$D$7="Big Hole"),BHCSG,RHCSG),2,FALSE)=AF$278),1,0)),0)</f>
        <v>0</v>
      </c>
      <c r="AG297" s="243"/>
      <c r="AH297" s="243">
        <f>IFERROR((VLOOKUP($V297,IF((INPUT!$D$7="Big Hole"),BHCSG,RHCSG),3,FALSE)*IF((VLOOKUP($V297,IF((INPUT!$D$7="Big Hole"),BHCSG,RHCSG),2,FALSE)=AH$278),1,0)),0)</f>
        <v>0</v>
      </c>
      <c r="AI297" s="243"/>
      <c r="AJ297" s="243"/>
      <c r="AK297" s="243"/>
      <c r="AL297" s="243"/>
      <c r="AM297" s="475"/>
      <c r="AN297" s="254"/>
      <c r="AO297" s="249"/>
      <c r="AP297" s="250"/>
      <c r="AQ297" s="250"/>
      <c r="AR297" s="250"/>
      <c r="AS297" s="250"/>
      <c r="AT297" s="250"/>
      <c r="AU297" s="250"/>
      <c r="AV297" s="249"/>
      <c r="AW297" s="249"/>
      <c r="AX297" s="249"/>
      <c r="AY297" s="249"/>
      <c r="AZ297" s="249"/>
      <c r="BA297" s="249"/>
      <c r="BB297" s="249"/>
      <c r="BC297" s="249"/>
      <c r="BD297" s="249"/>
      <c r="BE297" s="249"/>
      <c r="BF297" s="249"/>
      <c r="BG297" s="249"/>
      <c r="BH297" s="249"/>
      <c r="BI297" s="249"/>
      <c r="BJ297" s="249"/>
      <c r="BK297" s="249"/>
      <c r="BL297" s="249"/>
      <c r="BM297" s="249"/>
      <c r="BN297" s="249"/>
      <c r="BO297" s="249"/>
      <c r="BP297" s="249"/>
      <c r="BQ297" s="249"/>
      <c r="BR297" s="249"/>
      <c r="BS297" s="249"/>
      <c r="BT297" s="249"/>
      <c r="BU297" s="249"/>
      <c r="BV297" s="249"/>
      <c r="BW297" s="249"/>
      <c r="BX297" s="249"/>
      <c r="BY297" s="249"/>
      <c r="BZ297" s="249"/>
      <c r="CA297" s="249"/>
      <c r="CB297" s="249"/>
      <c r="CC297" s="249"/>
      <c r="CD297" s="249"/>
      <c r="CE297" s="249"/>
      <c r="CF297" s="249"/>
      <c r="CG297" s="249"/>
      <c r="CH297" s="249"/>
      <c r="CI297" s="249"/>
      <c r="CJ297" s="249"/>
      <c r="CK297" s="249"/>
      <c r="CL297" s="249"/>
      <c r="CM297" s="249"/>
      <c r="CN297" s="249"/>
      <c r="CO297" s="249"/>
      <c r="CP297" s="249"/>
      <c r="CQ297" s="249"/>
      <c r="CR297" s="249"/>
      <c r="CS297" s="249"/>
      <c r="CT297" s="249"/>
      <c r="CU297" s="249"/>
      <c r="CV297" s="249"/>
      <c r="CW297" s="249"/>
      <c r="CX297" s="249"/>
      <c r="CY297" s="249"/>
      <c r="CZ297" s="249"/>
      <c r="DA297" s="249"/>
      <c r="DB297" s="249"/>
      <c r="DC297" s="249"/>
      <c r="DD297" s="249"/>
      <c r="DE297" s="249"/>
      <c r="DF297" s="249"/>
      <c r="DG297" s="249"/>
      <c r="DH297" s="249"/>
      <c r="DI297" s="249"/>
      <c r="DJ297" s="249"/>
      <c r="DK297" s="249"/>
      <c r="DL297" s="249"/>
      <c r="DM297" s="249"/>
      <c r="DN297" s="249"/>
      <c r="DO297" s="249"/>
      <c r="DP297" s="249"/>
      <c r="DQ297" s="249"/>
      <c r="DR297" s="249"/>
      <c r="DS297" s="249"/>
      <c r="DT297" s="249"/>
      <c r="DU297" s="249"/>
      <c r="DV297" s="249"/>
      <c r="DW297" s="249"/>
      <c r="DX297" s="249"/>
      <c r="DY297" s="249"/>
      <c r="DZ297" s="249"/>
      <c r="EA297" s="249"/>
      <c r="EB297" s="249"/>
      <c r="EC297" s="249"/>
      <c r="ED297" s="249"/>
      <c r="EE297" s="249"/>
      <c r="EF297" s="249"/>
      <c r="EG297" s="249"/>
      <c r="EH297" s="249"/>
      <c r="EI297" s="249"/>
      <c r="EJ297" s="249"/>
      <c r="EK297" s="249"/>
      <c r="EL297" s="249"/>
      <c r="EM297" s="249"/>
      <c r="EN297" s="249"/>
      <c r="EO297" s="249"/>
      <c r="EP297" s="249"/>
      <c r="EQ297" s="249"/>
      <c r="ER297" s="249"/>
      <c r="ES297" s="249"/>
      <c r="ET297" s="249"/>
      <c r="EU297" s="249"/>
      <c r="EV297" s="249"/>
      <c r="EW297" s="249"/>
      <c r="EX297" s="249"/>
      <c r="EY297" s="249"/>
      <c r="EZ297" s="249"/>
      <c r="FA297" s="249"/>
      <c r="FB297" s="249"/>
      <c r="FC297" s="249"/>
      <c r="FD297" s="249"/>
      <c r="FE297" s="249"/>
      <c r="FF297" s="249"/>
      <c r="FG297" s="249"/>
      <c r="FH297" s="249"/>
      <c r="FI297" s="249"/>
      <c r="FJ297" s="249"/>
      <c r="FK297" s="249"/>
      <c r="FL297" s="249"/>
      <c r="FM297" s="249"/>
      <c r="FN297" s="249"/>
      <c r="FO297" s="249"/>
      <c r="FP297" s="249"/>
      <c r="FQ297" s="249"/>
      <c r="FR297" s="249"/>
      <c r="FS297" s="249"/>
      <c r="FT297" s="249"/>
      <c r="FU297" s="249"/>
      <c r="FV297" s="249"/>
      <c r="FW297" s="249"/>
      <c r="FX297" s="249"/>
      <c r="FY297" s="249"/>
      <c r="FZ297" s="249"/>
      <c r="GA297" s="249"/>
      <c r="GB297" s="249"/>
      <c r="GC297" s="249"/>
      <c r="GD297" s="249"/>
      <c r="GE297" s="249"/>
      <c r="GF297" s="249"/>
      <c r="GG297" s="249"/>
      <c r="GH297" s="249"/>
      <c r="GI297" s="249"/>
      <c r="GJ297" s="249"/>
      <c r="GK297" s="249"/>
      <c r="GL297" s="249"/>
      <c r="GM297" s="249"/>
      <c r="GN297" s="249"/>
      <c r="GO297" s="249"/>
      <c r="GP297" s="249"/>
      <c r="GQ297" s="249"/>
      <c r="GR297" s="249"/>
    </row>
    <row r="298" spans="1:200" s="252" customFormat="1" ht="12.75" customHeight="1" x14ac:dyDescent="0.2">
      <c r="A298" s="722"/>
      <c r="B298" s="1123"/>
      <c r="C298" s="1123"/>
      <c r="D298" s="525"/>
      <c r="E298" s="599"/>
      <c r="F298" s="249"/>
      <c r="G298" s="250"/>
      <c r="H298" s="250"/>
      <c r="I298" s="250"/>
      <c r="J298" s="250"/>
      <c r="K298" s="250"/>
      <c r="L298" s="250"/>
      <c r="M298" s="250"/>
      <c r="N298" s="250"/>
      <c r="O298" s="250"/>
      <c r="P298" s="251"/>
      <c r="Q298" s="251"/>
      <c r="R298" s="251"/>
      <c r="S298" s="251"/>
      <c r="T298" s="251"/>
      <c r="U298" s="287" t="str">
        <f t="shared" si="75"/>
        <v>Yes</v>
      </c>
      <c r="V298" s="1971" t="str">
        <f>IF(U298="Yes",'Casings et al'!C22,'Casings et al'!I22)</f>
        <v>13-3/8" x 18-5/8" Liner Hanger and tie-back system, RIGGER (with setting tool)</v>
      </c>
      <c r="W298" s="286" t="s">
        <v>163</v>
      </c>
      <c r="X298" s="243"/>
      <c r="Y298" s="243"/>
      <c r="Z298" s="243">
        <f>IFERROR((VLOOKUP($V298,IF((INPUT!$D$7="Big Hole"),BHCSG,RHCSG),3,FALSE)*IF((VLOOKUP($V298,IF((INPUT!$D$7="Big Hole"),BHCSG,RHCSG),2,FALSE)=Z$278),1,0)),0)</f>
        <v>0</v>
      </c>
      <c r="AA298" s="243"/>
      <c r="AB298" s="243">
        <f>IFERROR((VLOOKUP($V298,IF((INPUT!$D$7="Big Hole"),BHCSG,RHCSG),3,FALSE)*IF((VLOOKUP(V298,IF((INPUT!$D$7="Big Hole"),BHCSG,RHCSG),2,FALSE)=AB$278),1,0)),0)</f>
        <v>0</v>
      </c>
      <c r="AC298" s="243"/>
      <c r="AD298" s="2103">
        <f>IF($U298="Yes",'Casings et al'!$E22,'Casings et al'!$K22)</f>
        <v>1</v>
      </c>
      <c r="AE298" s="243"/>
      <c r="AF298" s="243">
        <f>IFERROR((VLOOKUP($V298,IF((INPUT!$D$7="Big Hole"),BHCSG,RHCSG),3,FALSE)*IF((VLOOKUP($V298,IF((INPUT!$D$7="Big Hole"),BHCSG,RHCSG),2,FALSE)=AF$278),1,0)),0)</f>
        <v>0</v>
      </c>
      <c r="AG298" s="243"/>
      <c r="AH298" s="243">
        <f ca="1">IFERROR((VLOOKUP($V298,IF((INPUT!$D$7="Big Hole"),BHCSG,RHCSG),3,FALSE)*IF((VLOOKUP($V298,IF((INPUT!$D$7="Big Hole"),BHCSG,RHCSG),2,FALSE)=AH$278),1,0)*INDIRECT(AH278)),0)</f>
        <v>0</v>
      </c>
      <c r="AI298" s="243"/>
      <c r="AJ298" s="243"/>
      <c r="AK298" s="243"/>
      <c r="AL298" s="243"/>
      <c r="AM298" s="475"/>
      <c r="AN298" s="254"/>
      <c r="AO298" s="249"/>
      <c r="AP298" s="250"/>
      <c r="AQ298" s="250"/>
      <c r="AR298" s="250"/>
      <c r="AS298" s="250"/>
      <c r="AT298" s="250"/>
      <c r="AU298" s="250"/>
      <c r="AV298" s="249"/>
      <c r="AW298" s="249"/>
      <c r="AX298" s="249"/>
      <c r="AY298" s="249"/>
      <c r="AZ298" s="249"/>
      <c r="BA298" s="249"/>
      <c r="BB298" s="249"/>
      <c r="BC298" s="249"/>
      <c r="BD298" s="249"/>
      <c r="BE298" s="249"/>
      <c r="BF298" s="249"/>
      <c r="BG298" s="249"/>
      <c r="BH298" s="249"/>
      <c r="BI298" s="249"/>
      <c r="BJ298" s="249"/>
      <c r="BK298" s="249"/>
      <c r="BL298" s="249"/>
      <c r="BM298" s="249"/>
      <c r="BN298" s="249"/>
      <c r="BO298" s="249"/>
      <c r="BP298" s="249"/>
      <c r="BQ298" s="249"/>
      <c r="BR298" s="249"/>
      <c r="BS298" s="249"/>
      <c r="BT298" s="249"/>
      <c r="BU298" s="249"/>
      <c r="BV298" s="249"/>
      <c r="BW298" s="249"/>
      <c r="BX298" s="249"/>
      <c r="BY298" s="249"/>
      <c r="BZ298" s="249"/>
      <c r="CA298" s="249"/>
      <c r="CB298" s="249"/>
      <c r="CC298" s="249"/>
      <c r="CD298" s="249"/>
      <c r="CE298" s="249"/>
      <c r="CF298" s="249"/>
      <c r="CG298" s="249"/>
      <c r="CH298" s="249"/>
      <c r="CI298" s="249"/>
      <c r="CJ298" s="249"/>
      <c r="CK298" s="249"/>
      <c r="CL298" s="249"/>
      <c r="CM298" s="249"/>
      <c r="CN298" s="249"/>
      <c r="CO298" s="249"/>
      <c r="CP298" s="249"/>
      <c r="CQ298" s="249"/>
      <c r="CR298" s="249"/>
      <c r="CS298" s="249"/>
      <c r="CT298" s="249"/>
      <c r="CU298" s="249"/>
      <c r="CV298" s="249"/>
      <c r="CW298" s="249"/>
      <c r="CX298" s="249"/>
      <c r="CY298" s="249"/>
      <c r="CZ298" s="249"/>
      <c r="DA298" s="249"/>
      <c r="DB298" s="249"/>
      <c r="DC298" s="249"/>
      <c r="DD298" s="249"/>
      <c r="DE298" s="249"/>
      <c r="DF298" s="249"/>
      <c r="DG298" s="249"/>
      <c r="DH298" s="249"/>
      <c r="DI298" s="249"/>
      <c r="DJ298" s="249"/>
      <c r="DK298" s="249"/>
      <c r="DL298" s="249"/>
      <c r="DM298" s="249"/>
      <c r="DN298" s="249"/>
      <c r="DO298" s="249"/>
      <c r="DP298" s="249"/>
      <c r="DQ298" s="249"/>
      <c r="DR298" s="249"/>
      <c r="DS298" s="249"/>
      <c r="DT298" s="249"/>
      <c r="DU298" s="249"/>
      <c r="DV298" s="249"/>
      <c r="DW298" s="249"/>
      <c r="DX298" s="249"/>
      <c r="DY298" s="249"/>
      <c r="DZ298" s="249"/>
      <c r="EA298" s="249"/>
      <c r="EB298" s="249"/>
      <c r="EC298" s="249"/>
      <c r="ED298" s="249"/>
      <c r="EE298" s="249"/>
      <c r="EF298" s="249"/>
      <c r="EG298" s="249"/>
      <c r="EH298" s="249"/>
      <c r="EI298" s="249"/>
      <c r="EJ298" s="249"/>
      <c r="EK298" s="249"/>
      <c r="EL298" s="249"/>
      <c r="EM298" s="249"/>
      <c r="EN298" s="249"/>
      <c r="EO298" s="249"/>
      <c r="EP298" s="249"/>
      <c r="EQ298" s="249"/>
      <c r="ER298" s="249"/>
      <c r="ES298" s="249"/>
      <c r="ET298" s="249"/>
      <c r="EU298" s="249"/>
      <c r="EV298" s="249"/>
      <c r="EW298" s="249"/>
      <c r="EX298" s="249"/>
      <c r="EY298" s="249"/>
      <c r="EZ298" s="249"/>
      <c r="FA298" s="249"/>
      <c r="FB298" s="249"/>
      <c r="FC298" s="249"/>
      <c r="FD298" s="249"/>
      <c r="FE298" s="249"/>
      <c r="FF298" s="249"/>
      <c r="FG298" s="249"/>
      <c r="FH298" s="249"/>
      <c r="FI298" s="249"/>
      <c r="FJ298" s="249"/>
      <c r="FK298" s="249"/>
      <c r="FL298" s="249"/>
      <c r="FM298" s="249"/>
      <c r="FN298" s="249"/>
      <c r="FO298" s="249"/>
      <c r="FP298" s="249"/>
      <c r="FQ298" s="249"/>
      <c r="FR298" s="249"/>
      <c r="FS298" s="249"/>
      <c r="FT298" s="249"/>
      <c r="FU298" s="249"/>
      <c r="FV298" s="249"/>
      <c r="FW298" s="249"/>
      <c r="FX298" s="249"/>
      <c r="FY298" s="249"/>
      <c r="FZ298" s="249"/>
      <c r="GA298" s="249"/>
      <c r="GB298" s="249"/>
      <c r="GC298" s="249"/>
      <c r="GD298" s="249"/>
      <c r="GE298" s="249"/>
      <c r="GF298" s="249"/>
      <c r="GG298" s="249"/>
      <c r="GH298" s="249"/>
      <c r="GI298" s="249"/>
      <c r="GJ298" s="249"/>
      <c r="GK298" s="249"/>
      <c r="GL298" s="249"/>
      <c r="GM298" s="249"/>
      <c r="GN298" s="249"/>
      <c r="GO298" s="249"/>
      <c r="GP298" s="249"/>
      <c r="GQ298" s="249"/>
      <c r="GR298" s="249"/>
    </row>
    <row r="299" spans="1:200" s="252" customFormat="1" ht="12.75" customHeight="1" x14ac:dyDescent="0.2">
      <c r="A299" s="722"/>
      <c r="B299" s="1123"/>
      <c r="C299" s="1123"/>
      <c r="D299" s="525"/>
      <c r="E299" s="599"/>
      <c r="F299" s="249"/>
      <c r="G299" s="250"/>
      <c r="H299" s="250"/>
      <c r="I299" s="250"/>
      <c r="J299" s="250"/>
      <c r="K299" s="250"/>
      <c r="L299" s="250"/>
      <c r="M299" s="250"/>
      <c r="N299" s="250"/>
      <c r="O299" s="250"/>
      <c r="P299" s="251"/>
      <c r="Q299" s="251"/>
      <c r="R299" s="251"/>
      <c r="S299" s="251"/>
      <c r="T299" s="251"/>
      <c r="U299" s="287" t="str">
        <f t="shared" si="75"/>
        <v>Yes</v>
      </c>
      <c r="V299" s="1971" t="str">
        <f>IF(U299="Yes",'Casings et al'!C23,'Casings et al'!I23)</f>
        <v>13-3/8" x 17" Centralizer (Stand-Off) with pins</v>
      </c>
      <c r="W299" s="286" t="s">
        <v>163</v>
      </c>
      <c r="X299" s="243"/>
      <c r="Y299" s="243"/>
      <c r="Z299" s="243">
        <f>IFERROR((VLOOKUP($V299,IF((INPUT!$D$7="Big Hole"),BHCSG,RHCSG),3,FALSE)*IF((VLOOKUP($V299,IF((INPUT!$D$7="Big Hole"),BHCSG,RHCSG),2,FALSE)=Z$278),1,0)),0)</f>
        <v>0</v>
      </c>
      <c r="AA299" s="243"/>
      <c r="AB299" s="243">
        <f>IFERROR((VLOOKUP($V299,IF((INPUT!$D$7="Big Hole"),BHCSG,RHCSG),3,FALSE)*IF((VLOOKUP(V299,IF((INPUT!$D$7="Big Hole"),BHCSG,RHCSG),2,FALSE)=AB$278),1,0)),0)</f>
        <v>0</v>
      </c>
      <c r="AC299" s="243"/>
      <c r="AD299" s="2103">
        <f>IF($U299="Yes",'Casings et al'!$E23,'Casings et al'!$K23)</f>
        <v>20</v>
      </c>
      <c r="AE299" s="243"/>
      <c r="AF299" s="243">
        <f>IFERROR((VLOOKUP($V299,IF((INPUT!$D$7="Big Hole"),BHCSG,RHCSG),3,FALSE)*IF((VLOOKUP($V299,IF((INPUT!$D$7="Big Hole"),BHCSG,RHCSG),2,FALSE)=AF$278),1,0)),0)</f>
        <v>0</v>
      </c>
      <c r="AG299" s="243"/>
      <c r="AH299" s="243">
        <f>IFERROR((VLOOKUP($V299,IF((INPUT!$D$7="Big Hole"),BHCSG,RHCSG),3,FALSE)*IF((VLOOKUP($V299,IF((INPUT!$D$7="Big Hole"),BHCSG,RHCSG),2,FALSE)=AH$278),1,0)),0)</f>
        <v>0</v>
      </c>
      <c r="AI299" s="243"/>
      <c r="AJ299" s="243"/>
      <c r="AK299" s="243"/>
      <c r="AL299" s="243"/>
      <c r="AM299" s="475"/>
      <c r="AN299" s="254"/>
      <c r="AO299" s="249"/>
      <c r="AP299" s="250"/>
      <c r="AQ299" s="250"/>
      <c r="AR299" s="250"/>
      <c r="AS299" s="250"/>
      <c r="AT299" s="250"/>
      <c r="AU299" s="250"/>
      <c r="AV299" s="249"/>
      <c r="AW299" s="249"/>
      <c r="AX299" s="249"/>
      <c r="AY299" s="249"/>
      <c r="AZ299" s="249"/>
      <c r="BA299" s="249"/>
      <c r="BB299" s="249"/>
      <c r="BC299" s="249"/>
      <c r="BD299" s="249"/>
      <c r="BE299" s="249"/>
      <c r="BF299" s="249"/>
      <c r="BG299" s="249"/>
      <c r="BH299" s="249"/>
      <c r="BI299" s="249"/>
      <c r="BJ299" s="249"/>
      <c r="BK299" s="249"/>
      <c r="BL299" s="249"/>
      <c r="BM299" s="249"/>
      <c r="BN299" s="249"/>
      <c r="BO299" s="249"/>
      <c r="BP299" s="249"/>
      <c r="BQ299" s="249"/>
      <c r="BR299" s="249"/>
      <c r="BS299" s="249"/>
      <c r="BT299" s="249"/>
      <c r="BU299" s="249"/>
      <c r="BV299" s="249"/>
      <c r="BW299" s="249"/>
      <c r="BX299" s="249"/>
      <c r="BY299" s="249"/>
      <c r="BZ299" s="249"/>
      <c r="CA299" s="249"/>
      <c r="CB299" s="249"/>
      <c r="CC299" s="249"/>
      <c r="CD299" s="249"/>
      <c r="CE299" s="249"/>
      <c r="CF299" s="249"/>
      <c r="CG299" s="249"/>
      <c r="CH299" s="249"/>
      <c r="CI299" s="249"/>
      <c r="CJ299" s="249"/>
      <c r="CK299" s="249"/>
      <c r="CL299" s="249"/>
      <c r="CM299" s="249"/>
      <c r="CN299" s="249"/>
      <c r="CO299" s="249"/>
      <c r="CP299" s="249"/>
      <c r="CQ299" s="249"/>
      <c r="CR299" s="249"/>
      <c r="CS299" s="249"/>
      <c r="CT299" s="249"/>
      <c r="CU299" s="249"/>
      <c r="CV299" s="249"/>
      <c r="CW299" s="249"/>
      <c r="CX299" s="249"/>
      <c r="CY299" s="249"/>
      <c r="CZ299" s="249"/>
      <c r="DA299" s="249"/>
      <c r="DB299" s="249"/>
      <c r="DC299" s="249"/>
      <c r="DD299" s="249"/>
      <c r="DE299" s="249"/>
      <c r="DF299" s="249"/>
      <c r="DG299" s="249"/>
      <c r="DH299" s="249"/>
      <c r="DI299" s="249"/>
      <c r="DJ299" s="249"/>
      <c r="DK299" s="249"/>
      <c r="DL299" s="249"/>
      <c r="DM299" s="249"/>
      <c r="DN299" s="249"/>
      <c r="DO299" s="249"/>
      <c r="DP299" s="249"/>
      <c r="DQ299" s="249"/>
      <c r="DR299" s="249"/>
      <c r="DS299" s="249"/>
      <c r="DT299" s="249"/>
      <c r="DU299" s="249"/>
      <c r="DV299" s="249"/>
      <c r="DW299" s="249"/>
      <c r="DX299" s="249"/>
      <c r="DY299" s="249"/>
      <c r="DZ299" s="249"/>
      <c r="EA299" s="249"/>
      <c r="EB299" s="249"/>
      <c r="EC299" s="249"/>
      <c r="ED299" s="249"/>
      <c r="EE299" s="249"/>
      <c r="EF299" s="249"/>
      <c r="EG299" s="249"/>
      <c r="EH299" s="249"/>
      <c r="EI299" s="249"/>
      <c r="EJ299" s="249"/>
      <c r="EK299" s="249"/>
      <c r="EL299" s="249"/>
      <c r="EM299" s="249"/>
      <c r="EN299" s="249"/>
      <c r="EO299" s="249"/>
      <c r="EP299" s="249"/>
      <c r="EQ299" s="249"/>
      <c r="ER299" s="249"/>
      <c r="ES299" s="249"/>
      <c r="ET299" s="249"/>
      <c r="EU299" s="249"/>
      <c r="EV299" s="249"/>
      <c r="EW299" s="249"/>
      <c r="EX299" s="249"/>
      <c r="EY299" s="249"/>
      <c r="EZ299" s="249"/>
      <c r="FA299" s="249"/>
      <c r="FB299" s="249"/>
      <c r="FC299" s="249"/>
      <c r="FD299" s="249"/>
      <c r="FE299" s="249"/>
      <c r="FF299" s="249"/>
      <c r="FG299" s="249"/>
      <c r="FH299" s="249"/>
      <c r="FI299" s="249"/>
      <c r="FJ299" s="249"/>
      <c r="FK299" s="249"/>
      <c r="FL299" s="249"/>
      <c r="FM299" s="249"/>
      <c r="FN299" s="249"/>
      <c r="FO299" s="249"/>
      <c r="FP299" s="249"/>
      <c r="FQ299" s="249"/>
      <c r="FR299" s="249"/>
      <c r="FS299" s="249"/>
      <c r="FT299" s="249"/>
      <c r="FU299" s="249"/>
      <c r="FV299" s="249"/>
      <c r="FW299" s="249"/>
      <c r="FX299" s="249"/>
      <c r="FY299" s="249"/>
      <c r="FZ299" s="249"/>
      <c r="GA299" s="249"/>
      <c r="GB299" s="249"/>
      <c r="GC299" s="249"/>
      <c r="GD299" s="249"/>
      <c r="GE299" s="249"/>
      <c r="GF299" s="249"/>
      <c r="GG299" s="249"/>
      <c r="GH299" s="249"/>
      <c r="GI299" s="249"/>
      <c r="GJ299" s="249"/>
      <c r="GK299" s="249"/>
      <c r="GL299" s="249"/>
      <c r="GM299" s="249"/>
      <c r="GN299" s="249"/>
      <c r="GO299" s="249"/>
      <c r="GP299" s="249"/>
      <c r="GQ299" s="249"/>
      <c r="GR299" s="249"/>
    </row>
    <row r="300" spans="1:200" s="252" customFormat="1" ht="12.75" customHeight="1" x14ac:dyDescent="0.2">
      <c r="A300" s="722"/>
      <c r="B300" s="1123"/>
      <c r="C300" s="1123"/>
      <c r="D300" s="525"/>
      <c r="E300" s="599"/>
      <c r="F300" s="249"/>
      <c r="G300" s="250"/>
      <c r="H300" s="250"/>
      <c r="I300" s="250"/>
      <c r="J300" s="250"/>
      <c r="K300" s="250"/>
      <c r="L300" s="250"/>
      <c r="M300" s="250"/>
      <c r="N300" s="250"/>
      <c r="O300" s="250"/>
      <c r="P300" s="251"/>
      <c r="Q300" s="251"/>
      <c r="R300" s="251"/>
      <c r="S300" s="251"/>
      <c r="T300" s="251"/>
      <c r="U300" s="287" t="str">
        <f t="shared" si="75"/>
        <v>Yes</v>
      </c>
      <c r="V300" s="1971" t="str">
        <f>IF(U300="Yes",'Casings et al'!C24,'Casings et al'!I24)</f>
        <v>13-3/8" x 17" Centralizer (Bow Type) with pins</v>
      </c>
      <c r="W300" s="286" t="s">
        <v>163</v>
      </c>
      <c r="X300" s="243"/>
      <c r="Y300" s="243"/>
      <c r="Z300" s="243">
        <f>IFERROR((VLOOKUP($V300,IF((INPUT!$D$7="Big Hole"),BHCSG,RHCSG),3,FALSE)*IF((VLOOKUP($V300,IF((INPUT!$D$7="Big Hole"),BHCSG,RHCSG),2,FALSE)=Z$278),1,0)),0)</f>
        <v>0</v>
      </c>
      <c r="AA300" s="243"/>
      <c r="AB300" s="243">
        <f>IFERROR((VLOOKUP($V300,IF((INPUT!$D$7="Big Hole"),BHCSG,RHCSG),3,FALSE)*IF((VLOOKUP(V300,IF((INPUT!$D$7="Big Hole"),BHCSG,RHCSG),2,FALSE)=AB$278),1,0)),0)</f>
        <v>0</v>
      </c>
      <c r="AC300" s="243"/>
      <c r="AD300" s="2103">
        <f>IF($U300="Yes",'Casings et al'!$E24,'Casings et al'!$K24)</f>
        <v>24</v>
      </c>
      <c r="AE300" s="243"/>
      <c r="AF300" s="243">
        <f>IFERROR((VLOOKUP($V300,IF((INPUT!$D$7="Big Hole"),BHCSG,RHCSG),3,FALSE)*IF((VLOOKUP($V300,IF((INPUT!$D$7="Big Hole"),BHCSG,RHCSG),2,FALSE)=AF$278),1,0)),0)</f>
        <v>0</v>
      </c>
      <c r="AG300" s="243"/>
      <c r="AH300" s="243">
        <f>IFERROR((VLOOKUP($V300,IF((INPUT!$D$7="Big Hole"),BHCSG,RHCSG),3,FALSE)*IF((VLOOKUP($V300,IF((INPUT!$D$7="Big Hole"),BHCSG,RHCSG),2,FALSE)=AH$278),1,0)),0)</f>
        <v>0</v>
      </c>
      <c r="AI300" s="243"/>
      <c r="AJ300" s="243"/>
      <c r="AK300" s="243"/>
      <c r="AL300" s="243"/>
      <c r="AM300" s="475"/>
      <c r="AN300" s="254"/>
      <c r="AO300" s="249"/>
      <c r="AP300" s="250"/>
      <c r="AQ300" s="250"/>
      <c r="AR300" s="250"/>
      <c r="AS300" s="250"/>
      <c r="AT300" s="250"/>
      <c r="AU300" s="250"/>
      <c r="AV300" s="249"/>
      <c r="AW300" s="249"/>
      <c r="AX300" s="249"/>
      <c r="AY300" s="249"/>
      <c r="AZ300" s="249"/>
      <c r="BA300" s="249"/>
      <c r="BB300" s="249"/>
      <c r="BC300" s="249"/>
      <c r="BD300" s="249"/>
      <c r="BE300" s="249"/>
      <c r="BF300" s="249"/>
      <c r="BG300" s="249"/>
      <c r="BH300" s="249"/>
      <c r="BI300" s="249"/>
      <c r="BJ300" s="249"/>
      <c r="BK300" s="249"/>
      <c r="BL300" s="249"/>
      <c r="BM300" s="249"/>
      <c r="BN300" s="249"/>
      <c r="BO300" s="249"/>
      <c r="BP300" s="249"/>
      <c r="BQ300" s="249"/>
      <c r="BR300" s="249"/>
      <c r="BS300" s="249"/>
      <c r="BT300" s="249"/>
      <c r="BU300" s="249"/>
      <c r="BV300" s="249"/>
      <c r="BW300" s="249"/>
      <c r="BX300" s="249"/>
      <c r="BY300" s="249"/>
      <c r="BZ300" s="249"/>
      <c r="CA300" s="249"/>
      <c r="CB300" s="249"/>
      <c r="CC300" s="249"/>
      <c r="CD300" s="249"/>
      <c r="CE300" s="249"/>
      <c r="CF300" s="249"/>
      <c r="CG300" s="249"/>
      <c r="CH300" s="249"/>
      <c r="CI300" s="249"/>
      <c r="CJ300" s="249"/>
      <c r="CK300" s="249"/>
      <c r="CL300" s="249"/>
      <c r="CM300" s="249"/>
      <c r="CN300" s="249"/>
      <c r="CO300" s="249"/>
      <c r="CP300" s="249"/>
      <c r="CQ300" s="249"/>
      <c r="CR300" s="249"/>
      <c r="CS300" s="249"/>
      <c r="CT300" s="249"/>
      <c r="CU300" s="249"/>
      <c r="CV300" s="249"/>
      <c r="CW300" s="249"/>
      <c r="CX300" s="249"/>
      <c r="CY300" s="249"/>
      <c r="CZ300" s="249"/>
      <c r="DA300" s="249"/>
      <c r="DB300" s="249"/>
      <c r="DC300" s="249"/>
      <c r="DD300" s="249"/>
      <c r="DE300" s="249"/>
      <c r="DF300" s="249"/>
      <c r="DG300" s="249"/>
      <c r="DH300" s="249"/>
      <c r="DI300" s="249"/>
      <c r="DJ300" s="249"/>
      <c r="DK300" s="249"/>
      <c r="DL300" s="249"/>
      <c r="DM300" s="249"/>
      <c r="DN300" s="249"/>
      <c r="DO300" s="249"/>
      <c r="DP300" s="249"/>
      <c r="DQ300" s="249"/>
      <c r="DR300" s="249"/>
      <c r="DS300" s="249"/>
      <c r="DT300" s="249"/>
      <c r="DU300" s="249"/>
      <c r="DV300" s="249"/>
      <c r="DW300" s="249"/>
      <c r="DX300" s="249"/>
      <c r="DY300" s="249"/>
      <c r="DZ300" s="249"/>
      <c r="EA300" s="249"/>
      <c r="EB300" s="249"/>
      <c r="EC300" s="249"/>
      <c r="ED300" s="249"/>
      <c r="EE300" s="249"/>
      <c r="EF300" s="249"/>
      <c r="EG300" s="249"/>
      <c r="EH300" s="249"/>
      <c r="EI300" s="249"/>
      <c r="EJ300" s="249"/>
      <c r="EK300" s="249"/>
      <c r="EL300" s="249"/>
      <c r="EM300" s="249"/>
      <c r="EN300" s="249"/>
      <c r="EO300" s="249"/>
      <c r="EP300" s="249"/>
      <c r="EQ300" s="249"/>
      <c r="ER300" s="249"/>
      <c r="ES300" s="249"/>
      <c r="ET300" s="249"/>
      <c r="EU300" s="249"/>
      <c r="EV300" s="249"/>
      <c r="EW300" s="249"/>
      <c r="EX300" s="249"/>
      <c r="EY300" s="249"/>
      <c r="EZ300" s="249"/>
      <c r="FA300" s="249"/>
      <c r="FB300" s="249"/>
      <c r="FC300" s="249"/>
      <c r="FD300" s="249"/>
      <c r="FE300" s="249"/>
      <c r="FF300" s="249"/>
      <c r="FG300" s="249"/>
      <c r="FH300" s="249"/>
      <c r="FI300" s="249"/>
      <c r="FJ300" s="249"/>
      <c r="FK300" s="249"/>
      <c r="FL300" s="249"/>
      <c r="FM300" s="249"/>
      <c r="FN300" s="249"/>
      <c r="FO300" s="249"/>
      <c r="FP300" s="249"/>
      <c r="FQ300" s="249"/>
      <c r="FR300" s="249"/>
      <c r="FS300" s="249"/>
      <c r="FT300" s="249"/>
      <c r="FU300" s="249"/>
      <c r="FV300" s="249"/>
      <c r="FW300" s="249"/>
      <c r="FX300" s="249"/>
      <c r="FY300" s="249"/>
      <c r="FZ300" s="249"/>
      <c r="GA300" s="249"/>
      <c r="GB300" s="249"/>
      <c r="GC300" s="249"/>
      <c r="GD300" s="249"/>
      <c r="GE300" s="249"/>
      <c r="GF300" s="249"/>
      <c r="GG300" s="249"/>
      <c r="GH300" s="249"/>
      <c r="GI300" s="249"/>
      <c r="GJ300" s="249"/>
      <c r="GK300" s="249"/>
      <c r="GL300" s="249"/>
      <c r="GM300" s="249"/>
      <c r="GN300" s="249"/>
      <c r="GO300" s="249"/>
      <c r="GP300" s="249"/>
      <c r="GQ300" s="249"/>
      <c r="GR300" s="249"/>
    </row>
    <row r="301" spans="1:200" s="252" customFormat="1" ht="12.75" customHeight="1" x14ac:dyDescent="0.2">
      <c r="A301" s="722"/>
      <c r="B301" s="1123"/>
      <c r="C301" s="1123"/>
      <c r="D301" s="525"/>
      <c r="E301" s="599"/>
      <c r="F301" s="249"/>
      <c r="G301" s="250"/>
      <c r="H301" s="250"/>
      <c r="I301" s="250"/>
      <c r="J301" s="250"/>
      <c r="K301" s="250"/>
      <c r="L301" s="250"/>
      <c r="M301" s="250"/>
      <c r="N301" s="250"/>
      <c r="O301" s="250"/>
      <c r="P301" s="251"/>
      <c r="Q301" s="251"/>
      <c r="R301" s="251"/>
      <c r="S301" s="251"/>
      <c r="T301" s="251"/>
      <c r="U301" s="287" t="str">
        <f t="shared" si="75"/>
        <v>Yes</v>
      </c>
      <c r="V301" s="1971" t="str">
        <f>IF(U301="Yes",'Casings et al'!C25,'Casings et al'!I25)</f>
        <v>13-3/8" x 17" Cement Metal Petal Basket</v>
      </c>
      <c r="W301" s="286" t="s">
        <v>163</v>
      </c>
      <c r="X301" s="243"/>
      <c r="Y301" s="243"/>
      <c r="Z301" s="243">
        <f>IFERROR((VLOOKUP($V301,IF((INPUT!$D$7="Big Hole"),BHCSG,RHCSG),3,FALSE)*IF((VLOOKUP($V301,IF((INPUT!$D$7="Big Hole"),BHCSG,RHCSG),2,FALSE)=Z$278),1,0)),0)</f>
        <v>0</v>
      </c>
      <c r="AA301" s="243"/>
      <c r="AB301" s="243">
        <f>IFERROR((VLOOKUP($V301,IF((INPUT!$D$7="Big Hole"),BHCSG,RHCSG),3,FALSE)*IF((VLOOKUP(V301,IF((INPUT!$D$7="Big Hole"),BHCSG,RHCSG),2,FALSE)=AB$278),1,0)),0)</f>
        <v>0</v>
      </c>
      <c r="AC301" s="243"/>
      <c r="AD301" s="2103">
        <f>IF($U301="Yes",'Casings et al'!$E25,'Casings et al'!$K25)</f>
        <v>2</v>
      </c>
      <c r="AE301" s="243"/>
      <c r="AF301" s="243">
        <f>IFERROR((VLOOKUP($V301,IF((INPUT!$D$7="Big Hole"),BHCSG,RHCSG),3,FALSE)*IF((VLOOKUP($V301,IF((INPUT!$D$7="Big Hole"),BHCSG,RHCSG),2,FALSE)=AF$278),1,0)),0)</f>
        <v>0</v>
      </c>
      <c r="AG301" s="243"/>
      <c r="AH301" s="243">
        <f>IFERROR((VLOOKUP($V301,IF((INPUT!$D$7="Big Hole"),BHCSG,RHCSG),3,FALSE)*IF((VLOOKUP($V301,IF((INPUT!$D$7="Big Hole"),BHCSG,RHCSG),2,FALSE)=AH$278),1,0)),0)</f>
        <v>0</v>
      </c>
      <c r="AI301" s="243"/>
      <c r="AJ301" s="243"/>
      <c r="AK301" s="243"/>
      <c r="AL301" s="243"/>
      <c r="AM301" s="475"/>
      <c r="AN301" s="254"/>
      <c r="AO301" s="249"/>
      <c r="AP301" s="250"/>
      <c r="AQ301" s="250"/>
      <c r="AR301" s="250"/>
      <c r="AS301" s="250"/>
      <c r="AT301" s="250"/>
      <c r="AU301" s="250"/>
      <c r="AV301" s="249"/>
      <c r="AW301" s="249"/>
      <c r="AX301" s="249"/>
      <c r="AY301" s="249"/>
      <c r="AZ301" s="249"/>
      <c r="BA301" s="249"/>
      <c r="BB301" s="249"/>
      <c r="BC301" s="249"/>
      <c r="BD301" s="249"/>
      <c r="BE301" s="249"/>
      <c r="BF301" s="249"/>
      <c r="BG301" s="249"/>
      <c r="BH301" s="249"/>
      <c r="BI301" s="249"/>
      <c r="BJ301" s="249"/>
      <c r="BK301" s="249"/>
      <c r="BL301" s="249"/>
      <c r="BM301" s="249"/>
      <c r="BN301" s="249"/>
      <c r="BO301" s="249"/>
      <c r="BP301" s="249"/>
      <c r="BQ301" s="249"/>
      <c r="BR301" s="249"/>
      <c r="BS301" s="249"/>
      <c r="BT301" s="249"/>
      <c r="BU301" s="249"/>
      <c r="BV301" s="249"/>
      <c r="BW301" s="249"/>
      <c r="BX301" s="249"/>
      <c r="BY301" s="249"/>
      <c r="BZ301" s="249"/>
      <c r="CA301" s="249"/>
      <c r="CB301" s="249"/>
      <c r="CC301" s="249"/>
      <c r="CD301" s="249"/>
      <c r="CE301" s="249"/>
      <c r="CF301" s="249"/>
      <c r="CG301" s="249"/>
      <c r="CH301" s="249"/>
      <c r="CI301" s="249"/>
      <c r="CJ301" s="249"/>
      <c r="CK301" s="249"/>
      <c r="CL301" s="249"/>
      <c r="CM301" s="249"/>
      <c r="CN301" s="249"/>
      <c r="CO301" s="249"/>
      <c r="CP301" s="249"/>
      <c r="CQ301" s="249"/>
      <c r="CR301" s="249"/>
      <c r="CS301" s="249"/>
      <c r="CT301" s="249"/>
      <c r="CU301" s="249"/>
      <c r="CV301" s="249"/>
      <c r="CW301" s="249"/>
      <c r="CX301" s="249"/>
      <c r="CY301" s="249"/>
      <c r="CZ301" s="249"/>
      <c r="DA301" s="249"/>
      <c r="DB301" s="249"/>
      <c r="DC301" s="249"/>
      <c r="DD301" s="249"/>
      <c r="DE301" s="249"/>
      <c r="DF301" s="249"/>
      <c r="DG301" s="249"/>
      <c r="DH301" s="249"/>
      <c r="DI301" s="249"/>
      <c r="DJ301" s="249"/>
      <c r="DK301" s="249"/>
      <c r="DL301" s="249"/>
      <c r="DM301" s="249"/>
      <c r="DN301" s="249"/>
      <c r="DO301" s="249"/>
      <c r="DP301" s="249"/>
      <c r="DQ301" s="249"/>
      <c r="DR301" s="249"/>
      <c r="DS301" s="249"/>
      <c r="DT301" s="249"/>
      <c r="DU301" s="249"/>
      <c r="DV301" s="249"/>
      <c r="DW301" s="249"/>
      <c r="DX301" s="249"/>
      <c r="DY301" s="249"/>
      <c r="DZ301" s="249"/>
      <c r="EA301" s="249"/>
      <c r="EB301" s="249"/>
      <c r="EC301" s="249"/>
      <c r="ED301" s="249"/>
      <c r="EE301" s="249"/>
      <c r="EF301" s="249"/>
      <c r="EG301" s="249"/>
      <c r="EH301" s="249"/>
      <c r="EI301" s="249"/>
      <c r="EJ301" s="249"/>
      <c r="EK301" s="249"/>
      <c r="EL301" s="249"/>
      <c r="EM301" s="249"/>
      <c r="EN301" s="249"/>
      <c r="EO301" s="249"/>
      <c r="EP301" s="249"/>
      <c r="EQ301" s="249"/>
      <c r="ER301" s="249"/>
      <c r="ES301" s="249"/>
      <c r="ET301" s="249"/>
      <c r="EU301" s="249"/>
      <c r="EV301" s="249"/>
      <c r="EW301" s="249"/>
      <c r="EX301" s="249"/>
      <c r="EY301" s="249"/>
      <c r="EZ301" s="249"/>
      <c r="FA301" s="249"/>
      <c r="FB301" s="249"/>
      <c r="FC301" s="249"/>
      <c r="FD301" s="249"/>
      <c r="FE301" s="249"/>
      <c r="FF301" s="249"/>
      <c r="FG301" s="249"/>
      <c r="FH301" s="249"/>
      <c r="FI301" s="249"/>
      <c r="FJ301" s="249"/>
      <c r="FK301" s="249"/>
      <c r="FL301" s="249"/>
      <c r="FM301" s="249"/>
      <c r="FN301" s="249"/>
      <c r="FO301" s="249"/>
      <c r="FP301" s="249"/>
      <c r="FQ301" s="249"/>
      <c r="FR301" s="249"/>
      <c r="FS301" s="249"/>
      <c r="FT301" s="249"/>
      <c r="FU301" s="249"/>
      <c r="FV301" s="249"/>
      <c r="FW301" s="249"/>
      <c r="FX301" s="249"/>
      <c r="FY301" s="249"/>
      <c r="FZ301" s="249"/>
      <c r="GA301" s="249"/>
      <c r="GB301" s="249"/>
      <c r="GC301" s="249"/>
      <c r="GD301" s="249"/>
      <c r="GE301" s="249"/>
      <c r="GF301" s="249"/>
      <c r="GG301" s="249"/>
      <c r="GH301" s="249"/>
      <c r="GI301" s="249"/>
      <c r="GJ301" s="249"/>
      <c r="GK301" s="249"/>
      <c r="GL301" s="249"/>
      <c r="GM301" s="249"/>
      <c r="GN301" s="249"/>
      <c r="GO301" s="249"/>
      <c r="GP301" s="249"/>
      <c r="GQ301" s="249"/>
      <c r="GR301" s="249"/>
    </row>
    <row r="302" spans="1:200" s="252" customFormat="1" ht="12.75" customHeight="1" x14ac:dyDescent="0.2">
      <c r="A302" s="722"/>
      <c r="B302" s="1123"/>
      <c r="C302" s="1123"/>
      <c r="D302" s="525"/>
      <c r="E302" s="599"/>
      <c r="F302" s="249"/>
      <c r="G302" s="250"/>
      <c r="H302" s="250"/>
      <c r="I302" s="250"/>
      <c r="J302" s="250"/>
      <c r="K302" s="250"/>
      <c r="L302" s="250"/>
      <c r="M302" s="250"/>
      <c r="N302" s="250"/>
      <c r="O302" s="250"/>
      <c r="P302" s="251"/>
      <c r="Q302" s="251"/>
      <c r="R302" s="251"/>
      <c r="S302" s="251"/>
      <c r="T302" s="251"/>
      <c r="U302" s="287" t="str">
        <f t="shared" si="75"/>
        <v>Yes</v>
      </c>
      <c r="V302" s="1971" t="str">
        <f>IF(U302="Yes",'Casings et al'!C26,'Casings et al'!I26)</f>
        <v>Corrosion Ring, 4-1/2"IF &amp; 5"X Hole</v>
      </c>
      <c r="W302" s="286" t="s">
        <v>163</v>
      </c>
      <c r="X302" s="243"/>
      <c r="Y302" s="243"/>
      <c r="Z302" s="243">
        <f>IFERROR((VLOOKUP($V302,IF((INPUT!$D$7="Big Hole"),BHCSG,RHCSG),3,FALSE)*IF((VLOOKUP($V302,IF((INPUT!$D$7="Big Hole"),BHCSG,RHCSG),2,FALSE)=Z$278),1,0)),0)</f>
        <v>0</v>
      </c>
      <c r="AA302" s="243"/>
      <c r="AB302" s="243">
        <f>IFERROR((VLOOKUP($V302,IF((INPUT!$D$7="Big Hole"),BHCSG,RHCSG),3,FALSE)*IF((VLOOKUP(V302,IF((INPUT!$D$7="Big Hole"),BHCSG,RHCSG),2,FALSE)=AB$278),1,0)),0)</f>
        <v>0</v>
      </c>
      <c r="AC302" s="243"/>
      <c r="AD302" s="2103">
        <f>IF($U302="Yes",'Casings et al'!$E26,'Casings et al'!$K26)</f>
        <v>5</v>
      </c>
      <c r="AE302" s="243"/>
      <c r="AF302" s="243">
        <f>IFERROR((VLOOKUP($V302,IF((INPUT!$D$7="Big Hole"),BHCSG,RHCSG),3,FALSE)*IF((VLOOKUP($V302,IF((INPUT!$D$7="Big Hole"),BHCSG,RHCSG),2,FALSE)=AF$278),1,0)),0)</f>
        <v>0</v>
      </c>
      <c r="AG302" s="243"/>
      <c r="AH302" s="243">
        <f>IFERROR((VLOOKUP($V302,IF((INPUT!$D$7="Big Hole"),BHCSG,RHCSG),3,FALSE)*IF((VLOOKUP($V302,IF((INPUT!$D$7="Big Hole"),BHCSG,RHCSG),2,FALSE)=AH$278),1,0)),0)</f>
        <v>0</v>
      </c>
      <c r="AI302" s="243"/>
      <c r="AJ302" s="243"/>
      <c r="AK302" s="243"/>
      <c r="AL302" s="243"/>
      <c r="AM302" s="475"/>
      <c r="AN302" s="254"/>
      <c r="AO302" s="249"/>
      <c r="AP302" s="250"/>
      <c r="AQ302" s="250"/>
      <c r="AR302" s="250"/>
      <c r="AS302" s="250"/>
      <c r="AT302" s="250"/>
      <c r="AU302" s="250"/>
      <c r="AV302" s="249"/>
      <c r="AW302" s="249"/>
      <c r="AX302" s="249"/>
      <c r="AY302" s="249"/>
      <c r="AZ302" s="249"/>
      <c r="BA302" s="249"/>
      <c r="BB302" s="249"/>
      <c r="BC302" s="249"/>
      <c r="BD302" s="249"/>
      <c r="BE302" s="249"/>
      <c r="BF302" s="249"/>
      <c r="BG302" s="249"/>
      <c r="BH302" s="249"/>
      <c r="BI302" s="249"/>
      <c r="BJ302" s="249"/>
      <c r="BK302" s="249"/>
      <c r="BL302" s="249"/>
      <c r="BM302" s="249"/>
      <c r="BN302" s="249"/>
      <c r="BO302" s="249"/>
      <c r="BP302" s="249"/>
      <c r="BQ302" s="249"/>
      <c r="BR302" s="249"/>
      <c r="BS302" s="249"/>
      <c r="BT302" s="249"/>
      <c r="BU302" s="249"/>
      <c r="BV302" s="249"/>
      <c r="BW302" s="249"/>
      <c r="BX302" s="249"/>
      <c r="BY302" s="249"/>
      <c r="BZ302" s="249"/>
      <c r="CA302" s="249"/>
      <c r="CB302" s="249"/>
      <c r="CC302" s="249"/>
      <c r="CD302" s="249"/>
      <c r="CE302" s="249"/>
      <c r="CF302" s="249"/>
      <c r="CG302" s="249"/>
      <c r="CH302" s="249"/>
      <c r="CI302" s="249"/>
      <c r="CJ302" s="249"/>
      <c r="CK302" s="249"/>
      <c r="CL302" s="249"/>
      <c r="CM302" s="249"/>
      <c r="CN302" s="249"/>
      <c r="CO302" s="249"/>
      <c r="CP302" s="249"/>
      <c r="CQ302" s="249"/>
      <c r="CR302" s="249"/>
      <c r="CS302" s="249"/>
      <c r="CT302" s="249"/>
      <c r="CU302" s="249"/>
      <c r="CV302" s="249"/>
      <c r="CW302" s="249"/>
      <c r="CX302" s="249"/>
      <c r="CY302" s="249"/>
      <c r="CZ302" s="249"/>
      <c r="DA302" s="249"/>
      <c r="DB302" s="249"/>
      <c r="DC302" s="249"/>
      <c r="DD302" s="249"/>
      <c r="DE302" s="249"/>
      <c r="DF302" s="249"/>
      <c r="DG302" s="249"/>
      <c r="DH302" s="249"/>
      <c r="DI302" s="249"/>
      <c r="DJ302" s="249"/>
      <c r="DK302" s="249"/>
      <c r="DL302" s="249"/>
      <c r="DM302" s="249"/>
      <c r="DN302" s="249"/>
      <c r="DO302" s="249"/>
      <c r="DP302" s="249"/>
      <c r="DQ302" s="249"/>
      <c r="DR302" s="249"/>
      <c r="DS302" s="249"/>
      <c r="DT302" s="249"/>
      <c r="DU302" s="249"/>
      <c r="DV302" s="249"/>
      <c r="DW302" s="249"/>
      <c r="DX302" s="249"/>
      <c r="DY302" s="249"/>
      <c r="DZ302" s="249"/>
      <c r="EA302" s="249"/>
      <c r="EB302" s="249"/>
      <c r="EC302" s="249"/>
      <c r="ED302" s="249"/>
      <c r="EE302" s="249"/>
      <c r="EF302" s="249"/>
      <c r="EG302" s="249"/>
      <c r="EH302" s="249"/>
      <c r="EI302" s="249"/>
      <c r="EJ302" s="249"/>
      <c r="EK302" s="249"/>
      <c r="EL302" s="249"/>
      <c r="EM302" s="249"/>
      <c r="EN302" s="249"/>
      <c r="EO302" s="249"/>
      <c r="EP302" s="249"/>
      <c r="EQ302" s="249"/>
      <c r="ER302" s="249"/>
      <c r="ES302" s="249"/>
      <c r="ET302" s="249"/>
      <c r="EU302" s="249"/>
      <c r="EV302" s="249"/>
      <c r="EW302" s="249"/>
      <c r="EX302" s="249"/>
      <c r="EY302" s="249"/>
      <c r="EZ302" s="249"/>
      <c r="FA302" s="249"/>
      <c r="FB302" s="249"/>
      <c r="FC302" s="249"/>
      <c r="FD302" s="249"/>
      <c r="FE302" s="249"/>
      <c r="FF302" s="249"/>
      <c r="FG302" s="249"/>
      <c r="FH302" s="249"/>
      <c r="FI302" s="249"/>
      <c r="FJ302" s="249"/>
      <c r="FK302" s="249"/>
      <c r="FL302" s="249"/>
      <c r="FM302" s="249"/>
      <c r="FN302" s="249"/>
      <c r="FO302" s="249"/>
      <c r="FP302" s="249"/>
      <c r="FQ302" s="249"/>
      <c r="FR302" s="249"/>
      <c r="FS302" s="249"/>
      <c r="FT302" s="249"/>
      <c r="FU302" s="249"/>
      <c r="FV302" s="249"/>
      <c r="FW302" s="249"/>
      <c r="FX302" s="249"/>
      <c r="FY302" s="249"/>
      <c r="FZ302" s="249"/>
      <c r="GA302" s="249"/>
      <c r="GB302" s="249"/>
      <c r="GC302" s="249"/>
      <c r="GD302" s="249"/>
      <c r="GE302" s="249"/>
      <c r="GF302" s="249"/>
      <c r="GG302" s="249"/>
      <c r="GH302" s="249"/>
      <c r="GI302" s="249"/>
      <c r="GJ302" s="249"/>
      <c r="GK302" s="249"/>
      <c r="GL302" s="249"/>
      <c r="GM302" s="249"/>
      <c r="GN302" s="249"/>
      <c r="GO302" s="249"/>
      <c r="GP302" s="249"/>
      <c r="GQ302" s="249"/>
      <c r="GR302" s="249"/>
    </row>
    <row r="303" spans="1:200" s="252" customFormat="1" ht="12.75" customHeight="1" x14ac:dyDescent="0.2">
      <c r="A303" s="722"/>
      <c r="B303" s="1123"/>
      <c r="C303" s="1123"/>
      <c r="D303" s="525"/>
      <c r="E303" s="599"/>
      <c r="F303" s="249"/>
      <c r="G303" s="250"/>
      <c r="H303" s="250"/>
      <c r="I303" s="250"/>
      <c r="J303" s="250"/>
      <c r="K303" s="250"/>
      <c r="L303" s="250"/>
      <c r="M303" s="250"/>
      <c r="N303" s="250"/>
      <c r="O303" s="250"/>
      <c r="P303" s="251"/>
      <c r="Q303" s="251"/>
      <c r="R303" s="251"/>
      <c r="S303" s="251"/>
      <c r="T303" s="251"/>
      <c r="U303" s="287" t="str">
        <f t="shared" si="75"/>
        <v>Yes</v>
      </c>
      <c r="V303" s="1971" t="str">
        <f>IF(U303="Yes",'Casings et al'!C27,'Casings et al'!I27)</f>
        <v>Thread Locking Compound * Baker Lock</v>
      </c>
      <c r="W303" s="286" t="s">
        <v>163</v>
      </c>
      <c r="X303" s="243"/>
      <c r="Y303" s="243"/>
      <c r="Z303" s="243">
        <f>IFERROR((VLOOKUP($V303,IF((INPUT!$D$7="Big Hole"),BHCSG,RHCSG),3,FALSE)*IF((VLOOKUP($V303,IF((INPUT!$D$7="Big Hole"),BHCSG,RHCSG),2,FALSE)=Z$278),1,0)),0)</f>
        <v>0</v>
      </c>
      <c r="AA303" s="243"/>
      <c r="AB303" s="243">
        <f>IFERROR((VLOOKUP($V303,IF((INPUT!$D$7="Big Hole"),BHCSG,RHCSG),3,FALSE)*IF((VLOOKUP(V303,IF((INPUT!$D$7="Big Hole"),BHCSG,RHCSG),2,FALSE)=AB$278),1,0)),0)</f>
        <v>0</v>
      </c>
      <c r="AC303" s="243"/>
      <c r="AD303" s="2103">
        <f>IF($U303="Yes",'Casings et al'!$E27,'Casings et al'!$K27)</f>
        <v>5</v>
      </c>
      <c r="AE303" s="243"/>
      <c r="AF303" s="243">
        <f>IFERROR((VLOOKUP($V303,IF((INPUT!$D$7="Big Hole"),BHCSG,RHCSG),3,FALSE)*IF((VLOOKUP($V303,IF((INPUT!$D$7="Big Hole"),BHCSG,RHCSG),2,FALSE)=AF$278),1,0)),0)</f>
        <v>0</v>
      </c>
      <c r="AG303" s="243"/>
      <c r="AH303" s="243">
        <f>IFERROR((VLOOKUP($V303,IF((INPUT!$D$7="Big Hole"),BHCSG,RHCSG),3,FALSE)*IF((VLOOKUP($V303,IF((INPUT!$D$7="Big Hole"),BHCSG,RHCSG),2,FALSE)=AH$278),1,0)),0)</f>
        <v>0</v>
      </c>
      <c r="AI303" s="243"/>
      <c r="AJ303" s="243"/>
      <c r="AK303" s="243"/>
      <c r="AL303" s="243"/>
      <c r="AM303" s="475"/>
      <c r="AN303" s="254"/>
      <c r="AO303" s="249"/>
      <c r="AP303" s="250"/>
      <c r="AQ303" s="250"/>
      <c r="AR303" s="250"/>
      <c r="AS303" s="250"/>
      <c r="AT303" s="250"/>
      <c r="AU303" s="250"/>
      <c r="AV303" s="249"/>
      <c r="AW303" s="249"/>
      <c r="AX303" s="249"/>
      <c r="AY303" s="249"/>
      <c r="AZ303" s="249"/>
      <c r="BA303" s="249"/>
      <c r="BB303" s="249"/>
      <c r="BC303" s="249"/>
      <c r="BD303" s="249"/>
      <c r="BE303" s="249"/>
      <c r="BF303" s="249"/>
      <c r="BG303" s="249"/>
      <c r="BH303" s="249"/>
      <c r="BI303" s="249"/>
      <c r="BJ303" s="249"/>
      <c r="BK303" s="249"/>
      <c r="BL303" s="249"/>
      <c r="BM303" s="249"/>
      <c r="BN303" s="249"/>
      <c r="BO303" s="249"/>
      <c r="BP303" s="249"/>
      <c r="BQ303" s="249"/>
      <c r="BR303" s="249"/>
      <c r="BS303" s="249"/>
      <c r="BT303" s="249"/>
      <c r="BU303" s="249"/>
      <c r="BV303" s="249"/>
      <c r="BW303" s="249"/>
      <c r="BX303" s="249"/>
      <c r="BY303" s="249"/>
      <c r="BZ303" s="249"/>
      <c r="CA303" s="249"/>
      <c r="CB303" s="249"/>
      <c r="CC303" s="249"/>
      <c r="CD303" s="249"/>
      <c r="CE303" s="249"/>
      <c r="CF303" s="249"/>
      <c r="CG303" s="249"/>
      <c r="CH303" s="249"/>
      <c r="CI303" s="249"/>
      <c r="CJ303" s="249"/>
      <c r="CK303" s="249"/>
      <c r="CL303" s="249"/>
      <c r="CM303" s="249"/>
      <c r="CN303" s="249"/>
      <c r="CO303" s="249"/>
      <c r="CP303" s="249"/>
      <c r="CQ303" s="249"/>
      <c r="CR303" s="249"/>
      <c r="CS303" s="249"/>
      <c r="CT303" s="249"/>
      <c r="CU303" s="249"/>
      <c r="CV303" s="249"/>
      <c r="CW303" s="249"/>
      <c r="CX303" s="249"/>
      <c r="CY303" s="249"/>
      <c r="CZ303" s="249"/>
      <c r="DA303" s="249"/>
      <c r="DB303" s="249"/>
      <c r="DC303" s="249"/>
      <c r="DD303" s="249"/>
      <c r="DE303" s="249"/>
      <c r="DF303" s="249"/>
      <c r="DG303" s="249"/>
      <c r="DH303" s="249"/>
      <c r="DI303" s="249"/>
      <c r="DJ303" s="249"/>
      <c r="DK303" s="249"/>
      <c r="DL303" s="249"/>
      <c r="DM303" s="249"/>
      <c r="DN303" s="249"/>
      <c r="DO303" s="249"/>
      <c r="DP303" s="249"/>
      <c r="DQ303" s="249"/>
      <c r="DR303" s="249"/>
      <c r="DS303" s="249"/>
      <c r="DT303" s="249"/>
      <c r="DU303" s="249"/>
      <c r="DV303" s="249"/>
      <c r="DW303" s="249"/>
      <c r="DX303" s="249"/>
      <c r="DY303" s="249"/>
      <c r="DZ303" s="249"/>
      <c r="EA303" s="249"/>
      <c r="EB303" s="249"/>
      <c r="EC303" s="249"/>
      <c r="ED303" s="249"/>
      <c r="EE303" s="249"/>
      <c r="EF303" s="249"/>
      <c r="EG303" s="249"/>
      <c r="EH303" s="249"/>
      <c r="EI303" s="249"/>
      <c r="EJ303" s="249"/>
      <c r="EK303" s="249"/>
      <c r="EL303" s="249"/>
      <c r="EM303" s="249"/>
      <c r="EN303" s="249"/>
      <c r="EO303" s="249"/>
      <c r="EP303" s="249"/>
      <c r="EQ303" s="249"/>
      <c r="ER303" s="249"/>
      <c r="ES303" s="249"/>
      <c r="ET303" s="249"/>
      <c r="EU303" s="249"/>
      <c r="EV303" s="249"/>
      <c r="EW303" s="249"/>
      <c r="EX303" s="249"/>
      <c r="EY303" s="249"/>
      <c r="EZ303" s="249"/>
      <c r="FA303" s="249"/>
      <c r="FB303" s="249"/>
      <c r="FC303" s="249"/>
      <c r="FD303" s="249"/>
      <c r="FE303" s="249"/>
      <c r="FF303" s="249"/>
      <c r="FG303" s="249"/>
      <c r="FH303" s="249"/>
      <c r="FI303" s="249"/>
      <c r="FJ303" s="249"/>
      <c r="FK303" s="249"/>
      <c r="FL303" s="249"/>
      <c r="FM303" s="249"/>
      <c r="FN303" s="249"/>
      <c r="FO303" s="249"/>
      <c r="FP303" s="249"/>
      <c r="FQ303" s="249"/>
      <c r="FR303" s="249"/>
      <c r="FS303" s="249"/>
      <c r="FT303" s="249"/>
      <c r="FU303" s="249"/>
      <c r="FV303" s="249"/>
      <c r="FW303" s="249"/>
      <c r="FX303" s="249"/>
      <c r="FY303" s="249"/>
      <c r="FZ303" s="249"/>
      <c r="GA303" s="249"/>
      <c r="GB303" s="249"/>
      <c r="GC303" s="249"/>
      <c r="GD303" s="249"/>
      <c r="GE303" s="249"/>
      <c r="GF303" s="249"/>
      <c r="GG303" s="249"/>
      <c r="GH303" s="249"/>
      <c r="GI303" s="249"/>
      <c r="GJ303" s="249"/>
      <c r="GK303" s="249"/>
      <c r="GL303" s="249"/>
      <c r="GM303" s="249"/>
      <c r="GN303" s="249"/>
      <c r="GO303" s="249"/>
      <c r="GP303" s="249"/>
      <c r="GQ303" s="249"/>
      <c r="GR303" s="249"/>
    </row>
    <row r="304" spans="1:200" s="252" customFormat="1" ht="12.75" customHeight="1" x14ac:dyDescent="0.2">
      <c r="A304" s="722"/>
      <c r="B304" s="1123"/>
      <c r="C304" s="1123"/>
      <c r="D304" s="525"/>
      <c r="E304" s="599"/>
      <c r="F304" s="249"/>
      <c r="G304" s="250"/>
      <c r="H304" s="250"/>
      <c r="I304" s="250"/>
      <c r="J304" s="250"/>
      <c r="K304" s="250"/>
      <c r="L304" s="250"/>
      <c r="M304" s="250"/>
      <c r="N304" s="250"/>
      <c r="O304" s="250"/>
      <c r="P304" s="251"/>
      <c r="Q304" s="251"/>
      <c r="R304" s="251"/>
      <c r="S304" s="251"/>
      <c r="T304" s="251"/>
      <c r="U304" s="287" t="str">
        <f t="shared" si="75"/>
        <v>Yes</v>
      </c>
      <c r="V304" s="1971" t="str">
        <f>IF(U304="Yes",'Casings et al'!C28,'Casings et al'!I28)</f>
        <v>Thread Sealant * Premium Thread Compound</v>
      </c>
      <c r="W304" s="286" t="s">
        <v>169</v>
      </c>
      <c r="X304" s="243"/>
      <c r="Y304" s="243"/>
      <c r="Z304" s="243">
        <f>IFERROR((VLOOKUP($V304,IF((INPUT!$D$7="Big Hole"),BHCSG,RHCSG),3,FALSE)*IF((VLOOKUP($V304,IF((INPUT!$D$7="Big Hole"),BHCSG,RHCSG),2,FALSE)=Z$278),1,0)),0)</f>
        <v>0</v>
      </c>
      <c r="AA304" s="243"/>
      <c r="AB304" s="243">
        <f>IFERROR((VLOOKUP($V304,IF((INPUT!$D$7="Big Hole"),BHCSG,RHCSG),3,FALSE)*IF((VLOOKUP(V304,IF((INPUT!$D$7="Big Hole"),BHCSG,RHCSG),2,FALSE)=AB$278),1,0)),0)</f>
        <v>0</v>
      </c>
      <c r="AC304" s="243"/>
      <c r="AD304" s="2103">
        <f>IF($U304="Yes",'Casings et al'!$E28,'Casings et al'!$K28)</f>
        <v>1</v>
      </c>
      <c r="AE304" s="243"/>
      <c r="AF304" s="243">
        <f>IFERROR((VLOOKUP($V304,IF((INPUT!$D$7="Big Hole"),BHCSG,RHCSG),3,FALSE)*IF((VLOOKUP($V304,IF((INPUT!$D$7="Big Hole"),BHCSG,RHCSG),2,FALSE)=AF$278),1,0)),0)*IF(AB277="No",1,0)</f>
        <v>0</v>
      </c>
      <c r="AG304" s="243"/>
      <c r="AH304" s="243">
        <f>IFERROR((VLOOKUP($V304,IF((INPUT!$D$7="Big Hole"),BHCSG,RHCSG),3,FALSE)*IF((VLOOKUP($V304,IF((INPUT!$D$7="Big Hole"),BHCSG,RHCSG),2,FALSE)=AH$278),1,0)),0)</f>
        <v>0</v>
      </c>
      <c r="AI304" s="243"/>
      <c r="AJ304" s="243">
        <f>IFERROR((VLOOKUP($V304,IF((INPUT!$D$7="Big Hole"),BHCSG,RHCSG),3,FALSE)*IF((VLOOKUP($V304,IF((INPUT!$D$7="Big Hole"),BHCSG,RHCSG),2,FALSE)=AJ$278),1,0)),0)</f>
        <v>0</v>
      </c>
      <c r="AK304" s="243">
        <f>IFERROR((VLOOKUP($V304,IF((INPUT!$D$7="Big Hole"),BHCSG,RHCSG),3,FALSE)*IF((VLOOKUP($V304,IF((INPUT!$D$7="Big Hole"),BHCSG,RHCSG),2,FALSE)=AK$278),1,0)),0)</f>
        <v>0</v>
      </c>
      <c r="AL304" s="243"/>
      <c r="AM304" s="475">
        <f t="shared" si="76"/>
        <v>1</v>
      </c>
      <c r="AN304" s="254"/>
      <c r="AO304" s="249"/>
      <c r="AP304" s="250"/>
      <c r="AQ304" s="250"/>
      <c r="AR304" s="250"/>
      <c r="AS304" s="250"/>
      <c r="AT304" s="250"/>
      <c r="AU304" s="250"/>
      <c r="AV304" s="249"/>
      <c r="AW304" s="249"/>
      <c r="AX304" s="249"/>
      <c r="AY304" s="249"/>
      <c r="AZ304" s="249"/>
      <c r="BA304" s="249"/>
      <c r="BB304" s="249"/>
      <c r="BC304" s="249"/>
      <c r="BD304" s="249"/>
      <c r="BE304" s="249"/>
      <c r="BF304" s="249"/>
      <c r="BG304" s="249"/>
      <c r="BH304" s="249"/>
      <c r="BI304" s="249"/>
      <c r="BJ304" s="249"/>
      <c r="BK304" s="249"/>
      <c r="BL304" s="249"/>
      <c r="BM304" s="249"/>
      <c r="BN304" s="249"/>
      <c r="BO304" s="249"/>
      <c r="BP304" s="249"/>
      <c r="BQ304" s="249"/>
      <c r="BR304" s="249"/>
      <c r="BS304" s="249"/>
      <c r="BT304" s="249"/>
      <c r="BU304" s="249"/>
      <c r="BV304" s="249"/>
      <c r="BW304" s="249"/>
      <c r="BX304" s="249"/>
      <c r="BY304" s="249"/>
      <c r="BZ304" s="249"/>
      <c r="CA304" s="249"/>
      <c r="CB304" s="249"/>
      <c r="CC304" s="249"/>
      <c r="CD304" s="249"/>
      <c r="CE304" s="249"/>
      <c r="CF304" s="249"/>
      <c r="CG304" s="249"/>
      <c r="CH304" s="249"/>
      <c r="CI304" s="249"/>
      <c r="CJ304" s="249"/>
      <c r="CK304" s="249"/>
      <c r="CL304" s="249"/>
      <c r="CM304" s="249"/>
      <c r="CN304" s="249"/>
      <c r="CO304" s="249"/>
      <c r="CP304" s="249"/>
      <c r="CQ304" s="249"/>
      <c r="CR304" s="249"/>
      <c r="CS304" s="249"/>
      <c r="CT304" s="249"/>
      <c r="CU304" s="249"/>
      <c r="CV304" s="249"/>
      <c r="CW304" s="249"/>
      <c r="CX304" s="249"/>
      <c r="CY304" s="249"/>
      <c r="CZ304" s="249"/>
      <c r="DA304" s="249"/>
      <c r="DB304" s="249"/>
      <c r="DC304" s="249"/>
      <c r="DD304" s="249"/>
      <c r="DE304" s="249"/>
      <c r="DF304" s="249"/>
      <c r="DG304" s="249"/>
      <c r="DH304" s="249"/>
      <c r="DI304" s="249"/>
      <c r="DJ304" s="249"/>
      <c r="DK304" s="249"/>
      <c r="DL304" s="249"/>
      <c r="DM304" s="249"/>
      <c r="DN304" s="249"/>
      <c r="DO304" s="249"/>
      <c r="DP304" s="249"/>
      <c r="DQ304" s="249"/>
      <c r="DR304" s="249"/>
      <c r="DS304" s="249"/>
      <c r="DT304" s="249"/>
      <c r="DU304" s="249"/>
      <c r="DV304" s="249"/>
      <c r="DW304" s="249"/>
      <c r="DX304" s="249"/>
      <c r="DY304" s="249"/>
      <c r="DZ304" s="249"/>
      <c r="EA304" s="249"/>
      <c r="EB304" s="249"/>
      <c r="EC304" s="249"/>
      <c r="ED304" s="249"/>
      <c r="EE304" s="249"/>
      <c r="EF304" s="249"/>
      <c r="EG304" s="249"/>
      <c r="EH304" s="249"/>
      <c r="EI304" s="249"/>
      <c r="EJ304" s="249"/>
      <c r="EK304" s="249"/>
      <c r="EL304" s="249"/>
      <c r="EM304" s="249"/>
      <c r="EN304" s="249"/>
      <c r="EO304" s="249"/>
      <c r="EP304" s="249"/>
      <c r="EQ304" s="249"/>
      <c r="ER304" s="249"/>
      <c r="ES304" s="249"/>
      <c r="ET304" s="249"/>
      <c r="EU304" s="249"/>
      <c r="EV304" s="249"/>
      <c r="EW304" s="249"/>
      <c r="EX304" s="249"/>
      <c r="EY304" s="249"/>
      <c r="EZ304" s="249"/>
      <c r="FA304" s="249"/>
      <c r="FB304" s="249"/>
      <c r="FC304" s="249"/>
      <c r="FD304" s="249"/>
      <c r="FE304" s="249"/>
      <c r="FF304" s="249"/>
      <c r="FG304" s="249"/>
      <c r="FH304" s="249"/>
      <c r="FI304" s="249"/>
      <c r="FJ304" s="249"/>
      <c r="FK304" s="249"/>
      <c r="FL304" s="249"/>
      <c r="FM304" s="249"/>
      <c r="FN304" s="249"/>
      <c r="FO304" s="249"/>
      <c r="FP304" s="249"/>
      <c r="FQ304" s="249"/>
      <c r="FR304" s="249"/>
      <c r="FS304" s="249"/>
      <c r="FT304" s="249"/>
      <c r="FU304" s="249"/>
      <c r="FV304" s="249"/>
      <c r="FW304" s="249"/>
      <c r="FX304" s="249"/>
      <c r="FY304" s="249"/>
      <c r="FZ304" s="249"/>
      <c r="GA304" s="249"/>
      <c r="GB304" s="249"/>
      <c r="GC304" s="249"/>
      <c r="GD304" s="249"/>
      <c r="GE304" s="249"/>
      <c r="GF304" s="249"/>
      <c r="GG304" s="249"/>
      <c r="GH304" s="249"/>
      <c r="GI304" s="249"/>
      <c r="GJ304" s="249"/>
      <c r="GK304" s="249"/>
      <c r="GL304" s="249"/>
      <c r="GM304" s="249"/>
      <c r="GN304" s="249"/>
      <c r="GO304" s="249"/>
      <c r="GP304" s="249"/>
      <c r="GQ304" s="249"/>
      <c r="GR304" s="249"/>
    </row>
    <row r="305" spans="1:200" s="252" customFormat="1" ht="12.75" customHeight="1" x14ac:dyDescent="0.2">
      <c r="A305" s="722"/>
      <c r="B305" s="1123"/>
      <c r="C305" s="1123"/>
      <c r="D305" s="525"/>
      <c r="E305" s="599"/>
      <c r="F305" s="249"/>
      <c r="G305" s="250"/>
      <c r="H305" s="250"/>
      <c r="I305" s="250"/>
      <c r="J305" s="250"/>
      <c r="K305" s="250"/>
      <c r="L305" s="250"/>
      <c r="M305" s="250"/>
      <c r="N305" s="250"/>
      <c r="O305" s="250"/>
      <c r="P305" s="251"/>
      <c r="Q305" s="251"/>
      <c r="R305" s="251"/>
      <c r="S305" s="251"/>
      <c r="T305" s="251"/>
      <c r="U305" s="287" t="str">
        <f t="shared" si="75"/>
        <v>Yes</v>
      </c>
      <c r="V305" s="1971" t="str">
        <f>IF(U305="Yes",'Casings et al'!C29,'Casings et al'!I29)</f>
        <v>10-3/4" OD Casing; 40.5 PPF, K55, PERFORATED</v>
      </c>
      <c r="W305" s="286" t="s">
        <v>163</v>
      </c>
      <c r="X305" s="243"/>
      <c r="Y305" s="243"/>
      <c r="Z305" s="243">
        <f>IFERROR((VLOOKUP($V305,IF((INPUT!$D$7="Big Hole"),BHCSG,RHCSG),3,FALSE)*IF((VLOOKUP($V305,IF((INPUT!$D$7="Big Hole"),BHCSG,RHCSG),2,FALSE)=Z$278),1,0)),0)</f>
        <v>0</v>
      </c>
      <c r="AA305" s="243"/>
      <c r="AB305" s="243">
        <f>IFERROR((VLOOKUP($V305,IF((INPUT!$D$7="Big Hole"),BHCSG,RHCSG),3,FALSE)*IF((VLOOKUP(V305,IF((INPUT!$D$7="Big Hole"),BHCSG,RHCSG),2,FALSE)=AB$278),1,0)),0)</f>
        <v>0</v>
      </c>
      <c r="AC305" s="243"/>
      <c r="AD305" s="243">
        <f>IFERROR((VLOOKUP($V305,IF((INPUT!$D$7="Big Hole"),BHCSG,RHCSG),3,FALSE)*IF((VLOOKUP($V305,IF((INPUT!$D$7="Big Hole"),BHCSG,RHCSG),2,FALSE)=AD$278),1,0)),0)</f>
        <v>0</v>
      </c>
      <c r="AE305" s="243"/>
      <c r="AF305" s="2103">
        <f>IF($U305="Yes",'Casings et al'!$E29,'Casings et al'!$K29)</f>
        <v>59</v>
      </c>
      <c r="AG305" s="243"/>
      <c r="AH305" s="243">
        <f>IFERROR((VLOOKUP($V305,IF((INPUT!$D$7="Big Hole"),BHCSG,RHCSG),3,FALSE)*IF((VLOOKUP($V305,IF((INPUT!$D$7="Big Hole"),BHCSG,RHCSG),2,FALSE)=AH$278),1,0)),0)</f>
        <v>0</v>
      </c>
      <c r="AI305" s="243"/>
      <c r="AJ305" s="243">
        <f>IFERROR((VLOOKUP($V305,IF((INPUT!$D$7="Big Hole"),BHCSG,RHCSG),3,FALSE)*IF((VLOOKUP($V305,IF((INPUT!$D$7="Big Hole"),BHCSG,RHCSG),2,FALSE)=AJ$278),1,0)),0)</f>
        <v>0</v>
      </c>
      <c r="AK305" s="243">
        <f>IFERROR((VLOOKUP($V305,IF((INPUT!$D$7="Big Hole"),BHCSG,RHCSG),3,FALSE)*IF((VLOOKUP($V305,IF((INPUT!$D$7="Big Hole"),BHCSG,RHCSG),2,FALSE)=AK$278),1,0)),0)</f>
        <v>0</v>
      </c>
      <c r="AL305" s="243"/>
      <c r="AM305" s="475">
        <f t="shared" si="76"/>
        <v>59</v>
      </c>
      <c r="AN305" s="254"/>
      <c r="AO305" s="249"/>
      <c r="AP305" s="250"/>
      <c r="AQ305" s="250"/>
      <c r="AR305" s="250"/>
      <c r="AS305" s="250"/>
      <c r="AT305" s="250"/>
      <c r="AU305" s="250"/>
      <c r="AV305" s="249"/>
      <c r="AW305" s="249"/>
      <c r="AX305" s="249"/>
      <c r="AY305" s="249"/>
      <c r="AZ305" s="249"/>
      <c r="BA305" s="249"/>
      <c r="BB305" s="249"/>
      <c r="BC305" s="249"/>
      <c r="BD305" s="249"/>
      <c r="BE305" s="249"/>
      <c r="BF305" s="249"/>
      <c r="BG305" s="249"/>
      <c r="BH305" s="249"/>
      <c r="BI305" s="249"/>
      <c r="BJ305" s="249"/>
      <c r="BK305" s="249"/>
      <c r="BL305" s="249"/>
      <c r="BM305" s="249"/>
      <c r="BN305" s="249"/>
      <c r="BO305" s="249"/>
      <c r="BP305" s="249"/>
      <c r="BQ305" s="249"/>
      <c r="BR305" s="249"/>
      <c r="BS305" s="249"/>
      <c r="BT305" s="249"/>
      <c r="BU305" s="249"/>
      <c r="BV305" s="249"/>
      <c r="BW305" s="249"/>
      <c r="BX305" s="249"/>
      <c r="BY305" s="249"/>
      <c r="BZ305" s="249"/>
      <c r="CA305" s="249"/>
      <c r="CB305" s="249"/>
      <c r="CC305" s="249"/>
      <c r="CD305" s="249"/>
      <c r="CE305" s="249"/>
      <c r="CF305" s="249"/>
      <c r="CG305" s="249"/>
      <c r="CH305" s="249"/>
      <c r="CI305" s="249"/>
      <c r="CJ305" s="249"/>
      <c r="CK305" s="249"/>
      <c r="CL305" s="249"/>
      <c r="CM305" s="249"/>
      <c r="CN305" s="249"/>
      <c r="CO305" s="249"/>
      <c r="CP305" s="249"/>
      <c r="CQ305" s="249"/>
      <c r="CR305" s="249"/>
      <c r="CS305" s="249"/>
      <c r="CT305" s="249"/>
      <c r="CU305" s="249"/>
      <c r="CV305" s="249"/>
      <c r="CW305" s="249"/>
      <c r="CX305" s="249"/>
      <c r="CY305" s="249"/>
      <c r="CZ305" s="249"/>
      <c r="DA305" s="249"/>
      <c r="DB305" s="249"/>
      <c r="DC305" s="249"/>
      <c r="DD305" s="249"/>
      <c r="DE305" s="249"/>
      <c r="DF305" s="249"/>
      <c r="DG305" s="249"/>
      <c r="DH305" s="249"/>
      <c r="DI305" s="249"/>
      <c r="DJ305" s="249"/>
      <c r="DK305" s="249"/>
      <c r="DL305" s="249"/>
      <c r="DM305" s="249"/>
      <c r="DN305" s="249"/>
      <c r="DO305" s="249"/>
      <c r="DP305" s="249"/>
      <c r="DQ305" s="249"/>
      <c r="DR305" s="249"/>
      <c r="DS305" s="249"/>
      <c r="DT305" s="249"/>
      <c r="DU305" s="249"/>
      <c r="DV305" s="249"/>
      <c r="DW305" s="249"/>
      <c r="DX305" s="249"/>
      <c r="DY305" s="249"/>
      <c r="DZ305" s="249"/>
      <c r="EA305" s="249"/>
      <c r="EB305" s="249"/>
      <c r="EC305" s="249"/>
      <c r="ED305" s="249"/>
      <c r="EE305" s="249"/>
      <c r="EF305" s="249"/>
      <c r="EG305" s="249"/>
      <c r="EH305" s="249"/>
      <c r="EI305" s="249"/>
      <c r="EJ305" s="249"/>
      <c r="EK305" s="249"/>
      <c r="EL305" s="249"/>
      <c r="EM305" s="249"/>
      <c r="EN305" s="249"/>
      <c r="EO305" s="249"/>
      <c r="EP305" s="249"/>
      <c r="EQ305" s="249"/>
      <c r="ER305" s="249"/>
      <c r="ES305" s="249"/>
      <c r="ET305" s="249"/>
      <c r="EU305" s="249"/>
      <c r="EV305" s="249"/>
      <c r="EW305" s="249"/>
      <c r="EX305" s="249"/>
      <c r="EY305" s="249"/>
      <c r="EZ305" s="249"/>
      <c r="FA305" s="249"/>
      <c r="FB305" s="249"/>
      <c r="FC305" s="249"/>
      <c r="FD305" s="249"/>
      <c r="FE305" s="249"/>
      <c r="FF305" s="249"/>
      <c r="FG305" s="249"/>
      <c r="FH305" s="249"/>
      <c r="FI305" s="249"/>
      <c r="FJ305" s="249"/>
      <c r="FK305" s="249"/>
      <c r="FL305" s="249"/>
      <c r="FM305" s="249"/>
      <c r="FN305" s="249"/>
      <c r="FO305" s="249"/>
      <c r="FP305" s="249"/>
      <c r="FQ305" s="249"/>
      <c r="FR305" s="249"/>
      <c r="FS305" s="249"/>
      <c r="FT305" s="249"/>
      <c r="FU305" s="249"/>
      <c r="FV305" s="249"/>
      <c r="FW305" s="249"/>
      <c r="FX305" s="249"/>
      <c r="FY305" s="249"/>
      <c r="FZ305" s="249"/>
      <c r="GA305" s="249"/>
      <c r="GB305" s="249"/>
      <c r="GC305" s="249"/>
      <c r="GD305" s="249"/>
      <c r="GE305" s="249"/>
      <c r="GF305" s="249"/>
      <c r="GG305" s="249"/>
      <c r="GH305" s="249"/>
      <c r="GI305" s="249"/>
      <c r="GJ305" s="249"/>
      <c r="GK305" s="249"/>
      <c r="GL305" s="249"/>
      <c r="GM305" s="249"/>
      <c r="GN305" s="249"/>
      <c r="GO305" s="249"/>
      <c r="GP305" s="249"/>
      <c r="GQ305" s="249"/>
      <c r="GR305" s="249"/>
    </row>
    <row r="306" spans="1:200" s="252" customFormat="1" ht="12.75" customHeight="1" x14ac:dyDescent="0.2">
      <c r="A306" s="722"/>
      <c r="B306" s="1123"/>
      <c r="C306" s="1123"/>
      <c r="D306" s="525"/>
      <c r="E306" s="599"/>
      <c r="F306" s="249"/>
      <c r="G306" s="250"/>
      <c r="H306" s="250"/>
      <c r="I306" s="250"/>
      <c r="J306" s="250"/>
      <c r="K306" s="250"/>
      <c r="L306" s="250"/>
      <c r="M306" s="250"/>
      <c r="N306" s="250"/>
      <c r="O306" s="250"/>
      <c r="P306" s="251"/>
      <c r="Q306" s="251"/>
      <c r="R306" s="251"/>
      <c r="S306" s="251"/>
      <c r="T306" s="251"/>
      <c r="U306" s="287" t="str">
        <f t="shared" si="75"/>
        <v>Yes</v>
      </c>
      <c r="V306" s="1971" t="str">
        <f>IF(U306="Yes",'Casings et al'!C30,'Casings et al'!I30)</f>
        <v>10-3/4" OD Casing; 40.5 PPF, K55, BLANK</v>
      </c>
      <c r="W306" s="286" t="s">
        <v>163</v>
      </c>
      <c r="X306" s="243"/>
      <c r="Y306" s="243"/>
      <c r="Z306" s="243">
        <f>IFERROR((VLOOKUP($V306,IF((INPUT!$D$7="Big Hole"),BHCSG,RHCSG),3,FALSE)*IF((VLOOKUP($V306,IF((INPUT!$D$7="Big Hole"),BHCSG,RHCSG),2,FALSE)=Z$278),1,0)),0)</f>
        <v>0</v>
      </c>
      <c r="AA306" s="243"/>
      <c r="AB306" s="243">
        <f>IFERROR((VLOOKUP($V306,IF((INPUT!$D$7="Big Hole"),BHCSG,RHCSG),3,FALSE)*IF((VLOOKUP(V306,IF((INPUT!$D$7="Big Hole"),BHCSG,RHCSG),2,FALSE)=AB$278),1,0)),0)</f>
        <v>0</v>
      </c>
      <c r="AC306" s="243"/>
      <c r="AD306" s="243">
        <f>IFERROR((VLOOKUP($V306,IF((INPUT!$D$7="Big Hole"),BHCSG,RHCSG),3,FALSE)*IF((VLOOKUP($V306,IF((INPUT!$D$7="Big Hole"),BHCSG,RHCSG),2,FALSE)=AD$278),1,0)),0)</f>
        <v>0</v>
      </c>
      <c r="AE306" s="243"/>
      <c r="AF306" s="2103">
        <f>IF($U306="Yes",'Casings et al'!$E30,'Casings et al'!$K30)</f>
        <v>3</v>
      </c>
      <c r="AG306" s="243"/>
      <c r="AH306" s="243">
        <f>IFERROR((VLOOKUP($V306,IF((INPUT!$D$7="Big Hole"),BHCSG,RHCSG),3,FALSE)*IF((VLOOKUP($V306,IF((INPUT!$D$7="Big Hole"),BHCSG,RHCSG),2,FALSE)=AH$278),1,0)),0)</f>
        <v>0</v>
      </c>
      <c r="AI306" s="243"/>
      <c r="AJ306" s="243">
        <f>IFERROR((VLOOKUP($V306,IF((INPUT!$D$7="Big Hole"),BHCSG,RHCSG),3,FALSE)*IF((VLOOKUP($V306,IF((INPUT!$D$7="Big Hole"),BHCSG,RHCSG),2,FALSE)=AJ$278),1,0)),0)</f>
        <v>0</v>
      </c>
      <c r="AK306" s="243">
        <f>IFERROR((VLOOKUP($V306,IF((INPUT!$D$7="Big Hole"),BHCSG,RHCSG),3,FALSE)*IF((VLOOKUP($V306,IF((INPUT!$D$7="Big Hole"),BHCSG,RHCSG),2,FALSE)=AK$278),1,0)),0)</f>
        <v>0</v>
      </c>
      <c r="AL306" s="243"/>
      <c r="AM306" s="475">
        <f t="shared" si="76"/>
        <v>3</v>
      </c>
      <c r="AN306" s="254"/>
      <c r="AO306" s="249"/>
      <c r="AP306" s="250"/>
      <c r="AQ306" s="250"/>
      <c r="AR306" s="250"/>
      <c r="AS306" s="250"/>
      <c r="AT306" s="250"/>
      <c r="AU306" s="250"/>
      <c r="AV306" s="249"/>
      <c r="AW306" s="249"/>
      <c r="AX306" s="249"/>
      <c r="AY306" s="249"/>
      <c r="AZ306" s="249"/>
      <c r="BA306" s="249"/>
      <c r="BB306" s="249"/>
      <c r="BC306" s="249"/>
      <c r="BD306" s="249"/>
      <c r="BE306" s="249"/>
      <c r="BF306" s="249"/>
      <c r="BG306" s="249"/>
      <c r="BH306" s="249"/>
      <c r="BI306" s="249"/>
      <c r="BJ306" s="249"/>
      <c r="BK306" s="249"/>
      <c r="BL306" s="249"/>
      <c r="BM306" s="249"/>
      <c r="BN306" s="249"/>
      <c r="BO306" s="249"/>
      <c r="BP306" s="249"/>
      <c r="BQ306" s="249"/>
      <c r="BR306" s="249"/>
      <c r="BS306" s="249"/>
      <c r="BT306" s="249"/>
      <c r="BU306" s="249"/>
      <c r="BV306" s="249"/>
      <c r="BW306" s="249"/>
      <c r="BX306" s="249"/>
      <c r="BY306" s="249"/>
      <c r="BZ306" s="249"/>
      <c r="CA306" s="249"/>
      <c r="CB306" s="249"/>
      <c r="CC306" s="249"/>
      <c r="CD306" s="249"/>
      <c r="CE306" s="249"/>
      <c r="CF306" s="249"/>
      <c r="CG306" s="249"/>
      <c r="CH306" s="249"/>
      <c r="CI306" s="249"/>
      <c r="CJ306" s="249"/>
      <c r="CK306" s="249"/>
      <c r="CL306" s="249"/>
      <c r="CM306" s="249"/>
      <c r="CN306" s="249"/>
      <c r="CO306" s="249"/>
      <c r="CP306" s="249"/>
      <c r="CQ306" s="249"/>
      <c r="CR306" s="249"/>
      <c r="CS306" s="249"/>
      <c r="CT306" s="249"/>
      <c r="CU306" s="249"/>
      <c r="CV306" s="249"/>
      <c r="CW306" s="249"/>
      <c r="CX306" s="249"/>
      <c r="CY306" s="249"/>
      <c r="CZ306" s="249"/>
      <c r="DA306" s="249"/>
      <c r="DB306" s="249"/>
      <c r="DC306" s="249"/>
      <c r="DD306" s="249"/>
      <c r="DE306" s="249"/>
      <c r="DF306" s="249"/>
      <c r="DG306" s="249"/>
      <c r="DH306" s="249"/>
      <c r="DI306" s="249"/>
      <c r="DJ306" s="249"/>
      <c r="DK306" s="249"/>
      <c r="DL306" s="249"/>
      <c r="DM306" s="249"/>
      <c r="DN306" s="249"/>
      <c r="DO306" s="249"/>
      <c r="DP306" s="249"/>
      <c r="DQ306" s="249"/>
      <c r="DR306" s="249"/>
      <c r="DS306" s="249"/>
      <c r="DT306" s="249"/>
      <c r="DU306" s="249"/>
      <c r="DV306" s="249"/>
      <c r="DW306" s="249"/>
      <c r="DX306" s="249"/>
      <c r="DY306" s="249"/>
      <c r="DZ306" s="249"/>
      <c r="EA306" s="249"/>
      <c r="EB306" s="249"/>
      <c r="EC306" s="249"/>
      <c r="ED306" s="249"/>
      <c r="EE306" s="249"/>
      <c r="EF306" s="249"/>
      <c r="EG306" s="249"/>
      <c r="EH306" s="249"/>
      <c r="EI306" s="249"/>
      <c r="EJ306" s="249"/>
      <c r="EK306" s="249"/>
      <c r="EL306" s="249"/>
      <c r="EM306" s="249"/>
      <c r="EN306" s="249"/>
      <c r="EO306" s="249"/>
      <c r="EP306" s="249"/>
      <c r="EQ306" s="249"/>
      <c r="ER306" s="249"/>
      <c r="ES306" s="249"/>
      <c r="ET306" s="249"/>
      <c r="EU306" s="249"/>
      <c r="EV306" s="249"/>
      <c r="EW306" s="249"/>
      <c r="EX306" s="249"/>
      <c r="EY306" s="249"/>
      <c r="EZ306" s="249"/>
      <c r="FA306" s="249"/>
      <c r="FB306" s="249"/>
      <c r="FC306" s="249"/>
      <c r="FD306" s="249"/>
      <c r="FE306" s="249"/>
      <c r="FF306" s="249"/>
      <c r="FG306" s="249"/>
      <c r="FH306" s="249"/>
      <c r="FI306" s="249"/>
      <c r="FJ306" s="249"/>
      <c r="FK306" s="249"/>
      <c r="FL306" s="249"/>
      <c r="FM306" s="249"/>
      <c r="FN306" s="249"/>
      <c r="FO306" s="249"/>
      <c r="FP306" s="249"/>
      <c r="FQ306" s="249"/>
      <c r="FR306" s="249"/>
      <c r="FS306" s="249"/>
      <c r="FT306" s="249"/>
      <c r="FU306" s="249"/>
      <c r="FV306" s="249"/>
      <c r="FW306" s="249"/>
      <c r="FX306" s="249"/>
      <c r="FY306" s="249"/>
      <c r="FZ306" s="249"/>
      <c r="GA306" s="249"/>
      <c r="GB306" s="249"/>
      <c r="GC306" s="249"/>
      <c r="GD306" s="249"/>
      <c r="GE306" s="249"/>
      <c r="GF306" s="249"/>
      <c r="GG306" s="249"/>
      <c r="GH306" s="249"/>
      <c r="GI306" s="249"/>
      <c r="GJ306" s="249"/>
      <c r="GK306" s="249"/>
      <c r="GL306" s="249"/>
      <c r="GM306" s="249"/>
      <c r="GN306" s="249"/>
      <c r="GO306" s="249"/>
      <c r="GP306" s="249"/>
      <c r="GQ306" s="249"/>
      <c r="GR306" s="249"/>
    </row>
    <row r="307" spans="1:200" s="252" customFormat="1" ht="12.75" customHeight="1" x14ac:dyDescent="0.2">
      <c r="A307" s="722"/>
      <c r="B307" s="1123"/>
      <c r="C307" s="1123"/>
      <c r="D307" s="525"/>
      <c r="E307" s="599"/>
      <c r="F307" s="249"/>
      <c r="G307" s="250"/>
      <c r="H307" s="250"/>
      <c r="I307" s="250"/>
      <c r="J307" s="250"/>
      <c r="K307" s="250"/>
      <c r="L307" s="250"/>
      <c r="M307" s="250"/>
      <c r="N307" s="250"/>
      <c r="O307" s="250"/>
      <c r="P307" s="251"/>
      <c r="Q307" s="251"/>
      <c r="R307" s="251"/>
      <c r="S307" s="251"/>
      <c r="T307" s="251"/>
      <c r="U307" s="287" t="str">
        <f t="shared" si="75"/>
        <v>Yes</v>
      </c>
      <c r="V307" s="1971" t="str">
        <f>IF(U307="Yes",'Casings et al'!C31,'Casings et al'!I31)</f>
        <v>10-3/4" Guide Shoe, BTC</v>
      </c>
      <c r="W307" s="286" t="s">
        <v>163</v>
      </c>
      <c r="X307" s="243"/>
      <c r="Y307" s="243"/>
      <c r="Z307" s="243">
        <f>IFERROR((VLOOKUP($V307,IF((INPUT!$D$7="Big Hole"),BHCSG,RHCSG),3,FALSE)*IF((VLOOKUP($V307,IF((INPUT!$D$7="Big Hole"),BHCSG,RHCSG),2,FALSE)=Z$278),1,0)),0)</f>
        <v>0</v>
      </c>
      <c r="AA307" s="243"/>
      <c r="AB307" s="243">
        <f>IFERROR((VLOOKUP($V307,IF((INPUT!$D$7="Big Hole"),BHCSG,RHCSG),3,FALSE)*IF((VLOOKUP(V307,IF((INPUT!$D$7="Big Hole"),BHCSG,RHCSG),2,FALSE)=AB$278),1,0)),0)</f>
        <v>0</v>
      </c>
      <c r="AC307" s="243"/>
      <c r="AD307" s="243">
        <f>IFERROR((VLOOKUP($V307,IF((INPUT!$D$7="Big Hole"),BHCSG,RHCSG),3,FALSE)*IF((VLOOKUP($V307,IF((INPUT!$D$7="Big Hole"),BHCSG,RHCSG),2,FALSE)=AD$278),1,0)),0)</f>
        <v>0</v>
      </c>
      <c r="AE307" s="243"/>
      <c r="AF307" s="2103">
        <f>IF($U307="Yes",'Casings et al'!$E31,'Casings et al'!$K31)</f>
        <v>1</v>
      </c>
      <c r="AG307" s="243"/>
      <c r="AH307" s="243">
        <f>IFERROR((VLOOKUP($V307,IF((INPUT!$D$7="Big Hole"),BHCSG,RHCSG),3,FALSE)*IF((VLOOKUP($V307,IF((INPUT!$D$7="Big Hole"),BHCSG,RHCSG),2,FALSE)=AH$278),1,0)),0)</f>
        <v>0</v>
      </c>
      <c r="AI307" s="243"/>
      <c r="AJ307" s="243">
        <f>IFERROR((VLOOKUP($V307,IF((INPUT!$D$7="Big Hole"),BHCSG,RHCSG),3,FALSE)*IF((VLOOKUP($V307,IF((INPUT!$D$7="Big Hole"),BHCSG,RHCSG),2,FALSE)=AJ$278),1,0)),0)</f>
        <v>0</v>
      </c>
      <c r="AK307" s="243">
        <f>IFERROR((VLOOKUP($V307,IF((INPUT!$D$7="Big Hole"),BHCSG,RHCSG),3,FALSE)*IF((VLOOKUP($V307,IF((INPUT!$D$7="Big Hole"),BHCSG,RHCSG),2,FALSE)=AK$278),1,0)),0)</f>
        <v>0</v>
      </c>
      <c r="AL307" s="243"/>
      <c r="AM307" s="475">
        <f t="shared" si="76"/>
        <v>1</v>
      </c>
      <c r="AN307" s="254"/>
      <c r="AO307" s="249"/>
      <c r="AP307" s="250"/>
      <c r="AQ307" s="250"/>
      <c r="AR307" s="250"/>
      <c r="AS307" s="250"/>
      <c r="AT307" s="250"/>
      <c r="AU307" s="250"/>
      <c r="AV307" s="249"/>
      <c r="AW307" s="249"/>
      <c r="AX307" s="249"/>
      <c r="AY307" s="249"/>
      <c r="AZ307" s="249"/>
      <c r="BA307" s="249"/>
      <c r="BB307" s="249"/>
      <c r="BC307" s="249"/>
      <c r="BD307" s="249"/>
      <c r="BE307" s="249"/>
      <c r="BF307" s="249"/>
      <c r="BG307" s="249"/>
      <c r="BH307" s="249"/>
      <c r="BI307" s="249"/>
      <c r="BJ307" s="249"/>
      <c r="BK307" s="249"/>
      <c r="BL307" s="249"/>
      <c r="BM307" s="249"/>
      <c r="BN307" s="249"/>
      <c r="BO307" s="249"/>
      <c r="BP307" s="249"/>
      <c r="BQ307" s="249"/>
      <c r="BR307" s="249"/>
      <c r="BS307" s="249"/>
      <c r="BT307" s="249"/>
      <c r="BU307" s="249"/>
      <c r="BV307" s="249"/>
      <c r="BW307" s="249"/>
      <c r="BX307" s="249"/>
      <c r="BY307" s="249"/>
      <c r="BZ307" s="249"/>
      <c r="CA307" s="249"/>
      <c r="CB307" s="249"/>
      <c r="CC307" s="249"/>
      <c r="CD307" s="249"/>
      <c r="CE307" s="249"/>
      <c r="CF307" s="249"/>
      <c r="CG307" s="249"/>
      <c r="CH307" s="249"/>
      <c r="CI307" s="249"/>
      <c r="CJ307" s="249"/>
      <c r="CK307" s="249"/>
      <c r="CL307" s="249"/>
      <c r="CM307" s="249"/>
      <c r="CN307" s="249"/>
      <c r="CO307" s="249"/>
      <c r="CP307" s="249"/>
      <c r="CQ307" s="249"/>
      <c r="CR307" s="249"/>
      <c r="CS307" s="249"/>
      <c r="CT307" s="249"/>
      <c r="CU307" s="249"/>
      <c r="CV307" s="249"/>
      <c r="CW307" s="249"/>
      <c r="CX307" s="249"/>
      <c r="CY307" s="249"/>
      <c r="CZ307" s="249"/>
      <c r="DA307" s="249"/>
      <c r="DB307" s="249"/>
      <c r="DC307" s="249"/>
      <c r="DD307" s="249"/>
      <c r="DE307" s="249"/>
      <c r="DF307" s="249"/>
      <c r="DG307" s="249"/>
      <c r="DH307" s="249"/>
      <c r="DI307" s="249"/>
      <c r="DJ307" s="249"/>
      <c r="DK307" s="249"/>
      <c r="DL307" s="249"/>
      <c r="DM307" s="249"/>
      <c r="DN307" s="249"/>
      <c r="DO307" s="249"/>
      <c r="DP307" s="249"/>
      <c r="DQ307" s="249"/>
      <c r="DR307" s="249"/>
      <c r="DS307" s="249"/>
      <c r="DT307" s="249"/>
      <c r="DU307" s="249"/>
      <c r="DV307" s="249"/>
      <c r="DW307" s="249"/>
      <c r="DX307" s="249"/>
      <c r="DY307" s="249"/>
      <c r="DZ307" s="249"/>
      <c r="EA307" s="249"/>
      <c r="EB307" s="249"/>
      <c r="EC307" s="249"/>
      <c r="ED307" s="249"/>
      <c r="EE307" s="249"/>
      <c r="EF307" s="249"/>
      <c r="EG307" s="249"/>
      <c r="EH307" s="249"/>
      <c r="EI307" s="249"/>
      <c r="EJ307" s="249"/>
      <c r="EK307" s="249"/>
      <c r="EL307" s="249"/>
      <c r="EM307" s="249"/>
      <c r="EN307" s="249"/>
      <c r="EO307" s="249"/>
      <c r="EP307" s="249"/>
      <c r="EQ307" s="249"/>
      <c r="ER307" s="249"/>
      <c r="ES307" s="249"/>
      <c r="ET307" s="249"/>
      <c r="EU307" s="249"/>
      <c r="EV307" s="249"/>
      <c r="EW307" s="249"/>
      <c r="EX307" s="249"/>
      <c r="EY307" s="249"/>
      <c r="EZ307" s="249"/>
      <c r="FA307" s="249"/>
      <c r="FB307" s="249"/>
      <c r="FC307" s="249"/>
      <c r="FD307" s="249"/>
      <c r="FE307" s="249"/>
      <c r="FF307" s="249"/>
      <c r="FG307" s="249"/>
      <c r="FH307" s="249"/>
      <c r="FI307" s="249"/>
      <c r="FJ307" s="249"/>
      <c r="FK307" s="249"/>
      <c r="FL307" s="249"/>
      <c r="FM307" s="249"/>
      <c r="FN307" s="249"/>
      <c r="FO307" s="249"/>
      <c r="FP307" s="249"/>
      <c r="FQ307" s="249"/>
      <c r="FR307" s="249"/>
      <c r="FS307" s="249"/>
      <c r="FT307" s="249"/>
      <c r="FU307" s="249"/>
      <c r="FV307" s="249"/>
      <c r="FW307" s="249"/>
      <c r="FX307" s="249"/>
      <c r="FY307" s="249"/>
      <c r="FZ307" s="249"/>
      <c r="GA307" s="249"/>
      <c r="GB307" s="249"/>
      <c r="GC307" s="249"/>
      <c r="GD307" s="249"/>
      <c r="GE307" s="249"/>
      <c r="GF307" s="249"/>
      <c r="GG307" s="249"/>
      <c r="GH307" s="249"/>
      <c r="GI307" s="249"/>
      <c r="GJ307" s="249"/>
      <c r="GK307" s="249"/>
      <c r="GL307" s="249"/>
      <c r="GM307" s="249"/>
      <c r="GN307" s="249"/>
      <c r="GO307" s="249"/>
      <c r="GP307" s="249"/>
      <c r="GQ307" s="249"/>
      <c r="GR307" s="249"/>
    </row>
    <row r="308" spans="1:200" s="252" customFormat="1" ht="12.75" customHeight="1" x14ac:dyDescent="0.2">
      <c r="A308" s="722"/>
      <c r="B308" s="1123"/>
      <c r="C308" s="1123"/>
      <c r="D308" s="525"/>
      <c r="E308" s="599"/>
      <c r="F308" s="249"/>
      <c r="G308" s="250"/>
      <c r="H308" s="250"/>
      <c r="I308" s="250"/>
      <c r="J308" s="250"/>
      <c r="K308" s="250"/>
      <c r="L308" s="250"/>
      <c r="M308" s="250"/>
      <c r="N308" s="250"/>
      <c r="O308" s="250"/>
      <c r="P308" s="251"/>
      <c r="Q308" s="251"/>
      <c r="R308" s="251"/>
      <c r="S308" s="251"/>
      <c r="T308" s="251"/>
      <c r="U308" s="287" t="str">
        <f t="shared" si="75"/>
        <v>Yes</v>
      </c>
      <c r="V308" s="1971" t="str">
        <f>IF(U308="Yes",'Casings et al'!C32,'Casings et al'!I32)</f>
        <v>10-3/4" x 13-3/8" Liner Adaptor, Rigger</v>
      </c>
      <c r="W308" s="286" t="s">
        <v>163</v>
      </c>
      <c r="X308" s="243"/>
      <c r="Y308" s="243"/>
      <c r="Z308" s="243">
        <f>IFERROR((VLOOKUP($V308,IF((INPUT!$D$7="Big Hole"),BHCSG,RHCSG),3,FALSE)*IF((VLOOKUP($V308,IF((INPUT!$D$7="Big Hole"),BHCSG,RHCSG),2,FALSE)=Z$278),1,0)),0)</f>
        <v>0</v>
      </c>
      <c r="AA308" s="243"/>
      <c r="AB308" s="243">
        <f>IFERROR((VLOOKUP($V308,IF((INPUT!$D$7="Big Hole"),BHCSG,RHCSG),3,FALSE)*IF((VLOOKUP(V308,IF((INPUT!$D$7="Big Hole"),BHCSG,RHCSG),2,FALSE)=AB$278),1,0)),0)</f>
        <v>0</v>
      </c>
      <c r="AC308" s="243"/>
      <c r="AD308" s="243">
        <f>IFERROR((VLOOKUP($V308,IF((INPUT!$D$7="Big Hole"),BHCSG,RHCSG),3,FALSE)*IF((VLOOKUP($V308,IF((INPUT!$D$7="Big Hole"),BHCSG,RHCSG),2,FALSE)=AD$278),1,0)),0)</f>
        <v>0</v>
      </c>
      <c r="AE308" s="243"/>
      <c r="AF308" s="2103">
        <f>IF($U308="Yes",'Casings et al'!$E32,'Casings et al'!$K32)</f>
        <v>1</v>
      </c>
      <c r="AG308" s="243"/>
      <c r="AH308" s="243">
        <f>IFERROR((VLOOKUP($V308,IF((INPUT!$D$7="Big Hole"),BHCSG,RHCSG),3,FALSE)*IF((VLOOKUP($V308,IF((INPUT!$D$7="Big Hole"),BHCSG,RHCSG),2,FALSE)=AH$278),1,0)),0)</f>
        <v>0</v>
      </c>
      <c r="AI308" s="243"/>
      <c r="AJ308" s="243">
        <f>IFERROR((VLOOKUP($V308,IF((INPUT!$D$7="Big Hole"),BHCSG,RHCSG),3,FALSE)*IF((VLOOKUP($V308,IF((INPUT!$D$7="Big Hole"),BHCSG,RHCSG),2,FALSE)=AJ$278),1,0)),0)</f>
        <v>0</v>
      </c>
      <c r="AK308" s="243">
        <f>IFERROR((VLOOKUP($V308,IF((INPUT!$D$7="Big Hole"),BHCSG,RHCSG),3,FALSE)*IF((VLOOKUP($V308,IF((INPUT!$D$7="Big Hole"),BHCSG,RHCSG),2,FALSE)=AK$278),1,0)),0)</f>
        <v>0</v>
      </c>
      <c r="AL308" s="243"/>
      <c r="AM308" s="475">
        <f t="shared" si="76"/>
        <v>1</v>
      </c>
      <c r="AN308" s="254"/>
      <c r="AO308" s="249"/>
      <c r="AP308" s="250"/>
      <c r="AQ308" s="250"/>
      <c r="AR308" s="250"/>
      <c r="AS308" s="250"/>
      <c r="AT308" s="250"/>
      <c r="AU308" s="250"/>
      <c r="AV308" s="249"/>
      <c r="AW308" s="249"/>
      <c r="AX308" s="249"/>
      <c r="AY308" s="249"/>
      <c r="AZ308" s="249"/>
      <c r="BA308" s="249"/>
      <c r="BB308" s="249"/>
      <c r="BC308" s="249"/>
      <c r="BD308" s="249"/>
      <c r="BE308" s="249"/>
      <c r="BF308" s="249"/>
      <c r="BG308" s="249"/>
      <c r="BH308" s="249"/>
      <c r="BI308" s="249"/>
      <c r="BJ308" s="249"/>
      <c r="BK308" s="249"/>
      <c r="BL308" s="249"/>
      <c r="BM308" s="249"/>
      <c r="BN308" s="249"/>
      <c r="BO308" s="249"/>
      <c r="BP308" s="249"/>
      <c r="BQ308" s="249"/>
      <c r="BR308" s="249"/>
      <c r="BS308" s="249"/>
      <c r="BT308" s="249"/>
      <c r="BU308" s="249"/>
      <c r="BV308" s="249"/>
      <c r="BW308" s="249"/>
      <c r="BX308" s="249"/>
      <c r="BY308" s="249"/>
      <c r="BZ308" s="249"/>
      <c r="CA308" s="249"/>
      <c r="CB308" s="249"/>
      <c r="CC308" s="249"/>
      <c r="CD308" s="249"/>
      <c r="CE308" s="249"/>
      <c r="CF308" s="249"/>
      <c r="CG308" s="249"/>
      <c r="CH308" s="249"/>
      <c r="CI308" s="249"/>
      <c r="CJ308" s="249"/>
      <c r="CK308" s="249"/>
      <c r="CL308" s="249"/>
      <c r="CM308" s="249"/>
      <c r="CN308" s="249"/>
      <c r="CO308" s="249"/>
      <c r="CP308" s="249"/>
      <c r="CQ308" s="249"/>
      <c r="CR308" s="249"/>
      <c r="CS308" s="249"/>
      <c r="CT308" s="249"/>
      <c r="CU308" s="249"/>
      <c r="CV308" s="249"/>
      <c r="CW308" s="249"/>
      <c r="CX308" s="249"/>
      <c r="CY308" s="249"/>
      <c r="CZ308" s="249"/>
      <c r="DA308" s="249"/>
      <c r="DB308" s="249"/>
      <c r="DC308" s="249"/>
      <c r="DD308" s="249"/>
      <c r="DE308" s="249"/>
      <c r="DF308" s="249"/>
      <c r="DG308" s="249"/>
      <c r="DH308" s="249"/>
      <c r="DI308" s="249"/>
      <c r="DJ308" s="249"/>
      <c r="DK308" s="249"/>
      <c r="DL308" s="249"/>
      <c r="DM308" s="249"/>
      <c r="DN308" s="249"/>
      <c r="DO308" s="249"/>
      <c r="DP308" s="249"/>
      <c r="DQ308" s="249"/>
      <c r="DR308" s="249"/>
      <c r="DS308" s="249"/>
      <c r="DT308" s="249"/>
      <c r="DU308" s="249"/>
      <c r="DV308" s="249"/>
      <c r="DW308" s="249"/>
      <c r="DX308" s="249"/>
      <c r="DY308" s="249"/>
      <c r="DZ308" s="249"/>
      <c r="EA308" s="249"/>
      <c r="EB308" s="249"/>
      <c r="EC308" s="249"/>
      <c r="ED308" s="249"/>
      <c r="EE308" s="249"/>
      <c r="EF308" s="249"/>
      <c r="EG308" s="249"/>
      <c r="EH308" s="249"/>
      <c r="EI308" s="249"/>
      <c r="EJ308" s="249"/>
      <c r="EK308" s="249"/>
      <c r="EL308" s="249"/>
      <c r="EM308" s="249"/>
      <c r="EN308" s="249"/>
      <c r="EO308" s="249"/>
      <c r="EP308" s="249"/>
      <c r="EQ308" s="249"/>
      <c r="ER308" s="249"/>
      <c r="ES308" s="249"/>
      <c r="ET308" s="249"/>
      <c r="EU308" s="249"/>
      <c r="EV308" s="249"/>
      <c r="EW308" s="249"/>
      <c r="EX308" s="249"/>
      <c r="EY308" s="249"/>
      <c r="EZ308" s="249"/>
      <c r="FA308" s="249"/>
      <c r="FB308" s="249"/>
      <c r="FC308" s="249"/>
      <c r="FD308" s="249"/>
      <c r="FE308" s="249"/>
      <c r="FF308" s="249"/>
      <c r="FG308" s="249"/>
      <c r="FH308" s="249"/>
      <c r="FI308" s="249"/>
      <c r="FJ308" s="249"/>
      <c r="FK308" s="249"/>
      <c r="FL308" s="249"/>
      <c r="FM308" s="249"/>
      <c r="FN308" s="249"/>
      <c r="FO308" s="249"/>
      <c r="FP308" s="249"/>
      <c r="FQ308" s="249"/>
      <c r="FR308" s="249"/>
      <c r="FS308" s="249"/>
      <c r="FT308" s="249"/>
      <c r="FU308" s="249"/>
      <c r="FV308" s="249"/>
      <c r="FW308" s="249"/>
      <c r="FX308" s="249"/>
      <c r="FY308" s="249"/>
      <c r="FZ308" s="249"/>
      <c r="GA308" s="249"/>
      <c r="GB308" s="249"/>
      <c r="GC308" s="249"/>
      <c r="GD308" s="249"/>
      <c r="GE308" s="249"/>
      <c r="GF308" s="249"/>
      <c r="GG308" s="249"/>
      <c r="GH308" s="249"/>
      <c r="GI308" s="249"/>
      <c r="GJ308" s="249"/>
      <c r="GK308" s="249"/>
      <c r="GL308" s="249"/>
      <c r="GM308" s="249"/>
      <c r="GN308" s="249"/>
      <c r="GO308" s="249"/>
      <c r="GP308" s="249"/>
      <c r="GQ308" s="249"/>
      <c r="GR308" s="249"/>
    </row>
    <row r="309" spans="1:200" s="252" customFormat="1" ht="12.75" customHeight="1" x14ac:dyDescent="0.2">
      <c r="A309" s="722"/>
      <c r="B309" s="1123"/>
      <c r="C309" s="1123"/>
      <c r="D309" s="525"/>
      <c r="E309" s="599"/>
      <c r="F309" s="249"/>
      <c r="G309" s="250"/>
      <c r="H309" s="250"/>
      <c r="I309" s="250"/>
      <c r="J309" s="250"/>
      <c r="K309" s="250"/>
      <c r="L309" s="250"/>
      <c r="M309" s="250"/>
      <c r="N309" s="250"/>
      <c r="O309" s="250"/>
      <c r="P309" s="251"/>
      <c r="Q309" s="251"/>
      <c r="R309" s="251"/>
      <c r="S309" s="251"/>
      <c r="T309" s="251"/>
      <c r="U309" s="287" t="str">
        <f t="shared" si="75"/>
        <v>Yes</v>
      </c>
      <c r="V309" s="1971" t="str">
        <f>IF(U309="Yes",'Casings et al'!C33,'Casings et al'!I33)</f>
        <v>Corrosion Ring, 4-1/2"IF &amp; 5"X Hole</v>
      </c>
      <c r="W309" s="286" t="s">
        <v>163</v>
      </c>
      <c r="X309" s="243"/>
      <c r="Y309" s="243"/>
      <c r="Z309" s="243">
        <f>IFERROR((VLOOKUP($V309,IF((INPUT!$D$7="Big Hole"),BHCSG,RHCSG),3,FALSE)*IF((VLOOKUP($V309,IF((INPUT!$D$7="Big Hole"),BHCSG,RHCSG),2,FALSE)=Z$278),1,0)),0)</f>
        <v>0</v>
      </c>
      <c r="AA309" s="243"/>
      <c r="AB309" s="243">
        <f>IFERROR((VLOOKUP($V309,IF((INPUT!$D$7="Big Hole"),BHCSG,RHCSG),3,FALSE)*IF((VLOOKUP(V309,IF((INPUT!$D$7="Big Hole"),BHCSG,RHCSG),2,FALSE)=AB$278),1,0)),0)</f>
        <v>0</v>
      </c>
      <c r="AC309" s="243"/>
      <c r="AD309" s="243">
        <f>IFERROR((VLOOKUP($V309,IF((INPUT!$D$7="Big Hole"),BHCSG,RHCSG),3,FALSE)*IF((VLOOKUP($V309,IF((INPUT!$D$7="Big Hole"),BHCSG,RHCSG),2,FALSE)=AD$278),1,0)),0)</f>
        <v>0</v>
      </c>
      <c r="AE309" s="243"/>
      <c r="AF309" s="2103">
        <f>IF($U309="Yes",'Casings et al'!$E33,'Casings et al'!$K33)</f>
        <v>5</v>
      </c>
      <c r="AG309" s="243"/>
      <c r="AH309" s="243">
        <f>IFERROR((VLOOKUP($V309,IF((INPUT!$D$7="Big Hole"),BHCSG,RHCSG),3,FALSE)*IF((VLOOKUP($V309,IF((INPUT!$D$7="Big Hole"),BHCSG,RHCSG),2,FALSE)=AH$278),1,0)),0)</f>
        <v>0</v>
      </c>
      <c r="AI309" s="243"/>
      <c r="AJ309" s="243">
        <f>IFERROR((VLOOKUP($V309,IF((INPUT!$D$7="Big Hole"),BHCSG,RHCSG),3,FALSE)*IF((VLOOKUP($V309,IF((INPUT!$D$7="Big Hole"),BHCSG,RHCSG),2,FALSE)=AJ$278),1,0)),0)</f>
        <v>0</v>
      </c>
      <c r="AK309" s="243">
        <f>IFERROR((VLOOKUP($V309,IF((INPUT!$D$7="Big Hole"),BHCSG,RHCSG),3,FALSE)*IF((VLOOKUP($V309,IF((INPUT!$D$7="Big Hole"),BHCSG,RHCSG),2,FALSE)=AK$278),1,0)),0)</f>
        <v>0</v>
      </c>
      <c r="AL309" s="243"/>
      <c r="AM309" s="475">
        <f t="shared" si="76"/>
        <v>5</v>
      </c>
      <c r="AN309" s="254"/>
      <c r="AO309" s="249"/>
      <c r="AP309" s="250"/>
      <c r="AQ309" s="250"/>
      <c r="AR309" s="250"/>
      <c r="AS309" s="250"/>
      <c r="AT309" s="250"/>
      <c r="AU309" s="250"/>
      <c r="AV309" s="249"/>
      <c r="AW309" s="249"/>
      <c r="AX309" s="249"/>
      <c r="AY309" s="249"/>
      <c r="AZ309" s="249"/>
      <c r="BA309" s="249"/>
      <c r="BB309" s="249"/>
      <c r="BC309" s="249"/>
      <c r="BD309" s="249"/>
      <c r="BE309" s="249"/>
      <c r="BF309" s="249"/>
      <c r="BG309" s="249"/>
      <c r="BH309" s="249"/>
      <c r="BI309" s="249"/>
      <c r="BJ309" s="249"/>
      <c r="BK309" s="249"/>
      <c r="BL309" s="249"/>
      <c r="BM309" s="249"/>
      <c r="BN309" s="249"/>
      <c r="BO309" s="249"/>
      <c r="BP309" s="249"/>
      <c r="BQ309" s="249"/>
      <c r="BR309" s="249"/>
      <c r="BS309" s="249"/>
      <c r="BT309" s="249"/>
      <c r="BU309" s="249"/>
      <c r="BV309" s="249"/>
      <c r="BW309" s="249"/>
      <c r="BX309" s="249"/>
      <c r="BY309" s="249"/>
      <c r="BZ309" s="249"/>
      <c r="CA309" s="249"/>
      <c r="CB309" s="249"/>
      <c r="CC309" s="249"/>
      <c r="CD309" s="249"/>
      <c r="CE309" s="249"/>
      <c r="CF309" s="249"/>
      <c r="CG309" s="249"/>
      <c r="CH309" s="249"/>
      <c r="CI309" s="249"/>
      <c r="CJ309" s="249"/>
      <c r="CK309" s="249"/>
      <c r="CL309" s="249"/>
      <c r="CM309" s="249"/>
      <c r="CN309" s="249"/>
      <c r="CO309" s="249"/>
      <c r="CP309" s="249"/>
      <c r="CQ309" s="249"/>
      <c r="CR309" s="249"/>
      <c r="CS309" s="249"/>
      <c r="CT309" s="249"/>
      <c r="CU309" s="249"/>
      <c r="CV309" s="249"/>
      <c r="CW309" s="249"/>
      <c r="CX309" s="249"/>
      <c r="CY309" s="249"/>
      <c r="CZ309" s="249"/>
      <c r="DA309" s="249"/>
      <c r="DB309" s="249"/>
      <c r="DC309" s="249"/>
      <c r="DD309" s="249"/>
      <c r="DE309" s="249"/>
      <c r="DF309" s="249"/>
      <c r="DG309" s="249"/>
      <c r="DH309" s="249"/>
      <c r="DI309" s="249"/>
      <c r="DJ309" s="249"/>
      <c r="DK309" s="249"/>
      <c r="DL309" s="249"/>
      <c r="DM309" s="249"/>
      <c r="DN309" s="249"/>
      <c r="DO309" s="249"/>
      <c r="DP309" s="249"/>
      <c r="DQ309" s="249"/>
      <c r="DR309" s="249"/>
      <c r="DS309" s="249"/>
      <c r="DT309" s="249"/>
      <c r="DU309" s="249"/>
      <c r="DV309" s="249"/>
      <c r="DW309" s="249"/>
      <c r="DX309" s="249"/>
      <c r="DY309" s="249"/>
      <c r="DZ309" s="249"/>
      <c r="EA309" s="249"/>
      <c r="EB309" s="249"/>
      <c r="EC309" s="249"/>
      <c r="ED309" s="249"/>
      <c r="EE309" s="249"/>
      <c r="EF309" s="249"/>
      <c r="EG309" s="249"/>
      <c r="EH309" s="249"/>
      <c r="EI309" s="249"/>
      <c r="EJ309" s="249"/>
      <c r="EK309" s="249"/>
      <c r="EL309" s="249"/>
      <c r="EM309" s="249"/>
      <c r="EN309" s="249"/>
      <c r="EO309" s="249"/>
      <c r="EP309" s="249"/>
      <c r="EQ309" s="249"/>
      <c r="ER309" s="249"/>
      <c r="ES309" s="249"/>
      <c r="ET309" s="249"/>
      <c r="EU309" s="249"/>
      <c r="EV309" s="249"/>
      <c r="EW309" s="249"/>
      <c r="EX309" s="249"/>
      <c r="EY309" s="249"/>
      <c r="EZ309" s="249"/>
      <c r="FA309" s="249"/>
      <c r="FB309" s="249"/>
      <c r="FC309" s="249"/>
      <c r="FD309" s="249"/>
      <c r="FE309" s="249"/>
      <c r="FF309" s="249"/>
      <c r="FG309" s="249"/>
      <c r="FH309" s="249"/>
      <c r="FI309" s="249"/>
      <c r="FJ309" s="249"/>
      <c r="FK309" s="249"/>
      <c r="FL309" s="249"/>
      <c r="FM309" s="249"/>
      <c r="FN309" s="249"/>
      <c r="FO309" s="249"/>
      <c r="FP309" s="249"/>
      <c r="FQ309" s="249"/>
      <c r="FR309" s="249"/>
      <c r="FS309" s="249"/>
      <c r="FT309" s="249"/>
      <c r="FU309" s="249"/>
      <c r="FV309" s="249"/>
      <c r="FW309" s="249"/>
      <c r="FX309" s="249"/>
      <c r="FY309" s="249"/>
      <c r="FZ309" s="249"/>
      <c r="GA309" s="249"/>
      <c r="GB309" s="249"/>
      <c r="GC309" s="249"/>
      <c r="GD309" s="249"/>
      <c r="GE309" s="249"/>
      <c r="GF309" s="249"/>
      <c r="GG309" s="249"/>
      <c r="GH309" s="249"/>
      <c r="GI309" s="249"/>
      <c r="GJ309" s="249"/>
      <c r="GK309" s="249"/>
      <c r="GL309" s="249"/>
      <c r="GM309" s="249"/>
      <c r="GN309" s="249"/>
      <c r="GO309" s="249"/>
      <c r="GP309" s="249"/>
      <c r="GQ309" s="249"/>
      <c r="GR309" s="249"/>
    </row>
    <row r="310" spans="1:200" s="252" customFormat="1" ht="14.25" customHeight="1" x14ac:dyDescent="0.2">
      <c r="A310" s="722"/>
      <c r="B310" s="1123"/>
      <c r="C310" s="1123"/>
      <c r="D310" s="525"/>
      <c r="E310" s="599"/>
      <c r="F310" s="249"/>
      <c r="G310" s="250"/>
      <c r="H310" s="250"/>
      <c r="I310" s="250"/>
      <c r="J310" s="250"/>
      <c r="K310" s="250"/>
      <c r="L310" s="250"/>
      <c r="M310" s="250"/>
      <c r="N310" s="250"/>
      <c r="O310" s="250"/>
      <c r="P310" s="251"/>
      <c r="Q310" s="251"/>
      <c r="R310" s="251"/>
      <c r="S310" s="251"/>
      <c r="T310" s="251"/>
      <c r="U310" s="287" t="str">
        <f t="shared" si="75"/>
        <v>Yes</v>
      </c>
      <c r="V310" s="1971" t="str">
        <f>IF(U310="Yes",'Casings et al'!C34,'Casings et al'!I34)</f>
        <v>Compound Thread Locking (bakerlock)</v>
      </c>
      <c r="W310" s="286" t="s">
        <v>169</v>
      </c>
      <c r="X310" s="243"/>
      <c r="Y310" s="243"/>
      <c r="Z310" s="243">
        <f>IFERROR((VLOOKUP($V310,IF((INPUT!$D$7="Big Hole"),BHCSG,RHCSG),3,FALSE)*IF((VLOOKUP($V310,IF((INPUT!$D$7="Big Hole"),BHCSG,RHCSG),2,FALSE)=Z$278),1,0)),0)</f>
        <v>0</v>
      </c>
      <c r="AA310" s="243"/>
      <c r="AB310" s="243">
        <f>IFERROR((VLOOKUP($V310,IF((INPUT!$D$7="Big Hole"),BHCSG,RHCSG),3,FALSE)*IF((VLOOKUP(V310,IF((INPUT!$D$7="Big Hole"),BHCSG,RHCSG),2,FALSE)=AB$278),1,0)),0)</f>
        <v>0</v>
      </c>
      <c r="AC310" s="243"/>
      <c r="AD310" s="243">
        <f>IFERROR((VLOOKUP($V310,IF((INPUT!$D$7="Big Hole"),BHCSG,RHCSG),3,FALSE)*IF((VLOOKUP($V310,IF((INPUT!$D$7="Big Hole"),BHCSG,RHCSG),2,FALSE)=AD$278),1,0)),0)</f>
        <v>0</v>
      </c>
      <c r="AE310" s="243"/>
      <c r="AF310" s="2103">
        <f>IF($U310="Yes",'Casings et al'!$E34,'Casings et al'!$K34)</f>
        <v>5</v>
      </c>
      <c r="AG310" s="243"/>
      <c r="AH310" s="243">
        <f>IFERROR((VLOOKUP($V310,IF((INPUT!$D$7="Big Hole"),BHCSG,RHCSG),3,FALSE)*IF((VLOOKUP($V310,IF((INPUT!$D$7="Big Hole"),BHCSG,RHCSG),2,FALSE)=AH$278),1,0)),0)*IF($AB$277="No",1,0)</f>
        <v>0</v>
      </c>
      <c r="AI310" s="243"/>
      <c r="AJ310" s="243">
        <f>IFERROR((VLOOKUP($V310,IF((INPUT!$D$7="Big Hole"),BHCSG,RHCSG),3,FALSE)*IF((VLOOKUP($V310,IF((INPUT!$D$7="Big Hole"),BHCSG,RHCSG),2,FALSE)=AJ$278),1,0)),0)</f>
        <v>0</v>
      </c>
      <c r="AK310" s="243">
        <f>IFERROR((VLOOKUP($V310,IF((INPUT!$D$7="Big Hole"),BHCSG,RHCSG),3,FALSE)*IF((VLOOKUP($V310,IF((INPUT!$D$7="Big Hole"),BHCSG,RHCSG),2,FALSE)=AK$278),1,0)),0)</f>
        <v>0</v>
      </c>
      <c r="AL310" s="243"/>
      <c r="AM310" s="475">
        <f t="shared" si="76"/>
        <v>5</v>
      </c>
      <c r="AN310" s="294"/>
      <c r="AO310" s="249"/>
      <c r="AP310" s="250"/>
      <c r="AQ310" s="250"/>
      <c r="AR310" s="250"/>
      <c r="AS310" s="250"/>
      <c r="AT310" s="250"/>
      <c r="AU310" s="250"/>
      <c r="AV310" s="249"/>
      <c r="AW310" s="249"/>
      <c r="AX310" s="249"/>
      <c r="AY310" s="249"/>
      <c r="AZ310" s="249"/>
      <c r="BA310" s="249"/>
      <c r="BB310" s="249"/>
      <c r="BC310" s="249"/>
      <c r="BD310" s="249"/>
      <c r="BE310" s="249"/>
      <c r="BF310" s="249"/>
      <c r="BG310" s="249"/>
      <c r="BH310" s="249"/>
      <c r="BI310" s="249"/>
      <c r="BJ310" s="249"/>
      <c r="BK310" s="249"/>
      <c r="BL310" s="249"/>
      <c r="BM310" s="249"/>
      <c r="BN310" s="249"/>
      <c r="BO310" s="249"/>
      <c r="BP310" s="249"/>
      <c r="BQ310" s="249"/>
      <c r="BR310" s="249"/>
      <c r="BS310" s="249"/>
      <c r="BT310" s="249"/>
      <c r="BU310" s="249"/>
      <c r="BV310" s="249"/>
      <c r="BW310" s="249"/>
      <c r="BX310" s="249"/>
      <c r="BY310" s="249"/>
      <c r="BZ310" s="249"/>
      <c r="CA310" s="249"/>
      <c r="CB310" s="249"/>
      <c r="CC310" s="249"/>
      <c r="CD310" s="249"/>
      <c r="CE310" s="249"/>
      <c r="CF310" s="249"/>
      <c r="CG310" s="249"/>
      <c r="CH310" s="249"/>
      <c r="CI310" s="249"/>
      <c r="CJ310" s="249"/>
      <c r="CK310" s="249"/>
      <c r="CL310" s="249"/>
      <c r="CM310" s="249"/>
      <c r="CN310" s="249"/>
      <c r="CO310" s="249"/>
      <c r="CP310" s="249"/>
      <c r="CQ310" s="249"/>
      <c r="CR310" s="249"/>
      <c r="CS310" s="249"/>
      <c r="CT310" s="249"/>
      <c r="CU310" s="249"/>
      <c r="CV310" s="249"/>
      <c r="CW310" s="249"/>
      <c r="CX310" s="249"/>
      <c r="CY310" s="249"/>
      <c r="CZ310" s="249"/>
      <c r="DA310" s="249"/>
      <c r="DB310" s="249"/>
      <c r="DC310" s="249"/>
      <c r="DD310" s="249"/>
      <c r="DE310" s="249"/>
      <c r="DF310" s="249"/>
      <c r="DG310" s="249"/>
      <c r="DH310" s="249"/>
      <c r="DI310" s="249"/>
      <c r="DJ310" s="249"/>
      <c r="DK310" s="249"/>
      <c r="DL310" s="249"/>
      <c r="DM310" s="249"/>
      <c r="DN310" s="249"/>
      <c r="DO310" s="249"/>
      <c r="DP310" s="249"/>
      <c r="DQ310" s="249"/>
      <c r="DR310" s="249"/>
      <c r="DS310" s="249"/>
      <c r="DT310" s="249"/>
      <c r="DU310" s="249"/>
      <c r="DV310" s="249"/>
      <c r="DW310" s="249"/>
      <c r="DX310" s="249"/>
      <c r="DY310" s="249"/>
      <c r="DZ310" s="249"/>
      <c r="EA310" s="249"/>
      <c r="EB310" s="249"/>
      <c r="EC310" s="249"/>
      <c r="ED310" s="249"/>
      <c r="EE310" s="249"/>
      <c r="EF310" s="249"/>
      <c r="EG310" s="249"/>
      <c r="EH310" s="249"/>
      <c r="EI310" s="249"/>
      <c r="EJ310" s="249"/>
      <c r="EK310" s="249"/>
      <c r="EL310" s="249"/>
      <c r="EM310" s="249"/>
      <c r="EN310" s="249"/>
      <c r="EO310" s="249"/>
      <c r="EP310" s="249"/>
      <c r="EQ310" s="249"/>
      <c r="ER310" s="249"/>
      <c r="ES310" s="249"/>
      <c r="ET310" s="249"/>
      <c r="EU310" s="249"/>
      <c r="EV310" s="249"/>
      <c r="EW310" s="249"/>
      <c r="EX310" s="249"/>
      <c r="EY310" s="249"/>
      <c r="EZ310" s="249"/>
      <c r="FA310" s="249"/>
      <c r="FB310" s="249"/>
      <c r="FC310" s="249"/>
      <c r="FD310" s="249"/>
      <c r="FE310" s="249"/>
      <c r="FF310" s="249"/>
      <c r="FG310" s="249"/>
      <c r="FH310" s="249"/>
      <c r="FI310" s="249"/>
      <c r="FJ310" s="249"/>
      <c r="FK310" s="249"/>
      <c r="FL310" s="249"/>
      <c r="FM310" s="249"/>
      <c r="FN310" s="249"/>
      <c r="FO310" s="249"/>
      <c r="FP310" s="249"/>
      <c r="FQ310" s="249"/>
      <c r="FR310" s="249"/>
      <c r="FS310" s="249"/>
      <c r="FT310" s="249"/>
      <c r="FU310" s="249"/>
      <c r="FV310" s="249"/>
      <c r="FW310" s="249"/>
      <c r="FX310" s="249"/>
      <c r="FY310" s="249"/>
      <c r="FZ310" s="249"/>
      <c r="GA310" s="249"/>
      <c r="GB310" s="249"/>
      <c r="GC310" s="249"/>
      <c r="GD310" s="249"/>
      <c r="GE310" s="249"/>
      <c r="GF310" s="249"/>
      <c r="GG310" s="249"/>
      <c r="GH310" s="249"/>
      <c r="GI310" s="249"/>
      <c r="GJ310" s="249"/>
      <c r="GK310" s="249"/>
      <c r="GL310" s="249"/>
      <c r="GM310" s="249"/>
      <c r="GN310" s="249"/>
      <c r="GO310" s="249"/>
      <c r="GP310" s="249"/>
      <c r="GQ310" s="249"/>
      <c r="GR310" s="249"/>
    </row>
    <row r="311" spans="1:200" s="252" customFormat="1" ht="14.25" customHeight="1" x14ac:dyDescent="0.2">
      <c r="A311" s="722"/>
      <c r="B311" s="1123"/>
      <c r="C311" s="1123"/>
      <c r="D311" s="525"/>
      <c r="E311" s="599"/>
      <c r="F311" s="249"/>
      <c r="G311" s="250"/>
      <c r="H311" s="250"/>
      <c r="I311" s="250"/>
      <c r="J311" s="250"/>
      <c r="K311" s="250"/>
      <c r="L311" s="250"/>
      <c r="M311" s="250"/>
      <c r="N311" s="250"/>
      <c r="O311" s="250"/>
      <c r="P311" s="251"/>
      <c r="Q311" s="251"/>
      <c r="R311" s="251"/>
      <c r="S311" s="251"/>
      <c r="T311" s="251"/>
      <c r="U311" s="287" t="str">
        <f t="shared" si="75"/>
        <v>Yes</v>
      </c>
      <c r="V311" s="1971" t="str">
        <f>IF(U311="Yes",'Casings et al'!C35,'Casings et al'!I35)</f>
        <v>Compound Thread Sealant (PTC)</v>
      </c>
      <c r="W311" s="286" t="s">
        <v>163</v>
      </c>
      <c r="X311" s="243"/>
      <c r="Y311" s="243"/>
      <c r="Z311" s="243">
        <f>IFERROR((VLOOKUP($V311,IF((INPUT!$D$7="Big Hole"),BHCSG,RHCSG),3,FALSE)*IF((VLOOKUP($V311,IF((INPUT!$D$7="Big Hole"),BHCSG,RHCSG),2,FALSE)=Z$278),1,0)),0)</f>
        <v>0</v>
      </c>
      <c r="AA311" s="243"/>
      <c r="AB311" s="243">
        <f>IFERROR((VLOOKUP($V311,IF((INPUT!$D$7="Big Hole"),BHCSG,RHCSG),3,FALSE)*IF((VLOOKUP(V311,IF((INPUT!$D$7="Big Hole"),BHCSG,RHCSG),2,FALSE)=AB$278),1,0)),0)</f>
        <v>0</v>
      </c>
      <c r="AC311" s="243"/>
      <c r="AD311" s="243">
        <f>IFERROR((VLOOKUP($V311,IF((INPUT!$D$7="Big Hole"),BHCSG,RHCSG),3,FALSE)*IF((VLOOKUP($V311,IF((INPUT!$D$7="Big Hole"),BHCSG,RHCSG),2,FALSE)=AD$278),1,0)),0)</f>
        <v>0</v>
      </c>
      <c r="AE311" s="243"/>
      <c r="AF311" s="2103">
        <f>IF($U311="Yes",'Casings et al'!$E35,'Casings et al'!$K35)</f>
        <v>1</v>
      </c>
      <c r="AG311" s="243"/>
      <c r="AH311" s="243">
        <f>IFERROR((VLOOKUP($V311,IF((INPUT!$D$7="Big Hole"),BHCSG,RHCSG),3,FALSE)*IF((VLOOKUP($V311,IF((INPUT!$D$7="Big Hole"),BHCSG,RHCSG),2,FALSE)=AH$278),1,0)),0)*IF($AB$277="No",1,0)</f>
        <v>0</v>
      </c>
      <c r="AI311" s="243"/>
      <c r="AJ311" s="243">
        <f>IFERROR((VLOOKUP($V311,IF((INPUT!$D$7="Big Hole"),BHCSG,RHCSG),3,FALSE)*IF((VLOOKUP($V311,IF((INPUT!$D$7="Big Hole"),BHCSG,RHCSG),2,FALSE)=AJ$278),1,0)),0)</f>
        <v>0</v>
      </c>
      <c r="AK311" s="243">
        <f>IFERROR((VLOOKUP($V311,IF((INPUT!$D$7="Big Hole"),BHCSG,RHCSG),3,FALSE)*IF((VLOOKUP($V311,IF((INPUT!$D$7="Big Hole"),BHCSG,RHCSG),2,FALSE)=AK$278),1,0)),0)</f>
        <v>0</v>
      </c>
      <c r="AL311" s="243"/>
      <c r="AM311" s="475">
        <f t="shared" si="76"/>
        <v>1</v>
      </c>
      <c r="AN311" s="294"/>
      <c r="AO311" s="249"/>
      <c r="AP311" s="250"/>
      <c r="AQ311" s="250"/>
      <c r="AR311" s="250"/>
      <c r="AS311" s="250"/>
      <c r="AT311" s="250"/>
      <c r="AU311" s="250"/>
      <c r="AV311" s="249"/>
      <c r="AW311" s="249"/>
      <c r="AX311" s="249"/>
      <c r="AY311" s="249"/>
      <c r="AZ311" s="249"/>
      <c r="BA311" s="249"/>
      <c r="BB311" s="249"/>
      <c r="BC311" s="249"/>
      <c r="BD311" s="249"/>
      <c r="BE311" s="249"/>
      <c r="BF311" s="249"/>
      <c r="BG311" s="249"/>
      <c r="BH311" s="249"/>
      <c r="BI311" s="249"/>
      <c r="BJ311" s="249"/>
      <c r="BK311" s="249"/>
      <c r="BL311" s="249"/>
      <c r="BM311" s="249"/>
      <c r="BN311" s="249"/>
      <c r="BO311" s="249"/>
      <c r="BP311" s="249"/>
      <c r="BQ311" s="249"/>
      <c r="BR311" s="249"/>
      <c r="BS311" s="249"/>
      <c r="BT311" s="249"/>
      <c r="BU311" s="249"/>
      <c r="BV311" s="249"/>
      <c r="BW311" s="249"/>
      <c r="BX311" s="249"/>
      <c r="BY311" s="249"/>
      <c r="BZ311" s="249"/>
      <c r="CA311" s="249"/>
      <c r="CB311" s="249"/>
      <c r="CC311" s="249"/>
      <c r="CD311" s="249"/>
      <c r="CE311" s="249"/>
      <c r="CF311" s="249"/>
      <c r="CG311" s="249"/>
      <c r="CH311" s="249"/>
      <c r="CI311" s="249"/>
      <c r="CJ311" s="249"/>
      <c r="CK311" s="249"/>
      <c r="CL311" s="249"/>
      <c r="CM311" s="249"/>
      <c r="CN311" s="249"/>
      <c r="CO311" s="249"/>
      <c r="CP311" s="249"/>
      <c r="CQ311" s="249"/>
      <c r="CR311" s="249"/>
      <c r="CS311" s="249"/>
      <c r="CT311" s="249"/>
      <c r="CU311" s="249"/>
      <c r="CV311" s="249"/>
      <c r="CW311" s="249"/>
      <c r="CX311" s="249"/>
      <c r="CY311" s="249"/>
      <c r="CZ311" s="249"/>
      <c r="DA311" s="249"/>
      <c r="DB311" s="249"/>
      <c r="DC311" s="249"/>
      <c r="DD311" s="249"/>
      <c r="DE311" s="249"/>
      <c r="DF311" s="249"/>
      <c r="DG311" s="249"/>
      <c r="DH311" s="249"/>
      <c r="DI311" s="249"/>
      <c r="DJ311" s="249"/>
      <c r="DK311" s="249"/>
      <c r="DL311" s="249"/>
      <c r="DM311" s="249"/>
      <c r="DN311" s="249"/>
      <c r="DO311" s="249"/>
      <c r="DP311" s="249"/>
      <c r="DQ311" s="249"/>
      <c r="DR311" s="249"/>
      <c r="DS311" s="249"/>
      <c r="DT311" s="249"/>
      <c r="DU311" s="249"/>
      <c r="DV311" s="249"/>
      <c r="DW311" s="249"/>
      <c r="DX311" s="249"/>
      <c r="DY311" s="249"/>
      <c r="DZ311" s="249"/>
      <c r="EA311" s="249"/>
      <c r="EB311" s="249"/>
      <c r="EC311" s="249"/>
      <c r="ED311" s="249"/>
      <c r="EE311" s="249"/>
      <c r="EF311" s="249"/>
      <c r="EG311" s="249"/>
      <c r="EH311" s="249"/>
      <c r="EI311" s="249"/>
      <c r="EJ311" s="249"/>
      <c r="EK311" s="249"/>
      <c r="EL311" s="249"/>
      <c r="EM311" s="249"/>
      <c r="EN311" s="249"/>
      <c r="EO311" s="249"/>
      <c r="EP311" s="249"/>
      <c r="EQ311" s="249"/>
      <c r="ER311" s="249"/>
      <c r="ES311" s="249"/>
      <c r="ET311" s="249"/>
      <c r="EU311" s="249"/>
      <c r="EV311" s="249"/>
      <c r="EW311" s="249"/>
      <c r="EX311" s="249"/>
      <c r="EY311" s="249"/>
      <c r="EZ311" s="249"/>
      <c r="FA311" s="249"/>
      <c r="FB311" s="249"/>
      <c r="FC311" s="249"/>
      <c r="FD311" s="249"/>
      <c r="FE311" s="249"/>
      <c r="FF311" s="249"/>
      <c r="FG311" s="249"/>
      <c r="FH311" s="249"/>
      <c r="FI311" s="249"/>
      <c r="FJ311" s="249"/>
      <c r="FK311" s="249"/>
      <c r="FL311" s="249"/>
      <c r="FM311" s="249"/>
      <c r="FN311" s="249"/>
      <c r="FO311" s="249"/>
      <c r="FP311" s="249"/>
      <c r="FQ311" s="249"/>
      <c r="FR311" s="249"/>
      <c r="FS311" s="249"/>
      <c r="FT311" s="249"/>
      <c r="FU311" s="249"/>
      <c r="FV311" s="249"/>
      <c r="FW311" s="249"/>
      <c r="FX311" s="249"/>
      <c r="FY311" s="249"/>
      <c r="FZ311" s="249"/>
      <c r="GA311" s="249"/>
      <c r="GB311" s="249"/>
      <c r="GC311" s="249"/>
      <c r="GD311" s="249"/>
      <c r="GE311" s="249"/>
      <c r="GF311" s="249"/>
      <c r="GG311" s="249"/>
      <c r="GH311" s="249"/>
      <c r="GI311" s="249"/>
      <c r="GJ311" s="249"/>
      <c r="GK311" s="249"/>
      <c r="GL311" s="249"/>
      <c r="GM311" s="249"/>
      <c r="GN311" s="249"/>
      <c r="GO311" s="249"/>
      <c r="GP311" s="249"/>
      <c r="GQ311" s="249"/>
      <c r="GR311" s="249"/>
    </row>
    <row r="312" spans="1:200" s="252" customFormat="1" ht="14.25" customHeight="1" x14ac:dyDescent="0.2">
      <c r="A312" s="722"/>
      <c r="B312" s="1123"/>
      <c r="C312" s="1123"/>
      <c r="D312" s="525"/>
      <c r="E312" s="599"/>
      <c r="F312" s="249"/>
      <c r="G312" s="250"/>
      <c r="H312" s="250"/>
      <c r="I312" s="250"/>
      <c r="J312" s="250"/>
      <c r="K312" s="250"/>
      <c r="L312" s="250"/>
      <c r="M312" s="250"/>
      <c r="N312" s="250"/>
      <c r="O312" s="250"/>
      <c r="P312" s="251"/>
      <c r="Q312" s="251"/>
      <c r="R312" s="251"/>
      <c r="S312" s="251"/>
      <c r="T312" s="251"/>
      <c r="U312" s="287" t="str">
        <f t="shared" si="75"/>
        <v>Yes</v>
      </c>
      <c r="V312" s="1971" t="str">
        <f>IF(U312="Yes",'Casings et al'!C36,'Casings et al'!I36)</f>
        <v>8-5/8" OD Casing; 24 PPF, Grade K55 (Perforated)</v>
      </c>
      <c r="W312" s="286" t="s">
        <v>163</v>
      </c>
      <c r="X312" s="243"/>
      <c r="Y312" s="243"/>
      <c r="Z312" s="243">
        <f>IFERROR((VLOOKUP($V312,IF((INPUT!$D$7="Big Hole"),BHCSG,RHCSG),3,FALSE)*IF((VLOOKUP($V312,IF((INPUT!$D$7="Big Hole"),BHCSG,RHCSG),2,FALSE)=Z$278),1,0)),0)</f>
        <v>0</v>
      </c>
      <c r="AA312" s="243"/>
      <c r="AB312" s="243">
        <f>IFERROR((VLOOKUP($V312,IF((INPUT!$D$7="Big Hole"),BHCSG,RHCSG),3,FALSE)*IF((VLOOKUP(V312,IF((INPUT!$D$7="Big Hole"),BHCSG,RHCSG),2,FALSE)=AB$278),1,0)),0)</f>
        <v>0</v>
      </c>
      <c r="AC312" s="243"/>
      <c r="AD312" s="243">
        <f>IFERROR((VLOOKUP($V312,IF((INPUT!$D$7="Big Hole"),BHCSG,RHCSG),3,FALSE)*IF((VLOOKUP($V312,IF((INPUT!$D$7="Big Hole"),BHCSG,RHCSG),2,FALSE)=AD$278),1,0)),0)</f>
        <v>0</v>
      </c>
      <c r="AE312" s="243"/>
      <c r="AF312" s="243">
        <f>IFERROR((VLOOKUP($V312,IF((INPUT!$D$7="Big Hole"),BHCSG,RHCSG),3,FALSE)*IF((VLOOKUP($V312,IF((INPUT!$D$7="Big Hole"),BHCSG,RHCSG),2,FALSE)=AF$278),1,0)),0)</f>
        <v>0</v>
      </c>
      <c r="AG312" s="243"/>
      <c r="AH312" s="2103">
        <f>IF(DOUBLE_LINER="No",0,IF($U312="Yes",'Casings et al'!$E36,'Casings et al'!$K36))</f>
        <v>56</v>
      </c>
      <c r="AI312" s="243"/>
      <c r="AJ312" s="243">
        <f>IFERROR((VLOOKUP($V312,IF((INPUT!$D$7="Big Hole"),BHCSG,RHCSG),3,FALSE)*IF((VLOOKUP($V312,IF((INPUT!$D$7="Big Hole"),BHCSG,RHCSG),2,FALSE)=AJ$278),1,0)),0)</f>
        <v>0</v>
      </c>
      <c r="AK312" s="243">
        <f>IFERROR((VLOOKUP($V312,IF((INPUT!$D$7="Big Hole"),BHCSG,RHCSG),3,FALSE)*IF((VLOOKUP($V312,IF((INPUT!$D$7="Big Hole"),BHCSG,RHCSG),2,FALSE)=AK$278),1,0)),0)</f>
        <v>0</v>
      </c>
      <c r="AL312" s="243"/>
      <c r="AM312" s="475">
        <f t="shared" ref="AM312" si="77">SUM(X312:AL312)</f>
        <v>56</v>
      </c>
      <c r="AN312" s="172"/>
      <c r="AO312" s="296"/>
      <c r="AP312" s="250"/>
      <c r="AQ312" s="250"/>
      <c r="AR312" s="250"/>
      <c r="AS312" s="250"/>
      <c r="AT312" s="250"/>
      <c r="AU312" s="250"/>
      <c r="AV312" s="249"/>
      <c r="AW312" s="249"/>
      <c r="AX312" s="249"/>
      <c r="AY312" s="249"/>
      <c r="AZ312" s="249"/>
      <c r="BA312" s="249"/>
      <c r="BB312" s="249"/>
      <c r="BC312" s="249"/>
      <c r="BD312" s="249"/>
      <c r="BE312" s="249"/>
      <c r="BF312" s="249"/>
      <c r="BG312" s="249"/>
      <c r="BH312" s="249"/>
      <c r="BI312" s="249"/>
      <c r="BJ312" s="249"/>
      <c r="BK312" s="249"/>
      <c r="BL312" s="249"/>
      <c r="BM312" s="249"/>
      <c r="BN312" s="249"/>
      <c r="BO312" s="249"/>
      <c r="BP312" s="249"/>
      <c r="BQ312" s="249"/>
      <c r="BR312" s="249"/>
      <c r="BS312" s="249"/>
      <c r="BT312" s="249"/>
      <c r="BU312" s="249"/>
      <c r="BV312" s="249"/>
      <c r="BW312" s="249"/>
      <c r="BX312" s="249"/>
      <c r="BY312" s="249"/>
      <c r="BZ312" s="249"/>
      <c r="CA312" s="249"/>
      <c r="CB312" s="249"/>
      <c r="CC312" s="249"/>
      <c r="CD312" s="249"/>
      <c r="CE312" s="249"/>
      <c r="CF312" s="249"/>
      <c r="CG312" s="249"/>
      <c r="CH312" s="249"/>
      <c r="CI312" s="249"/>
      <c r="CJ312" s="249"/>
      <c r="CK312" s="249"/>
      <c r="CL312" s="249"/>
      <c r="CM312" s="249"/>
      <c r="CN312" s="249"/>
      <c r="CO312" s="249"/>
      <c r="CP312" s="249"/>
      <c r="CQ312" s="249"/>
      <c r="CR312" s="249"/>
      <c r="CS312" s="249"/>
      <c r="CT312" s="249"/>
      <c r="CU312" s="249"/>
      <c r="CV312" s="249"/>
      <c r="CW312" s="249"/>
      <c r="CX312" s="249"/>
      <c r="CY312" s="249"/>
      <c r="CZ312" s="249"/>
      <c r="DA312" s="249"/>
      <c r="DB312" s="249"/>
      <c r="DC312" s="249"/>
      <c r="DD312" s="249"/>
      <c r="DE312" s="249"/>
      <c r="DF312" s="249"/>
      <c r="DG312" s="249"/>
      <c r="DH312" s="249"/>
      <c r="DI312" s="249"/>
      <c r="DJ312" s="249"/>
      <c r="DK312" s="249"/>
      <c r="DL312" s="249"/>
      <c r="DM312" s="249"/>
      <c r="DN312" s="249"/>
      <c r="DO312" s="249"/>
      <c r="DP312" s="249"/>
      <c r="DQ312" s="249"/>
      <c r="DR312" s="249"/>
      <c r="DS312" s="249"/>
      <c r="DT312" s="249"/>
      <c r="DU312" s="249"/>
      <c r="DV312" s="249"/>
      <c r="DW312" s="249"/>
      <c r="DX312" s="249"/>
      <c r="DY312" s="249"/>
      <c r="DZ312" s="249"/>
      <c r="EA312" s="249"/>
      <c r="EB312" s="249"/>
      <c r="EC312" s="249"/>
      <c r="ED312" s="249"/>
      <c r="EE312" s="249"/>
      <c r="EF312" s="249"/>
      <c r="EG312" s="249"/>
      <c r="EH312" s="249"/>
      <c r="EI312" s="249"/>
      <c r="EJ312" s="249"/>
      <c r="EK312" s="249"/>
      <c r="EL312" s="249"/>
      <c r="EM312" s="249"/>
      <c r="EN312" s="249"/>
      <c r="EO312" s="249"/>
      <c r="EP312" s="249"/>
      <c r="EQ312" s="249"/>
      <c r="ER312" s="249"/>
      <c r="ES312" s="249"/>
      <c r="ET312" s="249"/>
      <c r="EU312" s="249"/>
      <c r="EV312" s="249"/>
      <c r="EW312" s="249"/>
      <c r="EX312" s="249"/>
      <c r="EY312" s="249"/>
      <c r="EZ312" s="249"/>
      <c r="FA312" s="249"/>
      <c r="FB312" s="249"/>
      <c r="FC312" s="249"/>
      <c r="FD312" s="249"/>
      <c r="FE312" s="249"/>
      <c r="FF312" s="249"/>
      <c r="FG312" s="249"/>
      <c r="FH312" s="249"/>
      <c r="FI312" s="249"/>
      <c r="FJ312" s="249"/>
      <c r="FK312" s="249"/>
      <c r="FL312" s="249"/>
      <c r="FM312" s="249"/>
      <c r="FN312" s="249"/>
      <c r="FO312" s="249"/>
      <c r="FP312" s="249"/>
      <c r="FQ312" s="249"/>
      <c r="FR312" s="249"/>
      <c r="FS312" s="249"/>
      <c r="FT312" s="249"/>
      <c r="FU312" s="249"/>
      <c r="FV312" s="249"/>
      <c r="FW312" s="249"/>
      <c r="FX312" s="249"/>
      <c r="FY312" s="249"/>
      <c r="FZ312" s="249"/>
      <c r="GA312" s="249"/>
      <c r="GB312" s="249"/>
      <c r="GC312" s="249"/>
      <c r="GD312" s="249"/>
      <c r="GE312" s="249"/>
      <c r="GF312" s="249"/>
      <c r="GG312" s="249"/>
      <c r="GH312" s="249"/>
      <c r="GI312" s="249"/>
      <c r="GJ312" s="249"/>
      <c r="GK312" s="249"/>
      <c r="GL312" s="249"/>
      <c r="GM312" s="249"/>
      <c r="GN312" s="249"/>
      <c r="GO312" s="249"/>
      <c r="GP312" s="249"/>
      <c r="GQ312" s="249"/>
      <c r="GR312" s="249"/>
    </row>
    <row r="313" spans="1:200" s="252" customFormat="1" ht="14.25" customHeight="1" x14ac:dyDescent="0.2">
      <c r="A313" s="722"/>
      <c r="B313" s="1123"/>
      <c r="C313" s="1123"/>
      <c r="D313" s="525"/>
      <c r="E313" s="599"/>
      <c r="F313" s="249"/>
      <c r="G313" s="250"/>
      <c r="H313" s="250"/>
      <c r="I313" s="250"/>
      <c r="J313" s="250"/>
      <c r="K313" s="250"/>
      <c r="L313" s="250"/>
      <c r="M313" s="250"/>
      <c r="N313" s="250"/>
      <c r="O313" s="250"/>
      <c r="P313" s="251"/>
      <c r="Q313" s="251"/>
      <c r="R313" s="251"/>
      <c r="S313" s="251"/>
      <c r="T313" s="251"/>
      <c r="U313" s="287" t="str">
        <f t="shared" si="75"/>
        <v>Yes</v>
      </c>
      <c r="V313" s="1971" t="str">
        <f>IF(U313="Yes",'Casings et al'!C37,'Casings et al'!I37)</f>
        <v>8-5/8" Guide Shoe</v>
      </c>
      <c r="W313" s="286" t="s">
        <v>163</v>
      </c>
      <c r="X313" s="243"/>
      <c r="Y313" s="243"/>
      <c r="Z313" s="243">
        <f>IFERROR((VLOOKUP($V313,IF((INPUT!$D$7="Big Hole"),BHCSG,RHCSG),3,FALSE)*IF((VLOOKUP($V313,IF((INPUT!$D$7="Big Hole"),BHCSG,RHCSG),2,FALSE)=Z$278),1,0)),0)</f>
        <v>0</v>
      </c>
      <c r="AA313" s="243"/>
      <c r="AB313" s="243">
        <f>IFERROR((VLOOKUP($V313,IF((INPUT!$D$7="Big Hole"),BHCSG,RHCSG),3,FALSE)*IF((VLOOKUP(V313,IF((INPUT!$D$7="Big Hole"),BHCSG,RHCSG),2,FALSE)=AB$278),1,0)),0)</f>
        <v>0</v>
      </c>
      <c r="AC313" s="243"/>
      <c r="AD313" s="243">
        <f>IFERROR((VLOOKUP($V313,IF((INPUT!$D$7="Big Hole"),BHCSG,RHCSG),3,FALSE)*IF((VLOOKUP($V313,IF((INPUT!$D$7="Big Hole"),BHCSG,RHCSG),2,FALSE)=AD$278),1,0)),0)</f>
        <v>0</v>
      </c>
      <c r="AE313" s="243"/>
      <c r="AF313" s="243">
        <f>IFERROR((VLOOKUP($V313,IF((INPUT!$D$7="Big Hole"),BHCSG,RHCSG),3,FALSE)*IF((VLOOKUP($V313,IF((INPUT!$D$7="Big Hole"),BHCSG,RHCSG),2,FALSE)=AF$278),1,0)),0)</f>
        <v>0</v>
      </c>
      <c r="AG313" s="243"/>
      <c r="AH313" s="2103">
        <f>IF(DOUBLE_LINER="No",0,IF($U313="Yes",'Casings et al'!$E37,'Casings et al'!$K37))</f>
        <v>1</v>
      </c>
      <c r="AI313" s="243"/>
      <c r="AJ313" s="243">
        <f>IFERROR((VLOOKUP($V313,IF((INPUT!$D$7="Big Hole"),BHCSG,RHCSG),3,FALSE)*IF((VLOOKUP($V313,IF((INPUT!$D$7="Big Hole"),BHCSG,RHCSG),2,FALSE)=AJ$278),1,0)),0)</f>
        <v>0</v>
      </c>
      <c r="AK313" s="243">
        <f>IFERROR((VLOOKUP($V313,IF((INPUT!$D$7="Big Hole"),BHCSG,RHCSG),3,FALSE)*IF((VLOOKUP($V313,IF((INPUT!$D$7="Big Hole"),BHCSG,RHCSG),2,FALSE)=AK$278),1,0)),0)</f>
        <v>0</v>
      </c>
      <c r="AL313" s="243"/>
      <c r="AM313" s="475">
        <f t="shared" ref="AM313:AM319" si="78">SUM(X313:AL313)</f>
        <v>1</v>
      </c>
      <c r="AN313" s="254"/>
      <c r="AO313" s="296"/>
      <c r="AP313" s="250"/>
      <c r="AQ313" s="250"/>
      <c r="AR313" s="250"/>
      <c r="AS313" s="250"/>
      <c r="AT313" s="250"/>
      <c r="AU313" s="250"/>
      <c r="AV313" s="249"/>
      <c r="AW313" s="249"/>
      <c r="AX313" s="249"/>
      <c r="AY313" s="249"/>
      <c r="AZ313" s="249"/>
      <c r="BA313" s="249"/>
      <c r="BB313" s="249"/>
      <c r="BC313" s="249"/>
      <c r="BD313" s="249"/>
      <c r="BE313" s="249"/>
      <c r="BF313" s="249"/>
      <c r="BG313" s="249"/>
      <c r="BH313" s="249"/>
      <c r="BI313" s="249"/>
      <c r="BJ313" s="249"/>
      <c r="BK313" s="249"/>
      <c r="BL313" s="249"/>
      <c r="BM313" s="249"/>
      <c r="BN313" s="249"/>
      <c r="BO313" s="249"/>
      <c r="BP313" s="249"/>
      <c r="BQ313" s="249"/>
      <c r="BR313" s="249"/>
      <c r="BS313" s="249"/>
      <c r="BT313" s="249"/>
      <c r="BU313" s="249"/>
      <c r="BV313" s="249"/>
      <c r="BW313" s="249"/>
      <c r="BX313" s="249"/>
      <c r="BY313" s="249"/>
      <c r="BZ313" s="249"/>
      <c r="CA313" s="249"/>
      <c r="CB313" s="249"/>
      <c r="CC313" s="249"/>
      <c r="CD313" s="249"/>
      <c r="CE313" s="249"/>
      <c r="CF313" s="249"/>
      <c r="CG313" s="249"/>
      <c r="CH313" s="249"/>
      <c r="CI313" s="249"/>
      <c r="CJ313" s="249"/>
      <c r="CK313" s="249"/>
      <c r="CL313" s="249"/>
      <c r="CM313" s="249"/>
      <c r="CN313" s="249"/>
      <c r="CO313" s="249"/>
      <c r="CP313" s="249"/>
      <c r="CQ313" s="249"/>
      <c r="CR313" s="249"/>
      <c r="CS313" s="249"/>
      <c r="CT313" s="249"/>
      <c r="CU313" s="249"/>
      <c r="CV313" s="249"/>
      <c r="CW313" s="249"/>
      <c r="CX313" s="249"/>
      <c r="CY313" s="249"/>
      <c r="CZ313" s="249"/>
      <c r="DA313" s="249"/>
      <c r="DB313" s="249"/>
      <c r="DC313" s="249"/>
      <c r="DD313" s="249"/>
      <c r="DE313" s="249"/>
      <c r="DF313" s="249"/>
      <c r="DG313" s="249"/>
      <c r="DH313" s="249"/>
      <c r="DI313" s="249"/>
      <c r="DJ313" s="249"/>
      <c r="DK313" s="249"/>
      <c r="DL313" s="249"/>
      <c r="DM313" s="249"/>
      <c r="DN313" s="249"/>
      <c r="DO313" s="249"/>
      <c r="DP313" s="249"/>
      <c r="DQ313" s="249"/>
      <c r="DR313" s="249"/>
      <c r="DS313" s="249"/>
      <c r="DT313" s="249"/>
      <c r="DU313" s="249"/>
      <c r="DV313" s="249"/>
      <c r="DW313" s="249"/>
      <c r="DX313" s="249"/>
      <c r="DY313" s="249"/>
      <c r="DZ313" s="249"/>
      <c r="EA313" s="249"/>
      <c r="EB313" s="249"/>
      <c r="EC313" s="249"/>
      <c r="ED313" s="249"/>
      <c r="EE313" s="249"/>
      <c r="EF313" s="249"/>
      <c r="EG313" s="249"/>
      <c r="EH313" s="249"/>
      <c r="EI313" s="249"/>
      <c r="EJ313" s="249"/>
      <c r="EK313" s="249"/>
      <c r="EL313" s="249"/>
      <c r="EM313" s="249"/>
      <c r="EN313" s="249"/>
      <c r="EO313" s="249"/>
      <c r="EP313" s="249"/>
      <c r="EQ313" s="249"/>
      <c r="ER313" s="249"/>
      <c r="ES313" s="249"/>
      <c r="ET313" s="249"/>
      <c r="EU313" s="249"/>
      <c r="EV313" s="249"/>
      <c r="EW313" s="249"/>
      <c r="EX313" s="249"/>
      <c r="EY313" s="249"/>
      <c r="EZ313" s="249"/>
      <c r="FA313" s="249"/>
      <c r="FB313" s="249"/>
      <c r="FC313" s="249"/>
      <c r="FD313" s="249"/>
      <c r="FE313" s="249"/>
      <c r="FF313" s="249"/>
      <c r="FG313" s="249"/>
      <c r="FH313" s="249"/>
      <c r="FI313" s="249"/>
      <c r="FJ313" s="249"/>
      <c r="FK313" s="249"/>
      <c r="FL313" s="249"/>
      <c r="FM313" s="249"/>
      <c r="FN313" s="249"/>
      <c r="FO313" s="249"/>
      <c r="FP313" s="249"/>
      <c r="FQ313" s="249"/>
      <c r="FR313" s="249"/>
      <c r="FS313" s="249"/>
      <c r="FT313" s="249"/>
      <c r="FU313" s="249"/>
      <c r="FV313" s="249"/>
      <c r="FW313" s="249"/>
      <c r="FX313" s="249"/>
      <c r="FY313" s="249"/>
      <c r="FZ313" s="249"/>
      <c r="GA313" s="249"/>
      <c r="GB313" s="249"/>
      <c r="GC313" s="249"/>
      <c r="GD313" s="249"/>
      <c r="GE313" s="249"/>
      <c r="GF313" s="249"/>
      <c r="GG313" s="249"/>
      <c r="GH313" s="249"/>
      <c r="GI313" s="249"/>
      <c r="GJ313" s="249"/>
      <c r="GK313" s="249"/>
      <c r="GL313" s="249"/>
      <c r="GM313" s="249"/>
      <c r="GN313" s="249"/>
      <c r="GO313" s="249"/>
      <c r="GP313" s="249"/>
      <c r="GQ313" s="249"/>
      <c r="GR313" s="249"/>
    </row>
    <row r="314" spans="1:200" s="252" customFormat="1" ht="14.25" customHeight="1" x14ac:dyDescent="0.2">
      <c r="A314" s="722"/>
      <c r="B314" s="1123"/>
      <c r="C314" s="1123"/>
      <c r="D314" s="525"/>
      <c r="E314" s="599"/>
      <c r="F314" s="249"/>
      <c r="G314" s="250"/>
      <c r="H314" s="250"/>
      <c r="I314" s="250"/>
      <c r="J314" s="250"/>
      <c r="K314" s="250"/>
      <c r="L314" s="250"/>
      <c r="M314" s="250"/>
      <c r="N314" s="250"/>
      <c r="O314" s="250"/>
      <c r="P314" s="251"/>
      <c r="Q314" s="251"/>
      <c r="R314" s="251"/>
      <c r="S314" s="251"/>
      <c r="T314" s="251"/>
      <c r="U314" s="287" t="str">
        <f t="shared" si="75"/>
        <v>Yes</v>
      </c>
      <c r="V314" s="1971" t="str">
        <f>IF(U314="Yes",'Casings et al'!C38,'Casings et al'!I38)</f>
        <v>8-5/8" x 10-3/4" Liner Hanger/Adaptor</v>
      </c>
      <c r="W314" s="286" t="s">
        <v>169</v>
      </c>
      <c r="X314" s="243"/>
      <c r="Y314" s="243"/>
      <c r="Z314" s="243">
        <f>IFERROR((VLOOKUP($V314,IF((INPUT!$D$7="Big Hole"),BHCSG,RHCSG),3,FALSE)*IF((VLOOKUP($V314,IF((INPUT!$D$7="Big Hole"),BHCSG,RHCSG),2,FALSE)=Z$278),1,0)),0)</f>
        <v>0</v>
      </c>
      <c r="AA314" s="243"/>
      <c r="AB314" s="243">
        <f>IFERROR((VLOOKUP($V314,IF((INPUT!$D$7="Big Hole"),BHCSG,RHCSG),3,FALSE)*IF((VLOOKUP(V314,IF((INPUT!$D$7="Big Hole"),BHCSG,RHCSG),2,FALSE)=AB$278),1,0)),0)</f>
        <v>0</v>
      </c>
      <c r="AC314" s="243"/>
      <c r="AD314" s="243">
        <f>IFERROR((VLOOKUP($V314,IF((INPUT!$D$7="Big Hole"),BHCSG,RHCSG),3,FALSE)*IF((VLOOKUP($V314,IF((INPUT!$D$7="Big Hole"),BHCSG,RHCSG),2,FALSE)=AD$278),1,0)),0)</f>
        <v>0</v>
      </c>
      <c r="AE314" s="243"/>
      <c r="AF314" s="243">
        <f>IFERROR((VLOOKUP($V314,IF((INPUT!$D$7="Big Hole"),BHCSG,RHCSG),3,FALSE)*IF((VLOOKUP($V314,IF((INPUT!$D$7="Big Hole"),BHCSG,RHCSG),2,FALSE)=AF$278),1,0)),0)</f>
        <v>0</v>
      </c>
      <c r="AG314" s="243"/>
      <c r="AH314" s="2103">
        <f>IF(DOUBLE_LINER="No",0,IF($U314="Yes",'Casings et al'!$E38,'Casings et al'!$K38))</f>
        <v>1</v>
      </c>
      <c r="AI314" s="243"/>
      <c r="AJ314" s="243">
        <f>IFERROR((VLOOKUP($V314,IF((INPUT!$D$7="Big Hole"),BHCSG,RHCSG),3,FALSE)*IF((VLOOKUP($V314,IF((INPUT!$D$7="Big Hole"),BHCSG,RHCSG),2,FALSE)=AJ$278),1,0)),0)</f>
        <v>0</v>
      </c>
      <c r="AK314" s="243"/>
      <c r="AL314" s="243"/>
      <c r="AM314" s="475"/>
      <c r="AN314" s="254"/>
      <c r="AO314" s="296"/>
      <c r="AP314" s="250"/>
      <c r="AQ314" s="250"/>
      <c r="AR314" s="250"/>
      <c r="AS314" s="250"/>
      <c r="AT314" s="250"/>
      <c r="AU314" s="250"/>
      <c r="AV314" s="249"/>
      <c r="AW314" s="249"/>
      <c r="AX314" s="249"/>
      <c r="AY314" s="249"/>
      <c r="AZ314" s="249"/>
      <c r="BA314" s="249"/>
      <c r="BB314" s="249"/>
      <c r="BC314" s="249"/>
      <c r="BD314" s="249"/>
      <c r="BE314" s="249"/>
      <c r="BF314" s="249"/>
      <c r="BG314" s="249"/>
      <c r="BH314" s="249"/>
      <c r="BI314" s="249"/>
      <c r="BJ314" s="249"/>
      <c r="BK314" s="249"/>
      <c r="BL314" s="249"/>
      <c r="BM314" s="249"/>
      <c r="BN314" s="249"/>
      <c r="BO314" s="249"/>
      <c r="BP314" s="249"/>
      <c r="BQ314" s="249"/>
      <c r="BR314" s="249"/>
      <c r="BS314" s="249"/>
      <c r="BT314" s="249"/>
      <c r="BU314" s="249"/>
      <c r="BV314" s="249"/>
      <c r="BW314" s="249"/>
      <c r="BX314" s="249"/>
      <c r="BY314" s="249"/>
      <c r="BZ314" s="249"/>
      <c r="CA314" s="249"/>
      <c r="CB314" s="249"/>
      <c r="CC314" s="249"/>
      <c r="CD314" s="249"/>
      <c r="CE314" s="249"/>
      <c r="CF314" s="249"/>
      <c r="CG314" s="249"/>
      <c r="CH314" s="249"/>
      <c r="CI314" s="249"/>
      <c r="CJ314" s="249"/>
      <c r="CK314" s="249"/>
      <c r="CL314" s="249"/>
      <c r="CM314" s="249"/>
      <c r="CN314" s="249"/>
      <c r="CO314" s="249"/>
      <c r="CP314" s="249"/>
      <c r="CQ314" s="249"/>
      <c r="CR314" s="249"/>
      <c r="CS314" s="249"/>
      <c r="CT314" s="249"/>
      <c r="CU314" s="249"/>
      <c r="CV314" s="249"/>
      <c r="CW314" s="249"/>
      <c r="CX314" s="249"/>
      <c r="CY314" s="249"/>
      <c r="CZ314" s="249"/>
      <c r="DA314" s="249"/>
      <c r="DB314" s="249"/>
      <c r="DC314" s="249"/>
      <c r="DD314" s="249"/>
      <c r="DE314" s="249"/>
      <c r="DF314" s="249"/>
      <c r="DG314" s="249"/>
      <c r="DH314" s="249"/>
      <c r="DI314" s="249"/>
      <c r="DJ314" s="249"/>
      <c r="DK314" s="249"/>
      <c r="DL314" s="249"/>
      <c r="DM314" s="249"/>
      <c r="DN314" s="249"/>
      <c r="DO314" s="249"/>
      <c r="DP314" s="249"/>
      <c r="DQ314" s="249"/>
      <c r="DR314" s="249"/>
      <c r="DS314" s="249"/>
      <c r="DT314" s="249"/>
      <c r="DU314" s="249"/>
      <c r="DV314" s="249"/>
      <c r="DW314" s="249"/>
      <c r="DX314" s="249"/>
      <c r="DY314" s="249"/>
      <c r="DZ314" s="249"/>
      <c r="EA314" s="249"/>
      <c r="EB314" s="249"/>
      <c r="EC314" s="249"/>
      <c r="ED314" s="249"/>
      <c r="EE314" s="249"/>
      <c r="EF314" s="249"/>
      <c r="EG314" s="249"/>
      <c r="EH314" s="249"/>
      <c r="EI314" s="249"/>
      <c r="EJ314" s="249"/>
      <c r="EK314" s="249"/>
      <c r="EL314" s="249"/>
      <c r="EM314" s="249"/>
      <c r="EN314" s="249"/>
      <c r="EO314" s="249"/>
      <c r="EP314" s="249"/>
      <c r="EQ314" s="249"/>
      <c r="ER314" s="249"/>
      <c r="ES314" s="249"/>
      <c r="ET314" s="249"/>
      <c r="EU314" s="249"/>
      <c r="EV314" s="249"/>
      <c r="EW314" s="249"/>
      <c r="EX314" s="249"/>
      <c r="EY314" s="249"/>
      <c r="EZ314" s="249"/>
      <c r="FA314" s="249"/>
      <c r="FB314" s="249"/>
      <c r="FC314" s="249"/>
      <c r="FD314" s="249"/>
      <c r="FE314" s="249"/>
      <c r="FF314" s="249"/>
      <c r="FG314" s="249"/>
      <c r="FH314" s="249"/>
      <c r="FI314" s="249"/>
      <c r="FJ314" s="249"/>
      <c r="FK314" s="249"/>
      <c r="FL314" s="249"/>
      <c r="FM314" s="249"/>
      <c r="FN314" s="249"/>
      <c r="FO314" s="249"/>
      <c r="FP314" s="249"/>
      <c r="FQ314" s="249"/>
      <c r="FR314" s="249"/>
      <c r="FS314" s="249"/>
      <c r="FT314" s="249"/>
      <c r="FU314" s="249"/>
      <c r="FV314" s="249"/>
      <c r="FW314" s="249"/>
      <c r="FX314" s="249"/>
      <c r="FY314" s="249"/>
      <c r="FZ314" s="249"/>
      <c r="GA314" s="249"/>
      <c r="GB314" s="249"/>
      <c r="GC314" s="249"/>
      <c r="GD314" s="249"/>
      <c r="GE314" s="249"/>
      <c r="GF314" s="249"/>
      <c r="GG314" s="249"/>
      <c r="GH314" s="249"/>
      <c r="GI314" s="249"/>
      <c r="GJ314" s="249"/>
      <c r="GK314" s="249"/>
      <c r="GL314" s="249"/>
      <c r="GM314" s="249"/>
      <c r="GN314" s="249"/>
      <c r="GO314" s="249"/>
      <c r="GP314" s="249"/>
      <c r="GQ314" s="249"/>
      <c r="GR314" s="249"/>
    </row>
    <row r="315" spans="1:200" s="252" customFormat="1" ht="14.25" customHeight="1" x14ac:dyDescent="0.2">
      <c r="A315" s="722"/>
      <c r="B315" s="1123"/>
      <c r="C315" s="1123"/>
      <c r="D315" s="525"/>
      <c r="E315" s="599"/>
      <c r="F315" s="249"/>
      <c r="G315" s="250"/>
      <c r="H315" s="250"/>
      <c r="I315" s="250"/>
      <c r="J315" s="250"/>
      <c r="K315" s="250"/>
      <c r="L315" s="250"/>
      <c r="M315" s="250"/>
      <c r="N315" s="250"/>
      <c r="O315" s="250"/>
      <c r="P315" s="251"/>
      <c r="Q315" s="251"/>
      <c r="R315" s="251"/>
      <c r="S315" s="251"/>
      <c r="T315" s="251"/>
      <c r="U315" s="287" t="str">
        <f t="shared" si="75"/>
        <v>Yes</v>
      </c>
      <c r="V315" s="1971" t="str">
        <f>IF(U315="Yes",'Casings et al'!C39,'Casings et al'!I39)</f>
        <v>9-5/8" OD Casing; 43.5 PPF, Grade L80 (Perforated) BTC</v>
      </c>
      <c r="W315" s="286" t="s">
        <v>169</v>
      </c>
      <c r="X315" s="243"/>
      <c r="Y315" s="243"/>
      <c r="Z315" s="243">
        <f>IFERROR((VLOOKUP($V315,IF((INPUT!$D$7="Big Hole"),BHCSG,RHCSG),3,FALSE)*IF((VLOOKUP($V315,IF((INPUT!$D$7="Big Hole"),BHCSG,RHCSG),2,FALSE)=Z$278),1,0)),0)</f>
        <v>0</v>
      </c>
      <c r="AA315" s="243"/>
      <c r="AB315" s="243">
        <f>IFERROR((VLOOKUP($V315,IF((INPUT!$D$7="Big Hole"),BHCSG,RHCSG),3,FALSE)*IF((VLOOKUP(V315,IF((INPUT!$D$7="Big Hole"),BHCSG,RHCSG),2,FALSE)=AB$278),1,0)),0)</f>
        <v>0</v>
      </c>
      <c r="AC315" s="243"/>
      <c r="AD315" s="243">
        <f>IFERROR((VLOOKUP($V315,IF((INPUT!$D$7="Big Hole"),BHCSG,RHCSG),3,FALSE)*IF((VLOOKUP($V315,IF((INPUT!$D$7="Big Hole"),BHCSG,RHCSG),2,FALSE)=AD$278),1,0)),0)</f>
        <v>0</v>
      </c>
      <c r="AE315" s="243"/>
      <c r="AF315" s="243">
        <f>IFERROR((VLOOKUP($V315,IF((INPUT!$D$7="Big Hole"),BHCSG,RHCSG),3,FALSE)*IF((VLOOKUP($V315,IF((INPUT!$D$7="Big Hole"),BHCSG,RHCSG),2,FALSE)=AF$278),1,0)),0)</f>
        <v>0</v>
      </c>
      <c r="AG315" s="243"/>
      <c r="AH315" s="243">
        <f>IFERROR((VLOOKUP($V315,IF((INPUT!$D$7="Big Hole"),BHCSG,RHCSG),3,FALSE)*IF((VLOOKUP($V315,IF((INPUT!$D$7="Big Hole"),BHCSG,RHCSG),2,FALSE)=AH$278),1,0)),0)</f>
        <v>0</v>
      </c>
      <c r="AI315" s="243"/>
      <c r="AJ315" s="243">
        <f>IFERROR((VLOOKUP($V315,IF((INPUT!$D$7="Big Hole"),BHCSG,RHCSG),3,FALSE)*IF((VLOOKUP($V315,IF((INPUT!$D$7="Big Hole"),BHCSG,RHCSG),2,FALSE)=AJ$278),1,0)),0)</f>
        <v>0</v>
      </c>
      <c r="AK315" s="243"/>
      <c r="AL315" s="243"/>
      <c r="AM315" s="475"/>
      <c r="AN315" s="254"/>
      <c r="AO315" s="296"/>
      <c r="AP315" s="250"/>
      <c r="AQ315" s="250"/>
      <c r="AR315" s="250"/>
      <c r="AS315" s="250"/>
      <c r="AT315" s="250"/>
      <c r="AU315" s="250"/>
      <c r="AV315" s="249"/>
      <c r="AW315" s="249"/>
      <c r="AX315" s="249"/>
      <c r="AY315" s="249"/>
      <c r="AZ315" s="249"/>
      <c r="BA315" s="249"/>
      <c r="BB315" s="249"/>
      <c r="BC315" s="249"/>
      <c r="BD315" s="249"/>
      <c r="BE315" s="249"/>
      <c r="BF315" s="249"/>
      <c r="BG315" s="249"/>
      <c r="BH315" s="249"/>
      <c r="BI315" s="249"/>
      <c r="BJ315" s="249"/>
      <c r="BK315" s="249"/>
      <c r="BL315" s="249"/>
      <c r="BM315" s="249"/>
      <c r="BN315" s="249"/>
      <c r="BO315" s="249"/>
      <c r="BP315" s="249"/>
      <c r="BQ315" s="249"/>
      <c r="BR315" s="249"/>
      <c r="BS315" s="249"/>
      <c r="BT315" s="249"/>
      <c r="BU315" s="249"/>
      <c r="BV315" s="249"/>
      <c r="BW315" s="249"/>
      <c r="BX315" s="249"/>
      <c r="BY315" s="249"/>
      <c r="BZ315" s="249"/>
      <c r="CA315" s="249"/>
      <c r="CB315" s="249"/>
      <c r="CC315" s="249"/>
      <c r="CD315" s="249"/>
      <c r="CE315" s="249"/>
      <c r="CF315" s="249"/>
      <c r="CG315" s="249"/>
      <c r="CH315" s="249"/>
      <c r="CI315" s="249"/>
      <c r="CJ315" s="249"/>
      <c r="CK315" s="249"/>
      <c r="CL315" s="249"/>
      <c r="CM315" s="249"/>
      <c r="CN315" s="249"/>
      <c r="CO315" s="249"/>
      <c r="CP315" s="249"/>
      <c r="CQ315" s="249"/>
      <c r="CR315" s="249"/>
      <c r="CS315" s="249"/>
      <c r="CT315" s="249"/>
      <c r="CU315" s="249"/>
      <c r="CV315" s="249"/>
      <c r="CW315" s="249"/>
      <c r="CX315" s="249"/>
      <c r="CY315" s="249"/>
      <c r="CZ315" s="249"/>
      <c r="DA315" s="249"/>
      <c r="DB315" s="249"/>
      <c r="DC315" s="249"/>
      <c r="DD315" s="249"/>
      <c r="DE315" s="249"/>
      <c r="DF315" s="249"/>
      <c r="DG315" s="249"/>
      <c r="DH315" s="249"/>
      <c r="DI315" s="249"/>
      <c r="DJ315" s="249"/>
      <c r="DK315" s="249"/>
      <c r="DL315" s="249"/>
      <c r="DM315" s="249"/>
      <c r="DN315" s="249"/>
      <c r="DO315" s="249"/>
      <c r="DP315" s="249"/>
      <c r="DQ315" s="249"/>
      <c r="DR315" s="249"/>
      <c r="DS315" s="249"/>
      <c r="DT315" s="249"/>
      <c r="DU315" s="249"/>
      <c r="DV315" s="249"/>
      <c r="DW315" s="249"/>
      <c r="DX315" s="249"/>
      <c r="DY315" s="249"/>
      <c r="DZ315" s="249"/>
      <c r="EA315" s="249"/>
      <c r="EB315" s="249"/>
      <c r="EC315" s="249"/>
      <c r="ED315" s="249"/>
      <c r="EE315" s="249"/>
      <c r="EF315" s="249"/>
      <c r="EG315" s="249"/>
      <c r="EH315" s="249"/>
      <c r="EI315" s="249"/>
      <c r="EJ315" s="249"/>
      <c r="EK315" s="249"/>
      <c r="EL315" s="249"/>
      <c r="EM315" s="249"/>
      <c r="EN315" s="249"/>
      <c r="EO315" s="249"/>
      <c r="EP315" s="249"/>
      <c r="EQ315" s="249"/>
      <c r="ER315" s="249"/>
      <c r="ES315" s="249"/>
      <c r="ET315" s="249"/>
      <c r="EU315" s="249"/>
      <c r="EV315" s="249"/>
      <c r="EW315" s="249"/>
      <c r="EX315" s="249"/>
      <c r="EY315" s="249"/>
      <c r="EZ315" s="249"/>
      <c r="FA315" s="249"/>
      <c r="FB315" s="249"/>
      <c r="FC315" s="249"/>
      <c r="FD315" s="249"/>
      <c r="FE315" s="249"/>
      <c r="FF315" s="249"/>
      <c r="FG315" s="249"/>
      <c r="FH315" s="249"/>
      <c r="FI315" s="249"/>
      <c r="FJ315" s="249"/>
      <c r="FK315" s="249"/>
      <c r="FL315" s="249"/>
      <c r="FM315" s="249"/>
      <c r="FN315" s="249"/>
      <c r="FO315" s="249"/>
      <c r="FP315" s="249"/>
      <c r="FQ315" s="249"/>
      <c r="FR315" s="249"/>
      <c r="FS315" s="249"/>
      <c r="FT315" s="249"/>
      <c r="FU315" s="249"/>
      <c r="FV315" s="249"/>
      <c r="FW315" s="249"/>
      <c r="FX315" s="249"/>
      <c r="FY315" s="249"/>
      <c r="FZ315" s="249"/>
      <c r="GA315" s="249"/>
      <c r="GB315" s="249"/>
      <c r="GC315" s="249"/>
      <c r="GD315" s="249"/>
      <c r="GE315" s="249"/>
      <c r="GF315" s="249"/>
      <c r="GG315" s="249"/>
      <c r="GH315" s="249"/>
      <c r="GI315" s="249"/>
      <c r="GJ315" s="249"/>
      <c r="GK315" s="249"/>
      <c r="GL315" s="249"/>
      <c r="GM315" s="249"/>
      <c r="GN315" s="249"/>
      <c r="GO315" s="249"/>
      <c r="GP315" s="249"/>
      <c r="GQ315" s="249"/>
      <c r="GR315" s="249"/>
    </row>
    <row r="316" spans="1:200" s="252" customFormat="1" ht="14.25" customHeight="1" x14ac:dyDescent="0.2">
      <c r="A316" s="722"/>
      <c r="B316" s="1123"/>
      <c r="C316" s="1123"/>
      <c r="D316" s="525"/>
      <c r="E316" s="599"/>
      <c r="F316" s="249"/>
      <c r="G316" s="250"/>
      <c r="H316" s="250"/>
      <c r="I316" s="250"/>
      <c r="J316" s="250"/>
      <c r="K316" s="250"/>
      <c r="L316" s="250"/>
      <c r="M316" s="250"/>
      <c r="N316" s="250"/>
      <c r="O316" s="250"/>
      <c r="P316" s="251"/>
      <c r="Q316" s="251"/>
      <c r="R316" s="251"/>
      <c r="S316" s="251"/>
      <c r="T316" s="251"/>
      <c r="U316" s="287" t="str">
        <f t="shared" si="75"/>
        <v>Yes</v>
      </c>
      <c r="V316" s="1971" t="str">
        <f>IF(U316="Yes",'Casings et al'!C40,'Casings et al'!I40)</f>
        <v>9-5/8" OD Casing; 47 PPF, Grade L80 (Blank)  BTC</v>
      </c>
      <c r="W316" s="286" t="s">
        <v>163</v>
      </c>
      <c r="X316" s="243"/>
      <c r="Y316" s="243"/>
      <c r="Z316" s="243">
        <f>IFERROR((VLOOKUP($V316,IF((INPUT!$D$7="Big Hole"),BHCSG,RHCSG),3,FALSE)*IF((VLOOKUP($V316,IF((INPUT!$D$7="Big Hole"),BHCSG,RHCSG),2,FALSE)=Z$278),1,0)),0)</f>
        <v>0</v>
      </c>
      <c r="AA316" s="243"/>
      <c r="AB316" s="243">
        <f>IFERROR((VLOOKUP($V316,IF((INPUT!$D$7="Big Hole"),BHCSG,RHCSG),3,FALSE)*IF((VLOOKUP(V316,IF((INPUT!$D$7="Big Hole"),BHCSG,RHCSG),2,FALSE)=AB$278),1,0)),0)</f>
        <v>0</v>
      </c>
      <c r="AC316" s="243"/>
      <c r="AD316" s="243">
        <f>IFERROR((VLOOKUP($V316,IF((INPUT!$D$7="Big Hole"),BHCSG,RHCSG),3,FALSE)*IF((VLOOKUP($V316,IF((INPUT!$D$7="Big Hole"),BHCSG,RHCSG),2,FALSE)=AD$278),1,0)),0)</f>
        <v>0</v>
      </c>
      <c r="AE316" s="243"/>
      <c r="AF316" s="243">
        <f>IFERROR((VLOOKUP($V316,IF((INPUT!$D$7="Big Hole"),BHCSG,RHCSG),3,FALSE)*IF((VLOOKUP($V316,IF((INPUT!$D$7="Big Hole"),BHCSG,RHCSG),2,FALSE)=AF$278),1,0)),0)</f>
        <v>0</v>
      </c>
      <c r="AG316" s="243"/>
      <c r="AH316" s="243">
        <f>IFERROR((VLOOKUP($V316,IF((INPUT!$D$7="Big Hole"),BHCSG,RHCSG),3,FALSE)*IF((VLOOKUP($V316,IF((INPUT!$D$7="Big Hole"),BHCSG,RHCSG),2,FALSE)=AH$278),1,0)),0)</f>
        <v>0</v>
      </c>
      <c r="AI316" s="243"/>
      <c r="AJ316" s="243">
        <f>IFERROR((VLOOKUP($V316,IF((INPUT!$D$7="Big Hole"),BHCSG,RHCSG),3,FALSE)*IF((VLOOKUP($V316,IF((INPUT!$D$7="Big Hole"),BHCSG,RHCSG),2,FALSE)=AJ$278),1,0)),0)</f>
        <v>0</v>
      </c>
      <c r="AK316" s="243"/>
      <c r="AL316" s="243"/>
      <c r="AM316" s="475"/>
      <c r="AN316" s="254"/>
      <c r="AO316" s="296"/>
      <c r="AP316" s="250"/>
      <c r="AQ316" s="250"/>
      <c r="AR316" s="250"/>
      <c r="AS316" s="250"/>
      <c r="AT316" s="250"/>
      <c r="AU316" s="250"/>
      <c r="AV316" s="249"/>
      <c r="AW316" s="249"/>
      <c r="AX316" s="249"/>
      <c r="AY316" s="249"/>
      <c r="AZ316" s="249"/>
      <c r="BA316" s="249"/>
      <c r="BB316" s="249"/>
      <c r="BC316" s="249"/>
      <c r="BD316" s="249"/>
      <c r="BE316" s="249"/>
      <c r="BF316" s="249"/>
      <c r="BG316" s="249"/>
      <c r="BH316" s="249"/>
      <c r="BI316" s="249"/>
      <c r="BJ316" s="249"/>
      <c r="BK316" s="249"/>
      <c r="BL316" s="249"/>
      <c r="BM316" s="249"/>
      <c r="BN316" s="249"/>
      <c r="BO316" s="249"/>
      <c r="BP316" s="249"/>
      <c r="BQ316" s="249"/>
      <c r="BR316" s="249"/>
      <c r="BS316" s="249"/>
      <c r="BT316" s="249"/>
      <c r="BU316" s="249"/>
      <c r="BV316" s="249"/>
      <c r="BW316" s="249"/>
      <c r="BX316" s="249"/>
      <c r="BY316" s="249"/>
      <c r="BZ316" s="249"/>
      <c r="CA316" s="249"/>
      <c r="CB316" s="249"/>
      <c r="CC316" s="249"/>
      <c r="CD316" s="249"/>
      <c r="CE316" s="249"/>
      <c r="CF316" s="249"/>
      <c r="CG316" s="249"/>
      <c r="CH316" s="249"/>
      <c r="CI316" s="249"/>
      <c r="CJ316" s="249"/>
      <c r="CK316" s="249"/>
      <c r="CL316" s="249"/>
      <c r="CM316" s="249"/>
      <c r="CN316" s="249"/>
      <c r="CO316" s="249"/>
      <c r="CP316" s="249"/>
      <c r="CQ316" s="249"/>
      <c r="CR316" s="249"/>
      <c r="CS316" s="249"/>
      <c r="CT316" s="249"/>
      <c r="CU316" s="249"/>
      <c r="CV316" s="249"/>
      <c r="CW316" s="249"/>
      <c r="CX316" s="249"/>
      <c r="CY316" s="249"/>
      <c r="CZ316" s="249"/>
      <c r="DA316" s="249"/>
      <c r="DB316" s="249"/>
      <c r="DC316" s="249"/>
      <c r="DD316" s="249"/>
      <c r="DE316" s="249"/>
      <c r="DF316" s="249"/>
      <c r="DG316" s="249"/>
      <c r="DH316" s="249"/>
      <c r="DI316" s="249"/>
      <c r="DJ316" s="249"/>
      <c r="DK316" s="249"/>
      <c r="DL316" s="249"/>
      <c r="DM316" s="249"/>
      <c r="DN316" s="249"/>
      <c r="DO316" s="249"/>
      <c r="DP316" s="249"/>
      <c r="DQ316" s="249"/>
      <c r="DR316" s="249"/>
      <c r="DS316" s="249"/>
      <c r="DT316" s="249"/>
      <c r="DU316" s="249"/>
      <c r="DV316" s="249"/>
      <c r="DW316" s="249"/>
      <c r="DX316" s="249"/>
      <c r="DY316" s="249"/>
      <c r="DZ316" s="249"/>
      <c r="EA316" s="249"/>
      <c r="EB316" s="249"/>
      <c r="EC316" s="249"/>
      <c r="ED316" s="249"/>
      <c r="EE316" s="249"/>
      <c r="EF316" s="249"/>
      <c r="EG316" s="249"/>
      <c r="EH316" s="249"/>
      <c r="EI316" s="249"/>
      <c r="EJ316" s="249"/>
      <c r="EK316" s="249"/>
      <c r="EL316" s="249"/>
      <c r="EM316" s="249"/>
      <c r="EN316" s="249"/>
      <c r="EO316" s="249"/>
      <c r="EP316" s="249"/>
      <c r="EQ316" s="249"/>
      <c r="ER316" s="249"/>
      <c r="ES316" s="249"/>
      <c r="ET316" s="249"/>
      <c r="EU316" s="249"/>
      <c r="EV316" s="249"/>
      <c r="EW316" s="249"/>
      <c r="EX316" s="249"/>
      <c r="EY316" s="249"/>
      <c r="EZ316" s="249"/>
      <c r="FA316" s="249"/>
      <c r="FB316" s="249"/>
      <c r="FC316" s="249"/>
      <c r="FD316" s="249"/>
      <c r="FE316" s="249"/>
      <c r="FF316" s="249"/>
      <c r="FG316" s="249"/>
      <c r="FH316" s="249"/>
      <c r="FI316" s="249"/>
      <c r="FJ316" s="249"/>
      <c r="FK316" s="249"/>
      <c r="FL316" s="249"/>
      <c r="FM316" s="249"/>
      <c r="FN316" s="249"/>
      <c r="FO316" s="249"/>
      <c r="FP316" s="249"/>
      <c r="FQ316" s="249"/>
      <c r="FR316" s="249"/>
      <c r="FS316" s="249"/>
      <c r="FT316" s="249"/>
      <c r="FU316" s="249"/>
      <c r="FV316" s="249"/>
      <c r="FW316" s="249"/>
      <c r="FX316" s="249"/>
      <c r="FY316" s="249"/>
      <c r="FZ316" s="249"/>
      <c r="GA316" s="249"/>
      <c r="GB316" s="249"/>
      <c r="GC316" s="249"/>
      <c r="GD316" s="249"/>
      <c r="GE316" s="249"/>
      <c r="GF316" s="249"/>
      <c r="GG316" s="249"/>
      <c r="GH316" s="249"/>
      <c r="GI316" s="249"/>
      <c r="GJ316" s="249"/>
      <c r="GK316" s="249"/>
      <c r="GL316" s="249"/>
      <c r="GM316" s="249"/>
      <c r="GN316" s="249"/>
      <c r="GO316" s="249"/>
      <c r="GP316" s="249"/>
      <c r="GQ316" s="249"/>
      <c r="GR316" s="249"/>
    </row>
    <row r="317" spans="1:200" s="252" customFormat="1" ht="14.25" customHeight="1" x14ac:dyDescent="0.2">
      <c r="A317" s="722"/>
      <c r="B317" s="1123"/>
      <c r="C317" s="1123"/>
      <c r="D317" s="525"/>
      <c r="E317" s="599"/>
      <c r="F317" s="249"/>
      <c r="G317" s="250"/>
      <c r="H317" s="250"/>
      <c r="I317" s="250"/>
      <c r="J317" s="250"/>
      <c r="K317" s="250"/>
      <c r="L317" s="250"/>
      <c r="M317" s="250"/>
      <c r="N317" s="250"/>
      <c r="O317" s="250"/>
      <c r="P317" s="251"/>
      <c r="Q317" s="251"/>
      <c r="R317" s="251"/>
      <c r="S317" s="251"/>
      <c r="T317" s="251"/>
      <c r="U317" s="287" t="str">
        <f t="shared" si="75"/>
        <v>Yes</v>
      </c>
      <c r="V317" s="1971" t="str">
        <f>IF(U317="Yes",'Casings et al'!C41,'Casings et al'!I41)</f>
        <v>9-5/8" OD Float Shoe BTC, 47ppf</v>
      </c>
      <c r="W317" s="286" t="s">
        <v>169</v>
      </c>
      <c r="X317" s="243"/>
      <c r="Y317" s="243"/>
      <c r="Z317" s="243">
        <f>IFERROR((VLOOKUP($V317,IF((INPUT!$D$7="Big Hole"),BHCSG,RHCSG),3,FALSE)*IF((VLOOKUP($V317,IF((INPUT!$D$7="Big Hole"),BHCSG,RHCSG),2,FALSE)=Z$278),1,0)),0)</f>
        <v>0</v>
      </c>
      <c r="AA317" s="243"/>
      <c r="AB317" s="243">
        <f>IFERROR((VLOOKUP($V317,IF((INPUT!$D$7="Big Hole"),BHCSG,RHCSG),3,FALSE)*IF((VLOOKUP(V317,IF((INPUT!$D$7="Big Hole"),BHCSG,RHCSG),2,FALSE)=AB$278),1,0)),0)</f>
        <v>0</v>
      </c>
      <c r="AC317" s="243"/>
      <c r="AD317" s="243">
        <f>IFERROR((VLOOKUP($V317,IF((INPUT!$D$7="Big Hole"),BHCSG,RHCSG),3,FALSE)*IF((VLOOKUP($V317,IF((INPUT!$D$7="Big Hole"),BHCSG,RHCSG),2,FALSE)=AD$278),1,0)),0)</f>
        <v>0</v>
      </c>
      <c r="AE317" s="243"/>
      <c r="AF317" s="243">
        <f>IFERROR((VLOOKUP($V317,IF((INPUT!$D$7="Big Hole"),BHCSG,RHCSG),3,FALSE)*IF((VLOOKUP($V317,IF((INPUT!$D$7="Big Hole"),BHCSG,RHCSG),2,FALSE)=AF$278),1,0)),0)</f>
        <v>0</v>
      </c>
      <c r="AG317" s="243"/>
      <c r="AH317" s="243">
        <f>IFERROR((VLOOKUP($V317,IF((INPUT!$D$7="Big Hole"),BHCSG,RHCSG),3,FALSE)*IF((VLOOKUP($V317,IF((INPUT!$D$7="Big Hole"),BHCSG,RHCSG),2,FALSE)=AH$278),1,0)),0)</f>
        <v>0</v>
      </c>
      <c r="AI317" s="243"/>
      <c r="AJ317" s="243">
        <f>IFERROR((VLOOKUP($V317,IF((INPUT!$D$7="Big Hole"),BHCSG,RHCSG),3,FALSE)*IF((VLOOKUP($V317,IF((INPUT!$D$7="Big Hole"),BHCSG,RHCSG),2,FALSE)=AJ$278),1,0)),0)</f>
        <v>0</v>
      </c>
      <c r="AK317" s="243">
        <f>IFERROR((VLOOKUP($V317,IF((INPUT!$D$7="Big Hole"),BHCSG,RHCSG),3,FALSE)*IF((VLOOKUP($V317,IF((INPUT!$D$7="Big Hole"),BHCSG,RHCSG),2,FALSE)=AK$278),1,0)),0)</f>
        <v>0</v>
      </c>
      <c r="AL317" s="243"/>
      <c r="AM317" s="475">
        <f t="shared" ref="AM317" si="79">SUM(X317:AL317)</f>
        <v>0</v>
      </c>
      <c r="AN317" s="172"/>
      <c r="AO317" s="296"/>
      <c r="AP317" s="250"/>
      <c r="AQ317" s="250"/>
      <c r="AR317" s="250"/>
      <c r="AS317" s="250"/>
      <c r="AT317" s="250"/>
      <c r="AU317" s="250"/>
      <c r="AV317" s="249"/>
      <c r="AW317" s="249"/>
      <c r="AX317" s="249"/>
      <c r="AY317" s="249"/>
      <c r="AZ317" s="249"/>
      <c r="BA317" s="249"/>
      <c r="BB317" s="249"/>
      <c r="BC317" s="249"/>
      <c r="BD317" s="249"/>
      <c r="BE317" s="249"/>
      <c r="BF317" s="249"/>
      <c r="BG317" s="249"/>
      <c r="BH317" s="249"/>
      <c r="BI317" s="249"/>
      <c r="BJ317" s="249"/>
      <c r="BK317" s="249"/>
      <c r="BL317" s="249"/>
      <c r="BM317" s="249"/>
      <c r="BN317" s="249"/>
      <c r="BO317" s="249"/>
      <c r="BP317" s="249"/>
      <c r="BQ317" s="249"/>
      <c r="BR317" s="249"/>
      <c r="BS317" s="249"/>
      <c r="BT317" s="249"/>
      <c r="BU317" s="249"/>
      <c r="BV317" s="249"/>
      <c r="BW317" s="249"/>
      <c r="BX317" s="249"/>
      <c r="BY317" s="249"/>
      <c r="BZ317" s="249"/>
      <c r="CA317" s="249"/>
      <c r="CB317" s="249"/>
      <c r="CC317" s="249"/>
      <c r="CD317" s="249"/>
      <c r="CE317" s="249"/>
      <c r="CF317" s="249"/>
      <c r="CG317" s="249"/>
      <c r="CH317" s="249"/>
      <c r="CI317" s="249"/>
      <c r="CJ317" s="249"/>
      <c r="CK317" s="249"/>
      <c r="CL317" s="249"/>
      <c r="CM317" s="249"/>
      <c r="CN317" s="249"/>
      <c r="CO317" s="249"/>
      <c r="CP317" s="249"/>
      <c r="CQ317" s="249"/>
      <c r="CR317" s="249"/>
      <c r="CS317" s="249"/>
      <c r="CT317" s="249"/>
      <c r="CU317" s="249"/>
      <c r="CV317" s="249"/>
      <c r="CW317" s="249"/>
      <c r="CX317" s="249"/>
      <c r="CY317" s="249"/>
      <c r="CZ317" s="249"/>
      <c r="DA317" s="249"/>
      <c r="DB317" s="249"/>
      <c r="DC317" s="249"/>
      <c r="DD317" s="249"/>
      <c r="DE317" s="249"/>
      <c r="DF317" s="249"/>
      <c r="DG317" s="249"/>
      <c r="DH317" s="249"/>
      <c r="DI317" s="249"/>
      <c r="DJ317" s="249"/>
      <c r="DK317" s="249"/>
      <c r="DL317" s="249"/>
      <c r="DM317" s="249"/>
      <c r="DN317" s="249"/>
      <c r="DO317" s="249"/>
      <c r="DP317" s="249"/>
      <c r="DQ317" s="249"/>
      <c r="DR317" s="249"/>
      <c r="DS317" s="249"/>
      <c r="DT317" s="249"/>
      <c r="DU317" s="249"/>
      <c r="DV317" s="249"/>
      <c r="DW317" s="249"/>
      <c r="DX317" s="249"/>
      <c r="DY317" s="249"/>
      <c r="DZ317" s="249"/>
      <c r="EA317" s="249"/>
      <c r="EB317" s="249"/>
      <c r="EC317" s="249"/>
      <c r="ED317" s="249"/>
      <c r="EE317" s="249"/>
      <c r="EF317" s="249"/>
      <c r="EG317" s="249"/>
      <c r="EH317" s="249"/>
      <c r="EI317" s="249"/>
      <c r="EJ317" s="249"/>
      <c r="EK317" s="249"/>
      <c r="EL317" s="249"/>
      <c r="EM317" s="249"/>
      <c r="EN317" s="249"/>
      <c r="EO317" s="249"/>
      <c r="EP317" s="249"/>
      <c r="EQ317" s="249"/>
      <c r="ER317" s="249"/>
      <c r="ES317" s="249"/>
      <c r="ET317" s="249"/>
      <c r="EU317" s="249"/>
      <c r="EV317" s="249"/>
      <c r="EW317" s="249"/>
      <c r="EX317" s="249"/>
      <c r="EY317" s="249"/>
      <c r="EZ317" s="249"/>
      <c r="FA317" s="249"/>
      <c r="FB317" s="249"/>
      <c r="FC317" s="249"/>
      <c r="FD317" s="249"/>
      <c r="FE317" s="249"/>
      <c r="FF317" s="249"/>
      <c r="FG317" s="249"/>
      <c r="FH317" s="249"/>
      <c r="FI317" s="249"/>
      <c r="FJ317" s="249"/>
      <c r="FK317" s="249"/>
      <c r="FL317" s="249"/>
      <c r="FM317" s="249"/>
      <c r="FN317" s="249"/>
      <c r="FO317" s="249"/>
      <c r="FP317" s="249"/>
      <c r="FQ317" s="249"/>
      <c r="FR317" s="249"/>
      <c r="FS317" s="249"/>
      <c r="FT317" s="249"/>
      <c r="FU317" s="249"/>
      <c r="FV317" s="249"/>
      <c r="FW317" s="249"/>
      <c r="FX317" s="249"/>
      <c r="FY317" s="249"/>
      <c r="FZ317" s="249"/>
      <c r="GA317" s="249"/>
      <c r="GB317" s="249"/>
      <c r="GC317" s="249"/>
      <c r="GD317" s="249"/>
      <c r="GE317" s="249"/>
      <c r="GF317" s="249"/>
      <c r="GG317" s="249"/>
      <c r="GH317" s="249"/>
      <c r="GI317" s="249"/>
      <c r="GJ317" s="249"/>
      <c r="GK317" s="249"/>
      <c r="GL317" s="249"/>
      <c r="GM317" s="249"/>
      <c r="GN317" s="249"/>
      <c r="GO317" s="249"/>
      <c r="GP317" s="249"/>
      <c r="GQ317" s="249"/>
      <c r="GR317" s="249"/>
    </row>
    <row r="318" spans="1:200" s="252" customFormat="1" ht="14.25" customHeight="1" x14ac:dyDescent="0.2">
      <c r="A318" s="722"/>
      <c r="B318" s="1123"/>
      <c r="C318" s="1123"/>
      <c r="D318" s="525"/>
      <c r="E318" s="599"/>
      <c r="F318" s="249"/>
      <c r="G318" s="250"/>
      <c r="H318" s="250"/>
      <c r="I318" s="250"/>
      <c r="J318" s="250"/>
      <c r="K318" s="250"/>
      <c r="L318" s="250"/>
      <c r="M318" s="250"/>
      <c r="N318" s="250"/>
      <c r="O318" s="250"/>
      <c r="P318" s="251"/>
      <c r="Q318" s="251"/>
      <c r="R318" s="251"/>
      <c r="S318" s="251"/>
      <c r="T318" s="251"/>
      <c r="U318" s="287" t="str">
        <f t="shared" si="75"/>
        <v>Yes</v>
      </c>
      <c r="V318" s="1971" t="str">
        <f>IF(U318="Yes",'Casings et al'!C42,'Casings et al'!I42)</f>
        <v>Liner Adaptor 13-3/8" X 9-5/8" (Liner Hanger)</v>
      </c>
      <c r="W318" s="286" t="s">
        <v>169</v>
      </c>
      <c r="X318" s="243"/>
      <c r="Y318" s="243"/>
      <c r="Z318" s="243">
        <f>IFERROR((VLOOKUP($V318,IF((INPUT!$D$7="Big Hole"),BHCSG,RHCSG),3,FALSE)*IF((VLOOKUP($V318,IF((INPUT!$D$7="Big Hole"),BHCSG,RHCSG),2,FALSE)=Z$278),1,0)),0)</f>
        <v>0</v>
      </c>
      <c r="AA318" s="243"/>
      <c r="AB318" s="243">
        <f>IFERROR((VLOOKUP($V318,IF((INPUT!$D$7="Big Hole"),BHCSG,RHCSG),3,FALSE)*IF((VLOOKUP(V318,IF((INPUT!$D$7="Big Hole"),BHCSG,RHCSG),2,FALSE)=AB$278),1,0)),0)</f>
        <v>0</v>
      </c>
      <c r="AC318" s="243"/>
      <c r="AD318" s="243">
        <f>IFERROR((VLOOKUP($V318,IF((INPUT!$D$7="Big Hole"),BHCSG,RHCSG),3,FALSE)*IF((VLOOKUP($V318,IF((INPUT!$D$7="Big Hole"),BHCSG,RHCSG),2,FALSE)=AD$278),1,0)),0)</f>
        <v>0</v>
      </c>
      <c r="AE318" s="243"/>
      <c r="AF318" s="243">
        <f>IFERROR((VLOOKUP($V318,IF((INPUT!$D$7="Big Hole"),BHCSG,RHCSG),3,FALSE)*IF((VLOOKUP($V318,IF((INPUT!$D$7="Big Hole"),BHCSG,RHCSG),2,FALSE)=AF$278),1,0)),0)</f>
        <v>0</v>
      </c>
      <c r="AG318" s="243"/>
      <c r="AH318" s="243">
        <f>IFERROR((VLOOKUP($V318,IF((INPUT!$D$7="Big Hole"),BHCSG,RHCSG),3,FALSE)*IF((VLOOKUP($V318,IF((INPUT!$D$7="Big Hole"),BHCSG,RHCSG),2,FALSE)=AH$278),1,0)),0)</f>
        <v>0</v>
      </c>
      <c r="AI318" s="243"/>
      <c r="AJ318" s="243">
        <f>IFERROR((VLOOKUP($V318,IF((INPUT!$D$7="Big Hole"),BHCSG,RHCSG),3,FALSE)*IF((VLOOKUP($V318,IF((INPUT!$D$7="Big Hole"),BHCSG,RHCSG),2,FALSE)=AJ$278),1,0)),0)</f>
        <v>0</v>
      </c>
      <c r="AK318" s="243">
        <f>IFERROR((VLOOKUP($V318,IF((INPUT!$D$7="Big Hole"),BHCSG,RHCSG),3,FALSE)*IF((VLOOKUP($V318,IF((INPUT!$D$7="Big Hole"),BHCSG,RHCSG),2,FALSE)=AK$278),1,0)),0)</f>
        <v>0</v>
      </c>
      <c r="AL318" s="243"/>
      <c r="AM318" s="475">
        <f t="shared" si="78"/>
        <v>0</v>
      </c>
      <c r="AN318" s="172"/>
      <c r="AO318" s="296"/>
      <c r="AP318" s="250"/>
      <c r="AQ318" s="250"/>
      <c r="AR318" s="250"/>
      <c r="AS318" s="250"/>
      <c r="AT318" s="250"/>
      <c r="AU318" s="250"/>
      <c r="AV318" s="249"/>
      <c r="AW318" s="249"/>
      <c r="AX318" s="249"/>
      <c r="AY318" s="249"/>
      <c r="AZ318" s="249"/>
      <c r="BA318" s="249"/>
      <c r="BB318" s="249"/>
      <c r="BC318" s="249"/>
      <c r="BD318" s="249"/>
      <c r="BE318" s="249"/>
      <c r="BF318" s="249"/>
      <c r="BG318" s="249"/>
      <c r="BH318" s="249"/>
      <c r="BI318" s="249"/>
      <c r="BJ318" s="249"/>
      <c r="BK318" s="249"/>
      <c r="BL318" s="249"/>
      <c r="BM318" s="249"/>
      <c r="BN318" s="249"/>
      <c r="BO318" s="249"/>
      <c r="BP318" s="249"/>
      <c r="BQ318" s="249"/>
      <c r="BR318" s="249"/>
      <c r="BS318" s="249"/>
      <c r="BT318" s="249"/>
      <c r="BU318" s="249"/>
      <c r="BV318" s="249"/>
      <c r="BW318" s="249"/>
      <c r="BX318" s="249"/>
      <c r="BY318" s="249"/>
      <c r="BZ318" s="249"/>
      <c r="CA318" s="249"/>
      <c r="CB318" s="249"/>
      <c r="CC318" s="249"/>
      <c r="CD318" s="249"/>
      <c r="CE318" s="249"/>
      <c r="CF318" s="249"/>
      <c r="CG318" s="249"/>
      <c r="CH318" s="249"/>
      <c r="CI318" s="249"/>
      <c r="CJ318" s="249"/>
      <c r="CK318" s="249"/>
      <c r="CL318" s="249"/>
      <c r="CM318" s="249"/>
      <c r="CN318" s="249"/>
      <c r="CO318" s="249"/>
      <c r="CP318" s="249"/>
      <c r="CQ318" s="249"/>
      <c r="CR318" s="249"/>
      <c r="CS318" s="249"/>
      <c r="CT318" s="249"/>
      <c r="CU318" s="249"/>
      <c r="CV318" s="249"/>
      <c r="CW318" s="249"/>
      <c r="CX318" s="249"/>
      <c r="CY318" s="249"/>
      <c r="CZ318" s="249"/>
      <c r="DA318" s="249"/>
      <c r="DB318" s="249"/>
      <c r="DC318" s="249"/>
      <c r="DD318" s="249"/>
      <c r="DE318" s="249"/>
      <c r="DF318" s="249"/>
      <c r="DG318" s="249"/>
      <c r="DH318" s="249"/>
      <c r="DI318" s="249"/>
      <c r="DJ318" s="249"/>
      <c r="DK318" s="249"/>
      <c r="DL318" s="249"/>
      <c r="DM318" s="249"/>
      <c r="DN318" s="249"/>
      <c r="DO318" s="249"/>
      <c r="DP318" s="249"/>
      <c r="DQ318" s="249"/>
      <c r="DR318" s="249"/>
      <c r="DS318" s="249"/>
      <c r="DT318" s="249"/>
      <c r="DU318" s="249"/>
      <c r="DV318" s="249"/>
      <c r="DW318" s="249"/>
      <c r="DX318" s="249"/>
      <c r="DY318" s="249"/>
      <c r="DZ318" s="249"/>
      <c r="EA318" s="249"/>
      <c r="EB318" s="249"/>
      <c r="EC318" s="249"/>
      <c r="ED318" s="249"/>
      <c r="EE318" s="249"/>
      <c r="EF318" s="249"/>
      <c r="EG318" s="249"/>
      <c r="EH318" s="249"/>
      <c r="EI318" s="249"/>
      <c r="EJ318" s="249"/>
      <c r="EK318" s="249"/>
      <c r="EL318" s="249"/>
      <c r="EM318" s="249"/>
      <c r="EN318" s="249"/>
      <c r="EO318" s="249"/>
      <c r="EP318" s="249"/>
      <c r="EQ318" s="249"/>
      <c r="ER318" s="249"/>
      <c r="ES318" s="249"/>
      <c r="ET318" s="249"/>
      <c r="EU318" s="249"/>
      <c r="EV318" s="249"/>
      <c r="EW318" s="249"/>
      <c r="EX318" s="249"/>
      <c r="EY318" s="249"/>
      <c r="EZ318" s="249"/>
      <c r="FA318" s="249"/>
      <c r="FB318" s="249"/>
      <c r="FC318" s="249"/>
      <c r="FD318" s="249"/>
      <c r="FE318" s="249"/>
      <c r="FF318" s="249"/>
      <c r="FG318" s="249"/>
      <c r="FH318" s="249"/>
      <c r="FI318" s="249"/>
      <c r="FJ318" s="249"/>
      <c r="FK318" s="249"/>
      <c r="FL318" s="249"/>
      <c r="FM318" s="249"/>
      <c r="FN318" s="249"/>
      <c r="FO318" s="249"/>
      <c r="FP318" s="249"/>
      <c r="FQ318" s="249"/>
      <c r="FR318" s="249"/>
      <c r="FS318" s="249"/>
      <c r="FT318" s="249"/>
      <c r="FU318" s="249"/>
      <c r="FV318" s="249"/>
      <c r="FW318" s="249"/>
      <c r="FX318" s="249"/>
      <c r="FY318" s="249"/>
      <c r="FZ318" s="249"/>
      <c r="GA318" s="249"/>
      <c r="GB318" s="249"/>
      <c r="GC318" s="249"/>
      <c r="GD318" s="249"/>
      <c r="GE318" s="249"/>
      <c r="GF318" s="249"/>
      <c r="GG318" s="249"/>
      <c r="GH318" s="249"/>
      <c r="GI318" s="249"/>
      <c r="GJ318" s="249"/>
      <c r="GK318" s="249"/>
      <c r="GL318" s="249"/>
      <c r="GM318" s="249"/>
      <c r="GN318" s="249"/>
      <c r="GO318" s="249"/>
      <c r="GP318" s="249"/>
      <c r="GQ318" s="249"/>
      <c r="GR318" s="249"/>
    </row>
    <row r="319" spans="1:200" s="252" customFormat="1" ht="14.25" customHeight="1" x14ac:dyDescent="0.2">
      <c r="A319" s="722"/>
      <c r="B319" s="1123"/>
      <c r="C319" s="1123"/>
      <c r="D319" s="525"/>
      <c r="E319" s="599"/>
      <c r="F319" s="249"/>
      <c r="G319" s="250"/>
      <c r="H319" s="250"/>
      <c r="I319" s="250"/>
      <c r="J319" s="250"/>
      <c r="K319" s="250"/>
      <c r="L319" s="250"/>
      <c r="M319" s="250"/>
      <c r="N319" s="250"/>
      <c r="O319" s="250"/>
      <c r="P319" s="251"/>
      <c r="Q319" s="251"/>
      <c r="R319" s="251"/>
      <c r="S319" s="251"/>
      <c r="T319" s="251"/>
      <c r="U319" s="287" t="str">
        <f t="shared" si="75"/>
        <v>Yes</v>
      </c>
      <c r="V319" s="1971" t="str">
        <f>IF(U319="Yes",'Casings et al'!C43,'Casings et al'!I43)</f>
        <v>Corrosion Ring, 4-1/2"IF &amp; 5"X Hole</v>
      </c>
      <c r="W319" s="286" t="s">
        <v>163</v>
      </c>
      <c r="X319" s="243"/>
      <c r="Y319" s="243"/>
      <c r="Z319" s="243">
        <f>IFERROR((VLOOKUP($V319,IF((INPUT!$D$7="Big Hole"),BHCSG,RHCSG),3,FALSE)*IF((VLOOKUP($V319,IF((INPUT!$D$7="Big Hole"),BHCSG,RHCSG),2,FALSE)=Z$278),1,0)),0)</f>
        <v>0</v>
      </c>
      <c r="AA319" s="243"/>
      <c r="AB319" s="243">
        <f>IFERROR((VLOOKUP($V319,IF((INPUT!$D$7="Big Hole"),BHCSG,RHCSG),3,FALSE)*IF((VLOOKUP(V319,IF((INPUT!$D$7="Big Hole"),BHCSG,RHCSG),2,FALSE)=AB$278),1,0)),0)</f>
        <v>0</v>
      </c>
      <c r="AC319" s="243"/>
      <c r="AD319" s="243">
        <f>IFERROR((VLOOKUP($V319,IF((INPUT!$D$7="Big Hole"),BHCSG,RHCSG),3,FALSE)*IF((VLOOKUP($V319,IF((INPUT!$D$7="Big Hole"),BHCSG,RHCSG),2,FALSE)=AD$278),1,0)),0)</f>
        <v>0</v>
      </c>
      <c r="AE319" s="243"/>
      <c r="AF319" s="243">
        <f>IFERROR((VLOOKUP($V319,IF((INPUT!$D$7="Big Hole"),BHCSG,RHCSG),3,FALSE)*IF((VLOOKUP($V319,IF((INPUT!$D$7="Big Hole"),BHCSG,RHCSG),2,FALSE)=AF$278),1,0)),0)</f>
        <v>0</v>
      </c>
      <c r="AG319" s="243"/>
      <c r="AH319" s="243">
        <f>IFERROR((VLOOKUP($V319,IF((INPUT!$D$7="Big Hole"),BHCSG,RHCSG),3,FALSE)*IF((VLOOKUP($V319,IF((INPUT!$D$7="Big Hole"),BHCSG,RHCSG),2,FALSE)=AH$278),1,0)),0)</f>
        <v>0</v>
      </c>
      <c r="AI319" s="243"/>
      <c r="AJ319" s="243">
        <f>IFERROR((VLOOKUP($V319,IF((INPUT!$D$7="Big Hole"),BHCSG,RHCSG),3,FALSE)*IF((VLOOKUP($V319,IF((INPUT!$D$7="Big Hole"),BHCSG,RHCSG),2,FALSE)=AJ$278),1,0)),0)</f>
        <v>0</v>
      </c>
      <c r="AK319" s="243">
        <f>IFERROR((VLOOKUP($V319,IF((INPUT!$D$7="Big Hole"),BHCSG,RHCSG),3,FALSE)*IF((VLOOKUP($V319,IF((INPUT!$D$7="Big Hole"),BHCSG,RHCSG),2,FALSE)=AK$278),1,0)),0)</f>
        <v>0</v>
      </c>
      <c r="AL319" s="243"/>
      <c r="AM319" s="475">
        <f t="shared" si="78"/>
        <v>0</v>
      </c>
      <c r="AN319" s="254"/>
      <c r="AO319" s="296"/>
      <c r="AP319" s="250"/>
      <c r="AQ319" s="250"/>
      <c r="AR319" s="250"/>
      <c r="AS319" s="250"/>
      <c r="AT319" s="250"/>
      <c r="AU319" s="250"/>
      <c r="AV319" s="249"/>
      <c r="AW319" s="249"/>
      <c r="AX319" s="249"/>
      <c r="AY319" s="249"/>
      <c r="AZ319" s="249"/>
      <c r="BA319" s="249"/>
      <c r="BB319" s="249"/>
      <c r="BC319" s="249"/>
      <c r="BD319" s="249"/>
      <c r="BE319" s="249"/>
      <c r="BF319" s="249"/>
      <c r="BG319" s="249"/>
      <c r="BH319" s="249"/>
      <c r="BI319" s="249"/>
      <c r="BJ319" s="249"/>
      <c r="BK319" s="249"/>
      <c r="BL319" s="249"/>
      <c r="BM319" s="249"/>
      <c r="BN319" s="249"/>
      <c r="BO319" s="249"/>
      <c r="BP319" s="249"/>
      <c r="BQ319" s="249"/>
      <c r="BR319" s="249"/>
      <c r="BS319" s="249"/>
      <c r="BT319" s="249"/>
      <c r="BU319" s="249"/>
      <c r="BV319" s="249"/>
      <c r="BW319" s="249"/>
      <c r="BX319" s="249"/>
      <c r="BY319" s="249"/>
      <c r="BZ319" s="249"/>
      <c r="CA319" s="249"/>
      <c r="CB319" s="249"/>
      <c r="CC319" s="249"/>
      <c r="CD319" s="249"/>
      <c r="CE319" s="249"/>
      <c r="CF319" s="249"/>
      <c r="CG319" s="249"/>
      <c r="CH319" s="249"/>
      <c r="CI319" s="249"/>
      <c r="CJ319" s="249"/>
      <c r="CK319" s="249"/>
      <c r="CL319" s="249"/>
      <c r="CM319" s="249"/>
      <c r="CN319" s="249"/>
      <c r="CO319" s="249"/>
      <c r="CP319" s="249"/>
      <c r="CQ319" s="249"/>
      <c r="CR319" s="249"/>
      <c r="CS319" s="249"/>
      <c r="CT319" s="249"/>
      <c r="CU319" s="249"/>
      <c r="CV319" s="249"/>
      <c r="CW319" s="249"/>
      <c r="CX319" s="249"/>
      <c r="CY319" s="249"/>
      <c r="CZ319" s="249"/>
      <c r="DA319" s="249"/>
      <c r="DB319" s="249"/>
      <c r="DC319" s="249"/>
      <c r="DD319" s="249"/>
      <c r="DE319" s="249"/>
      <c r="DF319" s="249"/>
      <c r="DG319" s="249"/>
      <c r="DH319" s="249"/>
      <c r="DI319" s="249"/>
      <c r="DJ319" s="249"/>
      <c r="DK319" s="249"/>
      <c r="DL319" s="249"/>
      <c r="DM319" s="249"/>
      <c r="DN319" s="249"/>
      <c r="DO319" s="249"/>
      <c r="DP319" s="249"/>
      <c r="DQ319" s="249"/>
      <c r="DR319" s="249"/>
      <c r="DS319" s="249"/>
      <c r="DT319" s="249"/>
      <c r="DU319" s="249"/>
      <c r="DV319" s="249"/>
      <c r="DW319" s="249"/>
      <c r="DX319" s="249"/>
      <c r="DY319" s="249"/>
      <c r="DZ319" s="249"/>
      <c r="EA319" s="249"/>
      <c r="EB319" s="249"/>
      <c r="EC319" s="249"/>
      <c r="ED319" s="249"/>
      <c r="EE319" s="249"/>
      <c r="EF319" s="249"/>
      <c r="EG319" s="249"/>
      <c r="EH319" s="249"/>
      <c r="EI319" s="249"/>
      <c r="EJ319" s="249"/>
      <c r="EK319" s="249"/>
      <c r="EL319" s="249"/>
      <c r="EM319" s="249"/>
      <c r="EN319" s="249"/>
      <c r="EO319" s="249"/>
      <c r="EP319" s="249"/>
      <c r="EQ319" s="249"/>
      <c r="ER319" s="249"/>
      <c r="ES319" s="249"/>
      <c r="ET319" s="249"/>
      <c r="EU319" s="249"/>
      <c r="EV319" s="249"/>
      <c r="EW319" s="249"/>
      <c r="EX319" s="249"/>
      <c r="EY319" s="249"/>
      <c r="EZ319" s="249"/>
      <c r="FA319" s="249"/>
      <c r="FB319" s="249"/>
      <c r="FC319" s="249"/>
      <c r="FD319" s="249"/>
      <c r="FE319" s="249"/>
      <c r="FF319" s="249"/>
      <c r="FG319" s="249"/>
      <c r="FH319" s="249"/>
      <c r="FI319" s="249"/>
      <c r="FJ319" s="249"/>
      <c r="FK319" s="249"/>
      <c r="FL319" s="249"/>
      <c r="FM319" s="249"/>
      <c r="FN319" s="249"/>
      <c r="FO319" s="249"/>
      <c r="FP319" s="249"/>
      <c r="FQ319" s="249"/>
      <c r="FR319" s="249"/>
      <c r="FS319" s="249"/>
      <c r="FT319" s="249"/>
      <c r="FU319" s="249"/>
      <c r="FV319" s="249"/>
      <c r="FW319" s="249"/>
      <c r="FX319" s="249"/>
      <c r="FY319" s="249"/>
      <c r="FZ319" s="249"/>
      <c r="GA319" s="249"/>
      <c r="GB319" s="249"/>
      <c r="GC319" s="249"/>
      <c r="GD319" s="249"/>
      <c r="GE319" s="249"/>
      <c r="GF319" s="249"/>
      <c r="GG319" s="249"/>
      <c r="GH319" s="249"/>
      <c r="GI319" s="249"/>
      <c r="GJ319" s="249"/>
      <c r="GK319" s="249"/>
      <c r="GL319" s="249"/>
      <c r="GM319" s="249"/>
      <c r="GN319" s="249"/>
      <c r="GO319" s="249"/>
      <c r="GP319" s="249"/>
      <c r="GQ319" s="249"/>
      <c r="GR319" s="249"/>
    </row>
    <row r="320" spans="1:200" s="252" customFormat="1" ht="12.75" customHeight="1" x14ac:dyDescent="0.2">
      <c r="A320" s="722"/>
      <c r="B320" s="1123"/>
      <c r="C320" s="1123"/>
      <c r="D320" s="525"/>
      <c r="E320" s="599"/>
      <c r="F320" s="249"/>
      <c r="G320" s="250"/>
      <c r="H320" s="250"/>
      <c r="I320" s="250"/>
      <c r="J320" s="250"/>
      <c r="K320" s="250"/>
      <c r="L320" s="250"/>
      <c r="M320" s="250"/>
      <c r="N320" s="250"/>
      <c r="O320" s="250"/>
      <c r="P320" s="251"/>
      <c r="Q320" s="251"/>
      <c r="R320" s="251"/>
      <c r="S320" s="251"/>
      <c r="T320" s="251"/>
      <c r="U320" s="2105" t="str">
        <f>IF(INPUT!$D$14="Yes","Yes","No")</f>
        <v>No</v>
      </c>
      <c r="V320" s="1971" t="str">
        <f>'Casings et al'!C39</f>
        <v>9-5/8" OD Casing; 43.5 PPF, Grade L80 (Perforated) BTC</v>
      </c>
      <c r="W320" s="286" t="s">
        <v>169</v>
      </c>
      <c r="X320" s="1834"/>
      <c r="Y320" s="1834"/>
      <c r="Z320" s="1834"/>
      <c r="AA320" s="1834"/>
      <c r="AB320" s="1834"/>
      <c r="AC320" s="1834"/>
      <c r="AD320" s="1834"/>
      <c r="AE320" s="1834"/>
      <c r="AF320" s="2103" t="str">
        <f>IF($U320="Yes",'Casings et al'!$E39,"0")</f>
        <v>0</v>
      </c>
      <c r="AG320" s="1834"/>
      <c r="AH320" s="1960">
        <f>IFERROR((VLOOKUP($V320,IF((INPUT!$D$7="Big Hole"),BHCSG,RHCSG),3,FALSE)*IF((VLOOKUP($V320,IF((INPUT!$D$7="Big Hole"),BHCSG,RHCSG),2,FALSE)=AH$278),1,0)),0)</f>
        <v>0</v>
      </c>
      <c r="AI320" s="243"/>
      <c r="AJ320" s="243"/>
      <c r="AK320" s="243"/>
      <c r="AL320" s="243"/>
      <c r="AM320" s="475"/>
      <c r="AN320" s="254"/>
      <c r="AO320" s="249"/>
      <c r="AP320" s="250"/>
      <c r="AQ320" s="250"/>
      <c r="AR320" s="250"/>
      <c r="AS320" s="250"/>
      <c r="AT320" s="250"/>
      <c r="AU320" s="250"/>
      <c r="AV320" s="249"/>
      <c r="AW320" s="249"/>
      <c r="AX320" s="249"/>
      <c r="AY320" s="249"/>
      <c r="AZ320" s="249"/>
      <c r="BA320" s="249"/>
      <c r="BB320" s="249"/>
      <c r="BC320" s="249"/>
      <c r="BD320" s="249"/>
      <c r="BE320" s="249"/>
      <c r="BF320" s="249"/>
      <c r="BG320" s="249"/>
      <c r="BH320" s="249"/>
      <c r="BI320" s="249"/>
      <c r="BJ320" s="249"/>
      <c r="BK320" s="249"/>
      <c r="BL320" s="249"/>
      <c r="BM320" s="249"/>
      <c r="BN320" s="249"/>
      <c r="BO320" s="249"/>
      <c r="BP320" s="249"/>
      <c r="BQ320" s="249"/>
      <c r="BR320" s="249"/>
      <c r="BS320" s="249"/>
      <c r="BT320" s="249"/>
      <c r="BU320" s="249"/>
      <c r="BV320" s="249"/>
      <c r="BW320" s="249"/>
      <c r="BX320" s="249"/>
      <c r="BY320" s="249"/>
      <c r="BZ320" s="249"/>
      <c r="CA320" s="249"/>
      <c r="CB320" s="249"/>
      <c r="CC320" s="249"/>
      <c r="CD320" s="249"/>
      <c r="CE320" s="249"/>
      <c r="CF320" s="249"/>
      <c r="CG320" s="249"/>
      <c r="CH320" s="249"/>
      <c r="CI320" s="249"/>
      <c r="CJ320" s="249"/>
      <c r="CK320" s="249"/>
      <c r="CL320" s="249"/>
      <c r="CM320" s="249"/>
      <c r="CN320" s="249"/>
      <c r="CO320" s="249"/>
      <c r="CP320" s="249"/>
      <c r="CQ320" s="249"/>
      <c r="CR320" s="249"/>
      <c r="CS320" s="249"/>
      <c r="CT320" s="249"/>
      <c r="CU320" s="249"/>
      <c r="CV320" s="249"/>
      <c r="CW320" s="249"/>
      <c r="CX320" s="249"/>
      <c r="CY320" s="249"/>
      <c r="CZ320" s="249"/>
      <c r="DA320" s="249"/>
      <c r="DB320" s="249"/>
      <c r="DC320" s="249"/>
      <c r="DD320" s="249"/>
      <c r="DE320" s="249"/>
      <c r="DF320" s="249"/>
      <c r="DG320" s="249"/>
      <c r="DH320" s="249"/>
      <c r="DI320" s="249"/>
      <c r="DJ320" s="249"/>
      <c r="DK320" s="249"/>
      <c r="DL320" s="249"/>
      <c r="DM320" s="249"/>
      <c r="DN320" s="249"/>
      <c r="DO320" s="249"/>
      <c r="DP320" s="249"/>
      <c r="DQ320" s="249"/>
      <c r="DR320" s="249"/>
      <c r="DS320" s="249"/>
      <c r="DT320" s="249"/>
      <c r="DU320" s="249"/>
      <c r="DV320" s="249"/>
      <c r="DW320" s="249"/>
      <c r="DX320" s="249"/>
      <c r="DY320" s="249"/>
      <c r="DZ320" s="249"/>
      <c r="EA320" s="249"/>
      <c r="EB320" s="249"/>
      <c r="EC320" s="249"/>
      <c r="ED320" s="249"/>
      <c r="EE320" s="249"/>
      <c r="EF320" s="249"/>
      <c r="EG320" s="249"/>
      <c r="EH320" s="249"/>
      <c r="EI320" s="249"/>
      <c r="EJ320" s="249"/>
      <c r="EK320" s="249"/>
      <c r="EL320" s="249"/>
      <c r="EM320" s="249"/>
      <c r="EN320" s="249"/>
      <c r="EO320" s="249"/>
      <c r="EP320" s="249"/>
      <c r="EQ320" s="249"/>
      <c r="ER320" s="249"/>
      <c r="ES320" s="249"/>
      <c r="ET320" s="249"/>
      <c r="EU320" s="249"/>
      <c r="EV320" s="249"/>
      <c r="EW320" s="249"/>
      <c r="EX320" s="249"/>
      <c r="EY320" s="249"/>
      <c r="EZ320" s="249"/>
      <c r="FA320" s="249"/>
      <c r="FB320" s="249"/>
      <c r="FC320" s="249"/>
      <c r="FD320" s="249"/>
      <c r="FE320" s="249"/>
      <c r="FF320" s="249"/>
      <c r="FG320" s="249"/>
      <c r="FH320" s="249"/>
      <c r="FI320" s="249"/>
      <c r="FJ320" s="249"/>
      <c r="FK320" s="249"/>
      <c r="FL320" s="249"/>
      <c r="FM320" s="249"/>
      <c r="FN320" s="249"/>
      <c r="FO320" s="249"/>
      <c r="FP320" s="249"/>
      <c r="FQ320" s="249"/>
      <c r="FR320" s="249"/>
      <c r="FS320" s="249"/>
      <c r="FT320" s="249"/>
      <c r="FU320" s="249"/>
      <c r="FV320" s="249"/>
      <c r="FW320" s="249"/>
      <c r="FX320" s="249"/>
      <c r="FY320" s="249"/>
      <c r="FZ320" s="249"/>
      <c r="GA320" s="249"/>
      <c r="GB320" s="249"/>
      <c r="GC320" s="249"/>
      <c r="GD320" s="249"/>
      <c r="GE320" s="249"/>
      <c r="GF320" s="249"/>
      <c r="GG320" s="249"/>
      <c r="GH320" s="249"/>
      <c r="GI320" s="249"/>
      <c r="GJ320" s="249"/>
      <c r="GK320" s="249"/>
      <c r="GL320" s="249"/>
      <c r="GM320" s="249"/>
      <c r="GN320" s="249"/>
      <c r="GO320" s="249"/>
      <c r="GP320" s="249"/>
      <c r="GQ320" s="249"/>
      <c r="GR320" s="249"/>
    </row>
    <row r="321" spans="1:200" s="252" customFormat="1" ht="12.75" customHeight="1" x14ac:dyDescent="0.2">
      <c r="A321" s="722"/>
      <c r="B321" s="1123"/>
      <c r="C321" s="1123"/>
      <c r="D321" s="525"/>
      <c r="E321" s="599"/>
      <c r="F321" s="249"/>
      <c r="G321" s="250"/>
      <c r="H321" s="250"/>
      <c r="I321" s="250"/>
      <c r="J321" s="250"/>
      <c r="K321" s="250"/>
      <c r="L321" s="250"/>
      <c r="M321" s="250"/>
      <c r="N321" s="250"/>
      <c r="O321" s="250"/>
      <c r="P321" s="251"/>
      <c r="Q321" s="251"/>
      <c r="R321" s="251"/>
      <c r="S321" s="251"/>
      <c r="T321" s="251"/>
      <c r="U321" s="2105" t="str">
        <f>IF(INPUT!$D$14="Yes","Yes","No")</f>
        <v>No</v>
      </c>
      <c r="V321" s="1971" t="str">
        <f>'Casings et al'!C40</f>
        <v>9-5/8" OD Casing; 47 PPF, Grade L80 (Blank)  BTC</v>
      </c>
      <c r="W321" s="286" t="s">
        <v>163</v>
      </c>
      <c r="X321" s="1834"/>
      <c r="Y321" s="1834"/>
      <c r="Z321" s="1834"/>
      <c r="AA321" s="1834"/>
      <c r="AB321" s="1834"/>
      <c r="AC321" s="1834"/>
      <c r="AD321" s="1834"/>
      <c r="AE321" s="1834"/>
      <c r="AF321" s="2103" t="str">
        <f>IF($U321="Yes",'Casings et al'!$E40,"0")</f>
        <v>0</v>
      </c>
      <c r="AG321" s="1834"/>
      <c r="AH321" s="1960">
        <f ca="1">IFERROR((VLOOKUP($V321,IF((INPUT!$D$7="Big Hole"),BHCSG,RHCSG),3,FALSE)*IF((VLOOKUP($V321,IF((INPUT!$D$7="Big Hole"),BHCSG,RHCSG),2,FALSE)=AH$278),1,0))*INDIRECT(AH278),0)</f>
        <v>0</v>
      </c>
      <c r="AI321" s="243"/>
      <c r="AJ321" s="243"/>
      <c r="AK321" s="243"/>
      <c r="AL321" s="243"/>
      <c r="AM321" s="475"/>
      <c r="AN321" s="254"/>
      <c r="AO321" s="249"/>
      <c r="AP321" s="250"/>
      <c r="AQ321" s="250"/>
      <c r="AR321" s="250"/>
      <c r="AS321" s="250"/>
      <c r="AT321" s="250"/>
      <c r="AU321" s="250"/>
      <c r="AV321" s="249"/>
      <c r="AW321" s="249"/>
      <c r="AX321" s="249"/>
      <c r="AY321" s="249"/>
      <c r="AZ321" s="249"/>
      <c r="BA321" s="249"/>
      <c r="BB321" s="249"/>
      <c r="BC321" s="249"/>
      <c r="BD321" s="249"/>
      <c r="BE321" s="249"/>
      <c r="BF321" s="249"/>
      <c r="BG321" s="249"/>
      <c r="BH321" s="249"/>
      <c r="BI321" s="249"/>
      <c r="BJ321" s="249"/>
      <c r="BK321" s="249"/>
      <c r="BL321" s="249"/>
      <c r="BM321" s="249"/>
      <c r="BN321" s="249"/>
      <c r="BO321" s="249"/>
      <c r="BP321" s="249"/>
      <c r="BQ321" s="249"/>
      <c r="BR321" s="249"/>
      <c r="BS321" s="249"/>
      <c r="BT321" s="249"/>
      <c r="BU321" s="249"/>
      <c r="BV321" s="249"/>
      <c r="BW321" s="249"/>
      <c r="BX321" s="249"/>
      <c r="BY321" s="249"/>
      <c r="BZ321" s="249"/>
      <c r="CA321" s="249"/>
      <c r="CB321" s="249"/>
      <c r="CC321" s="249"/>
      <c r="CD321" s="249"/>
      <c r="CE321" s="249"/>
      <c r="CF321" s="249"/>
      <c r="CG321" s="249"/>
      <c r="CH321" s="249"/>
      <c r="CI321" s="249"/>
      <c r="CJ321" s="249"/>
      <c r="CK321" s="249"/>
      <c r="CL321" s="249"/>
      <c r="CM321" s="249"/>
      <c r="CN321" s="249"/>
      <c r="CO321" s="249"/>
      <c r="CP321" s="249"/>
      <c r="CQ321" s="249"/>
      <c r="CR321" s="249"/>
      <c r="CS321" s="249"/>
      <c r="CT321" s="249"/>
      <c r="CU321" s="249"/>
      <c r="CV321" s="249"/>
      <c r="CW321" s="249"/>
      <c r="CX321" s="249"/>
      <c r="CY321" s="249"/>
      <c r="CZ321" s="249"/>
      <c r="DA321" s="249"/>
      <c r="DB321" s="249"/>
      <c r="DC321" s="249"/>
      <c r="DD321" s="249"/>
      <c r="DE321" s="249"/>
      <c r="DF321" s="249"/>
      <c r="DG321" s="249"/>
      <c r="DH321" s="249"/>
      <c r="DI321" s="249"/>
      <c r="DJ321" s="249"/>
      <c r="DK321" s="249"/>
      <c r="DL321" s="249"/>
      <c r="DM321" s="249"/>
      <c r="DN321" s="249"/>
      <c r="DO321" s="249"/>
      <c r="DP321" s="249"/>
      <c r="DQ321" s="249"/>
      <c r="DR321" s="249"/>
      <c r="DS321" s="249"/>
      <c r="DT321" s="249"/>
      <c r="DU321" s="249"/>
      <c r="DV321" s="249"/>
      <c r="DW321" s="249"/>
      <c r="DX321" s="249"/>
      <c r="DY321" s="249"/>
      <c r="DZ321" s="249"/>
      <c r="EA321" s="249"/>
      <c r="EB321" s="249"/>
      <c r="EC321" s="249"/>
      <c r="ED321" s="249"/>
      <c r="EE321" s="249"/>
      <c r="EF321" s="249"/>
      <c r="EG321" s="249"/>
      <c r="EH321" s="249"/>
      <c r="EI321" s="249"/>
      <c r="EJ321" s="249"/>
      <c r="EK321" s="249"/>
      <c r="EL321" s="249"/>
      <c r="EM321" s="249"/>
      <c r="EN321" s="249"/>
      <c r="EO321" s="249"/>
      <c r="EP321" s="249"/>
      <c r="EQ321" s="249"/>
      <c r="ER321" s="249"/>
      <c r="ES321" s="249"/>
      <c r="ET321" s="249"/>
      <c r="EU321" s="249"/>
      <c r="EV321" s="249"/>
      <c r="EW321" s="249"/>
      <c r="EX321" s="249"/>
      <c r="EY321" s="249"/>
      <c r="EZ321" s="249"/>
      <c r="FA321" s="249"/>
      <c r="FB321" s="249"/>
      <c r="FC321" s="249"/>
      <c r="FD321" s="249"/>
      <c r="FE321" s="249"/>
      <c r="FF321" s="249"/>
      <c r="FG321" s="249"/>
      <c r="FH321" s="249"/>
      <c r="FI321" s="249"/>
      <c r="FJ321" s="249"/>
      <c r="FK321" s="249"/>
      <c r="FL321" s="249"/>
      <c r="FM321" s="249"/>
      <c r="FN321" s="249"/>
      <c r="FO321" s="249"/>
      <c r="FP321" s="249"/>
      <c r="FQ321" s="249"/>
      <c r="FR321" s="249"/>
      <c r="FS321" s="249"/>
      <c r="FT321" s="249"/>
      <c r="FU321" s="249"/>
      <c r="FV321" s="249"/>
      <c r="FW321" s="249"/>
      <c r="FX321" s="249"/>
      <c r="FY321" s="249"/>
      <c r="FZ321" s="249"/>
      <c r="GA321" s="249"/>
      <c r="GB321" s="249"/>
      <c r="GC321" s="249"/>
      <c r="GD321" s="249"/>
      <c r="GE321" s="249"/>
      <c r="GF321" s="249"/>
      <c r="GG321" s="249"/>
      <c r="GH321" s="249"/>
      <c r="GI321" s="249"/>
      <c r="GJ321" s="249"/>
      <c r="GK321" s="249"/>
      <c r="GL321" s="249"/>
      <c r="GM321" s="249"/>
      <c r="GN321" s="249"/>
      <c r="GO321" s="249"/>
      <c r="GP321" s="249"/>
      <c r="GQ321" s="249"/>
      <c r="GR321" s="249"/>
    </row>
    <row r="322" spans="1:200" s="252" customFormat="1" ht="12.75" customHeight="1" x14ac:dyDescent="0.2">
      <c r="A322" s="722"/>
      <c r="B322" s="1123"/>
      <c r="C322" s="1123"/>
      <c r="D322" s="525"/>
      <c r="E322" s="599"/>
      <c r="F322" s="249"/>
      <c r="G322" s="250"/>
      <c r="H322" s="250"/>
      <c r="I322" s="250"/>
      <c r="J322" s="250"/>
      <c r="K322" s="250"/>
      <c r="L322" s="250"/>
      <c r="M322" s="250"/>
      <c r="N322" s="250"/>
      <c r="O322" s="250"/>
      <c r="P322" s="251"/>
      <c r="Q322" s="251"/>
      <c r="R322" s="251"/>
      <c r="S322" s="251"/>
      <c r="T322" s="251"/>
      <c r="U322" s="2105" t="str">
        <f>IF(INPUT!$D$14="Yes","Yes","No")</f>
        <v>No</v>
      </c>
      <c r="V322" s="1971" t="str">
        <f>'Casings et al'!C41</f>
        <v>9-5/8" OD Float Shoe BTC, 47ppf</v>
      </c>
      <c r="W322" s="286" t="s">
        <v>163</v>
      </c>
      <c r="X322" s="1834"/>
      <c r="Y322" s="1834"/>
      <c r="Z322" s="1834"/>
      <c r="AA322" s="1834"/>
      <c r="AB322" s="1834"/>
      <c r="AC322" s="1834"/>
      <c r="AD322" s="1834"/>
      <c r="AE322" s="1834"/>
      <c r="AF322" s="2103" t="str">
        <f>IF($U322="Yes",'Casings et al'!$E41,"0")</f>
        <v>0</v>
      </c>
      <c r="AG322" s="1834"/>
      <c r="AH322" s="1960">
        <f>IFERROR((VLOOKUP($V322,IF((INPUT!$D$7="Big Hole"),BHCSG,RHCSG),3,FALSE)*IF((VLOOKUP($V322,IF((INPUT!$D$7="Big Hole"),BHCSG,RHCSG),2,FALSE)=AH$278),1,0)),0)</f>
        <v>0</v>
      </c>
      <c r="AI322" s="243"/>
      <c r="AJ322" s="243"/>
      <c r="AK322" s="243"/>
      <c r="AL322" s="243"/>
      <c r="AM322" s="475"/>
      <c r="AN322" s="254"/>
      <c r="AO322" s="249"/>
      <c r="AP322" s="250"/>
      <c r="AQ322" s="250"/>
      <c r="AR322" s="250"/>
      <c r="AS322" s="250"/>
      <c r="AT322" s="250"/>
      <c r="AU322" s="250"/>
      <c r="AV322" s="249"/>
      <c r="AW322" s="249"/>
      <c r="AX322" s="249"/>
      <c r="AY322" s="249"/>
      <c r="AZ322" s="249"/>
      <c r="BA322" s="249"/>
      <c r="BB322" s="249"/>
      <c r="BC322" s="249"/>
      <c r="BD322" s="249"/>
      <c r="BE322" s="249"/>
      <c r="BF322" s="249"/>
      <c r="BG322" s="249"/>
      <c r="BH322" s="249"/>
      <c r="BI322" s="249"/>
      <c r="BJ322" s="249"/>
      <c r="BK322" s="249"/>
      <c r="BL322" s="249"/>
      <c r="BM322" s="249"/>
      <c r="BN322" s="249"/>
      <c r="BO322" s="249"/>
      <c r="BP322" s="249"/>
      <c r="BQ322" s="249"/>
      <c r="BR322" s="249"/>
      <c r="BS322" s="249"/>
      <c r="BT322" s="249"/>
      <c r="BU322" s="249"/>
      <c r="BV322" s="249"/>
      <c r="BW322" s="249"/>
      <c r="BX322" s="249"/>
      <c r="BY322" s="249"/>
      <c r="BZ322" s="249"/>
      <c r="CA322" s="249"/>
      <c r="CB322" s="249"/>
      <c r="CC322" s="249"/>
      <c r="CD322" s="249"/>
      <c r="CE322" s="249"/>
      <c r="CF322" s="249"/>
      <c r="CG322" s="249"/>
      <c r="CH322" s="249"/>
      <c r="CI322" s="249"/>
      <c r="CJ322" s="249"/>
      <c r="CK322" s="249"/>
      <c r="CL322" s="249"/>
      <c r="CM322" s="249"/>
      <c r="CN322" s="249"/>
      <c r="CO322" s="249"/>
      <c r="CP322" s="249"/>
      <c r="CQ322" s="249"/>
      <c r="CR322" s="249"/>
      <c r="CS322" s="249"/>
      <c r="CT322" s="249"/>
      <c r="CU322" s="249"/>
      <c r="CV322" s="249"/>
      <c r="CW322" s="249"/>
      <c r="CX322" s="249"/>
      <c r="CY322" s="249"/>
      <c r="CZ322" s="249"/>
      <c r="DA322" s="249"/>
      <c r="DB322" s="249"/>
      <c r="DC322" s="249"/>
      <c r="DD322" s="249"/>
      <c r="DE322" s="249"/>
      <c r="DF322" s="249"/>
      <c r="DG322" s="249"/>
      <c r="DH322" s="249"/>
      <c r="DI322" s="249"/>
      <c r="DJ322" s="249"/>
      <c r="DK322" s="249"/>
      <c r="DL322" s="249"/>
      <c r="DM322" s="249"/>
      <c r="DN322" s="249"/>
      <c r="DO322" s="249"/>
      <c r="DP322" s="249"/>
      <c r="DQ322" s="249"/>
      <c r="DR322" s="249"/>
      <c r="DS322" s="249"/>
      <c r="DT322" s="249"/>
      <c r="DU322" s="249"/>
      <c r="DV322" s="249"/>
      <c r="DW322" s="249"/>
      <c r="DX322" s="249"/>
      <c r="DY322" s="249"/>
      <c r="DZ322" s="249"/>
      <c r="EA322" s="249"/>
      <c r="EB322" s="249"/>
      <c r="EC322" s="249"/>
      <c r="ED322" s="249"/>
      <c r="EE322" s="249"/>
      <c r="EF322" s="249"/>
      <c r="EG322" s="249"/>
      <c r="EH322" s="249"/>
      <c r="EI322" s="249"/>
      <c r="EJ322" s="249"/>
      <c r="EK322" s="249"/>
      <c r="EL322" s="249"/>
      <c r="EM322" s="249"/>
      <c r="EN322" s="249"/>
      <c r="EO322" s="249"/>
      <c r="EP322" s="249"/>
      <c r="EQ322" s="249"/>
      <c r="ER322" s="249"/>
      <c r="ES322" s="249"/>
      <c r="ET322" s="249"/>
      <c r="EU322" s="249"/>
      <c r="EV322" s="249"/>
      <c r="EW322" s="249"/>
      <c r="EX322" s="249"/>
      <c r="EY322" s="249"/>
      <c r="EZ322" s="249"/>
      <c r="FA322" s="249"/>
      <c r="FB322" s="249"/>
      <c r="FC322" s="249"/>
      <c r="FD322" s="249"/>
      <c r="FE322" s="249"/>
      <c r="FF322" s="249"/>
      <c r="FG322" s="249"/>
      <c r="FH322" s="249"/>
      <c r="FI322" s="249"/>
      <c r="FJ322" s="249"/>
      <c r="FK322" s="249"/>
      <c r="FL322" s="249"/>
      <c r="FM322" s="249"/>
      <c r="FN322" s="249"/>
      <c r="FO322" s="249"/>
      <c r="FP322" s="249"/>
      <c r="FQ322" s="249"/>
      <c r="FR322" s="249"/>
      <c r="FS322" s="249"/>
      <c r="FT322" s="249"/>
      <c r="FU322" s="249"/>
      <c r="FV322" s="249"/>
      <c r="FW322" s="249"/>
      <c r="FX322" s="249"/>
      <c r="FY322" s="249"/>
      <c r="FZ322" s="249"/>
      <c r="GA322" s="249"/>
      <c r="GB322" s="249"/>
      <c r="GC322" s="249"/>
      <c r="GD322" s="249"/>
      <c r="GE322" s="249"/>
      <c r="GF322" s="249"/>
      <c r="GG322" s="249"/>
      <c r="GH322" s="249"/>
      <c r="GI322" s="249"/>
      <c r="GJ322" s="249"/>
      <c r="GK322" s="249"/>
      <c r="GL322" s="249"/>
      <c r="GM322" s="249"/>
      <c r="GN322" s="249"/>
      <c r="GO322" s="249"/>
      <c r="GP322" s="249"/>
      <c r="GQ322" s="249"/>
      <c r="GR322" s="249"/>
    </row>
    <row r="323" spans="1:200" s="252" customFormat="1" ht="12.75" customHeight="1" x14ac:dyDescent="0.2">
      <c r="A323" s="722"/>
      <c r="B323" s="1123"/>
      <c r="C323" s="1123"/>
      <c r="D323" s="525"/>
      <c r="E323" s="599"/>
      <c r="F323" s="249"/>
      <c r="G323" s="250"/>
      <c r="H323" s="250"/>
      <c r="I323" s="250"/>
      <c r="J323" s="250"/>
      <c r="K323" s="250"/>
      <c r="L323" s="250"/>
      <c r="M323" s="250"/>
      <c r="N323" s="250"/>
      <c r="O323" s="250"/>
      <c r="P323" s="251"/>
      <c r="Q323" s="251"/>
      <c r="R323" s="251"/>
      <c r="S323" s="251"/>
      <c r="T323" s="251"/>
      <c r="U323" s="2105" t="str">
        <f>IF(INPUT!$D$14="Yes","Yes","No")</f>
        <v>No</v>
      </c>
      <c r="V323" s="1971" t="str">
        <f>'Casings et al'!C42</f>
        <v>Liner Adaptor 13-3/8" X 9-5/8" (Liner Hanger)</v>
      </c>
      <c r="W323" s="286" t="s">
        <v>163</v>
      </c>
      <c r="X323" s="1834"/>
      <c r="Y323" s="1834"/>
      <c r="Z323" s="1834"/>
      <c r="AA323" s="1834"/>
      <c r="AB323" s="1834"/>
      <c r="AC323" s="1834"/>
      <c r="AD323" s="1834"/>
      <c r="AE323" s="1834"/>
      <c r="AF323" s="2103" t="str">
        <f>IF($U323="Yes",'Casings et al'!$E42,"0")</f>
        <v>0</v>
      </c>
      <c r="AG323" s="1834"/>
      <c r="AH323" s="1960">
        <f>IFERROR((VLOOKUP($V323,IF((INPUT!$D$7="Big Hole"),BHCSG,RHCSG),3,FALSE)*IF((VLOOKUP($V323,IF((INPUT!$D$7="Big Hole"),BHCSG,RHCSG),2,FALSE)=AH$278),1,0)),0)</f>
        <v>0</v>
      </c>
      <c r="AI323" s="243"/>
      <c r="AJ323" s="243"/>
      <c r="AK323" s="243"/>
      <c r="AL323" s="243"/>
      <c r="AM323" s="475"/>
      <c r="AN323" s="254"/>
      <c r="AO323" s="249"/>
      <c r="AP323" s="250"/>
      <c r="AQ323" s="250"/>
      <c r="AR323" s="250"/>
      <c r="AS323" s="250"/>
      <c r="AT323" s="250"/>
      <c r="AU323" s="250"/>
      <c r="AV323" s="249"/>
      <c r="AW323" s="249"/>
      <c r="AX323" s="249"/>
      <c r="AY323" s="249"/>
      <c r="AZ323" s="249"/>
      <c r="BA323" s="249"/>
      <c r="BB323" s="249"/>
      <c r="BC323" s="249"/>
      <c r="BD323" s="249"/>
      <c r="BE323" s="249"/>
      <c r="BF323" s="249"/>
      <c r="BG323" s="249"/>
      <c r="BH323" s="249"/>
      <c r="BI323" s="249"/>
      <c r="BJ323" s="249"/>
      <c r="BK323" s="249"/>
      <c r="BL323" s="249"/>
      <c r="BM323" s="249"/>
      <c r="BN323" s="249"/>
      <c r="BO323" s="249"/>
      <c r="BP323" s="249"/>
      <c r="BQ323" s="249"/>
      <c r="BR323" s="249"/>
      <c r="BS323" s="249"/>
      <c r="BT323" s="249"/>
      <c r="BU323" s="249"/>
      <c r="BV323" s="249"/>
      <c r="BW323" s="249"/>
      <c r="BX323" s="249"/>
      <c r="BY323" s="249"/>
      <c r="BZ323" s="249"/>
      <c r="CA323" s="249"/>
      <c r="CB323" s="249"/>
      <c r="CC323" s="249"/>
      <c r="CD323" s="249"/>
      <c r="CE323" s="249"/>
      <c r="CF323" s="249"/>
      <c r="CG323" s="249"/>
      <c r="CH323" s="249"/>
      <c r="CI323" s="249"/>
      <c r="CJ323" s="249"/>
      <c r="CK323" s="249"/>
      <c r="CL323" s="249"/>
      <c r="CM323" s="249"/>
      <c r="CN323" s="249"/>
      <c r="CO323" s="249"/>
      <c r="CP323" s="249"/>
      <c r="CQ323" s="249"/>
      <c r="CR323" s="249"/>
      <c r="CS323" s="249"/>
      <c r="CT323" s="249"/>
      <c r="CU323" s="249"/>
      <c r="CV323" s="249"/>
      <c r="CW323" s="249"/>
      <c r="CX323" s="249"/>
      <c r="CY323" s="249"/>
      <c r="CZ323" s="249"/>
      <c r="DA323" s="249"/>
      <c r="DB323" s="249"/>
      <c r="DC323" s="249"/>
      <c r="DD323" s="249"/>
      <c r="DE323" s="249"/>
      <c r="DF323" s="249"/>
      <c r="DG323" s="249"/>
      <c r="DH323" s="249"/>
      <c r="DI323" s="249"/>
      <c r="DJ323" s="249"/>
      <c r="DK323" s="249"/>
      <c r="DL323" s="249"/>
      <c r="DM323" s="249"/>
      <c r="DN323" s="249"/>
      <c r="DO323" s="249"/>
      <c r="DP323" s="249"/>
      <c r="DQ323" s="249"/>
      <c r="DR323" s="249"/>
      <c r="DS323" s="249"/>
      <c r="DT323" s="249"/>
      <c r="DU323" s="249"/>
      <c r="DV323" s="249"/>
      <c r="DW323" s="249"/>
      <c r="DX323" s="249"/>
      <c r="DY323" s="249"/>
      <c r="DZ323" s="249"/>
      <c r="EA323" s="249"/>
      <c r="EB323" s="249"/>
      <c r="EC323" s="249"/>
      <c r="ED323" s="249"/>
      <c r="EE323" s="249"/>
      <c r="EF323" s="249"/>
      <c r="EG323" s="249"/>
      <c r="EH323" s="249"/>
      <c r="EI323" s="249"/>
      <c r="EJ323" s="249"/>
      <c r="EK323" s="249"/>
      <c r="EL323" s="249"/>
      <c r="EM323" s="249"/>
      <c r="EN323" s="249"/>
      <c r="EO323" s="249"/>
      <c r="EP323" s="249"/>
      <c r="EQ323" s="249"/>
      <c r="ER323" s="249"/>
      <c r="ES323" s="249"/>
      <c r="ET323" s="249"/>
      <c r="EU323" s="249"/>
      <c r="EV323" s="249"/>
      <c r="EW323" s="249"/>
      <c r="EX323" s="249"/>
      <c r="EY323" s="249"/>
      <c r="EZ323" s="249"/>
      <c r="FA323" s="249"/>
      <c r="FB323" s="249"/>
      <c r="FC323" s="249"/>
      <c r="FD323" s="249"/>
      <c r="FE323" s="249"/>
      <c r="FF323" s="249"/>
      <c r="FG323" s="249"/>
      <c r="FH323" s="249"/>
      <c r="FI323" s="249"/>
      <c r="FJ323" s="249"/>
      <c r="FK323" s="249"/>
      <c r="FL323" s="249"/>
      <c r="FM323" s="249"/>
      <c r="FN323" s="249"/>
      <c r="FO323" s="249"/>
      <c r="FP323" s="249"/>
      <c r="FQ323" s="249"/>
      <c r="FR323" s="249"/>
      <c r="FS323" s="249"/>
      <c r="FT323" s="249"/>
      <c r="FU323" s="249"/>
      <c r="FV323" s="249"/>
      <c r="FW323" s="249"/>
      <c r="FX323" s="249"/>
      <c r="FY323" s="249"/>
      <c r="FZ323" s="249"/>
      <c r="GA323" s="249"/>
      <c r="GB323" s="249"/>
      <c r="GC323" s="249"/>
      <c r="GD323" s="249"/>
      <c r="GE323" s="249"/>
      <c r="GF323" s="249"/>
      <c r="GG323" s="249"/>
      <c r="GH323" s="249"/>
      <c r="GI323" s="249"/>
      <c r="GJ323" s="249"/>
      <c r="GK323" s="249"/>
      <c r="GL323" s="249"/>
      <c r="GM323" s="249"/>
      <c r="GN323" s="249"/>
      <c r="GO323" s="249"/>
      <c r="GP323" s="249"/>
      <c r="GQ323" s="249"/>
      <c r="GR323" s="249"/>
    </row>
    <row r="324" spans="1:200" s="252" customFormat="1" ht="12.75" customHeight="1" x14ac:dyDescent="0.2">
      <c r="A324" s="722"/>
      <c r="B324" s="1123"/>
      <c r="C324" s="1123"/>
      <c r="D324" s="525"/>
      <c r="E324" s="599"/>
      <c r="F324" s="249"/>
      <c r="G324" s="250"/>
      <c r="H324" s="250"/>
      <c r="I324" s="250"/>
      <c r="J324" s="250"/>
      <c r="K324" s="250"/>
      <c r="L324" s="250"/>
      <c r="M324" s="250"/>
      <c r="N324" s="250"/>
      <c r="O324" s="250"/>
      <c r="P324" s="251"/>
      <c r="Q324" s="251"/>
      <c r="R324" s="251"/>
      <c r="S324" s="251"/>
      <c r="T324" s="251"/>
      <c r="U324" s="2105" t="str">
        <f>IF(INPUT!$D$14="Yes","Yes","No")</f>
        <v>No</v>
      </c>
      <c r="V324" s="1971" t="str">
        <f>'Casings et al'!C43</f>
        <v>Corrosion Ring, 4-1/2"IF &amp; 5"X Hole</v>
      </c>
      <c r="W324" s="286" t="s">
        <v>163</v>
      </c>
      <c r="X324" s="1834"/>
      <c r="Y324" s="1834"/>
      <c r="Z324" s="1834"/>
      <c r="AA324" s="1834"/>
      <c r="AB324" s="1834"/>
      <c r="AC324" s="1834"/>
      <c r="AD324" s="1834"/>
      <c r="AE324" s="1834"/>
      <c r="AF324" s="2103" t="str">
        <f>IF($U324="Yes",'Casings et al'!$E43,"0")</f>
        <v>0</v>
      </c>
      <c r="AG324" s="1834"/>
      <c r="AH324" s="1960">
        <f>IFERROR((VLOOKUP($V324,IF((INPUT!$D$7="Big Hole"),BHCSG,RHCSG),3,FALSE)*IF((VLOOKUP($V324,IF((INPUT!$D$7="Big Hole"),BHCSG,RHCSG),2,FALSE)=AH$278),1,0)),0)</f>
        <v>0</v>
      </c>
      <c r="AI324" s="243"/>
      <c r="AJ324" s="243"/>
      <c r="AK324" s="243"/>
      <c r="AL324" s="243"/>
      <c r="AM324" s="475"/>
      <c r="AN324" s="254"/>
      <c r="AO324" s="249"/>
      <c r="AP324" s="250"/>
      <c r="AQ324" s="250"/>
      <c r="AR324" s="250"/>
      <c r="AS324" s="250"/>
      <c r="AT324" s="250"/>
      <c r="AU324" s="250"/>
      <c r="AV324" s="249"/>
      <c r="AW324" s="249"/>
      <c r="AX324" s="249"/>
      <c r="AY324" s="249"/>
      <c r="AZ324" s="249"/>
      <c r="BA324" s="249"/>
      <c r="BB324" s="249"/>
      <c r="BC324" s="249"/>
      <c r="BD324" s="249"/>
      <c r="BE324" s="249"/>
      <c r="BF324" s="249"/>
      <c r="BG324" s="249"/>
      <c r="BH324" s="249"/>
      <c r="BI324" s="249"/>
      <c r="BJ324" s="249"/>
      <c r="BK324" s="249"/>
      <c r="BL324" s="249"/>
      <c r="BM324" s="249"/>
      <c r="BN324" s="249"/>
      <c r="BO324" s="249"/>
      <c r="BP324" s="249"/>
      <c r="BQ324" s="249"/>
      <c r="BR324" s="249"/>
      <c r="BS324" s="249"/>
      <c r="BT324" s="249"/>
      <c r="BU324" s="249"/>
      <c r="BV324" s="249"/>
      <c r="BW324" s="249"/>
      <c r="BX324" s="249"/>
      <c r="BY324" s="249"/>
      <c r="BZ324" s="249"/>
      <c r="CA324" s="249"/>
      <c r="CB324" s="249"/>
      <c r="CC324" s="249"/>
      <c r="CD324" s="249"/>
      <c r="CE324" s="249"/>
      <c r="CF324" s="249"/>
      <c r="CG324" s="249"/>
      <c r="CH324" s="249"/>
      <c r="CI324" s="249"/>
      <c r="CJ324" s="249"/>
      <c r="CK324" s="249"/>
      <c r="CL324" s="249"/>
      <c r="CM324" s="249"/>
      <c r="CN324" s="249"/>
      <c r="CO324" s="249"/>
      <c r="CP324" s="249"/>
      <c r="CQ324" s="249"/>
      <c r="CR324" s="249"/>
      <c r="CS324" s="249"/>
      <c r="CT324" s="249"/>
      <c r="CU324" s="249"/>
      <c r="CV324" s="249"/>
      <c r="CW324" s="249"/>
      <c r="CX324" s="249"/>
      <c r="CY324" s="249"/>
      <c r="CZ324" s="249"/>
      <c r="DA324" s="249"/>
      <c r="DB324" s="249"/>
      <c r="DC324" s="249"/>
      <c r="DD324" s="249"/>
      <c r="DE324" s="249"/>
      <c r="DF324" s="249"/>
      <c r="DG324" s="249"/>
      <c r="DH324" s="249"/>
      <c r="DI324" s="249"/>
      <c r="DJ324" s="249"/>
      <c r="DK324" s="249"/>
      <c r="DL324" s="249"/>
      <c r="DM324" s="249"/>
      <c r="DN324" s="249"/>
      <c r="DO324" s="249"/>
      <c r="DP324" s="249"/>
      <c r="DQ324" s="249"/>
      <c r="DR324" s="249"/>
      <c r="DS324" s="249"/>
      <c r="DT324" s="249"/>
      <c r="DU324" s="249"/>
      <c r="DV324" s="249"/>
      <c r="DW324" s="249"/>
      <c r="DX324" s="249"/>
      <c r="DY324" s="249"/>
      <c r="DZ324" s="249"/>
      <c r="EA324" s="249"/>
      <c r="EB324" s="249"/>
      <c r="EC324" s="249"/>
      <c r="ED324" s="249"/>
      <c r="EE324" s="249"/>
      <c r="EF324" s="249"/>
      <c r="EG324" s="249"/>
      <c r="EH324" s="249"/>
      <c r="EI324" s="249"/>
      <c r="EJ324" s="249"/>
      <c r="EK324" s="249"/>
      <c r="EL324" s="249"/>
      <c r="EM324" s="249"/>
      <c r="EN324" s="249"/>
      <c r="EO324" s="249"/>
      <c r="EP324" s="249"/>
      <c r="EQ324" s="249"/>
      <c r="ER324" s="249"/>
      <c r="ES324" s="249"/>
      <c r="ET324" s="249"/>
      <c r="EU324" s="249"/>
      <c r="EV324" s="249"/>
      <c r="EW324" s="249"/>
      <c r="EX324" s="249"/>
      <c r="EY324" s="249"/>
      <c r="EZ324" s="249"/>
      <c r="FA324" s="249"/>
      <c r="FB324" s="249"/>
      <c r="FC324" s="249"/>
      <c r="FD324" s="249"/>
      <c r="FE324" s="249"/>
      <c r="FF324" s="249"/>
      <c r="FG324" s="249"/>
      <c r="FH324" s="249"/>
      <c r="FI324" s="249"/>
      <c r="FJ324" s="249"/>
      <c r="FK324" s="249"/>
      <c r="FL324" s="249"/>
      <c r="FM324" s="249"/>
      <c r="FN324" s="249"/>
      <c r="FO324" s="249"/>
      <c r="FP324" s="249"/>
      <c r="FQ324" s="249"/>
      <c r="FR324" s="249"/>
      <c r="FS324" s="249"/>
      <c r="FT324" s="249"/>
      <c r="FU324" s="249"/>
      <c r="FV324" s="249"/>
      <c r="FW324" s="249"/>
      <c r="FX324" s="249"/>
      <c r="FY324" s="249"/>
      <c r="FZ324" s="249"/>
      <c r="GA324" s="249"/>
      <c r="GB324" s="249"/>
      <c r="GC324" s="249"/>
      <c r="GD324" s="249"/>
      <c r="GE324" s="249"/>
      <c r="GF324" s="249"/>
      <c r="GG324" s="249"/>
      <c r="GH324" s="249"/>
      <c r="GI324" s="249"/>
      <c r="GJ324" s="249"/>
      <c r="GK324" s="249"/>
      <c r="GL324" s="249"/>
      <c r="GM324" s="249"/>
      <c r="GN324" s="249"/>
      <c r="GO324" s="249"/>
      <c r="GP324" s="249"/>
      <c r="GQ324" s="249"/>
      <c r="GR324" s="249"/>
    </row>
    <row r="325" spans="1:200" s="252" customFormat="1" ht="12.75" customHeight="1" x14ac:dyDescent="0.2">
      <c r="A325" s="722"/>
      <c r="B325" s="1123"/>
      <c r="C325" s="1123"/>
      <c r="D325" s="525"/>
      <c r="E325" s="599"/>
      <c r="F325" s="249"/>
      <c r="G325" s="250"/>
      <c r="H325" s="250"/>
      <c r="I325" s="250"/>
      <c r="J325" s="250"/>
      <c r="K325" s="250"/>
      <c r="L325" s="250"/>
      <c r="M325" s="250"/>
      <c r="N325" s="250"/>
      <c r="O325" s="250"/>
      <c r="P325" s="251"/>
      <c r="Q325" s="251"/>
      <c r="R325" s="251"/>
      <c r="S325" s="251"/>
      <c r="T325" s="251"/>
      <c r="U325" s="2105" t="str">
        <f>IF(INPUT!$D$14="Yes","Yes","No")</f>
        <v>No</v>
      </c>
      <c r="V325" s="1971" t="str">
        <f>'Casings et al'!C44</f>
        <v>Thread Locking Compound * Baker Lock</v>
      </c>
      <c r="W325" s="286" t="s">
        <v>163</v>
      </c>
      <c r="X325" s="1834"/>
      <c r="Y325" s="1834"/>
      <c r="Z325" s="1834"/>
      <c r="AA325" s="1834"/>
      <c r="AB325" s="1834"/>
      <c r="AC325" s="1834"/>
      <c r="AD325" s="1834"/>
      <c r="AE325" s="1834"/>
      <c r="AF325" s="2103" t="str">
        <f>IF($U325="Yes",'Casings et al'!$E44,"0")</f>
        <v>0</v>
      </c>
      <c r="AG325" s="1834"/>
      <c r="AH325" s="1960">
        <f>IFERROR((VLOOKUP($V325,IF((INPUT!$D$7="Big Hole"),BHCSG,RHCSG),3,FALSE)*IF((VLOOKUP($V325,IF((INPUT!$D$7="Big Hole"),BHCSG,RHCSG),2,FALSE)=AH$278),1,0)),0)</f>
        <v>0</v>
      </c>
      <c r="AI325" s="243"/>
      <c r="AJ325" s="243"/>
      <c r="AK325" s="243"/>
      <c r="AL325" s="243"/>
      <c r="AM325" s="475"/>
      <c r="AN325" s="254"/>
      <c r="AO325" s="249"/>
      <c r="AP325" s="250"/>
      <c r="AQ325" s="250"/>
      <c r="AR325" s="250"/>
      <c r="AS325" s="250"/>
      <c r="AT325" s="250"/>
      <c r="AU325" s="250"/>
      <c r="AV325" s="249"/>
      <c r="AW325" s="249"/>
      <c r="AX325" s="249"/>
      <c r="AY325" s="249"/>
      <c r="AZ325" s="249"/>
      <c r="BA325" s="249"/>
      <c r="BB325" s="249"/>
      <c r="BC325" s="249"/>
      <c r="BD325" s="249"/>
      <c r="BE325" s="249"/>
      <c r="BF325" s="249"/>
      <c r="BG325" s="249"/>
      <c r="BH325" s="249"/>
      <c r="BI325" s="249"/>
      <c r="BJ325" s="249"/>
      <c r="BK325" s="249"/>
      <c r="BL325" s="249"/>
      <c r="BM325" s="249"/>
      <c r="BN325" s="249"/>
      <c r="BO325" s="249"/>
      <c r="BP325" s="249"/>
      <c r="BQ325" s="249"/>
      <c r="BR325" s="249"/>
      <c r="BS325" s="249"/>
      <c r="BT325" s="249"/>
      <c r="BU325" s="249"/>
      <c r="BV325" s="249"/>
      <c r="BW325" s="249"/>
      <c r="BX325" s="249"/>
      <c r="BY325" s="249"/>
      <c r="BZ325" s="249"/>
      <c r="CA325" s="249"/>
      <c r="CB325" s="249"/>
      <c r="CC325" s="249"/>
      <c r="CD325" s="249"/>
      <c r="CE325" s="249"/>
      <c r="CF325" s="249"/>
      <c r="CG325" s="249"/>
      <c r="CH325" s="249"/>
      <c r="CI325" s="249"/>
      <c r="CJ325" s="249"/>
      <c r="CK325" s="249"/>
      <c r="CL325" s="249"/>
      <c r="CM325" s="249"/>
      <c r="CN325" s="249"/>
      <c r="CO325" s="249"/>
      <c r="CP325" s="249"/>
      <c r="CQ325" s="249"/>
      <c r="CR325" s="249"/>
      <c r="CS325" s="249"/>
      <c r="CT325" s="249"/>
      <c r="CU325" s="249"/>
      <c r="CV325" s="249"/>
      <c r="CW325" s="249"/>
      <c r="CX325" s="249"/>
      <c r="CY325" s="249"/>
      <c r="CZ325" s="249"/>
      <c r="DA325" s="249"/>
      <c r="DB325" s="249"/>
      <c r="DC325" s="249"/>
      <c r="DD325" s="249"/>
      <c r="DE325" s="249"/>
      <c r="DF325" s="249"/>
      <c r="DG325" s="249"/>
      <c r="DH325" s="249"/>
      <c r="DI325" s="249"/>
      <c r="DJ325" s="249"/>
      <c r="DK325" s="249"/>
      <c r="DL325" s="249"/>
      <c r="DM325" s="249"/>
      <c r="DN325" s="249"/>
      <c r="DO325" s="249"/>
      <c r="DP325" s="249"/>
      <c r="DQ325" s="249"/>
      <c r="DR325" s="249"/>
      <c r="DS325" s="249"/>
      <c r="DT325" s="249"/>
      <c r="DU325" s="249"/>
      <c r="DV325" s="249"/>
      <c r="DW325" s="249"/>
      <c r="DX325" s="249"/>
      <c r="DY325" s="249"/>
      <c r="DZ325" s="249"/>
      <c r="EA325" s="249"/>
      <c r="EB325" s="249"/>
      <c r="EC325" s="249"/>
      <c r="ED325" s="249"/>
      <c r="EE325" s="249"/>
      <c r="EF325" s="249"/>
      <c r="EG325" s="249"/>
      <c r="EH325" s="249"/>
      <c r="EI325" s="249"/>
      <c r="EJ325" s="249"/>
      <c r="EK325" s="249"/>
      <c r="EL325" s="249"/>
      <c r="EM325" s="249"/>
      <c r="EN325" s="249"/>
      <c r="EO325" s="249"/>
      <c r="EP325" s="249"/>
      <c r="EQ325" s="249"/>
      <c r="ER325" s="249"/>
      <c r="ES325" s="249"/>
      <c r="ET325" s="249"/>
      <c r="EU325" s="249"/>
      <c r="EV325" s="249"/>
      <c r="EW325" s="249"/>
      <c r="EX325" s="249"/>
      <c r="EY325" s="249"/>
      <c r="EZ325" s="249"/>
      <c r="FA325" s="249"/>
      <c r="FB325" s="249"/>
      <c r="FC325" s="249"/>
      <c r="FD325" s="249"/>
      <c r="FE325" s="249"/>
      <c r="FF325" s="249"/>
      <c r="FG325" s="249"/>
      <c r="FH325" s="249"/>
      <c r="FI325" s="249"/>
      <c r="FJ325" s="249"/>
      <c r="FK325" s="249"/>
      <c r="FL325" s="249"/>
      <c r="FM325" s="249"/>
      <c r="FN325" s="249"/>
      <c r="FO325" s="249"/>
      <c r="FP325" s="249"/>
      <c r="FQ325" s="249"/>
      <c r="FR325" s="249"/>
      <c r="FS325" s="249"/>
      <c r="FT325" s="249"/>
      <c r="FU325" s="249"/>
      <c r="FV325" s="249"/>
      <c r="FW325" s="249"/>
      <c r="FX325" s="249"/>
      <c r="FY325" s="249"/>
      <c r="FZ325" s="249"/>
      <c r="GA325" s="249"/>
      <c r="GB325" s="249"/>
      <c r="GC325" s="249"/>
      <c r="GD325" s="249"/>
      <c r="GE325" s="249"/>
      <c r="GF325" s="249"/>
      <c r="GG325" s="249"/>
      <c r="GH325" s="249"/>
      <c r="GI325" s="249"/>
      <c r="GJ325" s="249"/>
      <c r="GK325" s="249"/>
      <c r="GL325" s="249"/>
      <c r="GM325" s="249"/>
      <c r="GN325" s="249"/>
      <c r="GO325" s="249"/>
      <c r="GP325" s="249"/>
      <c r="GQ325" s="249"/>
      <c r="GR325" s="249"/>
    </row>
    <row r="326" spans="1:200" s="252" customFormat="1" ht="12.75" customHeight="1" x14ac:dyDescent="0.2">
      <c r="A326" s="722"/>
      <c r="B326" s="1123"/>
      <c r="C326" s="1123"/>
      <c r="D326" s="525"/>
      <c r="E326" s="599"/>
      <c r="F326" s="249"/>
      <c r="G326" s="250"/>
      <c r="H326" s="250"/>
      <c r="I326" s="250"/>
      <c r="J326" s="250"/>
      <c r="K326" s="250"/>
      <c r="L326" s="250"/>
      <c r="M326" s="250"/>
      <c r="N326" s="250"/>
      <c r="O326" s="250"/>
      <c r="P326" s="251"/>
      <c r="Q326" s="251"/>
      <c r="R326" s="251"/>
      <c r="S326" s="251"/>
      <c r="T326" s="251"/>
      <c r="U326" s="2105" t="str">
        <f>IF(INPUT!$D$14="Yes","Yes","No")</f>
        <v>No</v>
      </c>
      <c r="V326" s="1971" t="str">
        <f>'Casings et al'!C45</f>
        <v>Thread Sealant * Premium Thread Compound</v>
      </c>
      <c r="W326" s="286" t="s">
        <v>163</v>
      </c>
      <c r="X326" s="1834"/>
      <c r="Y326" s="1834"/>
      <c r="Z326" s="1834"/>
      <c r="AA326" s="1834"/>
      <c r="AB326" s="1834"/>
      <c r="AC326" s="1834"/>
      <c r="AD326" s="1834"/>
      <c r="AE326" s="1834"/>
      <c r="AF326" s="2103" t="str">
        <f>IF($U326="Yes",'Casings et al'!$E45,"0")</f>
        <v>0</v>
      </c>
      <c r="AG326" s="1834"/>
      <c r="AH326" s="1960">
        <f>IFERROR((VLOOKUP($V326,IF((INPUT!$D$7="Big Hole"),BHCSG,RHCSG),3,FALSE)*IF((VLOOKUP($V326,IF((INPUT!$D$7="Big Hole"),BHCSG,RHCSG),2,FALSE)=AH$278),1,0)),0)</f>
        <v>0</v>
      </c>
      <c r="AI326" s="243"/>
      <c r="AJ326" s="243"/>
      <c r="AK326" s="243"/>
      <c r="AL326" s="243"/>
      <c r="AM326" s="475"/>
      <c r="AN326" s="254"/>
      <c r="AO326" s="249"/>
      <c r="AP326" s="250"/>
      <c r="AQ326" s="250"/>
      <c r="AR326" s="250"/>
      <c r="AS326" s="250"/>
      <c r="AT326" s="250"/>
      <c r="AU326" s="250"/>
      <c r="AV326" s="249"/>
      <c r="AW326" s="249"/>
      <c r="AX326" s="249"/>
      <c r="AY326" s="249"/>
      <c r="AZ326" s="249"/>
      <c r="BA326" s="249"/>
      <c r="BB326" s="249"/>
      <c r="BC326" s="249"/>
      <c r="BD326" s="249"/>
      <c r="BE326" s="249"/>
      <c r="BF326" s="249"/>
      <c r="BG326" s="249"/>
      <c r="BH326" s="249"/>
      <c r="BI326" s="249"/>
      <c r="BJ326" s="249"/>
      <c r="BK326" s="249"/>
      <c r="BL326" s="249"/>
      <c r="BM326" s="249"/>
      <c r="BN326" s="249"/>
      <c r="BO326" s="249"/>
      <c r="BP326" s="249"/>
      <c r="BQ326" s="249"/>
      <c r="BR326" s="249"/>
      <c r="BS326" s="249"/>
      <c r="BT326" s="249"/>
      <c r="BU326" s="249"/>
      <c r="BV326" s="249"/>
      <c r="BW326" s="249"/>
      <c r="BX326" s="249"/>
      <c r="BY326" s="249"/>
      <c r="BZ326" s="249"/>
      <c r="CA326" s="249"/>
      <c r="CB326" s="249"/>
      <c r="CC326" s="249"/>
      <c r="CD326" s="249"/>
      <c r="CE326" s="249"/>
      <c r="CF326" s="249"/>
      <c r="CG326" s="249"/>
      <c r="CH326" s="249"/>
      <c r="CI326" s="249"/>
      <c r="CJ326" s="249"/>
      <c r="CK326" s="249"/>
      <c r="CL326" s="249"/>
      <c r="CM326" s="249"/>
      <c r="CN326" s="249"/>
      <c r="CO326" s="249"/>
      <c r="CP326" s="249"/>
      <c r="CQ326" s="249"/>
      <c r="CR326" s="249"/>
      <c r="CS326" s="249"/>
      <c r="CT326" s="249"/>
      <c r="CU326" s="249"/>
      <c r="CV326" s="249"/>
      <c r="CW326" s="249"/>
      <c r="CX326" s="249"/>
      <c r="CY326" s="249"/>
      <c r="CZ326" s="249"/>
      <c r="DA326" s="249"/>
      <c r="DB326" s="249"/>
      <c r="DC326" s="249"/>
      <c r="DD326" s="249"/>
      <c r="DE326" s="249"/>
      <c r="DF326" s="249"/>
      <c r="DG326" s="249"/>
      <c r="DH326" s="249"/>
      <c r="DI326" s="249"/>
      <c r="DJ326" s="249"/>
      <c r="DK326" s="249"/>
      <c r="DL326" s="249"/>
      <c r="DM326" s="249"/>
      <c r="DN326" s="249"/>
      <c r="DO326" s="249"/>
      <c r="DP326" s="249"/>
      <c r="DQ326" s="249"/>
      <c r="DR326" s="249"/>
      <c r="DS326" s="249"/>
      <c r="DT326" s="249"/>
      <c r="DU326" s="249"/>
      <c r="DV326" s="249"/>
      <c r="DW326" s="249"/>
      <c r="DX326" s="249"/>
      <c r="DY326" s="249"/>
      <c r="DZ326" s="249"/>
      <c r="EA326" s="249"/>
      <c r="EB326" s="249"/>
      <c r="EC326" s="249"/>
      <c r="ED326" s="249"/>
      <c r="EE326" s="249"/>
      <c r="EF326" s="249"/>
      <c r="EG326" s="249"/>
      <c r="EH326" s="249"/>
      <c r="EI326" s="249"/>
      <c r="EJ326" s="249"/>
      <c r="EK326" s="249"/>
      <c r="EL326" s="249"/>
      <c r="EM326" s="249"/>
      <c r="EN326" s="249"/>
      <c r="EO326" s="249"/>
      <c r="EP326" s="249"/>
      <c r="EQ326" s="249"/>
      <c r="ER326" s="249"/>
      <c r="ES326" s="249"/>
      <c r="ET326" s="249"/>
      <c r="EU326" s="249"/>
      <c r="EV326" s="249"/>
      <c r="EW326" s="249"/>
      <c r="EX326" s="249"/>
      <c r="EY326" s="249"/>
      <c r="EZ326" s="249"/>
      <c r="FA326" s="249"/>
      <c r="FB326" s="249"/>
      <c r="FC326" s="249"/>
      <c r="FD326" s="249"/>
      <c r="FE326" s="249"/>
      <c r="FF326" s="249"/>
      <c r="FG326" s="249"/>
      <c r="FH326" s="249"/>
      <c r="FI326" s="249"/>
      <c r="FJ326" s="249"/>
      <c r="FK326" s="249"/>
      <c r="FL326" s="249"/>
      <c r="FM326" s="249"/>
      <c r="FN326" s="249"/>
      <c r="FO326" s="249"/>
      <c r="FP326" s="249"/>
      <c r="FQ326" s="249"/>
      <c r="FR326" s="249"/>
      <c r="FS326" s="249"/>
      <c r="FT326" s="249"/>
      <c r="FU326" s="249"/>
      <c r="FV326" s="249"/>
      <c r="FW326" s="249"/>
      <c r="FX326" s="249"/>
      <c r="FY326" s="249"/>
      <c r="FZ326" s="249"/>
      <c r="GA326" s="249"/>
      <c r="GB326" s="249"/>
      <c r="GC326" s="249"/>
      <c r="GD326" s="249"/>
      <c r="GE326" s="249"/>
      <c r="GF326" s="249"/>
      <c r="GG326" s="249"/>
      <c r="GH326" s="249"/>
      <c r="GI326" s="249"/>
      <c r="GJ326" s="249"/>
      <c r="GK326" s="249"/>
      <c r="GL326" s="249"/>
      <c r="GM326" s="249"/>
      <c r="GN326" s="249"/>
      <c r="GO326" s="249"/>
      <c r="GP326" s="249"/>
      <c r="GQ326" s="249"/>
      <c r="GR326" s="249"/>
    </row>
    <row r="327" spans="1:200" s="252" customFormat="1" ht="14.25" customHeight="1" x14ac:dyDescent="0.2">
      <c r="A327" s="722"/>
      <c r="B327" s="1123"/>
      <c r="C327" s="1123"/>
      <c r="D327" s="525"/>
      <c r="E327" s="599"/>
      <c r="F327" s="249"/>
      <c r="G327" s="250"/>
      <c r="H327" s="250"/>
      <c r="I327" s="250"/>
      <c r="J327" s="250"/>
      <c r="K327" s="250"/>
      <c r="L327" s="250"/>
      <c r="M327" s="250"/>
      <c r="N327" s="250"/>
      <c r="O327" s="250"/>
      <c r="P327" s="251"/>
      <c r="Q327" s="251"/>
      <c r="R327" s="251"/>
      <c r="S327" s="251"/>
      <c r="T327" s="251"/>
      <c r="U327" s="2105" t="str">
        <f>IF(INPUT!$D$14="Yes","Yes","No")</f>
        <v>No</v>
      </c>
      <c r="V327" s="1971" t="str">
        <f>'Casings et al'!C46</f>
        <v>7" OD Casing; 26 PPF, Grade K55 (Perforated)</v>
      </c>
      <c r="W327" s="286" t="s">
        <v>169</v>
      </c>
      <c r="X327" s="1834"/>
      <c r="Y327" s="1834"/>
      <c r="Z327" s="1834"/>
      <c r="AA327" s="1834"/>
      <c r="AB327" s="1834"/>
      <c r="AC327" s="1834"/>
      <c r="AD327" s="1834"/>
      <c r="AE327" s="1834"/>
      <c r="AF327" s="1960">
        <f>IFERROR((VLOOKUP($V327,IF((INPUT!$D$7="Big Hole"),BHCSG,RHCSG),3,FALSE)*IF((VLOOKUP($V327,IF((INPUT!$D$7="Big Hole"),BHCSG,RHCSG),2,FALSE)=AF$278),1,0)),0)</f>
        <v>0</v>
      </c>
      <c r="AG327" s="1834"/>
      <c r="AH327" s="2103" t="str">
        <f>IF($U327="Yes",'Casings et al'!$E46,"0")</f>
        <v>0</v>
      </c>
      <c r="AI327" s="243"/>
      <c r="AJ327" s="243">
        <f>IFERROR((VLOOKUP($V327,IF((INPUT!$D$7="Big Hole"),BHCSG,RHCSG),3,FALSE)*IF((VLOOKUP($V327,IF((INPUT!$D$7="Big Hole"),BHCSG,RHCSG),2,FALSE)=AJ$278),1,0)),0)</f>
        <v>0</v>
      </c>
      <c r="AK327" s="243"/>
      <c r="AL327" s="243"/>
      <c r="AM327" s="475"/>
      <c r="AN327" s="254"/>
      <c r="AO327" s="296"/>
      <c r="AP327" s="250"/>
      <c r="AQ327" s="250"/>
      <c r="AR327" s="250"/>
      <c r="AS327" s="250"/>
      <c r="AT327" s="250"/>
      <c r="AU327" s="250"/>
      <c r="AV327" s="249"/>
      <c r="AW327" s="249"/>
      <c r="AX327" s="249"/>
      <c r="AY327" s="249"/>
      <c r="AZ327" s="249"/>
      <c r="BA327" s="249"/>
      <c r="BB327" s="249"/>
      <c r="BC327" s="249"/>
      <c r="BD327" s="249"/>
      <c r="BE327" s="249"/>
      <c r="BF327" s="249"/>
      <c r="BG327" s="249"/>
      <c r="BH327" s="249"/>
      <c r="BI327" s="249"/>
      <c r="BJ327" s="249"/>
      <c r="BK327" s="249"/>
      <c r="BL327" s="249"/>
      <c r="BM327" s="249"/>
      <c r="BN327" s="249"/>
      <c r="BO327" s="249"/>
      <c r="BP327" s="249"/>
      <c r="BQ327" s="249"/>
      <c r="BR327" s="249"/>
      <c r="BS327" s="249"/>
      <c r="BT327" s="249"/>
      <c r="BU327" s="249"/>
      <c r="BV327" s="249"/>
      <c r="BW327" s="249"/>
      <c r="BX327" s="249"/>
      <c r="BY327" s="249"/>
      <c r="BZ327" s="249"/>
      <c r="CA327" s="249"/>
      <c r="CB327" s="249"/>
      <c r="CC327" s="249"/>
      <c r="CD327" s="249"/>
      <c r="CE327" s="249"/>
      <c r="CF327" s="249"/>
      <c r="CG327" s="249"/>
      <c r="CH327" s="249"/>
      <c r="CI327" s="249"/>
      <c r="CJ327" s="249"/>
      <c r="CK327" s="249"/>
      <c r="CL327" s="249"/>
      <c r="CM327" s="249"/>
      <c r="CN327" s="249"/>
      <c r="CO327" s="249"/>
      <c r="CP327" s="249"/>
      <c r="CQ327" s="249"/>
      <c r="CR327" s="249"/>
      <c r="CS327" s="249"/>
      <c r="CT327" s="249"/>
      <c r="CU327" s="249"/>
      <c r="CV327" s="249"/>
      <c r="CW327" s="249"/>
      <c r="CX327" s="249"/>
      <c r="CY327" s="249"/>
      <c r="CZ327" s="249"/>
      <c r="DA327" s="249"/>
      <c r="DB327" s="249"/>
      <c r="DC327" s="249"/>
      <c r="DD327" s="249"/>
      <c r="DE327" s="249"/>
      <c r="DF327" s="249"/>
      <c r="DG327" s="249"/>
      <c r="DH327" s="249"/>
      <c r="DI327" s="249"/>
      <c r="DJ327" s="249"/>
      <c r="DK327" s="249"/>
      <c r="DL327" s="249"/>
      <c r="DM327" s="249"/>
      <c r="DN327" s="249"/>
      <c r="DO327" s="249"/>
      <c r="DP327" s="249"/>
      <c r="DQ327" s="249"/>
      <c r="DR327" s="249"/>
      <c r="DS327" s="249"/>
      <c r="DT327" s="249"/>
      <c r="DU327" s="249"/>
      <c r="DV327" s="249"/>
      <c r="DW327" s="249"/>
      <c r="DX327" s="249"/>
      <c r="DY327" s="249"/>
      <c r="DZ327" s="249"/>
      <c r="EA327" s="249"/>
      <c r="EB327" s="249"/>
      <c r="EC327" s="249"/>
      <c r="ED327" s="249"/>
      <c r="EE327" s="249"/>
      <c r="EF327" s="249"/>
      <c r="EG327" s="249"/>
      <c r="EH327" s="249"/>
      <c r="EI327" s="249"/>
      <c r="EJ327" s="249"/>
      <c r="EK327" s="249"/>
      <c r="EL327" s="249"/>
      <c r="EM327" s="249"/>
      <c r="EN327" s="249"/>
      <c r="EO327" s="249"/>
      <c r="EP327" s="249"/>
      <c r="EQ327" s="249"/>
      <c r="ER327" s="249"/>
      <c r="ES327" s="249"/>
      <c r="ET327" s="249"/>
      <c r="EU327" s="249"/>
      <c r="EV327" s="249"/>
      <c r="EW327" s="249"/>
      <c r="EX327" s="249"/>
      <c r="EY327" s="249"/>
      <c r="EZ327" s="249"/>
      <c r="FA327" s="249"/>
      <c r="FB327" s="249"/>
      <c r="FC327" s="249"/>
      <c r="FD327" s="249"/>
      <c r="FE327" s="249"/>
      <c r="FF327" s="249"/>
      <c r="FG327" s="249"/>
      <c r="FH327" s="249"/>
      <c r="FI327" s="249"/>
      <c r="FJ327" s="249"/>
      <c r="FK327" s="249"/>
      <c r="FL327" s="249"/>
      <c r="FM327" s="249"/>
      <c r="FN327" s="249"/>
      <c r="FO327" s="249"/>
      <c r="FP327" s="249"/>
      <c r="FQ327" s="249"/>
      <c r="FR327" s="249"/>
      <c r="FS327" s="249"/>
      <c r="FT327" s="249"/>
      <c r="FU327" s="249"/>
      <c r="FV327" s="249"/>
      <c r="FW327" s="249"/>
      <c r="FX327" s="249"/>
      <c r="FY327" s="249"/>
      <c r="FZ327" s="249"/>
      <c r="GA327" s="249"/>
      <c r="GB327" s="249"/>
      <c r="GC327" s="249"/>
      <c r="GD327" s="249"/>
      <c r="GE327" s="249"/>
      <c r="GF327" s="249"/>
      <c r="GG327" s="249"/>
      <c r="GH327" s="249"/>
      <c r="GI327" s="249"/>
      <c r="GJ327" s="249"/>
      <c r="GK327" s="249"/>
      <c r="GL327" s="249"/>
      <c r="GM327" s="249"/>
      <c r="GN327" s="249"/>
      <c r="GO327" s="249"/>
      <c r="GP327" s="249"/>
      <c r="GQ327" s="249"/>
      <c r="GR327" s="249"/>
    </row>
    <row r="328" spans="1:200" s="252" customFormat="1" ht="14.25" customHeight="1" x14ac:dyDescent="0.2">
      <c r="A328" s="722"/>
      <c r="B328" s="1123"/>
      <c r="C328" s="1123"/>
      <c r="D328" s="525"/>
      <c r="E328" s="599"/>
      <c r="F328" s="249"/>
      <c r="G328" s="250"/>
      <c r="H328" s="250"/>
      <c r="I328" s="250"/>
      <c r="J328" s="250"/>
      <c r="K328" s="250"/>
      <c r="L328" s="250"/>
      <c r="M328" s="250"/>
      <c r="N328" s="250"/>
      <c r="O328" s="250"/>
      <c r="P328" s="251"/>
      <c r="Q328" s="251"/>
      <c r="R328" s="251"/>
      <c r="S328" s="251"/>
      <c r="T328" s="251"/>
      <c r="U328" s="2105" t="str">
        <f>IF(INPUT!$D$14="Yes","Yes","No")</f>
        <v>No</v>
      </c>
      <c r="V328" s="1971" t="str">
        <f>'Casings et al'!C47</f>
        <v>7" Blank Casing, 26 PPF x 40', K55, BTC</v>
      </c>
      <c r="W328" s="286" t="s">
        <v>169</v>
      </c>
      <c r="X328" s="1834"/>
      <c r="Y328" s="1834"/>
      <c r="Z328" s="1834"/>
      <c r="AA328" s="1834"/>
      <c r="AB328" s="1834"/>
      <c r="AC328" s="1834"/>
      <c r="AD328" s="1834"/>
      <c r="AE328" s="1834"/>
      <c r="AF328" s="1960">
        <f>IFERROR((VLOOKUP($V328,IF((INPUT!$D$7="Big Hole"),BHCSG,RHCSG),3,FALSE)*IF((VLOOKUP($V328,IF((INPUT!$D$7="Big Hole"),BHCSG,RHCSG),2,FALSE)=AF$278),1,0)),0)</f>
        <v>0</v>
      </c>
      <c r="AG328" s="1834"/>
      <c r="AH328" s="2103" t="str">
        <f>IF($U328="Yes",'Casings et al'!$E47,"0")</f>
        <v>0</v>
      </c>
      <c r="AI328" s="243"/>
      <c r="AJ328" s="243">
        <f>IFERROR((VLOOKUP($V328,IF((INPUT!$D$7="Big Hole"),BHCSG,RHCSG),3,FALSE)*IF((VLOOKUP($V328,IF((INPUT!$D$7="Big Hole"),BHCSG,RHCSG),2,FALSE)=AJ$278),1,0)),0)</f>
        <v>0</v>
      </c>
      <c r="AK328" s="243"/>
      <c r="AL328" s="243"/>
      <c r="AM328" s="475"/>
      <c r="AN328" s="254"/>
      <c r="AO328" s="296"/>
      <c r="AP328" s="250"/>
      <c r="AQ328" s="250"/>
      <c r="AR328" s="250"/>
      <c r="AS328" s="250"/>
      <c r="AT328" s="250"/>
      <c r="AU328" s="250"/>
      <c r="AV328" s="249"/>
      <c r="AW328" s="249"/>
      <c r="AX328" s="249"/>
      <c r="AY328" s="249"/>
      <c r="AZ328" s="249"/>
      <c r="BA328" s="249"/>
      <c r="BB328" s="249"/>
      <c r="BC328" s="249"/>
      <c r="BD328" s="249"/>
      <c r="BE328" s="249"/>
      <c r="BF328" s="249"/>
      <c r="BG328" s="249"/>
      <c r="BH328" s="249"/>
      <c r="BI328" s="249"/>
      <c r="BJ328" s="249"/>
      <c r="BK328" s="249"/>
      <c r="BL328" s="249"/>
      <c r="BM328" s="249"/>
      <c r="BN328" s="249"/>
      <c r="BO328" s="249"/>
      <c r="BP328" s="249"/>
      <c r="BQ328" s="249"/>
      <c r="BR328" s="249"/>
      <c r="BS328" s="249"/>
      <c r="BT328" s="249"/>
      <c r="BU328" s="249"/>
      <c r="BV328" s="249"/>
      <c r="BW328" s="249"/>
      <c r="BX328" s="249"/>
      <c r="BY328" s="249"/>
      <c r="BZ328" s="249"/>
      <c r="CA328" s="249"/>
      <c r="CB328" s="249"/>
      <c r="CC328" s="249"/>
      <c r="CD328" s="249"/>
      <c r="CE328" s="249"/>
      <c r="CF328" s="249"/>
      <c r="CG328" s="249"/>
      <c r="CH328" s="249"/>
      <c r="CI328" s="249"/>
      <c r="CJ328" s="249"/>
      <c r="CK328" s="249"/>
      <c r="CL328" s="249"/>
      <c r="CM328" s="249"/>
      <c r="CN328" s="249"/>
      <c r="CO328" s="249"/>
      <c r="CP328" s="249"/>
      <c r="CQ328" s="249"/>
      <c r="CR328" s="249"/>
      <c r="CS328" s="249"/>
      <c r="CT328" s="249"/>
      <c r="CU328" s="249"/>
      <c r="CV328" s="249"/>
      <c r="CW328" s="249"/>
      <c r="CX328" s="249"/>
      <c r="CY328" s="249"/>
      <c r="CZ328" s="249"/>
      <c r="DA328" s="249"/>
      <c r="DB328" s="249"/>
      <c r="DC328" s="249"/>
      <c r="DD328" s="249"/>
      <c r="DE328" s="249"/>
      <c r="DF328" s="249"/>
      <c r="DG328" s="249"/>
      <c r="DH328" s="249"/>
      <c r="DI328" s="249"/>
      <c r="DJ328" s="249"/>
      <c r="DK328" s="249"/>
      <c r="DL328" s="249"/>
      <c r="DM328" s="249"/>
      <c r="DN328" s="249"/>
      <c r="DO328" s="249"/>
      <c r="DP328" s="249"/>
      <c r="DQ328" s="249"/>
      <c r="DR328" s="249"/>
      <c r="DS328" s="249"/>
      <c r="DT328" s="249"/>
      <c r="DU328" s="249"/>
      <c r="DV328" s="249"/>
      <c r="DW328" s="249"/>
      <c r="DX328" s="249"/>
      <c r="DY328" s="249"/>
      <c r="DZ328" s="249"/>
      <c r="EA328" s="249"/>
      <c r="EB328" s="249"/>
      <c r="EC328" s="249"/>
      <c r="ED328" s="249"/>
      <c r="EE328" s="249"/>
      <c r="EF328" s="249"/>
      <c r="EG328" s="249"/>
      <c r="EH328" s="249"/>
      <c r="EI328" s="249"/>
      <c r="EJ328" s="249"/>
      <c r="EK328" s="249"/>
      <c r="EL328" s="249"/>
      <c r="EM328" s="249"/>
      <c r="EN328" s="249"/>
      <c r="EO328" s="249"/>
      <c r="EP328" s="249"/>
      <c r="EQ328" s="249"/>
      <c r="ER328" s="249"/>
      <c r="ES328" s="249"/>
      <c r="ET328" s="249"/>
      <c r="EU328" s="249"/>
      <c r="EV328" s="249"/>
      <c r="EW328" s="249"/>
      <c r="EX328" s="249"/>
      <c r="EY328" s="249"/>
      <c r="EZ328" s="249"/>
      <c r="FA328" s="249"/>
      <c r="FB328" s="249"/>
      <c r="FC328" s="249"/>
      <c r="FD328" s="249"/>
      <c r="FE328" s="249"/>
      <c r="FF328" s="249"/>
      <c r="FG328" s="249"/>
      <c r="FH328" s="249"/>
      <c r="FI328" s="249"/>
      <c r="FJ328" s="249"/>
      <c r="FK328" s="249"/>
      <c r="FL328" s="249"/>
      <c r="FM328" s="249"/>
      <c r="FN328" s="249"/>
      <c r="FO328" s="249"/>
      <c r="FP328" s="249"/>
      <c r="FQ328" s="249"/>
      <c r="FR328" s="249"/>
      <c r="FS328" s="249"/>
      <c r="FT328" s="249"/>
      <c r="FU328" s="249"/>
      <c r="FV328" s="249"/>
      <c r="FW328" s="249"/>
      <c r="FX328" s="249"/>
      <c r="FY328" s="249"/>
      <c r="FZ328" s="249"/>
      <c r="GA328" s="249"/>
      <c r="GB328" s="249"/>
      <c r="GC328" s="249"/>
      <c r="GD328" s="249"/>
      <c r="GE328" s="249"/>
      <c r="GF328" s="249"/>
      <c r="GG328" s="249"/>
      <c r="GH328" s="249"/>
      <c r="GI328" s="249"/>
      <c r="GJ328" s="249"/>
      <c r="GK328" s="249"/>
      <c r="GL328" s="249"/>
      <c r="GM328" s="249"/>
      <c r="GN328" s="249"/>
      <c r="GO328" s="249"/>
      <c r="GP328" s="249"/>
      <c r="GQ328" s="249"/>
      <c r="GR328" s="249"/>
    </row>
    <row r="329" spans="1:200" s="252" customFormat="1" ht="14.25" customHeight="1" x14ac:dyDescent="0.2">
      <c r="A329" s="722"/>
      <c r="B329" s="1123"/>
      <c r="C329" s="1123"/>
      <c r="D329" s="525"/>
      <c r="E329" s="599"/>
      <c r="F329" s="249"/>
      <c r="G329" s="250"/>
      <c r="H329" s="250"/>
      <c r="I329" s="250"/>
      <c r="J329" s="250"/>
      <c r="K329" s="250"/>
      <c r="L329" s="250"/>
      <c r="M329" s="250"/>
      <c r="N329" s="250"/>
      <c r="O329" s="250"/>
      <c r="P329" s="251"/>
      <c r="Q329" s="251"/>
      <c r="R329" s="251"/>
      <c r="S329" s="251"/>
      <c r="T329" s="251"/>
      <c r="U329" s="2105" t="str">
        <f>IF(INPUT!$D$14="Yes","Yes","No")</f>
        <v>No</v>
      </c>
      <c r="V329" s="1971" t="str">
        <f>'Casings et al'!C48</f>
        <v>7" Guide Shoe, 23 PPF, K55, BTC SCC</v>
      </c>
      <c r="W329" s="286" t="s">
        <v>163</v>
      </c>
      <c r="X329" s="1834"/>
      <c r="Y329" s="1834"/>
      <c r="Z329" s="1834"/>
      <c r="AA329" s="1834"/>
      <c r="AB329" s="1834"/>
      <c r="AC329" s="1834"/>
      <c r="AD329" s="1834"/>
      <c r="AE329" s="1834"/>
      <c r="AF329" s="1960">
        <f>IFERROR((VLOOKUP($V329,IF((INPUT!$D$7="Big Hole"),BHCSG,RHCSG),3,FALSE)*IF((VLOOKUP($V329,IF((INPUT!$D$7="Big Hole"),BHCSG,RHCSG),2,FALSE)=AF$278),1,0)),0)</f>
        <v>0</v>
      </c>
      <c r="AG329" s="1834"/>
      <c r="AH329" s="2103" t="str">
        <f>IF($U329="Yes",'Casings et al'!$E48,"0")</f>
        <v>0</v>
      </c>
      <c r="AI329" s="243"/>
      <c r="AJ329" s="243">
        <f>IFERROR((VLOOKUP($V329,IF((INPUT!$D$7="Big Hole"),BHCSG,RHCSG),3,FALSE)*IF((VLOOKUP($V329,IF((INPUT!$D$7="Big Hole"),BHCSG,RHCSG),2,FALSE)=AJ$278),1,0)),0)</f>
        <v>0</v>
      </c>
      <c r="AK329" s="243"/>
      <c r="AL329" s="243"/>
      <c r="AM329" s="475"/>
      <c r="AN329" s="254"/>
      <c r="AO329" s="296"/>
      <c r="AP329" s="250"/>
      <c r="AQ329" s="250"/>
      <c r="AR329" s="250"/>
      <c r="AS329" s="250"/>
      <c r="AT329" s="250"/>
      <c r="AU329" s="250"/>
      <c r="AV329" s="249"/>
      <c r="AW329" s="249"/>
      <c r="AX329" s="249"/>
      <c r="AY329" s="249"/>
      <c r="AZ329" s="249"/>
      <c r="BA329" s="249"/>
      <c r="BB329" s="249"/>
      <c r="BC329" s="249"/>
      <c r="BD329" s="249"/>
      <c r="BE329" s="249"/>
      <c r="BF329" s="249"/>
      <c r="BG329" s="249"/>
      <c r="BH329" s="249"/>
      <c r="BI329" s="249"/>
      <c r="BJ329" s="249"/>
      <c r="BK329" s="249"/>
      <c r="BL329" s="249"/>
      <c r="BM329" s="249"/>
      <c r="BN329" s="249"/>
      <c r="BO329" s="249"/>
      <c r="BP329" s="249"/>
      <c r="BQ329" s="249"/>
      <c r="BR329" s="249"/>
      <c r="BS329" s="249"/>
      <c r="BT329" s="249"/>
      <c r="BU329" s="249"/>
      <c r="BV329" s="249"/>
      <c r="BW329" s="249"/>
      <c r="BX329" s="249"/>
      <c r="BY329" s="249"/>
      <c r="BZ329" s="249"/>
      <c r="CA329" s="249"/>
      <c r="CB329" s="249"/>
      <c r="CC329" s="249"/>
      <c r="CD329" s="249"/>
      <c r="CE329" s="249"/>
      <c r="CF329" s="249"/>
      <c r="CG329" s="249"/>
      <c r="CH329" s="249"/>
      <c r="CI329" s="249"/>
      <c r="CJ329" s="249"/>
      <c r="CK329" s="249"/>
      <c r="CL329" s="249"/>
      <c r="CM329" s="249"/>
      <c r="CN329" s="249"/>
      <c r="CO329" s="249"/>
      <c r="CP329" s="249"/>
      <c r="CQ329" s="249"/>
      <c r="CR329" s="249"/>
      <c r="CS329" s="249"/>
      <c r="CT329" s="249"/>
      <c r="CU329" s="249"/>
      <c r="CV329" s="249"/>
      <c r="CW329" s="249"/>
      <c r="CX329" s="249"/>
      <c r="CY329" s="249"/>
      <c r="CZ329" s="249"/>
      <c r="DA329" s="249"/>
      <c r="DB329" s="249"/>
      <c r="DC329" s="249"/>
      <c r="DD329" s="249"/>
      <c r="DE329" s="249"/>
      <c r="DF329" s="249"/>
      <c r="DG329" s="249"/>
      <c r="DH329" s="249"/>
      <c r="DI329" s="249"/>
      <c r="DJ329" s="249"/>
      <c r="DK329" s="249"/>
      <c r="DL329" s="249"/>
      <c r="DM329" s="249"/>
      <c r="DN329" s="249"/>
      <c r="DO329" s="249"/>
      <c r="DP329" s="249"/>
      <c r="DQ329" s="249"/>
      <c r="DR329" s="249"/>
      <c r="DS329" s="249"/>
      <c r="DT329" s="249"/>
      <c r="DU329" s="249"/>
      <c r="DV329" s="249"/>
      <c r="DW329" s="249"/>
      <c r="DX329" s="249"/>
      <c r="DY329" s="249"/>
      <c r="DZ329" s="249"/>
      <c r="EA329" s="249"/>
      <c r="EB329" s="249"/>
      <c r="EC329" s="249"/>
      <c r="ED329" s="249"/>
      <c r="EE329" s="249"/>
      <c r="EF329" s="249"/>
      <c r="EG329" s="249"/>
      <c r="EH329" s="249"/>
      <c r="EI329" s="249"/>
      <c r="EJ329" s="249"/>
      <c r="EK329" s="249"/>
      <c r="EL329" s="249"/>
      <c r="EM329" s="249"/>
      <c r="EN329" s="249"/>
      <c r="EO329" s="249"/>
      <c r="EP329" s="249"/>
      <c r="EQ329" s="249"/>
      <c r="ER329" s="249"/>
      <c r="ES329" s="249"/>
      <c r="ET329" s="249"/>
      <c r="EU329" s="249"/>
      <c r="EV329" s="249"/>
      <c r="EW329" s="249"/>
      <c r="EX329" s="249"/>
      <c r="EY329" s="249"/>
      <c r="EZ329" s="249"/>
      <c r="FA329" s="249"/>
      <c r="FB329" s="249"/>
      <c r="FC329" s="249"/>
      <c r="FD329" s="249"/>
      <c r="FE329" s="249"/>
      <c r="FF329" s="249"/>
      <c r="FG329" s="249"/>
      <c r="FH329" s="249"/>
      <c r="FI329" s="249"/>
      <c r="FJ329" s="249"/>
      <c r="FK329" s="249"/>
      <c r="FL329" s="249"/>
      <c r="FM329" s="249"/>
      <c r="FN329" s="249"/>
      <c r="FO329" s="249"/>
      <c r="FP329" s="249"/>
      <c r="FQ329" s="249"/>
      <c r="FR329" s="249"/>
      <c r="FS329" s="249"/>
      <c r="FT329" s="249"/>
      <c r="FU329" s="249"/>
      <c r="FV329" s="249"/>
      <c r="FW329" s="249"/>
      <c r="FX329" s="249"/>
      <c r="FY329" s="249"/>
      <c r="FZ329" s="249"/>
      <c r="GA329" s="249"/>
      <c r="GB329" s="249"/>
      <c r="GC329" s="249"/>
      <c r="GD329" s="249"/>
      <c r="GE329" s="249"/>
      <c r="GF329" s="249"/>
      <c r="GG329" s="249"/>
      <c r="GH329" s="249"/>
      <c r="GI329" s="249"/>
      <c r="GJ329" s="249"/>
      <c r="GK329" s="249"/>
      <c r="GL329" s="249"/>
      <c r="GM329" s="249"/>
      <c r="GN329" s="249"/>
      <c r="GO329" s="249"/>
      <c r="GP329" s="249"/>
      <c r="GQ329" s="249"/>
      <c r="GR329" s="249"/>
    </row>
    <row r="330" spans="1:200" s="252" customFormat="1" ht="13.5" customHeight="1" x14ac:dyDescent="0.2">
      <c r="A330" s="722"/>
      <c r="B330" s="1123"/>
      <c r="C330" s="1123"/>
      <c r="D330" s="525"/>
      <c r="E330" s="596"/>
      <c r="F330" s="296"/>
      <c r="G330" s="250"/>
      <c r="H330" s="250"/>
      <c r="I330" s="250"/>
      <c r="J330" s="250"/>
      <c r="K330" s="250"/>
      <c r="L330" s="250"/>
      <c r="M330" s="250"/>
      <c r="N330" s="250"/>
      <c r="O330" s="250"/>
      <c r="P330" s="251"/>
      <c r="Q330" s="251"/>
      <c r="R330" s="251"/>
      <c r="S330" s="251"/>
      <c r="T330" s="251"/>
      <c r="U330" s="2525"/>
      <c r="V330" s="2525"/>
      <c r="W330" s="257"/>
      <c r="X330" s="306"/>
      <c r="Y330" s="306"/>
      <c r="Z330" s="306"/>
      <c r="AA330" s="306"/>
      <c r="AB330" s="306"/>
      <c r="AC330" s="306"/>
      <c r="AD330" s="306"/>
      <c r="AE330" s="306"/>
      <c r="AF330" s="306"/>
      <c r="AG330" s="306"/>
      <c r="AH330" s="306"/>
      <c r="AI330" s="306"/>
      <c r="AJ330" s="306"/>
      <c r="AK330" s="306"/>
      <c r="AL330" s="306"/>
      <c r="AM330" s="525"/>
      <c r="AN330" s="224"/>
      <c r="AO330" s="296"/>
      <c r="AP330" s="250"/>
      <c r="AQ330" s="250"/>
      <c r="AR330" s="250"/>
      <c r="AS330" s="250"/>
      <c r="AT330" s="250"/>
      <c r="AU330" s="250"/>
      <c r="AV330" s="249"/>
      <c r="AW330" s="249"/>
      <c r="AX330" s="249"/>
      <c r="AY330" s="249"/>
      <c r="AZ330" s="249"/>
      <c r="BA330" s="249"/>
      <c r="BB330" s="249"/>
      <c r="BC330" s="249"/>
      <c r="BD330" s="249"/>
      <c r="BE330" s="249"/>
      <c r="BF330" s="249"/>
      <c r="BG330" s="249"/>
      <c r="BH330" s="249"/>
      <c r="BI330" s="249"/>
      <c r="BJ330" s="249"/>
      <c r="BK330" s="249"/>
      <c r="BL330" s="249"/>
      <c r="BM330" s="249"/>
      <c r="BN330" s="249"/>
      <c r="BO330" s="249"/>
      <c r="BP330" s="249"/>
      <c r="BQ330" s="249"/>
      <c r="BR330" s="249"/>
      <c r="BS330" s="249"/>
      <c r="BT330" s="249"/>
      <c r="BU330" s="249"/>
      <c r="BV330" s="249"/>
      <c r="BW330" s="249"/>
      <c r="BX330" s="249"/>
      <c r="BY330" s="249"/>
      <c r="BZ330" s="249"/>
      <c r="CA330" s="249"/>
      <c r="CB330" s="249"/>
      <c r="CC330" s="249"/>
      <c r="CD330" s="249"/>
      <c r="CE330" s="249"/>
      <c r="CF330" s="249"/>
      <c r="CG330" s="249"/>
      <c r="CH330" s="249"/>
      <c r="CI330" s="249"/>
      <c r="CJ330" s="249"/>
      <c r="CK330" s="249"/>
      <c r="CL330" s="249"/>
      <c r="CM330" s="249"/>
      <c r="CN330" s="249"/>
      <c r="CO330" s="249"/>
      <c r="CP330" s="249"/>
      <c r="CQ330" s="249"/>
      <c r="CR330" s="249"/>
      <c r="CS330" s="249"/>
      <c r="CT330" s="249"/>
      <c r="CU330" s="249"/>
      <c r="CV330" s="249"/>
      <c r="CW330" s="249"/>
      <c r="CX330" s="249"/>
      <c r="CY330" s="249"/>
      <c r="CZ330" s="249"/>
      <c r="DA330" s="249"/>
      <c r="DB330" s="249"/>
      <c r="DC330" s="249"/>
      <c r="DD330" s="249"/>
      <c r="DE330" s="249"/>
      <c r="DF330" s="249"/>
      <c r="DG330" s="249"/>
      <c r="DH330" s="249"/>
      <c r="DI330" s="249"/>
      <c r="DJ330" s="249"/>
      <c r="DK330" s="249"/>
      <c r="DL330" s="249"/>
      <c r="DM330" s="249"/>
      <c r="DN330" s="249"/>
      <c r="DO330" s="249"/>
      <c r="DP330" s="249"/>
      <c r="DQ330" s="249"/>
      <c r="DR330" s="249"/>
      <c r="DS330" s="249"/>
      <c r="DT330" s="249"/>
      <c r="DU330" s="249"/>
      <c r="DV330" s="249"/>
      <c r="DW330" s="249"/>
      <c r="DX330" s="249"/>
      <c r="DY330" s="249"/>
      <c r="DZ330" s="249"/>
      <c r="EA330" s="249"/>
      <c r="EB330" s="249"/>
      <c r="EC330" s="249"/>
      <c r="ED330" s="249"/>
      <c r="EE330" s="249"/>
      <c r="EF330" s="249"/>
      <c r="EG330" s="249"/>
      <c r="EH330" s="249"/>
      <c r="EI330" s="249"/>
      <c r="EJ330" s="249"/>
      <c r="EK330" s="249"/>
      <c r="EL330" s="249"/>
      <c r="EM330" s="249"/>
      <c r="EN330" s="249"/>
      <c r="EO330" s="249"/>
      <c r="EP330" s="249"/>
      <c r="EQ330" s="249"/>
      <c r="ER330" s="249"/>
      <c r="ES330" s="249"/>
      <c r="ET330" s="249"/>
      <c r="EU330" s="249"/>
      <c r="EV330" s="249"/>
      <c r="EW330" s="249"/>
      <c r="EX330" s="249"/>
      <c r="EY330" s="249"/>
      <c r="EZ330" s="249"/>
      <c r="FA330" s="249"/>
      <c r="FB330" s="249"/>
      <c r="FC330" s="249"/>
      <c r="FD330" s="249"/>
      <c r="FE330" s="249"/>
      <c r="FF330" s="249"/>
      <c r="FG330" s="249"/>
      <c r="FH330" s="249"/>
      <c r="FI330" s="249"/>
      <c r="FJ330" s="249"/>
      <c r="FK330" s="249"/>
      <c r="FL330" s="249"/>
      <c r="FM330" s="249"/>
      <c r="FN330" s="249"/>
      <c r="FO330" s="249"/>
      <c r="FP330" s="249"/>
      <c r="FQ330" s="249"/>
      <c r="FR330" s="249"/>
      <c r="FS330" s="249"/>
      <c r="FT330" s="249"/>
      <c r="FU330" s="249"/>
      <c r="FV330" s="249"/>
      <c r="FW330" s="249"/>
      <c r="FX330" s="249"/>
      <c r="FY330" s="249"/>
      <c r="FZ330" s="249"/>
      <c r="GA330" s="249"/>
      <c r="GB330" s="249"/>
      <c r="GC330" s="249"/>
      <c r="GD330" s="249"/>
      <c r="GE330" s="249"/>
      <c r="GF330" s="249"/>
      <c r="GG330" s="249"/>
      <c r="GH330" s="249"/>
      <c r="GI330" s="249"/>
      <c r="GJ330" s="249"/>
      <c r="GK330" s="249"/>
      <c r="GL330" s="249"/>
      <c r="GM330" s="249"/>
      <c r="GN330" s="249"/>
      <c r="GO330" s="249"/>
      <c r="GP330" s="249"/>
      <c r="GQ330" s="249"/>
      <c r="GR330" s="249"/>
    </row>
    <row r="331" spans="1:200" s="252" customFormat="1" ht="13.5" customHeight="1" x14ac:dyDescent="0.2">
      <c r="A331" s="733"/>
      <c r="B331" s="1134"/>
      <c r="C331" s="1134"/>
      <c r="D331" s="535"/>
      <c r="E331" s="613"/>
      <c r="F331" s="296"/>
      <c r="G331" s="250"/>
      <c r="H331" s="250"/>
      <c r="I331" s="250"/>
      <c r="J331" s="250"/>
      <c r="K331" s="250"/>
      <c r="L331" s="250"/>
      <c r="M331" s="250"/>
      <c r="N331" s="250"/>
      <c r="O331" s="250"/>
      <c r="P331" s="251"/>
      <c r="Q331" s="251"/>
      <c r="R331" s="251"/>
      <c r="S331" s="251"/>
      <c r="T331" s="251"/>
      <c r="U331" s="2513" t="s">
        <v>152</v>
      </c>
      <c r="V331" s="2514"/>
      <c r="W331" s="1440" t="s">
        <v>153</v>
      </c>
      <c r="X331" s="1426" t="str">
        <f t="shared" ref="X331:AK331" si="80">X$14</f>
        <v>RIGMOVE</v>
      </c>
      <c r="Y331" s="1426" t="str">
        <f t="shared" si="80"/>
        <v>DSURFACE</v>
      </c>
      <c r="Z331" s="1426" t="str">
        <f t="shared" si="80"/>
        <v>FSURFACE</v>
      </c>
      <c r="AA331" s="1426" t="str">
        <f t="shared" si="80"/>
        <v>DINTERMEDIATE</v>
      </c>
      <c r="AB331" s="1426" t="str">
        <f t="shared" si="80"/>
        <v>FINTERMEDIATE</v>
      </c>
      <c r="AC331" s="1426" t="str">
        <f t="shared" si="80"/>
        <v>DPRODUCTION</v>
      </c>
      <c r="AD331" s="1426" t="str">
        <f t="shared" si="80"/>
        <v>FPRODUCTION</v>
      </c>
      <c r="AE331" s="1426" t="str">
        <f t="shared" si="80"/>
        <v>DLINER1</v>
      </c>
      <c r="AF331" s="1426" t="str">
        <f t="shared" si="80"/>
        <v>FLINER1</v>
      </c>
      <c r="AG331" s="1426" t="str">
        <f t="shared" si="80"/>
        <v>DLINER2</v>
      </c>
      <c r="AH331" s="1426" t="str">
        <f t="shared" si="80"/>
        <v>FLINER2</v>
      </c>
      <c r="AI331" s="1426" t="str">
        <f t="shared" si="80"/>
        <v/>
      </c>
      <c r="AJ331" s="1426" t="str">
        <f t="shared" si="80"/>
        <v/>
      </c>
      <c r="AK331" s="1426" t="str">
        <f t="shared" si="80"/>
        <v/>
      </c>
      <c r="AL331" s="1426"/>
      <c r="AM331" s="1449" t="s">
        <v>46</v>
      </c>
      <c r="AN331" s="257"/>
      <c r="AO331" s="296"/>
      <c r="AP331" s="250"/>
      <c r="AQ331" s="250"/>
      <c r="AR331" s="250"/>
      <c r="AS331" s="250"/>
      <c r="AT331" s="250"/>
      <c r="AU331" s="250"/>
      <c r="AV331" s="249"/>
      <c r="AW331" s="249"/>
      <c r="AX331" s="249"/>
      <c r="AY331" s="249"/>
      <c r="AZ331" s="249"/>
      <c r="BA331" s="249"/>
      <c r="BB331" s="249"/>
      <c r="BC331" s="249"/>
      <c r="BD331" s="249"/>
      <c r="BE331" s="249"/>
      <c r="BF331" s="249"/>
      <c r="BG331" s="249"/>
      <c r="BH331" s="249"/>
      <c r="BI331" s="249"/>
      <c r="BJ331" s="249"/>
      <c r="BK331" s="249"/>
      <c r="BL331" s="249"/>
      <c r="BM331" s="249"/>
      <c r="BN331" s="249"/>
      <c r="BO331" s="249"/>
      <c r="BP331" s="249"/>
      <c r="BQ331" s="249"/>
      <c r="BR331" s="249"/>
      <c r="BS331" s="249"/>
      <c r="BT331" s="249"/>
      <c r="BU331" s="249"/>
      <c r="BV331" s="249"/>
      <c r="BW331" s="249"/>
      <c r="BX331" s="249"/>
      <c r="BY331" s="249"/>
      <c r="BZ331" s="249"/>
      <c r="CA331" s="249"/>
      <c r="CB331" s="249"/>
      <c r="CC331" s="249"/>
      <c r="CD331" s="249"/>
      <c r="CE331" s="249"/>
      <c r="CF331" s="249"/>
      <c r="CG331" s="249"/>
      <c r="CH331" s="249"/>
      <c r="CI331" s="249"/>
      <c r="CJ331" s="249"/>
      <c r="CK331" s="249"/>
      <c r="CL331" s="249"/>
      <c r="CM331" s="249"/>
      <c r="CN331" s="249"/>
      <c r="CO331" s="249"/>
      <c r="CP331" s="249"/>
      <c r="CQ331" s="249"/>
      <c r="CR331" s="249"/>
      <c r="CS331" s="249"/>
      <c r="CT331" s="249"/>
      <c r="CU331" s="249"/>
      <c r="CV331" s="249"/>
      <c r="CW331" s="249"/>
      <c r="CX331" s="249"/>
      <c r="CY331" s="249"/>
      <c r="CZ331" s="249"/>
      <c r="DA331" s="249"/>
      <c r="DB331" s="249"/>
      <c r="DC331" s="249"/>
      <c r="DD331" s="249"/>
      <c r="DE331" s="249"/>
      <c r="DF331" s="249"/>
      <c r="DG331" s="249"/>
      <c r="DH331" s="249"/>
      <c r="DI331" s="249"/>
      <c r="DJ331" s="249"/>
      <c r="DK331" s="249"/>
      <c r="DL331" s="249"/>
      <c r="DM331" s="249"/>
      <c r="DN331" s="249"/>
      <c r="DO331" s="249"/>
      <c r="DP331" s="249"/>
      <c r="DQ331" s="249"/>
      <c r="DR331" s="249"/>
      <c r="DS331" s="249"/>
      <c r="DT331" s="249"/>
      <c r="DU331" s="249"/>
      <c r="DV331" s="249"/>
      <c r="DW331" s="249"/>
      <c r="DX331" s="249"/>
      <c r="DY331" s="249"/>
      <c r="DZ331" s="249"/>
      <c r="EA331" s="249"/>
      <c r="EB331" s="249"/>
      <c r="EC331" s="249"/>
      <c r="ED331" s="249"/>
      <c r="EE331" s="249"/>
      <c r="EF331" s="249"/>
      <c r="EG331" s="249"/>
      <c r="EH331" s="249"/>
      <c r="EI331" s="249"/>
      <c r="EJ331" s="249"/>
      <c r="EK331" s="249"/>
      <c r="EL331" s="249"/>
      <c r="EM331" s="249"/>
      <c r="EN331" s="249"/>
      <c r="EO331" s="249"/>
      <c r="EP331" s="249"/>
      <c r="EQ331" s="249"/>
      <c r="ER331" s="249"/>
      <c r="ES331" s="249"/>
      <c r="ET331" s="249"/>
      <c r="EU331" s="249"/>
      <c r="EV331" s="249"/>
      <c r="EW331" s="249"/>
      <c r="EX331" s="249"/>
      <c r="EY331" s="249"/>
      <c r="EZ331" s="249"/>
      <c r="FA331" s="249"/>
      <c r="FB331" s="249"/>
      <c r="FC331" s="249"/>
      <c r="FD331" s="249"/>
      <c r="FE331" s="249"/>
      <c r="FF331" s="249"/>
      <c r="FG331" s="249"/>
      <c r="FH331" s="249"/>
      <c r="FI331" s="249"/>
      <c r="FJ331" s="249"/>
      <c r="FK331" s="249"/>
      <c r="FL331" s="249"/>
      <c r="FM331" s="249"/>
      <c r="FN331" s="249"/>
      <c r="FO331" s="249"/>
      <c r="FP331" s="249"/>
      <c r="FQ331" s="249"/>
      <c r="FR331" s="249"/>
      <c r="FS331" s="249"/>
      <c r="FT331" s="249"/>
      <c r="FU331" s="249"/>
      <c r="FV331" s="249"/>
      <c r="FW331" s="249"/>
      <c r="FX331" s="249"/>
      <c r="FY331" s="249"/>
      <c r="FZ331" s="249"/>
      <c r="GA331" s="249"/>
      <c r="GB331" s="249"/>
      <c r="GC331" s="249"/>
      <c r="GD331" s="249"/>
      <c r="GE331" s="249"/>
      <c r="GF331" s="249"/>
      <c r="GG331" s="249"/>
      <c r="GH331" s="249"/>
      <c r="GI331" s="249"/>
      <c r="GJ331" s="249"/>
      <c r="GK331" s="249"/>
      <c r="GL331" s="249"/>
      <c r="GM331" s="249"/>
      <c r="GN331" s="249"/>
      <c r="GO331" s="249"/>
      <c r="GP331" s="249"/>
      <c r="GQ331" s="249"/>
      <c r="GR331" s="249"/>
    </row>
    <row r="332" spans="1:200" s="252" customFormat="1" ht="12.75" customHeight="1" x14ac:dyDescent="0.2">
      <c r="A332" s="709"/>
      <c r="B332" s="1110"/>
      <c r="C332" s="1110"/>
      <c r="D332" s="257"/>
      <c r="E332" s="617"/>
      <c r="F332" s="296"/>
      <c r="G332" s="250"/>
      <c r="H332" s="250"/>
      <c r="I332" s="250"/>
      <c r="J332" s="250"/>
      <c r="K332" s="250"/>
      <c r="L332" s="250"/>
      <c r="M332" s="250"/>
      <c r="N332" s="250"/>
      <c r="O332" s="250"/>
      <c r="P332" s="251"/>
      <c r="Q332" s="251"/>
      <c r="R332" s="251"/>
      <c r="S332" s="251"/>
      <c r="T332" s="251"/>
      <c r="U332" s="1446" t="str">
        <f>U279</f>
        <v>Yes</v>
      </c>
      <c r="V332" s="1728" t="str">
        <f>V279</f>
        <v>26" OD Casing, 203ppf, Grade  X56, LSD</v>
      </c>
      <c r="W332" s="246" t="s">
        <v>2611</v>
      </c>
      <c r="X332" s="246"/>
      <c r="Y332" s="246"/>
      <c r="Z332" s="2102">
        <f>IF(U332="Yes",'Casings et al'!$F3,'Casings et al'!$L3)</f>
        <v>486606.3124</v>
      </c>
      <c r="AA332" s="246"/>
      <c r="AB332" s="246">
        <f>IFERROR(($W332*AB279),0)</f>
        <v>0</v>
      </c>
      <c r="AC332" s="246"/>
      <c r="AD332" s="246">
        <f>IFERROR(($W332*AD279),0)</f>
        <v>0</v>
      </c>
      <c r="AE332" s="246"/>
      <c r="AF332" s="246">
        <f>IFERROR(($W332*AF279),0)</f>
        <v>0</v>
      </c>
      <c r="AG332" s="246"/>
      <c r="AH332" s="246">
        <f>IFERROR(($W332*AH279),0)</f>
        <v>0</v>
      </c>
      <c r="AI332" s="246"/>
      <c r="AJ332" s="246">
        <f>IFERROR(($W332*AJ279),0)</f>
        <v>0</v>
      </c>
      <c r="AK332" s="246">
        <f>IFERROR(($W332*AK279),0)</f>
        <v>0</v>
      </c>
      <c r="AL332" s="246"/>
      <c r="AM332" s="246">
        <f>SUMPRODUCT(X332:AL332,X279:AL279)</f>
        <v>5839275.7488000002</v>
      </c>
      <c r="AN332" s="257"/>
      <c r="AO332" s="296"/>
      <c r="AP332" s="250"/>
      <c r="AQ332" s="250"/>
      <c r="AR332" s="250"/>
      <c r="AS332" s="250"/>
      <c r="AT332" s="250"/>
      <c r="AU332" s="250"/>
      <c r="AV332" s="249"/>
      <c r="AW332" s="249"/>
      <c r="AX332" s="249"/>
      <c r="AY332" s="249"/>
      <c r="AZ332" s="249"/>
      <c r="BA332" s="249"/>
      <c r="BB332" s="249"/>
      <c r="BC332" s="249"/>
      <c r="BD332" s="249"/>
      <c r="BE332" s="249"/>
      <c r="BF332" s="249"/>
      <c r="BG332" s="249"/>
      <c r="BH332" s="249"/>
      <c r="BI332" s="249"/>
      <c r="BJ332" s="249"/>
      <c r="BK332" s="249"/>
      <c r="BL332" s="249"/>
      <c r="BM332" s="249"/>
      <c r="BN332" s="249"/>
      <c r="BO332" s="249"/>
      <c r="BP332" s="249"/>
      <c r="BQ332" s="249"/>
      <c r="BR332" s="249"/>
      <c r="BS332" s="249"/>
      <c r="BT332" s="249"/>
      <c r="BU332" s="249"/>
      <c r="BV332" s="249"/>
      <c r="BW332" s="249"/>
      <c r="BX332" s="249"/>
      <c r="BY332" s="249"/>
      <c r="BZ332" s="249"/>
      <c r="CA332" s="249"/>
      <c r="CB332" s="249"/>
      <c r="CC332" s="249"/>
      <c r="CD332" s="249"/>
      <c r="CE332" s="249"/>
      <c r="CF332" s="249"/>
      <c r="CG332" s="249"/>
      <c r="CH332" s="249"/>
      <c r="CI332" s="249"/>
      <c r="CJ332" s="249"/>
      <c r="CK332" s="249"/>
      <c r="CL332" s="249"/>
      <c r="CM332" s="249"/>
      <c r="CN332" s="249"/>
      <c r="CO332" s="249"/>
      <c r="CP332" s="249"/>
      <c r="CQ332" s="249"/>
      <c r="CR332" s="249"/>
      <c r="CS332" s="249"/>
      <c r="CT332" s="249"/>
      <c r="CU332" s="249"/>
      <c r="CV332" s="249"/>
      <c r="CW332" s="249"/>
      <c r="CX332" s="249"/>
      <c r="CY332" s="249"/>
      <c r="CZ332" s="249"/>
      <c r="DA332" s="249"/>
      <c r="DB332" s="249"/>
      <c r="DC332" s="249"/>
      <c r="DD332" s="249"/>
      <c r="DE332" s="249"/>
      <c r="DF332" s="249"/>
      <c r="DG332" s="249"/>
      <c r="DH332" s="249"/>
      <c r="DI332" s="249"/>
      <c r="DJ332" s="249"/>
      <c r="DK332" s="249"/>
      <c r="DL332" s="249"/>
      <c r="DM332" s="249"/>
      <c r="DN332" s="249"/>
      <c r="DO332" s="249"/>
      <c r="DP332" s="249"/>
      <c r="DQ332" s="249"/>
      <c r="DR332" s="249"/>
      <c r="DS332" s="249"/>
      <c r="DT332" s="249"/>
      <c r="DU332" s="249"/>
      <c r="DV332" s="249"/>
      <c r="DW332" s="249"/>
      <c r="DX332" s="249"/>
      <c r="DY332" s="249"/>
      <c r="DZ332" s="249"/>
      <c r="EA332" s="249"/>
      <c r="EB332" s="249"/>
      <c r="EC332" s="249"/>
      <c r="ED332" s="249"/>
      <c r="EE332" s="249"/>
      <c r="EF332" s="249"/>
      <c r="EG332" s="249"/>
      <c r="EH332" s="249"/>
      <c r="EI332" s="249"/>
      <c r="EJ332" s="249"/>
      <c r="EK332" s="249"/>
      <c r="EL332" s="249"/>
      <c r="EM332" s="249"/>
      <c r="EN332" s="249"/>
      <c r="EO332" s="249"/>
      <c r="EP332" s="249"/>
      <c r="EQ332" s="249"/>
      <c r="ER332" s="249"/>
      <c r="ES332" s="249"/>
      <c r="ET332" s="249"/>
      <c r="EU332" s="249"/>
      <c r="EV332" s="249"/>
      <c r="EW332" s="249"/>
      <c r="EX332" s="249"/>
      <c r="EY332" s="249"/>
      <c r="EZ332" s="249"/>
      <c r="FA332" s="249"/>
      <c r="FB332" s="249"/>
      <c r="FC332" s="249"/>
      <c r="FD332" s="249"/>
      <c r="FE332" s="249"/>
      <c r="FF332" s="249"/>
      <c r="FG332" s="249"/>
      <c r="FH332" s="249"/>
      <c r="FI332" s="249"/>
      <c r="FJ332" s="249"/>
      <c r="FK332" s="249"/>
      <c r="FL332" s="249"/>
      <c r="FM332" s="249"/>
      <c r="FN332" s="249"/>
      <c r="FO332" s="249"/>
      <c r="FP332" s="249"/>
      <c r="FQ332" s="249"/>
      <c r="FR332" s="249"/>
      <c r="FS332" s="249"/>
      <c r="FT332" s="249"/>
      <c r="FU332" s="249"/>
      <c r="FV332" s="249"/>
      <c r="FW332" s="249"/>
      <c r="FX332" s="249"/>
      <c r="FY332" s="249"/>
      <c r="FZ332" s="249"/>
      <c r="GA332" s="249"/>
      <c r="GB332" s="249"/>
      <c r="GC332" s="249"/>
      <c r="GD332" s="249"/>
      <c r="GE332" s="249"/>
      <c r="GF332" s="249"/>
      <c r="GG332" s="249"/>
      <c r="GH332" s="249"/>
      <c r="GI332" s="249"/>
      <c r="GJ332" s="249"/>
      <c r="GK332" s="249"/>
      <c r="GL332" s="249"/>
      <c r="GM332" s="249"/>
      <c r="GN332" s="249"/>
      <c r="GO332" s="249"/>
      <c r="GP332" s="249"/>
      <c r="GQ332" s="249"/>
      <c r="GR332" s="249"/>
    </row>
    <row r="333" spans="1:200" s="252" customFormat="1" ht="12.75" customHeight="1" x14ac:dyDescent="0.2">
      <c r="A333" s="709"/>
      <c r="B333" s="1110"/>
      <c r="C333" s="1110"/>
      <c r="D333" s="257"/>
      <c r="E333" s="617"/>
      <c r="F333" s="296"/>
      <c r="G333" s="250"/>
      <c r="H333" s="250"/>
      <c r="I333" s="250"/>
      <c r="J333" s="250"/>
      <c r="K333" s="250"/>
      <c r="L333" s="250"/>
      <c r="M333" s="250"/>
      <c r="N333" s="250"/>
      <c r="O333" s="250"/>
      <c r="P333" s="251"/>
      <c r="Q333" s="251"/>
      <c r="R333" s="251"/>
      <c r="S333" s="251"/>
      <c r="T333" s="251"/>
      <c r="U333" s="1971" t="str">
        <f t="shared" ref="U333:U372" si="81">U280</f>
        <v>Yes</v>
      </c>
      <c r="V333" s="1971" t="str">
        <f t="shared" ref="V333:V372" si="82">V280</f>
        <v>26" FLOAT SHOE, SILI w/ accs.</v>
      </c>
      <c r="W333" s="246" t="s">
        <v>2611</v>
      </c>
      <c r="X333" s="246"/>
      <c r="Y333" s="246"/>
      <c r="Z333" s="2102">
        <f>IF(U333="Yes",'Casings et al'!$F4,'Casings et al'!$L4)</f>
        <v>232578.685</v>
      </c>
      <c r="AA333" s="246"/>
      <c r="AB333" s="246">
        <f t="shared" ref="AB333:AB382" si="83">IFERROR(($W333*AB280),0)</f>
        <v>0</v>
      </c>
      <c r="AC333" s="246"/>
      <c r="AD333" s="246">
        <f t="shared" ref="AD333:AD382" si="84">IFERROR(($W333*AD280),0)</f>
        <v>0</v>
      </c>
      <c r="AE333" s="246"/>
      <c r="AF333" s="246">
        <f t="shared" ref="AF333:AF382" si="85">IFERROR(($W333*AF280),0)</f>
        <v>0</v>
      </c>
      <c r="AG333" s="246"/>
      <c r="AH333" s="246">
        <f t="shared" ref="AH333:AH379" si="86">IFERROR(($W333*AH280),0)</f>
        <v>0</v>
      </c>
      <c r="AI333" s="246"/>
      <c r="AJ333" s="246">
        <f t="shared" ref="AJ333:AJ383" si="87">IFERROR(($W333*AJ280),0)</f>
        <v>0</v>
      </c>
      <c r="AK333" s="246">
        <f t="shared" ref="AK333:AK349" si="88">IFERROR(($W333*AK280),0)</f>
        <v>0</v>
      </c>
      <c r="AL333" s="246"/>
      <c r="AM333" s="246">
        <f t="shared" ref="AM333:AM367" si="89">SUMPRODUCT(X333:AL333,X280:AL280)</f>
        <v>232578.685</v>
      </c>
      <c r="AN333" s="257"/>
      <c r="AO333" s="296"/>
      <c r="AP333" s="250"/>
      <c r="AQ333" s="250"/>
      <c r="AR333" s="250"/>
      <c r="AS333" s="250"/>
      <c r="AT333" s="250"/>
      <c r="AU333" s="250"/>
      <c r="AV333" s="249"/>
      <c r="AW333" s="249"/>
      <c r="AX333" s="249"/>
      <c r="AY333" s="249"/>
      <c r="AZ333" s="249"/>
      <c r="BA333" s="249"/>
      <c r="BB333" s="249"/>
      <c r="BC333" s="249"/>
      <c r="BD333" s="249"/>
      <c r="BE333" s="249"/>
      <c r="BF333" s="249"/>
      <c r="BG333" s="249"/>
      <c r="BH333" s="249"/>
      <c r="BI333" s="249"/>
      <c r="BJ333" s="249"/>
      <c r="BK333" s="249"/>
      <c r="BL333" s="249"/>
      <c r="BM333" s="249"/>
      <c r="BN333" s="249"/>
      <c r="BO333" s="249"/>
      <c r="BP333" s="249"/>
      <c r="BQ333" s="249"/>
      <c r="BR333" s="249"/>
      <c r="BS333" s="249"/>
      <c r="BT333" s="249"/>
      <c r="BU333" s="249"/>
      <c r="BV333" s="249"/>
      <c r="BW333" s="249"/>
      <c r="BX333" s="249"/>
      <c r="BY333" s="249"/>
      <c r="BZ333" s="249"/>
      <c r="CA333" s="249"/>
      <c r="CB333" s="249"/>
      <c r="CC333" s="249"/>
      <c r="CD333" s="249"/>
      <c r="CE333" s="249"/>
      <c r="CF333" s="249"/>
      <c r="CG333" s="249"/>
      <c r="CH333" s="249"/>
      <c r="CI333" s="249"/>
      <c r="CJ333" s="249"/>
      <c r="CK333" s="249"/>
      <c r="CL333" s="249"/>
      <c r="CM333" s="249"/>
      <c r="CN333" s="249"/>
      <c r="CO333" s="249"/>
      <c r="CP333" s="249"/>
      <c r="CQ333" s="249"/>
      <c r="CR333" s="249"/>
      <c r="CS333" s="249"/>
      <c r="CT333" s="249"/>
      <c r="CU333" s="249"/>
      <c r="CV333" s="249"/>
      <c r="CW333" s="249"/>
      <c r="CX333" s="249"/>
      <c r="CY333" s="249"/>
      <c r="CZ333" s="249"/>
      <c r="DA333" s="249"/>
      <c r="DB333" s="249"/>
      <c r="DC333" s="249"/>
      <c r="DD333" s="249"/>
      <c r="DE333" s="249"/>
      <c r="DF333" s="249"/>
      <c r="DG333" s="249"/>
      <c r="DH333" s="249"/>
      <c r="DI333" s="249"/>
      <c r="DJ333" s="249"/>
      <c r="DK333" s="249"/>
      <c r="DL333" s="249"/>
      <c r="DM333" s="249"/>
      <c r="DN333" s="249"/>
      <c r="DO333" s="249"/>
      <c r="DP333" s="249"/>
      <c r="DQ333" s="249"/>
      <c r="DR333" s="249"/>
      <c r="DS333" s="249"/>
      <c r="DT333" s="249"/>
      <c r="DU333" s="249"/>
      <c r="DV333" s="249"/>
      <c r="DW333" s="249"/>
      <c r="DX333" s="249"/>
      <c r="DY333" s="249"/>
      <c r="DZ333" s="249"/>
      <c r="EA333" s="249"/>
      <c r="EB333" s="249"/>
      <c r="EC333" s="249"/>
      <c r="ED333" s="249"/>
      <c r="EE333" s="249"/>
      <c r="EF333" s="249"/>
      <c r="EG333" s="249"/>
      <c r="EH333" s="249"/>
      <c r="EI333" s="249"/>
      <c r="EJ333" s="249"/>
      <c r="EK333" s="249"/>
      <c r="EL333" s="249"/>
      <c r="EM333" s="249"/>
      <c r="EN333" s="249"/>
      <c r="EO333" s="249"/>
      <c r="EP333" s="249"/>
      <c r="EQ333" s="249"/>
      <c r="ER333" s="249"/>
      <c r="ES333" s="249"/>
      <c r="ET333" s="249"/>
      <c r="EU333" s="249"/>
      <c r="EV333" s="249"/>
      <c r="EW333" s="249"/>
      <c r="EX333" s="249"/>
      <c r="EY333" s="249"/>
      <c r="EZ333" s="249"/>
      <c r="FA333" s="249"/>
      <c r="FB333" s="249"/>
      <c r="FC333" s="249"/>
      <c r="FD333" s="249"/>
      <c r="FE333" s="249"/>
      <c r="FF333" s="249"/>
      <c r="FG333" s="249"/>
      <c r="FH333" s="249"/>
      <c r="FI333" s="249"/>
      <c r="FJ333" s="249"/>
      <c r="FK333" s="249"/>
      <c r="FL333" s="249"/>
      <c r="FM333" s="249"/>
      <c r="FN333" s="249"/>
      <c r="FO333" s="249"/>
      <c r="FP333" s="249"/>
      <c r="FQ333" s="249"/>
      <c r="FR333" s="249"/>
      <c r="FS333" s="249"/>
      <c r="FT333" s="249"/>
      <c r="FU333" s="249"/>
      <c r="FV333" s="249"/>
      <c r="FW333" s="249"/>
      <c r="FX333" s="249"/>
      <c r="FY333" s="249"/>
      <c r="FZ333" s="249"/>
      <c r="GA333" s="249"/>
      <c r="GB333" s="249"/>
      <c r="GC333" s="249"/>
      <c r="GD333" s="249"/>
      <c r="GE333" s="249"/>
      <c r="GF333" s="249"/>
      <c r="GG333" s="249"/>
      <c r="GH333" s="249"/>
      <c r="GI333" s="249"/>
      <c r="GJ333" s="249"/>
      <c r="GK333" s="249"/>
      <c r="GL333" s="249"/>
      <c r="GM333" s="249"/>
      <c r="GN333" s="249"/>
      <c r="GO333" s="249"/>
      <c r="GP333" s="249"/>
      <c r="GQ333" s="249"/>
      <c r="GR333" s="249"/>
    </row>
    <row r="334" spans="1:200" s="252" customFormat="1" ht="12.75" customHeight="1" x14ac:dyDescent="0.2">
      <c r="A334" s="709"/>
      <c r="B334" s="1110"/>
      <c r="C334" s="1110"/>
      <c r="D334" s="257"/>
      <c r="E334" s="617"/>
      <c r="F334" s="296"/>
      <c r="G334" s="250"/>
      <c r="H334" s="250"/>
      <c r="I334" s="250"/>
      <c r="J334" s="250"/>
      <c r="K334" s="250"/>
      <c r="L334" s="250"/>
      <c r="M334" s="250"/>
      <c r="N334" s="250"/>
      <c r="O334" s="250"/>
      <c r="P334" s="251"/>
      <c r="Q334" s="251"/>
      <c r="R334" s="251"/>
      <c r="S334" s="251"/>
      <c r="T334" s="251"/>
      <c r="U334" s="1971" t="str">
        <f t="shared" si="81"/>
        <v>Yes</v>
      </c>
      <c r="V334" s="1971" t="str">
        <f t="shared" si="82"/>
        <v>26" x 32" Centralizer, Bow Type</v>
      </c>
      <c r="W334" s="246" t="s">
        <v>2611</v>
      </c>
      <c r="X334" s="246"/>
      <c r="Y334" s="246"/>
      <c r="Z334" s="2102">
        <f>IF(U334="Yes",'Casings et al'!$F5,'Casings et al'!$L5)</f>
        <v>9186.3392037037047</v>
      </c>
      <c r="AA334" s="246"/>
      <c r="AB334" s="246">
        <f t="shared" si="83"/>
        <v>0</v>
      </c>
      <c r="AC334" s="246"/>
      <c r="AD334" s="246">
        <f t="shared" si="84"/>
        <v>0</v>
      </c>
      <c r="AE334" s="246"/>
      <c r="AF334" s="246">
        <f t="shared" si="85"/>
        <v>0</v>
      </c>
      <c r="AG334" s="246"/>
      <c r="AH334" s="246">
        <f t="shared" si="86"/>
        <v>0</v>
      </c>
      <c r="AI334" s="246"/>
      <c r="AJ334" s="246">
        <f t="shared" si="87"/>
        <v>0</v>
      </c>
      <c r="AK334" s="246">
        <f t="shared" si="88"/>
        <v>0</v>
      </c>
      <c r="AL334" s="246"/>
      <c r="AM334" s="246">
        <f t="shared" si="89"/>
        <v>36745.356814814819</v>
      </c>
      <c r="AN334" s="257"/>
      <c r="AO334" s="296"/>
      <c r="AP334" s="250"/>
      <c r="AQ334" s="250"/>
      <c r="AR334" s="250"/>
      <c r="AS334" s="250"/>
      <c r="AT334" s="250"/>
      <c r="AU334" s="250"/>
      <c r="AV334" s="249"/>
      <c r="AW334" s="249"/>
      <c r="AX334" s="249"/>
      <c r="AY334" s="249"/>
      <c r="AZ334" s="249"/>
      <c r="BA334" s="249"/>
      <c r="BB334" s="249"/>
      <c r="BC334" s="249"/>
      <c r="BD334" s="249"/>
      <c r="BE334" s="249"/>
      <c r="BF334" s="249"/>
      <c r="BG334" s="249"/>
      <c r="BH334" s="249"/>
      <c r="BI334" s="249"/>
      <c r="BJ334" s="249"/>
      <c r="BK334" s="249"/>
      <c r="BL334" s="249"/>
      <c r="BM334" s="249"/>
      <c r="BN334" s="249"/>
      <c r="BO334" s="249"/>
      <c r="BP334" s="249"/>
      <c r="BQ334" s="249"/>
      <c r="BR334" s="249"/>
      <c r="BS334" s="249"/>
      <c r="BT334" s="249"/>
      <c r="BU334" s="249"/>
      <c r="BV334" s="249"/>
      <c r="BW334" s="249"/>
      <c r="BX334" s="249"/>
      <c r="BY334" s="249"/>
      <c r="BZ334" s="249"/>
      <c r="CA334" s="249"/>
      <c r="CB334" s="249"/>
      <c r="CC334" s="249"/>
      <c r="CD334" s="249"/>
      <c r="CE334" s="249"/>
      <c r="CF334" s="249"/>
      <c r="CG334" s="249"/>
      <c r="CH334" s="249"/>
      <c r="CI334" s="249"/>
      <c r="CJ334" s="249"/>
      <c r="CK334" s="249"/>
      <c r="CL334" s="249"/>
      <c r="CM334" s="249"/>
      <c r="CN334" s="249"/>
      <c r="CO334" s="249"/>
      <c r="CP334" s="249"/>
      <c r="CQ334" s="249"/>
      <c r="CR334" s="249"/>
      <c r="CS334" s="249"/>
      <c r="CT334" s="249"/>
      <c r="CU334" s="249"/>
      <c r="CV334" s="249"/>
      <c r="CW334" s="249"/>
      <c r="CX334" s="249"/>
      <c r="CY334" s="249"/>
      <c r="CZ334" s="249"/>
      <c r="DA334" s="249"/>
      <c r="DB334" s="249"/>
      <c r="DC334" s="249"/>
      <c r="DD334" s="249"/>
      <c r="DE334" s="249"/>
      <c r="DF334" s="249"/>
      <c r="DG334" s="249"/>
      <c r="DH334" s="249"/>
      <c r="DI334" s="249"/>
      <c r="DJ334" s="249"/>
      <c r="DK334" s="249"/>
      <c r="DL334" s="249"/>
      <c r="DM334" s="249"/>
      <c r="DN334" s="249"/>
      <c r="DO334" s="249"/>
      <c r="DP334" s="249"/>
      <c r="DQ334" s="249"/>
      <c r="DR334" s="249"/>
      <c r="DS334" s="249"/>
      <c r="DT334" s="249"/>
      <c r="DU334" s="249"/>
      <c r="DV334" s="249"/>
      <c r="DW334" s="249"/>
      <c r="DX334" s="249"/>
      <c r="DY334" s="249"/>
      <c r="DZ334" s="249"/>
      <c r="EA334" s="249"/>
      <c r="EB334" s="249"/>
      <c r="EC334" s="249"/>
      <c r="ED334" s="249"/>
      <c r="EE334" s="249"/>
      <c r="EF334" s="249"/>
      <c r="EG334" s="249"/>
      <c r="EH334" s="249"/>
      <c r="EI334" s="249"/>
      <c r="EJ334" s="249"/>
      <c r="EK334" s="249"/>
      <c r="EL334" s="249"/>
      <c r="EM334" s="249"/>
      <c r="EN334" s="249"/>
      <c r="EO334" s="249"/>
      <c r="EP334" s="249"/>
      <c r="EQ334" s="249"/>
      <c r="ER334" s="249"/>
      <c r="ES334" s="249"/>
      <c r="ET334" s="249"/>
      <c r="EU334" s="249"/>
      <c r="EV334" s="249"/>
      <c r="EW334" s="249"/>
      <c r="EX334" s="249"/>
      <c r="EY334" s="249"/>
      <c r="EZ334" s="249"/>
      <c r="FA334" s="249"/>
      <c r="FB334" s="249"/>
      <c r="FC334" s="249"/>
      <c r="FD334" s="249"/>
      <c r="FE334" s="249"/>
      <c r="FF334" s="249"/>
      <c r="FG334" s="249"/>
      <c r="FH334" s="249"/>
      <c r="FI334" s="249"/>
      <c r="FJ334" s="249"/>
      <c r="FK334" s="249"/>
      <c r="FL334" s="249"/>
      <c r="FM334" s="249"/>
      <c r="FN334" s="249"/>
      <c r="FO334" s="249"/>
      <c r="FP334" s="249"/>
      <c r="FQ334" s="249"/>
      <c r="FR334" s="249"/>
      <c r="FS334" s="249"/>
      <c r="FT334" s="249"/>
      <c r="FU334" s="249"/>
      <c r="FV334" s="249"/>
      <c r="FW334" s="249"/>
      <c r="FX334" s="249"/>
      <c r="FY334" s="249"/>
      <c r="FZ334" s="249"/>
      <c r="GA334" s="249"/>
      <c r="GB334" s="249"/>
      <c r="GC334" s="249"/>
      <c r="GD334" s="249"/>
      <c r="GE334" s="249"/>
      <c r="GF334" s="249"/>
      <c r="GG334" s="249"/>
      <c r="GH334" s="249"/>
      <c r="GI334" s="249"/>
      <c r="GJ334" s="249"/>
      <c r="GK334" s="249"/>
      <c r="GL334" s="249"/>
      <c r="GM334" s="249"/>
      <c r="GN334" s="249"/>
      <c r="GO334" s="249"/>
      <c r="GP334" s="249"/>
      <c r="GQ334" s="249"/>
      <c r="GR334" s="249"/>
    </row>
    <row r="335" spans="1:200" s="252" customFormat="1" ht="12.75" customHeight="1" x14ac:dyDescent="0.2">
      <c r="A335" s="709"/>
      <c r="B335" s="1110"/>
      <c r="C335" s="1110"/>
      <c r="D335" s="257"/>
      <c r="E335" s="617"/>
      <c r="F335" s="296"/>
      <c r="G335" s="250"/>
      <c r="H335" s="250"/>
      <c r="I335" s="250"/>
      <c r="J335" s="250"/>
      <c r="K335" s="250"/>
      <c r="L335" s="250"/>
      <c r="M335" s="250"/>
      <c r="N335" s="250"/>
      <c r="O335" s="250"/>
      <c r="P335" s="251"/>
      <c r="Q335" s="251"/>
      <c r="R335" s="251"/>
      <c r="S335" s="251"/>
      <c r="T335" s="251"/>
      <c r="U335" s="1971" t="str">
        <f t="shared" si="81"/>
        <v>Yes</v>
      </c>
      <c r="V335" s="1971" t="str">
        <f t="shared" si="82"/>
        <v>Corrosion Ring, 4-1/2"IF &amp; 5"X Hole</v>
      </c>
      <c r="W335" s="246" t="s">
        <v>2611</v>
      </c>
      <c r="X335" s="246"/>
      <c r="Y335" s="246"/>
      <c r="Z335" s="2102">
        <f>IF(U335="Yes",'Casings et al'!$F6,'Casings et al'!$L6)</f>
        <v>3639.9091803278689</v>
      </c>
      <c r="AA335" s="246"/>
      <c r="AB335" s="246">
        <f t="shared" si="83"/>
        <v>0</v>
      </c>
      <c r="AC335" s="246"/>
      <c r="AD335" s="246">
        <f t="shared" si="84"/>
        <v>0</v>
      </c>
      <c r="AE335" s="246"/>
      <c r="AF335" s="246">
        <f t="shared" si="85"/>
        <v>0</v>
      </c>
      <c r="AG335" s="246"/>
      <c r="AH335" s="246">
        <f t="shared" si="86"/>
        <v>0</v>
      </c>
      <c r="AI335" s="246"/>
      <c r="AJ335" s="246">
        <f t="shared" si="87"/>
        <v>0</v>
      </c>
      <c r="AK335" s="246">
        <f t="shared" si="88"/>
        <v>0</v>
      </c>
      <c r="AL335" s="246"/>
      <c r="AM335" s="246">
        <f t="shared" si="89"/>
        <v>18199.545901639343</v>
      </c>
      <c r="AN335" s="257"/>
      <c r="AO335" s="296"/>
      <c r="AP335" s="250"/>
      <c r="AQ335" s="250"/>
      <c r="AR335" s="250"/>
      <c r="AS335" s="250"/>
      <c r="AT335" s="250"/>
      <c r="AU335" s="250"/>
      <c r="AV335" s="249"/>
      <c r="AW335" s="249"/>
      <c r="AX335" s="249"/>
      <c r="AY335" s="249"/>
      <c r="AZ335" s="249"/>
      <c r="BA335" s="249"/>
      <c r="BB335" s="249"/>
      <c r="BC335" s="249"/>
      <c r="BD335" s="249"/>
      <c r="BE335" s="249"/>
      <c r="BF335" s="249"/>
      <c r="BG335" s="249"/>
      <c r="BH335" s="249"/>
      <c r="BI335" s="249"/>
      <c r="BJ335" s="249"/>
      <c r="BK335" s="249"/>
      <c r="BL335" s="249"/>
      <c r="BM335" s="249"/>
      <c r="BN335" s="249"/>
      <c r="BO335" s="249"/>
      <c r="BP335" s="249"/>
      <c r="BQ335" s="249"/>
      <c r="BR335" s="249"/>
      <c r="BS335" s="249"/>
      <c r="BT335" s="249"/>
      <c r="BU335" s="249"/>
      <c r="BV335" s="249"/>
      <c r="BW335" s="249"/>
      <c r="BX335" s="249"/>
      <c r="BY335" s="249"/>
      <c r="BZ335" s="249"/>
      <c r="CA335" s="249"/>
      <c r="CB335" s="249"/>
      <c r="CC335" s="249"/>
      <c r="CD335" s="249"/>
      <c r="CE335" s="249"/>
      <c r="CF335" s="249"/>
      <c r="CG335" s="249"/>
      <c r="CH335" s="249"/>
      <c r="CI335" s="249"/>
      <c r="CJ335" s="249"/>
      <c r="CK335" s="249"/>
      <c r="CL335" s="249"/>
      <c r="CM335" s="249"/>
      <c r="CN335" s="249"/>
      <c r="CO335" s="249"/>
      <c r="CP335" s="249"/>
      <c r="CQ335" s="249"/>
      <c r="CR335" s="249"/>
      <c r="CS335" s="249"/>
      <c r="CT335" s="249"/>
      <c r="CU335" s="249"/>
      <c r="CV335" s="249"/>
      <c r="CW335" s="249"/>
      <c r="CX335" s="249"/>
      <c r="CY335" s="249"/>
      <c r="CZ335" s="249"/>
      <c r="DA335" s="249"/>
      <c r="DB335" s="249"/>
      <c r="DC335" s="249"/>
      <c r="DD335" s="249"/>
      <c r="DE335" s="249"/>
      <c r="DF335" s="249"/>
      <c r="DG335" s="249"/>
      <c r="DH335" s="249"/>
      <c r="DI335" s="249"/>
      <c r="DJ335" s="249"/>
      <c r="DK335" s="249"/>
      <c r="DL335" s="249"/>
      <c r="DM335" s="249"/>
      <c r="DN335" s="249"/>
      <c r="DO335" s="249"/>
      <c r="DP335" s="249"/>
      <c r="DQ335" s="249"/>
      <c r="DR335" s="249"/>
      <c r="DS335" s="249"/>
      <c r="DT335" s="249"/>
      <c r="DU335" s="249"/>
      <c r="DV335" s="249"/>
      <c r="DW335" s="249"/>
      <c r="DX335" s="249"/>
      <c r="DY335" s="249"/>
      <c r="DZ335" s="249"/>
      <c r="EA335" s="249"/>
      <c r="EB335" s="249"/>
      <c r="EC335" s="249"/>
      <c r="ED335" s="249"/>
      <c r="EE335" s="249"/>
      <c r="EF335" s="249"/>
      <c r="EG335" s="249"/>
      <c r="EH335" s="249"/>
      <c r="EI335" s="249"/>
      <c r="EJ335" s="249"/>
      <c r="EK335" s="249"/>
      <c r="EL335" s="249"/>
      <c r="EM335" s="249"/>
      <c r="EN335" s="249"/>
      <c r="EO335" s="249"/>
      <c r="EP335" s="249"/>
      <c r="EQ335" s="249"/>
      <c r="ER335" s="249"/>
      <c r="ES335" s="249"/>
      <c r="ET335" s="249"/>
      <c r="EU335" s="249"/>
      <c r="EV335" s="249"/>
      <c r="EW335" s="249"/>
      <c r="EX335" s="249"/>
      <c r="EY335" s="249"/>
      <c r="EZ335" s="249"/>
      <c r="FA335" s="249"/>
      <c r="FB335" s="249"/>
      <c r="FC335" s="249"/>
      <c r="FD335" s="249"/>
      <c r="FE335" s="249"/>
      <c r="FF335" s="249"/>
      <c r="FG335" s="249"/>
      <c r="FH335" s="249"/>
      <c r="FI335" s="249"/>
      <c r="FJ335" s="249"/>
      <c r="FK335" s="249"/>
      <c r="FL335" s="249"/>
      <c r="FM335" s="249"/>
      <c r="FN335" s="249"/>
      <c r="FO335" s="249"/>
      <c r="FP335" s="249"/>
      <c r="FQ335" s="249"/>
      <c r="FR335" s="249"/>
      <c r="FS335" s="249"/>
      <c r="FT335" s="249"/>
      <c r="FU335" s="249"/>
      <c r="FV335" s="249"/>
      <c r="FW335" s="249"/>
      <c r="FX335" s="249"/>
      <c r="FY335" s="249"/>
      <c r="FZ335" s="249"/>
      <c r="GA335" s="249"/>
      <c r="GB335" s="249"/>
      <c r="GC335" s="249"/>
      <c r="GD335" s="249"/>
      <c r="GE335" s="249"/>
      <c r="GF335" s="249"/>
      <c r="GG335" s="249"/>
      <c r="GH335" s="249"/>
      <c r="GI335" s="249"/>
      <c r="GJ335" s="249"/>
      <c r="GK335" s="249"/>
      <c r="GL335" s="249"/>
      <c r="GM335" s="249"/>
      <c r="GN335" s="249"/>
      <c r="GO335" s="249"/>
      <c r="GP335" s="249"/>
      <c r="GQ335" s="249"/>
      <c r="GR335" s="249"/>
    </row>
    <row r="336" spans="1:200" s="252" customFormat="1" ht="12.75" customHeight="1" x14ac:dyDescent="0.2">
      <c r="A336" s="709"/>
      <c r="B336" s="1110"/>
      <c r="C336" s="1110"/>
      <c r="D336" s="257"/>
      <c r="E336" s="617"/>
      <c r="F336" s="296"/>
      <c r="G336" s="250"/>
      <c r="H336" s="250"/>
      <c r="I336" s="250"/>
      <c r="J336" s="250"/>
      <c r="K336" s="250"/>
      <c r="L336" s="250"/>
      <c r="M336" s="250"/>
      <c r="N336" s="250"/>
      <c r="O336" s="250"/>
      <c r="P336" s="251"/>
      <c r="Q336" s="251"/>
      <c r="R336" s="251"/>
      <c r="S336" s="251"/>
      <c r="T336" s="251"/>
      <c r="U336" s="1971" t="str">
        <f t="shared" si="81"/>
        <v>Yes</v>
      </c>
      <c r="V336" s="1971" t="str">
        <f t="shared" si="82"/>
        <v>Thread Locking Compound * Baker Lock</v>
      </c>
      <c r="W336" s="246" t="s">
        <v>2611</v>
      </c>
      <c r="X336" s="246"/>
      <c r="Y336" s="246"/>
      <c r="Z336" s="2102">
        <f>IF(U336="Yes",'Casings et al'!$F7,'Casings et al'!$L7)</f>
        <v>679.40000000000009</v>
      </c>
      <c r="AA336" s="246"/>
      <c r="AB336" s="246">
        <f t="shared" si="83"/>
        <v>0</v>
      </c>
      <c r="AC336" s="246"/>
      <c r="AD336" s="246">
        <f t="shared" si="84"/>
        <v>0</v>
      </c>
      <c r="AE336" s="246"/>
      <c r="AF336" s="246">
        <f t="shared" si="85"/>
        <v>0</v>
      </c>
      <c r="AG336" s="246"/>
      <c r="AH336" s="246">
        <f t="shared" si="86"/>
        <v>0</v>
      </c>
      <c r="AI336" s="246"/>
      <c r="AJ336" s="246">
        <f t="shared" si="87"/>
        <v>0</v>
      </c>
      <c r="AK336" s="246">
        <f t="shared" si="88"/>
        <v>0</v>
      </c>
      <c r="AL336" s="246"/>
      <c r="AM336" s="246">
        <f t="shared" si="89"/>
        <v>1358.8000000000002</v>
      </c>
      <c r="AN336" s="257"/>
      <c r="AO336" s="296"/>
      <c r="AP336" s="250"/>
      <c r="AQ336" s="250"/>
      <c r="AR336" s="250"/>
      <c r="AS336" s="250"/>
      <c r="AT336" s="250"/>
      <c r="AU336" s="250"/>
      <c r="AV336" s="249"/>
      <c r="AW336" s="249"/>
      <c r="AX336" s="249"/>
      <c r="AY336" s="249"/>
      <c r="AZ336" s="249"/>
      <c r="BA336" s="249"/>
      <c r="BB336" s="249"/>
      <c r="BC336" s="249"/>
      <c r="BD336" s="249"/>
      <c r="BE336" s="249"/>
      <c r="BF336" s="249"/>
      <c r="BG336" s="249"/>
      <c r="BH336" s="249"/>
      <c r="BI336" s="249"/>
      <c r="BJ336" s="249"/>
      <c r="BK336" s="249"/>
      <c r="BL336" s="249"/>
      <c r="BM336" s="249"/>
      <c r="BN336" s="249"/>
      <c r="BO336" s="249"/>
      <c r="BP336" s="249"/>
      <c r="BQ336" s="249"/>
      <c r="BR336" s="249"/>
      <c r="BS336" s="249"/>
      <c r="BT336" s="249"/>
      <c r="BU336" s="249"/>
      <c r="BV336" s="249"/>
      <c r="BW336" s="249"/>
      <c r="BX336" s="249"/>
      <c r="BY336" s="249"/>
      <c r="BZ336" s="249"/>
      <c r="CA336" s="249"/>
      <c r="CB336" s="249"/>
      <c r="CC336" s="249"/>
      <c r="CD336" s="249"/>
      <c r="CE336" s="249"/>
      <c r="CF336" s="249"/>
      <c r="CG336" s="249"/>
      <c r="CH336" s="249"/>
      <c r="CI336" s="249"/>
      <c r="CJ336" s="249"/>
      <c r="CK336" s="249"/>
      <c r="CL336" s="249"/>
      <c r="CM336" s="249"/>
      <c r="CN336" s="249"/>
      <c r="CO336" s="249"/>
      <c r="CP336" s="249"/>
      <c r="CQ336" s="249"/>
      <c r="CR336" s="249"/>
      <c r="CS336" s="249"/>
      <c r="CT336" s="249"/>
      <c r="CU336" s="249"/>
      <c r="CV336" s="249"/>
      <c r="CW336" s="249"/>
      <c r="CX336" s="249"/>
      <c r="CY336" s="249"/>
      <c r="CZ336" s="249"/>
      <c r="DA336" s="249"/>
      <c r="DB336" s="249"/>
      <c r="DC336" s="249"/>
      <c r="DD336" s="249"/>
      <c r="DE336" s="249"/>
      <c r="DF336" s="249"/>
      <c r="DG336" s="249"/>
      <c r="DH336" s="249"/>
      <c r="DI336" s="249"/>
      <c r="DJ336" s="249"/>
      <c r="DK336" s="249"/>
      <c r="DL336" s="249"/>
      <c r="DM336" s="249"/>
      <c r="DN336" s="249"/>
      <c r="DO336" s="249"/>
      <c r="DP336" s="249"/>
      <c r="DQ336" s="249"/>
      <c r="DR336" s="249"/>
      <c r="DS336" s="249"/>
      <c r="DT336" s="249"/>
      <c r="DU336" s="249"/>
      <c r="DV336" s="249"/>
      <c r="DW336" s="249"/>
      <c r="DX336" s="249"/>
      <c r="DY336" s="249"/>
      <c r="DZ336" s="249"/>
      <c r="EA336" s="249"/>
      <c r="EB336" s="249"/>
      <c r="EC336" s="249"/>
      <c r="ED336" s="249"/>
      <c r="EE336" s="249"/>
      <c r="EF336" s="249"/>
      <c r="EG336" s="249"/>
      <c r="EH336" s="249"/>
      <c r="EI336" s="249"/>
      <c r="EJ336" s="249"/>
      <c r="EK336" s="249"/>
      <c r="EL336" s="249"/>
      <c r="EM336" s="249"/>
      <c r="EN336" s="249"/>
      <c r="EO336" s="249"/>
      <c r="EP336" s="249"/>
      <c r="EQ336" s="249"/>
      <c r="ER336" s="249"/>
      <c r="ES336" s="249"/>
      <c r="ET336" s="249"/>
      <c r="EU336" s="249"/>
      <c r="EV336" s="249"/>
      <c r="EW336" s="249"/>
      <c r="EX336" s="249"/>
      <c r="EY336" s="249"/>
      <c r="EZ336" s="249"/>
      <c r="FA336" s="249"/>
      <c r="FB336" s="249"/>
      <c r="FC336" s="249"/>
      <c r="FD336" s="249"/>
      <c r="FE336" s="249"/>
      <c r="FF336" s="249"/>
      <c r="FG336" s="249"/>
      <c r="FH336" s="249"/>
      <c r="FI336" s="249"/>
      <c r="FJ336" s="249"/>
      <c r="FK336" s="249"/>
      <c r="FL336" s="249"/>
      <c r="FM336" s="249"/>
      <c r="FN336" s="249"/>
      <c r="FO336" s="249"/>
      <c r="FP336" s="249"/>
      <c r="FQ336" s="249"/>
      <c r="FR336" s="249"/>
      <c r="FS336" s="249"/>
      <c r="FT336" s="249"/>
      <c r="FU336" s="249"/>
      <c r="FV336" s="249"/>
      <c r="FW336" s="249"/>
      <c r="FX336" s="249"/>
      <c r="FY336" s="249"/>
      <c r="FZ336" s="249"/>
      <c r="GA336" s="249"/>
      <c r="GB336" s="249"/>
      <c r="GC336" s="249"/>
      <c r="GD336" s="249"/>
      <c r="GE336" s="249"/>
      <c r="GF336" s="249"/>
      <c r="GG336" s="249"/>
      <c r="GH336" s="249"/>
      <c r="GI336" s="249"/>
      <c r="GJ336" s="249"/>
      <c r="GK336" s="249"/>
      <c r="GL336" s="249"/>
      <c r="GM336" s="249"/>
      <c r="GN336" s="249"/>
      <c r="GO336" s="249"/>
      <c r="GP336" s="249"/>
      <c r="GQ336" s="249"/>
      <c r="GR336" s="249"/>
    </row>
    <row r="337" spans="1:200" s="252" customFormat="1" ht="12.75" customHeight="1" x14ac:dyDescent="0.2">
      <c r="A337" s="709"/>
      <c r="B337" s="1110"/>
      <c r="C337" s="1110"/>
      <c r="D337" s="257"/>
      <c r="E337" s="617"/>
      <c r="F337" s="296"/>
      <c r="G337" s="250"/>
      <c r="H337" s="250"/>
      <c r="I337" s="250"/>
      <c r="J337" s="250"/>
      <c r="K337" s="250"/>
      <c r="L337" s="250"/>
      <c r="M337" s="250"/>
      <c r="N337" s="250"/>
      <c r="O337" s="250"/>
      <c r="P337" s="251"/>
      <c r="Q337" s="251"/>
      <c r="R337" s="251"/>
      <c r="S337" s="251"/>
      <c r="T337" s="251"/>
      <c r="U337" s="1971" t="str">
        <f t="shared" si="81"/>
        <v>Yes</v>
      </c>
      <c r="V337" s="1971" t="str">
        <f t="shared" si="82"/>
        <v>Thread Sealant * Premium Thread Compound</v>
      </c>
      <c r="W337" s="246" t="s">
        <v>2611</v>
      </c>
      <c r="X337" s="246"/>
      <c r="Y337" s="246"/>
      <c r="Z337" s="2102">
        <f>IF(U337="Yes",'Casings et al'!$F8,'Casings et al'!$L8)</f>
        <v>10015.318421052631</v>
      </c>
      <c r="AA337" s="246"/>
      <c r="AB337" s="246">
        <f t="shared" si="83"/>
        <v>0</v>
      </c>
      <c r="AC337" s="246"/>
      <c r="AD337" s="246">
        <f t="shared" si="84"/>
        <v>0</v>
      </c>
      <c r="AE337" s="246"/>
      <c r="AF337" s="246">
        <f t="shared" si="85"/>
        <v>0</v>
      </c>
      <c r="AG337" s="246"/>
      <c r="AH337" s="246">
        <f t="shared" si="86"/>
        <v>0</v>
      </c>
      <c r="AI337" s="246"/>
      <c r="AJ337" s="246">
        <f t="shared" si="87"/>
        <v>0</v>
      </c>
      <c r="AK337" s="246">
        <f t="shared" si="88"/>
        <v>0</v>
      </c>
      <c r="AL337" s="246"/>
      <c r="AM337" s="246">
        <f t="shared" si="89"/>
        <v>10015.318421052631</v>
      </c>
      <c r="AN337" s="257"/>
      <c r="AO337" s="296"/>
      <c r="AP337" s="250"/>
      <c r="AQ337" s="250"/>
      <c r="AR337" s="250"/>
      <c r="AS337" s="250"/>
      <c r="AT337" s="250"/>
      <c r="AU337" s="250"/>
      <c r="AV337" s="249"/>
      <c r="AW337" s="249"/>
      <c r="AX337" s="249"/>
      <c r="AY337" s="249"/>
      <c r="AZ337" s="249"/>
      <c r="BA337" s="249"/>
      <c r="BB337" s="249"/>
      <c r="BC337" s="249"/>
      <c r="BD337" s="249"/>
      <c r="BE337" s="249"/>
      <c r="BF337" s="249"/>
      <c r="BG337" s="249"/>
      <c r="BH337" s="249"/>
      <c r="BI337" s="249"/>
      <c r="BJ337" s="249"/>
      <c r="BK337" s="249"/>
      <c r="BL337" s="249"/>
      <c r="BM337" s="249"/>
      <c r="BN337" s="249"/>
      <c r="BO337" s="249"/>
      <c r="BP337" s="249"/>
      <c r="BQ337" s="249"/>
      <c r="BR337" s="249"/>
      <c r="BS337" s="249"/>
      <c r="BT337" s="249"/>
      <c r="BU337" s="249"/>
      <c r="BV337" s="249"/>
      <c r="BW337" s="249"/>
      <c r="BX337" s="249"/>
      <c r="BY337" s="249"/>
      <c r="BZ337" s="249"/>
      <c r="CA337" s="249"/>
      <c r="CB337" s="249"/>
      <c r="CC337" s="249"/>
      <c r="CD337" s="249"/>
      <c r="CE337" s="249"/>
      <c r="CF337" s="249"/>
      <c r="CG337" s="249"/>
      <c r="CH337" s="249"/>
      <c r="CI337" s="249"/>
      <c r="CJ337" s="249"/>
      <c r="CK337" s="249"/>
      <c r="CL337" s="249"/>
      <c r="CM337" s="249"/>
      <c r="CN337" s="249"/>
      <c r="CO337" s="249"/>
      <c r="CP337" s="249"/>
      <c r="CQ337" s="249"/>
      <c r="CR337" s="249"/>
      <c r="CS337" s="249"/>
      <c r="CT337" s="249"/>
      <c r="CU337" s="249"/>
      <c r="CV337" s="249"/>
      <c r="CW337" s="249"/>
      <c r="CX337" s="249"/>
      <c r="CY337" s="249"/>
      <c r="CZ337" s="249"/>
      <c r="DA337" s="249"/>
      <c r="DB337" s="249"/>
      <c r="DC337" s="249"/>
      <c r="DD337" s="249"/>
      <c r="DE337" s="249"/>
      <c r="DF337" s="249"/>
      <c r="DG337" s="249"/>
      <c r="DH337" s="249"/>
      <c r="DI337" s="249"/>
      <c r="DJ337" s="249"/>
      <c r="DK337" s="249"/>
      <c r="DL337" s="249"/>
      <c r="DM337" s="249"/>
      <c r="DN337" s="249"/>
      <c r="DO337" s="249"/>
      <c r="DP337" s="249"/>
      <c r="DQ337" s="249"/>
      <c r="DR337" s="249"/>
      <c r="DS337" s="249"/>
      <c r="DT337" s="249"/>
      <c r="DU337" s="249"/>
      <c r="DV337" s="249"/>
      <c r="DW337" s="249"/>
      <c r="DX337" s="249"/>
      <c r="DY337" s="249"/>
      <c r="DZ337" s="249"/>
      <c r="EA337" s="249"/>
      <c r="EB337" s="249"/>
      <c r="EC337" s="249"/>
      <c r="ED337" s="249"/>
      <c r="EE337" s="249"/>
      <c r="EF337" s="249"/>
      <c r="EG337" s="249"/>
      <c r="EH337" s="249"/>
      <c r="EI337" s="249"/>
      <c r="EJ337" s="249"/>
      <c r="EK337" s="249"/>
      <c r="EL337" s="249"/>
      <c r="EM337" s="249"/>
      <c r="EN337" s="249"/>
      <c r="EO337" s="249"/>
      <c r="EP337" s="249"/>
      <c r="EQ337" s="249"/>
      <c r="ER337" s="249"/>
      <c r="ES337" s="249"/>
      <c r="ET337" s="249"/>
      <c r="EU337" s="249"/>
      <c r="EV337" s="249"/>
      <c r="EW337" s="249"/>
      <c r="EX337" s="249"/>
      <c r="EY337" s="249"/>
      <c r="EZ337" s="249"/>
      <c r="FA337" s="249"/>
      <c r="FB337" s="249"/>
      <c r="FC337" s="249"/>
      <c r="FD337" s="249"/>
      <c r="FE337" s="249"/>
      <c r="FF337" s="249"/>
      <c r="FG337" s="249"/>
      <c r="FH337" s="249"/>
      <c r="FI337" s="249"/>
      <c r="FJ337" s="249"/>
      <c r="FK337" s="249"/>
      <c r="FL337" s="249"/>
      <c r="FM337" s="249"/>
      <c r="FN337" s="249"/>
      <c r="FO337" s="249"/>
      <c r="FP337" s="249"/>
      <c r="FQ337" s="249"/>
      <c r="FR337" s="249"/>
      <c r="FS337" s="249"/>
      <c r="FT337" s="249"/>
      <c r="FU337" s="249"/>
      <c r="FV337" s="249"/>
      <c r="FW337" s="249"/>
      <c r="FX337" s="249"/>
      <c r="FY337" s="249"/>
      <c r="FZ337" s="249"/>
      <c r="GA337" s="249"/>
      <c r="GB337" s="249"/>
      <c r="GC337" s="249"/>
      <c r="GD337" s="249"/>
      <c r="GE337" s="249"/>
      <c r="GF337" s="249"/>
      <c r="GG337" s="249"/>
      <c r="GH337" s="249"/>
      <c r="GI337" s="249"/>
      <c r="GJ337" s="249"/>
      <c r="GK337" s="249"/>
      <c r="GL337" s="249"/>
      <c r="GM337" s="249"/>
      <c r="GN337" s="249"/>
      <c r="GO337" s="249"/>
      <c r="GP337" s="249"/>
      <c r="GQ337" s="249"/>
      <c r="GR337" s="249"/>
    </row>
    <row r="338" spans="1:200" s="252" customFormat="1" ht="12.75" customHeight="1" x14ac:dyDescent="0.2">
      <c r="A338" s="709"/>
      <c r="B338" s="1110"/>
      <c r="C338" s="1110"/>
      <c r="D338" s="257"/>
      <c r="E338" s="617"/>
      <c r="F338" s="296"/>
      <c r="G338" s="250"/>
      <c r="H338" s="250"/>
      <c r="I338" s="250"/>
      <c r="J338" s="250"/>
      <c r="K338" s="250"/>
      <c r="L338" s="250"/>
      <c r="M338" s="250"/>
      <c r="N338" s="250"/>
      <c r="O338" s="250"/>
      <c r="P338" s="251"/>
      <c r="Q338" s="251"/>
      <c r="R338" s="251"/>
      <c r="S338" s="251"/>
      <c r="T338" s="251"/>
      <c r="U338" s="1971" t="str">
        <f t="shared" si="81"/>
        <v>Yes</v>
      </c>
      <c r="V338" s="1971">
        <f t="shared" si="82"/>
        <v>0</v>
      </c>
      <c r="W338" s="246" t="s">
        <v>2611</v>
      </c>
      <c r="X338" s="246"/>
      <c r="Y338" s="246"/>
      <c r="Z338" s="2102">
        <f>IF(U338="Yes",'Casings et al'!$F9,'Casings et al'!$L9)</f>
        <v>0</v>
      </c>
      <c r="AA338" s="246"/>
      <c r="AB338" s="246">
        <f t="shared" si="83"/>
        <v>0</v>
      </c>
      <c r="AC338" s="246"/>
      <c r="AD338" s="246">
        <f t="shared" si="84"/>
        <v>0</v>
      </c>
      <c r="AE338" s="246"/>
      <c r="AF338" s="246">
        <f t="shared" si="85"/>
        <v>0</v>
      </c>
      <c r="AG338" s="246"/>
      <c r="AH338" s="246">
        <f t="shared" si="86"/>
        <v>0</v>
      </c>
      <c r="AI338" s="246"/>
      <c r="AJ338" s="246">
        <f t="shared" si="87"/>
        <v>0</v>
      </c>
      <c r="AK338" s="246">
        <f t="shared" si="88"/>
        <v>0</v>
      </c>
      <c r="AL338" s="246"/>
      <c r="AM338" s="246">
        <f t="shared" si="89"/>
        <v>0</v>
      </c>
      <c r="AN338" s="257"/>
      <c r="AO338" s="296"/>
      <c r="AP338" s="250"/>
      <c r="AQ338" s="250"/>
      <c r="AR338" s="250"/>
      <c r="AS338" s="250"/>
      <c r="AT338" s="250"/>
      <c r="AU338" s="250"/>
      <c r="AV338" s="249"/>
      <c r="AW338" s="249"/>
      <c r="AX338" s="249"/>
      <c r="AY338" s="249"/>
      <c r="AZ338" s="249"/>
      <c r="BA338" s="249"/>
      <c r="BB338" s="249"/>
      <c r="BC338" s="249"/>
      <c r="BD338" s="249"/>
      <c r="BE338" s="249"/>
      <c r="BF338" s="249"/>
      <c r="BG338" s="249"/>
      <c r="BH338" s="249"/>
      <c r="BI338" s="249"/>
      <c r="BJ338" s="249"/>
      <c r="BK338" s="249"/>
      <c r="BL338" s="249"/>
      <c r="BM338" s="249"/>
      <c r="BN338" s="249"/>
      <c r="BO338" s="249"/>
      <c r="BP338" s="249"/>
      <c r="BQ338" s="249"/>
      <c r="BR338" s="249"/>
      <c r="BS338" s="249"/>
      <c r="BT338" s="249"/>
      <c r="BU338" s="249"/>
      <c r="BV338" s="249"/>
      <c r="BW338" s="249"/>
      <c r="BX338" s="249"/>
      <c r="BY338" s="249"/>
      <c r="BZ338" s="249"/>
      <c r="CA338" s="249"/>
      <c r="CB338" s="249"/>
      <c r="CC338" s="249"/>
      <c r="CD338" s="249"/>
      <c r="CE338" s="249"/>
      <c r="CF338" s="249"/>
      <c r="CG338" s="249"/>
      <c r="CH338" s="249"/>
      <c r="CI338" s="249"/>
      <c r="CJ338" s="249"/>
      <c r="CK338" s="249"/>
      <c r="CL338" s="249"/>
      <c r="CM338" s="249"/>
      <c r="CN338" s="249"/>
      <c r="CO338" s="249"/>
      <c r="CP338" s="249"/>
      <c r="CQ338" s="249"/>
      <c r="CR338" s="249"/>
      <c r="CS338" s="249"/>
      <c r="CT338" s="249"/>
      <c r="CU338" s="249"/>
      <c r="CV338" s="249"/>
      <c r="CW338" s="249"/>
      <c r="CX338" s="249"/>
      <c r="CY338" s="249"/>
      <c r="CZ338" s="249"/>
      <c r="DA338" s="249"/>
      <c r="DB338" s="249"/>
      <c r="DC338" s="249"/>
      <c r="DD338" s="249"/>
      <c r="DE338" s="249"/>
      <c r="DF338" s="249"/>
      <c r="DG338" s="249"/>
      <c r="DH338" s="249"/>
      <c r="DI338" s="249"/>
      <c r="DJ338" s="249"/>
      <c r="DK338" s="249"/>
      <c r="DL338" s="249"/>
      <c r="DM338" s="249"/>
      <c r="DN338" s="249"/>
      <c r="DO338" s="249"/>
      <c r="DP338" s="249"/>
      <c r="DQ338" s="249"/>
      <c r="DR338" s="249"/>
      <c r="DS338" s="249"/>
      <c r="DT338" s="249"/>
      <c r="DU338" s="249"/>
      <c r="DV338" s="249"/>
      <c r="DW338" s="249"/>
      <c r="DX338" s="249"/>
      <c r="DY338" s="249"/>
      <c r="DZ338" s="249"/>
      <c r="EA338" s="249"/>
      <c r="EB338" s="249"/>
      <c r="EC338" s="249"/>
      <c r="ED338" s="249"/>
      <c r="EE338" s="249"/>
      <c r="EF338" s="249"/>
      <c r="EG338" s="249"/>
      <c r="EH338" s="249"/>
      <c r="EI338" s="249"/>
      <c r="EJ338" s="249"/>
      <c r="EK338" s="249"/>
      <c r="EL338" s="249"/>
      <c r="EM338" s="249"/>
      <c r="EN338" s="249"/>
      <c r="EO338" s="249"/>
      <c r="EP338" s="249"/>
      <c r="EQ338" s="249"/>
      <c r="ER338" s="249"/>
      <c r="ES338" s="249"/>
      <c r="ET338" s="249"/>
      <c r="EU338" s="249"/>
      <c r="EV338" s="249"/>
      <c r="EW338" s="249"/>
      <c r="EX338" s="249"/>
      <c r="EY338" s="249"/>
      <c r="EZ338" s="249"/>
      <c r="FA338" s="249"/>
      <c r="FB338" s="249"/>
      <c r="FC338" s="249"/>
      <c r="FD338" s="249"/>
      <c r="FE338" s="249"/>
      <c r="FF338" s="249"/>
      <c r="FG338" s="249"/>
      <c r="FH338" s="249"/>
      <c r="FI338" s="249"/>
      <c r="FJ338" s="249"/>
      <c r="FK338" s="249"/>
      <c r="FL338" s="249"/>
      <c r="FM338" s="249"/>
      <c r="FN338" s="249"/>
      <c r="FO338" s="249"/>
      <c r="FP338" s="249"/>
      <c r="FQ338" s="249"/>
      <c r="FR338" s="249"/>
      <c r="FS338" s="249"/>
      <c r="FT338" s="249"/>
      <c r="FU338" s="249"/>
      <c r="FV338" s="249"/>
      <c r="FW338" s="249"/>
      <c r="FX338" s="249"/>
      <c r="FY338" s="249"/>
      <c r="FZ338" s="249"/>
      <c r="GA338" s="249"/>
      <c r="GB338" s="249"/>
      <c r="GC338" s="249"/>
      <c r="GD338" s="249"/>
      <c r="GE338" s="249"/>
      <c r="GF338" s="249"/>
      <c r="GG338" s="249"/>
      <c r="GH338" s="249"/>
      <c r="GI338" s="249"/>
      <c r="GJ338" s="249"/>
      <c r="GK338" s="249"/>
      <c r="GL338" s="249"/>
      <c r="GM338" s="249"/>
      <c r="GN338" s="249"/>
      <c r="GO338" s="249"/>
      <c r="GP338" s="249"/>
      <c r="GQ338" s="249"/>
      <c r="GR338" s="249"/>
    </row>
    <row r="339" spans="1:200" s="252" customFormat="1" ht="12.75" customHeight="1" x14ac:dyDescent="0.2">
      <c r="A339" s="709"/>
      <c r="B339" s="1110"/>
      <c r="C339" s="1110"/>
      <c r="D339" s="257"/>
      <c r="E339" s="617"/>
      <c r="F339" s="296"/>
      <c r="G339" s="250"/>
      <c r="H339" s="250"/>
      <c r="I339" s="250"/>
      <c r="J339" s="250"/>
      <c r="K339" s="250"/>
      <c r="L339" s="250"/>
      <c r="M339" s="250"/>
      <c r="N339" s="250"/>
      <c r="O339" s="250"/>
      <c r="P339" s="251"/>
      <c r="Q339" s="251"/>
      <c r="R339" s="251"/>
      <c r="S339" s="251"/>
      <c r="T339" s="251"/>
      <c r="U339" s="1971" t="str">
        <f t="shared" si="81"/>
        <v>Yes</v>
      </c>
      <c r="V339" s="1971" t="str">
        <f t="shared" si="82"/>
        <v>18-5/8" OD Casing, 114PPF, K55, BTC</v>
      </c>
      <c r="W339" s="246" t="s">
        <v>2611</v>
      </c>
      <c r="X339" s="246"/>
      <c r="Y339" s="246"/>
      <c r="Z339" s="246">
        <f t="shared" ref="Z339:Z382" si="90">IFERROR(($W339*Z286),0)</f>
        <v>0</v>
      </c>
      <c r="AA339" s="246"/>
      <c r="AB339" s="2102">
        <f>IF($U339="Yes",'Casings et al'!$F10,'Casings et al'!$L10)</f>
        <v>128470.82164383562</v>
      </c>
      <c r="AC339" s="246"/>
      <c r="AD339" s="246">
        <f t="shared" si="84"/>
        <v>0</v>
      </c>
      <c r="AE339" s="246"/>
      <c r="AF339" s="246">
        <f t="shared" si="85"/>
        <v>0</v>
      </c>
      <c r="AG339" s="246"/>
      <c r="AH339" s="246">
        <f t="shared" si="86"/>
        <v>0</v>
      </c>
      <c r="AI339" s="246"/>
      <c r="AJ339" s="246">
        <f t="shared" si="87"/>
        <v>0</v>
      </c>
      <c r="AK339" s="246">
        <f t="shared" si="88"/>
        <v>0</v>
      </c>
      <c r="AL339" s="246"/>
      <c r="AM339" s="246">
        <f t="shared" si="89"/>
        <v>6680482.7254794519</v>
      </c>
      <c r="AN339" s="257"/>
      <c r="AO339" s="296"/>
      <c r="AP339" s="250"/>
      <c r="AQ339" s="250"/>
      <c r="AR339" s="250"/>
      <c r="AS339" s="250"/>
      <c r="AT339" s="250"/>
      <c r="AU339" s="250"/>
      <c r="AV339" s="249"/>
      <c r="AW339" s="249"/>
      <c r="AX339" s="249"/>
      <c r="AY339" s="249"/>
      <c r="AZ339" s="249"/>
      <c r="BA339" s="249"/>
      <c r="BB339" s="249"/>
      <c r="BC339" s="249"/>
      <c r="BD339" s="249"/>
      <c r="BE339" s="249"/>
      <c r="BF339" s="249"/>
      <c r="BG339" s="249"/>
      <c r="BH339" s="249"/>
      <c r="BI339" s="249"/>
      <c r="BJ339" s="249"/>
      <c r="BK339" s="249"/>
      <c r="BL339" s="249"/>
      <c r="BM339" s="249"/>
      <c r="BN339" s="249"/>
      <c r="BO339" s="249"/>
      <c r="BP339" s="249"/>
      <c r="BQ339" s="249"/>
      <c r="BR339" s="249"/>
      <c r="BS339" s="249"/>
      <c r="BT339" s="249"/>
      <c r="BU339" s="249"/>
      <c r="BV339" s="249"/>
      <c r="BW339" s="249"/>
      <c r="BX339" s="249"/>
      <c r="BY339" s="249"/>
      <c r="BZ339" s="249"/>
      <c r="CA339" s="249"/>
      <c r="CB339" s="249"/>
      <c r="CC339" s="249"/>
      <c r="CD339" s="249"/>
      <c r="CE339" s="249"/>
      <c r="CF339" s="249"/>
      <c r="CG339" s="249"/>
      <c r="CH339" s="249"/>
      <c r="CI339" s="249"/>
      <c r="CJ339" s="249"/>
      <c r="CK339" s="249"/>
      <c r="CL339" s="249"/>
      <c r="CM339" s="249"/>
      <c r="CN339" s="249"/>
      <c r="CO339" s="249"/>
      <c r="CP339" s="249"/>
      <c r="CQ339" s="249"/>
      <c r="CR339" s="249"/>
      <c r="CS339" s="249"/>
      <c r="CT339" s="249"/>
      <c r="CU339" s="249"/>
      <c r="CV339" s="249"/>
      <c r="CW339" s="249"/>
      <c r="CX339" s="249"/>
      <c r="CY339" s="249"/>
      <c r="CZ339" s="249"/>
      <c r="DA339" s="249"/>
      <c r="DB339" s="249"/>
      <c r="DC339" s="249"/>
      <c r="DD339" s="249"/>
      <c r="DE339" s="249"/>
      <c r="DF339" s="249"/>
      <c r="DG339" s="249"/>
      <c r="DH339" s="249"/>
      <c r="DI339" s="249"/>
      <c r="DJ339" s="249"/>
      <c r="DK339" s="249"/>
      <c r="DL339" s="249"/>
      <c r="DM339" s="249"/>
      <c r="DN339" s="249"/>
      <c r="DO339" s="249"/>
      <c r="DP339" s="249"/>
      <c r="DQ339" s="249"/>
      <c r="DR339" s="249"/>
      <c r="DS339" s="249"/>
      <c r="DT339" s="249"/>
      <c r="DU339" s="249"/>
      <c r="DV339" s="249"/>
      <c r="DW339" s="249"/>
      <c r="DX339" s="249"/>
      <c r="DY339" s="249"/>
      <c r="DZ339" s="249"/>
      <c r="EA339" s="249"/>
      <c r="EB339" s="249"/>
      <c r="EC339" s="249"/>
      <c r="ED339" s="249"/>
      <c r="EE339" s="249"/>
      <c r="EF339" s="249"/>
      <c r="EG339" s="249"/>
      <c r="EH339" s="249"/>
      <c r="EI339" s="249"/>
      <c r="EJ339" s="249"/>
      <c r="EK339" s="249"/>
      <c r="EL339" s="249"/>
      <c r="EM339" s="249"/>
      <c r="EN339" s="249"/>
      <c r="EO339" s="249"/>
      <c r="EP339" s="249"/>
      <c r="EQ339" s="249"/>
      <c r="ER339" s="249"/>
      <c r="ES339" s="249"/>
      <c r="ET339" s="249"/>
      <c r="EU339" s="249"/>
      <c r="EV339" s="249"/>
      <c r="EW339" s="249"/>
      <c r="EX339" s="249"/>
      <c r="EY339" s="249"/>
      <c r="EZ339" s="249"/>
      <c r="FA339" s="249"/>
      <c r="FB339" s="249"/>
      <c r="FC339" s="249"/>
      <c r="FD339" s="249"/>
      <c r="FE339" s="249"/>
      <c r="FF339" s="249"/>
      <c r="FG339" s="249"/>
      <c r="FH339" s="249"/>
      <c r="FI339" s="249"/>
      <c r="FJ339" s="249"/>
      <c r="FK339" s="249"/>
      <c r="FL339" s="249"/>
      <c r="FM339" s="249"/>
      <c r="FN339" s="249"/>
      <c r="FO339" s="249"/>
      <c r="FP339" s="249"/>
      <c r="FQ339" s="249"/>
      <c r="FR339" s="249"/>
      <c r="FS339" s="249"/>
      <c r="FT339" s="249"/>
      <c r="FU339" s="249"/>
      <c r="FV339" s="249"/>
      <c r="FW339" s="249"/>
      <c r="FX339" s="249"/>
      <c r="FY339" s="249"/>
      <c r="FZ339" s="249"/>
      <c r="GA339" s="249"/>
      <c r="GB339" s="249"/>
      <c r="GC339" s="249"/>
      <c r="GD339" s="249"/>
      <c r="GE339" s="249"/>
      <c r="GF339" s="249"/>
      <c r="GG339" s="249"/>
      <c r="GH339" s="249"/>
      <c r="GI339" s="249"/>
      <c r="GJ339" s="249"/>
      <c r="GK339" s="249"/>
      <c r="GL339" s="249"/>
      <c r="GM339" s="249"/>
      <c r="GN339" s="249"/>
      <c r="GO339" s="249"/>
      <c r="GP339" s="249"/>
      <c r="GQ339" s="249"/>
      <c r="GR339" s="249"/>
    </row>
    <row r="340" spans="1:200" s="252" customFormat="1" ht="12.75" customHeight="1" x14ac:dyDescent="0.2">
      <c r="A340" s="709"/>
      <c r="B340" s="1110"/>
      <c r="C340" s="1110"/>
      <c r="D340" s="257"/>
      <c r="E340" s="617"/>
      <c r="F340" s="296"/>
      <c r="G340" s="250"/>
      <c r="H340" s="250"/>
      <c r="I340" s="250"/>
      <c r="J340" s="250"/>
      <c r="K340" s="250"/>
      <c r="L340" s="250"/>
      <c r="M340" s="250"/>
      <c r="N340" s="250"/>
      <c r="O340" s="250"/>
      <c r="P340" s="251"/>
      <c r="Q340" s="251"/>
      <c r="R340" s="251"/>
      <c r="S340" s="251"/>
      <c r="T340" s="251"/>
      <c r="U340" s="1971" t="str">
        <f t="shared" si="81"/>
        <v>Yes</v>
      </c>
      <c r="V340" s="1971" t="str">
        <f t="shared" si="82"/>
        <v>18-5/8" Float Shoe, BTC</v>
      </c>
      <c r="W340" s="246" t="s">
        <v>2611</v>
      </c>
      <c r="X340" s="246"/>
      <c r="Y340" s="246"/>
      <c r="Z340" s="246">
        <f t="shared" si="90"/>
        <v>0</v>
      </c>
      <c r="AA340" s="246"/>
      <c r="AB340" s="2102">
        <f>IF($U340="Yes",'Casings et al'!$F11,'Casings et al'!$L11)</f>
        <v>88381.61</v>
      </c>
      <c r="AC340" s="246"/>
      <c r="AD340" s="246">
        <f t="shared" si="84"/>
        <v>0</v>
      </c>
      <c r="AE340" s="246"/>
      <c r="AF340" s="246">
        <f t="shared" si="85"/>
        <v>0</v>
      </c>
      <c r="AG340" s="246"/>
      <c r="AH340" s="246">
        <f t="shared" si="86"/>
        <v>0</v>
      </c>
      <c r="AI340" s="246"/>
      <c r="AJ340" s="246">
        <f t="shared" si="87"/>
        <v>0</v>
      </c>
      <c r="AK340" s="246">
        <f t="shared" si="88"/>
        <v>0</v>
      </c>
      <c r="AL340" s="246"/>
      <c r="AM340" s="246">
        <f t="shared" si="89"/>
        <v>88381.61</v>
      </c>
      <c r="AN340" s="257"/>
      <c r="AO340" s="296"/>
      <c r="AP340" s="250"/>
      <c r="AQ340" s="250"/>
      <c r="AR340" s="250"/>
      <c r="AS340" s="250"/>
      <c r="AT340" s="250"/>
      <c r="AU340" s="250"/>
      <c r="AV340" s="249"/>
      <c r="AW340" s="249"/>
      <c r="AX340" s="249"/>
      <c r="AY340" s="249"/>
      <c r="AZ340" s="249"/>
      <c r="BA340" s="249"/>
      <c r="BB340" s="249"/>
      <c r="BC340" s="249"/>
      <c r="BD340" s="249"/>
      <c r="BE340" s="249"/>
      <c r="BF340" s="249"/>
      <c r="BG340" s="249"/>
      <c r="BH340" s="249"/>
      <c r="BI340" s="249"/>
      <c r="BJ340" s="249"/>
      <c r="BK340" s="249"/>
      <c r="BL340" s="249"/>
      <c r="BM340" s="249"/>
      <c r="BN340" s="249"/>
      <c r="BO340" s="249"/>
      <c r="BP340" s="249"/>
      <c r="BQ340" s="249"/>
      <c r="BR340" s="249"/>
      <c r="BS340" s="249"/>
      <c r="BT340" s="249"/>
      <c r="BU340" s="249"/>
      <c r="BV340" s="249"/>
      <c r="BW340" s="249"/>
      <c r="BX340" s="249"/>
      <c r="BY340" s="249"/>
      <c r="BZ340" s="249"/>
      <c r="CA340" s="249"/>
      <c r="CB340" s="249"/>
      <c r="CC340" s="249"/>
      <c r="CD340" s="249"/>
      <c r="CE340" s="249"/>
      <c r="CF340" s="249"/>
      <c r="CG340" s="249"/>
      <c r="CH340" s="249"/>
      <c r="CI340" s="249"/>
      <c r="CJ340" s="249"/>
      <c r="CK340" s="249"/>
      <c r="CL340" s="249"/>
      <c r="CM340" s="249"/>
      <c r="CN340" s="249"/>
      <c r="CO340" s="249"/>
      <c r="CP340" s="249"/>
      <c r="CQ340" s="249"/>
      <c r="CR340" s="249"/>
      <c r="CS340" s="249"/>
      <c r="CT340" s="249"/>
      <c r="CU340" s="249"/>
      <c r="CV340" s="249"/>
      <c r="CW340" s="249"/>
      <c r="CX340" s="249"/>
      <c r="CY340" s="249"/>
      <c r="CZ340" s="249"/>
      <c r="DA340" s="249"/>
      <c r="DB340" s="249"/>
      <c r="DC340" s="249"/>
      <c r="DD340" s="249"/>
      <c r="DE340" s="249"/>
      <c r="DF340" s="249"/>
      <c r="DG340" s="249"/>
      <c r="DH340" s="249"/>
      <c r="DI340" s="249"/>
      <c r="DJ340" s="249"/>
      <c r="DK340" s="249"/>
      <c r="DL340" s="249"/>
      <c r="DM340" s="249"/>
      <c r="DN340" s="249"/>
      <c r="DO340" s="249"/>
      <c r="DP340" s="249"/>
      <c r="DQ340" s="249"/>
      <c r="DR340" s="249"/>
      <c r="DS340" s="249"/>
      <c r="DT340" s="249"/>
      <c r="DU340" s="249"/>
      <c r="DV340" s="249"/>
      <c r="DW340" s="249"/>
      <c r="DX340" s="249"/>
      <c r="DY340" s="249"/>
      <c r="DZ340" s="249"/>
      <c r="EA340" s="249"/>
      <c r="EB340" s="249"/>
      <c r="EC340" s="249"/>
      <c r="ED340" s="249"/>
      <c r="EE340" s="249"/>
      <c r="EF340" s="249"/>
      <c r="EG340" s="249"/>
      <c r="EH340" s="249"/>
      <c r="EI340" s="249"/>
      <c r="EJ340" s="249"/>
      <c r="EK340" s="249"/>
      <c r="EL340" s="249"/>
      <c r="EM340" s="249"/>
      <c r="EN340" s="249"/>
      <c r="EO340" s="249"/>
      <c r="EP340" s="249"/>
      <c r="EQ340" s="249"/>
      <c r="ER340" s="249"/>
      <c r="ES340" s="249"/>
      <c r="ET340" s="249"/>
      <c r="EU340" s="249"/>
      <c r="EV340" s="249"/>
      <c r="EW340" s="249"/>
      <c r="EX340" s="249"/>
      <c r="EY340" s="249"/>
      <c r="EZ340" s="249"/>
      <c r="FA340" s="249"/>
      <c r="FB340" s="249"/>
      <c r="FC340" s="249"/>
      <c r="FD340" s="249"/>
      <c r="FE340" s="249"/>
      <c r="FF340" s="249"/>
      <c r="FG340" s="249"/>
      <c r="FH340" s="249"/>
      <c r="FI340" s="249"/>
      <c r="FJ340" s="249"/>
      <c r="FK340" s="249"/>
      <c r="FL340" s="249"/>
      <c r="FM340" s="249"/>
      <c r="FN340" s="249"/>
      <c r="FO340" s="249"/>
      <c r="FP340" s="249"/>
      <c r="FQ340" s="249"/>
      <c r="FR340" s="249"/>
      <c r="FS340" s="249"/>
      <c r="FT340" s="249"/>
      <c r="FU340" s="249"/>
      <c r="FV340" s="249"/>
      <c r="FW340" s="249"/>
      <c r="FX340" s="249"/>
      <c r="FY340" s="249"/>
      <c r="FZ340" s="249"/>
      <c r="GA340" s="249"/>
      <c r="GB340" s="249"/>
      <c r="GC340" s="249"/>
      <c r="GD340" s="249"/>
      <c r="GE340" s="249"/>
      <c r="GF340" s="249"/>
      <c r="GG340" s="249"/>
      <c r="GH340" s="249"/>
      <c r="GI340" s="249"/>
      <c r="GJ340" s="249"/>
      <c r="GK340" s="249"/>
      <c r="GL340" s="249"/>
      <c r="GM340" s="249"/>
      <c r="GN340" s="249"/>
      <c r="GO340" s="249"/>
      <c r="GP340" s="249"/>
      <c r="GQ340" s="249"/>
      <c r="GR340" s="249"/>
    </row>
    <row r="341" spans="1:200" s="252" customFormat="1" ht="12.75" customHeight="1" x14ac:dyDescent="0.2">
      <c r="A341" s="709"/>
      <c r="B341" s="1110"/>
      <c r="C341" s="1110"/>
      <c r="D341" s="257"/>
      <c r="E341" s="617"/>
      <c r="F341" s="296"/>
      <c r="G341" s="250"/>
      <c r="H341" s="250"/>
      <c r="I341" s="250"/>
      <c r="J341" s="250"/>
      <c r="K341" s="250"/>
      <c r="L341" s="250"/>
      <c r="M341" s="250"/>
      <c r="N341" s="250"/>
      <c r="O341" s="250"/>
      <c r="P341" s="251"/>
      <c r="Q341" s="251"/>
      <c r="R341" s="251"/>
      <c r="S341" s="251"/>
      <c r="T341" s="251"/>
      <c r="U341" s="1971" t="str">
        <f t="shared" si="81"/>
        <v>Yes</v>
      </c>
      <c r="V341" s="1971" t="str">
        <f t="shared" si="82"/>
        <v>18-5/8" Float Collar, 114PPF, BTC SILI w/ accs</v>
      </c>
      <c r="W341" s="246" t="s">
        <v>2611</v>
      </c>
      <c r="X341" s="246"/>
      <c r="Y341" s="246"/>
      <c r="Z341" s="246">
        <f t="shared" si="90"/>
        <v>0</v>
      </c>
      <c r="AA341" s="246"/>
      <c r="AB341" s="2102">
        <f>IF($U341="Yes",'Casings et al'!$F12,'Casings et al'!$L12)</f>
        <v>221738.82</v>
      </c>
      <c r="AC341" s="246"/>
      <c r="AD341" s="246">
        <f t="shared" si="84"/>
        <v>0</v>
      </c>
      <c r="AE341" s="246"/>
      <c r="AF341" s="246">
        <f t="shared" si="85"/>
        <v>0</v>
      </c>
      <c r="AG341" s="246"/>
      <c r="AH341" s="246">
        <f t="shared" si="86"/>
        <v>0</v>
      </c>
      <c r="AI341" s="246"/>
      <c r="AJ341" s="246">
        <f t="shared" si="87"/>
        <v>0</v>
      </c>
      <c r="AK341" s="246">
        <f t="shared" si="88"/>
        <v>0</v>
      </c>
      <c r="AL341" s="246"/>
      <c r="AM341" s="246">
        <f t="shared" si="89"/>
        <v>221738.82</v>
      </c>
      <c r="AN341" s="257"/>
      <c r="AO341" s="296"/>
      <c r="AP341" s="250"/>
      <c r="AQ341" s="250"/>
      <c r="AR341" s="250"/>
      <c r="AS341" s="250"/>
      <c r="AT341" s="250"/>
      <c r="AU341" s="250"/>
      <c r="AV341" s="249"/>
      <c r="AW341" s="249"/>
      <c r="AX341" s="249"/>
      <c r="AY341" s="249"/>
      <c r="AZ341" s="249"/>
      <c r="BA341" s="249"/>
      <c r="BB341" s="249"/>
      <c r="BC341" s="249"/>
      <c r="BD341" s="249"/>
      <c r="BE341" s="249"/>
      <c r="BF341" s="249"/>
      <c r="BG341" s="249"/>
      <c r="BH341" s="249"/>
      <c r="BI341" s="249"/>
      <c r="BJ341" s="249"/>
      <c r="BK341" s="249"/>
      <c r="BL341" s="249"/>
      <c r="BM341" s="249"/>
      <c r="BN341" s="249"/>
      <c r="BO341" s="249"/>
      <c r="BP341" s="249"/>
      <c r="BQ341" s="249"/>
      <c r="BR341" s="249"/>
      <c r="BS341" s="249"/>
      <c r="BT341" s="249"/>
      <c r="BU341" s="249"/>
      <c r="BV341" s="249"/>
      <c r="BW341" s="249"/>
      <c r="BX341" s="249"/>
      <c r="BY341" s="249"/>
      <c r="BZ341" s="249"/>
      <c r="CA341" s="249"/>
      <c r="CB341" s="249"/>
      <c r="CC341" s="249"/>
      <c r="CD341" s="249"/>
      <c r="CE341" s="249"/>
      <c r="CF341" s="249"/>
      <c r="CG341" s="249"/>
      <c r="CH341" s="249"/>
      <c r="CI341" s="249"/>
      <c r="CJ341" s="249"/>
      <c r="CK341" s="249"/>
      <c r="CL341" s="249"/>
      <c r="CM341" s="249"/>
      <c r="CN341" s="249"/>
      <c r="CO341" s="249"/>
      <c r="CP341" s="249"/>
      <c r="CQ341" s="249"/>
      <c r="CR341" s="249"/>
      <c r="CS341" s="249"/>
      <c r="CT341" s="249"/>
      <c r="CU341" s="249"/>
      <c r="CV341" s="249"/>
      <c r="CW341" s="249"/>
      <c r="CX341" s="249"/>
      <c r="CY341" s="249"/>
      <c r="CZ341" s="249"/>
      <c r="DA341" s="249"/>
      <c r="DB341" s="249"/>
      <c r="DC341" s="249"/>
      <c r="DD341" s="249"/>
      <c r="DE341" s="249"/>
      <c r="DF341" s="249"/>
      <c r="DG341" s="249"/>
      <c r="DH341" s="249"/>
      <c r="DI341" s="249"/>
      <c r="DJ341" s="249"/>
      <c r="DK341" s="249"/>
      <c r="DL341" s="249"/>
      <c r="DM341" s="249"/>
      <c r="DN341" s="249"/>
      <c r="DO341" s="249"/>
      <c r="DP341" s="249"/>
      <c r="DQ341" s="249"/>
      <c r="DR341" s="249"/>
      <c r="DS341" s="249"/>
      <c r="DT341" s="249"/>
      <c r="DU341" s="249"/>
      <c r="DV341" s="249"/>
      <c r="DW341" s="249"/>
      <c r="DX341" s="249"/>
      <c r="DY341" s="249"/>
      <c r="DZ341" s="249"/>
      <c r="EA341" s="249"/>
      <c r="EB341" s="249"/>
      <c r="EC341" s="249"/>
      <c r="ED341" s="249"/>
      <c r="EE341" s="249"/>
      <c r="EF341" s="249"/>
      <c r="EG341" s="249"/>
      <c r="EH341" s="249"/>
      <c r="EI341" s="249"/>
      <c r="EJ341" s="249"/>
      <c r="EK341" s="249"/>
      <c r="EL341" s="249"/>
      <c r="EM341" s="249"/>
      <c r="EN341" s="249"/>
      <c r="EO341" s="249"/>
      <c r="EP341" s="249"/>
      <c r="EQ341" s="249"/>
      <c r="ER341" s="249"/>
      <c r="ES341" s="249"/>
      <c r="ET341" s="249"/>
      <c r="EU341" s="249"/>
      <c r="EV341" s="249"/>
      <c r="EW341" s="249"/>
      <c r="EX341" s="249"/>
      <c r="EY341" s="249"/>
      <c r="EZ341" s="249"/>
      <c r="FA341" s="249"/>
      <c r="FB341" s="249"/>
      <c r="FC341" s="249"/>
      <c r="FD341" s="249"/>
      <c r="FE341" s="249"/>
      <c r="FF341" s="249"/>
      <c r="FG341" s="249"/>
      <c r="FH341" s="249"/>
      <c r="FI341" s="249"/>
      <c r="FJ341" s="249"/>
      <c r="FK341" s="249"/>
      <c r="FL341" s="249"/>
      <c r="FM341" s="249"/>
      <c r="FN341" s="249"/>
      <c r="FO341" s="249"/>
      <c r="FP341" s="249"/>
      <c r="FQ341" s="249"/>
      <c r="FR341" s="249"/>
      <c r="FS341" s="249"/>
      <c r="FT341" s="249"/>
      <c r="FU341" s="249"/>
      <c r="FV341" s="249"/>
      <c r="FW341" s="249"/>
      <c r="FX341" s="249"/>
      <c r="FY341" s="249"/>
      <c r="FZ341" s="249"/>
      <c r="GA341" s="249"/>
      <c r="GB341" s="249"/>
      <c r="GC341" s="249"/>
      <c r="GD341" s="249"/>
      <c r="GE341" s="249"/>
      <c r="GF341" s="249"/>
      <c r="GG341" s="249"/>
      <c r="GH341" s="249"/>
      <c r="GI341" s="249"/>
      <c r="GJ341" s="249"/>
      <c r="GK341" s="249"/>
      <c r="GL341" s="249"/>
      <c r="GM341" s="249"/>
      <c r="GN341" s="249"/>
      <c r="GO341" s="249"/>
      <c r="GP341" s="249"/>
      <c r="GQ341" s="249"/>
      <c r="GR341" s="249"/>
    </row>
    <row r="342" spans="1:200" s="252" customFormat="1" ht="12.75" customHeight="1" x14ac:dyDescent="0.2">
      <c r="A342" s="709"/>
      <c r="B342" s="1110"/>
      <c r="C342" s="1110"/>
      <c r="D342" s="257"/>
      <c r="E342" s="617"/>
      <c r="F342" s="296"/>
      <c r="G342" s="250"/>
      <c r="H342" s="250"/>
      <c r="I342" s="250"/>
      <c r="J342" s="250"/>
      <c r="K342" s="250"/>
      <c r="L342" s="250"/>
      <c r="M342" s="250"/>
      <c r="N342" s="250"/>
      <c r="O342" s="250"/>
      <c r="P342" s="251"/>
      <c r="Q342" s="251"/>
      <c r="R342" s="251"/>
      <c r="S342" s="251"/>
      <c r="T342" s="251"/>
      <c r="U342" s="1971" t="str">
        <f t="shared" si="81"/>
        <v>Yes</v>
      </c>
      <c r="V342" s="1971" t="str">
        <f t="shared" si="82"/>
        <v>18-5/8" x 23" Centralizer, Stand-off</v>
      </c>
      <c r="W342" s="246" t="s">
        <v>2611</v>
      </c>
      <c r="X342" s="246"/>
      <c r="Y342" s="246"/>
      <c r="Z342" s="246">
        <f t="shared" si="90"/>
        <v>0</v>
      </c>
      <c r="AA342" s="246"/>
      <c r="AB342" s="2102">
        <f>IF($U342="Yes",'Casings et al'!$F13,'Casings et al'!$L13)</f>
        <v>6036.8602941176468</v>
      </c>
      <c r="AC342" s="246"/>
      <c r="AD342" s="246">
        <f t="shared" si="84"/>
        <v>0</v>
      </c>
      <c r="AE342" s="246"/>
      <c r="AF342" s="246">
        <f t="shared" si="85"/>
        <v>0</v>
      </c>
      <c r="AG342" s="246"/>
      <c r="AH342" s="246">
        <f t="shared" si="86"/>
        <v>0</v>
      </c>
      <c r="AI342" s="246"/>
      <c r="AJ342" s="246">
        <f t="shared" si="87"/>
        <v>0</v>
      </c>
      <c r="AK342" s="246">
        <f t="shared" si="88"/>
        <v>0</v>
      </c>
      <c r="AL342" s="246"/>
      <c r="AM342" s="246">
        <f t="shared" si="89"/>
        <v>36221.161764705881</v>
      </c>
      <c r="AN342" s="257"/>
      <c r="AO342" s="296"/>
      <c r="AP342" s="250"/>
      <c r="AQ342" s="250"/>
      <c r="AR342" s="250"/>
      <c r="AS342" s="250"/>
      <c r="AT342" s="250"/>
      <c r="AU342" s="250"/>
      <c r="AV342" s="249"/>
      <c r="AW342" s="249"/>
      <c r="AX342" s="249"/>
      <c r="AY342" s="249"/>
      <c r="AZ342" s="249"/>
      <c r="BA342" s="249"/>
      <c r="BB342" s="249"/>
      <c r="BC342" s="249"/>
      <c r="BD342" s="249"/>
      <c r="BE342" s="249"/>
      <c r="BF342" s="249"/>
      <c r="BG342" s="249"/>
      <c r="BH342" s="249"/>
      <c r="BI342" s="249"/>
      <c r="BJ342" s="249"/>
      <c r="BK342" s="249"/>
      <c r="BL342" s="249"/>
      <c r="BM342" s="249"/>
      <c r="BN342" s="249"/>
      <c r="BO342" s="249"/>
      <c r="BP342" s="249"/>
      <c r="BQ342" s="249"/>
      <c r="BR342" s="249"/>
      <c r="BS342" s="249"/>
      <c r="BT342" s="249"/>
      <c r="BU342" s="249"/>
      <c r="BV342" s="249"/>
      <c r="BW342" s="249"/>
      <c r="BX342" s="249"/>
      <c r="BY342" s="249"/>
      <c r="BZ342" s="249"/>
      <c r="CA342" s="249"/>
      <c r="CB342" s="249"/>
      <c r="CC342" s="249"/>
      <c r="CD342" s="249"/>
      <c r="CE342" s="249"/>
      <c r="CF342" s="249"/>
      <c r="CG342" s="249"/>
      <c r="CH342" s="249"/>
      <c r="CI342" s="249"/>
      <c r="CJ342" s="249"/>
      <c r="CK342" s="249"/>
      <c r="CL342" s="249"/>
      <c r="CM342" s="249"/>
      <c r="CN342" s="249"/>
      <c r="CO342" s="249"/>
      <c r="CP342" s="249"/>
      <c r="CQ342" s="249"/>
      <c r="CR342" s="249"/>
      <c r="CS342" s="249"/>
      <c r="CT342" s="249"/>
      <c r="CU342" s="249"/>
      <c r="CV342" s="249"/>
      <c r="CW342" s="249"/>
      <c r="CX342" s="249"/>
      <c r="CY342" s="249"/>
      <c r="CZ342" s="249"/>
      <c r="DA342" s="249"/>
      <c r="DB342" s="249"/>
      <c r="DC342" s="249"/>
      <c r="DD342" s="249"/>
      <c r="DE342" s="249"/>
      <c r="DF342" s="249"/>
      <c r="DG342" s="249"/>
      <c r="DH342" s="249"/>
      <c r="DI342" s="249"/>
      <c r="DJ342" s="249"/>
      <c r="DK342" s="249"/>
      <c r="DL342" s="249"/>
      <c r="DM342" s="249"/>
      <c r="DN342" s="249"/>
      <c r="DO342" s="249"/>
      <c r="DP342" s="249"/>
      <c r="DQ342" s="249"/>
      <c r="DR342" s="249"/>
      <c r="DS342" s="249"/>
      <c r="DT342" s="249"/>
      <c r="DU342" s="249"/>
      <c r="DV342" s="249"/>
      <c r="DW342" s="249"/>
      <c r="DX342" s="249"/>
      <c r="DY342" s="249"/>
      <c r="DZ342" s="249"/>
      <c r="EA342" s="249"/>
      <c r="EB342" s="249"/>
      <c r="EC342" s="249"/>
      <c r="ED342" s="249"/>
      <c r="EE342" s="249"/>
      <c r="EF342" s="249"/>
      <c r="EG342" s="249"/>
      <c r="EH342" s="249"/>
      <c r="EI342" s="249"/>
      <c r="EJ342" s="249"/>
      <c r="EK342" s="249"/>
      <c r="EL342" s="249"/>
      <c r="EM342" s="249"/>
      <c r="EN342" s="249"/>
      <c r="EO342" s="249"/>
      <c r="EP342" s="249"/>
      <c r="EQ342" s="249"/>
      <c r="ER342" s="249"/>
      <c r="ES342" s="249"/>
      <c r="ET342" s="249"/>
      <c r="EU342" s="249"/>
      <c r="EV342" s="249"/>
      <c r="EW342" s="249"/>
      <c r="EX342" s="249"/>
      <c r="EY342" s="249"/>
      <c r="EZ342" s="249"/>
      <c r="FA342" s="249"/>
      <c r="FB342" s="249"/>
      <c r="FC342" s="249"/>
      <c r="FD342" s="249"/>
      <c r="FE342" s="249"/>
      <c r="FF342" s="249"/>
      <c r="FG342" s="249"/>
      <c r="FH342" s="249"/>
      <c r="FI342" s="249"/>
      <c r="FJ342" s="249"/>
      <c r="FK342" s="249"/>
      <c r="FL342" s="249"/>
      <c r="FM342" s="249"/>
      <c r="FN342" s="249"/>
      <c r="FO342" s="249"/>
      <c r="FP342" s="249"/>
      <c r="FQ342" s="249"/>
      <c r="FR342" s="249"/>
      <c r="FS342" s="249"/>
      <c r="FT342" s="249"/>
      <c r="FU342" s="249"/>
      <c r="FV342" s="249"/>
      <c r="FW342" s="249"/>
      <c r="FX342" s="249"/>
      <c r="FY342" s="249"/>
      <c r="FZ342" s="249"/>
      <c r="GA342" s="249"/>
      <c r="GB342" s="249"/>
      <c r="GC342" s="249"/>
      <c r="GD342" s="249"/>
      <c r="GE342" s="249"/>
      <c r="GF342" s="249"/>
      <c r="GG342" s="249"/>
      <c r="GH342" s="249"/>
      <c r="GI342" s="249"/>
      <c r="GJ342" s="249"/>
      <c r="GK342" s="249"/>
      <c r="GL342" s="249"/>
      <c r="GM342" s="249"/>
      <c r="GN342" s="249"/>
      <c r="GO342" s="249"/>
      <c r="GP342" s="249"/>
      <c r="GQ342" s="249"/>
      <c r="GR342" s="249"/>
    </row>
    <row r="343" spans="1:200" s="252" customFormat="1" ht="12.75" customHeight="1" x14ac:dyDescent="0.2">
      <c r="A343" s="709"/>
      <c r="B343" s="1110"/>
      <c r="C343" s="1110"/>
      <c r="D343" s="257"/>
      <c r="E343" s="617"/>
      <c r="F343" s="296"/>
      <c r="G343" s="250"/>
      <c r="H343" s="250"/>
      <c r="I343" s="250"/>
      <c r="J343" s="250"/>
      <c r="K343" s="250"/>
      <c r="L343" s="250"/>
      <c r="M343" s="250"/>
      <c r="N343" s="250"/>
      <c r="O343" s="250"/>
      <c r="P343" s="251"/>
      <c r="Q343" s="251"/>
      <c r="R343" s="251"/>
      <c r="S343" s="251"/>
      <c r="T343" s="251"/>
      <c r="U343" s="1971" t="str">
        <f t="shared" si="81"/>
        <v>Yes</v>
      </c>
      <c r="V343" s="1971" t="str">
        <f t="shared" si="82"/>
        <v>18-5/8" x 23" Centralizer, Bow Type</v>
      </c>
      <c r="W343" s="246" t="s">
        <v>2611</v>
      </c>
      <c r="X343" s="246"/>
      <c r="Y343" s="246"/>
      <c r="Z343" s="246">
        <f t="shared" si="90"/>
        <v>0</v>
      </c>
      <c r="AA343" s="246"/>
      <c r="AB343" s="2102">
        <f>IF($U343="Yes",'Casings et al'!$F14,'Casings et al'!$L14)</f>
        <v>3666.2733333333331</v>
      </c>
      <c r="AC343" s="246"/>
      <c r="AD343" s="246">
        <f t="shared" si="84"/>
        <v>0</v>
      </c>
      <c r="AE343" s="246"/>
      <c r="AF343" s="246">
        <f t="shared" si="85"/>
        <v>0</v>
      </c>
      <c r="AG343" s="246"/>
      <c r="AH343" s="246">
        <f t="shared" si="86"/>
        <v>0</v>
      </c>
      <c r="AI343" s="246"/>
      <c r="AJ343" s="246">
        <f t="shared" si="87"/>
        <v>0</v>
      </c>
      <c r="AK343" s="246">
        <f t="shared" si="88"/>
        <v>0</v>
      </c>
      <c r="AL343" s="246"/>
      <c r="AM343" s="246">
        <f t="shared" si="89"/>
        <v>62326.64666666666</v>
      </c>
      <c r="AN343" s="257"/>
      <c r="AO343" s="296"/>
      <c r="AP343" s="250"/>
      <c r="AQ343" s="250"/>
      <c r="AR343" s="250"/>
      <c r="AS343" s="250"/>
      <c r="AT343" s="250"/>
      <c r="AU343" s="250"/>
      <c r="AV343" s="249"/>
      <c r="AW343" s="249"/>
      <c r="AX343" s="249"/>
      <c r="AY343" s="249"/>
      <c r="AZ343" s="249"/>
      <c r="BA343" s="249"/>
      <c r="BB343" s="249"/>
      <c r="BC343" s="249"/>
      <c r="BD343" s="249"/>
      <c r="BE343" s="249"/>
      <c r="BF343" s="249"/>
      <c r="BG343" s="249"/>
      <c r="BH343" s="249"/>
      <c r="BI343" s="249"/>
      <c r="BJ343" s="249"/>
      <c r="BK343" s="249"/>
      <c r="BL343" s="249"/>
      <c r="BM343" s="249"/>
      <c r="BN343" s="249"/>
      <c r="BO343" s="249"/>
      <c r="BP343" s="249"/>
      <c r="BQ343" s="249"/>
      <c r="BR343" s="249"/>
      <c r="BS343" s="249"/>
      <c r="BT343" s="249"/>
      <c r="BU343" s="249"/>
      <c r="BV343" s="249"/>
      <c r="BW343" s="249"/>
      <c r="BX343" s="249"/>
      <c r="BY343" s="249"/>
      <c r="BZ343" s="249"/>
      <c r="CA343" s="249"/>
      <c r="CB343" s="249"/>
      <c r="CC343" s="249"/>
      <c r="CD343" s="249"/>
      <c r="CE343" s="249"/>
      <c r="CF343" s="249"/>
      <c r="CG343" s="249"/>
      <c r="CH343" s="249"/>
      <c r="CI343" s="249"/>
      <c r="CJ343" s="249"/>
      <c r="CK343" s="249"/>
      <c r="CL343" s="249"/>
      <c r="CM343" s="249"/>
      <c r="CN343" s="249"/>
      <c r="CO343" s="249"/>
      <c r="CP343" s="249"/>
      <c r="CQ343" s="249"/>
      <c r="CR343" s="249"/>
      <c r="CS343" s="249"/>
      <c r="CT343" s="249"/>
      <c r="CU343" s="249"/>
      <c r="CV343" s="249"/>
      <c r="CW343" s="249"/>
      <c r="CX343" s="249"/>
      <c r="CY343" s="249"/>
      <c r="CZ343" s="249"/>
      <c r="DA343" s="249"/>
      <c r="DB343" s="249"/>
      <c r="DC343" s="249"/>
      <c r="DD343" s="249"/>
      <c r="DE343" s="249"/>
      <c r="DF343" s="249"/>
      <c r="DG343" s="249"/>
      <c r="DH343" s="249"/>
      <c r="DI343" s="249"/>
      <c r="DJ343" s="249"/>
      <c r="DK343" s="249"/>
      <c r="DL343" s="249"/>
      <c r="DM343" s="249"/>
      <c r="DN343" s="249"/>
      <c r="DO343" s="249"/>
      <c r="DP343" s="249"/>
      <c r="DQ343" s="249"/>
      <c r="DR343" s="249"/>
      <c r="DS343" s="249"/>
      <c r="DT343" s="249"/>
      <c r="DU343" s="249"/>
      <c r="DV343" s="249"/>
      <c r="DW343" s="249"/>
      <c r="DX343" s="249"/>
      <c r="DY343" s="249"/>
      <c r="DZ343" s="249"/>
      <c r="EA343" s="249"/>
      <c r="EB343" s="249"/>
      <c r="EC343" s="249"/>
      <c r="ED343" s="249"/>
      <c r="EE343" s="249"/>
      <c r="EF343" s="249"/>
      <c r="EG343" s="249"/>
      <c r="EH343" s="249"/>
      <c r="EI343" s="249"/>
      <c r="EJ343" s="249"/>
      <c r="EK343" s="249"/>
      <c r="EL343" s="249"/>
      <c r="EM343" s="249"/>
      <c r="EN343" s="249"/>
      <c r="EO343" s="249"/>
      <c r="EP343" s="249"/>
      <c r="EQ343" s="249"/>
      <c r="ER343" s="249"/>
      <c r="ES343" s="249"/>
      <c r="ET343" s="249"/>
      <c r="EU343" s="249"/>
      <c r="EV343" s="249"/>
      <c r="EW343" s="249"/>
      <c r="EX343" s="249"/>
      <c r="EY343" s="249"/>
      <c r="EZ343" s="249"/>
      <c r="FA343" s="249"/>
      <c r="FB343" s="249"/>
      <c r="FC343" s="249"/>
      <c r="FD343" s="249"/>
      <c r="FE343" s="249"/>
      <c r="FF343" s="249"/>
      <c r="FG343" s="249"/>
      <c r="FH343" s="249"/>
      <c r="FI343" s="249"/>
      <c r="FJ343" s="249"/>
      <c r="FK343" s="249"/>
      <c r="FL343" s="249"/>
      <c r="FM343" s="249"/>
      <c r="FN343" s="249"/>
      <c r="FO343" s="249"/>
      <c r="FP343" s="249"/>
      <c r="FQ343" s="249"/>
      <c r="FR343" s="249"/>
      <c r="FS343" s="249"/>
      <c r="FT343" s="249"/>
      <c r="FU343" s="249"/>
      <c r="FV343" s="249"/>
      <c r="FW343" s="249"/>
      <c r="FX343" s="249"/>
      <c r="FY343" s="249"/>
      <c r="FZ343" s="249"/>
      <c r="GA343" s="249"/>
      <c r="GB343" s="249"/>
      <c r="GC343" s="249"/>
      <c r="GD343" s="249"/>
      <c r="GE343" s="249"/>
      <c r="GF343" s="249"/>
      <c r="GG343" s="249"/>
      <c r="GH343" s="249"/>
      <c r="GI343" s="249"/>
      <c r="GJ343" s="249"/>
      <c r="GK343" s="249"/>
      <c r="GL343" s="249"/>
      <c r="GM343" s="249"/>
      <c r="GN343" s="249"/>
      <c r="GO343" s="249"/>
      <c r="GP343" s="249"/>
      <c r="GQ343" s="249"/>
      <c r="GR343" s="249"/>
    </row>
    <row r="344" spans="1:200" s="252" customFormat="1" ht="12.75" customHeight="1" x14ac:dyDescent="0.2">
      <c r="A344" s="709"/>
      <c r="B344" s="1110"/>
      <c r="C344" s="1110"/>
      <c r="D344" s="257"/>
      <c r="E344" s="617"/>
      <c r="F344" s="296"/>
      <c r="G344" s="250"/>
      <c r="H344" s="250"/>
      <c r="I344" s="250"/>
      <c r="J344" s="250"/>
      <c r="K344" s="250"/>
      <c r="L344" s="250"/>
      <c r="M344" s="250"/>
      <c r="N344" s="250"/>
      <c r="O344" s="250"/>
      <c r="P344" s="251"/>
      <c r="Q344" s="251"/>
      <c r="R344" s="251"/>
      <c r="S344" s="251"/>
      <c r="T344" s="251"/>
      <c r="U344" s="1971" t="str">
        <f t="shared" si="81"/>
        <v>Yes</v>
      </c>
      <c r="V344" s="1971" t="str">
        <f t="shared" si="82"/>
        <v>18-5/8" x 23" Metal Petal Basket</v>
      </c>
      <c r="W344" s="246" t="s">
        <v>2611</v>
      </c>
      <c r="X344" s="246"/>
      <c r="Y344" s="246"/>
      <c r="Z344" s="246">
        <f t="shared" si="90"/>
        <v>0</v>
      </c>
      <c r="AA344" s="246"/>
      <c r="AB344" s="2102">
        <f>IF($U344="Yes",'Casings et al'!$F15,'Casings et al'!$L15)</f>
        <v>20579.436666666665</v>
      </c>
      <c r="AC344" s="246"/>
      <c r="AD344" s="246">
        <f t="shared" si="84"/>
        <v>0</v>
      </c>
      <c r="AE344" s="246"/>
      <c r="AF344" s="246">
        <f t="shared" si="85"/>
        <v>0</v>
      </c>
      <c r="AG344" s="246"/>
      <c r="AH344" s="246">
        <f t="shared" si="86"/>
        <v>0</v>
      </c>
      <c r="AI344" s="246"/>
      <c r="AJ344" s="246">
        <f t="shared" si="87"/>
        <v>0</v>
      </c>
      <c r="AK344" s="246">
        <f t="shared" si="88"/>
        <v>0</v>
      </c>
      <c r="AL344" s="246"/>
      <c r="AM344" s="246">
        <f t="shared" si="89"/>
        <v>41158.873333333329</v>
      </c>
      <c r="AN344" s="257"/>
      <c r="AO344" s="296"/>
      <c r="AP344" s="250"/>
      <c r="AQ344" s="250"/>
      <c r="AR344" s="250"/>
      <c r="AS344" s="250"/>
      <c r="AT344" s="250"/>
      <c r="AU344" s="250"/>
      <c r="AV344" s="249"/>
      <c r="AW344" s="249"/>
      <c r="AX344" s="249"/>
      <c r="AY344" s="249"/>
      <c r="AZ344" s="249"/>
      <c r="BA344" s="249"/>
      <c r="BB344" s="249"/>
      <c r="BC344" s="249"/>
      <c r="BD344" s="249"/>
      <c r="BE344" s="249"/>
      <c r="BF344" s="249"/>
      <c r="BG344" s="249"/>
      <c r="BH344" s="249"/>
      <c r="BI344" s="249"/>
      <c r="BJ344" s="249"/>
      <c r="BK344" s="249"/>
      <c r="BL344" s="249"/>
      <c r="BM344" s="249"/>
      <c r="BN344" s="249"/>
      <c r="BO344" s="249"/>
      <c r="BP344" s="249"/>
      <c r="BQ344" s="249"/>
      <c r="BR344" s="249"/>
      <c r="BS344" s="249"/>
      <c r="BT344" s="249"/>
      <c r="BU344" s="249"/>
      <c r="BV344" s="249"/>
      <c r="BW344" s="249"/>
      <c r="BX344" s="249"/>
      <c r="BY344" s="249"/>
      <c r="BZ344" s="249"/>
      <c r="CA344" s="249"/>
      <c r="CB344" s="249"/>
      <c r="CC344" s="249"/>
      <c r="CD344" s="249"/>
      <c r="CE344" s="249"/>
      <c r="CF344" s="249"/>
      <c r="CG344" s="249"/>
      <c r="CH344" s="249"/>
      <c r="CI344" s="249"/>
      <c r="CJ344" s="249"/>
      <c r="CK344" s="249"/>
      <c r="CL344" s="249"/>
      <c r="CM344" s="249"/>
      <c r="CN344" s="249"/>
      <c r="CO344" s="249"/>
      <c r="CP344" s="249"/>
      <c r="CQ344" s="249"/>
      <c r="CR344" s="249"/>
      <c r="CS344" s="249"/>
      <c r="CT344" s="249"/>
      <c r="CU344" s="249"/>
      <c r="CV344" s="249"/>
      <c r="CW344" s="249"/>
      <c r="CX344" s="249"/>
      <c r="CY344" s="249"/>
      <c r="CZ344" s="249"/>
      <c r="DA344" s="249"/>
      <c r="DB344" s="249"/>
      <c r="DC344" s="249"/>
      <c r="DD344" s="249"/>
      <c r="DE344" s="249"/>
      <c r="DF344" s="249"/>
      <c r="DG344" s="249"/>
      <c r="DH344" s="249"/>
      <c r="DI344" s="249"/>
      <c r="DJ344" s="249"/>
      <c r="DK344" s="249"/>
      <c r="DL344" s="249"/>
      <c r="DM344" s="249"/>
      <c r="DN344" s="249"/>
      <c r="DO344" s="249"/>
      <c r="DP344" s="249"/>
      <c r="DQ344" s="249"/>
      <c r="DR344" s="249"/>
      <c r="DS344" s="249"/>
      <c r="DT344" s="249"/>
      <c r="DU344" s="249"/>
      <c r="DV344" s="249"/>
      <c r="DW344" s="249"/>
      <c r="DX344" s="249"/>
      <c r="DY344" s="249"/>
      <c r="DZ344" s="249"/>
      <c r="EA344" s="249"/>
      <c r="EB344" s="249"/>
      <c r="EC344" s="249"/>
      <c r="ED344" s="249"/>
      <c r="EE344" s="249"/>
      <c r="EF344" s="249"/>
      <c r="EG344" s="249"/>
      <c r="EH344" s="249"/>
      <c r="EI344" s="249"/>
      <c r="EJ344" s="249"/>
      <c r="EK344" s="249"/>
      <c r="EL344" s="249"/>
      <c r="EM344" s="249"/>
      <c r="EN344" s="249"/>
      <c r="EO344" s="249"/>
      <c r="EP344" s="249"/>
      <c r="EQ344" s="249"/>
      <c r="ER344" s="249"/>
      <c r="ES344" s="249"/>
      <c r="ET344" s="249"/>
      <c r="EU344" s="249"/>
      <c r="EV344" s="249"/>
      <c r="EW344" s="249"/>
      <c r="EX344" s="249"/>
      <c r="EY344" s="249"/>
      <c r="EZ344" s="249"/>
      <c r="FA344" s="249"/>
      <c r="FB344" s="249"/>
      <c r="FC344" s="249"/>
      <c r="FD344" s="249"/>
      <c r="FE344" s="249"/>
      <c r="FF344" s="249"/>
      <c r="FG344" s="249"/>
      <c r="FH344" s="249"/>
      <c r="FI344" s="249"/>
      <c r="FJ344" s="249"/>
      <c r="FK344" s="249"/>
      <c r="FL344" s="249"/>
      <c r="FM344" s="249"/>
      <c r="FN344" s="249"/>
      <c r="FO344" s="249"/>
      <c r="FP344" s="249"/>
      <c r="FQ344" s="249"/>
      <c r="FR344" s="249"/>
      <c r="FS344" s="249"/>
      <c r="FT344" s="249"/>
      <c r="FU344" s="249"/>
      <c r="FV344" s="249"/>
      <c r="FW344" s="249"/>
      <c r="FX344" s="249"/>
      <c r="FY344" s="249"/>
      <c r="FZ344" s="249"/>
      <c r="GA344" s="249"/>
      <c r="GB344" s="249"/>
      <c r="GC344" s="249"/>
      <c r="GD344" s="249"/>
      <c r="GE344" s="249"/>
      <c r="GF344" s="249"/>
      <c r="GG344" s="249"/>
      <c r="GH344" s="249"/>
      <c r="GI344" s="249"/>
      <c r="GJ344" s="249"/>
      <c r="GK344" s="249"/>
      <c r="GL344" s="249"/>
      <c r="GM344" s="249"/>
      <c r="GN344" s="249"/>
      <c r="GO344" s="249"/>
      <c r="GP344" s="249"/>
      <c r="GQ344" s="249"/>
      <c r="GR344" s="249"/>
    </row>
    <row r="345" spans="1:200" s="252" customFormat="1" ht="12.75" customHeight="1" x14ac:dyDescent="0.2">
      <c r="A345" s="709"/>
      <c r="B345" s="1110"/>
      <c r="C345" s="1110"/>
      <c r="D345" s="257"/>
      <c r="E345" s="617"/>
      <c r="F345" s="296"/>
      <c r="G345" s="250"/>
      <c r="H345" s="250"/>
      <c r="I345" s="250"/>
      <c r="J345" s="250"/>
      <c r="K345" s="250"/>
      <c r="L345" s="250"/>
      <c r="M345" s="250"/>
      <c r="N345" s="250"/>
      <c r="O345" s="250"/>
      <c r="P345" s="251"/>
      <c r="Q345" s="251"/>
      <c r="R345" s="251"/>
      <c r="S345" s="249"/>
      <c r="T345" s="249"/>
      <c r="U345" s="1971" t="str">
        <f t="shared" si="81"/>
        <v>Yes</v>
      </c>
      <c r="V345" s="1971" t="str">
        <f t="shared" si="82"/>
        <v>Corrosion Ring, 4-1/2"IF &amp; 5"X Hole</v>
      </c>
      <c r="W345" s="246" t="s">
        <v>2611</v>
      </c>
      <c r="X345" s="246"/>
      <c r="Y345" s="246"/>
      <c r="Z345" s="246">
        <f t="shared" si="90"/>
        <v>0</v>
      </c>
      <c r="AA345" s="246"/>
      <c r="AB345" s="2102">
        <f>IF($U345="Yes",'Casings et al'!$F16,'Casings et al'!$L16)</f>
        <v>3639.9091803278689</v>
      </c>
      <c r="AC345" s="246"/>
      <c r="AD345" s="246">
        <f t="shared" si="84"/>
        <v>0</v>
      </c>
      <c r="AE345" s="246"/>
      <c r="AF345" s="246">
        <f t="shared" si="85"/>
        <v>0</v>
      </c>
      <c r="AG345" s="246"/>
      <c r="AH345" s="246">
        <f t="shared" si="86"/>
        <v>0</v>
      </c>
      <c r="AI345" s="246"/>
      <c r="AJ345" s="246">
        <f t="shared" si="87"/>
        <v>0</v>
      </c>
      <c r="AK345" s="246">
        <f t="shared" si="88"/>
        <v>0</v>
      </c>
      <c r="AL345" s="246"/>
      <c r="AM345" s="246">
        <f t="shared" si="89"/>
        <v>18199.545901639343</v>
      </c>
      <c r="AN345" s="257"/>
      <c r="AO345" s="296"/>
      <c r="AP345" s="250"/>
      <c r="AQ345" s="250"/>
      <c r="AR345" s="250"/>
      <c r="AS345" s="250"/>
      <c r="AT345" s="250"/>
      <c r="AU345" s="250"/>
      <c r="AV345" s="249"/>
      <c r="AW345" s="249"/>
      <c r="AX345" s="249"/>
      <c r="AY345" s="249"/>
      <c r="AZ345" s="249"/>
      <c r="BA345" s="249"/>
      <c r="BB345" s="249"/>
      <c r="BC345" s="249"/>
      <c r="BD345" s="249"/>
      <c r="BE345" s="249"/>
      <c r="BF345" s="249"/>
      <c r="BG345" s="249"/>
      <c r="BH345" s="249"/>
      <c r="BI345" s="249"/>
      <c r="BJ345" s="249"/>
      <c r="BK345" s="249"/>
      <c r="BL345" s="249"/>
      <c r="BM345" s="249"/>
      <c r="BN345" s="249"/>
      <c r="BO345" s="249"/>
      <c r="BP345" s="249"/>
      <c r="BQ345" s="249"/>
      <c r="BR345" s="249"/>
      <c r="BS345" s="249"/>
      <c r="BT345" s="249"/>
      <c r="BU345" s="249"/>
      <c r="BV345" s="249"/>
      <c r="BW345" s="249"/>
      <c r="BX345" s="249"/>
      <c r="BY345" s="249"/>
      <c r="BZ345" s="249"/>
      <c r="CA345" s="249"/>
      <c r="CB345" s="249"/>
      <c r="CC345" s="249"/>
      <c r="CD345" s="249"/>
      <c r="CE345" s="249"/>
      <c r="CF345" s="249"/>
      <c r="CG345" s="249"/>
      <c r="CH345" s="249"/>
      <c r="CI345" s="249"/>
      <c r="CJ345" s="249"/>
      <c r="CK345" s="249"/>
      <c r="CL345" s="249"/>
      <c r="CM345" s="249"/>
      <c r="CN345" s="249"/>
      <c r="CO345" s="249"/>
      <c r="CP345" s="249"/>
      <c r="CQ345" s="249"/>
      <c r="CR345" s="249"/>
      <c r="CS345" s="249"/>
      <c r="CT345" s="249"/>
      <c r="CU345" s="249"/>
      <c r="CV345" s="249"/>
      <c r="CW345" s="249"/>
      <c r="CX345" s="249"/>
      <c r="CY345" s="249"/>
      <c r="CZ345" s="249"/>
      <c r="DA345" s="249"/>
      <c r="DB345" s="249"/>
      <c r="DC345" s="249"/>
      <c r="DD345" s="249"/>
      <c r="DE345" s="249"/>
      <c r="DF345" s="249"/>
      <c r="DG345" s="249"/>
      <c r="DH345" s="249"/>
      <c r="DI345" s="249"/>
      <c r="DJ345" s="249"/>
      <c r="DK345" s="249"/>
      <c r="DL345" s="249"/>
      <c r="DM345" s="249"/>
      <c r="DN345" s="249"/>
      <c r="DO345" s="249"/>
      <c r="DP345" s="249"/>
      <c r="DQ345" s="249"/>
      <c r="DR345" s="249"/>
      <c r="DS345" s="249"/>
      <c r="DT345" s="249"/>
      <c r="DU345" s="249"/>
      <c r="DV345" s="249"/>
      <c r="DW345" s="249"/>
      <c r="DX345" s="249"/>
      <c r="DY345" s="249"/>
      <c r="DZ345" s="249"/>
      <c r="EA345" s="249"/>
      <c r="EB345" s="249"/>
      <c r="EC345" s="249"/>
      <c r="ED345" s="249"/>
      <c r="EE345" s="249"/>
      <c r="EF345" s="249"/>
      <c r="EG345" s="249"/>
      <c r="EH345" s="249"/>
      <c r="EI345" s="249"/>
      <c r="EJ345" s="249"/>
      <c r="EK345" s="249"/>
      <c r="EL345" s="249"/>
      <c r="EM345" s="249"/>
      <c r="EN345" s="249"/>
      <c r="EO345" s="249"/>
      <c r="EP345" s="249"/>
      <c r="EQ345" s="249"/>
      <c r="ER345" s="249"/>
      <c r="ES345" s="249"/>
      <c r="ET345" s="249"/>
      <c r="EU345" s="249"/>
      <c r="EV345" s="249"/>
      <c r="EW345" s="249"/>
      <c r="EX345" s="249"/>
      <c r="EY345" s="249"/>
      <c r="EZ345" s="249"/>
      <c r="FA345" s="249"/>
      <c r="FB345" s="249"/>
      <c r="FC345" s="249"/>
      <c r="FD345" s="249"/>
      <c r="FE345" s="249"/>
      <c r="FF345" s="249"/>
      <c r="FG345" s="249"/>
      <c r="FH345" s="249"/>
      <c r="FI345" s="249"/>
      <c r="FJ345" s="249"/>
      <c r="FK345" s="249"/>
      <c r="FL345" s="249"/>
      <c r="FM345" s="249"/>
      <c r="FN345" s="249"/>
      <c r="FO345" s="249"/>
      <c r="FP345" s="249"/>
      <c r="FQ345" s="249"/>
      <c r="FR345" s="249"/>
      <c r="FS345" s="249"/>
      <c r="FT345" s="249"/>
      <c r="FU345" s="249"/>
      <c r="FV345" s="249"/>
      <c r="FW345" s="249"/>
      <c r="FX345" s="249"/>
      <c r="FY345" s="249"/>
      <c r="FZ345" s="249"/>
      <c r="GA345" s="249"/>
      <c r="GB345" s="249"/>
      <c r="GC345" s="249"/>
      <c r="GD345" s="249"/>
      <c r="GE345" s="249"/>
      <c r="GF345" s="249"/>
      <c r="GG345" s="249"/>
      <c r="GH345" s="249"/>
      <c r="GI345" s="249"/>
      <c r="GJ345" s="249"/>
      <c r="GK345" s="249"/>
      <c r="GL345" s="249"/>
      <c r="GM345" s="249"/>
      <c r="GN345" s="249"/>
      <c r="GO345" s="249"/>
      <c r="GP345" s="249"/>
      <c r="GQ345" s="249"/>
      <c r="GR345" s="249"/>
    </row>
    <row r="346" spans="1:200" s="252" customFormat="1" ht="12.75" customHeight="1" x14ac:dyDescent="0.2">
      <c r="A346" s="709"/>
      <c r="B346" s="1110"/>
      <c r="C346" s="1110"/>
      <c r="D346" s="257"/>
      <c r="E346" s="617"/>
      <c r="F346" s="296"/>
      <c r="G346" s="250"/>
      <c r="H346" s="250"/>
      <c r="I346" s="250"/>
      <c r="J346" s="250"/>
      <c r="K346" s="250"/>
      <c r="L346" s="250"/>
      <c r="M346" s="250"/>
      <c r="N346" s="250"/>
      <c r="O346" s="250"/>
      <c r="P346" s="251"/>
      <c r="Q346" s="251"/>
      <c r="R346" s="251"/>
      <c r="S346" s="249"/>
      <c r="T346" s="249"/>
      <c r="U346" s="1971" t="str">
        <f t="shared" si="81"/>
        <v>Yes</v>
      </c>
      <c r="V346" s="1971" t="str">
        <f t="shared" si="82"/>
        <v>Thread Locking Compound * Baker Lock</v>
      </c>
      <c r="W346" s="246" t="s">
        <v>2611</v>
      </c>
      <c r="X346" s="246"/>
      <c r="Y346" s="246"/>
      <c r="Z346" s="246">
        <f t="shared" si="90"/>
        <v>0</v>
      </c>
      <c r="AA346" s="246"/>
      <c r="AB346" s="2102">
        <f>IF($U346="Yes",'Casings et al'!$F17,'Casings et al'!$L17)</f>
        <v>679.40000000000009</v>
      </c>
      <c r="AC346" s="246"/>
      <c r="AD346" s="246">
        <f t="shared" si="84"/>
        <v>0</v>
      </c>
      <c r="AE346" s="246"/>
      <c r="AF346" s="246">
        <f t="shared" si="85"/>
        <v>0</v>
      </c>
      <c r="AG346" s="246"/>
      <c r="AH346" s="246">
        <f t="shared" si="86"/>
        <v>0</v>
      </c>
      <c r="AI346" s="246"/>
      <c r="AJ346" s="246">
        <f t="shared" si="87"/>
        <v>0</v>
      </c>
      <c r="AK346" s="246">
        <f t="shared" si="88"/>
        <v>0</v>
      </c>
      <c r="AL346" s="246"/>
      <c r="AM346" s="246">
        <f t="shared" si="89"/>
        <v>3397.0000000000005</v>
      </c>
      <c r="AN346" s="257"/>
      <c r="AO346" s="296"/>
      <c r="AP346" s="250"/>
      <c r="AQ346" s="250"/>
      <c r="AR346" s="250"/>
      <c r="AS346" s="250"/>
      <c r="AT346" s="250"/>
      <c r="AU346" s="250"/>
      <c r="AV346" s="249"/>
      <c r="AW346" s="249"/>
      <c r="AX346" s="249"/>
      <c r="AY346" s="249"/>
      <c r="AZ346" s="249"/>
      <c r="BA346" s="249"/>
      <c r="BB346" s="249"/>
      <c r="BC346" s="249"/>
      <c r="BD346" s="249"/>
      <c r="BE346" s="249"/>
      <c r="BF346" s="249"/>
      <c r="BG346" s="249"/>
      <c r="BH346" s="249"/>
      <c r="BI346" s="249"/>
      <c r="BJ346" s="249"/>
      <c r="BK346" s="249"/>
      <c r="BL346" s="249"/>
      <c r="BM346" s="249"/>
      <c r="BN346" s="249"/>
      <c r="BO346" s="249"/>
      <c r="BP346" s="249"/>
      <c r="BQ346" s="249"/>
      <c r="BR346" s="249"/>
      <c r="BS346" s="249"/>
      <c r="BT346" s="249"/>
      <c r="BU346" s="249"/>
      <c r="BV346" s="249"/>
      <c r="BW346" s="249"/>
      <c r="BX346" s="249"/>
      <c r="BY346" s="249"/>
      <c r="BZ346" s="249"/>
      <c r="CA346" s="249"/>
      <c r="CB346" s="249"/>
      <c r="CC346" s="249"/>
      <c r="CD346" s="249"/>
      <c r="CE346" s="249"/>
      <c r="CF346" s="249"/>
      <c r="CG346" s="249"/>
      <c r="CH346" s="249"/>
      <c r="CI346" s="249"/>
      <c r="CJ346" s="249"/>
      <c r="CK346" s="249"/>
      <c r="CL346" s="249"/>
      <c r="CM346" s="249"/>
      <c r="CN346" s="249"/>
      <c r="CO346" s="249"/>
      <c r="CP346" s="249"/>
      <c r="CQ346" s="249"/>
      <c r="CR346" s="249"/>
      <c r="CS346" s="249"/>
      <c r="CT346" s="249"/>
      <c r="CU346" s="249"/>
      <c r="CV346" s="249"/>
      <c r="CW346" s="249"/>
      <c r="CX346" s="249"/>
      <c r="CY346" s="249"/>
      <c r="CZ346" s="249"/>
      <c r="DA346" s="249"/>
      <c r="DB346" s="249"/>
      <c r="DC346" s="249"/>
      <c r="DD346" s="249"/>
      <c r="DE346" s="249"/>
      <c r="DF346" s="249"/>
      <c r="DG346" s="249"/>
      <c r="DH346" s="249"/>
      <c r="DI346" s="249"/>
      <c r="DJ346" s="249"/>
      <c r="DK346" s="249"/>
      <c r="DL346" s="249"/>
      <c r="DM346" s="249"/>
      <c r="DN346" s="249"/>
      <c r="DO346" s="249"/>
      <c r="DP346" s="249"/>
      <c r="DQ346" s="249"/>
      <c r="DR346" s="249"/>
      <c r="DS346" s="249"/>
      <c r="DT346" s="249"/>
      <c r="DU346" s="249"/>
      <c r="DV346" s="249"/>
      <c r="DW346" s="249"/>
      <c r="DX346" s="249"/>
      <c r="DY346" s="249"/>
      <c r="DZ346" s="249"/>
      <c r="EA346" s="249"/>
      <c r="EB346" s="249"/>
      <c r="EC346" s="249"/>
      <c r="ED346" s="249"/>
      <c r="EE346" s="249"/>
      <c r="EF346" s="249"/>
      <c r="EG346" s="249"/>
      <c r="EH346" s="249"/>
      <c r="EI346" s="249"/>
      <c r="EJ346" s="249"/>
      <c r="EK346" s="249"/>
      <c r="EL346" s="249"/>
      <c r="EM346" s="249"/>
      <c r="EN346" s="249"/>
      <c r="EO346" s="249"/>
      <c r="EP346" s="249"/>
      <c r="EQ346" s="249"/>
      <c r="ER346" s="249"/>
      <c r="ES346" s="249"/>
      <c r="ET346" s="249"/>
      <c r="EU346" s="249"/>
      <c r="EV346" s="249"/>
      <c r="EW346" s="249"/>
      <c r="EX346" s="249"/>
      <c r="EY346" s="249"/>
      <c r="EZ346" s="249"/>
      <c r="FA346" s="249"/>
      <c r="FB346" s="249"/>
      <c r="FC346" s="249"/>
      <c r="FD346" s="249"/>
      <c r="FE346" s="249"/>
      <c r="FF346" s="249"/>
      <c r="FG346" s="249"/>
      <c r="FH346" s="249"/>
      <c r="FI346" s="249"/>
      <c r="FJ346" s="249"/>
      <c r="FK346" s="249"/>
      <c r="FL346" s="249"/>
      <c r="FM346" s="249"/>
      <c r="FN346" s="249"/>
      <c r="FO346" s="249"/>
      <c r="FP346" s="249"/>
      <c r="FQ346" s="249"/>
      <c r="FR346" s="249"/>
      <c r="FS346" s="249"/>
      <c r="FT346" s="249"/>
      <c r="FU346" s="249"/>
      <c r="FV346" s="249"/>
      <c r="FW346" s="249"/>
      <c r="FX346" s="249"/>
      <c r="FY346" s="249"/>
      <c r="FZ346" s="249"/>
      <c r="GA346" s="249"/>
      <c r="GB346" s="249"/>
      <c r="GC346" s="249"/>
      <c r="GD346" s="249"/>
      <c r="GE346" s="249"/>
      <c r="GF346" s="249"/>
      <c r="GG346" s="249"/>
      <c r="GH346" s="249"/>
      <c r="GI346" s="249"/>
      <c r="GJ346" s="249"/>
      <c r="GK346" s="249"/>
      <c r="GL346" s="249"/>
      <c r="GM346" s="249"/>
      <c r="GN346" s="249"/>
      <c r="GO346" s="249"/>
      <c r="GP346" s="249"/>
      <c r="GQ346" s="249"/>
      <c r="GR346" s="249"/>
    </row>
    <row r="347" spans="1:200" s="252" customFormat="1" ht="12.75" customHeight="1" x14ac:dyDescent="0.2">
      <c r="A347" s="709"/>
      <c r="B347" s="1110"/>
      <c r="C347" s="1110"/>
      <c r="D347" s="257"/>
      <c r="E347" s="617"/>
      <c r="F347" s="296"/>
      <c r="G347" s="250"/>
      <c r="H347" s="250"/>
      <c r="I347" s="250"/>
      <c r="J347" s="250"/>
      <c r="K347" s="250"/>
      <c r="L347" s="250"/>
      <c r="M347" s="250"/>
      <c r="N347" s="250"/>
      <c r="O347" s="250"/>
      <c r="P347" s="251"/>
      <c r="Q347" s="251"/>
      <c r="R347" s="251"/>
      <c r="S347" s="249"/>
      <c r="T347" s="249"/>
      <c r="U347" s="1971" t="str">
        <f t="shared" si="81"/>
        <v>Yes</v>
      </c>
      <c r="V347" s="1971" t="str">
        <f t="shared" si="82"/>
        <v>Thread Sealant * Premium Thread Compound</v>
      </c>
      <c r="W347" s="246" t="s">
        <v>2611</v>
      </c>
      <c r="X347" s="246"/>
      <c r="Y347" s="246"/>
      <c r="Z347" s="246">
        <f t="shared" si="90"/>
        <v>0</v>
      </c>
      <c r="AA347" s="246"/>
      <c r="AB347" s="2102">
        <f>IF($U347="Yes",'Casings et al'!$F18,'Casings et al'!$L18)</f>
        <v>10015.318421052631</v>
      </c>
      <c r="AC347" s="246"/>
      <c r="AD347" s="246">
        <f t="shared" si="84"/>
        <v>0</v>
      </c>
      <c r="AE347" s="246"/>
      <c r="AF347" s="246">
        <f t="shared" si="85"/>
        <v>0</v>
      </c>
      <c r="AG347" s="246"/>
      <c r="AH347" s="246">
        <f t="shared" si="86"/>
        <v>0</v>
      </c>
      <c r="AI347" s="246"/>
      <c r="AJ347" s="246">
        <f t="shared" si="87"/>
        <v>0</v>
      </c>
      <c r="AK347" s="246">
        <f t="shared" si="88"/>
        <v>0</v>
      </c>
      <c r="AL347" s="246"/>
      <c r="AM347" s="246">
        <f t="shared" si="89"/>
        <v>10015.318421052631</v>
      </c>
      <c r="AN347" s="257"/>
      <c r="AO347" s="296"/>
      <c r="AP347" s="250"/>
      <c r="AQ347" s="250"/>
      <c r="AR347" s="250"/>
      <c r="AS347" s="250"/>
      <c r="AT347" s="250"/>
      <c r="AU347" s="250"/>
      <c r="AV347" s="249"/>
      <c r="AW347" s="249"/>
      <c r="AX347" s="249"/>
      <c r="AY347" s="249"/>
      <c r="AZ347" s="249"/>
      <c r="BA347" s="249"/>
      <c r="BB347" s="249"/>
      <c r="BC347" s="249"/>
      <c r="BD347" s="249"/>
      <c r="BE347" s="249"/>
      <c r="BF347" s="249"/>
      <c r="BG347" s="249"/>
      <c r="BH347" s="249"/>
      <c r="BI347" s="249"/>
      <c r="BJ347" s="249"/>
      <c r="BK347" s="249"/>
      <c r="BL347" s="249"/>
      <c r="BM347" s="249"/>
      <c r="BN347" s="249"/>
      <c r="BO347" s="249"/>
      <c r="BP347" s="249"/>
      <c r="BQ347" s="249"/>
      <c r="BR347" s="249"/>
      <c r="BS347" s="249"/>
      <c r="BT347" s="249"/>
      <c r="BU347" s="249"/>
      <c r="BV347" s="249"/>
      <c r="BW347" s="249"/>
      <c r="BX347" s="249"/>
      <c r="BY347" s="249"/>
      <c r="BZ347" s="249"/>
      <c r="CA347" s="249"/>
      <c r="CB347" s="249"/>
      <c r="CC347" s="249"/>
      <c r="CD347" s="249"/>
      <c r="CE347" s="249"/>
      <c r="CF347" s="249"/>
      <c r="CG347" s="249"/>
      <c r="CH347" s="249"/>
      <c r="CI347" s="249"/>
      <c r="CJ347" s="249"/>
      <c r="CK347" s="249"/>
      <c r="CL347" s="249"/>
      <c r="CM347" s="249"/>
      <c r="CN347" s="249"/>
      <c r="CO347" s="249"/>
      <c r="CP347" s="249"/>
      <c r="CQ347" s="249"/>
      <c r="CR347" s="249"/>
      <c r="CS347" s="249"/>
      <c r="CT347" s="249"/>
      <c r="CU347" s="249"/>
      <c r="CV347" s="249"/>
      <c r="CW347" s="249"/>
      <c r="CX347" s="249"/>
      <c r="CY347" s="249"/>
      <c r="CZ347" s="249"/>
      <c r="DA347" s="249"/>
      <c r="DB347" s="249"/>
      <c r="DC347" s="249"/>
      <c r="DD347" s="249"/>
      <c r="DE347" s="249"/>
      <c r="DF347" s="249"/>
      <c r="DG347" s="249"/>
      <c r="DH347" s="249"/>
      <c r="DI347" s="249"/>
      <c r="DJ347" s="249"/>
      <c r="DK347" s="249"/>
      <c r="DL347" s="249"/>
      <c r="DM347" s="249"/>
      <c r="DN347" s="249"/>
      <c r="DO347" s="249"/>
      <c r="DP347" s="249"/>
      <c r="DQ347" s="249"/>
      <c r="DR347" s="249"/>
      <c r="DS347" s="249"/>
      <c r="DT347" s="249"/>
      <c r="DU347" s="249"/>
      <c r="DV347" s="249"/>
      <c r="DW347" s="249"/>
      <c r="DX347" s="249"/>
      <c r="DY347" s="249"/>
      <c r="DZ347" s="249"/>
      <c r="EA347" s="249"/>
      <c r="EB347" s="249"/>
      <c r="EC347" s="249"/>
      <c r="ED347" s="249"/>
      <c r="EE347" s="249"/>
      <c r="EF347" s="249"/>
      <c r="EG347" s="249"/>
      <c r="EH347" s="249"/>
      <c r="EI347" s="249"/>
      <c r="EJ347" s="249"/>
      <c r="EK347" s="249"/>
      <c r="EL347" s="249"/>
      <c r="EM347" s="249"/>
      <c r="EN347" s="249"/>
      <c r="EO347" s="249"/>
      <c r="EP347" s="249"/>
      <c r="EQ347" s="249"/>
      <c r="ER347" s="249"/>
      <c r="ES347" s="249"/>
      <c r="ET347" s="249"/>
      <c r="EU347" s="249"/>
      <c r="EV347" s="249"/>
      <c r="EW347" s="249"/>
      <c r="EX347" s="249"/>
      <c r="EY347" s="249"/>
      <c r="EZ347" s="249"/>
      <c r="FA347" s="249"/>
      <c r="FB347" s="249"/>
      <c r="FC347" s="249"/>
      <c r="FD347" s="249"/>
      <c r="FE347" s="249"/>
      <c r="FF347" s="249"/>
      <c r="FG347" s="249"/>
      <c r="FH347" s="249"/>
      <c r="FI347" s="249"/>
      <c r="FJ347" s="249"/>
      <c r="FK347" s="249"/>
      <c r="FL347" s="249"/>
      <c r="FM347" s="249"/>
      <c r="FN347" s="249"/>
      <c r="FO347" s="249"/>
      <c r="FP347" s="249"/>
      <c r="FQ347" s="249"/>
      <c r="FR347" s="249"/>
      <c r="FS347" s="249"/>
      <c r="FT347" s="249"/>
      <c r="FU347" s="249"/>
      <c r="FV347" s="249"/>
      <c r="FW347" s="249"/>
      <c r="FX347" s="249"/>
      <c r="FY347" s="249"/>
      <c r="FZ347" s="249"/>
      <c r="GA347" s="249"/>
      <c r="GB347" s="249"/>
      <c r="GC347" s="249"/>
      <c r="GD347" s="249"/>
      <c r="GE347" s="249"/>
      <c r="GF347" s="249"/>
      <c r="GG347" s="249"/>
      <c r="GH347" s="249"/>
      <c r="GI347" s="249"/>
      <c r="GJ347" s="249"/>
      <c r="GK347" s="249"/>
      <c r="GL347" s="249"/>
      <c r="GM347" s="249"/>
      <c r="GN347" s="249"/>
      <c r="GO347" s="249"/>
      <c r="GP347" s="249"/>
      <c r="GQ347" s="249"/>
      <c r="GR347" s="249"/>
    </row>
    <row r="348" spans="1:200" s="252" customFormat="1" ht="12.75" customHeight="1" x14ac:dyDescent="0.2">
      <c r="A348" s="709"/>
      <c r="B348" s="1110"/>
      <c r="C348" s="1110"/>
      <c r="D348" s="257"/>
      <c r="E348" s="617"/>
      <c r="F348" s="296"/>
      <c r="G348" s="250"/>
      <c r="H348" s="250"/>
      <c r="I348" s="250"/>
      <c r="J348" s="250"/>
      <c r="K348" s="250"/>
      <c r="L348" s="250"/>
      <c r="M348" s="250"/>
      <c r="N348" s="250"/>
      <c r="O348" s="250"/>
      <c r="P348" s="251"/>
      <c r="Q348" s="251"/>
      <c r="R348" s="251"/>
      <c r="S348" s="249"/>
      <c r="T348" s="249"/>
      <c r="U348" s="1971" t="str">
        <f t="shared" si="81"/>
        <v>Yes</v>
      </c>
      <c r="V348" s="1971" t="str">
        <f t="shared" si="82"/>
        <v>13-3/8" OD Casing; 68 PPF, Grade L80, BTC</v>
      </c>
      <c r="W348" s="246" t="s">
        <v>2611</v>
      </c>
      <c r="X348" s="246"/>
      <c r="Y348" s="246"/>
      <c r="Z348" s="246">
        <f t="shared" si="90"/>
        <v>0</v>
      </c>
      <c r="AA348" s="246"/>
      <c r="AB348" s="246">
        <f t="shared" si="83"/>
        <v>0</v>
      </c>
      <c r="AC348" s="246"/>
      <c r="AD348" s="2102">
        <f>IF($U348="Yes",'Casings et al'!$F19,'Casings et al'!$L19)</f>
        <v>67512.280322580642</v>
      </c>
      <c r="AE348" s="246"/>
      <c r="AF348" s="246">
        <f t="shared" si="85"/>
        <v>0</v>
      </c>
      <c r="AG348" s="246"/>
      <c r="AH348" s="246">
        <f t="shared" si="86"/>
        <v>0</v>
      </c>
      <c r="AI348" s="246"/>
      <c r="AJ348" s="246">
        <f t="shared" si="87"/>
        <v>0</v>
      </c>
      <c r="AK348" s="246">
        <f t="shared" si="88"/>
        <v>0</v>
      </c>
      <c r="AL348" s="246"/>
      <c r="AM348" s="246">
        <f t="shared" si="89"/>
        <v>7628887.6764516123</v>
      </c>
      <c r="AN348" s="257"/>
      <c r="AO348" s="296"/>
      <c r="AP348" s="250"/>
      <c r="AQ348" s="250"/>
      <c r="AR348" s="250"/>
      <c r="AS348" s="250"/>
      <c r="AT348" s="250"/>
      <c r="AU348" s="250"/>
      <c r="AV348" s="249"/>
      <c r="AW348" s="249"/>
      <c r="AX348" s="249"/>
      <c r="AY348" s="249"/>
      <c r="AZ348" s="249"/>
      <c r="BA348" s="249"/>
      <c r="BB348" s="249"/>
      <c r="BC348" s="249"/>
      <c r="BD348" s="249"/>
      <c r="BE348" s="249"/>
      <c r="BF348" s="249"/>
      <c r="BG348" s="249"/>
      <c r="BH348" s="249"/>
      <c r="BI348" s="249"/>
      <c r="BJ348" s="249"/>
      <c r="BK348" s="249"/>
      <c r="BL348" s="249"/>
      <c r="BM348" s="249"/>
      <c r="BN348" s="249"/>
      <c r="BO348" s="249"/>
      <c r="BP348" s="249"/>
      <c r="BQ348" s="249"/>
      <c r="BR348" s="249"/>
      <c r="BS348" s="249"/>
      <c r="BT348" s="249"/>
      <c r="BU348" s="249"/>
      <c r="BV348" s="249"/>
      <c r="BW348" s="249"/>
      <c r="BX348" s="249"/>
      <c r="BY348" s="249"/>
      <c r="BZ348" s="249"/>
      <c r="CA348" s="249"/>
      <c r="CB348" s="249"/>
      <c r="CC348" s="249"/>
      <c r="CD348" s="249"/>
      <c r="CE348" s="249"/>
      <c r="CF348" s="249"/>
      <c r="CG348" s="249"/>
      <c r="CH348" s="249"/>
      <c r="CI348" s="249"/>
      <c r="CJ348" s="249"/>
      <c r="CK348" s="249"/>
      <c r="CL348" s="249"/>
      <c r="CM348" s="249"/>
      <c r="CN348" s="249"/>
      <c r="CO348" s="249"/>
      <c r="CP348" s="249"/>
      <c r="CQ348" s="249"/>
      <c r="CR348" s="249"/>
      <c r="CS348" s="249"/>
      <c r="CT348" s="249"/>
      <c r="CU348" s="249"/>
      <c r="CV348" s="249"/>
      <c r="CW348" s="249"/>
      <c r="CX348" s="249"/>
      <c r="CY348" s="249"/>
      <c r="CZ348" s="249"/>
      <c r="DA348" s="249"/>
      <c r="DB348" s="249"/>
      <c r="DC348" s="249"/>
      <c r="DD348" s="249"/>
      <c r="DE348" s="249"/>
      <c r="DF348" s="249"/>
      <c r="DG348" s="249"/>
      <c r="DH348" s="249"/>
      <c r="DI348" s="249"/>
      <c r="DJ348" s="249"/>
      <c r="DK348" s="249"/>
      <c r="DL348" s="249"/>
      <c r="DM348" s="249"/>
      <c r="DN348" s="249"/>
      <c r="DO348" s="249"/>
      <c r="DP348" s="249"/>
      <c r="DQ348" s="249"/>
      <c r="DR348" s="249"/>
      <c r="DS348" s="249"/>
      <c r="DT348" s="249"/>
      <c r="DU348" s="249"/>
      <c r="DV348" s="249"/>
      <c r="DW348" s="249"/>
      <c r="DX348" s="249"/>
      <c r="DY348" s="249"/>
      <c r="DZ348" s="249"/>
      <c r="EA348" s="249"/>
      <c r="EB348" s="249"/>
      <c r="EC348" s="249"/>
      <c r="ED348" s="249"/>
      <c r="EE348" s="249"/>
      <c r="EF348" s="249"/>
      <c r="EG348" s="249"/>
      <c r="EH348" s="249"/>
      <c r="EI348" s="249"/>
      <c r="EJ348" s="249"/>
      <c r="EK348" s="249"/>
      <c r="EL348" s="249"/>
      <c r="EM348" s="249"/>
      <c r="EN348" s="249"/>
      <c r="EO348" s="249"/>
      <c r="EP348" s="249"/>
      <c r="EQ348" s="249"/>
      <c r="ER348" s="249"/>
      <c r="ES348" s="249"/>
      <c r="ET348" s="249"/>
      <c r="EU348" s="249"/>
      <c r="EV348" s="249"/>
      <c r="EW348" s="249"/>
      <c r="EX348" s="249"/>
      <c r="EY348" s="249"/>
      <c r="EZ348" s="249"/>
      <c r="FA348" s="249"/>
      <c r="FB348" s="249"/>
      <c r="FC348" s="249"/>
      <c r="FD348" s="249"/>
      <c r="FE348" s="249"/>
      <c r="FF348" s="249"/>
      <c r="FG348" s="249"/>
      <c r="FH348" s="249"/>
      <c r="FI348" s="249"/>
      <c r="FJ348" s="249"/>
      <c r="FK348" s="249"/>
      <c r="FL348" s="249"/>
      <c r="FM348" s="249"/>
      <c r="FN348" s="249"/>
      <c r="FO348" s="249"/>
      <c r="FP348" s="249"/>
      <c r="FQ348" s="249"/>
      <c r="FR348" s="249"/>
      <c r="FS348" s="249"/>
      <c r="FT348" s="249"/>
      <c r="FU348" s="249"/>
      <c r="FV348" s="249"/>
      <c r="FW348" s="249"/>
      <c r="FX348" s="249"/>
      <c r="FY348" s="249"/>
      <c r="FZ348" s="249"/>
      <c r="GA348" s="249"/>
      <c r="GB348" s="249"/>
      <c r="GC348" s="249"/>
      <c r="GD348" s="249"/>
      <c r="GE348" s="249"/>
      <c r="GF348" s="249"/>
      <c r="GG348" s="249"/>
      <c r="GH348" s="249"/>
      <c r="GI348" s="249"/>
      <c r="GJ348" s="249"/>
      <c r="GK348" s="249"/>
      <c r="GL348" s="249"/>
      <c r="GM348" s="249"/>
      <c r="GN348" s="249"/>
      <c r="GO348" s="249"/>
      <c r="GP348" s="249"/>
      <c r="GQ348" s="249"/>
      <c r="GR348" s="249"/>
    </row>
    <row r="349" spans="1:200" s="252" customFormat="1" ht="12.75" customHeight="1" x14ac:dyDescent="0.2">
      <c r="A349" s="709"/>
      <c r="B349" s="1110"/>
      <c r="C349" s="1110"/>
      <c r="D349" s="257"/>
      <c r="E349" s="617"/>
      <c r="F349" s="296"/>
      <c r="G349" s="250"/>
      <c r="H349" s="250"/>
      <c r="I349" s="250"/>
      <c r="J349" s="250"/>
      <c r="K349" s="250"/>
      <c r="L349" s="250"/>
      <c r="M349" s="250"/>
      <c r="N349" s="250"/>
      <c r="O349" s="250"/>
      <c r="P349" s="251"/>
      <c r="Q349" s="251"/>
      <c r="R349" s="251"/>
      <c r="S349" s="249"/>
      <c r="T349" s="249"/>
      <c r="U349" s="1971" t="str">
        <f t="shared" si="81"/>
        <v>Yes</v>
      </c>
      <c r="V349" s="1971" t="str">
        <f t="shared" si="82"/>
        <v>13-3/8" Float Shoe; 68ppf, BTC</v>
      </c>
      <c r="W349" s="246" t="s">
        <v>2611</v>
      </c>
      <c r="X349" s="246"/>
      <c r="Y349" s="246"/>
      <c r="Z349" s="246">
        <f t="shared" si="90"/>
        <v>0</v>
      </c>
      <c r="AA349" s="246"/>
      <c r="AB349" s="246">
        <f t="shared" si="83"/>
        <v>0</v>
      </c>
      <c r="AC349" s="246"/>
      <c r="AD349" s="2102">
        <f>IF($U349="Yes",'Casings et al'!$F20,'Casings et al'!$L20)</f>
        <v>42803.41</v>
      </c>
      <c r="AE349" s="246"/>
      <c r="AF349" s="246">
        <f t="shared" si="85"/>
        <v>0</v>
      </c>
      <c r="AG349" s="246"/>
      <c r="AH349" s="246">
        <f t="shared" si="86"/>
        <v>0</v>
      </c>
      <c r="AI349" s="246"/>
      <c r="AJ349" s="246">
        <f t="shared" si="87"/>
        <v>0</v>
      </c>
      <c r="AK349" s="246">
        <f t="shared" si="88"/>
        <v>0</v>
      </c>
      <c r="AL349" s="246"/>
      <c r="AM349" s="246">
        <f t="shared" si="89"/>
        <v>42803.41</v>
      </c>
      <c r="AN349" s="257"/>
      <c r="AO349" s="296"/>
      <c r="AP349" s="250"/>
      <c r="AQ349" s="250"/>
      <c r="AR349" s="250"/>
      <c r="AS349" s="250"/>
      <c r="AT349" s="250"/>
      <c r="AU349" s="250"/>
      <c r="AV349" s="249"/>
      <c r="AW349" s="249"/>
      <c r="AX349" s="249"/>
      <c r="AY349" s="249"/>
      <c r="AZ349" s="249"/>
      <c r="BA349" s="249"/>
      <c r="BB349" s="249"/>
      <c r="BC349" s="249"/>
      <c r="BD349" s="249"/>
      <c r="BE349" s="249"/>
      <c r="BF349" s="249"/>
      <c r="BG349" s="249"/>
      <c r="BH349" s="249"/>
      <c r="BI349" s="249"/>
      <c r="BJ349" s="249"/>
      <c r="BK349" s="249"/>
      <c r="BL349" s="249"/>
      <c r="BM349" s="249"/>
      <c r="BN349" s="249"/>
      <c r="BO349" s="249"/>
      <c r="BP349" s="249"/>
      <c r="BQ349" s="249"/>
      <c r="BR349" s="249"/>
      <c r="BS349" s="249"/>
      <c r="BT349" s="249"/>
      <c r="BU349" s="249"/>
      <c r="BV349" s="249"/>
      <c r="BW349" s="249"/>
      <c r="BX349" s="249"/>
      <c r="BY349" s="249"/>
      <c r="BZ349" s="249"/>
      <c r="CA349" s="249"/>
      <c r="CB349" s="249"/>
      <c r="CC349" s="249"/>
      <c r="CD349" s="249"/>
      <c r="CE349" s="249"/>
      <c r="CF349" s="249"/>
      <c r="CG349" s="249"/>
      <c r="CH349" s="249"/>
      <c r="CI349" s="249"/>
      <c r="CJ349" s="249"/>
      <c r="CK349" s="249"/>
      <c r="CL349" s="249"/>
      <c r="CM349" s="249"/>
      <c r="CN349" s="249"/>
      <c r="CO349" s="249"/>
      <c r="CP349" s="249"/>
      <c r="CQ349" s="249"/>
      <c r="CR349" s="249"/>
      <c r="CS349" s="249"/>
      <c r="CT349" s="249"/>
      <c r="CU349" s="249"/>
      <c r="CV349" s="249"/>
      <c r="CW349" s="249"/>
      <c r="CX349" s="249"/>
      <c r="CY349" s="249"/>
      <c r="CZ349" s="249"/>
      <c r="DA349" s="249"/>
      <c r="DB349" s="249"/>
      <c r="DC349" s="249"/>
      <c r="DD349" s="249"/>
      <c r="DE349" s="249"/>
      <c r="DF349" s="249"/>
      <c r="DG349" s="249"/>
      <c r="DH349" s="249"/>
      <c r="DI349" s="249"/>
      <c r="DJ349" s="249"/>
      <c r="DK349" s="249"/>
      <c r="DL349" s="249"/>
      <c r="DM349" s="249"/>
      <c r="DN349" s="249"/>
      <c r="DO349" s="249"/>
      <c r="DP349" s="249"/>
      <c r="DQ349" s="249"/>
      <c r="DR349" s="249"/>
      <c r="DS349" s="249"/>
      <c r="DT349" s="249"/>
      <c r="DU349" s="249"/>
      <c r="DV349" s="249"/>
      <c r="DW349" s="249"/>
      <c r="DX349" s="249"/>
      <c r="DY349" s="249"/>
      <c r="DZ349" s="249"/>
      <c r="EA349" s="249"/>
      <c r="EB349" s="249"/>
      <c r="EC349" s="249"/>
      <c r="ED349" s="249"/>
      <c r="EE349" s="249"/>
      <c r="EF349" s="249"/>
      <c r="EG349" s="249"/>
      <c r="EH349" s="249"/>
      <c r="EI349" s="249"/>
      <c r="EJ349" s="249"/>
      <c r="EK349" s="249"/>
      <c r="EL349" s="249"/>
      <c r="EM349" s="249"/>
      <c r="EN349" s="249"/>
      <c r="EO349" s="249"/>
      <c r="EP349" s="249"/>
      <c r="EQ349" s="249"/>
      <c r="ER349" s="249"/>
      <c r="ES349" s="249"/>
      <c r="ET349" s="249"/>
      <c r="EU349" s="249"/>
      <c r="EV349" s="249"/>
      <c r="EW349" s="249"/>
      <c r="EX349" s="249"/>
      <c r="EY349" s="249"/>
      <c r="EZ349" s="249"/>
      <c r="FA349" s="249"/>
      <c r="FB349" s="249"/>
      <c r="FC349" s="249"/>
      <c r="FD349" s="249"/>
      <c r="FE349" s="249"/>
      <c r="FF349" s="249"/>
      <c r="FG349" s="249"/>
      <c r="FH349" s="249"/>
      <c r="FI349" s="249"/>
      <c r="FJ349" s="249"/>
      <c r="FK349" s="249"/>
      <c r="FL349" s="249"/>
      <c r="FM349" s="249"/>
      <c r="FN349" s="249"/>
      <c r="FO349" s="249"/>
      <c r="FP349" s="249"/>
      <c r="FQ349" s="249"/>
      <c r="FR349" s="249"/>
      <c r="FS349" s="249"/>
      <c r="FT349" s="249"/>
      <c r="FU349" s="249"/>
      <c r="FV349" s="249"/>
      <c r="FW349" s="249"/>
      <c r="FX349" s="249"/>
      <c r="FY349" s="249"/>
      <c r="FZ349" s="249"/>
      <c r="GA349" s="249"/>
      <c r="GB349" s="249"/>
      <c r="GC349" s="249"/>
      <c r="GD349" s="249"/>
      <c r="GE349" s="249"/>
      <c r="GF349" s="249"/>
      <c r="GG349" s="249"/>
      <c r="GH349" s="249"/>
      <c r="GI349" s="249"/>
      <c r="GJ349" s="249"/>
      <c r="GK349" s="249"/>
      <c r="GL349" s="249"/>
      <c r="GM349" s="249"/>
      <c r="GN349" s="249"/>
      <c r="GO349" s="249"/>
      <c r="GP349" s="249"/>
      <c r="GQ349" s="249"/>
      <c r="GR349" s="249"/>
    </row>
    <row r="350" spans="1:200" s="252" customFormat="1" ht="12.75" customHeight="1" x14ac:dyDescent="0.2">
      <c r="A350" s="709"/>
      <c r="B350" s="1110"/>
      <c r="C350" s="1110"/>
      <c r="D350" s="257"/>
      <c r="E350" s="617"/>
      <c r="F350" s="296"/>
      <c r="G350" s="250"/>
      <c r="H350" s="250"/>
      <c r="I350" s="250"/>
      <c r="J350" s="250"/>
      <c r="K350" s="250"/>
      <c r="L350" s="250"/>
      <c r="M350" s="250"/>
      <c r="N350" s="250"/>
      <c r="O350" s="250"/>
      <c r="P350" s="251"/>
      <c r="Q350" s="251"/>
      <c r="R350" s="251"/>
      <c r="S350" s="249"/>
      <c r="T350" s="249"/>
      <c r="U350" s="1971" t="str">
        <f t="shared" si="81"/>
        <v>Yes</v>
      </c>
      <c r="V350" s="1971" t="str">
        <f t="shared" si="82"/>
        <v>13-3/8" Float Collar, 68ppf, BTC</v>
      </c>
      <c r="W350" s="246" t="s">
        <v>2611</v>
      </c>
      <c r="X350" s="246"/>
      <c r="Y350" s="246"/>
      <c r="Z350" s="246">
        <f t="shared" si="90"/>
        <v>0</v>
      </c>
      <c r="AA350" s="246"/>
      <c r="AB350" s="246">
        <f t="shared" si="83"/>
        <v>0</v>
      </c>
      <c r="AC350" s="246"/>
      <c r="AD350" s="2102">
        <f>IF($U350="Yes",'Casings et al'!$F21,'Casings et al'!$L21)</f>
        <v>56565.922222222223</v>
      </c>
      <c r="AE350" s="246"/>
      <c r="AF350" s="246">
        <f t="shared" si="85"/>
        <v>0</v>
      </c>
      <c r="AG350" s="246"/>
      <c r="AH350" s="246">
        <f t="shared" si="86"/>
        <v>0</v>
      </c>
      <c r="AI350" s="246"/>
      <c r="AJ350" s="246">
        <f t="shared" si="87"/>
        <v>0</v>
      </c>
      <c r="AK350" s="246">
        <f t="shared" ref="AK350:AK359" si="91">IFERROR(($W350*AK304),0)</f>
        <v>0</v>
      </c>
      <c r="AL350" s="246"/>
      <c r="AM350" s="246">
        <f t="shared" si="89"/>
        <v>56565.922222222223</v>
      </c>
      <c r="AN350" s="257"/>
      <c r="AO350" s="296"/>
      <c r="AP350" s="250"/>
      <c r="AQ350" s="250"/>
      <c r="AR350" s="250"/>
      <c r="AS350" s="250"/>
      <c r="AT350" s="250"/>
      <c r="AU350" s="250"/>
      <c r="AV350" s="249"/>
      <c r="AW350" s="249"/>
      <c r="AX350" s="249"/>
      <c r="AY350" s="249"/>
      <c r="AZ350" s="249"/>
      <c r="BA350" s="249"/>
      <c r="BB350" s="249"/>
      <c r="BC350" s="249"/>
      <c r="BD350" s="249"/>
      <c r="BE350" s="249"/>
      <c r="BF350" s="249"/>
      <c r="BG350" s="249"/>
      <c r="BH350" s="249"/>
      <c r="BI350" s="249"/>
      <c r="BJ350" s="249"/>
      <c r="BK350" s="249"/>
      <c r="BL350" s="249"/>
      <c r="BM350" s="249"/>
      <c r="BN350" s="249"/>
      <c r="BO350" s="249"/>
      <c r="BP350" s="249"/>
      <c r="BQ350" s="249"/>
      <c r="BR350" s="249"/>
      <c r="BS350" s="249"/>
      <c r="BT350" s="249"/>
      <c r="BU350" s="249"/>
      <c r="BV350" s="249"/>
      <c r="BW350" s="249"/>
      <c r="BX350" s="249"/>
      <c r="BY350" s="249"/>
      <c r="BZ350" s="249"/>
      <c r="CA350" s="249"/>
      <c r="CB350" s="249"/>
      <c r="CC350" s="249"/>
      <c r="CD350" s="249"/>
      <c r="CE350" s="249"/>
      <c r="CF350" s="249"/>
      <c r="CG350" s="249"/>
      <c r="CH350" s="249"/>
      <c r="CI350" s="249"/>
      <c r="CJ350" s="249"/>
      <c r="CK350" s="249"/>
      <c r="CL350" s="249"/>
      <c r="CM350" s="249"/>
      <c r="CN350" s="249"/>
      <c r="CO350" s="249"/>
      <c r="CP350" s="249"/>
      <c r="CQ350" s="249"/>
      <c r="CR350" s="249"/>
      <c r="CS350" s="249"/>
      <c r="CT350" s="249"/>
      <c r="CU350" s="249"/>
      <c r="CV350" s="249"/>
      <c r="CW350" s="249"/>
      <c r="CX350" s="249"/>
      <c r="CY350" s="249"/>
      <c r="CZ350" s="249"/>
      <c r="DA350" s="249"/>
      <c r="DB350" s="249"/>
      <c r="DC350" s="249"/>
      <c r="DD350" s="249"/>
      <c r="DE350" s="249"/>
      <c r="DF350" s="249"/>
      <c r="DG350" s="249"/>
      <c r="DH350" s="249"/>
      <c r="DI350" s="249"/>
      <c r="DJ350" s="249"/>
      <c r="DK350" s="249"/>
      <c r="DL350" s="249"/>
      <c r="DM350" s="249"/>
      <c r="DN350" s="249"/>
      <c r="DO350" s="249"/>
      <c r="DP350" s="249"/>
      <c r="DQ350" s="249"/>
      <c r="DR350" s="249"/>
      <c r="DS350" s="249"/>
      <c r="DT350" s="249"/>
      <c r="DU350" s="249"/>
      <c r="DV350" s="249"/>
      <c r="DW350" s="249"/>
      <c r="DX350" s="249"/>
      <c r="DY350" s="249"/>
      <c r="DZ350" s="249"/>
      <c r="EA350" s="249"/>
      <c r="EB350" s="249"/>
      <c r="EC350" s="249"/>
      <c r="ED350" s="249"/>
      <c r="EE350" s="249"/>
      <c r="EF350" s="249"/>
      <c r="EG350" s="249"/>
      <c r="EH350" s="249"/>
      <c r="EI350" s="249"/>
      <c r="EJ350" s="249"/>
      <c r="EK350" s="249"/>
      <c r="EL350" s="249"/>
      <c r="EM350" s="249"/>
      <c r="EN350" s="249"/>
      <c r="EO350" s="249"/>
      <c r="EP350" s="249"/>
      <c r="EQ350" s="249"/>
      <c r="ER350" s="249"/>
      <c r="ES350" s="249"/>
      <c r="ET350" s="249"/>
      <c r="EU350" s="249"/>
      <c r="EV350" s="249"/>
      <c r="EW350" s="249"/>
      <c r="EX350" s="249"/>
      <c r="EY350" s="249"/>
      <c r="EZ350" s="249"/>
      <c r="FA350" s="249"/>
      <c r="FB350" s="249"/>
      <c r="FC350" s="249"/>
      <c r="FD350" s="249"/>
      <c r="FE350" s="249"/>
      <c r="FF350" s="249"/>
      <c r="FG350" s="249"/>
      <c r="FH350" s="249"/>
      <c r="FI350" s="249"/>
      <c r="FJ350" s="249"/>
      <c r="FK350" s="249"/>
      <c r="FL350" s="249"/>
      <c r="FM350" s="249"/>
      <c r="FN350" s="249"/>
      <c r="FO350" s="249"/>
      <c r="FP350" s="249"/>
      <c r="FQ350" s="249"/>
      <c r="FR350" s="249"/>
      <c r="FS350" s="249"/>
      <c r="FT350" s="249"/>
      <c r="FU350" s="249"/>
      <c r="FV350" s="249"/>
      <c r="FW350" s="249"/>
      <c r="FX350" s="249"/>
      <c r="FY350" s="249"/>
      <c r="FZ350" s="249"/>
      <c r="GA350" s="249"/>
      <c r="GB350" s="249"/>
      <c r="GC350" s="249"/>
      <c r="GD350" s="249"/>
      <c r="GE350" s="249"/>
      <c r="GF350" s="249"/>
      <c r="GG350" s="249"/>
      <c r="GH350" s="249"/>
      <c r="GI350" s="249"/>
      <c r="GJ350" s="249"/>
      <c r="GK350" s="249"/>
      <c r="GL350" s="249"/>
      <c r="GM350" s="249"/>
      <c r="GN350" s="249"/>
      <c r="GO350" s="249"/>
      <c r="GP350" s="249"/>
      <c r="GQ350" s="249"/>
      <c r="GR350" s="249"/>
    </row>
    <row r="351" spans="1:200" s="252" customFormat="1" ht="12.75" customHeight="1" x14ac:dyDescent="0.2">
      <c r="A351" s="709"/>
      <c r="B351" s="1110"/>
      <c r="C351" s="1110"/>
      <c r="D351" s="257"/>
      <c r="E351" s="617"/>
      <c r="F351" s="296"/>
      <c r="G351" s="250"/>
      <c r="H351" s="250"/>
      <c r="I351" s="250"/>
      <c r="J351" s="250"/>
      <c r="K351" s="250"/>
      <c r="L351" s="250"/>
      <c r="M351" s="250"/>
      <c r="N351" s="250"/>
      <c r="O351" s="250"/>
      <c r="P351" s="251"/>
      <c r="Q351" s="251"/>
      <c r="R351" s="251"/>
      <c r="S351" s="249"/>
      <c r="T351" s="249"/>
      <c r="U351" s="1971" t="str">
        <f t="shared" si="81"/>
        <v>Yes</v>
      </c>
      <c r="V351" s="1971" t="str">
        <f t="shared" si="82"/>
        <v>13-3/8" x 18-5/8" Liner Hanger and tie-back system, RIGGER (with setting tool)</v>
      </c>
      <c r="W351" s="246" t="s">
        <v>2611</v>
      </c>
      <c r="X351" s="246"/>
      <c r="Y351" s="246"/>
      <c r="Z351" s="246">
        <f t="shared" si="90"/>
        <v>0</v>
      </c>
      <c r="AA351" s="246"/>
      <c r="AB351" s="246">
        <f t="shared" si="83"/>
        <v>0</v>
      </c>
      <c r="AC351" s="246"/>
      <c r="AD351" s="2102">
        <f>IF($U351="Yes",'Casings et al'!$F22,'Casings et al'!$L22)</f>
        <v>1981112.88</v>
      </c>
      <c r="AE351" s="246"/>
      <c r="AF351" s="246">
        <f t="shared" si="85"/>
        <v>0</v>
      </c>
      <c r="AG351" s="246"/>
      <c r="AH351" s="246">
        <f t="shared" ca="1" si="86"/>
        <v>0</v>
      </c>
      <c r="AI351" s="246"/>
      <c r="AJ351" s="246">
        <f t="shared" si="87"/>
        <v>0</v>
      </c>
      <c r="AK351" s="246">
        <f t="shared" si="91"/>
        <v>0</v>
      </c>
      <c r="AL351" s="246"/>
      <c r="AM351" s="246">
        <f t="shared" ca="1" si="89"/>
        <v>1981112.88</v>
      </c>
      <c r="AN351" s="257"/>
      <c r="AO351" s="296"/>
      <c r="AP351" s="250"/>
      <c r="AQ351" s="250"/>
      <c r="AR351" s="250"/>
      <c r="AS351" s="250"/>
      <c r="AT351" s="250"/>
      <c r="AU351" s="250"/>
      <c r="AV351" s="249"/>
      <c r="AW351" s="249"/>
      <c r="AX351" s="249"/>
      <c r="AY351" s="249"/>
      <c r="AZ351" s="249"/>
      <c r="BA351" s="249"/>
      <c r="BB351" s="249"/>
      <c r="BC351" s="249"/>
      <c r="BD351" s="249"/>
      <c r="BE351" s="249"/>
      <c r="BF351" s="249"/>
      <c r="BG351" s="249"/>
      <c r="BH351" s="249"/>
      <c r="BI351" s="249"/>
      <c r="BJ351" s="249"/>
      <c r="BK351" s="249"/>
      <c r="BL351" s="249"/>
      <c r="BM351" s="249"/>
      <c r="BN351" s="249"/>
      <c r="BO351" s="249"/>
      <c r="BP351" s="249"/>
      <c r="BQ351" s="249"/>
      <c r="BR351" s="249"/>
      <c r="BS351" s="249"/>
      <c r="BT351" s="249"/>
      <c r="BU351" s="249"/>
      <c r="BV351" s="249"/>
      <c r="BW351" s="249"/>
      <c r="BX351" s="249"/>
      <c r="BY351" s="249"/>
      <c r="BZ351" s="249"/>
      <c r="CA351" s="249"/>
      <c r="CB351" s="249"/>
      <c r="CC351" s="249"/>
      <c r="CD351" s="249"/>
      <c r="CE351" s="249"/>
      <c r="CF351" s="249"/>
      <c r="CG351" s="249"/>
      <c r="CH351" s="249"/>
      <c r="CI351" s="249"/>
      <c r="CJ351" s="249"/>
      <c r="CK351" s="249"/>
      <c r="CL351" s="249"/>
      <c r="CM351" s="249"/>
      <c r="CN351" s="249"/>
      <c r="CO351" s="249"/>
      <c r="CP351" s="249"/>
      <c r="CQ351" s="249"/>
      <c r="CR351" s="249"/>
      <c r="CS351" s="249"/>
      <c r="CT351" s="249"/>
      <c r="CU351" s="249"/>
      <c r="CV351" s="249"/>
      <c r="CW351" s="249"/>
      <c r="CX351" s="249"/>
      <c r="CY351" s="249"/>
      <c r="CZ351" s="249"/>
      <c r="DA351" s="249"/>
      <c r="DB351" s="249"/>
      <c r="DC351" s="249"/>
      <c r="DD351" s="249"/>
      <c r="DE351" s="249"/>
      <c r="DF351" s="249"/>
      <c r="DG351" s="249"/>
      <c r="DH351" s="249"/>
      <c r="DI351" s="249"/>
      <c r="DJ351" s="249"/>
      <c r="DK351" s="249"/>
      <c r="DL351" s="249"/>
      <c r="DM351" s="249"/>
      <c r="DN351" s="249"/>
      <c r="DO351" s="249"/>
      <c r="DP351" s="249"/>
      <c r="DQ351" s="249"/>
      <c r="DR351" s="249"/>
      <c r="DS351" s="249"/>
      <c r="DT351" s="249"/>
      <c r="DU351" s="249"/>
      <c r="DV351" s="249"/>
      <c r="DW351" s="249"/>
      <c r="DX351" s="249"/>
      <c r="DY351" s="249"/>
      <c r="DZ351" s="249"/>
      <c r="EA351" s="249"/>
      <c r="EB351" s="249"/>
      <c r="EC351" s="249"/>
      <c r="ED351" s="249"/>
      <c r="EE351" s="249"/>
      <c r="EF351" s="249"/>
      <c r="EG351" s="249"/>
      <c r="EH351" s="249"/>
      <c r="EI351" s="249"/>
      <c r="EJ351" s="249"/>
      <c r="EK351" s="249"/>
      <c r="EL351" s="249"/>
      <c r="EM351" s="249"/>
      <c r="EN351" s="249"/>
      <c r="EO351" s="249"/>
      <c r="EP351" s="249"/>
      <c r="EQ351" s="249"/>
      <c r="ER351" s="249"/>
      <c r="ES351" s="249"/>
      <c r="ET351" s="249"/>
      <c r="EU351" s="249"/>
      <c r="EV351" s="249"/>
      <c r="EW351" s="249"/>
      <c r="EX351" s="249"/>
      <c r="EY351" s="249"/>
      <c r="EZ351" s="249"/>
      <c r="FA351" s="249"/>
      <c r="FB351" s="249"/>
      <c r="FC351" s="249"/>
      <c r="FD351" s="249"/>
      <c r="FE351" s="249"/>
      <c r="FF351" s="249"/>
      <c r="FG351" s="249"/>
      <c r="FH351" s="249"/>
      <c r="FI351" s="249"/>
      <c r="FJ351" s="249"/>
      <c r="FK351" s="249"/>
      <c r="FL351" s="249"/>
      <c r="FM351" s="249"/>
      <c r="FN351" s="249"/>
      <c r="FO351" s="249"/>
      <c r="FP351" s="249"/>
      <c r="FQ351" s="249"/>
      <c r="FR351" s="249"/>
      <c r="FS351" s="249"/>
      <c r="FT351" s="249"/>
      <c r="FU351" s="249"/>
      <c r="FV351" s="249"/>
      <c r="FW351" s="249"/>
      <c r="FX351" s="249"/>
      <c r="FY351" s="249"/>
      <c r="FZ351" s="249"/>
      <c r="GA351" s="249"/>
      <c r="GB351" s="249"/>
      <c r="GC351" s="249"/>
      <c r="GD351" s="249"/>
      <c r="GE351" s="249"/>
      <c r="GF351" s="249"/>
      <c r="GG351" s="249"/>
      <c r="GH351" s="249"/>
      <c r="GI351" s="249"/>
      <c r="GJ351" s="249"/>
      <c r="GK351" s="249"/>
      <c r="GL351" s="249"/>
      <c r="GM351" s="249"/>
      <c r="GN351" s="249"/>
      <c r="GO351" s="249"/>
      <c r="GP351" s="249"/>
      <c r="GQ351" s="249"/>
      <c r="GR351" s="249"/>
    </row>
    <row r="352" spans="1:200" s="252" customFormat="1" ht="12.75" customHeight="1" x14ac:dyDescent="0.2">
      <c r="A352" s="709"/>
      <c r="B352" s="1110"/>
      <c r="C352" s="1110"/>
      <c r="D352" s="257"/>
      <c r="E352" s="617"/>
      <c r="F352" s="296"/>
      <c r="G352" s="250"/>
      <c r="H352" s="250"/>
      <c r="I352" s="250"/>
      <c r="J352" s="250"/>
      <c r="K352" s="250"/>
      <c r="L352" s="250"/>
      <c r="M352" s="250"/>
      <c r="N352" s="250"/>
      <c r="O352" s="250"/>
      <c r="P352" s="251"/>
      <c r="Q352" s="251"/>
      <c r="R352" s="251"/>
      <c r="S352" s="249"/>
      <c r="T352" s="249"/>
      <c r="U352" s="1971" t="str">
        <f t="shared" si="81"/>
        <v>Yes</v>
      </c>
      <c r="V352" s="1971" t="str">
        <f t="shared" si="82"/>
        <v>13-3/8" x 17" Centralizer (Stand-Off) with pins</v>
      </c>
      <c r="W352" s="246" t="s">
        <v>2611</v>
      </c>
      <c r="X352" s="246"/>
      <c r="Y352" s="246"/>
      <c r="Z352" s="246">
        <f t="shared" si="90"/>
        <v>0</v>
      </c>
      <c r="AA352" s="246"/>
      <c r="AB352" s="246">
        <f t="shared" si="83"/>
        <v>0</v>
      </c>
      <c r="AC352" s="246"/>
      <c r="AD352" s="2102">
        <f>IF($U352="Yes",'Casings et al'!$F23,'Casings et al'!$L23)</f>
        <v>4273.67</v>
      </c>
      <c r="AE352" s="246"/>
      <c r="AF352" s="246">
        <f t="shared" si="85"/>
        <v>0</v>
      </c>
      <c r="AG352" s="246"/>
      <c r="AH352" s="246">
        <f t="shared" si="86"/>
        <v>0</v>
      </c>
      <c r="AI352" s="246"/>
      <c r="AJ352" s="246">
        <f t="shared" si="87"/>
        <v>0</v>
      </c>
      <c r="AK352" s="246">
        <f t="shared" si="91"/>
        <v>0</v>
      </c>
      <c r="AL352" s="246"/>
      <c r="AM352" s="246">
        <f t="shared" si="89"/>
        <v>85473.4</v>
      </c>
      <c r="AN352" s="257"/>
      <c r="AO352" s="296"/>
      <c r="AP352" s="250"/>
      <c r="AQ352" s="250"/>
      <c r="AR352" s="250"/>
      <c r="AS352" s="250"/>
      <c r="AT352" s="250"/>
      <c r="AU352" s="250"/>
      <c r="AV352" s="249"/>
      <c r="AW352" s="249"/>
      <c r="AX352" s="249"/>
      <c r="AY352" s="249"/>
      <c r="AZ352" s="249"/>
      <c r="BA352" s="249"/>
      <c r="BB352" s="249"/>
      <c r="BC352" s="249"/>
      <c r="BD352" s="249"/>
      <c r="BE352" s="249"/>
      <c r="BF352" s="249"/>
      <c r="BG352" s="249"/>
      <c r="BH352" s="249"/>
      <c r="BI352" s="249"/>
      <c r="BJ352" s="249"/>
      <c r="BK352" s="249"/>
      <c r="BL352" s="249"/>
      <c r="BM352" s="249"/>
      <c r="BN352" s="249"/>
      <c r="BO352" s="249"/>
      <c r="BP352" s="249"/>
      <c r="BQ352" s="249"/>
      <c r="BR352" s="249"/>
      <c r="BS352" s="249"/>
      <c r="BT352" s="249"/>
      <c r="BU352" s="249"/>
      <c r="BV352" s="249"/>
      <c r="BW352" s="249"/>
      <c r="BX352" s="249"/>
      <c r="BY352" s="249"/>
      <c r="BZ352" s="249"/>
      <c r="CA352" s="249"/>
      <c r="CB352" s="249"/>
      <c r="CC352" s="249"/>
      <c r="CD352" s="249"/>
      <c r="CE352" s="249"/>
      <c r="CF352" s="249"/>
      <c r="CG352" s="249"/>
      <c r="CH352" s="249"/>
      <c r="CI352" s="249"/>
      <c r="CJ352" s="249"/>
      <c r="CK352" s="249"/>
      <c r="CL352" s="249"/>
      <c r="CM352" s="249"/>
      <c r="CN352" s="249"/>
      <c r="CO352" s="249"/>
      <c r="CP352" s="249"/>
      <c r="CQ352" s="249"/>
      <c r="CR352" s="249"/>
      <c r="CS352" s="249"/>
      <c r="CT352" s="249"/>
      <c r="CU352" s="249"/>
      <c r="CV352" s="249"/>
      <c r="CW352" s="249"/>
      <c r="CX352" s="249"/>
      <c r="CY352" s="249"/>
      <c r="CZ352" s="249"/>
      <c r="DA352" s="249"/>
      <c r="DB352" s="249"/>
      <c r="DC352" s="249"/>
      <c r="DD352" s="249"/>
      <c r="DE352" s="249"/>
      <c r="DF352" s="249"/>
      <c r="DG352" s="249"/>
      <c r="DH352" s="249"/>
      <c r="DI352" s="249"/>
      <c r="DJ352" s="249"/>
      <c r="DK352" s="249"/>
      <c r="DL352" s="249"/>
      <c r="DM352" s="249"/>
      <c r="DN352" s="249"/>
      <c r="DO352" s="249"/>
      <c r="DP352" s="249"/>
      <c r="DQ352" s="249"/>
      <c r="DR352" s="249"/>
      <c r="DS352" s="249"/>
      <c r="DT352" s="249"/>
      <c r="DU352" s="249"/>
      <c r="DV352" s="249"/>
      <c r="DW352" s="249"/>
      <c r="DX352" s="249"/>
      <c r="DY352" s="249"/>
      <c r="DZ352" s="249"/>
      <c r="EA352" s="249"/>
      <c r="EB352" s="249"/>
      <c r="EC352" s="249"/>
      <c r="ED352" s="249"/>
      <c r="EE352" s="249"/>
      <c r="EF352" s="249"/>
      <c r="EG352" s="249"/>
      <c r="EH352" s="249"/>
      <c r="EI352" s="249"/>
      <c r="EJ352" s="249"/>
      <c r="EK352" s="249"/>
      <c r="EL352" s="249"/>
      <c r="EM352" s="249"/>
      <c r="EN352" s="249"/>
      <c r="EO352" s="249"/>
      <c r="EP352" s="249"/>
      <c r="EQ352" s="249"/>
      <c r="ER352" s="249"/>
      <c r="ES352" s="249"/>
      <c r="ET352" s="249"/>
      <c r="EU352" s="249"/>
      <c r="EV352" s="249"/>
      <c r="EW352" s="249"/>
      <c r="EX352" s="249"/>
      <c r="EY352" s="249"/>
      <c r="EZ352" s="249"/>
      <c r="FA352" s="249"/>
      <c r="FB352" s="249"/>
      <c r="FC352" s="249"/>
      <c r="FD352" s="249"/>
      <c r="FE352" s="249"/>
      <c r="FF352" s="249"/>
      <c r="FG352" s="249"/>
      <c r="FH352" s="249"/>
      <c r="FI352" s="249"/>
      <c r="FJ352" s="249"/>
      <c r="FK352" s="249"/>
      <c r="FL352" s="249"/>
      <c r="FM352" s="249"/>
      <c r="FN352" s="249"/>
      <c r="FO352" s="249"/>
      <c r="FP352" s="249"/>
      <c r="FQ352" s="249"/>
      <c r="FR352" s="249"/>
      <c r="FS352" s="249"/>
      <c r="FT352" s="249"/>
      <c r="FU352" s="249"/>
      <c r="FV352" s="249"/>
      <c r="FW352" s="249"/>
      <c r="FX352" s="249"/>
      <c r="FY352" s="249"/>
      <c r="FZ352" s="249"/>
      <c r="GA352" s="249"/>
      <c r="GB352" s="249"/>
      <c r="GC352" s="249"/>
      <c r="GD352" s="249"/>
      <c r="GE352" s="249"/>
      <c r="GF352" s="249"/>
      <c r="GG352" s="249"/>
      <c r="GH352" s="249"/>
      <c r="GI352" s="249"/>
      <c r="GJ352" s="249"/>
      <c r="GK352" s="249"/>
      <c r="GL352" s="249"/>
      <c r="GM352" s="249"/>
      <c r="GN352" s="249"/>
      <c r="GO352" s="249"/>
      <c r="GP352" s="249"/>
      <c r="GQ352" s="249"/>
      <c r="GR352" s="249"/>
    </row>
    <row r="353" spans="1:200" s="252" customFormat="1" ht="12.75" customHeight="1" x14ac:dyDescent="0.2">
      <c r="A353" s="709"/>
      <c r="B353" s="1110"/>
      <c r="C353" s="1110"/>
      <c r="D353" s="257"/>
      <c r="E353" s="617"/>
      <c r="F353" s="296"/>
      <c r="G353" s="250"/>
      <c r="H353" s="250"/>
      <c r="I353" s="250"/>
      <c r="J353" s="250"/>
      <c r="K353" s="250"/>
      <c r="L353" s="250"/>
      <c r="M353" s="250"/>
      <c r="N353" s="250"/>
      <c r="O353" s="250"/>
      <c r="P353" s="251"/>
      <c r="Q353" s="251"/>
      <c r="R353" s="251"/>
      <c r="S353" s="249"/>
      <c r="T353" s="249"/>
      <c r="U353" s="1971" t="str">
        <f t="shared" si="81"/>
        <v>Yes</v>
      </c>
      <c r="V353" s="1971" t="str">
        <f t="shared" si="82"/>
        <v>13-3/8" x 17" Centralizer (Bow Type) with pins</v>
      </c>
      <c r="W353" s="246" t="s">
        <v>2611</v>
      </c>
      <c r="X353" s="246"/>
      <c r="Y353" s="246"/>
      <c r="Z353" s="246">
        <f t="shared" si="90"/>
        <v>0</v>
      </c>
      <c r="AA353" s="246"/>
      <c r="AB353" s="246">
        <f t="shared" si="83"/>
        <v>0</v>
      </c>
      <c r="AC353" s="246"/>
      <c r="AD353" s="2102">
        <f>IF($U353="Yes",'Casings et al'!$F24,'Casings et al'!$L24)</f>
        <v>3053.2036363636362</v>
      </c>
      <c r="AE353" s="246"/>
      <c r="AF353" s="246">
        <f t="shared" si="85"/>
        <v>0</v>
      </c>
      <c r="AG353" s="246"/>
      <c r="AH353" s="246">
        <f t="shared" si="86"/>
        <v>0</v>
      </c>
      <c r="AI353" s="246"/>
      <c r="AJ353" s="246">
        <f t="shared" si="87"/>
        <v>0</v>
      </c>
      <c r="AK353" s="246">
        <f t="shared" si="91"/>
        <v>0</v>
      </c>
      <c r="AL353" s="246"/>
      <c r="AM353" s="246">
        <f t="shared" si="89"/>
        <v>73276.887272727268</v>
      </c>
      <c r="AN353" s="257"/>
      <c r="AO353" s="296"/>
      <c r="AP353" s="250"/>
      <c r="AQ353" s="250"/>
      <c r="AR353" s="250"/>
      <c r="AS353" s="250"/>
      <c r="AT353" s="250"/>
      <c r="AU353" s="250"/>
      <c r="AV353" s="249"/>
      <c r="AW353" s="249"/>
      <c r="AX353" s="249"/>
      <c r="AY353" s="249"/>
      <c r="AZ353" s="249"/>
      <c r="BA353" s="249"/>
      <c r="BB353" s="249"/>
      <c r="BC353" s="249"/>
      <c r="BD353" s="249"/>
      <c r="BE353" s="249"/>
      <c r="BF353" s="249"/>
      <c r="BG353" s="249"/>
      <c r="BH353" s="249"/>
      <c r="BI353" s="249"/>
      <c r="BJ353" s="249"/>
      <c r="BK353" s="249"/>
      <c r="BL353" s="249"/>
      <c r="BM353" s="249"/>
      <c r="BN353" s="249"/>
      <c r="BO353" s="249"/>
      <c r="BP353" s="249"/>
      <c r="BQ353" s="249"/>
      <c r="BR353" s="249"/>
      <c r="BS353" s="249"/>
      <c r="BT353" s="249"/>
      <c r="BU353" s="249"/>
      <c r="BV353" s="249"/>
      <c r="BW353" s="249"/>
      <c r="BX353" s="249"/>
      <c r="BY353" s="249"/>
      <c r="BZ353" s="249"/>
      <c r="CA353" s="249"/>
      <c r="CB353" s="249"/>
      <c r="CC353" s="249"/>
      <c r="CD353" s="249"/>
      <c r="CE353" s="249"/>
      <c r="CF353" s="249"/>
      <c r="CG353" s="249"/>
      <c r="CH353" s="249"/>
      <c r="CI353" s="249"/>
      <c r="CJ353" s="249"/>
      <c r="CK353" s="249"/>
      <c r="CL353" s="249"/>
      <c r="CM353" s="249"/>
      <c r="CN353" s="249"/>
      <c r="CO353" s="249"/>
      <c r="CP353" s="249"/>
      <c r="CQ353" s="249"/>
      <c r="CR353" s="249"/>
      <c r="CS353" s="249"/>
      <c r="CT353" s="249"/>
      <c r="CU353" s="249"/>
      <c r="CV353" s="249"/>
      <c r="CW353" s="249"/>
      <c r="CX353" s="249"/>
      <c r="CY353" s="249"/>
      <c r="CZ353" s="249"/>
      <c r="DA353" s="249"/>
      <c r="DB353" s="249"/>
      <c r="DC353" s="249"/>
      <c r="DD353" s="249"/>
      <c r="DE353" s="249"/>
      <c r="DF353" s="249"/>
      <c r="DG353" s="249"/>
      <c r="DH353" s="249"/>
      <c r="DI353" s="249"/>
      <c r="DJ353" s="249"/>
      <c r="DK353" s="249"/>
      <c r="DL353" s="249"/>
      <c r="DM353" s="249"/>
      <c r="DN353" s="249"/>
      <c r="DO353" s="249"/>
      <c r="DP353" s="249"/>
      <c r="DQ353" s="249"/>
      <c r="DR353" s="249"/>
      <c r="DS353" s="249"/>
      <c r="DT353" s="249"/>
      <c r="DU353" s="249"/>
      <c r="DV353" s="249"/>
      <c r="DW353" s="249"/>
      <c r="DX353" s="249"/>
      <c r="DY353" s="249"/>
      <c r="DZ353" s="249"/>
      <c r="EA353" s="249"/>
      <c r="EB353" s="249"/>
      <c r="EC353" s="249"/>
      <c r="ED353" s="249"/>
      <c r="EE353" s="249"/>
      <c r="EF353" s="249"/>
      <c r="EG353" s="249"/>
      <c r="EH353" s="249"/>
      <c r="EI353" s="249"/>
      <c r="EJ353" s="249"/>
      <c r="EK353" s="249"/>
      <c r="EL353" s="249"/>
      <c r="EM353" s="249"/>
      <c r="EN353" s="249"/>
      <c r="EO353" s="249"/>
      <c r="EP353" s="249"/>
      <c r="EQ353" s="249"/>
      <c r="ER353" s="249"/>
      <c r="ES353" s="249"/>
      <c r="ET353" s="249"/>
      <c r="EU353" s="249"/>
      <c r="EV353" s="249"/>
      <c r="EW353" s="249"/>
      <c r="EX353" s="249"/>
      <c r="EY353" s="249"/>
      <c r="EZ353" s="249"/>
      <c r="FA353" s="249"/>
      <c r="FB353" s="249"/>
      <c r="FC353" s="249"/>
      <c r="FD353" s="249"/>
      <c r="FE353" s="249"/>
      <c r="FF353" s="249"/>
      <c r="FG353" s="249"/>
      <c r="FH353" s="249"/>
      <c r="FI353" s="249"/>
      <c r="FJ353" s="249"/>
      <c r="FK353" s="249"/>
      <c r="FL353" s="249"/>
      <c r="FM353" s="249"/>
      <c r="FN353" s="249"/>
      <c r="FO353" s="249"/>
      <c r="FP353" s="249"/>
      <c r="FQ353" s="249"/>
      <c r="FR353" s="249"/>
      <c r="FS353" s="249"/>
      <c r="FT353" s="249"/>
      <c r="FU353" s="249"/>
      <c r="FV353" s="249"/>
      <c r="FW353" s="249"/>
      <c r="FX353" s="249"/>
      <c r="FY353" s="249"/>
      <c r="FZ353" s="249"/>
      <c r="GA353" s="249"/>
      <c r="GB353" s="249"/>
      <c r="GC353" s="249"/>
      <c r="GD353" s="249"/>
      <c r="GE353" s="249"/>
      <c r="GF353" s="249"/>
      <c r="GG353" s="249"/>
      <c r="GH353" s="249"/>
      <c r="GI353" s="249"/>
      <c r="GJ353" s="249"/>
      <c r="GK353" s="249"/>
      <c r="GL353" s="249"/>
      <c r="GM353" s="249"/>
      <c r="GN353" s="249"/>
      <c r="GO353" s="249"/>
      <c r="GP353" s="249"/>
      <c r="GQ353" s="249"/>
      <c r="GR353" s="249"/>
    </row>
    <row r="354" spans="1:200" s="252" customFormat="1" ht="12.75" customHeight="1" x14ac:dyDescent="0.2">
      <c r="A354" s="709"/>
      <c r="B354" s="1110"/>
      <c r="C354" s="1110"/>
      <c r="D354" s="257"/>
      <c r="E354" s="617"/>
      <c r="F354" s="296"/>
      <c r="G354" s="250"/>
      <c r="H354" s="250"/>
      <c r="I354" s="250"/>
      <c r="J354" s="250"/>
      <c r="K354" s="250"/>
      <c r="L354" s="250"/>
      <c r="M354" s="250"/>
      <c r="N354" s="250"/>
      <c r="O354" s="250"/>
      <c r="P354" s="251"/>
      <c r="Q354" s="251"/>
      <c r="R354" s="251"/>
      <c r="S354" s="251"/>
      <c r="T354" s="251"/>
      <c r="U354" s="1971" t="str">
        <f t="shared" si="81"/>
        <v>Yes</v>
      </c>
      <c r="V354" s="1971" t="str">
        <f t="shared" si="82"/>
        <v>13-3/8" x 17" Cement Metal Petal Basket</v>
      </c>
      <c r="W354" s="246" t="s">
        <v>2611</v>
      </c>
      <c r="X354" s="246"/>
      <c r="Y354" s="246"/>
      <c r="Z354" s="246">
        <f t="shared" si="90"/>
        <v>0</v>
      </c>
      <c r="AA354" s="246"/>
      <c r="AB354" s="246">
        <f t="shared" si="83"/>
        <v>0</v>
      </c>
      <c r="AC354" s="246"/>
      <c r="AD354" s="2102">
        <f>IF($U354="Yes",'Casings et al'!$F25,'Casings et al'!$L25)</f>
        <v>11634.460000000001</v>
      </c>
      <c r="AE354" s="246"/>
      <c r="AF354" s="246">
        <f t="shared" si="85"/>
        <v>0</v>
      </c>
      <c r="AG354" s="246"/>
      <c r="AH354" s="246">
        <f t="shared" si="86"/>
        <v>0</v>
      </c>
      <c r="AI354" s="246"/>
      <c r="AJ354" s="246">
        <f t="shared" si="87"/>
        <v>0</v>
      </c>
      <c r="AK354" s="246">
        <f t="shared" si="91"/>
        <v>0</v>
      </c>
      <c r="AL354" s="246"/>
      <c r="AM354" s="246">
        <f t="shared" si="89"/>
        <v>23268.920000000002</v>
      </c>
      <c r="AN354" s="257"/>
      <c r="AO354" s="296"/>
      <c r="AP354" s="250"/>
      <c r="AQ354" s="250"/>
      <c r="AR354" s="250"/>
      <c r="AS354" s="250"/>
      <c r="AT354" s="250"/>
      <c r="AU354" s="250"/>
      <c r="AV354" s="249"/>
      <c r="AW354" s="249"/>
      <c r="AX354" s="249"/>
      <c r="AY354" s="249"/>
      <c r="AZ354" s="249"/>
      <c r="BA354" s="249"/>
      <c r="BB354" s="249"/>
      <c r="BC354" s="249"/>
      <c r="BD354" s="249"/>
      <c r="BE354" s="249"/>
      <c r="BF354" s="249"/>
      <c r="BG354" s="249"/>
      <c r="BH354" s="249"/>
      <c r="BI354" s="249"/>
      <c r="BJ354" s="249"/>
      <c r="BK354" s="249"/>
      <c r="BL354" s="249"/>
      <c r="BM354" s="249"/>
      <c r="BN354" s="249"/>
      <c r="BO354" s="249"/>
      <c r="BP354" s="249"/>
      <c r="BQ354" s="249"/>
      <c r="BR354" s="249"/>
      <c r="BS354" s="249"/>
      <c r="BT354" s="249"/>
      <c r="BU354" s="249"/>
      <c r="BV354" s="249"/>
      <c r="BW354" s="249"/>
      <c r="BX354" s="249"/>
      <c r="BY354" s="249"/>
      <c r="BZ354" s="249"/>
      <c r="CA354" s="249"/>
      <c r="CB354" s="249"/>
      <c r="CC354" s="249"/>
      <c r="CD354" s="249"/>
      <c r="CE354" s="249"/>
      <c r="CF354" s="249"/>
      <c r="CG354" s="249"/>
      <c r="CH354" s="249"/>
      <c r="CI354" s="249"/>
      <c r="CJ354" s="249"/>
      <c r="CK354" s="249"/>
      <c r="CL354" s="249"/>
      <c r="CM354" s="249"/>
      <c r="CN354" s="249"/>
      <c r="CO354" s="249"/>
      <c r="CP354" s="249"/>
      <c r="CQ354" s="249"/>
      <c r="CR354" s="249"/>
      <c r="CS354" s="249"/>
      <c r="CT354" s="249"/>
      <c r="CU354" s="249"/>
      <c r="CV354" s="249"/>
      <c r="CW354" s="249"/>
      <c r="CX354" s="249"/>
      <c r="CY354" s="249"/>
      <c r="CZ354" s="249"/>
      <c r="DA354" s="249"/>
      <c r="DB354" s="249"/>
      <c r="DC354" s="249"/>
      <c r="DD354" s="249"/>
      <c r="DE354" s="249"/>
      <c r="DF354" s="249"/>
      <c r="DG354" s="249"/>
      <c r="DH354" s="249"/>
      <c r="DI354" s="249"/>
      <c r="DJ354" s="249"/>
      <c r="DK354" s="249"/>
      <c r="DL354" s="249"/>
      <c r="DM354" s="249"/>
      <c r="DN354" s="249"/>
      <c r="DO354" s="249"/>
      <c r="DP354" s="249"/>
      <c r="DQ354" s="249"/>
      <c r="DR354" s="249"/>
      <c r="DS354" s="249"/>
      <c r="DT354" s="249"/>
      <c r="DU354" s="249"/>
      <c r="DV354" s="249"/>
      <c r="DW354" s="249"/>
      <c r="DX354" s="249"/>
      <c r="DY354" s="249"/>
      <c r="DZ354" s="249"/>
      <c r="EA354" s="249"/>
      <c r="EB354" s="249"/>
      <c r="EC354" s="249"/>
      <c r="ED354" s="249"/>
      <c r="EE354" s="249"/>
      <c r="EF354" s="249"/>
      <c r="EG354" s="249"/>
      <c r="EH354" s="249"/>
      <c r="EI354" s="249"/>
      <c r="EJ354" s="249"/>
      <c r="EK354" s="249"/>
      <c r="EL354" s="249"/>
      <c r="EM354" s="249"/>
      <c r="EN354" s="249"/>
      <c r="EO354" s="249"/>
      <c r="EP354" s="249"/>
      <c r="EQ354" s="249"/>
      <c r="ER354" s="249"/>
      <c r="ES354" s="249"/>
      <c r="ET354" s="249"/>
      <c r="EU354" s="249"/>
      <c r="EV354" s="249"/>
      <c r="EW354" s="249"/>
      <c r="EX354" s="249"/>
      <c r="EY354" s="249"/>
      <c r="EZ354" s="249"/>
      <c r="FA354" s="249"/>
      <c r="FB354" s="249"/>
      <c r="FC354" s="249"/>
      <c r="FD354" s="249"/>
      <c r="FE354" s="249"/>
      <c r="FF354" s="249"/>
      <c r="FG354" s="249"/>
      <c r="FH354" s="249"/>
      <c r="FI354" s="249"/>
      <c r="FJ354" s="249"/>
      <c r="FK354" s="249"/>
      <c r="FL354" s="249"/>
      <c r="FM354" s="249"/>
      <c r="FN354" s="249"/>
      <c r="FO354" s="249"/>
      <c r="FP354" s="249"/>
      <c r="FQ354" s="249"/>
      <c r="FR354" s="249"/>
      <c r="FS354" s="249"/>
      <c r="FT354" s="249"/>
      <c r="FU354" s="249"/>
      <c r="FV354" s="249"/>
      <c r="FW354" s="249"/>
      <c r="FX354" s="249"/>
      <c r="FY354" s="249"/>
      <c r="FZ354" s="249"/>
      <c r="GA354" s="249"/>
      <c r="GB354" s="249"/>
      <c r="GC354" s="249"/>
      <c r="GD354" s="249"/>
      <c r="GE354" s="249"/>
      <c r="GF354" s="249"/>
      <c r="GG354" s="249"/>
      <c r="GH354" s="249"/>
      <c r="GI354" s="249"/>
      <c r="GJ354" s="249"/>
      <c r="GK354" s="249"/>
      <c r="GL354" s="249"/>
      <c r="GM354" s="249"/>
      <c r="GN354" s="249"/>
      <c r="GO354" s="249"/>
      <c r="GP354" s="249"/>
      <c r="GQ354" s="249"/>
      <c r="GR354" s="249"/>
    </row>
    <row r="355" spans="1:200" s="252" customFormat="1" ht="12.75" customHeight="1" x14ac:dyDescent="0.2">
      <c r="A355" s="709"/>
      <c r="B355" s="1110"/>
      <c r="C355" s="1110"/>
      <c r="D355" s="257"/>
      <c r="E355" s="617"/>
      <c r="F355" s="296"/>
      <c r="G355" s="250"/>
      <c r="H355" s="250"/>
      <c r="I355" s="250"/>
      <c r="J355" s="250"/>
      <c r="K355" s="250"/>
      <c r="L355" s="250"/>
      <c r="M355" s="250"/>
      <c r="N355" s="250"/>
      <c r="O355" s="250"/>
      <c r="P355" s="251"/>
      <c r="Q355" s="251"/>
      <c r="R355" s="251"/>
      <c r="S355" s="251"/>
      <c r="T355" s="251"/>
      <c r="U355" s="1971" t="str">
        <f t="shared" si="81"/>
        <v>Yes</v>
      </c>
      <c r="V355" s="1971" t="str">
        <f t="shared" si="82"/>
        <v>Corrosion Ring, 4-1/2"IF &amp; 5"X Hole</v>
      </c>
      <c r="W355" s="246" t="s">
        <v>2611</v>
      </c>
      <c r="X355" s="246"/>
      <c r="Y355" s="246"/>
      <c r="Z355" s="246">
        <f t="shared" si="90"/>
        <v>0</v>
      </c>
      <c r="AA355" s="246"/>
      <c r="AB355" s="246">
        <f t="shared" si="83"/>
        <v>0</v>
      </c>
      <c r="AC355" s="246"/>
      <c r="AD355" s="2102">
        <f>IF($U355="Yes",'Casings et al'!$F26,'Casings et al'!$L26)</f>
        <v>3639.9091803278689</v>
      </c>
      <c r="AE355" s="246"/>
      <c r="AF355" s="246">
        <f t="shared" si="85"/>
        <v>0</v>
      </c>
      <c r="AG355" s="246"/>
      <c r="AH355" s="246">
        <f t="shared" si="86"/>
        <v>0</v>
      </c>
      <c r="AI355" s="246"/>
      <c r="AJ355" s="246">
        <f t="shared" si="87"/>
        <v>0</v>
      </c>
      <c r="AK355" s="246">
        <f t="shared" si="91"/>
        <v>0</v>
      </c>
      <c r="AL355" s="246"/>
      <c r="AM355" s="246">
        <f t="shared" si="89"/>
        <v>18199.545901639343</v>
      </c>
      <c r="AN355" s="257"/>
      <c r="AO355" s="296"/>
      <c r="AP355" s="250"/>
      <c r="AQ355" s="250"/>
      <c r="AR355" s="250"/>
      <c r="AS355" s="250"/>
      <c r="AT355" s="250"/>
      <c r="AU355" s="250"/>
      <c r="AV355" s="249"/>
      <c r="AW355" s="249"/>
      <c r="AX355" s="249"/>
      <c r="AY355" s="249"/>
      <c r="AZ355" s="249"/>
      <c r="BA355" s="249"/>
      <c r="BB355" s="249"/>
      <c r="BC355" s="249"/>
      <c r="BD355" s="249"/>
      <c r="BE355" s="249"/>
      <c r="BF355" s="249"/>
      <c r="BG355" s="249"/>
      <c r="BH355" s="249"/>
      <c r="BI355" s="249"/>
      <c r="BJ355" s="249"/>
      <c r="BK355" s="249"/>
      <c r="BL355" s="249"/>
      <c r="BM355" s="249"/>
      <c r="BN355" s="249"/>
      <c r="BO355" s="249"/>
      <c r="BP355" s="249"/>
      <c r="BQ355" s="249"/>
      <c r="BR355" s="249"/>
      <c r="BS355" s="249"/>
      <c r="BT355" s="249"/>
      <c r="BU355" s="249"/>
      <c r="BV355" s="249"/>
      <c r="BW355" s="249"/>
      <c r="BX355" s="249"/>
      <c r="BY355" s="249"/>
      <c r="BZ355" s="249"/>
      <c r="CA355" s="249"/>
      <c r="CB355" s="249"/>
      <c r="CC355" s="249"/>
      <c r="CD355" s="249"/>
      <c r="CE355" s="249"/>
      <c r="CF355" s="249"/>
      <c r="CG355" s="249"/>
      <c r="CH355" s="249"/>
      <c r="CI355" s="249"/>
      <c r="CJ355" s="249"/>
      <c r="CK355" s="249"/>
      <c r="CL355" s="249"/>
      <c r="CM355" s="249"/>
      <c r="CN355" s="249"/>
      <c r="CO355" s="249"/>
      <c r="CP355" s="249"/>
      <c r="CQ355" s="249"/>
      <c r="CR355" s="249"/>
      <c r="CS355" s="249"/>
      <c r="CT355" s="249"/>
      <c r="CU355" s="249"/>
      <c r="CV355" s="249"/>
      <c r="CW355" s="249"/>
      <c r="CX355" s="249"/>
      <c r="CY355" s="249"/>
      <c r="CZ355" s="249"/>
      <c r="DA355" s="249"/>
      <c r="DB355" s="249"/>
      <c r="DC355" s="249"/>
      <c r="DD355" s="249"/>
      <c r="DE355" s="249"/>
      <c r="DF355" s="249"/>
      <c r="DG355" s="249"/>
      <c r="DH355" s="249"/>
      <c r="DI355" s="249"/>
      <c r="DJ355" s="249"/>
      <c r="DK355" s="249"/>
      <c r="DL355" s="249"/>
      <c r="DM355" s="249"/>
      <c r="DN355" s="249"/>
      <c r="DO355" s="249"/>
      <c r="DP355" s="249"/>
      <c r="DQ355" s="249"/>
      <c r="DR355" s="249"/>
      <c r="DS355" s="249"/>
      <c r="DT355" s="249"/>
      <c r="DU355" s="249"/>
      <c r="DV355" s="249"/>
      <c r="DW355" s="249"/>
      <c r="DX355" s="249"/>
      <c r="DY355" s="249"/>
      <c r="DZ355" s="249"/>
      <c r="EA355" s="249"/>
      <c r="EB355" s="249"/>
      <c r="EC355" s="249"/>
      <c r="ED355" s="249"/>
      <c r="EE355" s="249"/>
      <c r="EF355" s="249"/>
      <c r="EG355" s="249"/>
      <c r="EH355" s="249"/>
      <c r="EI355" s="249"/>
      <c r="EJ355" s="249"/>
      <c r="EK355" s="249"/>
      <c r="EL355" s="249"/>
      <c r="EM355" s="249"/>
      <c r="EN355" s="249"/>
      <c r="EO355" s="249"/>
      <c r="EP355" s="249"/>
      <c r="EQ355" s="249"/>
      <c r="ER355" s="249"/>
      <c r="ES355" s="249"/>
      <c r="ET355" s="249"/>
      <c r="EU355" s="249"/>
      <c r="EV355" s="249"/>
      <c r="EW355" s="249"/>
      <c r="EX355" s="249"/>
      <c r="EY355" s="249"/>
      <c r="EZ355" s="249"/>
      <c r="FA355" s="249"/>
      <c r="FB355" s="249"/>
      <c r="FC355" s="249"/>
      <c r="FD355" s="249"/>
      <c r="FE355" s="249"/>
      <c r="FF355" s="249"/>
      <c r="FG355" s="249"/>
      <c r="FH355" s="249"/>
      <c r="FI355" s="249"/>
      <c r="FJ355" s="249"/>
      <c r="FK355" s="249"/>
      <c r="FL355" s="249"/>
      <c r="FM355" s="249"/>
      <c r="FN355" s="249"/>
      <c r="FO355" s="249"/>
      <c r="FP355" s="249"/>
      <c r="FQ355" s="249"/>
      <c r="FR355" s="249"/>
      <c r="FS355" s="249"/>
      <c r="FT355" s="249"/>
      <c r="FU355" s="249"/>
      <c r="FV355" s="249"/>
      <c r="FW355" s="249"/>
      <c r="FX355" s="249"/>
      <c r="FY355" s="249"/>
      <c r="FZ355" s="249"/>
      <c r="GA355" s="249"/>
      <c r="GB355" s="249"/>
      <c r="GC355" s="249"/>
      <c r="GD355" s="249"/>
      <c r="GE355" s="249"/>
      <c r="GF355" s="249"/>
      <c r="GG355" s="249"/>
      <c r="GH355" s="249"/>
      <c r="GI355" s="249"/>
      <c r="GJ355" s="249"/>
      <c r="GK355" s="249"/>
      <c r="GL355" s="249"/>
      <c r="GM355" s="249"/>
      <c r="GN355" s="249"/>
      <c r="GO355" s="249"/>
      <c r="GP355" s="249"/>
      <c r="GQ355" s="249"/>
      <c r="GR355" s="249"/>
    </row>
    <row r="356" spans="1:200" s="252" customFormat="1" ht="12.75" customHeight="1" x14ac:dyDescent="0.2">
      <c r="A356" s="709"/>
      <c r="B356" s="1110"/>
      <c r="C356" s="1110"/>
      <c r="D356" s="257"/>
      <c r="E356" s="617"/>
      <c r="F356" s="296"/>
      <c r="G356" s="250"/>
      <c r="H356" s="250"/>
      <c r="I356" s="250"/>
      <c r="J356" s="250"/>
      <c r="K356" s="250"/>
      <c r="L356" s="250"/>
      <c r="M356" s="250"/>
      <c r="N356" s="250"/>
      <c r="O356" s="250"/>
      <c r="P356" s="251"/>
      <c r="Q356" s="251"/>
      <c r="R356" s="251"/>
      <c r="S356" s="251"/>
      <c r="T356" s="251"/>
      <c r="U356" s="1971" t="str">
        <f t="shared" si="81"/>
        <v>Yes</v>
      </c>
      <c r="V356" s="1971" t="str">
        <f t="shared" si="82"/>
        <v>Thread Locking Compound * Baker Lock</v>
      </c>
      <c r="W356" s="246" t="s">
        <v>2611</v>
      </c>
      <c r="X356" s="246"/>
      <c r="Y356" s="246"/>
      <c r="Z356" s="246">
        <f t="shared" si="90"/>
        <v>0</v>
      </c>
      <c r="AA356" s="246"/>
      <c r="AB356" s="246">
        <f t="shared" si="83"/>
        <v>0</v>
      </c>
      <c r="AC356" s="246"/>
      <c r="AD356" s="2102">
        <f>IF($U356="Yes",'Casings et al'!$F27,'Casings et al'!$L27)</f>
        <v>679.40000000000009</v>
      </c>
      <c r="AE356" s="246"/>
      <c r="AF356" s="246">
        <f t="shared" si="85"/>
        <v>0</v>
      </c>
      <c r="AG356" s="246"/>
      <c r="AH356" s="246">
        <f t="shared" si="86"/>
        <v>0</v>
      </c>
      <c r="AI356" s="246"/>
      <c r="AJ356" s="246">
        <f t="shared" si="87"/>
        <v>0</v>
      </c>
      <c r="AK356" s="246">
        <f t="shared" si="91"/>
        <v>0</v>
      </c>
      <c r="AL356" s="246"/>
      <c r="AM356" s="246">
        <f t="shared" si="89"/>
        <v>3397.0000000000005</v>
      </c>
      <c r="AN356" s="257"/>
      <c r="AO356" s="296"/>
      <c r="AP356" s="250"/>
      <c r="AQ356" s="250"/>
      <c r="AR356" s="250"/>
      <c r="AS356" s="250"/>
      <c r="AT356" s="250"/>
      <c r="AU356" s="250"/>
      <c r="AV356" s="249"/>
      <c r="AW356" s="249"/>
      <c r="AX356" s="249"/>
      <c r="AY356" s="249"/>
      <c r="AZ356" s="249"/>
      <c r="BA356" s="249"/>
      <c r="BB356" s="249"/>
      <c r="BC356" s="249"/>
      <c r="BD356" s="249"/>
      <c r="BE356" s="249"/>
      <c r="BF356" s="249"/>
      <c r="BG356" s="249"/>
      <c r="BH356" s="249"/>
      <c r="BI356" s="249"/>
      <c r="BJ356" s="249"/>
      <c r="BK356" s="249"/>
      <c r="BL356" s="249"/>
      <c r="BM356" s="249"/>
      <c r="BN356" s="249"/>
      <c r="BO356" s="249"/>
      <c r="BP356" s="249"/>
      <c r="BQ356" s="249"/>
      <c r="BR356" s="249"/>
      <c r="BS356" s="249"/>
      <c r="BT356" s="249"/>
      <c r="BU356" s="249"/>
      <c r="BV356" s="249"/>
      <c r="BW356" s="249"/>
      <c r="BX356" s="249"/>
      <c r="BY356" s="249"/>
      <c r="BZ356" s="249"/>
      <c r="CA356" s="249"/>
      <c r="CB356" s="249"/>
      <c r="CC356" s="249"/>
      <c r="CD356" s="249"/>
      <c r="CE356" s="249"/>
      <c r="CF356" s="249"/>
      <c r="CG356" s="249"/>
      <c r="CH356" s="249"/>
      <c r="CI356" s="249"/>
      <c r="CJ356" s="249"/>
      <c r="CK356" s="249"/>
      <c r="CL356" s="249"/>
      <c r="CM356" s="249"/>
      <c r="CN356" s="249"/>
      <c r="CO356" s="249"/>
      <c r="CP356" s="249"/>
      <c r="CQ356" s="249"/>
      <c r="CR356" s="249"/>
      <c r="CS356" s="249"/>
      <c r="CT356" s="249"/>
      <c r="CU356" s="249"/>
      <c r="CV356" s="249"/>
      <c r="CW356" s="249"/>
      <c r="CX356" s="249"/>
      <c r="CY356" s="249"/>
      <c r="CZ356" s="249"/>
      <c r="DA356" s="249"/>
      <c r="DB356" s="249"/>
      <c r="DC356" s="249"/>
      <c r="DD356" s="249"/>
      <c r="DE356" s="249"/>
      <c r="DF356" s="249"/>
      <c r="DG356" s="249"/>
      <c r="DH356" s="249"/>
      <c r="DI356" s="249"/>
      <c r="DJ356" s="249"/>
      <c r="DK356" s="249"/>
      <c r="DL356" s="249"/>
      <c r="DM356" s="249"/>
      <c r="DN356" s="249"/>
      <c r="DO356" s="249"/>
      <c r="DP356" s="249"/>
      <c r="DQ356" s="249"/>
      <c r="DR356" s="249"/>
      <c r="DS356" s="249"/>
      <c r="DT356" s="249"/>
      <c r="DU356" s="249"/>
      <c r="DV356" s="249"/>
      <c r="DW356" s="249"/>
      <c r="DX356" s="249"/>
      <c r="DY356" s="249"/>
      <c r="DZ356" s="249"/>
      <c r="EA356" s="249"/>
      <c r="EB356" s="249"/>
      <c r="EC356" s="249"/>
      <c r="ED356" s="249"/>
      <c r="EE356" s="249"/>
      <c r="EF356" s="249"/>
      <c r="EG356" s="249"/>
      <c r="EH356" s="249"/>
      <c r="EI356" s="249"/>
      <c r="EJ356" s="249"/>
      <c r="EK356" s="249"/>
      <c r="EL356" s="249"/>
      <c r="EM356" s="249"/>
      <c r="EN356" s="249"/>
      <c r="EO356" s="249"/>
      <c r="EP356" s="249"/>
      <c r="EQ356" s="249"/>
      <c r="ER356" s="249"/>
      <c r="ES356" s="249"/>
      <c r="ET356" s="249"/>
      <c r="EU356" s="249"/>
      <c r="EV356" s="249"/>
      <c r="EW356" s="249"/>
      <c r="EX356" s="249"/>
      <c r="EY356" s="249"/>
      <c r="EZ356" s="249"/>
      <c r="FA356" s="249"/>
      <c r="FB356" s="249"/>
      <c r="FC356" s="249"/>
      <c r="FD356" s="249"/>
      <c r="FE356" s="249"/>
      <c r="FF356" s="249"/>
      <c r="FG356" s="249"/>
      <c r="FH356" s="249"/>
      <c r="FI356" s="249"/>
      <c r="FJ356" s="249"/>
      <c r="FK356" s="249"/>
      <c r="FL356" s="249"/>
      <c r="FM356" s="249"/>
      <c r="FN356" s="249"/>
      <c r="FO356" s="249"/>
      <c r="FP356" s="249"/>
      <c r="FQ356" s="249"/>
      <c r="FR356" s="249"/>
      <c r="FS356" s="249"/>
      <c r="FT356" s="249"/>
      <c r="FU356" s="249"/>
      <c r="FV356" s="249"/>
      <c r="FW356" s="249"/>
      <c r="FX356" s="249"/>
      <c r="FY356" s="249"/>
      <c r="FZ356" s="249"/>
      <c r="GA356" s="249"/>
      <c r="GB356" s="249"/>
      <c r="GC356" s="249"/>
      <c r="GD356" s="249"/>
      <c r="GE356" s="249"/>
      <c r="GF356" s="249"/>
      <c r="GG356" s="249"/>
      <c r="GH356" s="249"/>
      <c r="GI356" s="249"/>
      <c r="GJ356" s="249"/>
      <c r="GK356" s="249"/>
      <c r="GL356" s="249"/>
      <c r="GM356" s="249"/>
      <c r="GN356" s="249"/>
      <c r="GO356" s="249"/>
      <c r="GP356" s="249"/>
      <c r="GQ356" s="249"/>
      <c r="GR356" s="249"/>
    </row>
    <row r="357" spans="1:200" s="252" customFormat="1" ht="12.75" customHeight="1" x14ac:dyDescent="0.2">
      <c r="A357" s="709"/>
      <c r="B357" s="1110"/>
      <c r="C357" s="1110"/>
      <c r="D357" s="257"/>
      <c r="E357" s="617"/>
      <c r="F357" s="296"/>
      <c r="G357" s="250"/>
      <c r="H357" s="250"/>
      <c r="I357" s="250"/>
      <c r="J357" s="250"/>
      <c r="K357" s="250"/>
      <c r="L357" s="250"/>
      <c r="M357" s="250"/>
      <c r="N357" s="250"/>
      <c r="O357" s="250"/>
      <c r="P357" s="251"/>
      <c r="Q357" s="251"/>
      <c r="R357" s="251"/>
      <c r="S357" s="251"/>
      <c r="T357" s="251"/>
      <c r="U357" s="1971" t="str">
        <f t="shared" si="81"/>
        <v>Yes</v>
      </c>
      <c r="V357" s="1971" t="str">
        <f t="shared" si="82"/>
        <v>Thread Sealant * Premium Thread Compound</v>
      </c>
      <c r="W357" s="246" t="s">
        <v>2611</v>
      </c>
      <c r="X357" s="246"/>
      <c r="Y357" s="246"/>
      <c r="Z357" s="246">
        <f t="shared" si="90"/>
        <v>0</v>
      </c>
      <c r="AA357" s="246"/>
      <c r="AB357" s="246">
        <f t="shared" si="83"/>
        <v>0</v>
      </c>
      <c r="AC357" s="246"/>
      <c r="AD357" s="2102">
        <f>IF($U357="Yes",'Casings et al'!$F28,'Casings et al'!$L28)</f>
        <v>10015.318421052631</v>
      </c>
      <c r="AE357" s="246"/>
      <c r="AF357" s="246">
        <f t="shared" si="85"/>
        <v>0</v>
      </c>
      <c r="AG357" s="246"/>
      <c r="AH357" s="246">
        <f t="shared" si="86"/>
        <v>0</v>
      </c>
      <c r="AI357" s="246"/>
      <c r="AJ357" s="246">
        <f t="shared" si="87"/>
        <v>0</v>
      </c>
      <c r="AK357" s="246">
        <f t="shared" si="91"/>
        <v>0</v>
      </c>
      <c r="AL357" s="246"/>
      <c r="AM357" s="246">
        <f t="shared" si="89"/>
        <v>10015.318421052631</v>
      </c>
      <c r="AN357" s="257"/>
      <c r="AO357" s="296"/>
      <c r="AP357" s="250"/>
      <c r="AQ357" s="250"/>
      <c r="AR357" s="250"/>
      <c r="AS357" s="250"/>
      <c r="AT357" s="250"/>
      <c r="AU357" s="250"/>
      <c r="AV357" s="249"/>
      <c r="AW357" s="249"/>
      <c r="AX357" s="249"/>
      <c r="AY357" s="249"/>
      <c r="AZ357" s="249"/>
      <c r="BA357" s="249"/>
      <c r="BB357" s="249"/>
      <c r="BC357" s="249"/>
      <c r="BD357" s="249"/>
      <c r="BE357" s="249"/>
      <c r="BF357" s="249"/>
      <c r="BG357" s="249"/>
      <c r="BH357" s="249"/>
      <c r="BI357" s="249"/>
      <c r="BJ357" s="249"/>
      <c r="BK357" s="249"/>
      <c r="BL357" s="249"/>
      <c r="BM357" s="249"/>
      <c r="BN357" s="249"/>
      <c r="BO357" s="249"/>
      <c r="BP357" s="249"/>
      <c r="BQ357" s="249"/>
      <c r="BR357" s="249"/>
      <c r="BS357" s="249"/>
      <c r="BT357" s="249"/>
      <c r="BU357" s="249"/>
      <c r="BV357" s="249"/>
      <c r="BW357" s="249"/>
      <c r="BX357" s="249"/>
      <c r="BY357" s="249"/>
      <c r="BZ357" s="249"/>
      <c r="CA357" s="249"/>
      <c r="CB357" s="249"/>
      <c r="CC357" s="249"/>
      <c r="CD357" s="249"/>
      <c r="CE357" s="249"/>
      <c r="CF357" s="249"/>
      <c r="CG357" s="249"/>
      <c r="CH357" s="249"/>
      <c r="CI357" s="249"/>
      <c r="CJ357" s="249"/>
      <c r="CK357" s="249"/>
      <c r="CL357" s="249"/>
      <c r="CM357" s="249"/>
      <c r="CN357" s="249"/>
      <c r="CO357" s="249"/>
      <c r="CP357" s="249"/>
      <c r="CQ357" s="249"/>
      <c r="CR357" s="249"/>
      <c r="CS357" s="249"/>
      <c r="CT357" s="249"/>
      <c r="CU357" s="249"/>
      <c r="CV357" s="249"/>
      <c r="CW357" s="249"/>
      <c r="CX357" s="249"/>
      <c r="CY357" s="249"/>
      <c r="CZ357" s="249"/>
      <c r="DA357" s="249"/>
      <c r="DB357" s="249"/>
      <c r="DC357" s="249"/>
      <c r="DD357" s="249"/>
      <c r="DE357" s="249"/>
      <c r="DF357" s="249"/>
      <c r="DG357" s="249"/>
      <c r="DH357" s="249"/>
      <c r="DI357" s="249"/>
      <c r="DJ357" s="249"/>
      <c r="DK357" s="249"/>
      <c r="DL357" s="249"/>
      <c r="DM357" s="249"/>
      <c r="DN357" s="249"/>
      <c r="DO357" s="249"/>
      <c r="DP357" s="249"/>
      <c r="DQ357" s="249"/>
      <c r="DR357" s="249"/>
      <c r="DS357" s="249"/>
      <c r="DT357" s="249"/>
      <c r="DU357" s="249"/>
      <c r="DV357" s="249"/>
      <c r="DW357" s="249"/>
      <c r="DX357" s="249"/>
      <c r="DY357" s="249"/>
      <c r="DZ357" s="249"/>
      <c r="EA357" s="249"/>
      <c r="EB357" s="249"/>
      <c r="EC357" s="249"/>
      <c r="ED357" s="249"/>
      <c r="EE357" s="249"/>
      <c r="EF357" s="249"/>
      <c r="EG357" s="249"/>
      <c r="EH357" s="249"/>
      <c r="EI357" s="249"/>
      <c r="EJ357" s="249"/>
      <c r="EK357" s="249"/>
      <c r="EL357" s="249"/>
      <c r="EM357" s="249"/>
      <c r="EN357" s="249"/>
      <c r="EO357" s="249"/>
      <c r="EP357" s="249"/>
      <c r="EQ357" s="249"/>
      <c r="ER357" s="249"/>
      <c r="ES357" s="249"/>
      <c r="ET357" s="249"/>
      <c r="EU357" s="249"/>
      <c r="EV357" s="249"/>
      <c r="EW357" s="249"/>
      <c r="EX357" s="249"/>
      <c r="EY357" s="249"/>
      <c r="EZ357" s="249"/>
      <c r="FA357" s="249"/>
      <c r="FB357" s="249"/>
      <c r="FC357" s="249"/>
      <c r="FD357" s="249"/>
      <c r="FE357" s="249"/>
      <c r="FF357" s="249"/>
      <c r="FG357" s="249"/>
      <c r="FH357" s="249"/>
      <c r="FI357" s="249"/>
      <c r="FJ357" s="249"/>
      <c r="FK357" s="249"/>
      <c r="FL357" s="249"/>
      <c r="FM357" s="249"/>
      <c r="FN357" s="249"/>
      <c r="FO357" s="249"/>
      <c r="FP357" s="249"/>
      <c r="FQ357" s="249"/>
      <c r="FR357" s="249"/>
      <c r="FS357" s="249"/>
      <c r="FT357" s="249"/>
      <c r="FU357" s="249"/>
      <c r="FV357" s="249"/>
      <c r="FW357" s="249"/>
      <c r="FX357" s="249"/>
      <c r="FY357" s="249"/>
      <c r="FZ357" s="249"/>
      <c r="GA357" s="249"/>
      <c r="GB357" s="249"/>
      <c r="GC357" s="249"/>
      <c r="GD357" s="249"/>
      <c r="GE357" s="249"/>
      <c r="GF357" s="249"/>
      <c r="GG357" s="249"/>
      <c r="GH357" s="249"/>
      <c r="GI357" s="249"/>
      <c r="GJ357" s="249"/>
      <c r="GK357" s="249"/>
      <c r="GL357" s="249"/>
      <c r="GM357" s="249"/>
      <c r="GN357" s="249"/>
      <c r="GO357" s="249"/>
      <c r="GP357" s="249"/>
      <c r="GQ357" s="249"/>
      <c r="GR357" s="249"/>
    </row>
    <row r="358" spans="1:200" s="252" customFormat="1" ht="12.75" customHeight="1" x14ac:dyDescent="0.2">
      <c r="A358" s="709"/>
      <c r="B358" s="1110"/>
      <c r="C358" s="1110"/>
      <c r="D358" s="257"/>
      <c r="E358" s="617"/>
      <c r="F358" s="296"/>
      <c r="G358" s="250"/>
      <c r="H358" s="250"/>
      <c r="I358" s="250"/>
      <c r="J358" s="250"/>
      <c r="K358" s="250"/>
      <c r="L358" s="250"/>
      <c r="M358" s="250"/>
      <c r="N358" s="250"/>
      <c r="O358" s="250"/>
      <c r="P358" s="251"/>
      <c r="Q358" s="251"/>
      <c r="R358" s="251"/>
      <c r="S358" s="251"/>
      <c r="T358" s="251"/>
      <c r="U358" s="1971" t="str">
        <f t="shared" si="81"/>
        <v>Yes</v>
      </c>
      <c r="V358" s="1971" t="str">
        <f t="shared" si="82"/>
        <v>10-3/4" OD Casing; 40.5 PPF, K55, PERFORATED</v>
      </c>
      <c r="W358" s="246" t="s">
        <v>2611</v>
      </c>
      <c r="X358" s="246"/>
      <c r="Y358" s="246"/>
      <c r="Z358" s="246">
        <f t="shared" si="90"/>
        <v>0</v>
      </c>
      <c r="AA358" s="246"/>
      <c r="AB358" s="246">
        <f t="shared" si="83"/>
        <v>0</v>
      </c>
      <c r="AC358" s="246"/>
      <c r="AD358" s="246">
        <f t="shared" si="84"/>
        <v>0</v>
      </c>
      <c r="AE358" s="246"/>
      <c r="AF358" s="2102">
        <f>IF($U358="Yes",'Casings et al'!$F29,'Casings et al'!$L29)</f>
        <v>44468.519043824701</v>
      </c>
      <c r="AG358" s="246"/>
      <c r="AH358" s="246">
        <f t="shared" si="86"/>
        <v>0</v>
      </c>
      <c r="AI358" s="246"/>
      <c r="AJ358" s="246">
        <f t="shared" si="87"/>
        <v>0</v>
      </c>
      <c r="AK358" s="246">
        <f t="shared" si="91"/>
        <v>0</v>
      </c>
      <c r="AL358" s="246"/>
      <c r="AM358" s="246">
        <f t="shared" si="89"/>
        <v>2623642.6235856572</v>
      </c>
      <c r="AN358" s="257"/>
      <c r="AO358" s="296"/>
      <c r="AP358" s="250"/>
      <c r="AQ358" s="250"/>
      <c r="AR358" s="250"/>
      <c r="AS358" s="250"/>
      <c r="AT358" s="250"/>
      <c r="AU358" s="250"/>
      <c r="AV358" s="249"/>
      <c r="AW358" s="249"/>
      <c r="AX358" s="249"/>
      <c r="AY358" s="249"/>
      <c r="AZ358" s="249"/>
      <c r="BA358" s="249"/>
      <c r="BB358" s="249"/>
      <c r="BC358" s="249"/>
      <c r="BD358" s="249"/>
      <c r="BE358" s="249"/>
      <c r="BF358" s="249"/>
      <c r="BG358" s="249"/>
      <c r="BH358" s="249"/>
      <c r="BI358" s="249"/>
      <c r="BJ358" s="249"/>
      <c r="BK358" s="249"/>
      <c r="BL358" s="249"/>
      <c r="BM358" s="249"/>
      <c r="BN358" s="249"/>
      <c r="BO358" s="249"/>
      <c r="BP358" s="249"/>
      <c r="BQ358" s="249"/>
      <c r="BR358" s="249"/>
      <c r="BS358" s="249"/>
      <c r="BT358" s="249"/>
      <c r="BU358" s="249"/>
      <c r="BV358" s="249"/>
      <c r="BW358" s="249"/>
      <c r="BX358" s="249"/>
      <c r="BY358" s="249"/>
      <c r="BZ358" s="249"/>
      <c r="CA358" s="249"/>
      <c r="CB358" s="249"/>
      <c r="CC358" s="249"/>
      <c r="CD358" s="249"/>
      <c r="CE358" s="249"/>
      <c r="CF358" s="249"/>
      <c r="CG358" s="249"/>
      <c r="CH358" s="249"/>
      <c r="CI358" s="249"/>
      <c r="CJ358" s="249"/>
      <c r="CK358" s="249"/>
      <c r="CL358" s="249"/>
      <c r="CM358" s="249"/>
      <c r="CN358" s="249"/>
      <c r="CO358" s="249"/>
      <c r="CP358" s="249"/>
      <c r="CQ358" s="249"/>
      <c r="CR358" s="249"/>
      <c r="CS358" s="249"/>
      <c r="CT358" s="249"/>
      <c r="CU358" s="249"/>
      <c r="CV358" s="249"/>
      <c r="CW358" s="249"/>
      <c r="CX358" s="249"/>
      <c r="CY358" s="249"/>
      <c r="CZ358" s="249"/>
      <c r="DA358" s="249"/>
      <c r="DB358" s="249"/>
      <c r="DC358" s="249"/>
      <c r="DD358" s="249"/>
      <c r="DE358" s="249"/>
      <c r="DF358" s="249"/>
      <c r="DG358" s="249"/>
      <c r="DH358" s="249"/>
      <c r="DI358" s="249"/>
      <c r="DJ358" s="249"/>
      <c r="DK358" s="249"/>
      <c r="DL358" s="249"/>
      <c r="DM358" s="249"/>
      <c r="DN358" s="249"/>
      <c r="DO358" s="249"/>
      <c r="DP358" s="249"/>
      <c r="DQ358" s="249"/>
      <c r="DR358" s="249"/>
      <c r="DS358" s="249"/>
      <c r="DT358" s="249"/>
      <c r="DU358" s="249"/>
      <c r="DV358" s="249"/>
      <c r="DW358" s="249"/>
      <c r="DX358" s="249"/>
      <c r="DY358" s="249"/>
      <c r="DZ358" s="249"/>
      <c r="EA358" s="249"/>
      <c r="EB358" s="249"/>
      <c r="EC358" s="249"/>
      <c r="ED358" s="249"/>
      <c r="EE358" s="249"/>
      <c r="EF358" s="249"/>
      <c r="EG358" s="249"/>
      <c r="EH358" s="249"/>
      <c r="EI358" s="249"/>
      <c r="EJ358" s="249"/>
      <c r="EK358" s="249"/>
      <c r="EL358" s="249"/>
      <c r="EM358" s="249"/>
      <c r="EN358" s="249"/>
      <c r="EO358" s="249"/>
      <c r="EP358" s="249"/>
      <c r="EQ358" s="249"/>
      <c r="ER358" s="249"/>
      <c r="ES358" s="249"/>
      <c r="ET358" s="249"/>
      <c r="EU358" s="249"/>
      <c r="EV358" s="249"/>
      <c r="EW358" s="249"/>
      <c r="EX358" s="249"/>
      <c r="EY358" s="249"/>
      <c r="EZ358" s="249"/>
      <c r="FA358" s="249"/>
      <c r="FB358" s="249"/>
      <c r="FC358" s="249"/>
      <c r="FD358" s="249"/>
      <c r="FE358" s="249"/>
      <c r="FF358" s="249"/>
      <c r="FG358" s="249"/>
      <c r="FH358" s="249"/>
      <c r="FI358" s="249"/>
      <c r="FJ358" s="249"/>
      <c r="FK358" s="249"/>
      <c r="FL358" s="249"/>
      <c r="FM358" s="249"/>
      <c r="FN358" s="249"/>
      <c r="FO358" s="249"/>
      <c r="FP358" s="249"/>
      <c r="FQ358" s="249"/>
      <c r="FR358" s="249"/>
      <c r="FS358" s="249"/>
      <c r="FT358" s="249"/>
      <c r="FU358" s="249"/>
      <c r="FV358" s="249"/>
      <c r="FW358" s="249"/>
      <c r="FX358" s="249"/>
      <c r="FY358" s="249"/>
      <c r="FZ358" s="249"/>
      <c r="GA358" s="249"/>
      <c r="GB358" s="249"/>
      <c r="GC358" s="249"/>
      <c r="GD358" s="249"/>
      <c r="GE358" s="249"/>
      <c r="GF358" s="249"/>
      <c r="GG358" s="249"/>
      <c r="GH358" s="249"/>
      <c r="GI358" s="249"/>
      <c r="GJ358" s="249"/>
      <c r="GK358" s="249"/>
      <c r="GL358" s="249"/>
      <c r="GM358" s="249"/>
      <c r="GN358" s="249"/>
      <c r="GO358" s="249"/>
      <c r="GP358" s="249"/>
      <c r="GQ358" s="249"/>
      <c r="GR358" s="249"/>
    </row>
    <row r="359" spans="1:200" s="252" customFormat="1" ht="12.75" customHeight="1" x14ac:dyDescent="0.2">
      <c r="A359" s="709"/>
      <c r="B359" s="1110"/>
      <c r="C359" s="1110"/>
      <c r="D359" s="257"/>
      <c r="E359" s="617"/>
      <c r="F359" s="296"/>
      <c r="G359" s="250"/>
      <c r="H359" s="250"/>
      <c r="I359" s="250"/>
      <c r="J359" s="250"/>
      <c r="K359" s="250"/>
      <c r="L359" s="250"/>
      <c r="M359" s="250"/>
      <c r="N359" s="250"/>
      <c r="O359" s="250"/>
      <c r="P359" s="251"/>
      <c r="Q359" s="251"/>
      <c r="R359" s="251"/>
      <c r="S359" s="251"/>
      <c r="T359" s="251"/>
      <c r="U359" s="1971" t="str">
        <f t="shared" si="81"/>
        <v>Yes</v>
      </c>
      <c r="V359" s="1971" t="str">
        <f t="shared" si="82"/>
        <v>10-3/4" OD Casing; 40.5 PPF, K55, BLANK</v>
      </c>
      <c r="W359" s="246" t="s">
        <v>2611</v>
      </c>
      <c r="X359" s="246"/>
      <c r="Y359" s="246"/>
      <c r="Z359" s="246">
        <f t="shared" si="90"/>
        <v>0</v>
      </c>
      <c r="AA359" s="246"/>
      <c r="AB359" s="246">
        <f t="shared" si="83"/>
        <v>0</v>
      </c>
      <c r="AC359" s="246"/>
      <c r="AD359" s="246">
        <f t="shared" si="84"/>
        <v>0</v>
      </c>
      <c r="AE359" s="246"/>
      <c r="AF359" s="2102">
        <f>IF($U359="Yes",'Casings et al'!$F30,'Casings et al'!$L30)</f>
        <v>34538.660000000003</v>
      </c>
      <c r="AG359" s="246"/>
      <c r="AH359" s="246">
        <f t="shared" si="86"/>
        <v>0</v>
      </c>
      <c r="AI359" s="246"/>
      <c r="AJ359" s="246">
        <f t="shared" si="87"/>
        <v>0</v>
      </c>
      <c r="AK359" s="246">
        <f t="shared" si="91"/>
        <v>0</v>
      </c>
      <c r="AL359" s="246"/>
      <c r="AM359" s="246">
        <f t="shared" si="89"/>
        <v>103615.98000000001</v>
      </c>
      <c r="AN359" s="257"/>
      <c r="AO359" s="249"/>
      <c r="AP359" s="250"/>
      <c r="AQ359" s="250"/>
      <c r="AR359" s="250"/>
      <c r="AS359" s="250"/>
      <c r="AT359" s="250"/>
      <c r="AU359" s="250"/>
      <c r="AV359" s="249"/>
      <c r="AW359" s="249"/>
      <c r="AX359" s="249"/>
      <c r="AY359" s="249"/>
      <c r="AZ359" s="249"/>
      <c r="BA359" s="249"/>
      <c r="BB359" s="249"/>
      <c r="BC359" s="249"/>
      <c r="BD359" s="249"/>
      <c r="BE359" s="249"/>
      <c r="BF359" s="249"/>
      <c r="BG359" s="249"/>
      <c r="BH359" s="249"/>
      <c r="BI359" s="249"/>
      <c r="BJ359" s="249"/>
      <c r="BK359" s="249"/>
      <c r="BL359" s="249"/>
      <c r="BM359" s="249"/>
      <c r="BN359" s="249"/>
      <c r="BO359" s="249"/>
      <c r="BP359" s="249"/>
      <c r="BQ359" s="249"/>
      <c r="BR359" s="249"/>
      <c r="BS359" s="249"/>
      <c r="BT359" s="249"/>
      <c r="BU359" s="249"/>
      <c r="BV359" s="249"/>
      <c r="BW359" s="249"/>
      <c r="BX359" s="249"/>
      <c r="BY359" s="249"/>
      <c r="BZ359" s="249"/>
      <c r="CA359" s="249"/>
      <c r="CB359" s="249"/>
      <c r="CC359" s="249"/>
      <c r="CD359" s="249"/>
      <c r="CE359" s="249"/>
      <c r="CF359" s="249"/>
      <c r="CG359" s="249"/>
      <c r="CH359" s="249"/>
      <c r="CI359" s="249"/>
      <c r="CJ359" s="249"/>
      <c r="CK359" s="249"/>
      <c r="CL359" s="249"/>
      <c r="CM359" s="249"/>
      <c r="CN359" s="249"/>
      <c r="CO359" s="249"/>
      <c r="CP359" s="249"/>
      <c r="CQ359" s="249"/>
      <c r="CR359" s="249"/>
      <c r="CS359" s="249"/>
      <c r="CT359" s="249"/>
      <c r="CU359" s="249"/>
      <c r="CV359" s="249"/>
      <c r="CW359" s="249"/>
      <c r="CX359" s="249"/>
      <c r="CY359" s="249"/>
      <c r="CZ359" s="249"/>
      <c r="DA359" s="249"/>
      <c r="DB359" s="249"/>
      <c r="DC359" s="249"/>
      <c r="DD359" s="249"/>
      <c r="DE359" s="249"/>
      <c r="DF359" s="249"/>
      <c r="DG359" s="249"/>
      <c r="DH359" s="249"/>
      <c r="DI359" s="249"/>
      <c r="DJ359" s="249"/>
      <c r="DK359" s="249"/>
      <c r="DL359" s="249"/>
      <c r="DM359" s="249"/>
      <c r="DN359" s="249"/>
      <c r="DO359" s="249"/>
      <c r="DP359" s="249"/>
      <c r="DQ359" s="249"/>
      <c r="DR359" s="249"/>
      <c r="DS359" s="249"/>
      <c r="DT359" s="249"/>
      <c r="DU359" s="249"/>
      <c r="DV359" s="249"/>
      <c r="DW359" s="249"/>
      <c r="DX359" s="249"/>
      <c r="DY359" s="249"/>
      <c r="DZ359" s="249"/>
      <c r="EA359" s="249"/>
      <c r="EB359" s="249"/>
      <c r="EC359" s="249"/>
      <c r="ED359" s="249"/>
      <c r="EE359" s="249"/>
      <c r="EF359" s="249"/>
      <c r="EG359" s="249"/>
      <c r="EH359" s="249"/>
      <c r="EI359" s="249"/>
      <c r="EJ359" s="249"/>
      <c r="EK359" s="249"/>
      <c r="EL359" s="249"/>
      <c r="EM359" s="249"/>
      <c r="EN359" s="249"/>
      <c r="EO359" s="249"/>
      <c r="EP359" s="249"/>
      <c r="EQ359" s="249"/>
      <c r="ER359" s="249"/>
      <c r="ES359" s="249"/>
      <c r="ET359" s="249"/>
      <c r="EU359" s="249"/>
      <c r="EV359" s="249"/>
      <c r="EW359" s="249"/>
      <c r="EX359" s="249"/>
      <c r="EY359" s="249"/>
      <c r="EZ359" s="249"/>
      <c r="FA359" s="249"/>
      <c r="FB359" s="249"/>
      <c r="FC359" s="249"/>
      <c r="FD359" s="249"/>
      <c r="FE359" s="249"/>
      <c r="FF359" s="249"/>
      <c r="FG359" s="249"/>
      <c r="FH359" s="249"/>
      <c r="FI359" s="249"/>
      <c r="FJ359" s="249"/>
      <c r="FK359" s="249"/>
      <c r="FL359" s="249"/>
      <c r="FM359" s="249"/>
      <c r="FN359" s="249"/>
      <c r="FO359" s="249"/>
      <c r="FP359" s="249"/>
      <c r="FQ359" s="249"/>
      <c r="FR359" s="249"/>
      <c r="FS359" s="249"/>
      <c r="FT359" s="249"/>
      <c r="FU359" s="249"/>
      <c r="FV359" s="249"/>
      <c r="FW359" s="249"/>
      <c r="FX359" s="249"/>
      <c r="FY359" s="249"/>
      <c r="FZ359" s="249"/>
      <c r="GA359" s="249"/>
      <c r="GB359" s="249"/>
      <c r="GC359" s="249"/>
      <c r="GD359" s="249"/>
      <c r="GE359" s="249"/>
      <c r="GF359" s="249"/>
      <c r="GG359" s="249"/>
      <c r="GH359" s="249"/>
      <c r="GI359" s="249"/>
      <c r="GJ359" s="249"/>
      <c r="GK359" s="249"/>
      <c r="GL359" s="249"/>
      <c r="GM359" s="249"/>
      <c r="GN359" s="249"/>
      <c r="GO359" s="249"/>
      <c r="GP359" s="249"/>
      <c r="GQ359" s="249"/>
      <c r="GR359" s="249"/>
    </row>
    <row r="360" spans="1:200" s="252" customFormat="1" ht="12.5" customHeight="1" x14ac:dyDescent="0.2">
      <c r="A360" s="709"/>
      <c r="B360" s="1110"/>
      <c r="C360" s="1110"/>
      <c r="D360" s="257"/>
      <c r="E360" s="617"/>
      <c r="F360" s="296"/>
      <c r="G360" s="250"/>
      <c r="H360" s="250"/>
      <c r="I360" s="250"/>
      <c r="J360" s="250"/>
      <c r="K360" s="250"/>
      <c r="L360" s="250"/>
      <c r="M360" s="250"/>
      <c r="N360" s="250"/>
      <c r="O360" s="250"/>
      <c r="P360" s="251"/>
      <c r="Q360" s="251"/>
      <c r="R360" s="251"/>
      <c r="S360" s="251"/>
      <c r="T360" s="251"/>
      <c r="U360" s="1971" t="str">
        <f t="shared" si="81"/>
        <v>Yes</v>
      </c>
      <c r="V360" s="1971" t="str">
        <f t="shared" si="82"/>
        <v>10-3/4" Guide Shoe, BTC</v>
      </c>
      <c r="W360" s="246" t="s">
        <v>2611</v>
      </c>
      <c r="X360" s="246"/>
      <c r="Y360" s="246"/>
      <c r="Z360" s="246">
        <f t="shared" si="90"/>
        <v>0</v>
      </c>
      <c r="AA360" s="246"/>
      <c r="AB360" s="246">
        <f t="shared" si="83"/>
        <v>0</v>
      </c>
      <c r="AC360" s="246"/>
      <c r="AD360" s="246">
        <f t="shared" si="84"/>
        <v>0</v>
      </c>
      <c r="AE360" s="246"/>
      <c r="AF360" s="2102">
        <f>IF($U360="Yes",'Casings et al'!$F31,'Casings et al'!$L31)</f>
        <v>36387.794999999998</v>
      </c>
      <c r="AG360" s="246"/>
      <c r="AH360" s="246">
        <f t="shared" si="86"/>
        <v>0</v>
      </c>
      <c r="AI360" s="246"/>
      <c r="AJ360" s="246">
        <f t="shared" si="87"/>
        <v>0</v>
      </c>
      <c r="AK360" s="246">
        <f>IFERROR(($W360*AK318),0)</f>
        <v>0</v>
      </c>
      <c r="AL360" s="246"/>
      <c r="AM360" s="246">
        <f t="shared" si="89"/>
        <v>36387.794999999998</v>
      </c>
      <c r="AN360" s="254"/>
      <c r="AO360" s="249"/>
      <c r="AP360" s="250"/>
      <c r="AQ360" s="250"/>
      <c r="AR360" s="250"/>
      <c r="AS360" s="250"/>
      <c r="AT360" s="250"/>
      <c r="AU360" s="250"/>
      <c r="AV360" s="249"/>
      <c r="AW360" s="249"/>
      <c r="AX360" s="249"/>
      <c r="AY360" s="249"/>
      <c r="AZ360" s="249"/>
      <c r="BA360" s="249"/>
      <c r="BB360" s="249"/>
      <c r="BC360" s="249"/>
      <c r="BD360" s="249"/>
      <c r="BE360" s="249"/>
      <c r="BF360" s="249"/>
      <c r="BG360" s="249"/>
      <c r="BH360" s="249"/>
      <c r="BI360" s="249"/>
      <c r="BJ360" s="249"/>
      <c r="BK360" s="249"/>
      <c r="BL360" s="249"/>
      <c r="BM360" s="249"/>
      <c r="BN360" s="249"/>
      <c r="BO360" s="249"/>
      <c r="BP360" s="249"/>
      <c r="BQ360" s="249"/>
      <c r="BR360" s="249"/>
      <c r="BS360" s="249"/>
      <c r="BT360" s="249"/>
      <c r="BU360" s="249"/>
      <c r="BV360" s="249"/>
      <c r="BW360" s="249"/>
      <c r="BX360" s="249"/>
      <c r="BY360" s="249"/>
      <c r="BZ360" s="249"/>
      <c r="CA360" s="249"/>
      <c r="CB360" s="249"/>
      <c r="CC360" s="249"/>
      <c r="CD360" s="249"/>
      <c r="CE360" s="249"/>
      <c r="CF360" s="249"/>
      <c r="CG360" s="249"/>
      <c r="CH360" s="249"/>
      <c r="CI360" s="249"/>
      <c r="CJ360" s="249"/>
      <c r="CK360" s="249"/>
      <c r="CL360" s="249"/>
      <c r="CM360" s="249"/>
      <c r="CN360" s="249"/>
      <c r="CO360" s="249"/>
      <c r="CP360" s="249"/>
      <c r="CQ360" s="249"/>
      <c r="CR360" s="249"/>
      <c r="CS360" s="249"/>
      <c r="CT360" s="249"/>
      <c r="CU360" s="249"/>
      <c r="CV360" s="249"/>
      <c r="CW360" s="249"/>
      <c r="CX360" s="249"/>
      <c r="CY360" s="249"/>
      <c r="CZ360" s="249"/>
      <c r="DA360" s="249"/>
      <c r="DB360" s="249"/>
      <c r="DC360" s="249"/>
      <c r="DD360" s="249"/>
      <c r="DE360" s="249"/>
      <c r="DF360" s="249"/>
      <c r="DG360" s="249"/>
      <c r="DH360" s="249"/>
      <c r="DI360" s="249"/>
      <c r="DJ360" s="249"/>
      <c r="DK360" s="249"/>
      <c r="DL360" s="249"/>
      <c r="DM360" s="249"/>
      <c r="DN360" s="249"/>
      <c r="DO360" s="249"/>
      <c r="DP360" s="249"/>
      <c r="DQ360" s="249"/>
      <c r="DR360" s="249"/>
      <c r="DS360" s="249"/>
      <c r="DT360" s="249"/>
      <c r="DU360" s="249"/>
      <c r="DV360" s="249"/>
      <c r="DW360" s="249"/>
      <c r="DX360" s="249"/>
      <c r="DY360" s="249"/>
      <c r="DZ360" s="249"/>
      <c r="EA360" s="249"/>
      <c r="EB360" s="249"/>
      <c r="EC360" s="249"/>
      <c r="ED360" s="249"/>
      <c r="EE360" s="249"/>
      <c r="EF360" s="249"/>
      <c r="EG360" s="249"/>
      <c r="EH360" s="249"/>
      <c r="EI360" s="249"/>
      <c r="EJ360" s="249"/>
      <c r="EK360" s="249"/>
      <c r="EL360" s="249"/>
      <c r="EM360" s="249"/>
      <c r="EN360" s="249"/>
      <c r="EO360" s="249"/>
      <c r="EP360" s="249"/>
      <c r="EQ360" s="249"/>
      <c r="ER360" s="249"/>
      <c r="ES360" s="249"/>
      <c r="ET360" s="249"/>
      <c r="EU360" s="249"/>
      <c r="EV360" s="249"/>
      <c r="EW360" s="249"/>
      <c r="EX360" s="249"/>
      <c r="EY360" s="249"/>
      <c r="EZ360" s="249"/>
      <c r="FA360" s="249"/>
      <c r="FB360" s="249"/>
      <c r="FC360" s="249"/>
      <c r="FD360" s="249"/>
      <c r="FE360" s="249"/>
      <c r="FF360" s="249"/>
      <c r="FG360" s="249"/>
      <c r="FH360" s="249"/>
      <c r="FI360" s="249"/>
      <c r="FJ360" s="249"/>
      <c r="FK360" s="249"/>
      <c r="FL360" s="249"/>
      <c r="FM360" s="249"/>
      <c r="FN360" s="249"/>
      <c r="FO360" s="249"/>
      <c r="FP360" s="249"/>
      <c r="FQ360" s="249"/>
      <c r="FR360" s="249"/>
      <c r="FS360" s="249"/>
      <c r="FT360" s="249"/>
      <c r="FU360" s="249"/>
      <c r="FV360" s="249"/>
      <c r="FW360" s="249"/>
      <c r="FX360" s="249"/>
      <c r="FY360" s="249"/>
      <c r="FZ360" s="249"/>
      <c r="GA360" s="249"/>
      <c r="GB360" s="249"/>
      <c r="GC360" s="249"/>
      <c r="GD360" s="249"/>
      <c r="GE360" s="249"/>
      <c r="GF360" s="249"/>
      <c r="GG360" s="249"/>
      <c r="GH360" s="249"/>
      <c r="GI360" s="249"/>
      <c r="GJ360" s="249"/>
      <c r="GK360" s="249"/>
      <c r="GL360" s="249"/>
      <c r="GM360" s="249"/>
      <c r="GN360" s="249"/>
      <c r="GO360" s="249"/>
      <c r="GP360" s="249"/>
      <c r="GQ360" s="249"/>
      <c r="GR360" s="249"/>
    </row>
    <row r="361" spans="1:200" s="252" customFormat="1" ht="12.75" customHeight="1" x14ac:dyDescent="0.2">
      <c r="A361" s="709"/>
      <c r="B361" s="1110"/>
      <c r="C361" s="1110"/>
      <c r="D361" s="257"/>
      <c r="E361" s="617"/>
      <c r="F361" s="296"/>
      <c r="G361" s="250"/>
      <c r="H361" s="250"/>
      <c r="I361" s="250"/>
      <c r="J361" s="250"/>
      <c r="K361" s="250"/>
      <c r="L361" s="250"/>
      <c r="M361" s="250"/>
      <c r="N361" s="250"/>
      <c r="O361" s="250"/>
      <c r="P361" s="251"/>
      <c r="Q361" s="251"/>
      <c r="R361" s="251"/>
      <c r="S361" s="251"/>
      <c r="T361" s="251"/>
      <c r="U361" s="1971" t="str">
        <f t="shared" si="81"/>
        <v>Yes</v>
      </c>
      <c r="V361" s="1971" t="str">
        <f t="shared" si="82"/>
        <v>10-3/4" x 13-3/8" Liner Adaptor, Rigger</v>
      </c>
      <c r="W361" s="246" t="s">
        <v>2611</v>
      </c>
      <c r="X361" s="246"/>
      <c r="Y361" s="246"/>
      <c r="Z361" s="246">
        <f t="shared" si="90"/>
        <v>0</v>
      </c>
      <c r="AA361" s="246"/>
      <c r="AB361" s="246">
        <f t="shared" si="83"/>
        <v>0</v>
      </c>
      <c r="AC361" s="246"/>
      <c r="AD361" s="246">
        <f t="shared" si="84"/>
        <v>0</v>
      </c>
      <c r="AE361" s="246"/>
      <c r="AF361" s="2102">
        <f>IF($U361="Yes",'Casings et al'!$F32,'Casings et al'!$L32)</f>
        <v>402462.95500000002</v>
      </c>
      <c r="AG361" s="246"/>
      <c r="AH361" s="246">
        <f t="shared" si="86"/>
        <v>0</v>
      </c>
      <c r="AI361" s="246"/>
      <c r="AJ361" s="246">
        <f t="shared" si="87"/>
        <v>0</v>
      </c>
      <c r="AK361" s="246">
        <f t="shared" ref="AK361:AK378" si="92">IFERROR(($W361*AK308),0)</f>
        <v>0</v>
      </c>
      <c r="AL361" s="246"/>
      <c r="AM361" s="246">
        <f t="shared" si="89"/>
        <v>402462.95500000002</v>
      </c>
      <c r="AN361" s="257"/>
      <c r="AO361" s="296"/>
      <c r="AP361" s="250"/>
      <c r="AQ361" s="250"/>
      <c r="AR361" s="250"/>
      <c r="AS361" s="250"/>
      <c r="AT361" s="250"/>
      <c r="AU361" s="250"/>
      <c r="AV361" s="249"/>
      <c r="AW361" s="249"/>
      <c r="AX361" s="249"/>
      <c r="AY361" s="249"/>
      <c r="AZ361" s="249"/>
      <c r="BA361" s="249"/>
      <c r="BB361" s="249"/>
      <c r="BC361" s="249"/>
      <c r="BD361" s="249"/>
      <c r="BE361" s="249"/>
      <c r="BF361" s="249"/>
      <c r="BG361" s="249"/>
      <c r="BH361" s="249"/>
      <c r="BI361" s="249"/>
      <c r="BJ361" s="249"/>
      <c r="BK361" s="249"/>
      <c r="BL361" s="249"/>
      <c r="BM361" s="249"/>
      <c r="BN361" s="249"/>
      <c r="BO361" s="249"/>
      <c r="BP361" s="249"/>
      <c r="BQ361" s="249"/>
      <c r="BR361" s="249"/>
      <c r="BS361" s="249"/>
      <c r="BT361" s="249"/>
      <c r="BU361" s="249"/>
      <c r="BV361" s="249"/>
      <c r="BW361" s="249"/>
      <c r="BX361" s="249"/>
      <c r="BY361" s="249"/>
      <c r="BZ361" s="249"/>
      <c r="CA361" s="249"/>
      <c r="CB361" s="249"/>
      <c r="CC361" s="249"/>
      <c r="CD361" s="249"/>
      <c r="CE361" s="249"/>
      <c r="CF361" s="249"/>
      <c r="CG361" s="249"/>
      <c r="CH361" s="249"/>
      <c r="CI361" s="249"/>
      <c r="CJ361" s="249"/>
      <c r="CK361" s="249"/>
      <c r="CL361" s="249"/>
      <c r="CM361" s="249"/>
      <c r="CN361" s="249"/>
      <c r="CO361" s="249"/>
      <c r="CP361" s="249"/>
      <c r="CQ361" s="249"/>
      <c r="CR361" s="249"/>
      <c r="CS361" s="249"/>
      <c r="CT361" s="249"/>
      <c r="CU361" s="249"/>
      <c r="CV361" s="249"/>
      <c r="CW361" s="249"/>
      <c r="CX361" s="249"/>
      <c r="CY361" s="249"/>
      <c r="CZ361" s="249"/>
      <c r="DA361" s="249"/>
      <c r="DB361" s="249"/>
      <c r="DC361" s="249"/>
      <c r="DD361" s="249"/>
      <c r="DE361" s="249"/>
      <c r="DF361" s="249"/>
      <c r="DG361" s="249"/>
      <c r="DH361" s="249"/>
      <c r="DI361" s="249"/>
      <c r="DJ361" s="249"/>
      <c r="DK361" s="249"/>
      <c r="DL361" s="249"/>
      <c r="DM361" s="249"/>
      <c r="DN361" s="249"/>
      <c r="DO361" s="249"/>
      <c r="DP361" s="249"/>
      <c r="DQ361" s="249"/>
      <c r="DR361" s="249"/>
      <c r="DS361" s="249"/>
      <c r="DT361" s="249"/>
      <c r="DU361" s="249"/>
      <c r="DV361" s="249"/>
      <c r="DW361" s="249"/>
      <c r="DX361" s="249"/>
      <c r="DY361" s="249"/>
      <c r="DZ361" s="249"/>
      <c r="EA361" s="249"/>
      <c r="EB361" s="249"/>
      <c r="EC361" s="249"/>
      <c r="ED361" s="249"/>
      <c r="EE361" s="249"/>
      <c r="EF361" s="249"/>
      <c r="EG361" s="249"/>
      <c r="EH361" s="249"/>
      <c r="EI361" s="249"/>
      <c r="EJ361" s="249"/>
      <c r="EK361" s="249"/>
      <c r="EL361" s="249"/>
      <c r="EM361" s="249"/>
      <c r="EN361" s="249"/>
      <c r="EO361" s="249"/>
      <c r="EP361" s="249"/>
      <c r="EQ361" s="249"/>
      <c r="ER361" s="249"/>
      <c r="ES361" s="249"/>
      <c r="ET361" s="249"/>
      <c r="EU361" s="249"/>
      <c r="EV361" s="249"/>
      <c r="EW361" s="249"/>
      <c r="EX361" s="249"/>
      <c r="EY361" s="249"/>
      <c r="EZ361" s="249"/>
      <c r="FA361" s="249"/>
      <c r="FB361" s="249"/>
      <c r="FC361" s="249"/>
      <c r="FD361" s="249"/>
      <c r="FE361" s="249"/>
      <c r="FF361" s="249"/>
      <c r="FG361" s="249"/>
      <c r="FH361" s="249"/>
      <c r="FI361" s="249"/>
      <c r="FJ361" s="249"/>
      <c r="FK361" s="249"/>
      <c r="FL361" s="249"/>
      <c r="FM361" s="249"/>
      <c r="FN361" s="249"/>
      <c r="FO361" s="249"/>
      <c r="FP361" s="249"/>
      <c r="FQ361" s="249"/>
      <c r="FR361" s="249"/>
      <c r="FS361" s="249"/>
      <c r="FT361" s="249"/>
      <c r="FU361" s="249"/>
      <c r="FV361" s="249"/>
      <c r="FW361" s="249"/>
      <c r="FX361" s="249"/>
      <c r="FY361" s="249"/>
      <c r="FZ361" s="249"/>
      <c r="GA361" s="249"/>
      <c r="GB361" s="249"/>
      <c r="GC361" s="249"/>
      <c r="GD361" s="249"/>
      <c r="GE361" s="249"/>
      <c r="GF361" s="249"/>
      <c r="GG361" s="249"/>
      <c r="GH361" s="249"/>
      <c r="GI361" s="249"/>
      <c r="GJ361" s="249"/>
      <c r="GK361" s="249"/>
      <c r="GL361" s="249"/>
      <c r="GM361" s="249"/>
      <c r="GN361" s="249"/>
      <c r="GO361" s="249"/>
      <c r="GP361" s="249"/>
      <c r="GQ361" s="249"/>
      <c r="GR361" s="249"/>
    </row>
    <row r="362" spans="1:200" s="252" customFormat="1" ht="12.75" customHeight="1" x14ac:dyDescent="0.2">
      <c r="A362" s="709"/>
      <c r="B362" s="1110"/>
      <c r="C362" s="1110"/>
      <c r="D362" s="257"/>
      <c r="E362" s="617"/>
      <c r="F362" s="296"/>
      <c r="G362" s="250"/>
      <c r="H362" s="250"/>
      <c r="I362" s="250"/>
      <c r="J362" s="250"/>
      <c r="K362" s="250"/>
      <c r="L362" s="250"/>
      <c r="M362" s="250"/>
      <c r="N362" s="250"/>
      <c r="O362" s="250"/>
      <c r="P362" s="251"/>
      <c r="Q362" s="251"/>
      <c r="R362" s="251"/>
      <c r="S362" s="251"/>
      <c r="T362" s="251"/>
      <c r="U362" s="1971" t="str">
        <f t="shared" si="81"/>
        <v>Yes</v>
      </c>
      <c r="V362" s="1971" t="str">
        <f t="shared" si="82"/>
        <v>Corrosion Ring, 4-1/2"IF &amp; 5"X Hole</v>
      </c>
      <c r="W362" s="246" t="s">
        <v>2611</v>
      </c>
      <c r="X362" s="246"/>
      <c r="Y362" s="246"/>
      <c r="Z362" s="246">
        <f t="shared" si="90"/>
        <v>0</v>
      </c>
      <c r="AA362" s="246"/>
      <c r="AB362" s="246">
        <f t="shared" si="83"/>
        <v>0</v>
      </c>
      <c r="AC362" s="246"/>
      <c r="AD362" s="246">
        <f t="shared" si="84"/>
        <v>0</v>
      </c>
      <c r="AE362" s="246"/>
      <c r="AF362" s="2102">
        <f>IF($U362="Yes",'Casings et al'!$F33,'Casings et al'!$L33)</f>
        <v>3639.9091803278689</v>
      </c>
      <c r="AG362" s="246"/>
      <c r="AH362" s="246">
        <f t="shared" si="86"/>
        <v>0</v>
      </c>
      <c r="AI362" s="246"/>
      <c r="AJ362" s="246">
        <f t="shared" si="87"/>
        <v>0</v>
      </c>
      <c r="AK362" s="246">
        <f t="shared" si="92"/>
        <v>0</v>
      </c>
      <c r="AL362" s="246"/>
      <c r="AM362" s="246">
        <f t="shared" si="89"/>
        <v>18199.545901639343</v>
      </c>
      <c r="AN362" s="257"/>
      <c r="AO362" s="296"/>
      <c r="AP362" s="250"/>
      <c r="AQ362" s="250"/>
      <c r="AR362" s="250"/>
      <c r="AS362" s="250"/>
      <c r="AT362" s="250"/>
      <c r="AU362" s="250"/>
      <c r="AV362" s="249"/>
      <c r="AW362" s="249"/>
      <c r="AX362" s="249"/>
      <c r="AY362" s="249"/>
      <c r="AZ362" s="249"/>
      <c r="BA362" s="249"/>
      <c r="BB362" s="249"/>
      <c r="BC362" s="249"/>
      <c r="BD362" s="249"/>
      <c r="BE362" s="249"/>
      <c r="BF362" s="249"/>
      <c r="BG362" s="249"/>
      <c r="BH362" s="249"/>
      <c r="BI362" s="249"/>
      <c r="BJ362" s="249"/>
      <c r="BK362" s="249"/>
      <c r="BL362" s="249"/>
      <c r="BM362" s="249"/>
      <c r="BN362" s="249"/>
      <c r="BO362" s="249"/>
      <c r="BP362" s="249"/>
      <c r="BQ362" s="249"/>
      <c r="BR362" s="249"/>
      <c r="BS362" s="249"/>
      <c r="BT362" s="249"/>
      <c r="BU362" s="249"/>
      <c r="BV362" s="249"/>
      <c r="BW362" s="249"/>
      <c r="BX362" s="249"/>
      <c r="BY362" s="249"/>
      <c r="BZ362" s="249"/>
      <c r="CA362" s="249"/>
      <c r="CB362" s="249"/>
      <c r="CC362" s="249"/>
      <c r="CD362" s="249"/>
      <c r="CE362" s="249"/>
      <c r="CF362" s="249"/>
      <c r="CG362" s="249"/>
      <c r="CH362" s="249"/>
      <c r="CI362" s="249"/>
      <c r="CJ362" s="249"/>
      <c r="CK362" s="249"/>
      <c r="CL362" s="249"/>
      <c r="CM362" s="249"/>
      <c r="CN362" s="249"/>
      <c r="CO362" s="249"/>
      <c r="CP362" s="249"/>
      <c r="CQ362" s="249"/>
      <c r="CR362" s="249"/>
      <c r="CS362" s="249"/>
      <c r="CT362" s="249"/>
      <c r="CU362" s="249"/>
      <c r="CV362" s="249"/>
      <c r="CW362" s="249"/>
      <c r="CX362" s="249"/>
      <c r="CY362" s="249"/>
      <c r="CZ362" s="249"/>
      <c r="DA362" s="249"/>
      <c r="DB362" s="249"/>
      <c r="DC362" s="249"/>
      <c r="DD362" s="249"/>
      <c r="DE362" s="249"/>
      <c r="DF362" s="249"/>
      <c r="DG362" s="249"/>
      <c r="DH362" s="249"/>
      <c r="DI362" s="249"/>
      <c r="DJ362" s="249"/>
      <c r="DK362" s="249"/>
      <c r="DL362" s="249"/>
      <c r="DM362" s="249"/>
      <c r="DN362" s="249"/>
      <c r="DO362" s="249"/>
      <c r="DP362" s="249"/>
      <c r="DQ362" s="249"/>
      <c r="DR362" s="249"/>
      <c r="DS362" s="249"/>
      <c r="DT362" s="249"/>
      <c r="DU362" s="249"/>
      <c r="DV362" s="249"/>
      <c r="DW362" s="249"/>
      <c r="DX362" s="249"/>
      <c r="DY362" s="249"/>
      <c r="DZ362" s="249"/>
      <c r="EA362" s="249"/>
      <c r="EB362" s="249"/>
      <c r="EC362" s="249"/>
      <c r="ED362" s="249"/>
      <c r="EE362" s="249"/>
      <c r="EF362" s="249"/>
      <c r="EG362" s="249"/>
      <c r="EH362" s="249"/>
      <c r="EI362" s="249"/>
      <c r="EJ362" s="249"/>
      <c r="EK362" s="249"/>
      <c r="EL362" s="249"/>
      <c r="EM362" s="249"/>
      <c r="EN362" s="249"/>
      <c r="EO362" s="249"/>
      <c r="EP362" s="249"/>
      <c r="EQ362" s="249"/>
      <c r="ER362" s="249"/>
      <c r="ES362" s="249"/>
      <c r="ET362" s="249"/>
      <c r="EU362" s="249"/>
      <c r="EV362" s="249"/>
      <c r="EW362" s="249"/>
      <c r="EX362" s="249"/>
      <c r="EY362" s="249"/>
      <c r="EZ362" s="249"/>
      <c r="FA362" s="249"/>
      <c r="FB362" s="249"/>
      <c r="FC362" s="249"/>
      <c r="FD362" s="249"/>
      <c r="FE362" s="249"/>
      <c r="FF362" s="249"/>
      <c r="FG362" s="249"/>
      <c r="FH362" s="249"/>
      <c r="FI362" s="249"/>
      <c r="FJ362" s="249"/>
      <c r="FK362" s="249"/>
      <c r="FL362" s="249"/>
      <c r="FM362" s="249"/>
      <c r="FN362" s="249"/>
      <c r="FO362" s="249"/>
      <c r="FP362" s="249"/>
      <c r="FQ362" s="249"/>
      <c r="FR362" s="249"/>
      <c r="FS362" s="249"/>
      <c r="FT362" s="249"/>
      <c r="FU362" s="249"/>
      <c r="FV362" s="249"/>
      <c r="FW362" s="249"/>
      <c r="FX362" s="249"/>
      <c r="FY362" s="249"/>
      <c r="FZ362" s="249"/>
      <c r="GA362" s="249"/>
      <c r="GB362" s="249"/>
      <c r="GC362" s="249"/>
      <c r="GD362" s="249"/>
      <c r="GE362" s="249"/>
      <c r="GF362" s="249"/>
      <c r="GG362" s="249"/>
      <c r="GH362" s="249"/>
      <c r="GI362" s="249"/>
      <c r="GJ362" s="249"/>
      <c r="GK362" s="249"/>
      <c r="GL362" s="249"/>
      <c r="GM362" s="249"/>
      <c r="GN362" s="249"/>
      <c r="GO362" s="249"/>
      <c r="GP362" s="249"/>
      <c r="GQ362" s="249"/>
      <c r="GR362" s="249"/>
    </row>
    <row r="363" spans="1:200" s="252" customFormat="1" ht="12.75" customHeight="1" x14ac:dyDescent="0.2">
      <c r="A363" s="709"/>
      <c r="B363" s="1110"/>
      <c r="C363" s="1110"/>
      <c r="D363" s="257"/>
      <c r="E363" s="617"/>
      <c r="F363" s="296"/>
      <c r="G363" s="250"/>
      <c r="H363" s="250"/>
      <c r="I363" s="250"/>
      <c r="J363" s="250"/>
      <c r="K363" s="250"/>
      <c r="L363" s="250"/>
      <c r="M363" s="250"/>
      <c r="N363" s="250"/>
      <c r="O363" s="250"/>
      <c r="P363" s="251"/>
      <c r="Q363" s="251"/>
      <c r="R363" s="251"/>
      <c r="S363" s="251"/>
      <c r="T363" s="251"/>
      <c r="U363" s="1971" t="str">
        <f t="shared" si="81"/>
        <v>Yes</v>
      </c>
      <c r="V363" s="1971" t="str">
        <f t="shared" si="82"/>
        <v>Compound Thread Locking (bakerlock)</v>
      </c>
      <c r="W363" s="246" t="s">
        <v>2611</v>
      </c>
      <c r="X363" s="246"/>
      <c r="Y363" s="246"/>
      <c r="Z363" s="246">
        <f t="shared" si="90"/>
        <v>0</v>
      </c>
      <c r="AA363" s="246"/>
      <c r="AB363" s="246">
        <f t="shared" si="83"/>
        <v>0</v>
      </c>
      <c r="AC363" s="246"/>
      <c r="AD363" s="246">
        <f t="shared" si="84"/>
        <v>0</v>
      </c>
      <c r="AE363" s="246"/>
      <c r="AF363" s="2102">
        <f>IF($U363="Yes",'Casings et al'!$F34,'Casings et al'!$L34)</f>
        <v>679.40000000000009</v>
      </c>
      <c r="AG363" s="246"/>
      <c r="AH363" s="246">
        <f t="shared" si="86"/>
        <v>0</v>
      </c>
      <c r="AI363" s="246"/>
      <c r="AJ363" s="246">
        <f t="shared" si="87"/>
        <v>0</v>
      </c>
      <c r="AK363" s="246">
        <f t="shared" si="92"/>
        <v>0</v>
      </c>
      <c r="AL363" s="246"/>
      <c r="AM363" s="246">
        <f t="shared" si="89"/>
        <v>3397.0000000000005</v>
      </c>
      <c r="AN363" s="257"/>
      <c r="AO363" s="296"/>
      <c r="AP363" s="250"/>
      <c r="AQ363" s="250"/>
      <c r="AR363" s="250"/>
      <c r="AS363" s="250"/>
      <c r="AT363" s="250"/>
      <c r="AU363" s="250"/>
      <c r="AV363" s="249"/>
      <c r="AW363" s="249"/>
      <c r="AX363" s="249"/>
      <c r="AY363" s="249"/>
      <c r="AZ363" s="249"/>
      <c r="BA363" s="249"/>
      <c r="BB363" s="249"/>
      <c r="BC363" s="249"/>
      <c r="BD363" s="249"/>
      <c r="BE363" s="249"/>
      <c r="BF363" s="249"/>
      <c r="BG363" s="249"/>
      <c r="BH363" s="249"/>
      <c r="BI363" s="249"/>
      <c r="BJ363" s="249"/>
      <c r="BK363" s="249"/>
      <c r="BL363" s="249"/>
      <c r="BM363" s="249"/>
      <c r="BN363" s="249"/>
      <c r="BO363" s="249"/>
      <c r="BP363" s="249"/>
      <c r="BQ363" s="249"/>
      <c r="BR363" s="249"/>
      <c r="BS363" s="249"/>
      <c r="BT363" s="249"/>
      <c r="BU363" s="249"/>
      <c r="BV363" s="249"/>
      <c r="BW363" s="249"/>
      <c r="BX363" s="249"/>
      <c r="BY363" s="249"/>
      <c r="BZ363" s="249"/>
      <c r="CA363" s="249"/>
      <c r="CB363" s="249"/>
      <c r="CC363" s="249"/>
      <c r="CD363" s="249"/>
      <c r="CE363" s="249"/>
      <c r="CF363" s="249"/>
      <c r="CG363" s="249"/>
      <c r="CH363" s="249"/>
      <c r="CI363" s="249"/>
      <c r="CJ363" s="249"/>
      <c r="CK363" s="249"/>
      <c r="CL363" s="249"/>
      <c r="CM363" s="249"/>
      <c r="CN363" s="249"/>
      <c r="CO363" s="249"/>
      <c r="CP363" s="249"/>
      <c r="CQ363" s="249"/>
      <c r="CR363" s="249"/>
      <c r="CS363" s="249"/>
      <c r="CT363" s="249"/>
      <c r="CU363" s="249"/>
      <c r="CV363" s="249"/>
      <c r="CW363" s="249"/>
      <c r="CX363" s="249"/>
      <c r="CY363" s="249"/>
      <c r="CZ363" s="249"/>
      <c r="DA363" s="249"/>
      <c r="DB363" s="249"/>
      <c r="DC363" s="249"/>
      <c r="DD363" s="249"/>
      <c r="DE363" s="249"/>
      <c r="DF363" s="249"/>
      <c r="DG363" s="249"/>
      <c r="DH363" s="249"/>
      <c r="DI363" s="249"/>
      <c r="DJ363" s="249"/>
      <c r="DK363" s="249"/>
      <c r="DL363" s="249"/>
      <c r="DM363" s="249"/>
      <c r="DN363" s="249"/>
      <c r="DO363" s="249"/>
      <c r="DP363" s="249"/>
      <c r="DQ363" s="249"/>
      <c r="DR363" s="249"/>
      <c r="DS363" s="249"/>
      <c r="DT363" s="249"/>
      <c r="DU363" s="249"/>
      <c r="DV363" s="249"/>
      <c r="DW363" s="249"/>
      <c r="DX363" s="249"/>
      <c r="DY363" s="249"/>
      <c r="DZ363" s="249"/>
      <c r="EA363" s="249"/>
      <c r="EB363" s="249"/>
      <c r="EC363" s="249"/>
      <c r="ED363" s="249"/>
      <c r="EE363" s="249"/>
      <c r="EF363" s="249"/>
      <c r="EG363" s="249"/>
      <c r="EH363" s="249"/>
      <c r="EI363" s="249"/>
      <c r="EJ363" s="249"/>
      <c r="EK363" s="249"/>
      <c r="EL363" s="249"/>
      <c r="EM363" s="249"/>
      <c r="EN363" s="249"/>
      <c r="EO363" s="249"/>
      <c r="EP363" s="249"/>
      <c r="EQ363" s="249"/>
      <c r="ER363" s="249"/>
      <c r="ES363" s="249"/>
      <c r="ET363" s="249"/>
      <c r="EU363" s="249"/>
      <c r="EV363" s="249"/>
      <c r="EW363" s="249"/>
      <c r="EX363" s="249"/>
      <c r="EY363" s="249"/>
      <c r="EZ363" s="249"/>
      <c r="FA363" s="249"/>
      <c r="FB363" s="249"/>
      <c r="FC363" s="249"/>
      <c r="FD363" s="249"/>
      <c r="FE363" s="249"/>
      <c r="FF363" s="249"/>
      <c r="FG363" s="249"/>
      <c r="FH363" s="249"/>
      <c r="FI363" s="249"/>
      <c r="FJ363" s="249"/>
      <c r="FK363" s="249"/>
      <c r="FL363" s="249"/>
      <c r="FM363" s="249"/>
      <c r="FN363" s="249"/>
      <c r="FO363" s="249"/>
      <c r="FP363" s="249"/>
      <c r="FQ363" s="249"/>
      <c r="FR363" s="249"/>
      <c r="FS363" s="249"/>
      <c r="FT363" s="249"/>
      <c r="FU363" s="249"/>
      <c r="FV363" s="249"/>
      <c r="FW363" s="249"/>
      <c r="FX363" s="249"/>
      <c r="FY363" s="249"/>
      <c r="FZ363" s="249"/>
      <c r="GA363" s="249"/>
      <c r="GB363" s="249"/>
      <c r="GC363" s="249"/>
      <c r="GD363" s="249"/>
      <c r="GE363" s="249"/>
      <c r="GF363" s="249"/>
      <c r="GG363" s="249"/>
      <c r="GH363" s="249"/>
      <c r="GI363" s="249"/>
      <c r="GJ363" s="249"/>
      <c r="GK363" s="249"/>
      <c r="GL363" s="249"/>
      <c r="GM363" s="249"/>
      <c r="GN363" s="249"/>
      <c r="GO363" s="249"/>
      <c r="GP363" s="249"/>
      <c r="GQ363" s="249"/>
      <c r="GR363" s="249"/>
    </row>
    <row r="364" spans="1:200" s="252" customFormat="1" ht="12.75" customHeight="1" x14ac:dyDescent="0.2">
      <c r="A364" s="709"/>
      <c r="B364" s="1110"/>
      <c r="C364" s="1110"/>
      <c r="D364" s="257"/>
      <c r="E364" s="617"/>
      <c r="F364" s="296"/>
      <c r="G364" s="250"/>
      <c r="H364" s="250"/>
      <c r="I364" s="250"/>
      <c r="J364" s="250"/>
      <c r="K364" s="250"/>
      <c r="L364" s="250"/>
      <c r="M364" s="250"/>
      <c r="N364" s="250"/>
      <c r="O364" s="250"/>
      <c r="P364" s="251"/>
      <c r="Q364" s="251"/>
      <c r="R364" s="251"/>
      <c r="S364" s="251"/>
      <c r="T364" s="251"/>
      <c r="U364" s="1971" t="str">
        <f t="shared" si="81"/>
        <v>Yes</v>
      </c>
      <c r="V364" s="1971" t="str">
        <f t="shared" si="82"/>
        <v>Compound Thread Sealant (PTC)</v>
      </c>
      <c r="W364" s="246" t="s">
        <v>2611</v>
      </c>
      <c r="X364" s="246"/>
      <c r="Y364" s="246"/>
      <c r="Z364" s="246">
        <f t="shared" si="90"/>
        <v>0</v>
      </c>
      <c r="AA364" s="246"/>
      <c r="AB364" s="246">
        <f t="shared" si="83"/>
        <v>0</v>
      </c>
      <c r="AC364" s="246"/>
      <c r="AD364" s="246">
        <f t="shared" si="84"/>
        <v>0</v>
      </c>
      <c r="AE364" s="246"/>
      <c r="AF364" s="2102">
        <f>IF($U364="Yes",'Casings et al'!$F35,'Casings et al'!$L35)</f>
        <v>10015.318421052631</v>
      </c>
      <c r="AG364" s="246"/>
      <c r="AH364" s="246">
        <f t="shared" si="86"/>
        <v>0</v>
      </c>
      <c r="AI364" s="246"/>
      <c r="AJ364" s="246">
        <f t="shared" si="87"/>
        <v>0</v>
      </c>
      <c r="AK364" s="246">
        <f t="shared" si="92"/>
        <v>0</v>
      </c>
      <c r="AL364" s="246"/>
      <c r="AM364" s="246">
        <f t="shared" si="89"/>
        <v>10015.318421052631</v>
      </c>
      <c r="AN364" s="257"/>
      <c r="AO364" s="296"/>
      <c r="AP364" s="250"/>
      <c r="AQ364" s="250"/>
      <c r="AR364" s="250"/>
      <c r="AS364" s="250"/>
      <c r="AT364" s="250"/>
      <c r="AU364" s="250"/>
      <c r="AV364" s="249"/>
      <c r="AW364" s="249"/>
      <c r="AX364" s="249"/>
      <c r="AY364" s="249"/>
      <c r="AZ364" s="249"/>
      <c r="BA364" s="249"/>
      <c r="BB364" s="249"/>
      <c r="BC364" s="249"/>
      <c r="BD364" s="249"/>
      <c r="BE364" s="249"/>
      <c r="BF364" s="249"/>
      <c r="BG364" s="249"/>
      <c r="BH364" s="249"/>
      <c r="BI364" s="249"/>
      <c r="BJ364" s="249"/>
      <c r="BK364" s="249"/>
      <c r="BL364" s="249"/>
      <c r="BM364" s="249"/>
      <c r="BN364" s="249"/>
      <c r="BO364" s="249"/>
      <c r="BP364" s="249"/>
      <c r="BQ364" s="249"/>
      <c r="BR364" s="249"/>
      <c r="BS364" s="249"/>
      <c r="BT364" s="249"/>
      <c r="BU364" s="249"/>
      <c r="BV364" s="249"/>
      <c r="BW364" s="249"/>
      <c r="BX364" s="249"/>
      <c r="BY364" s="249"/>
      <c r="BZ364" s="249"/>
      <c r="CA364" s="249"/>
      <c r="CB364" s="249"/>
      <c r="CC364" s="249"/>
      <c r="CD364" s="249"/>
      <c r="CE364" s="249"/>
      <c r="CF364" s="249"/>
      <c r="CG364" s="249"/>
      <c r="CH364" s="249"/>
      <c r="CI364" s="249"/>
      <c r="CJ364" s="249"/>
      <c r="CK364" s="249"/>
      <c r="CL364" s="249"/>
      <c r="CM364" s="249"/>
      <c r="CN364" s="249"/>
      <c r="CO364" s="249"/>
      <c r="CP364" s="249"/>
      <c r="CQ364" s="249"/>
      <c r="CR364" s="249"/>
      <c r="CS364" s="249"/>
      <c r="CT364" s="249"/>
      <c r="CU364" s="249"/>
      <c r="CV364" s="249"/>
      <c r="CW364" s="249"/>
      <c r="CX364" s="249"/>
      <c r="CY364" s="249"/>
      <c r="CZ364" s="249"/>
      <c r="DA364" s="249"/>
      <c r="DB364" s="249"/>
      <c r="DC364" s="249"/>
      <c r="DD364" s="249"/>
      <c r="DE364" s="249"/>
      <c r="DF364" s="249"/>
      <c r="DG364" s="249"/>
      <c r="DH364" s="249"/>
      <c r="DI364" s="249"/>
      <c r="DJ364" s="249"/>
      <c r="DK364" s="249"/>
      <c r="DL364" s="249"/>
      <c r="DM364" s="249"/>
      <c r="DN364" s="249"/>
      <c r="DO364" s="249"/>
      <c r="DP364" s="249"/>
      <c r="DQ364" s="249"/>
      <c r="DR364" s="249"/>
      <c r="DS364" s="249"/>
      <c r="DT364" s="249"/>
      <c r="DU364" s="249"/>
      <c r="DV364" s="249"/>
      <c r="DW364" s="249"/>
      <c r="DX364" s="249"/>
      <c r="DY364" s="249"/>
      <c r="DZ364" s="249"/>
      <c r="EA364" s="249"/>
      <c r="EB364" s="249"/>
      <c r="EC364" s="249"/>
      <c r="ED364" s="249"/>
      <c r="EE364" s="249"/>
      <c r="EF364" s="249"/>
      <c r="EG364" s="249"/>
      <c r="EH364" s="249"/>
      <c r="EI364" s="249"/>
      <c r="EJ364" s="249"/>
      <c r="EK364" s="249"/>
      <c r="EL364" s="249"/>
      <c r="EM364" s="249"/>
      <c r="EN364" s="249"/>
      <c r="EO364" s="249"/>
      <c r="EP364" s="249"/>
      <c r="EQ364" s="249"/>
      <c r="ER364" s="249"/>
      <c r="ES364" s="249"/>
      <c r="ET364" s="249"/>
      <c r="EU364" s="249"/>
      <c r="EV364" s="249"/>
      <c r="EW364" s="249"/>
      <c r="EX364" s="249"/>
      <c r="EY364" s="249"/>
      <c r="EZ364" s="249"/>
      <c r="FA364" s="249"/>
      <c r="FB364" s="249"/>
      <c r="FC364" s="249"/>
      <c r="FD364" s="249"/>
      <c r="FE364" s="249"/>
      <c r="FF364" s="249"/>
      <c r="FG364" s="249"/>
      <c r="FH364" s="249"/>
      <c r="FI364" s="249"/>
      <c r="FJ364" s="249"/>
      <c r="FK364" s="249"/>
      <c r="FL364" s="249"/>
      <c r="FM364" s="249"/>
      <c r="FN364" s="249"/>
      <c r="FO364" s="249"/>
      <c r="FP364" s="249"/>
      <c r="FQ364" s="249"/>
      <c r="FR364" s="249"/>
      <c r="FS364" s="249"/>
      <c r="FT364" s="249"/>
      <c r="FU364" s="249"/>
      <c r="FV364" s="249"/>
      <c r="FW364" s="249"/>
      <c r="FX364" s="249"/>
      <c r="FY364" s="249"/>
      <c r="FZ364" s="249"/>
      <c r="GA364" s="249"/>
      <c r="GB364" s="249"/>
      <c r="GC364" s="249"/>
      <c r="GD364" s="249"/>
      <c r="GE364" s="249"/>
      <c r="GF364" s="249"/>
      <c r="GG364" s="249"/>
      <c r="GH364" s="249"/>
      <c r="GI364" s="249"/>
      <c r="GJ364" s="249"/>
      <c r="GK364" s="249"/>
      <c r="GL364" s="249"/>
      <c r="GM364" s="249"/>
      <c r="GN364" s="249"/>
      <c r="GO364" s="249"/>
      <c r="GP364" s="249"/>
      <c r="GQ364" s="249"/>
      <c r="GR364" s="249"/>
    </row>
    <row r="365" spans="1:200" s="252" customFormat="1" ht="12.75" customHeight="1" x14ac:dyDescent="0.2">
      <c r="A365" s="709"/>
      <c r="B365" s="1110"/>
      <c r="C365" s="1110"/>
      <c r="D365" s="257"/>
      <c r="E365" s="617"/>
      <c r="F365" s="296"/>
      <c r="G365" s="250"/>
      <c r="H365" s="250"/>
      <c r="I365" s="250"/>
      <c r="J365" s="250"/>
      <c r="K365" s="250"/>
      <c r="L365" s="250"/>
      <c r="M365" s="250"/>
      <c r="N365" s="250"/>
      <c r="O365" s="250"/>
      <c r="P365" s="251"/>
      <c r="Q365" s="251"/>
      <c r="R365" s="251"/>
      <c r="S365" s="251"/>
      <c r="T365" s="251"/>
      <c r="U365" s="1971" t="str">
        <f t="shared" si="81"/>
        <v>Yes</v>
      </c>
      <c r="V365" s="1971" t="str">
        <f t="shared" si="82"/>
        <v>8-5/8" OD Casing; 24 PPF, Grade K55 (Perforated)</v>
      </c>
      <c r="W365" s="246" t="s">
        <v>2611</v>
      </c>
      <c r="X365" s="246"/>
      <c r="Y365" s="246"/>
      <c r="Z365" s="246">
        <f t="shared" si="90"/>
        <v>0</v>
      </c>
      <c r="AA365" s="246"/>
      <c r="AB365" s="246">
        <f t="shared" si="83"/>
        <v>0</v>
      </c>
      <c r="AC365" s="246"/>
      <c r="AD365" s="246">
        <f t="shared" si="84"/>
        <v>0</v>
      </c>
      <c r="AE365" s="246"/>
      <c r="AF365" s="246">
        <f t="shared" si="85"/>
        <v>0</v>
      </c>
      <c r="AG365" s="246"/>
      <c r="AH365" s="2102">
        <f>IF(DOUBLE_LINER="No",0,IF($U365="Yes",'Casings et al'!$F36,'Casings et al'!$L36))</f>
        <v>27381.5</v>
      </c>
      <c r="AI365" s="246"/>
      <c r="AJ365" s="246">
        <f t="shared" si="87"/>
        <v>0</v>
      </c>
      <c r="AK365" s="246">
        <f t="shared" si="92"/>
        <v>0</v>
      </c>
      <c r="AL365" s="246"/>
      <c r="AM365" s="246">
        <f t="shared" si="89"/>
        <v>1533364</v>
      </c>
      <c r="AN365" s="257"/>
      <c r="AO365" s="296"/>
      <c r="AP365" s="250"/>
      <c r="AQ365" s="250"/>
      <c r="AR365" s="250"/>
      <c r="AS365" s="250"/>
      <c r="AT365" s="250"/>
      <c r="AU365" s="250"/>
      <c r="AV365" s="249"/>
      <c r="AW365" s="249"/>
      <c r="AX365" s="249"/>
      <c r="AY365" s="249"/>
      <c r="AZ365" s="249"/>
      <c r="BA365" s="249"/>
      <c r="BB365" s="249"/>
      <c r="BC365" s="249"/>
      <c r="BD365" s="249"/>
      <c r="BE365" s="249"/>
      <c r="BF365" s="249"/>
      <c r="BG365" s="249"/>
      <c r="BH365" s="249"/>
      <c r="BI365" s="249"/>
      <c r="BJ365" s="249"/>
      <c r="BK365" s="249"/>
      <c r="BL365" s="249"/>
      <c r="BM365" s="249"/>
      <c r="BN365" s="249"/>
      <c r="BO365" s="249"/>
      <c r="BP365" s="249"/>
      <c r="BQ365" s="249"/>
      <c r="BR365" s="249"/>
      <c r="BS365" s="249"/>
      <c r="BT365" s="249"/>
      <c r="BU365" s="249"/>
      <c r="BV365" s="249"/>
      <c r="BW365" s="249"/>
      <c r="BX365" s="249"/>
      <c r="BY365" s="249"/>
      <c r="BZ365" s="249"/>
      <c r="CA365" s="249"/>
      <c r="CB365" s="249"/>
      <c r="CC365" s="249"/>
      <c r="CD365" s="249"/>
      <c r="CE365" s="249"/>
      <c r="CF365" s="249"/>
      <c r="CG365" s="249"/>
      <c r="CH365" s="249"/>
      <c r="CI365" s="249"/>
      <c r="CJ365" s="249"/>
      <c r="CK365" s="249"/>
      <c r="CL365" s="249"/>
      <c r="CM365" s="249"/>
      <c r="CN365" s="249"/>
      <c r="CO365" s="249"/>
      <c r="CP365" s="249"/>
      <c r="CQ365" s="249"/>
      <c r="CR365" s="249"/>
      <c r="CS365" s="249"/>
      <c r="CT365" s="249"/>
      <c r="CU365" s="249"/>
      <c r="CV365" s="249"/>
      <c r="CW365" s="249"/>
      <c r="CX365" s="249"/>
      <c r="CY365" s="249"/>
      <c r="CZ365" s="249"/>
      <c r="DA365" s="249"/>
      <c r="DB365" s="249"/>
      <c r="DC365" s="249"/>
      <c r="DD365" s="249"/>
      <c r="DE365" s="249"/>
      <c r="DF365" s="249"/>
      <c r="DG365" s="249"/>
      <c r="DH365" s="249"/>
      <c r="DI365" s="249"/>
      <c r="DJ365" s="249"/>
      <c r="DK365" s="249"/>
      <c r="DL365" s="249"/>
      <c r="DM365" s="249"/>
      <c r="DN365" s="249"/>
      <c r="DO365" s="249"/>
      <c r="DP365" s="249"/>
      <c r="DQ365" s="249"/>
      <c r="DR365" s="249"/>
      <c r="DS365" s="249"/>
      <c r="DT365" s="249"/>
      <c r="DU365" s="249"/>
      <c r="DV365" s="249"/>
      <c r="DW365" s="249"/>
      <c r="DX365" s="249"/>
      <c r="DY365" s="249"/>
      <c r="DZ365" s="249"/>
      <c r="EA365" s="249"/>
      <c r="EB365" s="249"/>
      <c r="EC365" s="249"/>
      <c r="ED365" s="249"/>
      <c r="EE365" s="249"/>
      <c r="EF365" s="249"/>
      <c r="EG365" s="249"/>
      <c r="EH365" s="249"/>
      <c r="EI365" s="249"/>
      <c r="EJ365" s="249"/>
      <c r="EK365" s="249"/>
      <c r="EL365" s="249"/>
      <c r="EM365" s="249"/>
      <c r="EN365" s="249"/>
      <c r="EO365" s="249"/>
      <c r="EP365" s="249"/>
      <c r="EQ365" s="249"/>
      <c r="ER365" s="249"/>
      <c r="ES365" s="249"/>
      <c r="ET365" s="249"/>
      <c r="EU365" s="249"/>
      <c r="EV365" s="249"/>
      <c r="EW365" s="249"/>
      <c r="EX365" s="249"/>
      <c r="EY365" s="249"/>
      <c r="EZ365" s="249"/>
      <c r="FA365" s="249"/>
      <c r="FB365" s="249"/>
      <c r="FC365" s="249"/>
      <c r="FD365" s="249"/>
      <c r="FE365" s="249"/>
      <c r="FF365" s="249"/>
      <c r="FG365" s="249"/>
      <c r="FH365" s="249"/>
      <c r="FI365" s="249"/>
      <c r="FJ365" s="249"/>
      <c r="FK365" s="249"/>
      <c r="FL365" s="249"/>
      <c r="FM365" s="249"/>
      <c r="FN365" s="249"/>
      <c r="FO365" s="249"/>
      <c r="FP365" s="249"/>
      <c r="FQ365" s="249"/>
      <c r="FR365" s="249"/>
      <c r="FS365" s="249"/>
      <c r="FT365" s="249"/>
      <c r="FU365" s="249"/>
      <c r="FV365" s="249"/>
      <c r="FW365" s="249"/>
      <c r="FX365" s="249"/>
      <c r="FY365" s="249"/>
      <c r="FZ365" s="249"/>
      <c r="GA365" s="249"/>
      <c r="GB365" s="249"/>
      <c r="GC365" s="249"/>
      <c r="GD365" s="249"/>
      <c r="GE365" s="249"/>
      <c r="GF365" s="249"/>
      <c r="GG365" s="249"/>
      <c r="GH365" s="249"/>
      <c r="GI365" s="249"/>
      <c r="GJ365" s="249"/>
      <c r="GK365" s="249"/>
      <c r="GL365" s="249"/>
      <c r="GM365" s="249"/>
      <c r="GN365" s="249"/>
      <c r="GO365" s="249"/>
      <c r="GP365" s="249"/>
      <c r="GQ365" s="249"/>
      <c r="GR365" s="249"/>
    </row>
    <row r="366" spans="1:200" s="252" customFormat="1" ht="12.75" customHeight="1" x14ac:dyDescent="0.2">
      <c r="A366" s="709"/>
      <c r="B366" s="1110"/>
      <c r="C366" s="1110"/>
      <c r="D366" s="257"/>
      <c r="E366" s="617"/>
      <c r="F366" s="296"/>
      <c r="G366" s="250"/>
      <c r="H366" s="250"/>
      <c r="I366" s="250"/>
      <c r="J366" s="250"/>
      <c r="K366" s="250"/>
      <c r="L366" s="250"/>
      <c r="M366" s="250"/>
      <c r="N366" s="250"/>
      <c r="O366" s="250"/>
      <c r="P366" s="251"/>
      <c r="Q366" s="251"/>
      <c r="R366" s="251"/>
      <c r="S366" s="251"/>
      <c r="T366" s="251"/>
      <c r="U366" s="1971" t="str">
        <f t="shared" si="81"/>
        <v>Yes</v>
      </c>
      <c r="V366" s="1971" t="str">
        <f t="shared" si="82"/>
        <v>8-5/8" Guide Shoe</v>
      </c>
      <c r="W366" s="246" t="s">
        <v>2611</v>
      </c>
      <c r="X366" s="246"/>
      <c r="Y366" s="246"/>
      <c r="Z366" s="246">
        <f t="shared" si="90"/>
        <v>0</v>
      </c>
      <c r="AA366" s="246"/>
      <c r="AB366" s="246">
        <f t="shared" si="83"/>
        <v>0</v>
      </c>
      <c r="AC366" s="246"/>
      <c r="AD366" s="246">
        <f t="shared" si="84"/>
        <v>0</v>
      </c>
      <c r="AE366" s="246"/>
      <c r="AF366" s="246">
        <f t="shared" si="85"/>
        <v>0</v>
      </c>
      <c r="AG366" s="246"/>
      <c r="AH366" s="2102">
        <f>IF(DOUBLE_LINER="No",0,IF($U366="Yes",'Casings et al'!$F37,'Casings et al'!$L37))</f>
        <v>23343.065000000002</v>
      </c>
      <c r="AI366" s="246"/>
      <c r="AJ366" s="246">
        <f t="shared" si="87"/>
        <v>0</v>
      </c>
      <c r="AK366" s="246">
        <f t="shared" si="92"/>
        <v>0</v>
      </c>
      <c r="AL366" s="246"/>
      <c r="AM366" s="246">
        <f t="shared" si="89"/>
        <v>23343.065000000002</v>
      </c>
      <c r="AN366" s="257"/>
      <c r="AO366" s="296"/>
      <c r="AP366" s="250"/>
      <c r="AQ366" s="250"/>
      <c r="AR366" s="250"/>
      <c r="AS366" s="250"/>
      <c r="AT366" s="250"/>
      <c r="AU366" s="250"/>
      <c r="AV366" s="249"/>
      <c r="AW366" s="249"/>
      <c r="AX366" s="249"/>
      <c r="AY366" s="249"/>
      <c r="AZ366" s="249"/>
      <c r="BA366" s="249"/>
      <c r="BB366" s="249"/>
      <c r="BC366" s="249"/>
      <c r="BD366" s="249"/>
      <c r="BE366" s="249"/>
      <c r="BF366" s="249"/>
      <c r="BG366" s="249"/>
      <c r="BH366" s="249"/>
      <c r="BI366" s="249"/>
      <c r="BJ366" s="249"/>
      <c r="BK366" s="249"/>
      <c r="BL366" s="249"/>
      <c r="BM366" s="249"/>
      <c r="BN366" s="249"/>
      <c r="BO366" s="249"/>
      <c r="BP366" s="249"/>
      <c r="BQ366" s="249"/>
      <c r="BR366" s="249"/>
      <c r="BS366" s="249"/>
      <c r="BT366" s="249"/>
      <c r="BU366" s="249"/>
      <c r="BV366" s="249"/>
      <c r="BW366" s="249"/>
      <c r="BX366" s="249"/>
      <c r="BY366" s="249"/>
      <c r="BZ366" s="249"/>
      <c r="CA366" s="249"/>
      <c r="CB366" s="249"/>
      <c r="CC366" s="249"/>
      <c r="CD366" s="249"/>
      <c r="CE366" s="249"/>
      <c r="CF366" s="249"/>
      <c r="CG366" s="249"/>
      <c r="CH366" s="249"/>
      <c r="CI366" s="249"/>
      <c r="CJ366" s="249"/>
      <c r="CK366" s="249"/>
      <c r="CL366" s="249"/>
      <c r="CM366" s="249"/>
      <c r="CN366" s="249"/>
      <c r="CO366" s="249"/>
      <c r="CP366" s="249"/>
      <c r="CQ366" s="249"/>
      <c r="CR366" s="249"/>
      <c r="CS366" s="249"/>
      <c r="CT366" s="249"/>
      <c r="CU366" s="249"/>
      <c r="CV366" s="249"/>
      <c r="CW366" s="249"/>
      <c r="CX366" s="249"/>
      <c r="CY366" s="249"/>
      <c r="CZ366" s="249"/>
      <c r="DA366" s="249"/>
      <c r="DB366" s="249"/>
      <c r="DC366" s="249"/>
      <c r="DD366" s="249"/>
      <c r="DE366" s="249"/>
      <c r="DF366" s="249"/>
      <c r="DG366" s="249"/>
      <c r="DH366" s="249"/>
      <c r="DI366" s="249"/>
      <c r="DJ366" s="249"/>
      <c r="DK366" s="249"/>
      <c r="DL366" s="249"/>
      <c r="DM366" s="249"/>
      <c r="DN366" s="249"/>
      <c r="DO366" s="249"/>
      <c r="DP366" s="249"/>
      <c r="DQ366" s="249"/>
      <c r="DR366" s="249"/>
      <c r="DS366" s="249"/>
      <c r="DT366" s="249"/>
      <c r="DU366" s="249"/>
      <c r="DV366" s="249"/>
      <c r="DW366" s="249"/>
      <c r="DX366" s="249"/>
      <c r="DY366" s="249"/>
      <c r="DZ366" s="249"/>
      <c r="EA366" s="249"/>
      <c r="EB366" s="249"/>
      <c r="EC366" s="249"/>
      <c r="ED366" s="249"/>
      <c r="EE366" s="249"/>
      <c r="EF366" s="249"/>
      <c r="EG366" s="249"/>
      <c r="EH366" s="249"/>
      <c r="EI366" s="249"/>
      <c r="EJ366" s="249"/>
      <c r="EK366" s="249"/>
      <c r="EL366" s="249"/>
      <c r="EM366" s="249"/>
      <c r="EN366" s="249"/>
      <c r="EO366" s="249"/>
      <c r="EP366" s="249"/>
      <c r="EQ366" s="249"/>
      <c r="ER366" s="249"/>
      <c r="ES366" s="249"/>
      <c r="ET366" s="249"/>
      <c r="EU366" s="249"/>
      <c r="EV366" s="249"/>
      <c r="EW366" s="249"/>
      <c r="EX366" s="249"/>
      <c r="EY366" s="249"/>
      <c r="EZ366" s="249"/>
      <c r="FA366" s="249"/>
      <c r="FB366" s="249"/>
      <c r="FC366" s="249"/>
      <c r="FD366" s="249"/>
      <c r="FE366" s="249"/>
      <c r="FF366" s="249"/>
      <c r="FG366" s="249"/>
      <c r="FH366" s="249"/>
      <c r="FI366" s="249"/>
      <c r="FJ366" s="249"/>
      <c r="FK366" s="249"/>
      <c r="FL366" s="249"/>
      <c r="FM366" s="249"/>
      <c r="FN366" s="249"/>
      <c r="FO366" s="249"/>
      <c r="FP366" s="249"/>
      <c r="FQ366" s="249"/>
      <c r="FR366" s="249"/>
      <c r="FS366" s="249"/>
      <c r="FT366" s="249"/>
      <c r="FU366" s="249"/>
      <c r="FV366" s="249"/>
      <c r="FW366" s="249"/>
      <c r="FX366" s="249"/>
      <c r="FY366" s="249"/>
      <c r="FZ366" s="249"/>
      <c r="GA366" s="249"/>
      <c r="GB366" s="249"/>
      <c r="GC366" s="249"/>
      <c r="GD366" s="249"/>
      <c r="GE366" s="249"/>
      <c r="GF366" s="249"/>
      <c r="GG366" s="249"/>
      <c r="GH366" s="249"/>
      <c r="GI366" s="249"/>
      <c r="GJ366" s="249"/>
      <c r="GK366" s="249"/>
      <c r="GL366" s="249"/>
      <c r="GM366" s="249"/>
      <c r="GN366" s="249"/>
      <c r="GO366" s="249"/>
      <c r="GP366" s="249"/>
      <c r="GQ366" s="249"/>
      <c r="GR366" s="249"/>
    </row>
    <row r="367" spans="1:200" s="252" customFormat="1" ht="12.75" customHeight="1" x14ac:dyDescent="0.2">
      <c r="A367" s="709"/>
      <c r="B367" s="1110"/>
      <c r="C367" s="1110"/>
      <c r="D367" s="257"/>
      <c r="E367" s="617"/>
      <c r="F367" s="296"/>
      <c r="G367" s="250"/>
      <c r="H367" s="250"/>
      <c r="I367" s="250"/>
      <c r="J367" s="250"/>
      <c r="K367" s="250"/>
      <c r="L367" s="250"/>
      <c r="M367" s="250"/>
      <c r="N367" s="250"/>
      <c r="O367" s="250"/>
      <c r="P367" s="251"/>
      <c r="Q367" s="251"/>
      <c r="R367" s="251"/>
      <c r="S367" s="251"/>
      <c r="T367" s="251"/>
      <c r="U367" s="1971" t="str">
        <f t="shared" si="81"/>
        <v>Yes</v>
      </c>
      <c r="V367" s="1971" t="str">
        <f t="shared" si="82"/>
        <v>8-5/8" x 10-3/4" Liner Hanger/Adaptor</v>
      </c>
      <c r="W367" s="246" t="s">
        <v>2611</v>
      </c>
      <c r="X367" s="246"/>
      <c r="Y367" s="246"/>
      <c r="Z367" s="246">
        <f t="shared" si="90"/>
        <v>0</v>
      </c>
      <c r="AA367" s="246"/>
      <c r="AB367" s="246">
        <f t="shared" si="83"/>
        <v>0</v>
      </c>
      <c r="AC367" s="246"/>
      <c r="AD367" s="246">
        <f t="shared" si="84"/>
        <v>0</v>
      </c>
      <c r="AE367" s="246"/>
      <c r="AF367" s="246">
        <f t="shared" si="85"/>
        <v>0</v>
      </c>
      <c r="AG367" s="246"/>
      <c r="AH367" s="2102">
        <f>IF(DOUBLE_LINER="No",0,IF($U367="Yes",'Casings et al'!$F38,'Casings et al'!$L38))</f>
        <v>291224.89500000002</v>
      </c>
      <c r="AI367" s="246"/>
      <c r="AJ367" s="246">
        <f t="shared" si="87"/>
        <v>0</v>
      </c>
      <c r="AK367" s="246">
        <f t="shared" si="92"/>
        <v>0</v>
      </c>
      <c r="AL367" s="246"/>
      <c r="AM367" s="246">
        <f t="shared" si="89"/>
        <v>291224.89500000002</v>
      </c>
      <c r="AN367" s="257"/>
      <c r="AO367" s="296"/>
      <c r="AP367" s="250"/>
      <c r="AQ367" s="250"/>
      <c r="AR367" s="250"/>
      <c r="AS367" s="250"/>
      <c r="AT367" s="250"/>
      <c r="AU367" s="250"/>
      <c r="AV367" s="249"/>
      <c r="AW367" s="249"/>
      <c r="AX367" s="249"/>
      <c r="AY367" s="249"/>
      <c r="AZ367" s="249"/>
      <c r="BA367" s="249"/>
      <c r="BB367" s="249"/>
      <c r="BC367" s="249"/>
      <c r="BD367" s="249"/>
      <c r="BE367" s="249"/>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c r="CO367" s="249"/>
      <c r="CP367" s="249"/>
      <c r="CQ367" s="249"/>
      <c r="CR367" s="249"/>
      <c r="CS367" s="249"/>
      <c r="CT367" s="249"/>
      <c r="CU367" s="249"/>
      <c r="CV367" s="249"/>
      <c r="CW367" s="249"/>
      <c r="CX367" s="249"/>
      <c r="CY367" s="249"/>
      <c r="CZ367" s="249"/>
      <c r="DA367" s="249"/>
      <c r="DB367" s="249"/>
      <c r="DC367" s="249"/>
      <c r="DD367" s="249"/>
      <c r="DE367" s="249"/>
      <c r="DF367" s="249"/>
      <c r="DG367" s="249"/>
      <c r="DH367" s="249"/>
      <c r="DI367" s="249"/>
      <c r="DJ367" s="249"/>
      <c r="DK367" s="249"/>
      <c r="DL367" s="249"/>
      <c r="DM367" s="249"/>
      <c r="DN367" s="249"/>
      <c r="DO367" s="249"/>
      <c r="DP367" s="249"/>
      <c r="DQ367" s="249"/>
      <c r="DR367" s="249"/>
      <c r="DS367" s="249"/>
      <c r="DT367" s="249"/>
      <c r="DU367" s="249"/>
      <c r="DV367" s="249"/>
      <c r="DW367" s="249"/>
      <c r="DX367" s="249"/>
      <c r="DY367" s="249"/>
      <c r="DZ367" s="249"/>
      <c r="EA367" s="249"/>
      <c r="EB367" s="249"/>
      <c r="EC367" s="249"/>
      <c r="ED367" s="249"/>
      <c r="EE367" s="249"/>
      <c r="EF367" s="249"/>
      <c r="EG367" s="249"/>
      <c r="EH367" s="249"/>
      <c r="EI367" s="249"/>
      <c r="EJ367" s="249"/>
      <c r="EK367" s="249"/>
      <c r="EL367" s="249"/>
      <c r="EM367" s="249"/>
      <c r="EN367" s="249"/>
      <c r="EO367" s="249"/>
      <c r="EP367" s="249"/>
      <c r="EQ367" s="249"/>
      <c r="ER367" s="249"/>
      <c r="ES367" s="249"/>
      <c r="ET367" s="249"/>
      <c r="EU367" s="249"/>
      <c r="EV367" s="249"/>
      <c r="EW367" s="249"/>
      <c r="EX367" s="249"/>
      <c r="EY367" s="249"/>
      <c r="EZ367" s="249"/>
      <c r="FA367" s="249"/>
      <c r="FB367" s="249"/>
      <c r="FC367" s="249"/>
      <c r="FD367" s="249"/>
      <c r="FE367" s="249"/>
      <c r="FF367" s="249"/>
      <c r="FG367" s="249"/>
      <c r="FH367" s="249"/>
      <c r="FI367" s="249"/>
      <c r="FJ367" s="249"/>
      <c r="FK367" s="249"/>
      <c r="FL367" s="249"/>
      <c r="FM367" s="249"/>
      <c r="FN367" s="249"/>
      <c r="FO367" s="249"/>
      <c r="FP367" s="249"/>
      <c r="FQ367" s="249"/>
      <c r="FR367" s="249"/>
      <c r="FS367" s="249"/>
      <c r="FT367" s="249"/>
      <c r="FU367" s="249"/>
      <c r="FV367" s="249"/>
      <c r="FW367" s="249"/>
      <c r="FX367" s="249"/>
      <c r="FY367" s="249"/>
      <c r="FZ367" s="249"/>
      <c r="GA367" s="249"/>
      <c r="GB367" s="249"/>
      <c r="GC367" s="249"/>
      <c r="GD367" s="249"/>
      <c r="GE367" s="249"/>
      <c r="GF367" s="249"/>
      <c r="GG367" s="249"/>
      <c r="GH367" s="249"/>
      <c r="GI367" s="249"/>
      <c r="GJ367" s="249"/>
      <c r="GK367" s="249"/>
      <c r="GL367" s="249"/>
      <c r="GM367" s="249"/>
      <c r="GN367" s="249"/>
      <c r="GO367" s="249"/>
      <c r="GP367" s="249"/>
      <c r="GQ367" s="249"/>
      <c r="GR367" s="249"/>
    </row>
    <row r="368" spans="1:200" s="252" customFormat="1" ht="12.75" customHeight="1" x14ac:dyDescent="0.2">
      <c r="A368" s="709"/>
      <c r="B368" s="1110"/>
      <c r="C368" s="1110"/>
      <c r="D368" s="257"/>
      <c r="E368" s="617"/>
      <c r="F368" s="296"/>
      <c r="G368" s="250"/>
      <c r="H368" s="250"/>
      <c r="I368" s="250"/>
      <c r="J368" s="250"/>
      <c r="K368" s="250"/>
      <c r="L368" s="250"/>
      <c r="M368" s="250"/>
      <c r="N368" s="250"/>
      <c r="O368" s="250"/>
      <c r="P368" s="251"/>
      <c r="Q368" s="251"/>
      <c r="R368" s="251"/>
      <c r="S368" s="251"/>
      <c r="T368" s="251"/>
      <c r="U368" s="1971" t="str">
        <f t="shared" si="81"/>
        <v>Yes</v>
      </c>
      <c r="V368" s="1971" t="str">
        <f t="shared" si="82"/>
        <v>9-5/8" OD Casing; 43.5 PPF, Grade L80 (Perforated) BTC</v>
      </c>
      <c r="W368" s="246" t="s">
        <v>2611</v>
      </c>
      <c r="X368" s="246"/>
      <c r="Y368" s="246"/>
      <c r="Z368" s="246">
        <f t="shared" si="90"/>
        <v>0</v>
      </c>
      <c r="AA368" s="246"/>
      <c r="AB368" s="246">
        <f t="shared" si="83"/>
        <v>0</v>
      </c>
      <c r="AC368" s="246"/>
      <c r="AD368" s="246">
        <f t="shared" si="84"/>
        <v>0</v>
      </c>
      <c r="AE368" s="246"/>
      <c r="AF368" s="246">
        <f t="shared" si="85"/>
        <v>0</v>
      </c>
      <c r="AG368" s="246"/>
      <c r="AH368" s="246">
        <f t="shared" si="86"/>
        <v>0</v>
      </c>
      <c r="AI368" s="246"/>
      <c r="AJ368" s="246">
        <f t="shared" si="87"/>
        <v>0</v>
      </c>
      <c r="AK368" s="246">
        <f t="shared" si="92"/>
        <v>0</v>
      </c>
      <c r="AL368" s="246"/>
      <c r="AM368" s="246">
        <f t="shared" ref="AM368:AM382" si="93">SUM(X368:AL368)</f>
        <v>0</v>
      </c>
      <c r="AN368" s="257"/>
      <c r="AO368" s="296"/>
      <c r="AP368" s="250"/>
      <c r="AQ368" s="250"/>
      <c r="AR368" s="250"/>
      <c r="AS368" s="250"/>
      <c r="AT368" s="250"/>
      <c r="AU368" s="250"/>
      <c r="AV368" s="249"/>
      <c r="AW368" s="249"/>
      <c r="AX368" s="249"/>
      <c r="AY368" s="249"/>
      <c r="AZ368" s="249"/>
      <c r="BA368" s="249"/>
      <c r="BB368" s="249"/>
      <c r="BC368" s="249"/>
      <c r="BD368" s="249"/>
      <c r="BE368" s="249"/>
      <c r="BF368" s="249"/>
      <c r="BG368" s="249"/>
      <c r="BH368" s="249"/>
      <c r="BI368" s="249"/>
      <c r="BJ368" s="249"/>
      <c r="BK368" s="249"/>
      <c r="BL368" s="249"/>
      <c r="BM368" s="249"/>
      <c r="BN368" s="249"/>
      <c r="BO368" s="249"/>
      <c r="BP368" s="249"/>
      <c r="BQ368" s="249"/>
      <c r="BR368" s="249"/>
      <c r="BS368" s="249"/>
      <c r="BT368" s="249"/>
      <c r="BU368" s="249"/>
      <c r="BV368" s="249"/>
      <c r="BW368" s="249"/>
      <c r="BX368" s="249"/>
      <c r="BY368" s="249"/>
      <c r="BZ368" s="249"/>
      <c r="CA368" s="249"/>
      <c r="CB368" s="249"/>
      <c r="CC368" s="249"/>
      <c r="CD368" s="249"/>
      <c r="CE368" s="249"/>
      <c r="CF368" s="249"/>
      <c r="CG368" s="249"/>
      <c r="CH368" s="249"/>
      <c r="CI368" s="249"/>
      <c r="CJ368" s="249"/>
      <c r="CK368" s="249"/>
      <c r="CL368" s="249"/>
      <c r="CM368" s="249"/>
      <c r="CN368" s="249"/>
      <c r="CO368" s="249"/>
      <c r="CP368" s="249"/>
      <c r="CQ368" s="249"/>
      <c r="CR368" s="249"/>
      <c r="CS368" s="249"/>
      <c r="CT368" s="249"/>
      <c r="CU368" s="249"/>
      <c r="CV368" s="249"/>
      <c r="CW368" s="249"/>
      <c r="CX368" s="249"/>
      <c r="CY368" s="249"/>
      <c r="CZ368" s="249"/>
      <c r="DA368" s="249"/>
      <c r="DB368" s="249"/>
      <c r="DC368" s="249"/>
      <c r="DD368" s="249"/>
      <c r="DE368" s="249"/>
      <c r="DF368" s="249"/>
      <c r="DG368" s="249"/>
      <c r="DH368" s="249"/>
      <c r="DI368" s="249"/>
      <c r="DJ368" s="249"/>
      <c r="DK368" s="249"/>
      <c r="DL368" s="249"/>
      <c r="DM368" s="249"/>
      <c r="DN368" s="249"/>
      <c r="DO368" s="249"/>
      <c r="DP368" s="249"/>
      <c r="DQ368" s="249"/>
      <c r="DR368" s="249"/>
      <c r="DS368" s="249"/>
      <c r="DT368" s="249"/>
      <c r="DU368" s="249"/>
      <c r="DV368" s="249"/>
      <c r="DW368" s="249"/>
      <c r="DX368" s="249"/>
      <c r="DY368" s="249"/>
      <c r="DZ368" s="249"/>
      <c r="EA368" s="249"/>
      <c r="EB368" s="249"/>
      <c r="EC368" s="249"/>
      <c r="ED368" s="249"/>
      <c r="EE368" s="249"/>
      <c r="EF368" s="249"/>
      <c r="EG368" s="249"/>
      <c r="EH368" s="249"/>
      <c r="EI368" s="249"/>
      <c r="EJ368" s="249"/>
      <c r="EK368" s="249"/>
      <c r="EL368" s="249"/>
      <c r="EM368" s="249"/>
      <c r="EN368" s="249"/>
      <c r="EO368" s="249"/>
      <c r="EP368" s="249"/>
      <c r="EQ368" s="249"/>
      <c r="ER368" s="249"/>
      <c r="ES368" s="249"/>
      <c r="ET368" s="249"/>
      <c r="EU368" s="249"/>
      <c r="EV368" s="249"/>
      <c r="EW368" s="249"/>
      <c r="EX368" s="249"/>
      <c r="EY368" s="249"/>
      <c r="EZ368" s="249"/>
      <c r="FA368" s="249"/>
      <c r="FB368" s="249"/>
      <c r="FC368" s="249"/>
      <c r="FD368" s="249"/>
      <c r="FE368" s="249"/>
      <c r="FF368" s="249"/>
      <c r="FG368" s="249"/>
      <c r="FH368" s="249"/>
      <c r="FI368" s="249"/>
      <c r="FJ368" s="249"/>
      <c r="FK368" s="249"/>
      <c r="FL368" s="249"/>
      <c r="FM368" s="249"/>
      <c r="FN368" s="249"/>
      <c r="FO368" s="249"/>
      <c r="FP368" s="249"/>
      <c r="FQ368" s="249"/>
      <c r="FR368" s="249"/>
      <c r="FS368" s="249"/>
      <c r="FT368" s="249"/>
      <c r="FU368" s="249"/>
      <c r="FV368" s="249"/>
      <c r="FW368" s="249"/>
      <c r="FX368" s="249"/>
      <c r="FY368" s="249"/>
      <c r="FZ368" s="249"/>
      <c r="GA368" s="249"/>
      <c r="GB368" s="249"/>
      <c r="GC368" s="249"/>
      <c r="GD368" s="249"/>
      <c r="GE368" s="249"/>
      <c r="GF368" s="249"/>
      <c r="GG368" s="249"/>
      <c r="GH368" s="249"/>
      <c r="GI368" s="249"/>
      <c r="GJ368" s="249"/>
      <c r="GK368" s="249"/>
      <c r="GL368" s="249"/>
      <c r="GM368" s="249"/>
      <c r="GN368" s="249"/>
      <c r="GO368" s="249"/>
      <c r="GP368" s="249"/>
      <c r="GQ368" s="249"/>
      <c r="GR368" s="249"/>
    </row>
    <row r="369" spans="1:200" s="252" customFormat="1" ht="12.75" customHeight="1" x14ac:dyDescent="0.2">
      <c r="A369" s="709"/>
      <c r="B369" s="1110"/>
      <c r="C369" s="1110"/>
      <c r="D369" s="257"/>
      <c r="E369" s="617"/>
      <c r="F369" s="296"/>
      <c r="G369" s="250"/>
      <c r="H369" s="250"/>
      <c r="I369" s="250"/>
      <c r="J369" s="250"/>
      <c r="K369" s="250"/>
      <c r="L369" s="250"/>
      <c r="M369" s="250"/>
      <c r="N369" s="250"/>
      <c r="O369" s="250"/>
      <c r="P369" s="251"/>
      <c r="Q369" s="251"/>
      <c r="R369" s="251"/>
      <c r="S369" s="251"/>
      <c r="T369" s="251"/>
      <c r="U369" s="1971" t="str">
        <f t="shared" si="81"/>
        <v>Yes</v>
      </c>
      <c r="V369" s="1971" t="str">
        <f>V316</f>
        <v>9-5/8" OD Casing; 47 PPF, Grade L80 (Blank)  BTC</v>
      </c>
      <c r="W369" s="246" t="s">
        <v>2611</v>
      </c>
      <c r="X369" s="246"/>
      <c r="Y369" s="246"/>
      <c r="Z369" s="246">
        <f t="shared" si="90"/>
        <v>0</v>
      </c>
      <c r="AA369" s="246"/>
      <c r="AB369" s="246">
        <f t="shared" si="83"/>
        <v>0</v>
      </c>
      <c r="AC369" s="246"/>
      <c r="AD369" s="246">
        <f t="shared" si="84"/>
        <v>0</v>
      </c>
      <c r="AE369" s="246"/>
      <c r="AF369" s="246">
        <f t="shared" si="85"/>
        <v>0</v>
      </c>
      <c r="AG369" s="246"/>
      <c r="AH369" s="246">
        <f t="shared" si="86"/>
        <v>0</v>
      </c>
      <c r="AI369" s="246"/>
      <c r="AJ369" s="246">
        <f t="shared" si="87"/>
        <v>0</v>
      </c>
      <c r="AK369" s="246">
        <f t="shared" si="92"/>
        <v>0</v>
      </c>
      <c r="AL369" s="246"/>
      <c r="AM369" s="246">
        <f t="shared" si="93"/>
        <v>0</v>
      </c>
      <c r="AN369" s="257"/>
      <c r="AO369" s="296"/>
      <c r="AP369" s="250"/>
      <c r="AQ369" s="250"/>
      <c r="AR369" s="250"/>
      <c r="AS369" s="250"/>
      <c r="AT369" s="250"/>
      <c r="AU369" s="250"/>
      <c r="AV369" s="249"/>
      <c r="AW369" s="249"/>
      <c r="AX369" s="249"/>
      <c r="AY369" s="249"/>
      <c r="AZ369" s="249"/>
      <c r="BA369" s="249"/>
      <c r="BB369" s="249"/>
      <c r="BC369" s="249"/>
      <c r="BD369" s="249"/>
      <c r="BE369" s="249"/>
      <c r="BF369" s="249"/>
      <c r="BG369" s="249"/>
      <c r="BH369" s="249"/>
      <c r="BI369" s="249"/>
      <c r="BJ369" s="249"/>
      <c r="BK369" s="249"/>
      <c r="BL369" s="249"/>
      <c r="BM369" s="249"/>
      <c r="BN369" s="249"/>
      <c r="BO369" s="249"/>
      <c r="BP369" s="249"/>
      <c r="BQ369" s="249"/>
      <c r="BR369" s="249"/>
      <c r="BS369" s="249"/>
      <c r="BT369" s="249"/>
      <c r="BU369" s="249"/>
      <c r="BV369" s="249"/>
      <c r="BW369" s="249"/>
      <c r="BX369" s="249"/>
      <c r="BY369" s="249"/>
      <c r="BZ369" s="249"/>
      <c r="CA369" s="249"/>
      <c r="CB369" s="249"/>
      <c r="CC369" s="249"/>
      <c r="CD369" s="249"/>
      <c r="CE369" s="249"/>
      <c r="CF369" s="249"/>
      <c r="CG369" s="249"/>
      <c r="CH369" s="249"/>
      <c r="CI369" s="249"/>
      <c r="CJ369" s="249"/>
      <c r="CK369" s="249"/>
      <c r="CL369" s="249"/>
      <c r="CM369" s="249"/>
      <c r="CN369" s="249"/>
      <c r="CO369" s="249"/>
      <c r="CP369" s="249"/>
      <c r="CQ369" s="249"/>
      <c r="CR369" s="249"/>
      <c r="CS369" s="249"/>
      <c r="CT369" s="249"/>
      <c r="CU369" s="249"/>
      <c r="CV369" s="249"/>
      <c r="CW369" s="249"/>
      <c r="CX369" s="249"/>
      <c r="CY369" s="249"/>
      <c r="CZ369" s="249"/>
      <c r="DA369" s="249"/>
      <c r="DB369" s="249"/>
      <c r="DC369" s="249"/>
      <c r="DD369" s="249"/>
      <c r="DE369" s="249"/>
      <c r="DF369" s="249"/>
      <c r="DG369" s="249"/>
      <c r="DH369" s="249"/>
      <c r="DI369" s="249"/>
      <c r="DJ369" s="249"/>
      <c r="DK369" s="249"/>
      <c r="DL369" s="249"/>
      <c r="DM369" s="249"/>
      <c r="DN369" s="249"/>
      <c r="DO369" s="249"/>
      <c r="DP369" s="249"/>
      <c r="DQ369" s="249"/>
      <c r="DR369" s="249"/>
      <c r="DS369" s="249"/>
      <c r="DT369" s="249"/>
      <c r="DU369" s="249"/>
      <c r="DV369" s="249"/>
      <c r="DW369" s="249"/>
      <c r="DX369" s="249"/>
      <c r="DY369" s="249"/>
      <c r="DZ369" s="249"/>
      <c r="EA369" s="249"/>
      <c r="EB369" s="249"/>
      <c r="EC369" s="249"/>
      <c r="ED369" s="249"/>
      <c r="EE369" s="249"/>
      <c r="EF369" s="249"/>
      <c r="EG369" s="249"/>
      <c r="EH369" s="249"/>
      <c r="EI369" s="249"/>
      <c r="EJ369" s="249"/>
      <c r="EK369" s="249"/>
      <c r="EL369" s="249"/>
      <c r="EM369" s="249"/>
      <c r="EN369" s="249"/>
      <c r="EO369" s="249"/>
      <c r="EP369" s="249"/>
      <c r="EQ369" s="249"/>
      <c r="ER369" s="249"/>
      <c r="ES369" s="249"/>
      <c r="ET369" s="249"/>
      <c r="EU369" s="249"/>
      <c r="EV369" s="249"/>
      <c r="EW369" s="249"/>
      <c r="EX369" s="249"/>
      <c r="EY369" s="249"/>
      <c r="EZ369" s="249"/>
      <c r="FA369" s="249"/>
      <c r="FB369" s="249"/>
      <c r="FC369" s="249"/>
      <c r="FD369" s="249"/>
      <c r="FE369" s="249"/>
      <c r="FF369" s="249"/>
      <c r="FG369" s="249"/>
      <c r="FH369" s="249"/>
      <c r="FI369" s="249"/>
      <c r="FJ369" s="249"/>
      <c r="FK369" s="249"/>
      <c r="FL369" s="249"/>
      <c r="FM369" s="249"/>
      <c r="FN369" s="249"/>
      <c r="FO369" s="249"/>
      <c r="FP369" s="249"/>
      <c r="FQ369" s="249"/>
      <c r="FR369" s="249"/>
      <c r="FS369" s="249"/>
      <c r="FT369" s="249"/>
      <c r="FU369" s="249"/>
      <c r="FV369" s="249"/>
      <c r="FW369" s="249"/>
      <c r="FX369" s="249"/>
      <c r="FY369" s="249"/>
      <c r="FZ369" s="249"/>
      <c r="GA369" s="249"/>
      <c r="GB369" s="249"/>
      <c r="GC369" s="249"/>
      <c r="GD369" s="249"/>
      <c r="GE369" s="249"/>
      <c r="GF369" s="249"/>
      <c r="GG369" s="249"/>
      <c r="GH369" s="249"/>
      <c r="GI369" s="249"/>
      <c r="GJ369" s="249"/>
      <c r="GK369" s="249"/>
      <c r="GL369" s="249"/>
      <c r="GM369" s="249"/>
      <c r="GN369" s="249"/>
      <c r="GO369" s="249"/>
      <c r="GP369" s="249"/>
      <c r="GQ369" s="249"/>
      <c r="GR369" s="249"/>
    </row>
    <row r="370" spans="1:200" s="252" customFormat="1" ht="12.75" customHeight="1" x14ac:dyDescent="0.2">
      <c r="A370" s="709"/>
      <c r="B370" s="1110"/>
      <c r="C370" s="1110"/>
      <c r="D370" s="257"/>
      <c r="E370" s="617"/>
      <c r="F370" s="296"/>
      <c r="G370" s="250"/>
      <c r="H370" s="250"/>
      <c r="I370" s="250"/>
      <c r="J370" s="250"/>
      <c r="K370" s="250"/>
      <c r="L370" s="250"/>
      <c r="M370" s="250"/>
      <c r="N370" s="250"/>
      <c r="O370" s="250"/>
      <c r="P370" s="251"/>
      <c r="Q370" s="251"/>
      <c r="R370" s="251"/>
      <c r="S370" s="251"/>
      <c r="T370" s="251"/>
      <c r="U370" s="1971" t="str">
        <f t="shared" si="81"/>
        <v>Yes</v>
      </c>
      <c r="V370" s="1971" t="str">
        <f t="shared" si="82"/>
        <v>9-5/8" OD Float Shoe BTC, 47ppf</v>
      </c>
      <c r="W370" s="246" t="s">
        <v>2611</v>
      </c>
      <c r="X370" s="246"/>
      <c r="Y370" s="246"/>
      <c r="Z370" s="246">
        <f t="shared" si="90"/>
        <v>0</v>
      </c>
      <c r="AA370" s="246"/>
      <c r="AB370" s="246">
        <f t="shared" si="83"/>
        <v>0</v>
      </c>
      <c r="AC370" s="246"/>
      <c r="AD370" s="246">
        <f t="shared" si="84"/>
        <v>0</v>
      </c>
      <c r="AE370" s="246"/>
      <c r="AF370" s="246">
        <f t="shared" si="85"/>
        <v>0</v>
      </c>
      <c r="AG370" s="246"/>
      <c r="AH370" s="246">
        <f t="shared" si="86"/>
        <v>0</v>
      </c>
      <c r="AI370" s="246"/>
      <c r="AJ370" s="246">
        <f t="shared" si="87"/>
        <v>0</v>
      </c>
      <c r="AK370" s="246">
        <f t="shared" si="92"/>
        <v>0</v>
      </c>
      <c r="AL370" s="246"/>
      <c r="AM370" s="246">
        <f t="shared" si="93"/>
        <v>0</v>
      </c>
      <c r="AN370" s="257"/>
      <c r="AO370" s="296"/>
      <c r="AP370" s="250"/>
      <c r="AQ370" s="250"/>
      <c r="AR370" s="250"/>
      <c r="AS370" s="250"/>
      <c r="AT370" s="250"/>
      <c r="AU370" s="250"/>
      <c r="AV370" s="249"/>
      <c r="AW370" s="249"/>
      <c r="AX370" s="249"/>
      <c r="AY370" s="249"/>
      <c r="AZ370" s="249"/>
      <c r="BA370" s="249"/>
      <c r="BB370" s="249"/>
      <c r="BC370" s="249"/>
      <c r="BD370" s="249"/>
      <c r="BE370" s="249"/>
      <c r="BF370" s="249"/>
      <c r="BG370" s="249"/>
      <c r="BH370" s="249"/>
      <c r="BI370" s="249"/>
      <c r="BJ370" s="249"/>
      <c r="BK370" s="249"/>
      <c r="BL370" s="249"/>
      <c r="BM370" s="249"/>
      <c r="BN370" s="249"/>
      <c r="BO370" s="249"/>
      <c r="BP370" s="249"/>
      <c r="BQ370" s="249"/>
      <c r="BR370" s="249"/>
      <c r="BS370" s="249"/>
      <c r="BT370" s="249"/>
      <c r="BU370" s="249"/>
      <c r="BV370" s="249"/>
      <c r="BW370" s="249"/>
      <c r="BX370" s="249"/>
      <c r="BY370" s="249"/>
      <c r="BZ370" s="249"/>
      <c r="CA370" s="249"/>
      <c r="CB370" s="249"/>
      <c r="CC370" s="249"/>
      <c r="CD370" s="249"/>
      <c r="CE370" s="249"/>
      <c r="CF370" s="249"/>
      <c r="CG370" s="249"/>
      <c r="CH370" s="249"/>
      <c r="CI370" s="249"/>
      <c r="CJ370" s="249"/>
      <c r="CK370" s="249"/>
      <c r="CL370" s="249"/>
      <c r="CM370" s="249"/>
      <c r="CN370" s="249"/>
      <c r="CO370" s="249"/>
      <c r="CP370" s="249"/>
      <c r="CQ370" s="249"/>
      <c r="CR370" s="249"/>
      <c r="CS370" s="249"/>
      <c r="CT370" s="249"/>
      <c r="CU370" s="249"/>
      <c r="CV370" s="249"/>
      <c r="CW370" s="249"/>
      <c r="CX370" s="249"/>
      <c r="CY370" s="249"/>
      <c r="CZ370" s="249"/>
      <c r="DA370" s="249"/>
      <c r="DB370" s="249"/>
      <c r="DC370" s="249"/>
      <c r="DD370" s="249"/>
      <c r="DE370" s="249"/>
      <c r="DF370" s="249"/>
      <c r="DG370" s="249"/>
      <c r="DH370" s="249"/>
      <c r="DI370" s="249"/>
      <c r="DJ370" s="249"/>
      <c r="DK370" s="249"/>
      <c r="DL370" s="249"/>
      <c r="DM370" s="249"/>
      <c r="DN370" s="249"/>
      <c r="DO370" s="249"/>
      <c r="DP370" s="249"/>
      <c r="DQ370" s="249"/>
      <c r="DR370" s="249"/>
      <c r="DS370" s="249"/>
      <c r="DT370" s="249"/>
      <c r="DU370" s="249"/>
      <c r="DV370" s="249"/>
      <c r="DW370" s="249"/>
      <c r="DX370" s="249"/>
      <c r="DY370" s="249"/>
      <c r="DZ370" s="249"/>
      <c r="EA370" s="249"/>
      <c r="EB370" s="249"/>
      <c r="EC370" s="249"/>
      <c r="ED370" s="249"/>
      <c r="EE370" s="249"/>
      <c r="EF370" s="249"/>
      <c r="EG370" s="249"/>
      <c r="EH370" s="249"/>
      <c r="EI370" s="249"/>
      <c r="EJ370" s="249"/>
      <c r="EK370" s="249"/>
      <c r="EL370" s="249"/>
      <c r="EM370" s="249"/>
      <c r="EN370" s="249"/>
      <c r="EO370" s="249"/>
      <c r="EP370" s="249"/>
      <c r="EQ370" s="249"/>
      <c r="ER370" s="249"/>
      <c r="ES370" s="249"/>
      <c r="ET370" s="249"/>
      <c r="EU370" s="249"/>
      <c r="EV370" s="249"/>
      <c r="EW370" s="249"/>
      <c r="EX370" s="249"/>
      <c r="EY370" s="249"/>
      <c r="EZ370" s="249"/>
      <c r="FA370" s="249"/>
      <c r="FB370" s="249"/>
      <c r="FC370" s="249"/>
      <c r="FD370" s="249"/>
      <c r="FE370" s="249"/>
      <c r="FF370" s="249"/>
      <c r="FG370" s="249"/>
      <c r="FH370" s="249"/>
      <c r="FI370" s="249"/>
      <c r="FJ370" s="249"/>
      <c r="FK370" s="249"/>
      <c r="FL370" s="249"/>
      <c r="FM370" s="249"/>
      <c r="FN370" s="249"/>
      <c r="FO370" s="249"/>
      <c r="FP370" s="249"/>
      <c r="FQ370" s="249"/>
      <c r="FR370" s="249"/>
      <c r="FS370" s="249"/>
      <c r="FT370" s="249"/>
      <c r="FU370" s="249"/>
      <c r="FV370" s="249"/>
      <c r="FW370" s="249"/>
      <c r="FX370" s="249"/>
      <c r="FY370" s="249"/>
      <c r="FZ370" s="249"/>
      <c r="GA370" s="249"/>
      <c r="GB370" s="249"/>
      <c r="GC370" s="249"/>
      <c r="GD370" s="249"/>
      <c r="GE370" s="249"/>
      <c r="GF370" s="249"/>
      <c r="GG370" s="249"/>
      <c r="GH370" s="249"/>
      <c r="GI370" s="249"/>
      <c r="GJ370" s="249"/>
      <c r="GK370" s="249"/>
      <c r="GL370" s="249"/>
      <c r="GM370" s="249"/>
      <c r="GN370" s="249"/>
      <c r="GO370" s="249"/>
      <c r="GP370" s="249"/>
      <c r="GQ370" s="249"/>
      <c r="GR370" s="249"/>
    </row>
    <row r="371" spans="1:200" s="252" customFormat="1" ht="12.75" customHeight="1" x14ac:dyDescent="0.2">
      <c r="A371" s="709"/>
      <c r="B371" s="1110"/>
      <c r="C371" s="1110"/>
      <c r="D371" s="257"/>
      <c r="E371" s="617"/>
      <c r="F371" s="296"/>
      <c r="G371" s="250"/>
      <c r="H371" s="250"/>
      <c r="I371" s="250"/>
      <c r="J371" s="250"/>
      <c r="K371" s="250"/>
      <c r="L371" s="250"/>
      <c r="M371" s="250"/>
      <c r="N371" s="250"/>
      <c r="O371" s="250"/>
      <c r="P371" s="251"/>
      <c r="Q371" s="251"/>
      <c r="R371" s="251"/>
      <c r="S371" s="251"/>
      <c r="T371" s="251"/>
      <c r="U371" s="1971" t="str">
        <f t="shared" si="81"/>
        <v>Yes</v>
      </c>
      <c r="V371" s="1971" t="str">
        <f t="shared" si="82"/>
        <v>Liner Adaptor 13-3/8" X 9-5/8" (Liner Hanger)</v>
      </c>
      <c r="W371" s="246" t="s">
        <v>2611</v>
      </c>
      <c r="X371" s="246"/>
      <c r="Y371" s="246"/>
      <c r="Z371" s="246">
        <f t="shared" si="90"/>
        <v>0</v>
      </c>
      <c r="AA371" s="246"/>
      <c r="AB371" s="246">
        <f t="shared" si="83"/>
        <v>0</v>
      </c>
      <c r="AC371" s="246"/>
      <c r="AD371" s="246">
        <f t="shared" si="84"/>
        <v>0</v>
      </c>
      <c r="AE371" s="246"/>
      <c r="AF371" s="246">
        <f t="shared" si="85"/>
        <v>0</v>
      </c>
      <c r="AG371" s="246"/>
      <c r="AH371" s="246">
        <f t="shared" si="86"/>
        <v>0</v>
      </c>
      <c r="AI371" s="246"/>
      <c r="AJ371" s="246">
        <f t="shared" si="87"/>
        <v>0</v>
      </c>
      <c r="AK371" s="246">
        <f t="shared" si="92"/>
        <v>0</v>
      </c>
      <c r="AL371" s="246"/>
      <c r="AM371" s="246">
        <f t="shared" si="93"/>
        <v>0</v>
      </c>
      <c r="AN371" s="257"/>
      <c r="AO371" s="296"/>
      <c r="AP371" s="250"/>
      <c r="AQ371" s="250"/>
      <c r="AR371" s="250"/>
      <c r="AS371" s="250"/>
      <c r="AT371" s="250"/>
      <c r="AU371" s="250"/>
      <c r="AV371" s="249"/>
      <c r="AW371" s="249"/>
      <c r="AX371" s="249"/>
      <c r="AY371" s="249"/>
      <c r="AZ371" s="249"/>
      <c r="BA371" s="249"/>
      <c r="BB371" s="249"/>
      <c r="BC371" s="249"/>
      <c r="BD371" s="249"/>
      <c r="BE371" s="249"/>
      <c r="BF371" s="249"/>
      <c r="BG371" s="249"/>
      <c r="BH371" s="249"/>
      <c r="BI371" s="249"/>
      <c r="BJ371" s="249"/>
      <c r="BK371" s="249"/>
      <c r="BL371" s="249"/>
      <c r="BM371" s="249"/>
      <c r="BN371" s="249"/>
      <c r="BO371" s="249"/>
      <c r="BP371" s="249"/>
      <c r="BQ371" s="249"/>
      <c r="BR371" s="249"/>
      <c r="BS371" s="249"/>
      <c r="BT371" s="249"/>
      <c r="BU371" s="249"/>
      <c r="BV371" s="249"/>
      <c r="BW371" s="249"/>
      <c r="BX371" s="249"/>
      <c r="BY371" s="249"/>
      <c r="BZ371" s="249"/>
      <c r="CA371" s="249"/>
      <c r="CB371" s="249"/>
      <c r="CC371" s="249"/>
      <c r="CD371" s="249"/>
      <c r="CE371" s="249"/>
      <c r="CF371" s="249"/>
      <c r="CG371" s="249"/>
      <c r="CH371" s="249"/>
      <c r="CI371" s="249"/>
      <c r="CJ371" s="249"/>
      <c r="CK371" s="249"/>
      <c r="CL371" s="249"/>
      <c r="CM371" s="249"/>
      <c r="CN371" s="249"/>
      <c r="CO371" s="249"/>
      <c r="CP371" s="249"/>
      <c r="CQ371" s="249"/>
      <c r="CR371" s="249"/>
      <c r="CS371" s="249"/>
      <c r="CT371" s="249"/>
      <c r="CU371" s="249"/>
      <c r="CV371" s="249"/>
      <c r="CW371" s="249"/>
      <c r="CX371" s="249"/>
      <c r="CY371" s="249"/>
      <c r="CZ371" s="249"/>
      <c r="DA371" s="249"/>
      <c r="DB371" s="249"/>
      <c r="DC371" s="249"/>
      <c r="DD371" s="249"/>
      <c r="DE371" s="249"/>
      <c r="DF371" s="249"/>
      <c r="DG371" s="249"/>
      <c r="DH371" s="249"/>
      <c r="DI371" s="249"/>
      <c r="DJ371" s="249"/>
      <c r="DK371" s="249"/>
      <c r="DL371" s="249"/>
      <c r="DM371" s="249"/>
      <c r="DN371" s="249"/>
      <c r="DO371" s="249"/>
      <c r="DP371" s="249"/>
      <c r="DQ371" s="249"/>
      <c r="DR371" s="249"/>
      <c r="DS371" s="249"/>
      <c r="DT371" s="249"/>
      <c r="DU371" s="249"/>
      <c r="DV371" s="249"/>
      <c r="DW371" s="249"/>
      <c r="DX371" s="249"/>
      <c r="DY371" s="249"/>
      <c r="DZ371" s="249"/>
      <c r="EA371" s="249"/>
      <c r="EB371" s="249"/>
      <c r="EC371" s="249"/>
      <c r="ED371" s="249"/>
      <c r="EE371" s="249"/>
      <c r="EF371" s="249"/>
      <c r="EG371" s="249"/>
      <c r="EH371" s="249"/>
      <c r="EI371" s="249"/>
      <c r="EJ371" s="249"/>
      <c r="EK371" s="249"/>
      <c r="EL371" s="249"/>
      <c r="EM371" s="249"/>
      <c r="EN371" s="249"/>
      <c r="EO371" s="249"/>
      <c r="EP371" s="249"/>
      <c r="EQ371" s="249"/>
      <c r="ER371" s="249"/>
      <c r="ES371" s="249"/>
      <c r="ET371" s="249"/>
      <c r="EU371" s="249"/>
      <c r="EV371" s="249"/>
      <c r="EW371" s="249"/>
      <c r="EX371" s="249"/>
      <c r="EY371" s="249"/>
      <c r="EZ371" s="249"/>
      <c r="FA371" s="249"/>
      <c r="FB371" s="249"/>
      <c r="FC371" s="249"/>
      <c r="FD371" s="249"/>
      <c r="FE371" s="249"/>
      <c r="FF371" s="249"/>
      <c r="FG371" s="249"/>
      <c r="FH371" s="249"/>
      <c r="FI371" s="249"/>
      <c r="FJ371" s="249"/>
      <c r="FK371" s="249"/>
      <c r="FL371" s="249"/>
      <c r="FM371" s="249"/>
      <c r="FN371" s="249"/>
      <c r="FO371" s="249"/>
      <c r="FP371" s="249"/>
      <c r="FQ371" s="249"/>
      <c r="FR371" s="249"/>
      <c r="FS371" s="249"/>
      <c r="FT371" s="249"/>
      <c r="FU371" s="249"/>
      <c r="FV371" s="249"/>
      <c r="FW371" s="249"/>
      <c r="FX371" s="249"/>
      <c r="FY371" s="249"/>
      <c r="FZ371" s="249"/>
      <c r="GA371" s="249"/>
      <c r="GB371" s="249"/>
      <c r="GC371" s="249"/>
      <c r="GD371" s="249"/>
      <c r="GE371" s="249"/>
      <c r="GF371" s="249"/>
      <c r="GG371" s="249"/>
      <c r="GH371" s="249"/>
      <c r="GI371" s="249"/>
      <c r="GJ371" s="249"/>
      <c r="GK371" s="249"/>
      <c r="GL371" s="249"/>
      <c r="GM371" s="249"/>
      <c r="GN371" s="249"/>
      <c r="GO371" s="249"/>
      <c r="GP371" s="249"/>
      <c r="GQ371" s="249"/>
      <c r="GR371" s="249"/>
    </row>
    <row r="372" spans="1:200" s="252" customFormat="1" ht="12.75" customHeight="1" x14ac:dyDescent="0.2">
      <c r="A372" s="709"/>
      <c r="B372" s="1110"/>
      <c r="C372" s="1110"/>
      <c r="D372" s="257"/>
      <c r="E372" s="617"/>
      <c r="F372" s="296"/>
      <c r="G372" s="250"/>
      <c r="H372" s="250"/>
      <c r="I372" s="250"/>
      <c r="J372" s="250"/>
      <c r="K372" s="250"/>
      <c r="L372" s="250"/>
      <c r="M372" s="250"/>
      <c r="N372" s="250"/>
      <c r="O372" s="250"/>
      <c r="P372" s="251"/>
      <c r="Q372" s="251"/>
      <c r="R372" s="251"/>
      <c r="S372" s="251"/>
      <c r="T372" s="251"/>
      <c r="U372" s="1971" t="str">
        <f t="shared" si="81"/>
        <v>Yes</v>
      </c>
      <c r="V372" s="1971" t="str">
        <f t="shared" si="82"/>
        <v>Corrosion Ring, 4-1/2"IF &amp; 5"X Hole</v>
      </c>
      <c r="W372" s="246" t="s">
        <v>2611</v>
      </c>
      <c r="X372" s="246"/>
      <c r="Y372" s="246"/>
      <c r="Z372" s="246">
        <f t="shared" si="90"/>
        <v>0</v>
      </c>
      <c r="AA372" s="246"/>
      <c r="AB372" s="246">
        <f t="shared" si="83"/>
        <v>0</v>
      </c>
      <c r="AC372" s="246"/>
      <c r="AD372" s="246">
        <f t="shared" si="84"/>
        <v>0</v>
      </c>
      <c r="AE372" s="246"/>
      <c r="AF372" s="246">
        <f t="shared" si="85"/>
        <v>0</v>
      </c>
      <c r="AG372" s="246"/>
      <c r="AH372" s="246">
        <f t="shared" si="86"/>
        <v>0</v>
      </c>
      <c r="AI372" s="246"/>
      <c r="AJ372" s="246">
        <f t="shared" si="87"/>
        <v>0</v>
      </c>
      <c r="AK372" s="246">
        <f t="shared" si="92"/>
        <v>0</v>
      </c>
      <c r="AL372" s="246"/>
      <c r="AM372" s="246">
        <f t="shared" si="93"/>
        <v>0</v>
      </c>
      <c r="AN372" s="257"/>
      <c r="AO372" s="296"/>
      <c r="AP372" s="250"/>
      <c r="AQ372" s="250"/>
      <c r="AR372" s="250"/>
      <c r="AS372" s="250"/>
      <c r="AT372" s="250"/>
      <c r="AU372" s="250"/>
      <c r="AV372" s="249"/>
      <c r="AW372" s="249"/>
      <c r="AX372" s="249"/>
      <c r="AY372" s="249"/>
      <c r="AZ372" s="249"/>
      <c r="BA372" s="249"/>
      <c r="BB372" s="249"/>
      <c r="BC372" s="249"/>
      <c r="BD372" s="249"/>
      <c r="BE372" s="249"/>
      <c r="BF372" s="249"/>
      <c r="BG372" s="249"/>
      <c r="BH372" s="249"/>
      <c r="BI372" s="249"/>
      <c r="BJ372" s="249"/>
      <c r="BK372" s="249"/>
      <c r="BL372" s="249"/>
      <c r="BM372" s="249"/>
      <c r="BN372" s="249"/>
      <c r="BO372" s="249"/>
      <c r="BP372" s="249"/>
      <c r="BQ372" s="249"/>
      <c r="BR372" s="249"/>
      <c r="BS372" s="249"/>
      <c r="BT372" s="249"/>
      <c r="BU372" s="249"/>
      <c r="BV372" s="249"/>
      <c r="BW372" s="249"/>
      <c r="BX372" s="249"/>
      <c r="BY372" s="249"/>
      <c r="BZ372" s="249"/>
      <c r="CA372" s="249"/>
      <c r="CB372" s="249"/>
      <c r="CC372" s="249"/>
      <c r="CD372" s="249"/>
      <c r="CE372" s="249"/>
      <c r="CF372" s="249"/>
      <c r="CG372" s="249"/>
      <c r="CH372" s="249"/>
      <c r="CI372" s="249"/>
      <c r="CJ372" s="249"/>
      <c r="CK372" s="249"/>
      <c r="CL372" s="249"/>
      <c r="CM372" s="249"/>
      <c r="CN372" s="249"/>
      <c r="CO372" s="249"/>
      <c r="CP372" s="249"/>
      <c r="CQ372" s="249"/>
      <c r="CR372" s="249"/>
      <c r="CS372" s="249"/>
      <c r="CT372" s="249"/>
      <c r="CU372" s="249"/>
      <c r="CV372" s="249"/>
      <c r="CW372" s="249"/>
      <c r="CX372" s="249"/>
      <c r="CY372" s="249"/>
      <c r="CZ372" s="249"/>
      <c r="DA372" s="249"/>
      <c r="DB372" s="249"/>
      <c r="DC372" s="249"/>
      <c r="DD372" s="249"/>
      <c r="DE372" s="249"/>
      <c r="DF372" s="249"/>
      <c r="DG372" s="249"/>
      <c r="DH372" s="249"/>
      <c r="DI372" s="249"/>
      <c r="DJ372" s="249"/>
      <c r="DK372" s="249"/>
      <c r="DL372" s="249"/>
      <c r="DM372" s="249"/>
      <c r="DN372" s="249"/>
      <c r="DO372" s="249"/>
      <c r="DP372" s="249"/>
      <c r="DQ372" s="249"/>
      <c r="DR372" s="249"/>
      <c r="DS372" s="249"/>
      <c r="DT372" s="249"/>
      <c r="DU372" s="249"/>
      <c r="DV372" s="249"/>
      <c r="DW372" s="249"/>
      <c r="DX372" s="249"/>
      <c r="DY372" s="249"/>
      <c r="DZ372" s="249"/>
      <c r="EA372" s="249"/>
      <c r="EB372" s="249"/>
      <c r="EC372" s="249"/>
      <c r="ED372" s="249"/>
      <c r="EE372" s="249"/>
      <c r="EF372" s="249"/>
      <c r="EG372" s="249"/>
      <c r="EH372" s="249"/>
      <c r="EI372" s="249"/>
      <c r="EJ372" s="249"/>
      <c r="EK372" s="249"/>
      <c r="EL372" s="249"/>
      <c r="EM372" s="249"/>
      <c r="EN372" s="249"/>
      <c r="EO372" s="249"/>
      <c r="EP372" s="249"/>
      <c r="EQ372" s="249"/>
      <c r="ER372" s="249"/>
      <c r="ES372" s="249"/>
      <c r="ET372" s="249"/>
      <c r="EU372" s="249"/>
      <c r="EV372" s="249"/>
      <c r="EW372" s="249"/>
      <c r="EX372" s="249"/>
      <c r="EY372" s="249"/>
      <c r="EZ372" s="249"/>
      <c r="FA372" s="249"/>
      <c r="FB372" s="249"/>
      <c r="FC372" s="249"/>
      <c r="FD372" s="249"/>
      <c r="FE372" s="249"/>
      <c r="FF372" s="249"/>
      <c r="FG372" s="249"/>
      <c r="FH372" s="249"/>
      <c r="FI372" s="249"/>
      <c r="FJ372" s="249"/>
      <c r="FK372" s="249"/>
      <c r="FL372" s="249"/>
      <c r="FM372" s="249"/>
      <c r="FN372" s="249"/>
      <c r="FO372" s="249"/>
      <c r="FP372" s="249"/>
      <c r="FQ372" s="249"/>
      <c r="FR372" s="249"/>
      <c r="FS372" s="249"/>
      <c r="FT372" s="249"/>
      <c r="FU372" s="249"/>
      <c r="FV372" s="249"/>
      <c r="FW372" s="249"/>
      <c r="FX372" s="249"/>
      <c r="FY372" s="249"/>
      <c r="FZ372" s="249"/>
      <c r="GA372" s="249"/>
      <c r="GB372" s="249"/>
      <c r="GC372" s="249"/>
      <c r="GD372" s="249"/>
      <c r="GE372" s="249"/>
      <c r="GF372" s="249"/>
      <c r="GG372" s="249"/>
      <c r="GH372" s="249"/>
      <c r="GI372" s="249"/>
      <c r="GJ372" s="249"/>
      <c r="GK372" s="249"/>
      <c r="GL372" s="249"/>
      <c r="GM372" s="249"/>
      <c r="GN372" s="249"/>
      <c r="GO372" s="249"/>
      <c r="GP372" s="249"/>
      <c r="GQ372" s="249"/>
      <c r="GR372" s="249"/>
    </row>
    <row r="373" spans="1:200" s="252" customFormat="1" ht="12.75" customHeight="1" x14ac:dyDescent="0.2">
      <c r="A373" s="709"/>
      <c r="B373" s="1110"/>
      <c r="C373" s="1110"/>
      <c r="D373" s="257"/>
      <c r="E373" s="617"/>
      <c r="F373" s="296"/>
      <c r="G373" s="250"/>
      <c r="H373" s="250"/>
      <c r="I373" s="250"/>
      <c r="J373" s="250"/>
      <c r="K373" s="250"/>
      <c r="L373" s="250"/>
      <c r="M373" s="250"/>
      <c r="N373" s="250"/>
      <c r="O373" s="250"/>
      <c r="P373" s="251"/>
      <c r="Q373" s="251"/>
      <c r="R373" s="251"/>
      <c r="S373" s="251"/>
      <c r="T373" s="251"/>
      <c r="U373" s="2104" t="str">
        <f>U320</f>
        <v>No</v>
      </c>
      <c r="V373" s="1959" t="s">
        <v>2248</v>
      </c>
      <c r="W373" s="246" t="s">
        <v>2611</v>
      </c>
      <c r="X373" s="1834"/>
      <c r="Y373" s="1834"/>
      <c r="Z373" s="1961">
        <f t="shared" si="90"/>
        <v>0</v>
      </c>
      <c r="AA373" s="1834"/>
      <c r="AB373" s="1961">
        <f t="shared" si="83"/>
        <v>0</v>
      </c>
      <c r="AC373" s="1834"/>
      <c r="AD373" s="1961">
        <f t="shared" si="84"/>
        <v>0</v>
      </c>
      <c r="AE373" s="1834">
        <f>SUMPRODUCT(AF373:AF379,AF320:AF326)</f>
        <v>0</v>
      </c>
      <c r="AF373" s="2102" t="str">
        <f>IF($U373="Yes",'Casings et al'!$F39,"0")</f>
        <v>0</v>
      </c>
      <c r="AG373" s="1834"/>
      <c r="AH373" s="1962">
        <f t="shared" si="86"/>
        <v>0</v>
      </c>
      <c r="AI373" s="246"/>
      <c r="AJ373" s="246">
        <f t="shared" si="87"/>
        <v>0</v>
      </c>
      <c r="AK373" s="246">
        <f t="shared" si="92"/>
        <v>0</v>
      </c>
      <c r="AL373" s="246"/>
      <c r="AM373" s="246">
        <f t="shared" si="93"/>
        <v>0</v>
      </c>
      <c r="AN373" s="257"/>
      <c r="AO373" s="296"/>
      <c r="AP373" s="250"/>
      <c r="AQ373" s="250"/>
      <c r="AR373" s="250"/>
      <c r="AS373" s="250"/>
      <c r="AT373" s="250"/>
      <c r="AU373" s="250"/>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row>
    <row r="374" spans="1:200" s="252" customFormat="1" ht="12.75" customHeight="1" x14ac:dyDescent="0.2">
      <c r="A374" s="709"/>
      <c r="B374" s="1110"/>
      <c r="C374" s="1110"/>
      <c r="D374" s="257"/>
      <c r="E374" s="617"/>
      <c r="F374" s="296"/>
      <c r="G374" s="250"/>
      <c r="H374" s="250"/>
      <c r="I374" s="250"/>
      <c r="J374" s="250"/>
      <c r="K374" s="250"/>
      <c r="L374" s="250"/>
      <c r="M374" s="250"/>
      <c r="N374" s="250"/>
      <c r="O374" s="250"/>
      <c r="P374" s="251"/>
      <c r="Q374" s="251"/>
      <c r="R374" s="251"/>
      <c r="S374" s="249"/>
      <c r="T374" s="249"/>
      <c r="U374" s="2104" t="str">
        <f t="shared" ref="U374:U381" si="94">U321</f>
        <v>No</v>
      </c>
      <c r="V374" s="1959" t="s">
        <v>261</v>
      </c>
      <c r="W374" s="246" t="s">
        <v>2611</v>
      </c>
      <c r="X374" s="1834"/>
      <c r="Y374" s="1834"/>
      <c r="Z374" s="1961">
        <f t="shared" si="90"/>
        <v>0</v>
      </c>
      <c r="AA374" s="1834"/>
      <c r="AB374" s="1961">
        <f t="shared" si="83"/>
        <v>0</v>
      </c>
      <c r="AC374" s="1834"/>
      <c r="AD374" s="1961">
        <f t="shared" si="84"/>
        <v>0</v>
      </c>
      <c r="AE374" s="1834"/>
      <c r="AF374" s="2102" t="str">
        <f>IF($U374="Yes",'Casings et al'!$F40,"0")</f>
        <v>0</v>
      </c>
      <c r="AG374" s="1834"/>
      <c r="AH374" s="1962">
        <f t="shared" ca="1" si="86"/>
        <v>0</v>
      </c>
      <c r="AI374" s="246"/>
      <c r="AJ374" s="246">
        <f t="shared" si="87"/>
        <v>0</v>
      </c>
      <c r="AK374" s="246">
        <f t="shared" si="92"/>
        <v>0</v>
      </c>
      <c r="AL374" s="246"/>
      <c r="AM374" s="246">
        <f t="shared" ca="1" si="93"/>
        <v>0</v>
      </c>
      <c r="AN374" s="257"/>
      <c r="AO374" s="296"/>
      <c r="AP374" s="250"/>
      <c r="AQ374" s="250"/>
      <c r="AR374" s="250"/>
      <c r="AS374" s="250"/>
      <c r="AT374" s="250"/>
      <c r="AU374" s="250"/>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row>
    <row r="375" spans="1:200" s="252" customFormat="1" ht="12.75" customHeight="1" x14ac:dyDescent="0.2">
      <c r="A375" s="709"/>
      <c r="B375" s="1110"/>
      <c r="C375" s="1110"/>
      <c r="D375" s="257"/>
      <c r="E375" s="617"/>
      <c r="F375" s="296"/>
      <c r="G375" s="250"/>
      <c r="H375" s="250"/>
      <c r="I375" s="250"/>
      <c r="J375" s="250"/>
      <c r="K375" s="250"/>
      <c r="L375" s="250"/>
      <c r="M375" s="250"/>
      <c r="N375" s="250"/>
      <c r="O375" s="250"/>
      <c r="P375" s="251"/>
      <c r="Q375" s="251"/>
      <c r="R375" s="251"/>
      <c r="S375" s="249"/>
      <c r="T375" s="249"/>
      <c r="U375" s="2104" t="str">
        <f t="shared" si="94"/>
        <v>No</v>
      </c>
      <c r="V375" s="1959" t="s">
        <v>262</v>
      </c>
      <c r="W375" s="246" t="s">
        <v>2611</v>
      </c>
      <c r="X375" s="1834"/>
      <c r="Y375" s="1834"/>
      <c r="Z375" s="1961">
        <f t="shared" si="90"/>
        <v>0</v>
      </c>
      <c r="AA375" s="1834"/>
      <c r="AB375" s="1961">
        <f t="shared" si="83"/>
        <v>0</v>
      </c>
      <c r="AC375" s="1834"/>
      <c r="AD375" s="1961">
        <f t="shared" si="84"/>
        <v>0</v>
      </c>
      <c r="AE375" s="1834"/>
      <c r="AF375" s="2102" t="str">
        <f>IF($U375="Yes",'Casings et al'!$F41,"0")</f>
        <v>0</v>
      </c>
      <c r="AG375" s="1834"/>
      <c r="AH375" s="1962">
        <f t="shared" si="86"/>
        <v>0</v>
      </c>
      <c r="AI375" s="246"/>
      <c r="AJ375" s="246">
        <f t="shared" si="87"/>
        <v>0</v>
      </c>
      <c r="AK375" s="246">
        <f t="shared" si="92"/>
        <v>0</v>
      </c>
      <c r="AL375" s="246"/>
      <c r="AM375" s="246">
        <f t="shared" si="93"/>
        <v>0</v>
      </c>
      <c r="AN375" s="257"/>
      <c r="AO375" s="296"/>
      <c r="AP375" s="250"/>
      <c r="AQ375" s="250"/>
      <c r="AR375" s="250"/>
      <c r="AS375" s="250"/>
      <c r="AT375" s="250"/>
      <c r="AU375" s="250"/>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row>
    <row r="376" spans="1:200" s="252" customFormat="1" ht="12.75" customHeight="1" x14ac:dyDescent="0.2">
      <c r="A376" s="709"/>
      <c r="B376" s="1110"/>
      <c r="C376" s="1110"/>
      <c r="D376" s="257"/>
      <c r="E376" s="617"/>
      <c r="F376" s="296"/>
      <c r="G376" s="250"/>
      <c r="H376" s="250"/>
      <c r="I376" s="250"/>
      <c r="J376" s="250"/>
      <c r="K376" s="250"/>
      <c r="L376" s="250"/>
      <c r="M376" s="250"/>
      <c r="N376" s="250"/>
      <c r="O376" s="250"/>
      <c r="P376" s="251"/>
      <c r="Q376" s="251"/>
      <c r="R376" s="251"/>
      <c r="S376" s="249"/>
      <c r="T376" s="249"/>
      <c r="U376" s="2104" t="str">
        <f t="shared" si="94"/>
        <v>No</v>
      </c>
      <c r="V376" s="1959" t="s">
        <v>263</v>
      </c>
      <c r="W376" s="246" t="s">
        <v>2611</v>
      </c>
      <c r="X376" s="1834"/>
      <c r="Y376" s="1834"/>
      <c r="Z376" s="1961">
        <f t="shared" si="90"/>
        <v>0</v>
      </c>
      <c r="AA376" s="1834"/>
      <c r="AB376" s="1961">
        <f t="shared" si="83"/>
        <v>0</v>
      </c>
      <c r="AC376" s="1834"/>
      <c r="AD376" s="1961">
        <f t="shared" si="84"/>
        <v>0</v>
      </c>
      <c r="AE376" s="1834"/>
      <c r="AF376" s="2102" t="str">
        <f>IF($U376="Yes",'Casings et al'!$F42,"0")</f>
        <v>0</v>
      </c>
      <c r="AG376" s="1834"/>
      <c r="AH376" s="1962">
        <f t="shared" si="86"/>
        <v>0</v>
      </c>
      <c r="AI376" s="246"/>
      <c r="AJ376" s="246">
        <f t="shared" si="87"/>
        <v>0</v>
      </c>
      <c r="AK376" s="246">
        <f t="shared" si="92"/>
        <v>0</v>
      </c>
      <c r="AL376" s="246"/>
      <c r="AM376" s="246">
        <f t="shared" si="93"/>
        <v>0</v>
      </c>
      <c r="AN376" s="257"/>
      <c r="AO376" s="296"/>
      <c r="AP376" s="250"/>
      <c r="AQ376" s="250"/>
      <c r="AR376" s="250"/>
      <c r="AS376" s="250"/>
      <c r="AT376" s="250"/>
      <c r="AU376" s="250"/>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row>
    <row r="377" spans="1:200" s="252" customFormat="1" ht="12.75" customHeight="1" x14ac:dyDescent="0.2">
      <c r="A377" s="709"/>
      <c r="B377" s="1110"/>
      <c r="C377" s="1110"/>
      <c r="D377" s="257"/>
      <c r="E377" s="617"/>
      <c r="F377" s="296"/>
      <c r="G377" s="250"/>
      <c r="H377" s="250"/>
      <c r="I377" s="250"/>
      <c r="J377" s="250"/>
      <c r="K377" s="250"/>
      <c r="L377" s="250"/>
      <c r="M377" s="250"/>
      <c r="N377" s="250"/>
      <c r="O377" s="250"/>
      <c r="P377" s="251"/>
      <c r="Q377" s="251"/>
      <c r="R377" s="251"/>
      <c r="S377" s="249"/>
      <c r="T377" s="249"/>
      <c r="U377" s="2104" t="str">
        <f t="shared" si="94"/>
        <v>No</v>
      </c>
      <c r="V377" s="1959" t="s">
        <v>264</v>
      </c>
      <c r="W377" s="246" t="s">
        <v>2611</v>
      </c>
      <c r="X377" s="1834"/>
      <c r="Y377" s="1834"/>
      <c r="Z377" s="1961">
        <f t="shared" si="90"/>
        <v>0</v>
      </c>
      <c r="AA377" s="1834"/>
      <c r="AB377" s="1961">
        <f t="shared" si="83"/>
        <v>0</v>
      </c>
      <c r="AC377" s="1834"/>
      <c r="AD377" s="1961">
        <f t="shared" si="84"/>
        <v>0</v>
      </c>
      <c r="AE377" s="1834"/>
      <c r="AF377" s="2102" t="str">
        <f>IF($U377="Yes",'Casings et al'!$F43,"0")</f>
        <v>0</v>
      </c>
      <c r="AG377" s="1834"/>
      <c r="AH377" s="1962">
        <f t="shared" si="86"/>
        <v>0</v>
      </c>
      <c r="AI377" s="246"/>
      <c r="AJ377" s="246">
        <f t="shared" si="87"/>
        <v>0</v>
      </c>
      <c r="AK377" s="246">
        <f t="shared" si="92"/>
        <v>0</v>
      </c>
      <c r="AL377" s="246"/>
      <c r="AM377" s="246">
        <f t="shared" si="93"/>
        <v>0</v>
      </c>
      <c r="AN377" s="257"/>
      <c r="AO377" s="296"/>
      <c r="AP377" s="250"/>
      <c r="AQ377" s="250"/>
      <c r="AR377" s="250"/>
      <c r="AS377" s="250"/>
      <c r="AT377" s="250"/>
      <c r="AU377" s="250"/>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row>
    <row r="378" spans="1:200" s="252" customFormat="1" ht="12.75" customHeight="1" x14ac:dyDescent="0.2">
      <c r="A378" s="709"/>
      <c r="B378" s="1110"/>
      <c r="C378" s="1110"/>
      <c r="D378" s="257"/>
      <c r="E378" s="617"/>
      <c r="F378" s="296"/>
      <c r="G378" s="250"/>
      <c r="H378" s="250"/>
      <c r="I378" s="250"/>
      <c r="J378" s="250"/>
      <c r="K378" s="250"/>
      <c r="L378" s="250"/>
      <c r="M378" s="250"/>
      <c r="N378" s="250"/>
      <c r="O378" s="250"/>
      <c r="P378" s="251"/>
      <c r="Q378" s="251"/>
      <c r="R378" s="251"/>
      <c r="S378" s="249"/>
      <c r="T378" s="249"/>
      <c r="U378" s="2104" t="str">
        <f t="shared" si="94"/>
        <v>No</v>
      </c>
      <c r="V378" s="1959" t="s">
        <v>265</v>
      </c>
      <c r="W378" s="246" t="s">
        <v>2611</v>
      </c>
      <c r="X378" s="1834"/>
      <c r="Y378" s="1834"/>
      <c r="Z378" s="1961">
        <f t="shared" si="90"/>
        <v>0</v>
      </c>
      <c r="AA378" s="1834"/>
      <c r="AB378" s="1961">
        <f t="shared" si="83"/>
        <v>0</v>
      </c>
      <c r="AC378" s="1834"/>
      <c r="AD378" s="1961">
        <f t="shared" si="84"/>
        <v>0</v>
      </c>
      <c r="AE378" s="1834"/>
      <c r="AF378" s="2102" t="str">
        <f>IF($U378="Yes",'Casings et al'!$F44,"0")</f>
        <v>0</v>
      </c>
      <c r="AG378" s="1834"/>
      <c r="AH378" s="1962">
        <f t="shared" si="86"/>
        <v>0</v>
      </c>
      <c r="AI378" s="246"/>
      <c r="AJ378" s="246">
        <f t="shared" si="87"/>
        <v>0</v>
      </c>
      <c r="AK378" s="246">
        <f t="shared" si="92"/>
        <v>0</v>
      </c>
      <c r="AL378" s="246"/>
      <c r="AM378" s="246">
        <f t="shared" si="93"/>
        <v>0</v>
      </c>
      <c r="AN378" s="257"/>
      <c r="AO378" s="296"/>
      <c r="AP378" s="250"/>
      <c r="AQ378" s="250"/>
      <c r="AR378" s="250"/>
      <c r="AS378" s="250"/>
      <c r="AT378" s="250"/>
      <c r="AU378" s="250"/>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row>
    <row r="379" spans="1:200" s="252" customFormat="1" ht="12.75" customHeight="1" x14ac:dyDescent="0.2">
      <c r="A379" s="709"/>
      <c r="B379" s="1110"/>
      <c r="C379" s="1110"/>
      <c r="D379" s="257"/>
      <c r="E379" s="617"/>
      <c r="F379" s="296"/>
      <c r="G379" s="250"/>
      <c r="H379" s="250"/>
      <c r="I379" s="250"/>
      <c r="J379" s="250"/>
      <c r="K379" s="250"/>
      <c r="L379" s="250"/>
      <c r="M379" s="250"/>
      <c r="N379" s="250"/>
      <c r="O379" s="250"/>
      <c r="P379" s="251"/>
      <c r="Q379" s="251"/>
      <c r="R379" s="251"/>
      <c r="S379" s="249"/>
      <c r="T379" s="249"/>
      <c r="U379" s="2104" t="str">
        <f t="shared" si="94"/>
        <v>No</v>
      </c>
      <c r="V379" s="1959" t="s">
        <v>266</v>
      </c>
      <c r="W379" s="246" t="s">
        <v>2611</v>
      </c>
      <c r="X379" s="1834"/>
      <c r="Y379" s="1834"/>
      <c r="Z379" s="1961">
        <f t="shared" si="90"/>
        <v>0</v>
      </c>
      <c r="AA379" s="1834"/>
      <c r="AB379" s="1961">
        <f t="shared" si="83"/>
        <v>0</v>
      </c>
      <c r="AC379" s="1834"/>
      <c r="AD379" s="1961">
        <f t="shared" si="84"/>
        <v>0</v>
      </c>
      <c r="AE379" s="1834"/>
      <c r="AF379" s="2102" t="str">
        <f>IF($U379="Yes",'Casings et al'!$F45,"0")</f>
        <v>0</v>
      </c>
      <c r="AG379" s="1834"/>
      <c r="AH379" s="1962">
        <f t="shared" si="86"/>
        <v>0</v>
      </c>
      <c r="AI379" s="246"/>
      <c r="AJ379" s="246">
        <f t="shared" si="87"/>
        <v>0</v>
      </c>
      <c r="AK379" s="246">
        <f>IFERROR(($W379*AK333),0)</f>
        <v>0</v>
      </c>
      <c r="AL379" s="246"/>
      <c r="AM379" s="246">
        <f t="shared" si="93"/>
        <v>0</v>
      </c>
      <c r="AN379" s="257"/>
      <c r="AO379" s="296"/>
      <c r="AP379" s="250"/>
      <c r="AQ379" s="250"/>
      <c r="AR379" s="250"/>
      <c r="AS379" s="250"/>
      <c r="AT379" s="250"/>
      <c r="AU379" s="250"/>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row>
    <row r="380" spans="1:200" s="252" customFormat="1" ht="12.75" customHeight="1" x14ac:dyDescent="0.2">
      <c r="A380" s="709"/>
      <c r="B380" s="1110"/>
      <c r="C380" s="1110"/>
      <c r="D380" s="257"/>
      <c r="E380" s="617"/>
      <c r="F380" s="296"/>
      <c r="G380" s="250"/>
      <c r="H380" s="250"/>
      <c r="I380" s="250"/>
      <c r="J380" s="250"/>
      <c r="K380" s="250"/>
      <c r="L380" s="250"/>
      <c r="M380" s="250"/>
      <c r="N380" s="250"/>
      <c r="O380" s="250"/>
      <c r="P380" s="251"/>
      <c r="Q380" s="251"/>
      <c r="R380" s="251"/>
      <c r="S380" s="249"/>
      <c r="T380" s="249"/>
      <c r="U380" s="2104" t="str">
        <f t="shared" si="94"/>
        <v>No</v>
      </c>
      <c r="V380" s="1959" t="s">
        <v>365</v>
      </c>
      <c r="W380" s="246" t="s">
        <v>2611</v>
      </c>
      <c r="X380" s="1834"/>
      <c r="Y380" s="1834"/>
      <c r="Z380" s="1961">
        <f t="shared" si="90"/>
        <v>0</v>
      </c>
      <c r="AA380" s="1834"/>
      <c r="AB380" s="1961">
        <f t="shared" si="83"/>
        <v>0</v>
      </c>
      <c r="AC380" s="1834"/>
      <c r="AD380" s="1961">
        <f t="shared" si="84"/>
        <v>0</v>
      </c>
      <c r="AE380" s="1834"/>
      <c r="AF380" s="1962">
        <f t="shared" si="85"/>
        <v>0</v>
      </c>
      <c r="AG380" s="1834"/>
      <c r="AH380" s="2102" t="str">
        <f>IF($U380="Yes",'Casings et al'!$F46,"0")</f>
        <v>0</v>
      </c>
      <c r="AI380" s="246"/>
      <c r="AJ380" s="246">
        <f t="shared" si="87"/>
        <v>0</v>
      </c>
      <c r="AK380" s="246">
        <f>IFERROR(($W380*AK334),0)</f>
        <v>0</v>
      </c>
      <c r="AL380" s="246"/>
      <c r="AM380" s="246">
        <f t="shared" si="93"/>
        <v>0</v>
      </c>
      <c r="AN380" s="257"/>
      <c r="AO380" s="296"/>
      <c r="AP380" s="250"/>
      <c r="AQ380" s="250"/>
      <c r="AR380" s="250"/>
      <c r="AS380" s="250"/>
      <c r="AT380" s="250"/>
      <c r="AU380" s="250"/>
      <c r="AV380" s="249"/>
      <c r="AW380" s="249"/>
      <c r="AX380" s="249"/>
      <c r="AY380" s="249"/>
      <c r="AZ380" s="249"/>
      <c r="BA380" s="249"/>
      <c r="BB380" s="249"/>
      <c r="BC380" s="249"/>
      <c r="BD380" s="249"/>
      <c r="BE380" s="249"/>
      <c r="BF380" s="249"/>
      <c r="BG380" s="249"/>
      <c r="BH380" s="249"/>
      <c r="BI380" s="249"/>
      <c r="BJ380" s="249"/>
      <c r="BK380" s="249"/>
      <c r="BL380" s="249"/>
      <c r="BM380" s="249"/>
      <c r="BN380" s="249"/>
      <c r="BO380" s="249"/>
      <c r="BP380" s="249"/>
      <c r="BQ380" s="249"/>
      <c r="BR380" s="249"/>
      <c r="BS380" s="249"/>
      <c r="BT380" s="249"/>
      <c r="BU380" s="249"/>
      <c r="BV380" s="249"/>
      <c r="BW380" s="249"/>
      <c r="BX380" s="249"/>
      <c r="BY380" s="249"/>
      <c r="BZ380" s="249"/>
      <c r="CA380" s="249"/>
      <c r="CB380" s="249"/>
      <c r="CC380" s="249"/>
      <c r="CD380" s="249"/>
      <c r="CE380" s="249"/>
      <c r="CF380" s="249"/>
      <c r="CG380" s="249"/>
      <c r="CH380" s="249"/>
      <c r="CI380" s="249"/>
      <c r="CJ380" s="249"/>
      <c r="CK380" s="249"/>
      <c r="CL380" s="249"/>
      <c r="CM380" s="249"/>
      <c r="CN380" s="249"/>
      <c r="CO380" s="249"/>
      <c r="CP380" s="249"/>
      <c r="CQ380" s="249"/>
      <c r="CR380" s="249"/>
      <c r="CS380" s="249"/>
      <c r="CT380" s="249"/>
      <c r="CU380" s="249"/>
      <c r="CV380" s="249"/>
      <c r="CW380" s="249"/>
      <c r="CX380" s="249"/>
      <c r="CY380" s="249"/>
      <c r="CZ380" s="249"/>
      <c r="DA380" s="249"/>
      <c r="DB380" s="249"/>
      <c r="DC380" s="249"/>
      <c r="DD380" s="249"/>
      <c r="DE380" s="249"/>
      <c r="DF380" s="249"/>
      <c r="DG380" s="249"/>
      <c r="DH380" s="249"/>
      <c r="DI380" s="249"/>
      <c r="DJ380" s="249"/>
      <c r="DK380" s="249"/>
      <c r="DL380" s="249"/>
      <c r="DM380" s="249"/>
      <c r="DN380" s="249"/>
      <c r="DO380" s="249"/>
      <c r="DP380" s="249"/>
      <c r="DQ380" s="249"/>
      <c r="DR380" s="249"/>
      <c r="DS380" s="249"/>
      <c r="DT380" s="249"/>
      <c r="DU380" s="249"/>
      <c r="DV380" s="249"/>
      <c r="DW380" s="249"/>
      <c r="DX380" s="249"/>
      <c r="DY380" s="249"/>
      <c r="DZ380" s="249"/>
      <c r="EA380" s="249"/>
      <c r="EB380" s="249"/>
      <c r="EC380" s="249"/>
      <c r="ED380" s="249"/>
      <c r="EE380" s="249"/>
      <c r="EF380" s="249"/>
      <c r="EG380" s="249"/>
      <c r="EH380" s="249"/>
      <c r="EI380" s="249"/>
      <c r="EJ380" s="249"/>
      <c r="EK380" s="249"/>
      <c r="EL380" s="249"/>
      <c r="EM380" s="249"/>
      <c r="EN380" s="249"/>
      <c r="EO380" s="249"/>
      <c r="EP380" s="249"/>
      <c r="EQ380" s="249"/>
      <c r="ER380" s="249"/>
      <c r="ES380" s="249"/>
      <c r="ET380" s="249"/>
      <c r="EU380" s="249"/>
      <c r="EV380" s="249"/>
      <c r="EW380" s="249"/>
      <c r="EX380" s="249"/>
      <c r="EY380" s="249"/>
      <c r="EZ380" s="249"/>
      <c r="FA380" s="249"/>
      <c r="FB380" s="249"/>
      <c r="FC380" s="249"/>
      <c r="FD380" s="249"/>
      <c r="FE380" s="249"/>
      <c r="FF380" s="249"/>
      <c r="FG380" s="249"/>
      <c r="FH380" s="249"/>
      <c r="FI380" s="249"/>
      <c r="FJ380" s="249"/>
      <c r="FK380" s="249"/>
      <c r="FL380" s="249"/>
      <c r="FM380" s="249"/>
      <c r="FN380" s="249"/>
      <c r="FO380" s="249"/>
      <c r="FP380" s="249"/>
      <c r="FQ380" s="249"/>
      <c r="FR380" s="249"/>
      <c r="FS380" s="249"/>
      <c r="FT380" s="249"/>
      <c r="FU380" s="249"/>
      <c r="FV380" s="249"/>
      <c r="FW380" s="249"/>
      <c r="FX380" s="249"/>
      <c r="FY380" s="249"/>
      <c r="FZ380" s="249"/>
      <c r="GA380" s="249"/>
      <c r="GB380" s="249"/>
      <c r="GC380" s="249"/>
      <c r="GD380" s="249"/>
      <c r="GE380" s="249"/>
      <c r="GF380" s="249"/>
      <c r="GG380" s="249"/>
      <c r="GH380" s="249"/>
      <c r="GI380" s="249"/>
      <c r="GJ380" s="249"/>
      <c r="GK380" s="249"/>
      <c r="GL380" s="249"/>
      <c r="GM380" s="249"/>
      <c r="GN380" s="249"/>
      <c r="GO380" s="249"/>
      <c r="GP380" s="249"/>
      <c r="GQ380" s="249"/>
      <c r="GR380" s="249"/>
    </row>
    <row r="381" spans="1:200" s="252" customFormat="1" ht="12.75" customHeight="1" x14ac:dyDescent="0.2">
      <c r="A381" s="709"/>
      <c r="B381" s="1110"/>
      <c r="C381" s="1110"/>
      <c r="D381" s="257"/>
      <c r="E381" s="617"/>
      <c r="F381" s="296"/>
      <c r="G381" s="250"/>
      <c r="H381" s="250"/>
      <c r="I381" s="250"/>
      <c r="J381" s="250"/>
      <c r="K381" s="250"/>
      <c r="L381" s="250"/>
      <c r="M381" s="250"/>
      <c r="N381" s="250"/>
      <c r="O381" s="250"/>
      <c r="P381" s="251"/>
      <c r="Q381" s="251"/>
      <c r="R381" s="251"/>
      <c r="S381" s="249"/>
      <c r="T381" s="249"/>
      <c r="U381" s="2104" t="str">
        <f t="shared" si="94"/>
        <v>No</v>
      </c>
      <c r="V381" s="1959" t="s">
        <v>366</v>
      </c>
      <c r="W381" s="246" t="s">
        <v>2611</v>
      </c>
      <c r="X381" s="1834"/>
      <c r="Y381" s="1834"/>
      <c r="Z381" s="1961">
        <f t="shared" si="90"/>
        <v>0</v>
      </c>
      <c r="AA381" s="1834"/>
      <c r="AB381" s="1961">
        <f t="shared" si="83"/>
        <v>0</v>
      </c>
      <c r="AC381" s="1834"/>
      <c r="AD381" s="1961">
        <f t="shared" si="84"/>
        <v>0</v>
      </c>
      <c r="AE381" s="1834"/>
      <c r="AF381" s="1962">
        <f t="shared" si="85"/>
        <v>0</v>
      </c>
      <c r="AG381" s="1834"/>
      <c r="AH381" s="2102" t="str">
        <f>IF($U381="Yes",'Casings et al'!$F47,"0")</f>
        <v>0</v>
      </c>
      <c r="AI381" s="246"/>
      <c r="AJ381" s="246">
        <f t="shared" si="87"/>
        <v>0</v>
      </c>
      <c r="AK381" s="246">
        <f>IFERROR(($W381*AK335),0)</f>
        <v>0</v>
      </c>
      <c r="AL381" s="246"/>
      <c r="AM381" s="246">
        <f t="shared" si="93"/>
        <v>0</v>
      </c>
      <c r="AN381" s="257"/>
      <c r="AO381" s="296"/>
      <c r="AP381" s="250"/>
      <c r="AQ381" s="250"/>
      <c r="AR381" s="250"/>
      <c r="AS381" s="250"/>
      <c r="AT381" s="250"/>
      <c r="AU381" s="250"/>
      <c r="AV381" s="249"/>
      <c r="AW381" s="249"/>
      <c r="AX381" s="249"/>
      <c r="AY381" s="249"/>
      <c r="AZ381" s="249"/>
      <c r="BA381" s="249"/>
      <c r="BB381" s="249"/>
      <c r="BC381" s="249"/>
      <c r="BD381" s="249"/>
      <c r="BE381" s="249"/>
      <c r="BF381" s="249"/>
      <c r="BG381" s="249"/>
      <c r="BH381" s="249"/>
      <c r="BI381" s="249"/>
      <c r="BJ381" s="249"/>
      <c r="BK381" s="249"/>
      <c r="BL381" s="249"/>
      <c r="BM381" s="249"/>
      <c r="BN381" s="249"/>
      <c r="BO381" s="249"/>
      <c r="BP381" s="249"/>
      <c r="BQ381" s="249"/>
      <c r="BR381" s="249"/>
      <c r="BS381" s="249"/>
      <c r="BT381" s="249"/>
      <c r="BU381" s="249"/>
      <c r="BV381" s="249"/>
      <c r="BW381" s="249"/>
      <c r="BX381" s="249"/>
      <c r="BY381" s="249"/>
      <c r="BZ381" s="249"/>
      <c r="CA381" s="249"/>
      <c r="CB381" s="249"/>
      <c r="CC381" s="249"/>
      <c r="CD381" s="249"/>
      <c r="CE381" s="249"/>
      <c r="CF381" s="249"/>
      <c r="CG381" s="249"/>
      <c r="CH381" s="249"/>
      <c r="CI381" s="249"/>
      <c r="CJ381" s="249"/>
      <c r="CK381" s="249"/>
      <c r="CL381" s="249"/>
      <c r="CM381" s="249"/>
      <c r="CN381" s="249"/>
      <c r="CO381" s="249"/>
      <c r="CP381" s="249"/>
      <c r="CQ381" s="249"/>
      <c r="CR381" s="249"/>
      <c r="CS381" s="249"/>
      <c r="CT381" s="249"/>
      <c r="CU381" s="249"/>
      <c r="CV381" s="249"/>
      <c r="CW381" s="249"/>
      <c r="CX381" s="249"/>
      <c r="CY381" s="249"/>
      <c r="CZ381" s="249"/>
      <c r="DA381" s="249"/>
      <c r="DB381" s="249"/>
      <c r="DC381" s="249"/>
      <c r="DD381" s="249"/>
      <c r="DE381" s="249"/>
      <c r="DF381" s="249"/>
      <c r="DG381" s="249"/>
      <c r="DH381" s="249"/>
      <c r="DI381" s="249"/>
      <c r="DJ381" s="249"/>
      <c r="DK381" s="249"/>
      <c r="DL381" s="249"/>
      <c r="DM381" s="249"/>
      <c r="DN381" s="249"/>
      <c r="DO381" s="249"/>
      <c r="DP381" s="249"/>
      <c r="DQ381" s="249"/>
      <c r="DR381" s="249"/>
      <c r="DS381" s="249"/>
      <c r="DT381" s="249"/>
      <c r="DU381" s="249"/>
      <c r="DV381" s="249"/>
      <c r="DW381" s="249"/>
      <c r="DX381" s="249"/>
      <c r="DY381" s="249"/>
      <c r="DZ381" s="249"/>
      <c r="EA381" s="249"/>
      <c r="EB381" s="249"/>
      <c r="EC381" s="249"/>
      <c r="ED381" s="249"/>
      <c r="EE381" s="249"/>
      <c r="EF381" s="249"/>
      <c r="EG381" s="249"/>
      <c r="EH381" s="249"/>
      <c r="EI381" s="249"/>
      <c r="EJ381" s="249"/>
      <c r="EK381" s="249"/>
      <c r="EL381" s="249"/>
      <c r="EM381" s="249"/>
      <c r="EN381" s="249"/>
      <c r="EO381" s="249"/>
      <c r="EP381" s="249"/>
      <c r="EQ381" s="249"/>
      <c r="ER381" s="249"/>
      <c r="ES381" s="249"/>
      <c r="ET381" s="249"/>
      <c r="EU381" s="249"/>
      <c r="EV381" s="249"/>
      <c r="EW381" s="249"/>
      <c r="EX381" s="249"/>
      <c r="EY381" s="249"/>
      <c r="EZ381" s="249"/>
      <c r="FA381" s="249"/>
      <c r="FB381" s="249"/>
      <c r="FC381" s="249"/>
      <c r="FD381" s="249"/>
      <c r="FE381" s="249"/>
      <c r="FF381" s="249"/>
      <c r="FG381" s="249"/>
      <c r="FH381" s="249"/>
      <c r="FI381" s="249"/>
      <c r="FJ381" s="249"/>
      <c r="FK381" s="249"/>
      <c r="FL381" s="249"/>
      <c r="FM381" s="249"/>
      <c r="FN381" s="249"/>
      <c r="FO381" s="249"/>
      <c r="FP381" s="249"/>
      <c r="FQ381" s="249"/>
      <c r="FR381" s="249"/>
      <c r="FS381" s="249"/>
      <c r="FT381" s="249"/>
      <c r="FU381" s="249"/>
      <c r="FV381" s="249"/>
      <c r="FW381" s="249"/>
      <c r="FX381" s="249"/>
      <c r="FY381" s="249"/>
      <c r="FZ381" s="249"/>
      <c r="GA381" s="249"/>
      <c r="GB381" s="249"/>
      <c r="GC381" s="249"/>
      <c r="GD381" s="249"/>
      <c r="GE381" s="249"/>
      <c r="GF381" s="249"/>
      <c r="GG381" s="249"/>
      <c r="GH381" s="249"/>
      <c r="GI381" s="249"/>
      <c r="GJ381" s="249"/>
      <c r="GK381" s="249"/>
      <c r="GL381" s="249"/>
      <c r="GM381" s="249"/>
      <c r="GN381" s="249"/>
      <c r="GO381" s="249"/>
      <c r="GP381" s="249"/>
      <c r="GQ381" s="249"/>
      <c r="GR381" s="249"/>
    </row>
    <row r="382" spans="1:200" s="252" customFormat="1" ht="12.75" customHeight="1" x14ac:dyDescent="0.2">
      <c r="A382" s="709"/>
      <c r="B382" s="1110"/>
      <c r="C382" s="1110"/>
      <c r="D382" s="257"/>
      <c r="E382" s="617"/>
      <c r="F382" s="296"/>
      <c r="G382" s="250"/>
      <c r="H382" s="250"/>
      <c r="I382" s="250"/>
      <c r="J382" s="250"/>
      <c r="K382" s="250"/>
      <c r="L382" s="250"/>
      <c r="M382" s="250"/>
      <c r="N382" s="250"/>
      <c r="O382" s="250"/>
      <c r="P382" s="251"/>
      <c r="Q382" s="251"/>
      <c r="R382" s="251"/>
      <c r="S382" s="249"/>
      <c r="T382" s="249"/>
      <c r="U382" s="2104" t="str">
        <f>U329</f>
        <v>No</v>
      </c>
      <c r="V382" s="1959" t="s">
        <v>268</v>
      </c>
      <c r="W382" s="246" t="s">
        <v>2611</v>
      </c>
      <c r="X382" s="1834"/>
      <c r="Y382" s="1834"/>
      <c r="Z382" s="1961">
        <f t="shared" si="90"/>
        <v>0</v>
      </c>
      <c r="AA382" s="1834"/>
      <c r="AB382" s="1961">
        <f t="shared" si="83"/>
        <v>0</v>
      </c>
      <c r="AC382" s="1834"/>
      <c r="AD382" s="1961">
        <f t="shared" si="84"/>
        <v>0</v>
      </c>
      <c r="AE382" s="1834"/>
      <c r="AF382" s="1962">
        <f t="shared" si="85"/>
        <v>0</v>
      </c>
      <c r="AG382" s="1834"/>
      <c r="AH382" s="2102" t="str">
        <f>IF($U382="Yes",'Casings et al'!$F48,"0")</f>
        <v>0</v>
      </c>
      <c r="AI382" s="246"/>
      <c r="AJ382" s="246">
        <f t="shared" si="87"/>
        <v>0</v>
      </c>
      <c r="AK382" s="246">
        <f>IFERROR(($W382*AK336),0)</f>
        <v>0</v>
      </c>
      <c r="AL382" s="246"/>
      <c r="AM382" s="246">
        <f t="shared" si="93"/>
        <v>0</v>
      </c>
      <c r="AN382" s="257"/>
      <c r="AO382" s="296"/>
      <c r="AP382" s="250"/>
      <c r="AQ382" s="250"/>
      <c r="AR382" s="250"/>
      <c r="AS382" s="250"/>
      <c r="AT382" s="250"/>
      <c r="AU382" s="250"/>
      <c r="AV382" s="249"/>
      <c r="AW382" s="249"/>
      <c r="AX382" s="249"/>
      <c r="AY382" s="249"/>
      <c r="AZ382" s="249"/>
      <c r="BA382" s="249"/>
      <c r="BB382" s="249"/>
      <c r="BC382" s="249"/>
      <c r="BD382" s="249"/>
      <c r="BE382" s="249"/>
      <c r="BF382" s="249"/>
      <c r="BG382" s="249"/>
      <c r="BH382" s="249"/>
      <c r="BI382" s="249"/>
      <c r="BJ382" s="249"/>
      <c r="BK382" s="249"/>
      <c r="BL382" s="249"/>
      <c r="BM382" s="249"/>
      <c r="BN382" s="249"/>
      <c r="BO382" s="249"/>
      <c r="BP382" s="249"/>
      <c r="BQ382" s="249"/>
      <c r="BR382" s="249"/>
      <c r="BS382" s="249"/>
      <c r="BT382" s="249"/>
      <c r="BU382" s="249"/>
      <c r="BV382" s="249"/>
      <c r="BW382" s="249"/>
      <c r="BX382" s="249"/>
      <c r="BY382" s="249"/>
      <c r="BZ382" s="249"/>
      <c r="CA382" s="249"/>
      <c r="CB382" s="249"/>
      <c r="CC382" s="249"/>
      <c r="CD382" s="249"/>
      <c r="CE382" s="249"/>
      <c r="CF382" s="249"/>
      <c r="CG382" s="249"/>
      <c r="CH382" s="249"/>
      <c r="CI382" s="249"/>
      <c r="CJ382" s="249"/>
      <c r="CK382" s="249"/>
      <c r="CL382" s="249"/>
      <c r="CM382" s="249"/>
      <c r="CN382" s="249"/>
      <c r="CO382" s="249"/>
      <c r="CP382" s="249"/>
      <c r="CQ382" s="249"/>
      <c r="CR382" s="249"/>
      <c r="CS382" s="249"/>
      <c r="CT382" s="249"/>
      <c r="CU382" s="249"/>
      <c r="CV382" s="249"/>
      <c r="CW382" s="249"/>
      <c r="CX382" s="249"/>
      <c r="CY382" s="249"/>
      <c r="CZ382" s="249"/>
      <c r="DA382" s="249"/>
      <c r="DB382" s="249"/>
      <c r="DC382" s="249"/>
      <c r="DD382" s="249"/>
      <c r="DE382" s="249"/>
      <c r="DF382" s="249"/>
      <c r="DG382" s="249"/>
      <c r="DH382" s="249"/>
      <c r="DI382" s="249"/>
      <c r="DJ382" s="249"/>
      <c r="DK382" s="249"/>
      <c r="DL382" s="249"/>
      <c r="DM382" s="249"/>
      <c r="DN382" s="249"/>
      <c r="DO382" s="249"/>
      <c r="DP382" s="249"/>
      <c r="DQ382" s="249"/>
      <c r="DR382" s="249"/>
      <c r="DS382" s="249"/>
      <c r="DT382" s="249"/>
      <c r="DU382" s="249"/>
      <c r="DV382" s="249"/>
      <c r="DW382" s="249"/>
      <c r="DX382" s="249"/>
      <c r="DY382" s="249"/>
      <c r="DZ382" s="249"/>
      <c r="EA382" s="249"/>
      <c r="EB382" s="249"/>
      <c r="EC382" s="249"/>
      <c r="ED382" s="249"/>
      <c r="EE382" s="249"/>
      <c r="EF382" s="249"/>
      <c r="EG382" s="249"/>
      <c r="EH382" s="249"/>
      <c r="EI382" s="249"/>
      <c r="EJ382" s="249"/>
      <c r="EK382" s="249"/>
      <c r="EL382" s="249"/>
      <c r="EM382" s="249"/>
      <c r="EN382" s="249"/>
      <c r="EO382" s="249"/>
      <c r="EP382" s="249"/>
      <c r="EQ382" s="249"/>
      <c r="ER382" s="249"/>
      <c r="ES382" s="249"/>
      <c r="ET382" s="249"/>
      <c r="EU382" s="249"/>
      <c r="EV382" s="249"/>
      <c r="EW382" s="249"/>
      <c r="EX382" s="249"/>
      <c r="EY382" s="249"/>
      <c r="EZ382" s="249"/>
      <c r="FA382" s="249"/>
      <c r="FB382" s="249"/>
      <c r="FC382" s="249"/>
      <c r="FD382" s="249"/>
      <c r="FE382" s="249"/>
      <c r="FF382" s="249"/>
      <c r="FG382" s="249"/>
      <c r="FH382" s="249"/>
      <c r="FI382" s="249"/>
      <c r="FJ382" s="249"/>
      <c r="FK382" s="249"/>
      <c r="FL382" s="249"/>
      <c r="FM382" s="249"/>
      <c r="FN382" s="249"/>
      <c r="FO382" s="249"/>
      <c r="FP382" s="249"/>
      <c r="FQ382" s="249"/>
      <c r="FR382" s="249"/>
      <c r="FS382" s="249"/>
      <c r="FT382" s="249"/>
      <c r="FU382" s="249"/>
      <c r="FV382" s="249"/>
      <c r="FW382" s="249"/>
      <c r="FX382" s="249"/>
      <c r="FY382" s="249"/>
      <c r="FZ382" s="249"/>
      <c r="GA382" s="249"/>
      <c r="GB382" s="249"/>
      <c r="GC382" s="249"/>
      <c r="GD382" s="249"/>
      <c r="GE382" s="249"/>
      <c r="GF382" s="249"/>
      <c r="GG382" s="249"/>
      <c r="GH382" s="249"/>
      <c r="GI382" s="249"/>
      <c r="GJ382" s="249"/>
      <c r="GK382" s="249"/>
      <c r="GL382" s="249"/>
      <c r="GM382" s="249"/>
      <c r="GN382" s="249"/>
      <c r="GO382" s="249"/>
      <c r="GP382" s="249"/>
      <c r="GQ382" s="249"/>
      <c r="GR382" s="249"/>
    </row>
    <row r="383" spans="1:200" s="252" customFormat="1" ht="13.5" customHeight="1" x14ac:dyDescent="0.2">
      <c r="A383" s="723"/>
      <c r="B383" s="1124"/>
      <c r="C383" s="1124"/>
      <c r="D383" s="537"/>
      <c r="E383" s="613"/>
      <c r="F383" s="249"/>
      <c r="G383" s="250"/>
      <c r="H383" s="250"/>
      <c r="I383" s="250"/>
      <c r="J383" s="250"/>
      <c r="K383" s="250"/>
      <c r="L383" s="250"/>
      <c r="M383" s="250"/>
      <c r="N383" s="250"/>
      <c r="O383" s="250"/>
      <c r="P383" s="251"/>
      <c r="Q383" s="251"/>
      <c r="R383" s="251"/>
      <c r="S383" s="249"/>
      <c r="T383" s="249"/>
      <c r="U383" s="256"/>
      <c r="V383" s="256"/>
      <c r="W383" s="254"/>
      <c r="X383" s="246">
        <f t="shared" ref="X383:AI383" si="95">SUM(X332:X382)</f>
        <v>0</v>
      </c>
      <c r="Y383" s="246">
        <f t="shared" si="95"/>
        <v>0</v>
      </c>
      <c r="Z383" s="246">
        <f>SUMPRODUCT(Z332:Z338,Z279:Z285)</f>
        <v>6138173.4549375065</v>
      </c>
      <c r="AA383" s="246">
        <f t="shared" si="95"/>
        <v>0</v>
      </c>
      <c r="AB383" s="246">
        <f>SUMPRODUCT(AB339:AB347,AB286:AB294)</f>
        <v>7161921.7015668498</v>
      </c>
      <c r="AC383" s="246">
        <f t="shared" si="95"/>
        <v>0</v>
      </c>
      <c r="AD383" s="246">
        <f>SUMPRODUCT(AD348:AD357,AD295:AD304)</f>
        <v>9923000.9602692537</v>
      </c>
      <c r="AE383" s="246">
        <f t="shared" si="95"/>
        <v>0</v>
      </c>
      <c r="AF383" s="246">
        <f>SUMPRODUCT(AF373:AF379,AF320:AF326)+SUMPRODUCT(AF358:AF364,AF305:AF311)*IF(U373="Yes",0,1)</f>
        <v>3197721.2179083494</v>
      </c>
      <c r="AG383" s="246">
        <f t="shared" si="95"/>
        <v>0</v>
      </c>
      <c r="AH383" s="246">
        <f>SUMPRODUCT(AH380:AH382,AH327:AH329)+SUMPRODUCT(AH365:AH367,AH312:AH314)*IF(U373="Yes",0,1)</f>
        <v>1847931.96</v>
      </c>
      <c r="AI383" s="246">
        <f t="shared" si="95"/>
        <v>0</v>
      </c>
      <c r="AJ383" s="246">
        <f t="shared" si="87"/>
        <v>0</v>
      </c>
      <c r="AK383" s="246">
        <f>SUM(AK332:AK382)</f>
        <v>0</v>
      </c>
      <c r="AL383" s="246"/>
      <c r="AM383" s="1452">
        <f ca="1">SUM(AM332:AM382)</f>
        <v>28268749.294681951</v>
      </c>
      <c r="AN383" s="172"/>
      <c r="AO383" s="249"/>
      <c r="AP383" s="250"/>
      <c r="AQ383" s="250"/>
      <c r="AR383" s="250"/>
      <c r="AS383" s="250"/>
      <c r="AT383" s="250"/>
      <c r="AU383" s="250"/>
      <c r="AV383" s="249"/>
      <c r="AW383" s="249"/>
      <c r="AX383" s="249"/>
      <c r="AY383" s="249"/>
      <c r="AZ383" s="249"/>
      <c r="BA383" s="249"/>
      <c r="BB383" s="249"/>
      <c r="BC383" s="249"/>
      <c r="BD383" s="249"/>
      <c r="BE383" s="249"/>
      <c r="BF383" s="249"/>
      <c r="BG383" s="249"/>
      <c r="BH383" s="249"/>
      <c r="BI383" s="249"/>
      <c r="BJ383" s="249"/>
      <c r="BK383" s="249"/>
      <c r="BL383" s="249"/>
      <c r="BM383" s="249"/>
      <c r="BN383" s="249"/>
      <c r="BO383" s="249"/>
      <c r="BP383" s="249"/>
      <c r="BQ383" s="249"/>
      <c r="BR383" s="249"/>
      <c r="BS383" s="249"/>
      <c r="BT383" s="249"/>
      <c r="BU383" s="249"/>
      <c r="BV383" s="249"/>
      <c r="BW383" s="249"/>
      <c r="BX383" s="249"/>
      <c r="BY383" s="249"/>
      <c r="BZ383" s="249"/>
      <c r="CA383" s="249"/>
      <c r="CB383" s="249"/>
      <c r="CC383" s="249"/>
      <c r="CD383" s="249"/>
      <c r="CE383" s="249"/>
      <c r="CF383" s="249"/>
      <c r="CG383" s="249"/>
      <c r="CH383" s="249"/>
      <c r="CI383" s="249"/>
      <c r="CJ383" s="249"/>
      <c r="CK383" s="249"/>
      <c r="CL383" s="249"/>
      <c r="CM383" s="249"/>
      <c r="CN383" s="249"/>
      <c r="CO383" s="249"/>
      <c r="CP383" s="249"/>
      <c r="CQ383" s="249"/>
      <c r="CR383" s="249"/>
      <c r="CS383" s="249"/>
      <c r="CT383" s="249"/>
      <c r="CU383" s="249"/>
      <c r="CV383" s="249"/>
      <c r="CW383" s="249"/>
      <c r="CX383" s="249"/>
      <c r="CY383" s="249"/>
      <c r="CZ383" s="249"/>
      <c r="DA383" s="249"/>
      <c r="DB383" s="249"/>
      <c r="DC383" s="249"/>
      <c r="DD383" s="249"/>
      <c r="DE383" s="249"/>
      <c r="DF383" s="249"/>
      <c r="DG383" s="249"/>
      <c r="DH383" s="249"/>
      <c r="DI383" s="249"/>
      <c r="DJ383" s="249"/>
      <c r="DK383" s="249"/>
      <c r="DL383" s="249"/>
      <c r="DM383" s="249"/>
      <c r="DN383" s="249"/>
      <c r="DO383" s="249"/>
      <c r="DP383" s="249"/>
      <c r="DQ383" s="249"/>
      <c r="DR383" s="249"/>
      <c r="DS383" s="249"/>
      <c r="DT383" s="249"/>
      <c r="DU383" s="249"/>
      <c r="DV383" s="249"/>
      <c r="DW383" s="249"/>
      <c r="DX383" s="249"/>
      <c r="DY383" s="249"/>
      <c r="DZ383" s="249"/>
      <c r="EA383" s="249"/>
      <c r="EB383" s="249"/>
      <c r="EC383" s="249"/>
      <c r="ED383" s="249"/>
      <c r="EE383" s="249"/>
      <c r="EF383" s="249"/>
      <c r="EG383" s="249"/>
      <c r="EH383" s="249"/>
      <c r="EI383" s="249"/>
      <c r="EJ383" s="249"/>
      <c r="EK383" s="249"/>
      <c r="EL383" s="249"/>
      <c r="EM383" s="249"/>
      <c r="EN383" s="249"/>
      <c r="EO383" s="249"/>
      <c r="EP383" s="249"/>
      <c r="EQ383" s="249"/>
      <c r="ER383" s="249"/>
      <c r="ES383" s="249"/>
      <c r="ET383" s="249"/>
      <c r="EU383" s="249"/>
      <c r="EV383" s="249"/>
      <c r="EW383" s="249"/>
      <c r="EX383" s="249"/>
      <c r="EY383" s="249"/>
      <c r="EZ383" s="249"/>
      <c r="FA383" s="249"/>
      <c r="FB383" s="249"/>
      <c r="FC383" s="249"/>
      <c r="FD383" s="249"/>
      <c r="FE383" s="249"/>
      <c r="FF383" s="249"/>
      <c r="FG383" s="249"/>
      <c r="FH383" s="249"/>
      <c r="FI383" s="249"/>
      <c r="FJ383" s="249"/>
      <c r="FK383" s="249"/>
      <c r="FL383" s="249"/>
      <c r="FM383" s="249"/>
      <c r="FN383" s="249"/>
      <c r="FO383" s="249"/>
      <c r="FP383" s="249"/>
      <c r="FQ383" s="249"/>
      <c r="FR383" s="249"/>
      <c r="FS383" s="249"/>
      <c r="FT383" s="249"/>
      <c r="FU383" s="249"/>
      <c r="FV383" s="249"/>
      <c r="FW383" s="249"/>
      <c r="FX383" s="249"/>
      <c r="FY383" s="249"/>
      <c r="FZ383" s="249"/>
      <c r="GA383" s="249"/>
      <c r="GB383" s="249"/>
      <c r="GC383" s="249"/>
      <c r="GD383" s="249"/>
      <c r="GE383" s="249"/>
      <c r="GF383" s="249"/>
      <c r="GG383" s="249"/>
      <c r="GH383" s="249"/>
      <c r="GI383" s="249"/>
      <c r="GJ383" s="249"/>
      <c r="GK383" s="249"/>
      <c r="GL383" s="249"/>
      <c r="GM383" s="249"/>
      <c r="GN383" s="249"/>
      <c r="GO383" s="249"/>
      <c r="GP383" s="249"/>
      <c r="GQ383" s="249"/>
      <c r="GR383" s="249"/>
    </row>
    <row r="384" spans="1:200" s="252" customFormat="1" ht="12.75" customHeight="1" x14ac:dyDescent="0.2">
      <c r="A384" s="723"/>
      <c r="B384" s="1124"/>
      <c r="C384" s="1124"/>
      <c r="D384" s="527"/>
      <c r="E384" s="596"/>
      <c r="F384" s="249"/>
      <c r="G384" s="250"/>
      <c r="H384" s="250"/>
      <c r="I384" s="250"/>
      <c r="J384" s="250"/>
      <c r="K384" s="250"/>
      <c r="L384" s="250"/>
      <c r="M384" s="250"/>
      <c r="N384" s="250"/>
      <c r="O384" s="250"/>
      <c r="P384" s="251"/>
      <c r="Q384" s="251"/>
      <c r="R384" s="251"/>
      <c r="S384" s="249"/>
      <c r="T384" s="249"/>
      <c r="U384" s="181"/>
      <c r="V384" s="181"/>
      <c r="W384" s="172"/>
      <c r="X384" s="257"/>
      <c r="Y384" s="257"/>
      <c r="Z384" s="257"/>
      <c r="AA384" s="528"/>
      <c r="AB384" s="528"/>
      <c r="AC384" s="530"/>
      <c r="AD384" s="530"/>
      <c r="AE384" s="530"/>
      <c r="AF384" s="530"/>
      <c r="AG384" s="530"/>
      <c r="AH384" s="530"/>
      <c r="AI384" s="530"/>
      <c r="AJ384" s="530"/>
      <c r="AK384" s="530"/>
      <c r="AL384" s="530"/>
      <c r="AM384" s="527"/>
      <c r="AN384" s="172"/>
      <c r="AO384" s="249"/>
      <c r="AP384" s="250"/>
      <c r="AQ384" s="250"/>
      <c r="AR384" s="250"/>
      <c r="AS384" s="250"/>
      <c r="AT384" s="250"/>
      <c r="AU384" s="250"/>
      <c r="AV384" s="249"/>
      <c r="AW384" s="249"/>
      <c r="AX384" s="249"/>
      <c r="AY384" s="249"/>
      <c r="AZ384" s="249"/>
      <c r="BA384" s="249"/>
      <c r="BB384" s="249"/>
      <c r="BC384" s="249"/>
      <c r="BD384" s="249"/>
      <c r="BE384" s="249"/>
      <c r="BF384" s="249"/>
      <c r="BG384" s="249"/>
      <c r="BH384" s="249"/>
      <c r="BI384" s="249"/>
      <c r="BJ384" s="249"/>
      <c r="BK384" s="249"/>
      <c r="BL384" s="249"/>
      <c r="BM384" s="249"/>
      <c r="BN384" s="249"/>
      <c r="BO384" s="249"/>
      <c r="BP384" s="249"/>
      <c r="BQ384" s="249"/>
      <c r="BR384" s="249"/>
      <c r="BS384" s="249"/>
      <c r="BT384" s="249"/>
      <c r="BU384" s="249"/>
      <c r="BV384" s="249"/>
      <c r="BW384" s="249"/>
      <c r="BX384" s="249"/>
      <c r="BY384" s="249"/>
      <c r="BZ384" s="249"/>
      <c r="CA384" s="249"/>
      <c r="CB384" s="249"/>
      <c r="CC384" s="249"/>
      <c r="CD384" s="249"/>
      <c r="CE384" s="249"/>
      <c r="CF384" s="249"/>
      <c r="CG384" s="249"/>
      <c r="CH384" s="249"/>
      <c r="CI384" s="249"/>
      <c r="CJ384" s="249"/>
      <c r="CK384" s="249"/>
      <c r="CL384" s="249"/>
      <c r="CM384" s="249"/>
      <c r="CN384" s="249"/>
      <c r="CO384" s="249"/>
      <c r="CP384" s="249"/>
      <c r="CQ384" s="249"/>
      <c r="CR384" s="249"/>
      <c r="CS384" s="249"/>
      <c r="CT384" s="249"/>
      <c r="CU384" s="249"/>
      <c r="CV384" s="249"/>
      <c r="CW384" s="249"/>
      <c r="CX384" s="249"/>
      <c r="CY384" s="249"/>
      <c r="CZ384" s="249"/>
      <c r="DA384" s="249"/>
      <c r="DB384" s="249"/>
      <c r="DC384" s="249"/>
      <c r="DD384" s="249"/>
      <c r="DE384" s="249"/>
      <c r="DF384" s="249"/>
      <c r="DG384" s="249"/>
      <c r="DH384" s="249"/>
      <c r="DI384" s="249"/>
      <c r="DJ384" s="249"/>
      <c r="DK384" s="249"/>
      <c r="DL384" s="249"/>
      <c r="DM384" s="249"/>
      <c r="DN384" s="249"/>
      <c r="DO384" s="249"/>
      <c r="DP384" s="249"/>
      <c r="DQ384" s="249"/>
      <c r="DR384" s="249"/>
      <c r="DS384" s="249"/>
      <c r="DT384" s="249"/>
      <c r="DU384" s="249"/>
      <c r="DV384" s="249"/>
      <c r="DW384" s="249"/>
      <c r="DX384" s="249"/>
      <c r="DY384" s="249"/>
      <c r="DZ384" s="249"/>
      <c r="EA384" s="249"/>
      <c r="EB384" s="249"/>
      <c r="EC384" s="249"/>
      <c r="ED384" s="249"/>
      <c r="EE384" s="249"/>
      <c r="EF384" s="249"/>
      <c r="EG384" s="249"/>
      <c r="EH384" s="249"/>
      <c r="EI384" s="249"/>
      <c r="EJ384" s="249"/>
      <c r="EK384" s="249"/>
      <c r="EL384" s="249"/>
      <c r="EM384" s="249"/>
      <c r="EN384" s="249"/>
      <c r="EO384" s="249"/>
      <c r="EP384" s="249"/>
      <c r="EQ384" s="249"/>
      <c r="ER384" s="249"/>
      <c r="ES384" s="249"/>
      <c r="ET384" s="249"/>
      <c r="EU384" s="249"/>
      <c r="EV384" s="249"/>
      <c r="EW384" s="249"/>
      <c r="EX384" s="249"/>
      <c r="EY384" s="249"/>
      <c r="EZ384" s="249"/>
      <c r="FA384" s="249"/>
      <c r="FB384" s="249"/>
      <c r="FC384" s="249"/>
      <c r="FD384" s="249"/>
      <c r="FE384" s="249"/>
      <c r="FF384" s="249"/>
      <c r="FG384" s="249"/>
      <c r="FH384" s="249"/>
      <c r="FI384" s="249"/>
      <c r="FJ384" s="249"/>
      <c r="FK384" s="249"/>
      <c r="FL384" s="249"/>
      <c r="FM384" s="249"/>
      <c r="FN384" s="249"/>
      <c r="FO384" s="249"/>
      <c r="FP384" s="249"/>
      <c r="FQ384" s="249"/>
      <c r="FR384" s="249"/>
      <c r="FS384" s="249"/>
      <c r="FT384" s="249"/>
      <c r="FU384" s="249"/>
      <c r="FV384" s="249"/>
      <c r="FW384" s="249"/>
      <c r="FX384" s="249"/>
      <c r="FY384" s="249"/>
      <c r="FZ384" s="249"/>
      <c r="GA384" s="249"/>
      <c r="GB384" s="249"/>
      <c r="GC384" s="249"/>
      <c r="GD384" s="249"/>
      <c r="GE384" s="249"/>
      <c r="GF384" s="249"/>
      <c r="GG384" s="249"/>
      <c r="GH384" s="249"/>
      <c r="GI384" s="249"/>
      <c r="GJ384" s="249"/>
      <c r="GK384" s="249"/>
      <c r="GL384" s="249"/>
      <c r="GM384" s="249"/>
      <c r="GN384" s="249"/>
      <c r="GO384" s="249"/>
      <c r="GP384" s="249"/>
      <c r="GQ384" s="249"/>
      <c r="GR384" s="249"/>
    </row>
    <row r="385" spans="1:200" s="252" customFormat="1" ht="12.75" customHeight="1" x14ac:dyDescent="0.2">
      <c r="A385" s="723"/>
      <c r="B385" s="1124"/>
      <c r="C385" s="1124"/>
      <c r="D385" s="527"/>
      <c r="E385" s="596"/>
      <c r="F385" s="249"/>
      <c r="G385" s="250"/>
      <c r="H385" s="250"/>
      <c r="I385" s="250"/>
      <c r="J385" s="250"/>
      <c r="K385" s="250"/>
      <c r="L385" s="250"/>
      <c r="M385" s="250"/>
      <c r="N385" s="250"/>
      <c r="O385" s="250"/>
      <c r="P385" s="251"/>
      <c r="Q385" s="251"/>
      <c r="R385" s="251"/>
      <c r="S385" s="249"/>
      <c r="T385" s="249"/>
      <c r="U385" s="181"/>
      <c r="V385" s="181"/>
      <c r="W385" s="172"/>
      <c r="X385" s="257"/>
      <c r="Y385" s="257"/>
      <c r="Z385" s="257"/>
      <c r="AA385" s="528"/>
      <c r="AB385" s="528"/>
      <c r="AC385" s="530"/>
      <c r="AD385" s="530"/>
      <c r="AE385" s="530"/>
      <c r="AF385" s="530"/>
      <c r="AG385" s="530"/>
      <c r="AH385" s="530"/>
      <c r="AI385" s="530"/>
      <c r="AJ385" s="530"/>
      <c r="AK385" s="530"/>
      <c r="AL385" s="530"/>
      <c r="AM385" s="527"/>
      <c r="AN385" s="172"/>
      <c r="AO385" s="249"/>
      <c r="AP385" s="250"/>
      <c r="AQ385" s="250"/>
      <c r="AR385" s="250"/>
      <c r="AS385" s="250"/>
      <c r="AT385" s="250"/>
      <c r="AU385" s="250"/>
      <c r="AV385" s="249"/>
      <c r="AW385" s="249"/>
      <c r="AX385" s="249"/>
      <c r="AY385" s="249"/>
      <c r="AZ385" s="249"/>
      <c r="BA385" s="249"/>
      <c r="BB385" s="249"/>
      <c r="BC385" s="249"/>
      <c r="BD385" s="249"/>
      <c r="BE385" s="249"/>
      <c r="BF385" s="249"/>
      <c r="BG385" s="249"/>
      <c r="BH385" s="249"/>
      <c r="BI385" s="249"/>
      <c r="BJ385" s="249"/>
      <c r="BK385" s="249"/>
      <c r="BL385" s="249"/>
      <c r="BM385" s="249"/>
      <c r="BN385" s="249"/>
      <c r="BO385" s="249"/>
      <c r="BP385" s="249"/>
      <c r="BQ385" s="249"/>
      <c r="BR385" s="249"/>
      <c r="BS385" s="249"/>
      <c r="BT385" s="249"/>
      <c r="BU385" s="249"/>
      <c r="BV385" s="249"/>
      <c r="BW385" s="249"/>
      <c r="BX385" s="249"/>
      <c r="BY385" s="249"/>
      <c r="BZ385" s="249"/>
      <c r="CA385" s="249"/>
      <c r="CB385" s="249"/>
      <c r="CC385" s="249"/>
      <c r="CD385" s="249"/>
      <c r="CE385" s="249"/>
      <c r="CF385" s="249"/>
      <c r="CG385" s="249"/>
      <c r="CH385" s="249"/>
      <c r="CI385" s="249"/>
      <c r="CJ385" s="249"/>
      <c r="CK385" s="249"/>
      <c r="CL385" s="249"/>
      <c r="CM385" s="249"/>
      <c r="CN385" s="249"/>
      <c r="CO385" s="249"/>
      <c r="CP385" s="249"/>
      <c r="CQ385" s="249"/>
      <c r="CR385" s="249"/>
      <c r="CS385" s="249"/>
      <c r="CT385" s="249"/>
      <c r="CU385" s="249"/>
      <c r="CV385" s="249"/>
      <c r="CW385" s="249"/>
      <c r="CX385" s="249"/>
      <c r="CY385" s="249"/>
      <c r="CZ385" s="249"/>
      <c r="DA385" s="249"/>
      <c r="DB385" s="249"/>
      <c r="DC385" s="249"/>
      <c r="DD385" s="249"/>
      <c r="DE385" s="249"/>
      <c r="DF385" s="249"/>
      <c r="DG385" s="249"/>
      <c r="DH385" s="249"/>
      <c r="DI385" s="249"/>
      <c r="DJ385" s="249"/>
      <c r="DK385" s="249"/>
      <c r="DL385" s="249"/>
      <c r="DM385" s="249"/>
      <c r="DN385" s="249"/>
      <c r="DO385" s="249"/>
      <c r="DP385" s="249"/>
      <c r="DQ385" s="249"/>
      <c r="DR385" s="249"/>
      <c r="DS385" s="249"/>
      <c r="DT385" s="249"/>
      <c r="DU385" s="249"/>
      <c r="DV385" s="249"/>
      <c r="DW385" s="249"/>
      <c r="DX385" s="249"/>
      <c r="DY385" s="249"/>
      <c r="DZ385" s="249"/>
      <c r="EA385" s="249"/>
      <c r="EB385" s="249"/>
      <c r="EC385" s="249"/>
      <c r="ED385" s="249"/>
      <c r="EE385" s="249"/>
      <c r="EF385" s="249"/>
      <c r="EG385" s="249"/>
      <c r="EH385" s="249"/>
      <c r="EI385" s="249"/>
      <c r="EJ385" s="249"/>
      <c r="EK385" s="249"/>
      <c r="EL385" s="249"/>
      <c r="EM385" s="249"/>
      <c r="EN385" s="249"/>
      <c r="EO385" s="249"/>
      <c r="EP385" s="249"/>
      <c r="EQ385" s="249"/>
      <c r="ER385" s="249"/>
      <c r="ES385" s="249"/>
      <c r="ET385" s="249"/>
      <c r="EU385" s="249"/>
      <c r="EV385" s="249"/>
      <c r="EW385" s="249"/>
      <c r="EX385" s="249"/>
      <c r="EY385" s="249"/>
      <c r="EZ385" s="249"/>
      <c r="FA385" s="249"/>
      <c r="FB385" s="249"/>
      <c r="FC385" s="249"/>
      <c r="FD385" s="249"/>
      <c r="FE385" s="249"/>
      <c r="FF385" s="249"/>
      <c r="FG385" s="249"/>
      <c r="FH385" s="249"/>
      <c r="FI385" s="249"/>
      <c r="FJ385" s="249"/>
      <c r="FK385" s="249"/>
      <c r="FL385" s="249"/>
      <c r="FM385" s="249"/>
      <c r="FN385" s="249"/>
      <c r="FO385" s="249"/>
      <c r="FP385" s="249"/>
      <c r="FQ385" s="249"/>
      <c r="FR385" s="249"/>
      <c r="FS385" s="249"/>
      <c r="FT385" s="249"/>
      <c r="FU385" s="249"/>
      <c r="FV385" s="249"/>
      <c r="FW385" s="249"/>
      <c r="FX385" s="249"/>
      <c r="FY385" s="249"/>
      <c r="FZ385" s="249"/>
      <c r="GA385" s="249"/>
      <c r="GB385" s="249"/>
      <c r="GC385" s="249"/>
      <c r="GD385" s="249"/>
      <c r="GE385" s="249"/>
      <c r="GF385" s="249"/>
      <c r="GG385" s="249"/>
      <c r="GH385" s="249"/>
      <c r="GI385" s="249"/>
      <c r="GJ385" s="249"/>
      <c r="GK385" s="249"/>
      <c r="GL385" s="249"/>
      <c r="GM385" s="249"/>
      <c r="GN385" s="249"/>
      <c r="GO385" s="249"/>
      <c r="GP385" s="249"/>
      <c r="GQ385" s="249"/>
      <c r="GR385" s="249"/>
    </row>
    <row r="386" spans="1:200" s="252" customFormat="1" ht="12.75" customHeight="1" x14ac:dyDescent="0.2">
      <c r="A386" s="723"/>
      <c r="B386" s="1124"/>
      <c r="C386" s="1124"/>
      <c r="D386" s="527"/>
      <c r="E386" s="596"/>
      <c r="F386" s="249"/>
      <c r="G386" s="250"/>
      <c r="H386" s="250"/>
      <c r="I386" s="250"/>
      <c r="J386" s="250"/>
      <c r="K386" s="250"/>
      <c r="L386" s="250"/>
      <c r="M386" s="250"/>
      <c r="N386" s="250"/>
      <c r="O386" s="250"/>
      <c r="P386" s="251"/>
      <c r="Q386" s="251"/>
      <c r="R386" s="251"/>
      <c r="S386" s="249"/>
      <c r="T386" s="249"/>
      <c r="U386" s="181"/>
      <c r="V386" s="181" t="s">
        <v>817</v>
      </c>
      <c r="W386" s="172"/>
      <c r="X386" s="257"/>
      <c r="Y386" s="257"/>
      <c r="Z386" s="257"/>
      <c r="AA386" s="528"/>
      <c r="AB386" s="528"/>
      <c r="AC386" s="530"/>
      <c r="AD386" s="530"/>
      <c r="AE386" s="530"/>
      <c r="AF386" s="530"/>
      <c r="AG386" s="530"/>
      <c r="AH386" s="530"/>
      <c r="AI386" s="530"/>
      <c r="AJ386" s="530"/>
      <c r="AK386" s="530"/>
      <c r="AL386" s="530"/>
      <c r="AM386" s="527"/>
      <c r="AN386" s="172"/>
      <c r="AO386" s="249"/>
      <c r="AP386" s="250"/>
      <c r="AQ386" s="250"/>
      <c r="AR386" s="250"/>
      <c r="AS386" s="250"/>
      <c r="AT386" s="250"/>
      <c r="AU386" s="250"/>
      <c r="AV386" s="249"/>
      <c r="AW386" s="249"/>
      <c r="AX386" s="249"/>
      <c r="AY386" s="249"/>
      <c r="AZ386" s="249"/>
      <c r="BA386" s="249"/>
      <c r="BB386" s="249"/>
      <c r="BC386" s="249"/>
      <c r="BD386" s="249"/>
      <c r="BE386" s="249"/>
      <c r="BF386" s="249"/>
      <c r="BG386" s="249"/>
      <c r="BH386" s="249"/>
      <c r="BI386" s="249"/>
      <c r="BJ386" s="249"/>
      <c r="BK386" s="249"/>
      <c r="BL386" s="249"/>
      <c r="BM386" s="249"/>
      <c r="BN386" s="249"/>
      <c r="BO386" s="249"/>
      <c r="BP386" s="249"/>
      <c r="BQ386" s="249"/>
      <c r="BR386" s="249"/>
      <c r="BS386" s="249"/>
      <c r="BT386" s="249"/>
      <c r="BU386" s="249"/>
      <c r="BV386" s="249"/>
      <c r="BW386" s="249"/>
      <c r="BX386" s="249"/>
      <c r="BY386" s="249"/>
      <c r="BZ386" s="249"/>
      <c r="CA386" s="249"/>
      <c r="CB386" s="249"/>
      <c r="CC386" s="249"/>
      <c r="CD386" s="249"/>
      <c r="CE386" s="249"/>
      <c r="CF386" s="249"/>
      <c r="CG386" s="249"/>
      <c r="CH386" s="249"/>
      <c r="CI386" s="249"/>
      <c r="CJ386" s="249"/>
      <c r="CK386" s="249"/>
      <c r="CL386" s="249"/>
      <c r="CM386" s="249"/>
      <c r="CN386" s="249"/>
      <c r="CO386" s="249"/>
      <c r="CP386" s="249"/>
      <c r="CQ386" s="249"/>
      <c r="CR386" s="249"/>
      <c r="CS386" s="249"/>
      <c r="CT386" s="249"/>
      <c r="CU386" s="249"/>
      <c r="CV386" s="249"/>
      <c r="CW386" s="249"/>
      <c r="CX386" s="249"/>
      <c r="CY386" s="249"/>
      <c r="CZ386" s="249"/>
      <c r="DA386" s="249"/>
      <c r="DB386" s="249"/>
      <c r="DC386" s="249"/>
      <c r="DD386" s="249"/>
      <c r="DE386" s="249"/>
      <c r="DF386" s="249"/>
      <c r="DG386" s="249"/>
      <c r="DH386" s="249"/>
      <c r="DI386" s="249"/>
      <c r="DJ386" s="249"/>
      <c r="DK386" s="249"/>
      <c r="DL386" s="249"/>
      <c r="DM386" s="249"/>
      <c r="DN386" s="249"/>
      <c r="DO386" s="249"/>
      <c r="DP386" s="249"/>
      <c r="DQ386" s="249"/>
      <c r="DR386" s="249"/>
      <c r="DS386" s="249"/>
      <c r="DT386" s="249"/>
      <c r="DU386" s="249"/>
      <c r="DV386" s="249"/>
      <c r="DW386" s="249"/>
      <c r="DX386" s="249"/>
      <c r="DY386" s="249"/>
      <c r="DZ386" s="249"/>
      <c r="EA386" s="249"/>
      <c r="EB386" s="249"/>
      <c r="EC386" s="249"/>
      <c r="ED386" s="249"/>
      <c r="EE386" s="249"/>
      <c r="EF386" s="249"/>
      <c r="EG386" s="249"/>
      <c r="EH386" s="249"/>
      <c r="EI386" s="249"/>
      <c r="EJ386" s="249"/>
      <c r="EK386" s="249"/>
      <c r="EL386" s="249"/>
      <c r="EM386" s="249"/>
      <c r="EN386" s="249"/>
      <c r="EO386" s="249"/>
      <c r="EP386" s="249"/>
      <c r="EQ386" s="249"/>
      <c r="ER386" s="249"/>
      <c r="ES386" s="249"/>
      <c r="ET386" s="249"/>
      <c r="EU386" s="249"/>
      <c r="EV386" s="249"/>
      <c r="EW386" s="249"/>
      <c r="EX386" s="249"/>
      <c r="EY386" s="249"/>
      <c r="EZ386" s="249"/>
      <c r="FA386" s="249"/>
      <c r="FB386" s="249"/>
      <c r="FC386" s="249"/>
      <c r="FD386" s="249"/>
      <c r="FE386" s="249"/>
      <c r="FF386" s="249"/>
      <c r="FG386" s="249"/>
      <c r="FH386" s="249"/>
      <c r="FI386" s="249"/>
      <c r="FJ386" s="249"/>
      <c r="FK386" s="249"/>
      <c r="FL386" s="249"/>
      <c r="FM386" s="249"/>
      <c r="FN386" s="249"/>
      <c r="FO386" s="249"/>
      <c r="FP386" s="249"/>
      <c r="FQ386" s="249"/>
      <c r="FR386" s="249"/>
      <c r="FS386" s="249"/>
      <c r="FT386" s="249"/>
      <c r="FU386" s="249"/>
      <c r="FV386" s="249"/>
      <c r="FW386" s="249"/>
      <c r="FX386" s="249"/>
      <c r="FY386" s="249"/>
      <c r="FZ386" s="249"/>
      <c r="GA386" s="249"/>
      <c r="GB386" s="249"/>
      <c r="GC386" s="249"/>
      <c r="GD386" s="249"/>
      <c r="GE386" s="249"/>
      <c r="GF386" s="249"/>
      <c r="GG386" s="249"/>
      <c r="GH386" s="249"/>
      <c r="GI386" s="249"/>
      <c r="GJ386" s="249"/>
      <c r="GK386" s="249"/>
      <c r="GL386" s="249"/>
      <c r="GM386" s="249"/>
      <c r="GN386" s="249"/>
      <c r="GO386" s="249"/>
      <c r="GP386" s="249"/>
      <c r="GQ386" s="249"/>
      <c r="GR386" s="249"/>
    </row>
    <row r="387" spans="1:200" s="252" customFormat="1" ht="12.75" customHeight="1" x14ac:dyDescent="0.2">
      <c r="A387" s="723"/>
      <c r="B387" s="1124"/>
      <c r="C387" s="1124"/>
      <c r="D387" s="527"/>
      <c r="E387" s="596"/>
      <c r="F387" s="249"/>
      <c r="G387" s="250"/>
      <c r="H387" s="250"/>
      <c r="I387" s="250"/>
      <c r="J387" s="250"/>
      <c r="K387" s="250"/>
      <c r="L387" s="250"/>
      <c r="M387" s="250"/>
      <c r="N387" s="250"/>
      <c r="O387" s="250"/>
      <c r="P387" s="251"/>
      <c r="Q387" s="251"/>
      <c r="R387" s="251"/>
      <c r="S387" s="249"/>
      <c r="T387" s="249"/>
      <c r="U387" s="2513" t="s">
        <v>152</v>
      </c>
      <c r="V387" s="2514"/>
      <c r="W387" s="1440" t="s">
        <v>153</v>
      </c>
      <c r="X387" s="1426" t="str">
        <f t="shared" ref="X387:AK387" si="96">X$14</f>
        <v>RIGMOVE</v>
      </c>
      <c r="Y387" s="1426" t="str">
        <f t="shared" si="96"/>
        <v>DSURFACE</v>
      </c>
      <c r="Z387" s="1426" t="str">
        <f t="shared" si="96"/>
        <v>FSURFACE</v>
      </c>
      <c r="AA387" s="1426" t="str">
        <f t="shared" si="96"/>
        <v>DINTERMEDIATE</v>
      </c>
      <c r="AB387" s="1426" t="str">
        <f t="shared" si="96"/>
        <v>FINTERMEDIATE</v>
      </c>
      <c r="AC387" s="1426" t="str">
        <f t="shared" si="96"/>
        <v>DPRODUCTION</v>
      </c>
      <c r="AD387" s="1426" t="str">
        <f t="shared" si="96"/>
        <v>FPRODUCTION</v>
      </c>
      <c r="AE387" s="1426" t="str">
        <f t="shared" si="96"/>
        <v>DLINER1</v>
      </c>
      <c r="AF387" s="1426" t="str">
        <f t="shared" si="96"/>
        <v>FLINER1</v>
      </c>
      <c r="AG387" s="1426" t="str">
        <f t="shared" si="96"/>
        <v>DLINER2</v>
      </c>
      <c r="AH387" s="1426" t="str">
        <f t="shared" si="96"/>
        <v>FLINER2</v>
      </c>
      <c r="AI387" s="1426" t="str">
        <f t="shared" si="96"/>
        <v/>
      </c>
      <c r="AJ387" s="1426" t="str">
        <f t="shared" si="96"/>
        <v/>
      </c>
      <c r="AK387" s="1426" t="str">
        <f t="shared" si="96"/>
        <v/>
      </c>
      <c r="AL387" s="1426"/>
      <c r="AM387" s="1437" t="s">
        <v>101</v>
      </c>
      <c r="AN387" s="172"/>
      <c r="AO387" s="249"/>
      <c r="AP387" s="250"/>
      <c r="AQ387" s="250"/>
      <c r="AR387" s="250"/>
      <c r="AS387" s="250"/>
      <c r="AT387" s="250"/>
      <c r="AU387" s="250"/>
      <c r="AV387" s="249"/>
      <c r="AW387" s="249"/>
      <c r="AX387" s="249"/>
      <c r="AY387" s="249"/>
      <c r="AZ387" s="249"/>
      <c r="BA387" s="249"/>
      <c r="BB387" s="249"/>
      <c r="BC387" s="249"/>
      <c r="BD387" s="249"/>
      <c r="BE387" s="249"/>
      <c r="BF387" s="249"/>
      <c r="BG387" s="249"/>
      <c r="BH387" s="249"/>
      <c r="BI387" s="249"/>
      <c r="BJ387" s="249"/>
      <c r="BK387" s="249"/>
      <c r="BL387" s="249"/>
      <c r="BM387" s="249"/>
      <c r="BN387" s="249"/>
      <c r="BO387" s="249"/>
      <c r="BP387" s="249"/>
      <c r="BQ387" s="249"/>
      <c r="BR387" s="249"/>
      <c r="BS387" s="249"/>
      <c r="BT387" s="249"/>
      <c r="BU387" s="249"/>
      <c r="BV387" s="249"/>
      <c r="BW387" s="249"/>
      <c r="BX387" s="249"/>
      <c r="BY387" s="249"/>
      <c r="BZ387" s="249"/>
      <c r="CA387" s="249"/>
      <c r="CB387" s="249"/>
      <c r="CC387" s="249"/>
      <c r="CD387" s="249"/>
      <c r="CE387" s="249"/>
      <c r="CF387" s="249"/>
      <c r="CG387" s="249"/>
      <c r="CH387" s="249"/>
      <c r="CI387" s="249"/>
      <c r="CJ387" s="249"/>
      <c r="CK387" s="249"/>
      <c r="CL387" s="249"/>
      <c r="CM387" s="249"/>
      <c r="CN387" s="249"/>
      <c r="CO387" s="249"/>
      <c r="CP387" s="249"/>
      <c r="CQ387" s="249"/>
      <c r="CR387" s="249"/>
      <c r="CS387" s="249"/>
      <c r="CT387" s="249"/>
      <c r="CU387" s="249"/>
      <c r="CV387" s="249"/>
      <c r="CW387" s="249"/>
      <c r="CX387" s="249"/>
      <c r="CY387" s="249"/>
      <c r="CZ387" s="249"/>
      <c r="DA387" s="249"/>
      <c r="DB387" s="249"/>
      <c r="DC387" s="249"/>
      <c r="DD387" s="249"/>
      <c r="DE387" s="249"/>
      <c r="DF387" s="249"/>
      <c r="DG387" s="249"/>
      <c r="DH387" s="249"/>
      <c r="DI387" s="249"/>
      <c r="DJ387" s="249"/>
      <c r="DK387" s="249"/>
      <c r="DL387" s="249"/>
      <c r="DM387" s="249"/>
      <c r="DN387" s="249"/>
      <c r="DO387" s="249"/>
      <c r="DP387" s="249"/>
      <c r="DQ387" s="249"/>
      <c r="DR387" s="249"/>
      <c r="DS387" s="249"/>
      <c r="DT387" s="249"/>
      <c r="DU387" s="249"/>
      <c r="DV387" s="249"/>
      <c r="DW387" s="249"/>
      <c r="DX387" s="249"/>
      <c r="DY387" s="249"/>
      <c r="DZ387" s="249"/>
      <c r="EA387" s="249"/>
      <c r="EB387" s="249"/>
      <c r="EC387" s="249"/>
      <c r="ED387" s="249"/>
      <c r="EE387" s="249"/>
      <c r="EF387" s="249"/>
      <c r="EG387" s="249"/>
      <c r="EH387" s="249"/>
      <c r="EI387" s="249"/>
      <c r="EJ387" s="249"/>
      <c r="EK387" s="249"/>
      <c r="EL387" s="249"/>
      <c r="EM387" s="249"/>
      <c r="EN387" s="249"/>
      <c r="EO387" s="249"/>
      <c r="EP387" s="249"/>
      <c r="EQ387" s="249"/>
      <c r="ER387" s="249"/>
      <c r="ES387" s="249"/>
      <c r="ET387" s="249"/>
      <c r="EU387" s="249"/>
      <c r="EV387" s="249"/>
      <c r="EW387" s="249"/>
      <c r="EX387" s="249"/>
      <c r="EY387" s="249"/>
      <c r="EZ387" s="249"/>
      <c r="FA387" s="249"/>
      <c r="FB387" s="249"/>
      <c r="FC387" s="249"/>
      <c r="FD387" s="249"/>
      <c r="FE387" s="249"/>
      <c r="FF387" s="249"/>
      <c r="FG387" s="249"/>
      <c r="FH387" s="249"/>
      <c r="FI387" s="249"/>
      <c r="FJ387" s="249"/>
      <c r="FK387" s="249"/>
      <c r="FL387" s="249"/>
      <c r="FM387" s="249"/>
      <c r="FN387" s="249"/>
      <c r="FO387" s="249"/>
      <c r="FP387" s="249"/>
      <c r="FQ387" s="249"/>
      <c r="FR387" s="249"/>
      <c r="FS387" s="249"/>
      <c r="FT387" s="249"/>
      <c r="FU387" s="249"/>
      <c r="FV387" s="249"/>
      <c r="FW387" s="249"/>
      <c r="FX387" s="249"/>
      <c r="FY387" s="249"/>
      <c r="FZ387" s="249"/>
      <c r="GA387" s="249"/>
      <c r="GB387" s="249"/>
      <c r="GC387" s="249"/>
      <c r="GD387" s="249"/>
      <c r="GE387" s="249"/>
      <c r="GF387" s="249"/>
      <c r="GG387" s="249"/>
      <c r="GH387" s="249"/>
      <c r="GI387" s="249"/>
      <c r="GJ387" s="249"/>
      <c r="GK387" s="249"/>
      <c r="GL387" s="249"/>
      <c r="GM387" s="249"/>
      <c r="GN387" s="249"/>
      <c r="GO387" s="249"/>
      <c r="GP387" s="249"/>
      <c r="GQ387" s="249"/>
      <c r="GR387" s="249"/>
    </row>
    <row r="388" spans="1:200" s="252" customFormat="1" ht="12.75" customHeight="1" x14ac:dyDescent="0.2">
      <c r="A388" s="723"/>
      <c r="B388" s="1124"/>
      <c r="C388" s="1124"/>
      <c r="D388" s="527"/>
      <c r="E388" s="596"/>
      <c r="F388" s="249"/>
      <c r="G388" s="250"/>
      <c r="H388" s="250"/>
      <c r="I388" s="250"/>
      <c r="J388" s="250"/>
      <c r="K388" s="250"/>
      <c r="L388" s="250"/>
      <c r="M388" s="250"/>
      <c r="N388" s="250"/>
      <c r="O388" s="250"/>
      <c r="P388" s="251"/>
      <c r="Q388" s="251"/>
      <c r="R388" s="251"/>
      <c r="S388" s="249"/>
      <c r="T388" s="249"/>
      <c r="U388" s="287" t="str">
        <f t="shared" ref="U388:U391" si="97">IF(RH_BH="Big Hole","Yes", "No")</f>
        <v>Yes</v>
      </c>
      <c r="V388" s="2175" t="str">
        <f>IF(U388="Yes",'Casings et al'!AA3,'Casings et al'!AE3)</f>
        <v>20-3/4" x 3M (900S) CASING HEAD FLANGE</v>
      </c>
      <c r="W388" s="286" t="s">
        <v>169</v>
      </c>
      <c r="X388" s="243"/>
      <c r="Y388" s="243"/>
      <c r="Z388" s="243"/>
      <c r="AA388" s="243"/>
      <c r="AB388" s="2102">
        <f>IF($U388="Yes",'Casings et al'!$AC3,'Casings et al'!$AG3)</f>
        <v>1</v>
      </c>
      <c r="AC388" s="243"/>
      <c r="AD388" s="243">
        <f>IFERROR((VLOOKUP($V388,IF((INPUT!$D$7="Big Hole"),BHCSG,RHCSG),3,FALSE)*IF((VLOOKUP($V388,IF((INPUT!$D$7="Big Hole"),BHCSG,RHCSG),2,FALSE)=#REF!),1,0)),0)</f>
        <v>0</v>
      </c>
      <c r="AE388" s="243"/>
      <c r="AF388" s="243"/>
      <c r="AG388" s="243"/>
      <c r="AH388" s="243">
        <f>IFERROR((VLOOKUP($V388,IF((INPUT!$D$7="Big Hole"),BHCSG,RHCSG),3,FALSE)*IF((VLOOKUP($V388,IF((INPUT!$D$7="Big Hole"),BHCSG,RHCSG),2,FALSE)=#REF!),1,0)),0)*IF($AJ$387="",1,0)</f>
        <v>0</v>
      </c>
      <c r="AI388" s="243"/>
      <c r="AJ388" s="243"/>
      <c r="AK388" s="243"/>
      <c r="AL388" s="243"/>
      <c r="AM388" s="475">
        <f>SUM(X388:AL388)</f>
        <v>1</v>
      </c>
      <c r="AN388" s="172"/>
      <c r="AO388" s="249"/>
      <c r="AP388" s="250"/>
      <c r="AQ388" s="250"/>
      <c r="AR388" s="250"/>
      <c r="AS388" s="250"/>
      <c r="AT388" s="250"/>
      <c r="AU388" s="250"/>
      <c r="AV388" s="249"/>
      <c r="AW388" s="249"/>
      <c r="AX388" s="249"/>
      <c r="AY388" s="249"/>
      <c r="AZ388" s="249"/>
      <c r="BA388" s="249"/>
      <c r="BB388" s="249"/>
      <c r="BC388" s="249"/>
      <c r="BD388" s="249"/>
      <c r="BE388" s="249"/>
      <c r="BF388" s="249"/>
      <c r="BG388" s="249"/>
      <c r="BH388" s="249"/>
      <c r="BI388" s="249"/>
      <c r="BJ388" s="249"/>
      <c r="BK388" s="249"/>
      <c r="BL388" s="249"/>
      <c r="BM388" s="249"/>
      <c r="BN388" s="249"/>
      <c r="BO388" s="249"/>
      <c r="BP388" s="249"/>
      <c r="BQ388" s="249"/>
      <c r="BR388" s="249"/>
      <c r="BS388" s="249"/>
      <c r="BT388" s="249"/>
      <c r="BU388" s="249"/>
      <c r="BV388" s="249"/>
      <c r="BW388" s="249"/>
      <c r="BX388" s="249"/>
      <c r="BY388" s="249"/>
      <c r="BZ388" s="249"/>
      <c r="CA388" s="249"/>
      <c r="CB388" s="249"/>
      <c r="CC388" s="249"/>
      <c r="CD388" s="249"/>
      <c r="CE388" s="249"/>
      <c r="CF388" s="249"/>
      <c r="CG388" s="249"/>
      <c r="CH388" s="249"/>
      <c r="CI388" s="249"/>
      <c r="CJ388" s="249"/>
      <c r="CK388" s="249"/>
      <c r="CL388" s="249"/>
      <c r="CM388" s="249"/>
      <c r="CN388" s="249"/>
      <c r="CO388" s="249"/>
      <c r="CP388" s="249"/>
      <c r="CQ388" s="249"/>
      <c r="CR388" s="249"/>
      <c r="CS388" s="249"/>
      <c r="CT388" s="249"/>
      <c r="CU388" s="249"/>
      <c r="CV388" s="249"/>
      <c r="CW388" s="249"/>
      <c r="CX388" s="249"/>
      <c r="CY388" s="249"/>
      <c r="CZ388" s="249"/>
      <c r="DA388" s="249"/>
      <c r="DB388" s="249"/>
      <c r="DC388" s="249"/>
      <c r="DD388" s="249"/>
      <c r="DE388" s="249"/>
      <c r="DF388" s="249"/>
      <c r="DG388" s="249"/>
      <c r="DH388" s="249"/>
      <c r="DI388" s="249"/>
      <c r="DJ388" s="249"/>
      <c r="DK388" s="249"/>
      <c r="DL388" s="249"/>
      <c r="DM388" s="249"/>
      <c r="DN388" s="249"/>
      <c r="DO388" s="249"/>
      <c r="DP388" s="249"/>
      <c r="DQ388" s="249"/>
      <c r="DR388" s="249"/>
      <c r="DS388" s="249"/>
      <c r="DT388" s="249"/>
      <c r="DU388" s="249"/>
      <c r="DV388" s="249"/>
      <c r="DW388" s="249"/>
      <c r="DX388" s="249"/>
      <c r="DY388" s="249"/>
      <c r="DZ388" s="249"/>
      <c r="EA388" s="249"/>
      <c r="EB388" s="249"/>
      <c r="EC388" s="249"/>
      <c r="ED388" s="249"/>
      <c r="EE388" s="249"/>
      <c r="EF388" s="249"/>
      <c r="EG388" s="249"/>
      <c r="EH388" s="249"/>
      <c r="EI388" s="249"/>
      <c r="EJ388" s="249"/>
      <c r="EK388" s="249"/>
      <c r="EL388" s="249"/>
      <c r="EM388" s="249"/>
      <c r="EN388" s="249"/>
      <c r="EO388" s="249"/>
      <c r="EP388" s="249"/>
      <c r="EQ388" s="249"/>
      <c r="ER388" s="249"/>
      <c r="ES388" s="249"/>
      <c r="ET388" s="249"/>
      <c r="EU388" s="249"/>
      <c r="EV388" s="249"/>
      <c r="EW388" s="249"/>
      <c r="EX388" s="249"/>
      <c r="EY388" s="249"/>
      <c r="EZ388" s="249"/>
      <c r="FA388" s="249"/>
      <c r="FB388" s="249"/>
      <c r="FC388" s="249"/>
      <c r="FD388" s="249"/>
      <c r="FE388" s="249"/>
      <c r="FF388" s="249"/>
      <c r="FG388" s="249"/>
      <c r="FH388" s="249"/>
      <c r="FI388" s="249"/>
      <c r="FJ388" s="249"/>
      <c r="FK388" s="249"/>
      <c r="FL388" s="249"/>
      <c r="FM388" s="249"/>
      <c r="FN388" s="249"/>
      <c r="FO388" s="249"/>
      <c r="FP388" s="249"/>
      <c r="FQ388" s="249"/>
      <c r="FR388" s="249"/>
      <c r="FS388" s="249"/>
      <c r="FT388" s="249"/>
      <c r="FU388" s="249"/>
      <c r="FV388" s="249"/>
      <c r="FW388" s="249"/>
      <c r="FX388" s="249"/>
      <c r="FY388" s="249"/>
      <c r="FZ388" s="249"/>
      <c r="GA388" s="249"/>
      <c r="GB388" s="249"/>
      <c r="GC388" s="249"/>
      <c r="GD388" s="249"/>
      <c r="GE388" s="249"/>
      <c r="GF388" s="249"/>
      <c r="GG388" s="249"/>
      <c r="GH388" s="249"/>
      <c r="GI388" s="249"/>
      <c r="GJ388" s="249"/>
      <c r="GK388" s="249"/>
      <c r="GL388" s="249"/>
      <c r="GM388" s="249"/>
      <c r="GN388" s="249"/>
      <c r="GO388" s="249"/>
      <c r="GP388" s="249"/>
      <c r="GQ388" s="249"/>
      <c r="GR388" s="249"/>
    </row>
    <row r="389" spans="1:200" s="252" customFormat="1" ht="12.75" customHeight="1" x14ac:dyDescent="0.2">
      <c r="A389" s="723"/>
      <c r="B389" s="1124"/>
      <c r="C389" s="1124"/>
      <c r="D389" s="527"/>
      <c r="E389" s="596"/>
      <c r="F389" s="249"/>
      <c r="G389" s="250"/>
      <c r="H389" s="250"/>
      <c r="I389" s="250"/>
      <c r="J389" s="250"/>
      <c r="K389" s="250"/>
      <c r="L389" s="250"/>
      <c r="M389" s="250"/>
      <c r="N389" s="250"/>
      <c r="O389" s="250"/>
      <c r="P389" s="251"/>
      <c r="Q389" s="251"/>
      <c r="R389" s="251"/>
      <c r="S389" s="249"/>
      <c r="T389" s="249"/>
      <c r="U389" s="287" t="str">
        <f t="shared" si="97"/>
        <v>Yes</v>
      </c>
      <c r="V389" s="2175" t="str">
        <f>IF(U389="Yes",'Casings et al'!AA4,'Casings et al'!AE4)</f>
        <v>20-3/4" x 3M x 13-5/8" x 3M EXPANSION SPOOL</v>
      </c>
      <c r="W389" s="286" t="s">
        <v>170</v>
      </c>
      <c r="X389" s="243"/>
      <c r="Y389" s="243"/>
      <c r="Z389" s="243"/>
      <c r="AA389" s="243"/>
      <c r="AB389" s="243"/>
      <c r="AC389" s="243"/>
      <c r="AD389" s="243">
        <f>IFERROR((VLOOKUP($V389,IF((INPUT!$D$7="Big Hole"),BHCSG,RHCSG),3,FALSE)*IF((VLOOKUP($V389,IF((INPUT!$D$7="Big Hole"),BHCSG,RHCSG),2,FALSE)=#REF!),1,0)),0)</f>
        <v>0</v>
      </c>
      <c r="AE389" s="243"/>
      <c r="AF389" s="2102">
        <f>IF(INPUT!$D$8="No",IF($U389="Yes",'Casings et al'!$AC4,'Casings et al'!$AG4),0)</f>
        <v>0</v>
      </c>
      <c r="AG389" s="243"/>
      <c r="AH389" s="2102">
        <f>IF(INPUT!$D$8="Yes",IF($U389="Yes",'Casings et al'!$AC4,'Casings et al'!$AG4),0)</f>
        <v>1</v>
      </c>
      <c r="AI389" s="243"/>
      <c r="AJ389" s="243">
        <f>IFERROR(VLOOKUP($V389,IF((INPUT!$D$7="Big Hole"),BHCSG,RHCSG),3,FALSE)*IF(DOUBLE_LINER="YES",1,0),0)*IF($AJ$387="",0,1)</f>
        <v>0</v>
      </c>
      <c r="AK389" s="243"/>
      <c r="AL389" s="243"/>
      <c r="AM389" s="475">
        <f>SUM(X389:AL389)</f>
        <v>1</v>
      </c>
      <c r="AN389" s="172"/>
      <c r="AO389" s="249"/>
      <c r="AP389" s="250"/>
      <c r="AQ389" s="250"/>
      <c r="AR389" s="250"/>
      <c r="AS389" s="250"/>
      <c r="AT389" s="250"/>
      <c r="AU389" s="250"/>
      <c r="AV389" s="249"/>
      <c r="AW389" s="249"/>
      <c r="AX389" s="249"/>
      <c r="AY389" s="249"/>
      <c r="AZ389" s="249"/>
      <c r="BA389" s="249"/>
      <c r="BB389" s="249"/>
      <c r="BC389" s="249"/>
      <c r="BD389" s="249"/>
      <c r="BE389" s="249"/>
      <c r="BF389" s="249"/>
      <c r="BG389" s="249"/>
      <c r="BH389" s="249"/>
      <c r="BI389" s="249"/>
      <c r="BJ389" s="249"/>
      <c r="BK389" s="249"/>
      <c r="BL389" s="249"/>
      <c r="BM389" s="249"/>
      <c r="BN389" s="249"/>
      <c r="BO389" s="249"/>
      <c r="BP389" s="249"/>
      <c r="BQ389" s="249"/>
      <c r="BR389" s="249"/>
      <c r="BS389" s="249"/>
      <c r="BT389" s="249"/>
      <c r="BU389" s="249"/>
      <c r="BV389" s="249"/>
      <c r="BW389" s="249"/>
      <c r="BX389" s="249"/>
      <c r="BY389" s="249"/>
      <c r="BZ389" s="249"/>
      <c r="CA389" s="249"/>
      <c r="CB389" s="249"/>
      <c r="CC389" s="249"/>
      <c r="CD389" s="249"/>
      <c r="CE389" s="249"/>
      <c r="CF389" s="249"/>
      <c r="CG389" s="249"/>
      <c r="CH389" s="249"/>
      <c r="CI389" s="249"/>
      <c r="CJ389" s="249"/>
      <c r="CK389" s="249"/>
      <c r="CL389" s="249"/>
      <c r="CM389" s="249"/>
      <c r="CN389" s="249"/>
      <c r="CO389" s="249"/>
      <c r="CP389" s="249"/>
      <c r="CQ389" s="249"/>
      <c r="CR389" s="249"/>
      <c r="CS389" s="249"/>
      <c r="CT389" s="249"/>
      <c r="CU389" s="249"/>
      <c r="CV389" s="249"/>
      <c r="CW389" s="249"/>
      <c r="CX389" s="249"/>
      <c r="CY389" s="249"/>
      <c r="CZ389" s="249"/>
      <c r="DA389" s="249"/>
      <c r="DB389" s="249"/>
      <c r="DC389" s="249"/>
      <c r="DD389" s="249"/>
      <c r="DE389" s="249"/>
      <c r="DF389" s="249"/>
      <c r="DG389" s="249"/>
      <c r="DH389" s="249"/>
      <c r="DI389" s="249"/>
      <c r="DJ389" s="249"/>
      <c r="DK389" s="249"/>
      <c r="DL389" s="249"/>
      <c r="DM389" s="249"/>
      <c r="DN389" s="249"/>
      <c r="DO389" s="249"/>
      <c r="DP389" s="249"/>
      <c r="DQ389" s="249"/>
      <c r="DR389" s="249"/>
      <c r="DS389" s="249"/>
      <c r="DT389" s="249"/>
      <c r="DU389" s="249"/>
      <c r="DV389" s="249"/>
      <c r="DW389" s="249"/>
      <c r="DX389" s="249"/>
      <c r="DY389" s="249"/>
      <c r="DZ389" s="249"/>
      <c r="EA389" s="249"/>
      <c r="EB389" s="249"/>
      <c r="EC389" s="249"/>
      <c r="ED389" s="249"/>
      <c r="EE389" s="249"/>
      <c r="EF389" s="249"/>
      <c r="EG389" s="249"/>
      <c r="EH389" s="249"/>
      <c r="EI389" s="249"/>
      <c r="EJ389" s="249"/>
      <c r="EK389" s="249"/>
      <c r="EL389" s="249"/>
      <c r="EM389" s="249"/>
      <c r="EN389" s="249"/>
      <c r="EO389" s="249"/>
      <c r="EP389" s="249"/>
      <c r="EQ389" s="249"/>
      <c r="ER389" s="249"/>
      <c r="ES389" s="249"/>
      <c r="ET389" s="249"/>
      <c r="EU389" s="249"/>
      <c r="EV389" s="249"/>
      <c r="EW389" s="249"/>
      <c r="EX389" s="249"/>
      <c r="EY389" s="249"/>
      <c r="EZ389" s="249"/>
      <c r="FA389" s="249"/>
      <c r="FB389" s="249"/>
      <c r="FC389" s="249"/>
      <c r="FD389" s="249"/>
      <c r="FE389" s="249"/>
      <c r="FF389" s="249"/>
      <c r="FG389" s="249"/>
      <c r="FH389" s="249"/>
      <c r="FI389" s="249"/>
      <c r="FJ389" s="249"/>
      <c r="FK389" s="249"/>
      <c r="FL389" s="249"/>
      <c r="FM389" s="249"/>
      <c r="FN389" s="249"/>
      <c r="FO389" s="249"/>
      <c r="FP389" s="249"/>
      <c r="FQ389" s="249"/>
      <c r="FR389" s="249"/>
      <c r="FS389" s="249"/>
      <c r="FT389" s="249"/>
      <c r="FU389" s="249"/>
      <c r="FV389" s="249"/>
      <c r="FW389" s="249"/>
      <c r="FX389" s="249"/>
      <c r="FY389" s="249"/>
      <c r="FZ389" s="249"/>
      <c r="GA389" s="249"/>
      <c r="GB389" s="249"/>
      <c r="GC389" s="249"/>
      <c r="GD389" s="249"/>
      <c r="GE389" s="249"/>
      <c r="GF389" s="249"/>
      <c r="GG389" s="249"/>
      <c r="GH389" s="249"/>
      <c r="GI389" s="249"/>
      <c r="GJ389" s="249"/>
      <c r="GK389" s="249"/>
      <c r="GL389" s="249"/>
      <c r="GM389" s="249"/>
      <c r="GN389" s="249"/>
      <c r="GO389" s="249"/>
      <c r="GP389" s="249"/>
      <c r="GQ389" s="249"/>
      <c r="GR389" s="249"/>
    </row>
    <row r="390" spans="1:200" s="252" customFormat="1" ht="12.75" customHeight="1" x14ac:dyDescent="0.2">
      <c r="A390" s="723"/>
      <c r="B390" s="1124"/>
      <c r="C390" s="1124"/>
      <c r="D390" s="527"/>
      <c r="E390" s="596"/>
      <c r="F390" s="249"/>
      <c r="G390" s="250"/>
      <c r="H390" s="250"/>
      <c r="I390" s="250"/>
      <c r="J390" s="250"/>
      <c r="K390" s="250"/>
      <c r="L390" s="250"/>
      <c r="M390" s="250"/>
      <c r="N390" s="250"/>
      <c r="O390" s="250"/>
      <c r="P390" s="251"/>
      <c r="Q390" s="251"/>
      <c r="R390" s="251"/>
      <c r="S390" s="249"/>
      <c r="T390" s="249"/>
      <c r="U390" s="287" t="str">
        <f t="shared" si="97"/>
        <v>Yes</v>
      </c>
      <c r="V390" s="2175" t="str">
        <f>IF(U390="Yes",'Casings et al'!AA5,'Casings et al'!AE5)</f>
        <v>12" x 900S MASTER VALVE</v>
      </c>
      <c r="W390" s="286" t="s">
        <v>169</v>
      </c>
      <c r="X390" s="290"/>
      <c r="Y390" s="243"/>
      <c r="Z390" s="243"/>
      <c r="AA390" s="243"/>
      <c r="AB390" s="243"/>
      <c r="AC390" s="243"/>
      <c r="AD390" s="243">
        <f>IFERROR((VLOOKUP($V390,IF((INPUT!$D$7="Big Hole"),BHCSG,RHCSG),3,FALSE)*IF((VLOOKUP($V390,IF((INPUT!$D$7="Big Hole"),BHCSG,RHCSG),2,FALSE)=#REF!),1,0)),0)</f>
        <v>0</v>
      </c>
      <c r="AE390" s="243"/>
      <c r="AF390" s="2102">
        <f>IF(INPUT!$D$8="No",IF($U390="Yes",'Casings et al'!$AC5,'Casings et al'!$AG5),0)</f>
        <v>0</v>
      </c>
      <c r="AG390" s="243"/>
      <c r="AH390" s="2102">
        <f>IF(INPUT!$D$8="Yes",IF($U390="Yes",'Casings et al'!$AC5,'Casings et al'!$AG5),0)</f>
        <v>1</v>
      </c>
      <c r="AI390" s="243"/>
      <c r="AJ390" s="243">
        <f>IFERROR(VLOOKUP($V390,IF((INPUT!$D$7="Big Hole"),BHCSG,RHCSG),3,FALSE)*IF(DOUBLE_LINER="YES",1,0),0)*IF($AJ$387="",0,1)</f>
        <v>0</v>
      </c>
      <c r="AK390" s="243"/>
      <c r="AL390" s="243"/>
      <c r="AM390" s="475">
        <f>SUM(X390:AL390)</f>
        <v>1</v>
      </c>
      <c r="AN390" s="172"/>
      <c r="AO390" s="249"/>
      <c r="AP390" s="250"/>
      <c r="AQ390" s="250"/>
      <c r="AR390" s="250"/>
      <c r="AS390" s="250"/>
      <c r="AT390" s="250"/>
      <c r="AU390" s="250"/>
      <c r="AV390" s="249"/>
      <c r="AW390" s="249"/>
      <c r="AX390" s="249"/>
      <c r="AY390" s="249"/>
      <c r="AZ390" s="249"/>
      <c r="BA390" s="249"/>
      <c r="BB390" s="249"/>
      <c r="BC390" s="249"/>
      <c r="BD390" s="249"/>
      <c r="BE390" s="249"/>
      <c r="BF390" s="249"/>
      <c r="BG390" s="249"/>
      <c r="BH390" s="249"/>
      <c r="BI390" s="249"/>
      <c r="BJ390" s="249"/>
      <c r="BK390" s="249"/>
      <c r="BL390" s="249"/>
      <c r="BM390" s="249"/>
      <c r="BN390" s="249"/>
      <c r="BO390" s="249"/>
      <c r="BP390" s="249"/>
      <c r="BQ390" s="249"/>
      <c r="BR390" s="249"/>
      <c r="BS390" s="249"/>
      <c r="BT390" s="249"/>
      <c r="BU390" s="249"/>
      <c r="BV390" s="249"/>
      <c r="BW390" s="249"/>
      <c r="BX390" s="249"/>
      <c r="BY390" s="249"/>
      <c r="BZ390" s="249"/>
      <c r="CA390" s="249"/>
      <c r="CB390" s="249"/>
      <c r="CC390" s="249"/>
      <c r="CD390" s="249"/>
      <c r="CE390" s="249"/>
      <c r="CF390" s="249"/>
      <c r="CG390" s="249"/>
      <c r="CH390" s="249"/>
      <c r="CI390" s="249"/>
      <c r="CJ390" s="249"/>
      <c r="CK390" s="249"/>
      <c r="CL390" s="249"/>
      <c r="CM390" s="249"/>
      <c r="CN390" s="249"/>
      <c r="CO390" s="249"/>
      <c r="CP390" s="249"/>
      <c r="CQ390" s="249"/>
      <c r="CR390" s="249"/>
      <c r="CS390" s="249"/>
      <c r="CT390" s="249"/>
      <c r="CU390" s="249"/>
      <c r="CV390" s="249"/>
      <c r="CW390" s="249"/>
      <c r="CX390" s="249"/>
      <c r="CY390" s="249"/>
      <c r="CZ390" s="249"/>
      <c r="DA390" s="249"/>
      <c r="DB390" s="249"/>
      <c r="DC390" s="249"/>
      <c r="DD390" s="249"/>
      <c r="DE390" s="249"/>
      <c r="DF390" s="249"/>
      <c r="DG390" s="249"/>
      <c r="DH390" s="249"/>
      <c r="DI390" s="249"/>
      <c r="DJ390" s="249"/>
      <c r="DK390" s="249"/>
      <c r="DL390" s="249"/>
      <c r="DM390" s="249"/>
      <c r="DN390" s="249"/>
      <c r="DO390" s="249"/>
      <c r="DP390" s="249"/>
      <c r="DQ390" s="249"/>
      <c r="DR390" s="249"/>
      <c r="DS390" s="249"/>
      <c r="DT390" s="249"/>
      <c r="DU390" s="249"/>
      <c r="DV390" s="249"/>
      <c r="DW390" s="249"/>
      <c r="DX390" s="249"/>
      <c r="DY390" s="249"/>
      <c r="DZ390" s="249"/>
      <c r="EA390" s="249"/>
      <c r="EB390" s="249"/>
      <c r="EC390" s="249"/>
      <c r="ED390" s="249"/>
      <c r="EE390" s="249"/>
      <c r="EF390" s="249"/>
      <c r="EG390" s="249"/>
      <c r="EH390" s="249"/>
      <c r="EI390" s="249"/>
      <c r="EJ390" s="249"/>
      <c r="EK390" s="249"/>
      <c r="EL390" s="249"/>
      <c r="EM390" s="249"/>
      <c r="EN390" s="249"/>
      <c r="EO390" s="249"/>
      <c r="EP390" s="249"/>
      <c r="EQ390" s="249"/>
      <c r="ER390" s="249"/>
      <c r="ES390" s="249"/>
      <c r="ET390" s="249"/>
      <c r="EU390" s="249"/>
      <c r="EV390" s="249"/>
      <c r="EW390" s="249"/>
      <c r="EX390" s="249"/>
      <c r="EY390" s="249"/>
      <c r="EZ390" s="249"/>
      <c r="FA390" s="249"/>
      <c r="FB390" s="249"/>
      <c r="FC390" s="249"/>
      <c r="FD390" s="249"/>
      <c r="FE390" s="249"/>
      <c r="FF390" s="249"/>
      <c r="FG390" s="249"/>
      <c r="FH390" s="249"/>
      <c r="FI390" s="249"/>
      <c r="FJ390" s="249"/>
      <c r="FK390" s="249"/>
      <c r="FL390" s="249"/>
      <c r="FM390" s="249"/>
      <c r="FN390" s="249"/>
      <c r="FO390" s="249"/>
      <c r="FP390" s="249"/>
      <c r="FQ390" s="249"/>
      <c r="FR390" s="249"/>
      <c r="FS390" s="249"/>
      <c r="FT390" s="249"/>
      <c r="FU390" s="249"/>
      <c r="FV390" s="249"/>
      <c r="FW390" s="249"/>
      <c r="FX390" s="249"/>
      <c r="FY390" s="249"/>
      <c r="FZ390" s="249"/>
      <c r="GA390" s="249"/>
      <c r="GB390" s="249"/>
      <c r="GC390" s="249"/>
      <c r="GD390" s="249"/>
      <c r="GE390" s="249"/>
      <c r="GF390" s="249"/>
      <c r="GG390" s="249"/>
      <c r="GH390" s="249"/>
      <c r="GI390" s="249"/>
      <c r="GJ390" s="249"/>
      <c r="GK390" s="249"/>
      <c r="GL390" s="249"/>
      <c r="GM390" s="249"/>
      <c r="GN390" s="249"/>
      <c r="GO390" s="249"/>
      <c r="GP390" s="249"/>
      <c r="GQ390" s="249"/>
      <c r="GR390" s="249"/>
    </row>
    <row r="391" spans="1:200" s="252" customFormat="1" ht="12.75" customHeight="1" x14ac:dyDescent="0.2">
      <c r="A391" s="723"/>
      <c r="B391" s="1124"/>
      <c r="C391" s="1124"/>
      <c r="D391" s="527"/>
      <c r="E391" s="596"/>
      <c r="F391" s="249"/>
      <c r="G391" s="250"/>
      <c r="H391" s="250"/>
      <c r="I391" s="250"/>
      <c r="J391" s="250"/>
      <c r="K391" s="250"/>
      <c r="L391" s="250"/>
      <c r="M391" s="250"/>
      <c r="N391" s="250"/>
      <c r="O391" s="250"/>
      <c r="P391" s="251"/>
      <c r="Q391" s="251"/>
      <c r="R391" s="251"/>
      <c r="S391" s="249"/>
      <c r="T391" s="249"/>
      <c r="U391" s="287" t="str">
        <f t="shared" si="97"/>
        <v>Yes</v>
      </c>
      <c r="V391" s="2175" t="str">
        <f>IF(U391="Yes",'Casings et al'!AA6,'Casings et al'!AE6)</f>
        <v>3-1/8" x 3m WING VALVES</v>
      </c>
      <c r="W391" s="286" t="s">
        <v>163</v>
      </c>
      <c r="X391" s="290"/>
      <c r="Y391" s="243"/>
      <c r="Z391" s="243"/>
      <c r="AA391" s="243"/>
      <c r="AB391" s="243"/>
      <c r="AC391" s="243"/>
      <c r="AD391" s="243">
        <f>IFERROR((VLOOKUP($V391,IF((INPUT!$D$7="Big Hole"),BHCSG,RHCSG),3,FALSE)*IF((VLOOKUP($V391,IF((INPUT!$D$7="Big Hole"),BHCSG,RHCSG),2,FALSE)=#REF!),1,0)),0)</f>
        <v>0</v>
      </c>
      <c r="AE391" s="243"/>
      <c r="AF391" s="2102">
        <f>IF(INPUT!$D$8="No",IF($U391="Yes",'Casings et al'!$AC6,'Casings et al'!$AG6),0)</f>
        <v>0</v>
      </c>
      <c r="AG391" s="243"/>
      <c r="AH391" s="2102">
        <f>IF(INPUT!$D$8="Yes",IF($U391="Yes",'Casings et al'!$AC6,'Casings et al'!$AG6),0)</f>
        <v>2</v>
      </c>
      <c r="AI391" s="243"/>
      <c r="AJ391" s="243">
        <f>IFERROR(VLOOKUP($V391,IF((INPUT!$D$7="Big Hole"),BHCSG,RHCSG),3,FALSE)*IF(DOUBLE_LINER="YES",1,0),0)*IF($AJ$387="",0,1)</f>
        <v>0</v>
      </c>
      <c r="AK391" s="243"/>
      <c r="AL391" s="243"/>
      <c r="AM391" s="475">
        <f>SUM(X391:AL391)</f>
        <v>2</v>
      </c>
      <c r="AN391" s="172"/>
      <c r="AO391" s="249"/>
      <c r="AP391" s="250"/>
      <c r="AQ391" s="250"/>
      <c r="AR391" s="250"/>
      <c r="AS391" s="250"/>
      <c r="AT391" s="250"/>
      <c r="AU391" s="250"/>
      <c r="AV391" s="249"/>
      <c r="AW391" s="249"/>
      <c r="AX391" s="249"/>
      <c r="AY391" s="249"/>
      <c r="AZ391" s="249"/>
      <c r="BA391" s="249"/>
      <c r="BB391" s="249"/>
      <c r="BC391" s="249"/>
      <c r="BD391" s="249"/>
      <c r="BE391" s="249"/>
      <c r="BF391" s="249"/>
      <c r="BG391" s="249"/>
      <c r="BH391" s="249"/>
      <c r="BI391" s="249"/>
      <c r="BJ391" s="249"/>
      <c r="BK391" s="249"/>
      <c r="BL391" s="249"/>
      <c r="BM391" s="249"/>
      <c r="BN391" s="249"/>
      <c r="BO391" s="249"/>
      <c r="BP391" s="249"/>
      <c r="BQ391" s="249"/>
      <c r="BR391" s="249"/>
      <c r="BS391" s="249"/>
      <c r="BT391" s="249"/>
      <c r="BU391" s="249"/>
      <c r="BV391" s="249"/>
      <c r="BW391" s="249"/>
      <c r="BX391" s="249"/>
      <c r="BY391" s="249"/>
      <c r="BZ391" s="249"/>
      <c r="CA391" s="249"/>
      <c r="CB391" s="249"/>
      <c r="CC391" s="249"/>
      <c r="CD391" s="249"/>
      <c r="CE391" s="249"/>
      <c r="CF391" s="249"/>
      <c r="CG391" s="249"/>
      <c r="CH391" s="249"/>
      <c r="CI391" s="249"/>
      <c r="CJ391" s="249"/>
      <c r="CK391" s="249"/>
      <c r="CL391" s="249"/>
      <c r="CM391" s="249"/>
      <c r="CN391" s="249"/>
      <c r="CO391" s="249"/>
      <c r="CP391" s="249"/>
      <c r="CQ391" s="249"/>
      <c r="CR391" s="249"/>
      <c r="CS391" s="249"/>
      <c r="CT391" s="249"/>
      <c r="CU391" s="249"/>
      <c r="CV391" s="249"/>
      <c r="CW391" s="249"/>
      <c r="CX391" s="249"/>
      <c r="CY391" s="249"/>
      <c r="CZ391" s="249"/>
      <c r="DA391" s="249"/>
      <c r="DB391" s="249"/>
      <c r="DC391" s="249"/>
      <c r="DD391" s="249"/>
      <c r="DE391" s="249"/>
      <c r="DF391" s="249"/>
      <c r="DG391" s="249"/>
      <c r="DH391" s="249"/>
      <c r="DI391" s="249"/>
      <c r="DJ391" s="249"/>
      <c r="DK391" s="249"/>
      <c r="DL391" s="249"/>
      <c r="DM391" s="249"/>
      <c r="DN391" s="249"/>
      <c r="DO391" s="249"/>
      <c r="DP391" s="249"/>
      <c r="DQ391" s="249"/>
      <c r="DR391" s="249"/>
      <c r="DS391" s="249"/>
      <c r="DT391" s="249"/>
      <c r="DU391" s="249"/>
      <c r="DV391" s="249"/>
      <c r="DW391" s="249"/>
      <c r="DX391" s="249"/>
      <c r="DY391" s="249"/>
      <c r="DZ391" s="249"/>
      <c r="EA391" s="249"/>
      <c r="EB391" s="249"/>
      <c r="EC391" s="249"/>
      <c r="ED391" s="249"/>
      <c r="EE391" s="249"/>
      <c r="EF391" s="249"/>
      <c r="EG391" s="249"/>
      <c r="EH391" s="249"/>
      <c r="EI391" s="249"/>
      <c r="EJ391" s="249"/>
      <c r="EK391" s="249"/>
      <c r="EL391" s="249"/>
      <c r="EM391" s="249"/>
      <c r="EN391" s="249"/>
      <c r="EO391" s="249"/>
      <c r="EP391" s="249"/>
      <c r="EQ391" s="249"/>
      <c r="ER391" s="249"/>
      <c r="ES391" s="249"/>
      <c r="ET391" s="249"/>
      <c r="EU391" s="249"/>
      <c r="EV391" s="249"/>
      <c r="EW391" s="249"/>
      <c r="EX391" s="249"/>
      <c r="EY391" s="249"/>
      <c r="EZ391" s="249"/>
      <c r="FA391" s="249"/>
      <c r="FB391" s="249"/>
      <c r="FC391" s="249"/>
      <c r="FD391" s="249"/>
      <c r="FE391" s="249"/>
      <c r="FF391" s="249"/>
      <c r="FG391" s="249"/>
      <c r="FH391" s="249"/>
      <c r="FI391" s="249"/>
      <c r="FJ391" s="249"/>
      <c r="FK391" s="249"/>
      <c r="FL391" s="249"/>
      <c r="FM391" s="249"/>
      <c r="FN391" s="249"/>
      <c r="FO391" s="249"/>
      <c r="FP391" s="249"/>
      <c r="FQ391" s="249"/>
      <c r="FR391" s="249"/>
      <c r="FS391" s="249"/>
      <c r="FT391" s="249"/>
      <c r="FU391" s="249"/>
      <c r="FV391" s="249"/>
      <c r="FW391" s="249"/>
      <c r="FX391" s="249"/>
      <c r="FY391" s="249"/>
      <c r="FZ391" s="249"/>
      <c r="GA391" s="249"/>
      <c r="GB391" s="249"/>
      <c r="GC391" s="249"/>
      <c r="GD391" s="249"/>
      <c r="GE391" s="249"/>
      <c r="GF391" s="249"/>
      <c r="GG391" s="249"/>
      <c r="GH391" s="249"/>
      <c r="GI391" s="249"/>
      <c r="GJ391" s="249"/>
      <c r="GK391" s="249"/>
      <c r="GL391" s="249"/>
      <c r="GM391" s="249"/>
      <c r="GN391" s="249"/>
      <c r="GO391" s="249"/>
      <c r="GP391" s="249"/>
      <c r="GQ391" s="249"/>
      <c r="GR391" s="249"/>
    </row>
    <row r="392" spans="1:200" s="252" customFormat="1" ht="12.75" customHeight="1" x14ac:dyDescent="0.2">
      <c r="A392" s="723"/>
      <c r="B392" s="1124"/>
      <c r="C392" s="1124"/>
      <c r="D392" s="527"/>
      <c r="E392" s="596"/>
      <c r="F392" s="249"/>
      <c r="G392" s="250"/>
      <c r="H392" s="250"/>
      <c r="I392" s="250"/>
      <c r="J392" s="250"/>
      <c r="K392" s="250"/>
      <c r="L392" s="250"/>
      <c r="M392" s="250"/>
      <c r="N392" s="250"/>
      <c r="O392" s="250"/>
      <c r="P392" s="251"/>
      <c r="Q392" s="251"/>
      <c r="R392" s="251"/>
      <c r="S392" s="249"/>
      <c r="T392" s="249"/>
      <c r="U392" s="287"/>
      <c r="V392" s="2175" t="s">
        <v>2687</v>
      </c>
      <c r="W392" s="286" t="s">
        <v>170</v>
      </c>
      <c r="X392" s="290"/>
      <c r="Y392" s="243"/>
      <c r="Z392" s="243"/>
      <c r="AA392" s="243"/>
      <c r="AB392" s="243"/>
      <c r="AC392" s="243"/>
      <c r="AD392" s="243"/>
      <c r="AE392" s="243"/>
      <c r="AF392" s="2102">
        <f>IF(INPUT!$D$8="No",1,0)</f>
        <v>0</v>
      </c>
      <c r="AG392" s="243"/>
      <c r="AH392" s="2102">
        <f>IF(INPUT!$D$8="Yes",1,0)</f>
        <v>1</v>
      </c>
      <c r="AI392" s="246"/>
      <c r="AJ392" s="246">
        <f>ROUNDUP(IF($AJ$175="",'Cement SLB Rev'!Z157,AH392),0)</f>
        <v>0</v>
      </c>
      <c r="AK392" s="243"/>
      <c r="AL392" s="243"/>
      <c r="AM392" s="475"/>
      <c r="AN392" s="172"/>
      <c r="AO392" s="249"/>
      <c r="AP392" s="250"/>
      <c r="AQ392" s="250"/>
      <c r="AR392" s="250"/>
      <c r="AS392" s="250"/>
      <c r="AT392" s="250"/>
      <c r="AU392" s="250"/>
      <c r="AV392" s="249"/>
      <c r="AW392" s="249"/>
      <c r="AX392" s="249"/>
      <c r="AY392" s="249"/>
      <c r="AZ392" s="249"/>
      <c r="BA392" s="249"/>
      <c r="BB392" s="249"/>
      <c r="BC392" s="249"/>
      <c r="BD392" s="249"/>
      <c r="BE392" s="249"/>
      <c r="BF392" s="249"/>
      <c r="BG392" s="249"/>
      <c r="BH392" s="249"/>
      <c r="BI392" s="249"/>
      <c r="BJ392" s="249"/>
      <c r="BK392" s="249"/>
      <c r="BL392" s="249"/>
      <c r="BM392" s="249"/>
      <c r="BN392" s="249"/>
      <c r="BO392" s="249"/>
      <c r="BP392" s="249"/>
      <c r="BQ392" s="249"/>
      <c r="BR392" s="249"/>
      <c r="BS392" s="249"/>
      <c r="BT392" s="249"/>
      <c r="BU392" s="249"/>
      <c r="BV392" s="249"/>
      <c r="BW392" s="249"/>
      <c r="BX392" s="249"/>
      <c r="BY392" s="249"/>
      <c r="BZ392" s="249"/>
      <c r="CA392" s="249"/>
      <c r="CB392" s="249"/>
      <c r="CC392" s="249"/>
      <c r="CD392" s="249"/>
      <c r="CE392" s="249"/>
      <c r="CF392" s="249"/>
      <c r="CG392" s="249"/>
      <c r="CH392" s="249"/>
      <c r="CI392" s="249"/>
      <c r="CJ392" s="249"/>
      <c r="CK392" s="249"/>
      <c r="CL392" s="249"/>
      <c r="CM392" s="249"/>
      <c r="CN392" s="249"/>
      <c r="CO392" s="249"/>
      <c r="CP392" s="249"/>
      <c r="CQ392" s="249"/>
      <c r="CR392" s="249"/>
      <c r="CS392" s="249"/>
      <c r="CT392" s="249"/>
      <c r="CU392" s="249"/>
      <c r="CV392" s="249"/>
      <c r="CW392" s="249"/>
      <c r="CX392" s="249"/>
      <c r="CY392" s="249"/>
      <c r="CZ392" s="249"/>
      <c r="DA392" s="249"/>
      <c r="DB392" s="249"/>
      <c r="DC392" s="249"/>
      <c r="DD392" s="249"/>
      <c r="DE392" s="249"/>
      <c r="DF392" s="249"/>
      <c r="DG392" s="249"/>
      <c r="DH392" s="249"/>
      <c r="DI392" s="249"/>
      <c r="DJ392" s="249"/>
      <c r="DK392" s="249"/>
      <c r="DL392" s="249"/>
      <c r="DM392" s="249"/>
      <c r="DN392" s="249"/>
      <c r="DO392" s="249"/>
      <c r="DP392" s="249"/>
      <c r="DQ392" s="249"/>
      <c r="DR392" s="249"/>
      <c r="DS392" s="249"/>
      <c r="DT392" s="249"/>
      <c r="DU392" s="249"/>
      <c r="DV392" s="249"/>
      <c r="DW392" s="249"/>
      <c r="DX392" s="249"/>
      <c r="DY392" s="249"/>
      <c r="DZ392" s="249"/>
      <c r="EA392" s="249"/>
      <c r="EB392" s="249"/>
      <c r="EC392" s="249"/>
      <c r="ED392" s="249"/>
      <c r="EE392" s="249"/>
      <c r="EF392" s="249"/>
      <c r="EG392" s="249"/>
      <c r="EH392" s="249"/>
      <c r="EI392" s="249"/>
      <c r="EJ392" s="249"/>
      <c r="EK392" s="249"/>
      <c r="EL392" s="249"/>
      <c r="EM392" s="249"/>
      <c r="EN392" s="249"/>
      <c r="EO392" s="249"/>
      <c r="EP392" s="249"/>
      <c r="EQ392" s="249"/>
      <c r="ER392" s="249"/>
      <c r="ES392" s="249"/>
      <c r="ET392" s="249"/>
      <c r="EU392" s="249"/>
      <c r="EV392" s="249"/>
      <c r="EW392" s="249"/>
      <c r="EX392" s="249"/>
      <c r="EY392" s="249"/>
      <c r="EZ392" s="249"/>
      <c r="FA392" s="249"/>
      <c r="FB392" s="249"/>
      <c r="FC392" s="249"/>
      <c r="FD392" s="249"/>
      <c r="FE392" s="249"/>
      <c r="FF392" s="249"/>
      <c r="FG392" s="249"/>
      <c r="FH392" s="249"/>
      <c r="FI392" s="249"/>
      <c r="FJ392" s="249"/>
      <c r="FK392" s="249"/>
      <c r="FL392" s="249"/>
      <c r="FM392" s="249"/>
      <c r="FN392" s="249"/>
      <c r="FO392" s="249"/>
      <c r="FP392" s="249"/>
      <c r="FQ392" s="249"/>
      <c r="FR392" s="249"/>
      <c r="FS392" s="249"/>
      <c r="FT392" s="249"/>
      <c r="FU392" s="249"/>
      <c r="FV392" s="249"/>
      <c r="FW392" s="249"/>
      <c r="FX392" s="249"/>
      <c r="FY392" s="249"/>
      <c r="FZ392" s="249"/>
      <c r="GA392" s="249"/>
      <c r="GB392" s="249"/>
      <c r="GC392" s="249"/>
      <c r="GD392" s="249"/>
      <c r="GE392" s="249"/>
      <c r="GF392" s="249"/>
      <c r="GG392" s="249"/>
      <c r="GH392" s="249"/>
      <c r="GI392" s="249"/>
      <c r="GJ392" s="249"/>
      <c r="GK392" s="249"/>
      <c r="GL392" s="249"/>
      <c r="GM392" s="249"/>
      <c r="GN392" s="249"/>
      <c r="GO392" s="249"/>
      <c r="GP392" s="249"/>
      <c r="GQ392" s="249"/>
      <c r="GR392" s="249"/>
    </row>
    <row r="393" spans="1:200" s="252" customFormat="1" ht="12.75" customHeight="1" x14ac:dyDescent="0.2">
      <c r="A393" s="723"/>
      <c r="B393" s="1124"/>
      <c r="C393" s="1124"/>
      <c r="D393" s="527"/>
      <c r="E393" s="596"/>
      <c r="F393" s="249"/>
      <c r="G393" s="250"/>
      <c r="H393" s="250"/>
      <c r="I393" s="250"/>
      <c r="J393" s="250"/>
      <c r="K393" s="250"/>
      <c r="L393" s="250"/>
      <c r="M393" s="250"/>
      <c r="N393" s="250"/>
      <c r="O393" s="250"/>
      <c r="P393" s="251"/>
      <c r="Q393" s="251"/>
      <c r="R393" s="251"/>
      <c r="S393" s="249"/>
      <c r="T393" s="249"/>
      <c r="U393" s="181"/>
      <c r="V393" s="181"/>
      <c r="W393" s="172"/>
      <c r="X393" s="257"/>
      <c r="Y393" s="257"/>
      <c r="Z393" s="257"/>
      <c r="AA393" s="528"/>
      <c r="AB393" s="528"/>
      <c r="AC393" s="530"/>
      <c r="AD393" s="530"/>
      <c r="AE393" s="530"/>
      <c r="AF393" s="530"/>
      <c r="AG393" s="530"/>
      <c r="AH393" s="530"/>
      <c r="AI393" s="530"/>
      <c r="AJ393" s="530"/>
      <c r="AK393" s="530"/>
      <c r="AL393" s="530"/>
      <c r="AM393" s="527"/>
      <c r="AN393" s="172"/>
      <c r="AO393" s="249"/>
      <c r="AP393" s="250"/>
      <c r="AQ393" s="250"/>
      <c r="AR393" s="250"/>
      <c r="AS393" s="250"/>
      <c r="AT393" s="250"/>
      <c r="AU393" s="250"/>
      <c r="AV393" s="249"/>
      <c r="AW393" s="249"/>
      <c r="AX393" s="249"/>
      <c r="AY393" s="249"/>
      <c r="AZ393" s="249"/>
      <c r="BA393" s="249"/>
      <c r="BB393" s="249"/>
      <c r="BC393" s="249"/>
      <c r="BD393" s="249"/>
      <c r="BE393" s="249"/>
      <c r="BF393" s="249"/>
      <c r="BG393" s="249"/>
      <c r="BH393" s="249"/>
      <c r="BI393" s="249"/>
      <c r="BJ393" s="249"/>
      <c r="BK393" s="249"/>
      <c r="BL393" s="249"/>
      <c r="BM393" s="249"/>
      <c r="BN393" s="249"/>
      <c r="BO393" s="249"/>
      <c r="BP393" s="249"/>
      <c r="BQ393" s="249"/>
      <c r="BR393" s="249"/>
      <c r="BS393" s="249"/>
      <c r="BT393" s="249"/>
      <c r="BU393" s="249"/>
      <c r="BV393" s="249"/>
      <c r="BW393" s="249"/>
      <c r="BX393" s="249"/>
      <c r="BY393" s="249"/>
      <c r="BZ393" s="249"/>
      <c r="CA393" s="249"/>
      <c r="CB393" s="249"/>
      <c r="CC393" s="249"/>
      <c r="CD393" s="249"/>
      <c r="CE393" s="249"/>
      <c r="CF393" s="249"/>
      <c r="CG393" s="249"/>
      <c r="CH393" s="249"/>
      <c r="CI393" s="249"/>
      <c r="CJ393" s="249"/>
      <c r="CK393" s="249"/>
      <c r="CL393" s="249"/>
      <c r="CM393" s="249"/>
      <c r="CN393" s="249"/>
      <c r="CO393" s="249"/>
      <c r="CP393" s="249"/>
      <c r="CQ393" s="249"/>
      <c r="CR393" s="249"/>
      <c r="CS393" s="249"/>
      <c r="CT393" s="249"/>
      <c r="CU393" s="249"/>
      <c r="CV393" s="249"/>
      <c r="CW393" s="249"/>
      <c r="CX393" s="249"/>
      <c r="CY393" s="249"/>
      <c r="CZ393" s="249"/>
      <c r="DA393" s="249"/>
      <c r="DB393" s="249"/>
      <c r="DC393" s="249"/>
      <c r="DD393" s="249"/>
      <c r="DE393" s="249"/>
      <c r="DF393" s="249"/>
      <c r="DG393" s="249"/>
      <c r="DH393" s="249"/>
      <c r="DI393" s="249"/>
      <c r="DJ393" s="249"/>
      <c r="DK393" s="249"/>
      <c r="DL393" s="249"/>
      <c r="DM393" s="249"/>
      <c r="DN393" s="249"/>
      <c r="DO393" s="249"/>
      <c r="DP393" s="249"/>
      <c r="DQ393" s="249"/>
      <c r="DR393" s="249"/>
      <c r="DS393" s="249"/>
      <c r="DT393" s="249"/>
      <c r="DU393" s="249"/>
      <c r="DV393" s="249"/>
      <c r="DW393" s="249"/>
      <c r="DX393" s="249"/>
      <c r="DY393" s="249"/>
      <c r="DZ393" s="249"/>
      <c r="EA393" s="249"/>
      <c r="EB393" s="249"/>
      <c r="EC393" s="249"/>
      <c r="ED393" s="249"/>
      <c r="EE393" s="249"/>
      <c r="EF393" s="249"/>
      <c r="EG393" s="249"/>
      <c r="EH393" s="249"/>
      <c r="EI393" s="249"/>
      <c r="EJ393" s="249"/>
      <c r="EK393" s="249"/>
      <c r="EL393" s="249"/>
      <c r="EM393" s="249"/>
      <c r="EN393" s="249"/>
      <c r="EO393" s="249"/>
      <c r="EP393" s="249"/>
      <c r="EQ393" s="249"/>
      <c r="ER393" s="249"/>
      <c r="ES393" s="249"/>
      <c r="ET393" s="249"/>
      <c r="EU393" s="249"/>
      <c r="EV393" s="249"/>
      <c r="EW393" s="249"/>
      <c r="EX393" s="249"/>
      <c r="EY393" s="249"/>
      <c r="EZ393" s="249"/>
      <c r="FA393" s="249"/>
      <c r="FB393" s="249"/>
      <c r="FC393" s="249"/>
      <c r="FD393" s="249"/>
      <c r="FE393" s="249"/>
      <c r="FF393" s="249"/>
      <c r="FG393" s="249"/>
      <c r="FH393" s="249"/>
      <c r="FI393" s="249"/>
      <c r="FJ393" s="249"/>
      <c r="FK393" s="249"/>
      <c r="FL393" s="249"/>
      <c r="FM393" s="249"/>
      <c r="FN393" s="249"/>
      <c r="FO393" s="249"/>
      <c r="FP393" s="249"/>
      <c r="FQ393" s="249"/>
      <c r="FR393" s="249"/>
      <c r="FS393" s="249"/>
      <c r="FT393" s="249"/>
      <c r="FU393" s="249"/>
      <c r="FV393" s="249"/>
      <c r="FW393" s="249"/>
      <c r="FX393" s="249"/>
      <c r="FY393" s="249"/>
      <c r="FZ393" s="249"/>
      <c r="GA393" s="249"/>
      <c r="GB393" s="249"/>
      <c r="GC393" s="249"/>
      <c r="GD393" s="249"/>
      <c r="GE393" s="249"/>
      <c r="GF393" s="249"/>
      <c r="GG393" s="249"/>
      <c r="GH393" s="249"/>
      <c r="GI393" s="249"/>
      <c r="GJ393" s="249"/>
      <c r="GK393" s="249"/>
      <c r="GL393" s="249"/>
      <c r="GM393" s="249"/>
      <c r="GN393" s="249"/>
      <c r="GO393" s="249"/>
      <c r="GP393" s="249"/>
      <c r="GQ393" s="249"/>
      <c r="GR393" s="249"/>
    </row>
    <row r="394" spans="1:200" s="252" customFormat="1" ht="12.75" customHeight="1" x14ac:dyDescent="0.2">
      <c r="A394" s="723"/>
      <c r="B394" s="1124"/>
      <c r="C394" s="1124"/>
      <c r="D394" s="527"/>
      <c r="E394" s="596"/>
      <c r="F394" s="249"/>
      <c r="G394" s="250"/>
      <c r="H394" s="250"/>
      <c r="I394" s="250"/>
      <c r="J394" s="250"/>
      <c r="K394" s="250"/>
      <c r="L394" s="250"/>
      <c r="M394" s="250"/>
      <c r="N394" s="250"/>
      <c r="O394" s="250"/>
      <c r="P394" s="251"/>
      <c r="Q394" s="251"/>
      <c r="R394" s="251"/>
      <c r="S394" s="249"/>
      <c r="T394" s="249"/>
      <c r="U394" s="2513" t="s">
        <v>152</v>
      </c>
      <c r="V394" s="2514"/>
      <c r="W394" s="1440" t="s">
        <v>153</v>
      </c>
      <c r="X394" s="1426" t="str">
        <f t="shared" ref="X394:AK394" si="98">X$14</f>
        <v>RIGMOVE</v>
      </c>
      <c r="Y394" s="1426" t="str">
        <f t="shared" si="98"/>
        <v>DSURFACE</v>
      </c>
      <c r="Z394" s="1426" t="str">
        <f t="shared" si="98"/>
        <v>FSURFACE</v>
      </c>
      <c r="AA394" s="1426" t="str">
        <f t="shared" si="98"/>
        <v>DINTERMEDIATE</v>
      </c>
      <c r="AB394" s="1426" t="str">
        <f t="shared" si="98"/>
        <v>FINTERMEDIATE</v>
      </c>
      <c r="AC394" s="1426" t="str">
        <f t="shared" si="98"/>
        <v>DPRODUCTION</v>
      </c>
      <c r="AD394" s="1426" t="str">
        <f t="shared" si="98"/>
        <v>FPRODUCTION</v>
      </c>
      <c r="AE394" s="1426" t="str">
        <f t="shared" si="98"/>
        <v>DLINER1</v>
      </c>
      <c r="AF394" s="1426" t="str">
        <f t="shared" si="98"/>
        <v>FLINER1</v>
      </c>
      <c r="AG394" s="1426" t="str">
        <f t="shared" si="98"/>
        <v>DLINER2</v>
      </c>
      <c r="AH394" s="1426" t="str">
        <f t="shared" si="98"/>
        <v>FLINER2</v>
      </c>
      <c r="AI394" s="1426" t="str">
        <f t="shared" si="98"/>
        <v/>
      </c>
      <c r="AJ394" s="1426" t="str">
        <f t="shared" si="98"/>
        <v/>
      </c>
      <c r="AK394" s="1426" t="str">
        <f t="shared" si="98"/>
        <v/>
      </c>
      <c r="AL394" s="1426"/>
      <c r="AM394" s="1449" t="s">
        <v>46</v>
      </c>
      <c r="AN394" s="172"/>
      <c r="AO394" s="249"/>
      <c r="AP394" s="250"/>
      <c r="AQ394" s="250"/>
      <c r="AR394" s="250"/>
      <c r="AS394" s="250"/>
      <c r="AT394" s="250"/>
      <c r="AU394" s="250"/>
      <c r="AV394" s="249"/>
      <c r="AW394" s="249"/>
      <c r="AX394" s="249"/>
      <c r="AY394" s="249"/>
      <c r="AZ394" s="249"/>
      <c r="BA394" s="249"/>
      <c r="BB394" s="249"/>
      <c r="BC394" s="249"/>
      <c r="BD394" s="249"/>
      <c r="BE394" s="249"/>
      <c r="BF394" s="249"/>
      <c r="BG394" s="249"/>
      <c r="BH394" s="249"/>
      <c r="BI394" s="249"/>
      <c r="BJ394" s="249"/>
      <c r="BK394" s="249"/>
      <c r="BL394" s="249"/>
      <c r="BM394" s="249"/>
      <c r="BN394" s="249"/>
      <c r="BO394" s="249"/>
      <c r="BP394" s="249"/>
      <c r="BQ394" s="249"/>
      <c r="BR394" s="249"/>
      <c r="BS394" s="249"/>
      <c r="BT394" s="249"/>
      <c r="BU394" s="249"/>
      <c r="BV394" s="249"/>
      <c r="BW394" s="249"/>
      <c r="BX394" s="249"/>
      <c r="BY394" s="249"/>
      <c r="BZ394" s="249"/>
      <c r="CA394" s="249"/>
      <c r="CB394" s="249"/>
      <c r="CC394" s="249"/>
      <c r="CD394" s="249"/>
      <c r="CE394" s="249"/>
      <c r="CF394" s="249"/>
      <c r="CG394" s="249"/>
      <c r="CH394" s="249"/>
      <c r="CI394" s="249"/>
      <c r="CJ394" s="249"/>
      <c r="CK394" s="249"/>
      <c r="CL394" s="249"/>
      <c r="CM394" s="249"/>
      <c r="CN394" s="249"/>
      <c r="CO394" s="249"/>
      <c r="CP394" s="249"/>
      <c r="CQ394" s="249"/>
      <c r="CR394" s="249"/>
      <c r="CS394" s="249"/>
      <c r="CT394" s="249"/>
      <c r="CU394" s="249"/>
      <c r="CV394" s="249"/>
      <c r="CW394" s="249"/>
      <c r="CX394" s="249"/>
      <c r="CY394" s="249"/>
      <c r="CZ394" s="249"/>
      <c r="DA394" s="249"/>
      <c r="DB394" s="249"/>
      <c r="DC394" s="249"/>
      <c r="DD394" s="249"/>
      <c r="DE394" s="249"/>
      <c r="DF394" s="249"/>
      <c r="DG394" s="249"/>
      <c r="DH394" s="249"/>
      <c r="DI394" s="249"/>
      <c r="DJ394" s="249"/>
      <c r="DK394" s="249"/>
      <c r="DL394" s="249"/>
      <c r="DM394" s="249"/>
      <c r="DN394" s="249"/>
      <c r="DO394" s="249"/>
      <c r="DP394" s="249"/>
      <c r="DQ394" s="249"/>
      <c r="DR394" s="249"/>
      <c r="DS394" s="249"/>
      <c r="DT394" s="249"/>
      <c r="DU394" s="249"/>
      <c r="DV394" s="249"/>
      <c r="DW394" s="249"/>
      <c r="DX394" s="249"/>
      <c r="DY394" s="249"/>
      <c r="DZ394" s="249"/>
      <c r="EA394" s="249"/>
      <c r="EB394" s="249"/>
      <c r="EC394" s="249"/>
      <c r="ED394" s="249"/>
      <c r="EE394" s="249"/>
      <c r="EF394" s="249"/>
      <c r="EG394" s="249"/>
      <c r="EH394" s="249"/>
      <c r="EI394" s="249"/>
      <c r="EJ394" s="249"/>
      <c r="EK394" s="249"/>
      <c r="EL394" s="249"/>
      <c r="EM394" s="249"/>
      <c r="EN394" s="249"/>
      <c r="EO394" s="249"/>
      <c r="EP394" s="249"/>
      <c r="EQ394" s="249"/>
      <c r="ER394" s="249"/>
      <c r="ES394" s="249"/>
      <c r="ET394" s="249"/>
      <c r="EU394" s="249"/>
      <c r="EV394" s="249"/>
      <c r="EW394" s="249"/>
      <c r="EX394" s="249"/>
      <c r="EY394" s="249"/>
      <c r="EZ394" s="249"/>
      <c r="FA394" s="249"/>
      <c r="FB394" s="249"/>
      <c r="FC394" s="249"/>
      <c r="FD394" s="249"/>
      <c r="FE394" s="249"/>
      <c r="FF394" s="249"/>
      <c r="FG394" s="249"/>
      <c r="FH394" s="249"/>
      <c r="FI394" s="249"/>
      <c r="FJ394" s="249"/>
      <c r="FK394" s="249"/>
      <c r="FL394" s="249"/>
      <c r="FM394" s="249"/>
      <c r="FN394" s="249"/>
      <c r="FO394" s="249"/>
      <c r="FP394" s="249"/>
      <c r="FQ394" s="249"/>
      <c r="FR394" s="249"/>
      <c r="FS394" s="249"/>
      <c r="FT394" s="249"/>
      <c r="FU394" s="249"/>
      <c r="FV394" s="249"/>
      <c r="FW394" s="249"/>
      <c r="FX394" s="249"/>
      <c r="FY394" s="249"/>
      <c r="FZ394" s="249"/>
      <c r="GA394" s="249"/>
      <c r="GB394" s="249"/>
      <c r="GC394" s="249"/>
      <c r="GD394" s="249"/>
      <c r="GE394" s="249"/>
      <c r="GF394" s="249"/>
      <c r="GG394" s="249"/>
      <c r="GH394" s="249"/>
      <c r="GI394" s="249"/>
      <c r="GJ394" s="249"/>
      <c r="GK394" s="249"/>
      <c r="GL394" s="249"/>
      <c r="GM394" s="249"/>
      <c r="GN394" s="249"/>
      <c r="GO394" s="249"/>
      <c r="GP394" s="249"/>
      <c r="GQ394" s="249"/>
      <c r="GR394" s="249"/>
    </row>
    <row r="395" spans="1:200" s="252" customFormat="1" ht="12.75" customHeight="1" x14ac:dyDescent="0.2">
      <c r="A395" s="723"/>
      <c r="B395" s="1124"/>
      <c r="C395" s="1124"/>
      <c r="D395" s="527"/>
      <c r="E395" s="596"/>
      <c r="F395" s="249"/>
      <c r="G395" s="250"/>
      <c r="H395" s="250"/>
      <c r="I395" s="250"/>
      <c r="J395" s="250"/>
      <c r="K395" s="250"/>
      <c r="L395" s="250"/>
      <c r="M395" s="250"/>
      <c r="N395" s="250"/>
      <c r="O395" s="250"/>
      <c r="P395" s="251"/>
      <c r="Q395" s="251"/>
      <c r="R395" s="251"/>
      <c r="S395" s="249"/>
      <c r="T395" s="249"/>
      <c r="U395" s="1446" t="str">
        <f>V388</f>
        <v>20-3/4" x 3M (900S) CASING HEAD FLANGE</v>
      </c>
      <c r="V395" s="1446"/>
      <c r="W395" s="246">
        <f>IF(U388="Yes",'Casings et al'!AD3,'Casings et al'!AH3)</f>
        <v>490690.9</v>
      </c>
      <c r="X395" s="246"/>
      <c r="Y395" s="246"/>
      <c r="Z395" s="246"/>
      <c r="AA395" s="246"/>
      <c r="AB395" s="246">
        <f>IFERROR(($W395*AB388),0)</f>
        <v>490690.9</v>
      </c>
      <c r="AC395" s="246"/>
      <c r="AD395" s="246">
        <f>IFERROR(($W395*AD388),0)</f>
        <v>0</v>
      </c>
      <c r="AE395" s="246"/>
      <c r="AF395" s="246">
        <f>IFERROR(($W395*AF388),0)</f>
        <v>0</v>
      </c>
      <c r="AG395" s="246"/>
      <c r="AH395" s="246">
        <f>IFERROR(($W395*AH388),0)</f>
        <v>0</v>
      </c>
      <c r="AI395" s="246"/>
      <c r="AJ395" s="246">
        <f>IFERROR(($W395*AJ388),0)</f>
        <v>0</v>
      </c>
      <c r="AK395" s="246">
        <f>IFERROR(($W395*AK388),0)</f>
        <v>0</v>
      </c>
      <c r="AL395" s="246"/>
      <c r="AM395" s="246">
        <f>SUM(X395:AL395)</f>
        <v>490690.9</v>
      </c>
      <c r="AN395" s="172"/>
      <c r="AO395" s="249"/>
      <c r="AP395" s="250"/>
      <c r="AQ395" s="250"/>
      <c r="AR395" s="250"/>
      <c r="AS395" s="250"/>
      <c r="AT395" s="250"/>
      <c r="AU395" s="250"/>
      <c r="AV395" s="249"/>
      <c r="AW395" s="249"/>
      <c r="AX395" s="249"/>
      <c r="AY395" s="249"/>
      <c r="AZ395" s="249"/>
      <c r="BA395" s="249"/>
      <c r="BB395" s="249"/>
      <c r="BC395" s="249"/>
      <c r="BD395" s="249"/>
      <c r="BE395" s="249"/>
      <c r="BF395" s="249"/>
      <c r="BG395" s="249"/>
      <c r="BH395" s="249"/>
      <c r="BI395" s="249"/>
      <c r="BJ395" s="249"/>
      <c r="BK395" s="249"/>
      <c r="BL395" s="249"/>
      <c r="BM395" s="249"/>
      <c r="BN395" s="249"/>
      <c r="BO395" s="249"/>
      <c r="BP395" s="249"/>
      <c r="BQ395" s="249"/>
      <c r="BR395" s="249"/>
      <c r="BS395" s="249"/>
      <c r="BT395" s="249"/>
      <c r="BU395" s="249"/>
      <c r="BV395" s="249"/>
      <c r="BW395" s="249"/>
      <c r="BX395" s="249"/>
      <c r="BY395" s="249"/>
      <c r="BZ395" s="249"/>
      <c r="CA395" s="249"/>
      <c r="CB395" s="249"/>
      <c r="CC395" s="249"/>
      <c r="CD395" s="249"/>
      <c r="CE395" s="249"/>
      <c r="CF395" s="249"/>
      <c r="CG395" s="249"/>
      <c r="CH395" s="249"/>
      <c r="CI395" s="249"/>
      <c r="CJ395" s="249"/>
      <c r="CK395" s="249"/>
      <c r="CL395" s="249"/>
      <c r="CM395" s="249"/>
      <c r="CN395" s="249"/>
      <c r="CO395" s="249"/>
      <c r="CP395" s="249"/>
      <c r="CQ395" s="249"/>
      <c r="CR395" s="249"/>
      <c r="CS395" s="249"/>
      <c r="CT395" s="249"/>
      <c r="CU395" s="249"/>
      <c r="CV395" s="249"/>
      <c r="CW395" s="249"/>
      <c r="CX395" s="249"/>
      <c r="CY395" s="249"/>
      <c r="CZ395" s="249"/>
      <c r="DA395" s="249"/>
      <c r="DB395" s="249"/>
      <c r="DC395" s="249"/>
      <c r="DD395" s="249"/>
      <c r="DE395" s="249"/>
      <c r="DF395" s="249"/>
      <c r="DG395" s="249"/>
      <c r="DH395" s="249"/>
      <c r="DI395" s="249"/>
      <c r="DJ395" s="249"/>
      <c r="DK395" s="249"/>
      <c r="DL395" s="249"/>
      <c r="DM395" s="249"/>
      <c r="DN395" s="249"/>
      <c r="DO395" s="249"/>
      <c r="DP395" s="249"/>
      <c r="DQ395" s="249"/>
      <c r="DR395" s="249"/>
      <c r="DS395" s="249"/>
      <c r="DT395" s="249"/>
      <c r="DU395" s="249"/>
      <c r="DV395" s="249"/>
      <c r="DW395" s="249"/>
      <c r="DX395" s="249"/>
      <c r="DY395" s="249"/>
      <c r="DZ395" s="249"/>
      <c r="EA395" s="249"/>
      <c r="EB395" s="249"/>
      <c r="EC395" s="249"/>
      <c r="ED395" s="249"/>
      <c r="EE395" s="249"/>
      <c r="EF395" s="249"/>
      <c r="EG395" s="249"/>
      <c r="EH395" s="249"/>
      <c r="EI395" s="249"/>
      <c r="EJ395" s="249"/>
      <c r="EK395" s="249"/>
      <c r="EL395" s="249"/>
      <c r="EM395" s="249"/>
      <c r="EN395" s="249"/>
      <c r="EO395" s="249"/>
      <c r="EP395" s="249"/>
      <c r="EQ395" s="249"/>
      <c r="ER395" s="249"/>
      <c r="ES395" s="249"/>
      <c r="ET395" s="249"/>
      <c r="EU395" s="249"/>
      <c r="EV395" s="249"/>
      <c r="EW395" s="249"/>
      <c r="EX395" s="249"/>
      <c r="EY395" s="249"/>
      <c r="EZ395" s="249"/>
      <c r="FA395" s="249"/>
      <c r="FB395" s="249"/>
      <c r="FC395" s="249"/>
      <c r="FD395" s="249"/>
      <c r="FE395" s="249"/>
      <c r="FF395" s="249"/>
      <c r="FG395" s="249"/>
      <c r="FH395" s="249"/>
      <c r="FI395" s="249"/>
      <c r="FJ395" s="249"/>
      <c r="FK395" s="249"/>
      <c r="FL395" s="249"/>
      <c r="FM395" s="249"/>
      <c r="FN395" s="249"/>
      <c r="FO395" s="249"/>
      <c r="FP395" s="249"/>
      <c r="FQ395" s="249"/>
      <c r="FR395" s="249"/>
      <c r="FS395" s="249"/>
      <c r="FT395" s="249"/>
      <c r="FU395" s="249"/>
      <c r="FV395" s="249"/>
      <c r="FW395" s="249"/>
      <c r="FX395" s="249"/>
      <c r="FY395" s="249"/>
      <c r="FZ395" s="249"/>
      <c r="GA395" s="249"/>
      <c r="GB395" s="249"/>
      <c r="GC395" s="249"/>
      <c r="GD395" s="249"/>
      <c r="GE395" s="249"/>
      <c r="GF395" s="249"/>
      <c r="GG395" s="249"/>
      <c r="GH395" s="249"/>
      <c r="GI395" s="249"/>
      <c r="GJ395" s="249"/>
      <c r="GK395" s="249"/>
      <c r="GL395" s="249"/>
      <c r="GM395" s="249"/>
      <c r="GN395" s="249"/>
      <c r="GO395" s="249"/>
      <c r="GP395" s="249"/>
      <c r="GQ395" s="249"/>
      <c r="GR395" s="249"/>
    </row>
    <row r="396" spans="1:200" s="252" customFormat="1" ht="12.75" customHeight="1" x14ac:dyDescent="0.2">
      <c r="A396" s="723"/>
      <c r="B396" s="1124"/>
      <c r="C396" s="1124"/>
      <c r="D396" s="527"/>
      <c r="E396" s="596"/>
      <c r="F396" s="249"/>
      <c r="G396" s="250"/>
      <c r="H396" s="250"/>
      <c r="I396" s="250"/>
      <c r="J396" s="250"/>
      <c r="K396" s="250"/>
      <c r="L396" s="250"/>
      <c r="M396" s="250"/>
      <c r="N396" s="250"/>
      <c r="O396" s="250"/>
      <c r="P396" s="251"/>
      <c r="Q396" s="251"/>
      <c r="R396" s="251"/>
      <c r="S396" s="249"/>
      <c r="T396" s="249"/>
      <c r="U396" s="1446" t="str">
        <f>V389</f>
        <v>20-3/4" x 3M x 13-5/8" x 3M EXPANSION SPOOL</v>
      </c>
      <c r="V396" s="1446"/>
      <c r="W396" s="246">
        <f>IF(U389="Yes",'Casings et al'!AD4,'Casings et al'!AH4)</f>
        <v>743072.92</v>
      </c>
      <c r="X396" s="246"/>
      <c r="Y396" s="246"/>
      <c r="Z396" s="246"/>
      <c r="AA396" s="246"/>
      <c r="AB396" s="246">
        <f>IFERROR(($W396*AB389),0)</f>
        <v>0</v>
      </c>
      <c r="AC396" s="246"/>
      <c r="AD396" s="246">
        <f>IFERROR(($W396*AD389),0)</f>
        <v>0</v>
      </c>
      <c r="AE396" s="246"/>
      <c r="AF396" s="246">
        <f>IFERROR(($W396*AF389),0)</f>
        <v>0</v>
      </c>
      <c r="AG396" s="246"/>
      <c r="AH396" s="246">
        <f t="shared" ref="AH396:AJ399" si="99">IFERROR(($W396*AH389),0)</f>
        <v>743072.92</v>
      </c>
      <c r="AI396" s="246"/>
      <c r="AJ396" s="246">
        <f t="shared" si="99"/>
        <v>0</v>
      </c>
      <c r="AK396" s="246">
        <f>IFERROR(($W396*AK389),0)</f>
        <v>0</v>
      </c>
      <c r="AL396" s="246"/>
      <c r="AM396" s="246">
        <f>SUM(X396:AL396)</f>
        <v>743072.92</v>
      </c>
      <c r="AN396" s="172"/>
      <c r="AO396" s="249"/>
      <c r="AP396" s="250"/>
      <c r="AQ396" s="250"/>
      <c r="AR396" s="250"/>
      <c r="AS396" s="250"/>
      <c r="AT396" s="250"/>
      <c r="AU396" s="250"/>
      <c r="AV396" s="249"/>
      <c r="AW396" s="249"/>
      <c r="AX396" s="249"/>
      <c r="AY396" s="249"/>
      <c r="AZ396" s="249"/>
      <c r="BA396" s="249"/>
      <c r="BB396" s="249"/>
      <c r="BC396" s="249"/>
      <c r="BD396" s="249"/>
      <c r="BE396" s="249"/>
      <c r="BF396" s="249"/>
      <c r="BG396" s="249"/>
      <c r="BH396" s="249"/>
      <c r="BI396" s="249"/>
      <c r="BJ396" s="249"/>
      <c r="BK396" s="249"/>
      <c r="BL396" s="249"/>
      <c r="BM396" s="249"/>
      <c r="BN396" s="249"/>
      <c r="BO396" s="249"/>
      <c r="BP396" s="249"/>
      <c r="BQ396" s="249"/>
      <c r="BR396" s="249"/>
      <c r="BS396" s="249"/>
      <c r="BT396" s="249"/>
      <c r="BU396" s="249"/>
      <c r="BV396" s="249"/>
      <c r="BW396" s="249"/>
      <c r="BX396" s="249"/>
      <c r="BY396" s="249"/>
      <c r="BZ396" s="249"/>
      <c r="CA396" s="249"/>
      <c r="CB396" s="249"/>
      <c r="CC396" s="249"/>
      <c r="CD396" s="249"/>
      <c r="CE396" s="249"/>
      <c r="CF396" s="249"/>
      <c r="CG396" s="249"/>
      <c r="CH396" s="249"/>
      <c r="CI396" s="249"/>
      <c r="CJ396" s="249"/>
      <c r="CK396" s="249"/>
      <c r="CL396" s="249"/>
      <c r="CM396" s="249"/>
      <c r="CN396" s="249"/>
      <c r="CO396" s="249"/>
      <c r="CP396" s="249"/>
      <c r="CQ396" s="249"/>
      <c r="CR396" s="249"/>
      <c r="CS396" s="249"/>
      <c r="CT396" s="249"/>
      <c r="CU396" s="249"/>
      <c r="CV396" s="249"/>
      <c r="CW396" s="249"/>
      <c r="CX396" s="249"/>
      <c r="CY396" s="249"/>
      <c r="CZ396" s="249"/>
      <c r="DA396" s="249"/>
      <c r="DB396" s="249"/>
      <c r="DC396" s="249"/>
      <c r="DD396" s="249"/>
      <c r="DE396" s="249"/>
      <c r="DF396" s="249"/>
      <c r="DG396" s="249"/>
      <c r="DH396" s="249"/>
      <c r="DI396" s="249"/>
      <c r="DJ396" s="249"/>
      <c r="DK396" s="249"/>
      <c r="DL396" s="249"/>
      <c r="DM396" s="249"/>
      <c r="DN396" s="249"/>
      <c r="DO396" s="249"/>
      <c r="DP396" s="249"/>
      <c r="DQ396" s="249"/>
      <c r="DR396" s="249"/>
      <c r="DS396" s="249"/>
      <c r="DT396" s="249"/>
      <c r="DU396" s="249"/>
      <c r="DV396" s="249"/>
      <c r="DW396" s="249"/>
      <c r="DX396" s="249"/>
      <c r="DY396" s="249"/>
      <c r="DZ396" s="249"/>
      <c r="EA396" s="249"/>
      <c r="EB396" s="249"/>
      <c r="EC396" s="249"/>
      <c r="ED396" s="249"/>
      <c r="EE396" s="249"/>
      <c r="EF396" s="249"/>
      <c r="EG396" s="249"/>
      <c r="EH396" s="249"/>
      <c r="EI396" s="249"/>
      <c r="EJ396" s="249"/>
      <c r="EK396" s="249"/>
      <c r="EL396" s="249"/>
      <c r="EM396" s="249"/>
      <c r="EN396" s="249"/>
      <c r="EO396" s="249"/>
      <c r="EP396" s="249"/>
      <c r="EQ396" s="249"/>
      <c r="ER396" s="249"/>
      <c r="ES396" s="249"/>
      <c r="ET396" s="249"/>
      <c r="EU396" s="249"/>
      <c r="EV396" s="249"/>
      <c r="EW396" s="249"/>
      <c r="EX396" s="249"/>
      <c r="EY396" s="249"/>
      <c r="EZ396" s="249"/>
      <c r="FA396" s="249"/>
      <c r="FB396" s="249"/>
      <c r="FC396" s="249"/>
      <c r="FD396" s="249"/>
      <c r="FE396" s="249"/>
      <c r="FF396" s="249"/>
      <c r="FG396" s="249"/>
      <c r="FH396" s="249"/>
      <c r="FI396" s="249"/>
      <c r="FJ396" s="249"/>
      <c r="FK396" s="249"/>
      <c r="FL396" s="249"/>
      <c r="FM396" s="249"/>
      <c r="FN396" s="249"/>
      <c r="FO396" s="249"/>
      <c r="FP396" s="249"/>
      <c r="FQ396" s="249"/>
      <c r="FR396" s="249"/>
      <c r="FS396" s="249"/>
      <c r="FT396" s="249"/>
      <c r="FU396" s="249"/>
      <c r="FV396" s="249"/>
      <c r="FW396" s="249"/>
      <c r="FX396" s="249"/>
      <c r="FY396" s="249"/>
      <c r="FZ396" s="249"/>
      <c r="GA396" s="249"/>
      <c r="GB396" s="249"/>
      <c r="GC396" s="249"/>
      <c r="GD396" s="249"/>
      <c r="GE396" s="249"/>
      <c r="GF396" s="249"/>
      <c r="GG396" s="249"/>
      <c r="GH396" s="249"/>
      <c r="GI396" s="249"/>
      <c r="GJ396" s="249"/>
      <c r="GK396" s="249"/>
      <c r="GL396" s="249"/>
      <c r="GM396" s="249"/>
      <c r="GN396" s="249"/>
      <c r="GO396" s="249"/>
      <c r="GP396" s="249"/>
      <c r="GQ396" s="249"/>
      <c r="GR396" s="249"/>
    </row>
    <row r="397" spans="1:200" s="252" customFormat="1" ht="12.75" customHeight="1" x14ac:dyDescent="0.2">
      <c r="A397" s="723"/>
      <c r="B397" s="1124"/>
      <c r="C397" s="1124"/>
      <c r="D397" s="527"/>
      <c r="E397" s="596"/>
      <c r="F397" s="249"/>
      <c r="G397" s="250"/>
      <c r="H397" s="250"/>
      <c r="I397" s="250"/>
      <c r="J397" s="250"/>
      <c r="K397" s="250"/>
      <c r="L397" s="250"/>
      <c r="M397" s="250"/>
      <c r="N397" s="250"/>
      <c r="O397" s="250"/>
      <c r="P397" s="251"/>
      <c r="Q397" s="251"/>
      <c r="R397" s="251"/>
      <c r="S397" s="249"/>
      <c r="T397" s="249"/>
      <c r="U397" s="1446" t="str">
        <f>V390</f>
        <v>12" x 900S MASTER VALVE</v>
      </c>
      <c r="V397" s="1446"/>
      <c r="W397" s="246">
        <f>IF(U390="Yes",'Casings et al'!AD5,'Casings et al'!AH5)</f>
        <v>1550116.5729166665</v>
      </c>
      <c r="X397" s="246"/>
      <c r="Y397" s="246"/>
      <c r="Z397" s="246"/>
      <c r="AA397" s="246"/>
      <c r="AB397" s="246">
        <f>IFERROR(($W397*AB390),0)</f>
        <v>0</v>
      </c>
      <c r="AC397" s="246"/>
      <c r="AD397" s="246">
        <f>IFERROR(($W397*AD390),0)</f>
        <v>0</v>
      </c>
      <c r="AE397" s="246"/>
      <c r="AF397" s="246">
        <f>IFERROR(($W397*AF390),0)</f>
        <v>0</v>
      </c>
      <c r="AG397" s="246"/>
      <c r="AH397" s="246">
        <f t="shared" si="99"/>
        <v>1550116.5729166665</v>
      </c>
      <c r="AI397" s="246"/>
      <c r="AJ397" s="246">
        <f t="shared" si="99"/>
        <v>0</v>
      </c>
      <c r="AK397" s="246">
        <f>IFERROR(($W397*AK390),0)</f>
        <v>0</v>
      </c>
      <c r="AL397" s="246"/>
      <c r="AM397" s="246">
        <f>SUM(X397:AL397)</f>
        <v>1550116.5729166665</v>
      </c>
      <c r="AN397" s="172"/>
      <c r="AO397" s="249"/>
      <c r="AP397" s="250"/>
      <c r="AQ397" s="250"/>
      <c r="AR397" s="250"/>
      <c r="AS397" s="250"/>
      <c r="AT397" s="250"/>
      <c r="AU397" s="250"/>
      <c r="AV397" s="249"/>
      <c r="AW397" s="249"/>
      <c r="AX397" s="249"/>
      <c r="AY397" s="249"/>
      <c r="AZ397" s="249"/>
      <c r="BA397" s="249"/>
      <c r="BB397" s="249"/>
      <c r="BC397" s="249"/>
      <c r="BD397" s="249"/>
      <c r="BE397" s="249"/>
      <c r="BF397" s="249"/>
      <c r="BG397" s="249"/>
      <c r="BH397" s="249"/>
      <c r="BI397" s="249"/>
      <c r="BJ397" s="249"/>
      <c r="BK397" s="249"/>
      <c r="BL397" s="249"/>
      <c r="BM397" s="249"/>
      <c r="BN397" s="249"/>
      <c r="BO397" s="249"/>
      <c r="BP397" s="249"/>
      <c r="BQ397" s="249"/>
      <c r="BR397" s="249"/>
      <c r="BS397" s="249"/>
      <c r="BT397" s="249"/>
      <c r="BU397" s="249"/>
      <c r="BV397" s="249"/>
      <c r="BW397" s="249"/>
      <c r="BX397" s="249"/>
      <c r="BY397" s="249"/>
      <c r="BZ397" s="249"/>
      <c r="CA397" s="249"/>
      <c r="CB397" s="249"/>
      <c r="CC397" s="249"/>
      <c r="CD397" s="249"/>
      <c r="CE397" s="249"/>
      <c r="CF397" s="249"/>
      <c r="CG397" s="249"/>
      <c r="CH397" s="249"/>
      <c r="CI397" s="249"/>
      <c r="CJ397" s="249"/>
      <c r="CK397" s="249"/>
      <c r="CL397" s="249"/>
      <c r="CM397" s="249"/>
      <c r="CN397" s="249"/>
      <c r="CO397" s="249"/>
      <c r="CP397" s="249"/>
      <c r="CQ397" s="249"/>
      <c r="CR397" s="249"/>
      <c r="CS397" s="249"/>
      <c r="CT397" s="249"/>
      <c r="CU397" s="249"/>
      <c r="CV397" s="249"/>
      <c r="CW397" s="249"/>
      <c r="CX397" s="249"/>
      <c r="CY397" s="249"/>
      <c r="CZ397" s="249"/>
      <c r="DA397" s="249"/>
      <c r="DB397" s="249"/>
      <c r="DC397" s="249"/>
      <c r="DD397" s="249"/>
      <c r="DE397" s="249"/>
      <c r="DF397" s="249"/>
      <c r="DG397" s="249"/>
      <c r="DH397" s="249"/>
      <c r="DI397" s="249"/>
      <c r="DJ397" s="249"/>
      <c r="DK397" s="249"/>
      <c r="DL397" s="249"/>
      <c r="DM397" s="249"/>
      <c r="DN397" s="249"/>
      <c r="DO397" s="249"/>
      <c r="DP397" s="249"/>
      <c r="DQ397" s="249"/>
      <c r="DR397" s="249"/>
      <c r="DS397" s="249"/>
      <c r="DT397" s="249"/>
      <c r="DU397" s="249"/>
      <c r="DV397" s="249"/>
      <c r="DW397" s="249"/>
      <c r="DX397" s="249"/>
      <c r="DY397" s="249"/>
      <c r="DZ397" s="249"/>
      <c r="EA397" s="249"/>
      <c r="EB397" s="249"/>
      <c r="EC397" s="249"/>
      <c r="ED397" s="249"/>
      <c r="EE397" s="249"/>
      <c r="EF397" s="249"/>
      <c r="EG397" s="249"/>
      <c r="EH397" s="249"/>
      <c r="EI397" s="249"/>
      <c r="EJ397" s="249"/>
      <c r="EK397" s="249"/>
      <c r="EL397" s="249"/>
      <c r="EM397" s="249"/>
      <c r="EN397" s="249"/>
      <c r="EO397" s="249"/>
      <c r="EP397" s="249"/>
      <c r="EQ397" s="249"/>
      <c r="ER397" s="249"/>
      <c r="ES397" s="249"/>
      <c r="ET397" s="249"/>
      <c r="EU397" s="249"/>
      <c r="EV397" s="249"/>
      <c r="EW397" s="249"/>
      <c r="EX397" s="249"/>
      <c r="EY397" s="249"/>
      <c r="EZ397" s="249"/>
      <c r="FA397" s="249"/>
      <c r="FB397" s="249"/>
      <c r="FC397" s="249"/>
      <c r="FD397" s="249"/>
      <c r="FE397" s="249"/>
      <c r="FF397" s="249"/>
      <c r="FG397" s="249"/>
      <c r="FH397" s="249"/>
      <c r="FI397" s="249"/>
      <c r="FJ397" s="249"/>
      <c r="FK397" s="249"/>
      <c r="FL397" s="249"/>
      <c r="FM397" s="249"/>
      <c r="FN397" s="249"/>
      <c r="FO397" s="249"/>
      <c r="FP397" s="249"/>
      <c r="FQ397" s="249"/>
      <c r="FR397" s="249"/>
      <c r="FS397" s="249"/>
      <c r="FT397" s="249"/>
      <c r="FU397" s="249"/>
      <c r="FV397" s="249"/>
      <c r="FW397" s="249"/>
      <c r="FX397" s="249"/>
      <c r="FY397" s="249"/>
      <c r="FZ397" s="249"/>
      <c r="GA397" s="249"/>
      <c r="GB397" s="249"/>
      <c r="GC397" s="249"/>
      <c r="GD397" s="249"/>
      <c r="GE397" s="249"/>
      <c r="GF397" s="249"/>
      <c r="GG397" s="249"/>
      <c r="GH397" s="249"/>
      <c r="GI397" s="249"/>
      <c r="GJ397" s="249"/>
      <c r="GK397" s="249"/>
      <c r="GL397" s="249"/>
      <c r="GM397" s="249"/>
      <c r="GN397" s="249"/>
      <c r="GO397" s="249"/>
      <c r="GP397" s="249"/>
      <c r="GQ397" s="249"/>
      <c r="GR397" s="249"/>
    </row>
    <row r="398" spans="1:200" s="252" customFormat="1" ht="12.75" customHeight="1" x14ac:dyDescent="0.2">
      <c r="A398" s="723"/>
      <c r="B398" s="1124"/>
      <c r="C398" s="1124"/>
      <c r="D398" s="527"/>
      <c r="E398" s="596"/>
      <c r="F398" s="249"/>
      <c r="G398" s="250"/>
      <c r="H398" s="250"/>
      <c r="I398" s="250"/>
      <c r="J398" s="250"/>
      <c r="K398" s="250"/>
      <c r="L398" s="250"/>
      <c r="M398" s="250"/>
      <c r="N398" s="250"/>
      <c r="O398" s="250"/>
      <c r="P398" s="251"/>
      <c r="Q398" s="251"/>
      <c r="R398" s="251"/>
      <c r="S398" s="249"/>
      <c r="T398" s="249"/>
      <c r="U398" s="512" t="str">
        <f>V391</f>
        <v>3-1/8" x 3m WING VALVES</v>
      </c>
      <c r="V398" s="512"/>
      <c r="W398" s="246">
        <f>IF(U391="Yes",'Casings et al'!AD6,'Casings et al'!AH6)</f>
        <v>308700</v>
      </c>
      <c r="X398" s="246"/>
      <c r="Y398" s="246"/>
      <c r="Z398" s="246"/>
      <c r="AA398" s="246"/>
      <c r="AB398" s="246">
        <f>IFERROR(($W398*AB391),0)</f>
        <v>0</v>
      </c>
      <c r="AC398" s="246"/>
      <c r="AD398" s="246">
        <f>IFERROR(($W398*AD391),0)</f>
        <v>0</v>
      </c>
      <c r="AE398" s="246"/>
      <c r="AF398" s="246">
        <f>IFERROR(($W398*AF391),0)</f>
        <v>0</v>
      </c>
      <c r="AG398" s="246"/>
      <c r="AH398" s="246">
        <f t="shared" si="99"/>
        <v>617400</v>
      </c>
      <c r="AI398" s="246"/>
      <c r="AJ398" s="246">
        <f t="shared" si="99"/>
        <v>0</v>
      </c>
      <c r="AK398" s="246">
        <f>IFERROR(($W398*AK391),0)</f>
        <v>0</v>
      </c>
      <c r="AL398" s="246"/>
      <c r="AM398" s="246">
        <f>SUM(X398:AL398)</f>
        <v>617400</v>
      </c>
      <c r="AN398" s="172"/>
      <c r="AO398" s="249"/>
      <c r="AP398" s="250"/>
      <c r="AQ398" s="250"/>
      <c r="AR398" s="250"/>
      <c r="AS398" s="250"/>
      <c r="AT398" s="250"/>
      <c r="AU398" s="250"/>
      <c r="AV398" s="249"/>
      <c r="AW398" s="249"/>
      <c r="AX398" s="249"/>
      <c r="AY398" s="249"/>
      <c r="AZ398" s="249"/>
      <c r="BA398" s="249"/>
      <c r="BB398" s="249"/>
      <c r="BC398" s="249"/>
      <c r="BD398" s="249"/>
      <c r="BE398" s="249"/>
      <c r="BF398" s="249"/>
      <c r="BG398" s="249"/>
      <c r="BH398" s="249"/>
      <c r="BI398" s="249"/>
      <c r="BJ398" s="249"/>
      <c r="BK398" s="249"/>
      <c r="BL398" s="249"/>
      <c r="BM398" s="249"/>
      <c r="BN398" s="249"/>
      <c r="BO398" s="249"/>
      <c r="BP398" s="249"/>
      <c r="BQ398" s="249"/>
      <c r="BR398" s="249"/>
      <c r="BS398" s="249"/>
      <c r="BT398" s="249"/>
      <c r="BU398" s="249"/>
      <c r="BV398" s="249"/>
      <c r="BW398" s="249"/>
      <c r="BX398" s="249"/>
      <c r="BY398" s="249"/>
      <c r="BZ398" s="249"/>
      <c r="CA398" s="249"/>
      <c r="CB398" s="249"/>
      <c r="CC398" s="249"/>
      <c r="CD398" s="249"/>
      <c r="CE398" s="249"/>
      <c r="CF398" s="249"/>
      <c r="CG398" s="249"/>
      <c r="CH398" s="249"/>
      <c r="CI398" s="249"/>
      <c r="CJ398" s="249"/>
      <c r="CK398" s="249"/>
      <c r="CL398" s="249"/>
      <c r="CM398" s="249"/>
      <c r="CN398" s="249"/>
      <c r="CO398" s="249"/>
      <c r="CP398" s="249"/>
      <c r="CQ398" s="249"/>
      <c r="CR398" s="249"/>
      <c r="CS398" s="249"/>
      <c r="CT398" s="249"/>
      <c r="CU398" s="249"/>
      <c r="CV398" s="249"/>
      <c r="CW398" s="249"/>
      <c r="CX398" s="249"/>
      <c r="CY398" s="249"/>
      <c r="CZ398" s="249"/>
      <c r="DA398" s="249"/>
      <c r="DB398" s="249"/>
      <c r="DC398" s="249"/>
      <c r="DD398" s="249"/>
      <c r="DE398" s="249"/>
      <c r="DF398" s="249"/>
      <c r="DG398" s="249"/>
      <c r="DH398" s="249"/>
      <c r="DI398" s="249"/>
      <c r="DJ398" s="249"/>
      <c r="DK398" s="249"/>
      <c r="DL398" s="249"/>
      <c r="DM398" s="249"/>
      <c r="DN398" s="249"/>
      <c r="DO398" s="249"/>
      <c r="DP398" s="249"/>
      <c r="DQ398" s="249"/>
      <c r="DR398" s="249"/>
      <c r="DS398" s="249"/>
      <c r="DT398" s="249"/>
      <c r="DU398" s="249"/>
      <c r="DV398" s="249"/>
      <c r="DW398" s="249"/>
      <c r="DX398" s="249"/>
      <c r="DY398" s="249"/>
      <c r="DZ398" s="249"/>
      <c r="EA398" s="249"/>
      <c r="EB398" s="249"/>
      <c r="EC398" s="249"/>
      <c r="ED398" s="249"/>
      <c r="EE398" s="249"/>
      <c r="EF398" s="249"/>
      <c r="EG398" s="249"/>
      <c r="EH398" s="249"/>
      <c r="EI398" s="249"/>
      <c r="EJ398" s="249"/>
      <c r="EK398" s="249"/>
      <c r="EL398" s="249"/>
      <c r="EM398" s="249"/>
      <c r="EN398" s="249"/>
      <c r="EO398" s="249"/>
      <c r="EP398" s="249"/>
      <c r="EQ398" s="249"/>
      <c r="ER398" s="249"/>
      <c r="ES398" s="249"/>
      <c r="ET398" s="249"/>
      <c r="EU398" s="249"/>
      <c r="EV398" s="249"/>
      <c r="EW398" s="249"/>
      <c r="EX398" s="249"/>
      <c r="EY398" s="249"/>
      <c r="EZ398" s="249"/>
      <c r="FA398" s="249"/>
      <c r="FB398" s="249"/>
      <c r="FC398" s="249"/>
      <c r="FD398" s="249"/>
      <c r="FE398" s="249"/>
      <c r="FF398" s="249"/>
      <c r="FG398" s="249"/>
      <c r="FH398" s="249"/>
      <c r="FI398" s="249"/>
      <c r="FJ398" s="249"/>
      <c r="FK398" s="249"/>
      <c r="FL398" s="249"/>
      <c r="FM398" s="249"/>
      <c r="FN398" s="249"/>
      <c r="FO398" s="249"/>
      <c r="FP398" s="249"/>
      <c r="FQ398" s="249"/>
      <c r="FR398" s="249"/>
      <c r="FS398" s="249"/>
      <c r="FT398" s="249"/>
      <c r="FU398" s="249"/>
      <c r="FV398" s="249"/>
      <c r="FW398" s="249"/>
      <c r="FX398" s="249"/>
      <c r="FY398" s="249"/>
      <c r="FZ398" s="249"/>
      <c r="GA398" s="249"/>
      <c r="GB398" s="249"/>
      <c r="GC398" s="249"/>
      <c r="GD398" s="249"/>
      <c r="GE398" s="249"/>
      <c r="GF398" s="249"/>
      <c r="GG398" s="249"/>
      <c r="GH398" s="249"/>
      <c r="GI398" s="249"/>
      <c r="GJ398" s="249"/>
      <c r="GK398" s="249"/>
      <c r="GL398" s="249"/>
      <c r="GM398" s="249"/>
      <c r="GN398" s="249"/>
      <c r="GO398" s="249"/>
      <c r="GP398" s="249"/>
      <c r="GQ398" s="249"/>
      <c r="GR398" s="249"/>
    </row>
    <row r="399" spans="1:200" s="252" customFormat="1" ht="12.75" customHeight="1" x14ac:dyDescent="0.2">
      <c r="A399" s="723"/>
      <c r="B399" s="1124"/>
      <c r="C399" s="1124"/>
      <c r="D399" s="527"/>
      <c r="E399" s="596"/>
      <c r="F399" s="249"/>
      <c r="G399" s="250"/>
      <c r="H399" s="250"/>
      <c r="I399" s="250"/>
      <c r="J399" s="250"/>
      <c r="K399" s="250"/>
      <c r="L399" s="250"/>
      <c r="M399" s="250"/>
      <c r="N399" s="250"/>
      <c r="O399" s="250"/>
      <c r="P399" s="251"/>
      <c r="Q399" s="251"/>
      <c r="R399" s="251"/>
      <c r="S399" s="249"/>
      <c r="T399" s="249"/>
      <c r="U399" s="1445" t="str">
        <f>V392</f>
        <v>Bolts and gastkets</v>
      </c>
      <c r="V399" s="1443"/>
      <c r="W399" s="1453">
        <f>'Casings et al'!AE19</f>
        <v>103558.76999999999</v>
      </c>
      <c r="X399" s="246"/>
      <c r="Y399" s="246"/>
      <c r="Z399" s="246"/>
      <c r="AA399" s="246"/>
      <c r="AB399" s="246">
        <f>IFERROR(($W399*AB392),0)</f>
        <v>0</v>
      </c>
      <c r="AC399" s="246"/>
      <c r="AD399" s="246">
        <f>IFERROR(($W399*AD392),0)</f>
        <v>0</v>
      </c>
      <c r="AE399" s="246"/>
      <c r="AF399" s="246">
        <f>IFERROR(($W399*AF392),0)</f>
        <v>0</v>
      </c>
      <c r="AG399" s="246"/>
      <c r="AH399" s="246">
        <f t="shared" si="99"/>
        <v>103558.76999999999</v>
      </c>
      <c r="AI399" s="246"/>
      <c r="AJ399" s="246">
        <f t="shared" si="99"/>
        <v>0</v>
      </c>
      <c r="AK399" s="246">
        <f>IFERROR(($W399*AK392),0)</f>
        <v>0</v>
      </c>
      <c r="AL399" s="246"/>
      <c r="AM399" s="246">
        <f>SUM(X399:AL399)</f>
        <v>103558.76999999999</v>
      </c>
      <c r="AN399" s="172"/>
      <c r="AO399" s="249"/>
      <c r="AP399" s="250"/>
      <c r="AQ399" s="250"/>
      <c r="AR399" s="250"/>
      <c r="AS399" s="250"/>
      <c r="AT399" s="250"/>
      <c r="AU399" s="250"/>
      <c r="AV399" s="249"/>
      <c r="AW399" s="249"/>
      <c r="AX399" s="249"/>
      <c r="AY399" s="249"/>
      <c r="AZ399" s="249"/>
      <c r="BA399" s="249"/>
      <c r="BB399" s="249"/>
      <c r="BC399" s="249"/>
      <c r="BD399" s="249"/>
      <c r="BE399" s="249"/>
      <c r="BF399" s="249"/>
      <c r="BG399" s="249"/>
      <c r="BH399" s="249"/>
      <c r="BI399" s="249"/>
      <c r="BJ399" s="249"/>
      <c r="BK399" s="249"/>
      <c r="BL399" s="249"/>
      <c r="BM399" s="249"/>
      <c r="BN399" s="249"/>
      <c r="BO399" s="249"/>
      <c r="BP399" s="249"/>
      <c r="BQ399" s="249"/>
      <c r="BR399" s="249"/>
      <c r="BS399" s="249"/>
      <c r="BT399" s="249"/>
      <c r="BU399" s="249"/>
      <c r="BV399" s="249"/>
      <c r="BW399" s="249"/>
      <c r="BX399" s="249"/>
      <c r="BY399" s="249"/>
      <c r="BZ399" s="249"/>
      <c r="CA399" s="249"/>
      <c r="CB399" s="249"/>
      <c r="CC399" s="249"/>
      <c r="CD399" s="249"/>
      <c r="CE399" s="249"/>
      <c r="CF399" s="249"/>
      <c r="CG399" s="249"/>
      <c r="CH399" s="249"/>
      <c r="CI399" s="249"/>
      <c r="CJ399" s="249"/>
      <c r="CK399" s="249"/>
      <c r="CL399" s="249"/>
      <c r="CM399" s="249"/>
      <c r="CN399" s="249"/>
      <c r="CO399" s="249"/>
      <c r="CP399" s="249"/>
      <c r="CQ399" s="249"/>
      <c r="CR399" s="249"/>
      <c r="CS399" s="249"/>
      <c r="CT399" s="249"/>
      <c r="CU399" s="249"/>
      <c r="CV399" s="249"/>
      <c r="CW399" s="249"/>
      <c r="CX399" s="249"/>
      <c r="CY399" s="249"/>
      <c r="CZ399" s="249"/>
      <c r="DA399" s="249"/>
      <c r="DB399" s="249"/>
      <c r="DC399" s="249"/>
      <c r="DD399" s="249"/>
      <c r="DE399" s="249"/>
      <c r="DF399" s="249"/>
      <c r="DG399" s="249"/>
      <c r="DH399" s="249"/>
      <c r="DI399" s="249"/>
      <c r="DJ399" s="249"/>
      <c r="DK399" s="249"/>
      <c r="DL399" s="249"/>
      <c r="DM399" s="249"/>
      <c r="DN399" s="249"/>
      <c r="DO399" s="249"/>
      <c r="DP399" s="249"/>
      <c r="DQ399" s="249"/>
      <c r="DR399" s="249"/>
      <c r="DS399" s="249"/>
      <c r="DT399" s="249"/>
      <c r="DU399" s="249"/>
      <c r="DV399" s="249"/>
      <c r="DW399" s="249"/>
      <c r="DX399" s="249"/>
      <c r="DY399" s="249"/>
      <c r="DZ399" s="249"/>
      <c r="EA399" s="249"/>
      <c r="EB399" s="249"/>
      <c r="EC399" s="249"/>
      <c r="ED399" s="249"/>
      <c r="EE399" s="249"/>
      <c r="EF399" s="249"/>
      <c r="EG399" s="249"/>
      <c r="EH399" s="249"/>
      <c r="EI399" s="249"/>
      <c r="EJ399" s="249"/>
      <c r="EK399" s="249"/>
      <c r="EL399" s="249"/>
      <c r="EM399" s="249"/>
      <c r="EN399" s="249"/>
      <c r="EO399" s="249"/>
      <c r="EP399" s="249"/>
      <c r="EQ399" s="249"/>
      <c r="ER399" s="249"/>
      <c r="ES399" s="249"/>
      <c r="ET399" s="249"/>
      <c r="EU399" s="249"/>
      <c r="EV399" s="249"/>
      <c r="EW399" s="249"/>
      <c r="EX399" s="249"/>
      <c r="EY399" s="249"/>
      <c r="EZ399" s="249"/>
      <c r="FA399" s="249"/>
      <c r="FB399" s="249"/>
      <c r="FC399" s="249"/>
      <c r="FD399" s="249"/>
      <c r="FE399" s="249"/>
      <c r="FF399" s="249"/>
      <c r="FG399" s="249"/>
      <c r="FH399" s="249"/>
      <c r="FI399" s="249"/>
      <c r="FJ399" s="249"/>
      <c r="FK399" s="249"/>
      <c r="FL399" s="249"/>
      <c r="FM399" s="249"/>
      <c r="FN399" s="249"/>
      <c r="FO399" s="249"/>
      <c r="FP399" s="249"/>
      <c r="FQ399" s="249"/>
      <c r="FR399" s="249"/>
      <c r="FS399" s="249"/>
      <c r="FT399" s="249"/>
      <c r="FU399" s="249"/>
      <c r="FV399" s="249"/>
      <c r="FW399" s="249"/>
      <c r="FX399" s="249"/>
      <c r="FY399" s="249"/>
      <c r="FZ399" s="249"/>
      <c r="GA399" s="249"/>
      <c r="GB399" s="249"/>
      <c r="GC399" s="249"/>
      <c r="GD399" s="249"/>
      <c r="GE399" s="249"/>
      <c r="GF399" s="249"/>
      <c r="GG399" s="249"/>
      <c r="GH399" s="249"/>
      <c r="GI399" s="249"/>
      <c r="GJ399" s="249"/>
      <c r="GK399" s="249"/>
      <c r="GL399" s="249"/>
      <c r="GM399" s="249"/>
      <c r="GN399" s="249"/>
      <c r="GO399" s="249"/>
      <c r="GP399" s="249"/>
      <c r="GQ399" s="249"/>
      <c r="GR399" s="249"/>
    </row>
    <row r="400" spans="1:200" s="252" customFormat="1" ht="12.75" customHeight="1" x14ac:dyDescent="0.2">
      <c r="A400" s="723"/>
      <c r="B400" s="1124"/>
      <c r="C400" s="1124"/>
      <c r="D400" s="527"/>
      <c r="E400" s="596"/>
      <c r="F400" s="249"/>
      <c r="G400" s="250"/>
      <c r="H400" s="250"/>
      <c r="I400" s="250"/>
      <c r="J400" s="250"/>
      <c r="K400" s="250"/>
      <c r="L400" s="250"/>
      <c r="M400" s="250"/>
      <c r="N400" s="250"/>
      <c r="O400" s="250"/>
      <c r="P400" s="251"/>
      <c r="Q400" s="251"/>
      <c r="R400" s="251"/>
      <c r="S400" s="249"/>
      <c r="T400" s="249"/>
      <c r="U400" s="181"/>
      <c r="V400" s="181"/>
      <c r="W400" s="172"/>
      <c r="X400" s="1431"/>
      <c r="Y400" s="1431"/>
      <c r="Z400" s="1431"/>
      <c r="AA400" s="1431"/>
      <c r="AB400" s="1431">
        <f t="shared" ref="AB400:AM400" si="100">SUM(AB395:AB399)</f>
        <v>490690.9</v>
      </c>
      <c r="AC400" s="1431"/>
      <c r="AD400" s="1431">
        <f t="shared" si="100"/>
        <v>0</v>
      </c>
      <c r="AE400" s="1431"/>
      <c r="AF400" s="1431">
        <f t="shared" si="100"/>
        <v>0</v>
      </c>
      <c r="AG400" s="1431"/>
      <c r="AH400" s="1431">
        <f t="shared" si="100"/>
        <v>3014148.2629166665</v>
      </c>
      <c r="AI400" s="1431"/>
      <c r="AJ400" s="1431">
        <f>SUM(AJ395:AJ399)</f>
        <v>0</v>
      </c>
      <c r="AK400" s="1431">
        <f>SUM(AK395:AK399)</f>
        <v>0</v>
      </c>
      <c r="AL400" s="1431">
        <f t="shared" si="100"/>
        <v>0</v>
      </c>
      <c r="AM400" s="1431">
        <f t="shared" si="100"/>
        <v>3504839.1629166664</v>
      </c>
      <c r="AN400" s="172"/>
      <c r="AO400" s="249"/>
      <c r="AP400" s="250"/>
      <c r="AQ400" s="250"/>
      <c r="AR400" s="250"/>
      <c r="AS400" s="250"/>
      <c r="AT400" s="250"/>
      <c r="AU400" s="250"/>
      <c r="AV400" s="249"/>
      <c r="AW400" s="249"/>
      <c r="AX400" s="249"/>
      <c r="AY400" s="249"/>
      <c r="AZ400" s="249"/>
      <c r="BA400" s="249"/>
      <c r="BB400" s="249"/>
      <c r="BC400" s="249"/>
      <c r="BD400" s="249"/>
      <c r="BE400" s="249"/>
      <c r="BF400" s="249"/>
      <c r="BG400" s="249"/>
      <c r="BH400" s="249"/>
      <c r="BI400" s="249"/>
      <c r="BJ400" s="249"/>
      <c r="BK400" s="249"/>
      <c r="BL400" s="249"/>
      <c r="BM400" s="249"/>
      <c r="BN400" s="249"/>
      <c r="BO400" s="249"/>
      <c r="BP400" s="249"/>
      <c r="BQ400" s="249"/>
      <c r="BR400" s="249"/>
      <c r="BS400" s="249"/>
      <c r="BT400" s="249"/>
      <c r="BU400" s="249"/>
      <c r="BV400" s="249"/>
      <c r="BW400" s="249"/>
      <c r="BX400" s="249"/>
      <c r="BY400" s="249"/>
      <c r="BZ400" s="249"/>
      <c r="CA400" s="249"/>
      <c r="CB400" s="249"/>
      <c r="CC400" s="249"/>
      <c r="CD400" s="249"/>
      <c r="CE400" s="249"/>
      <c r="CF400" s="249"/>
      <c r="CG400" s="249"/>
      <c r="CH400" s="249"/>
      <c r="CI400" s="249"/>
      <c r="CJ400" s="249"/>
      <c r="CK400" s="249"/>
      <c r="CL400" s="249"/>
      <c r="CM400" s="249"/>
      <c r="CN400" s="249"/>
      <c r="CO400" s="249"/>
      <c r="CP400" s="249"/>
      <c r="CQ400" s="249"/>
      <c r="CR400" s="249"/>
      <c r="CS400" s="249"/>
      <c r="CT400" s="249"/>
      <c r="CU400" s="249"/>
      <c r="CV400" s="249"/>
      <c r="CW400" s="249"/>
      <c r="CX400" s="249"/>
      <c r="CY400" s="249"/>
      <c r="CZ400" s="249"/>
      <c r="DA400" s="249"/>
      <c r="DB400" s="249"/>
      <c r="DC400" s="249"/>
      <c r="DD400" s="249"/>
      <c r="DE400" s="249"/>
      <c r="DF400" s="249"/>
      <c r="DG400" s="249"/>
      <c r="DH400" s="249"/>
      <c r="DI400" s="249"/>
      <c r="DJ400" s="249"/>
      <c r="DK400" s="249"/>
      <c r="DL400" s="249"/>
      <c r="DM400" s="249"/>
      <c r="DN400" s="249"/>
      <c r="DO400" s="249"/>
      <c r="DP400" s="249"/>
      <c r="DQ400" s="249"/>
      <c r="DR400" s="249"/>
      <c r="DS400" s="249"/>
      <c r="DT400" s="249"/>
      <c r="DU400" s="249"/>
      <c r="DV400" s="249"/>
      <c r="DW400" s="249"/>
      <c r="DX400" s="249"/>
      <c r="DY400" s="249"/>
      <c r="DZ400" s="249"/>
      <c r="EA400" s="249"/>
      <c r="EB400" s="249"/>
      <c r="EC400" s="249"/>
      <c r="ED400" s="249"/>
      <c r="EE400" s="249"/>
      <c r="EF400" s="249"/>
      <c r="EG400" s="249"/>
      <c r="EH400" s="249"/>
      <c r="EI400" s="249"/>
      <c r="EJ400" s="249"/>
      <c r="EK400" s="249"/>
      <c r="EL400" s="249"/>
      <c r="EM400" s="249"/>
      <c r="EN400" s="249"/>
      <c r="EO400" s="249"/>
      <c r="EP400" s="249"/>
      <c r="EQ400" s="249"/>
      <c r="ER400" s="249"/>
      <c r="ES400" s="249"/>
      <c r="ET400" s="249"/>
      <c r="EU400" s="249"/>
      <c r="EV400" s="249"/>
      <c r="EW400" s="249"/>
      <c r="EX400" s="249"/>
      <c r="EY400" s="249"/>
      <c r="EZ400" s="249"/>
      <c r="FA400" s="249"/>
      <c r="FB400" s="249"/>
      <c r="FC400" s="249"/>
      <c r="FD400" s="249"/>
      <c r="FE400" s="249"/>
      <c r="FF400" s="249"/>
      <c r="FG400" s="249"/>
      <c r="FH400" s="249"/>
      <c r="FI400" s="249"/>
      <c r="FJ400" s="249"/>
      <c r="FK400" s="249"/>
      <c r="FL400" s="249"/>
      <c r="FM400" s="249"/>
      <c r="FN400" s="249"/>
      <c r="FO400" s="249"/>
      <c r="FP400" s="249"/>
      <c r="FQ400" s="249"/>
      <c r="FR400" s="249"/>
      <c r="FS400" s="249"/>
      <c r="FT400" s="249"/>
      <c r="FU400" s="249"/>
      <c r="FV400" s="249"/>
      <c r="FW400" s="249"/>
      <c r="FX400" s="249"/>
      <c r="FY400" s="249"/>
      <c r="FZ400" s="249"/>
      <c r="GA400" s="249"/>
      <c r="GB400" s="249"/>
      <c r="GC400" s="249"/>
      <c r="GD400" s="249"/>
      <c r="GE400" s="249"/>
      <c r="GF400" s="249"/>
      <c r="GG400" s="249"/>
      <c r="GH400" s="249"/>
      <c r="GI400" s="249"/>
      <c r="GJ400" s="249"/>
      <c r="GK400" s="249"/>
      <c r="GL400" s="249"/>
      <c r="GM400" s="249"/>
      <c r="GN400" s="249"/>
      <c r="GO400" s="249"/>
      <c r="GP400" s="249"/>
      <c r="GQ400" s="249"/>
      <c r="GR400" s="249"/>
    </row>
    <row r="401" spans="1:205" s="252" customFormat="1" ht="12.75" customHeight="1" x14ac:dyDescent="0.2">
      <c r="A401" s="698"/>
      <c r="B401" s="1097"/>
      <c r="C401" s="1097"/>
      <c r="D401" s="172"/>
      <c r="E401" s="618"/>
      <c r="F401" s="249"/>
      <c r="G401" s="250"/>
      <c r="H401" s="250"/>
      <c r="I401" s="250"/>
      <c r="J401" s="250"/>
      <c r="K401" s="250"/>
      <c r="L401" s="250"/>
      <c r="M401" s="250"/>
      <c r="N401" s="250"/>
      <c r="O401" s="250"/>
      <c r="P401" s="251"/>
      <c r="Q401" s="251"/>
      <c r="R401" s="251"/>
      <c r="S401" s="249"/>
      <c r="T401" s="249"/>
      <c r="U401" s="181"/>
      <c r="V401" s="181"/>
      <c r="W401" s="172"/>
      <c r="X401" s="257"/>
      <c r="Y401" s="257"/>
      <c r="Z401" s="257"/>
      <c r="AA401" s="528"/>
      <c r="AB401" s="528"/>
      <c r="AC401" s="530"/>
      <c r="AD401" s="530"/>
      <c r="AE401" s="530"/>
      <c r="AF401" s="530"/>
      <c r="AG401" s="530"/>
      <c r="AH401" s="530"/>
      <c r="AI401" s="530"/>
      <c r="AJ401" s="530"/>
      <c r="AK401" s="530"/>
      <c r="AL401" s="530"/>
      <c r="AM401" s="527"/>
      <c r="AN401" s="172"/>
      <c r="AO401" s="249"/>
      <c r="AP401" s="250"/>
      <c r="AQ401" s="250"/>
      <c r="AR401" s="250"/>
      <c r="AS401" s="250"/>
      <c r="AT401" s="250"/>
      <c r="AU401" s="250"/>
      <c r="AV401" s="249"/>
      <c r="AW401" s="249"/>
      <c r="AX401" s="249"/>
      <c r="AY401" s="249"/>
      <c r="AZ401" s="249"/>
      <c r="BA401" s="249"/>
      <c r="BB401" s="249"/>
      <c r="BC401" s="249"/>
      <c r="BD401" s="249"/>
      <c r="BE401" s="249"/>
      <c r="BF401" s="249"/>
      <c r="BG401" s="249"/>
      <c r="BH401" s="249"/>
      <c r="BI401" s="249"/>
      <c r="BJ401" s="249"/>
      <c r="BK401" s="249"/>
      <c r="BL401" s="249"/>
      <c r="BM401" s="249"/>
      <c r="BN401" s="249"/>
      <c r="BO401" s="249"/>
      <c r="BP401" s="249"/>
      <c r="BQ401" s="249"/>
      <c r="BR401" s="249"/>
      <c r="BS401" s="249"/>
      <c r="BT401" s="249"/>
      <c r="BU401" s="249"/>
      <c r="BV401" s="249"/>
      <c r="BW401" s="249"/>
      <c r="BX401" s="249"/>
      <c r="BY401" s="249"/>
      <c r="BZ401" s="249"/>
      <c r="CA401" s="249"/>
      <c r="CB401" s="249"/>
      <c r="CC401" s="249"/>
      <c r="CD401" s="249"/>
      <c r="CE401" s="249"/>
      <c r="CF401" s="249"/>
      <c r="CG401" s="249"/>
      <c r="CH401" s="249"/>
      <c r="CI401" s="249"/>
      <c r="CJ401" s="249"/>
      <c r="CK401" s="249"/>
      <c r="CL401" s="249"/>
      <c r="CM401" s="249"/>
      <c r="CN401" s="249"/>
      <c r="CO401" s="249"/>
      <c r="CP401" s="249"/>
      <c r="CQ401" s="249"/>
      <c r="CR401" s="249"/>
      <c r="CS401" s="249"/>
      <c r="CT401" s="249"/>
      <c r="CU401" s="249"/>
      <c r="CV401" s="249"/>
      <c r="CW401" s="249"/>
      <c r="CX401" s="249"/>
      <c r="CY401" s="249"/>
      <c r="CZ401" s="249"/>
      <c r="DA401" s="249"/>
      <c r="DB401" s="249"/>
      <c r="DC401" s="249"/>
      <c r="DD401" s="249"/>
      <c r="DE401" s="249"/>
      <c r="DF401" s="249"/>
      <c r="DG401" s="249"/>
      <c r="DH401" s="249"/>
      <c r="DI401" s="249"/>
      <c r="DJ401" s="249"/>
      <c r="DK401" s="249"/>
      <c r="DL401" s="249"/>
      <c r="DM401" s="249"/>
      <c r="DN401" s="249"/>
      <c r="DO401" s="249"/>
      <c r="DP401" s="249"/>
      <c r="DQ401" s="249"/>
      <c r="DR401" s="249"/>
      <c r="DS401" s="249"/>
      <c r="DT401" s="249"/>
      <c r="DU401" s="249"/>
      <c r="DV401" s="249"/>
      <c r="DW401" s="249"/>
      <c r="DX401" s="249"/>
      <c r="DY401" s="249"/>
      <c r="DZ401" s="249"/>
      <c r="EA401" s="249"/>
      <c r="EB401" s="249"/>
      <c r="EC401" s="249"/>
      <c r="ED401" s="249"/>
      <c r="EE401" s="249"/>
      <c r="EF401" s="249"/>
      <c r="EG401" s="249"/>
      <c r="EH401" s="249"/>
      <c r="EI401" s="249"/>
      <c r="EJ401" s="249"/>
      <c r="EK401" s="249"/>
      <c r="EL401" s="249"/>
      <c r="EM401" s="249"/>
      <c r="EN401" s="249"/>
      <c r="EO401" s="249"/>
      <c r="EP401" s="249"/>
      <c r="EQ401" s="249"/>
      <c r="ER401" s="249"/>
      <c r="ES401" s="249"/>
      <c r="ET401" s="249"/>
      <c r="EU401" s="249"/>
      <c r="EV401" s="249"/>
      <c r="EW401" s="249"/>
      <c r="EX401" s="249"/>
      <c r="EY401" s="249"/>
      <c r="EZ401" s="249"/>
      <c r="FA401" s="249"/>
      <c r="FB401" s="249"/>
      <c r="FC401" s="249"/>
      <c r="FD401" s="249"/>
      <c r="FE401" s="249"/>
      <c r="FF401" s="249"/>
      <c r="FG401" s="249"/>
      <c r="FH401" s="249"/>
      <c r="FI401" s="249"/>
      <c r="FJ401" s="249"/>
      <c r="FK401" s="249"/>
      <c r="FL401" s="249"/>
      <c r="FM401" s="249"/>
      <c r="FN401" s="249"/>
      <c r="FO401" s="249"/>
      <c r="FP401" s="249"/>
      <c r="FQ401" s="249"/>
      <c r="FR401" s="249"/>
      <c r="FS401" s="249"/>
      <c r="FT401" s="249"/>
      <c r="FU401" s="249"/>
      <c r="FV401" s="249"/>
      <c r="FW401" s="249"/>
      <c r="FX401" s="249"/>
      <c r="FY401" s="249"/>
      <c r="FZ401" s="249"/>
      <c r="GA401" s="249"/>
      <c r="GB401" s="249"/>
      <c r="GC401" s="249"/>
      <c r="GD401" s="249"/>
      <c r="GE401" s="249"/>
      <c r="GF401" s="249"/>
      <c r="GG401" s="249"/>
      <c r="GH401" s="249"/>
      <c r="GI401" s="249"/>
      <c r="GJ401" s="249"/>
      <c r="GK401" s="249"/>
      <c r="GL401" s="249"/>
      <c r="GM401" s="249"/>
      <c r="GN401" s="249"/>
      <c r="GO401" s="249"/>
      <c r="GP401" s="249"/>
      <c r="GQ401" s="249"/>
      <c r="GR401" s="249"/>
    </row>
    <row r="402" spans="1:205" s="303" customFormat="1" ht="13.5" customHeight="1" x14ac:dyDescent="0.15">
      <c r="A402" s="724"/>
      <c r="B402" s="1125"/>
      <c r="C402" s="1125"/>
      <c r="D402" s="528"/>
      <c r="E402" s="596"/>
      <c r="F402" s="249"/>
      <c r="G402" s="250"/>
      <c r="H402" s="250"/>
      <c r="I402" s="250"/>
      <c r="J402" s="250"/>
      <c r="K402" s="250"/>
      <c r="L402" s="250"/>
      <c r="M402" s="250"/>
      <c r="N402" s="250"/>
      <c r="O402" s="250"/>
      <c r="P402" s="251"/>
      <c r="Q402" s="251"/>
      <c r="R402" s="251"/>
      <c r="S402" s="251"/>
      <c r="T402" s="251"/>
      <c r="U402" s="254"/>
      <c r="V402" s="254"/>
      <c r="W402" s="254"/>
      <c r="X402" s="257"/>
      <c r="Y402" s="254"/>
      <c r="Z402" s="254"/>
      <c r="AA402" s="257"/>
      <c r="AB402" s="257"/>
      <c r="AC402" s="257"/>
      <c r="AD402" s="257"/>
      <c r="AE402" s="257"/>
      <c r="AF402" s="257"/>
      <c r="AG402" s="257"/>
      <c r="AH402" s="257"/>
      <c r="AI402" s="257"/>
      <c r="AJ402" s="257"/>
      <c r="AK402" s="257"/>
      <c r="AL402" s="257"/>
      <c r="AM402" s="528"/>
      <c r="AN402" s="254"/>
      <c r="AO402" s="249"/>
      <c r="AP402" s="250"/>
      <c r="AQ402" s="250"/>
      <c r="AR402" s="250"/>
      <c r="AS402" s="250"/>
      <c r="AT402" s="250"/>
      <c r="AU402" s="250"/>
      <c r="AV402" s="249"/>
      <c r="AW402" s="249"/>
      <c r="AX402" s="249"/>
      <c r="AY402" s="249"/>
      <c r="AZ402" s="249"/>
      <c r="BA402" s="249"/>
      <c r="BB402" s="249"/>
      <c r="BC402" s="249"/>
      <c r="BD402" s="249"/>
      <c r="BE402" s="249"/>
      <c r="BF402" s="249"/>
      <c r="BG402" s="249"/>
      <c r="BH402" s="249"/>
      <c r="BI402" s="249"/>
      <c r="BJ402" s="249"/>
      <c r="BK402" s="249"/>
      <c r="BL402" s="249"/>
      <c r="BM402" s="249"/>
      <c r="BN402" s="249"/>
      <c r="BO402" s="249"/>
      <c r="BP402" s="249"/>
      <c r="BQ402" s="249"/>
      <c r="BR402" s="249"/>
      <c r="BS402" s="249"/>
      <c r="BT402" s="249"/>
      <c r="BU402" s="249"/>
      <c r="BV402" s="249"/>
      <c r="BW402" s="249"/>
      <c r="BX402" s="249"/>
      <c r="BY402" s="249"/>
      <c r="BZ402" s="249"/>
      <c r="CA402" s="249"/>
      <c r="CB402" s="249"/>
      <c r="CC402" s="249"/>
      <c r="CD402" s="249"/>
      <c r="CE402" s="249"/>
      <c r="CF402" s="249"/>
      <c r="CG402" s="249"/>
      <c r="CH402" s="249"/>
      <c r="CI402" s="249"/>
      <c r="CJ402" s="249"/>
      <c r="CK402" s="249"/>
      <c r="CL402" s="249"/>
      <c r="CM402" s="249"/>
      <c r="CN402" s="249"/>
      <c r="CO402" s="249"/>
      <c r="CP402" s="249"/>
      <c r="CQ402" s="249"/>
      <c r="CR402" s="249"/>
      <c r="CS402" s="249"/>
      <c r="CT402" s="249"/>
      <c r="CU402" s="249"/>
      <c r="CV402" s="249"/>
      <c r="CW402" s="249"/>
      <c r="CX402" s="249"/>
      <c r="CY402" s="249"/>
      <c r="CZ402" s="249"/>
      <c r="DA402" s="249"/>
      <c r="DB402" s="249"/>
      <c r="DC402" s="249"/>
      <c r="DD402" s="249"/>
      <c r="DE402" s="249"/>
      <c r="DF402" s="249"/>
      <c r="DG402" s="249"/>
      <c r="DH402" s="249"/>
      <c r="DI402" s="249"/>
      <c r="DJ402" s="249"/>
      <c r="DK402" s="249"/>
      <c r="DL402" s="249"/>
      <c r="DM402" s="249"/>
      <c r="DN402" s="249"/>
      <c r="DO402" s="249"/>
      <c r="DP402" s="249"/>
      <c r="DQ402" s="249"/>
      <c r="DR402" s="249"/>
      <c r="DS402" s="249"/>
      <c r="DT402" s="249"/>
      <c r="DU402" s="249"/>
      <c r="DV402" s="249"/>
      <c r="DW402" s="249"/>
      <c r="DX402" s="249"/>
      <c r="DY402" s="249"/>
      <c r="DZ402" s="249"/>
      <c r="EA402" s="249"/>
      <c r="EB402" s="249"/>
      <c r="EC402" s="249"/>
      <c r="ED402" s="249"/>
      <c r="EE402" s="249"/>
      <c r="EF402" s="249"/>
      <c r="EG402" s="249"/>
      <c r="EH402" s="249"/>
      <c r="EI402" s="249"/>
      <c r="EJ402" s="249"/>
      <c r="EK402" s="249"/>
      <c r="EL402" s="249"/>
      <c r="EM402" s="249"/>
      <c r="EN402" s="249"/>
      <c r="EO402" s="249"/>
      <c r="EP402" s="249"/>
      <c r="EQ402" s="249"/>
      <c r="ER402" s="249"/>
      <c r="ES402" s="249"/>
      <c r="ET402" s="249"/>
      <c r="EU402" s="249"/>
      <c r="EV402" s="249"/>
      <c r="EW402" s="249"/>
      <c r="EX402" s="249"/>
      <c r="EY402" s="249"/>
      <c r="EZ402" s="249"/>
      <c r="FA402" s="249"/>
      <c r="FB402" s="249"/>
      <c r="FC402" s="249"/>
      <c r="FD402" s="249"/>
      <c r="FE402" s="249"/>
      <c r="FF402" s="249"/>
      <c r="FG402" s="249"/>
      <c r="FH402" s="249"/>
      <c r="FI402" s="249"/>
      <c r="FJ402" s="249"/>
      <c r="FK402" s="249"/>
      <c r="FL402" s="249"/>
      <c r="FM402" s="249"/>
      <c r="FN402" s="249"/>
      <c r="FO402" s="249"/>
      <c r="FP402" s="249"/>
      <c r="FQ402" s="249"/>
      <c r="FR402" s="249"/>
      <c r="FS402" s="249"/>
      <c r="FT402" s="249"/>
      <c r="FU402" s="249"/>
      <c r="FV402" s="249"/>
      <c r="FW402" s="249"/>
      <c r="FX402" s="249"/>
      <c r="FY402" s="249"/>
      <c r="FZ402" s="249"/>
      <c r="GA402" s="249"/>
      <c r="GB402" s="249"/>
      <c r="GC402" s="249"/>
      <c r="GD402" s="249"/>
      <c r="GE402" s="249"/>
      <c r="GF402" s="249"/>
      <c r="GG402" s="249"/>
      <c r="GH402" s="249"/>
      <c r="GI402" s="249"/>
      <c r="GJ402" s="249"/>
      <c r="GK402" s="249"/>
      <c r="GL402" s="249"/>
      <c r="GM402" s="249"/>
      <c r="GN402" s="249"/>
      <c r="GO402" s="249"/>
      <c r="GP402" s="249"/>
      <c r="GQ402" s="249"/>
      <c r="GR402" s="249"/>
    </row>
    <row r="403" spans="1:205" s="252" customFormat="1" ht="12.75" customHeight="1" x14ac:dyDescent="0.2">
      <c r="A403" s="721"/>
      <c r="B403" s="1122"/>
      <c r="C403" s="1122"/>
      <c r="D403" s="228"/>
      <c r="E403" s="596"/>
      <c r="F403" s="249"/>
      <c r="G403" s="250"/>
      <c r="H403" s="248"/>
      <c r="I403" s="304"/>
      <c r="J403" s="304"/>
      <c r="K403" s="304"/>
      <c r="L403" s="250"/>
      <c r="M403" s="250"/>
      <c r="N403" s="250"/>
      <c r="O403" s="250"/>
      <c r="P403" s="251"/>
      <c r="Q403" s="251"/>
      <c r="R403" s="251"/>
      <c r="S403" s="251"/>
      <c r="T403" s="251"/>
      <c r="U403" s="227" t="s">
        <v>171</v>
      </c>
      <c r="V403" s="173"/>
      <c r="W403" s="173"/>
      <c r="X403" s="172"/>
      <c r="Y403" s="172"/>
      <c r="Z403" s="228"/>
      <c r="AA403" s="172"/>
      <c r="AB403" s="172"/>
      <c r="AC403" s="172"/>
      <c r="AD403" s="172"/>
      <c r="AE403" s="228"/>
      <c r="AF403" s="172"/>
      <c r="AG403" s="249"/>
      <c r="AH403" s="250"/>
      <c r="AI403" s="249"/>
      <c r="AJ403" s="250"/>
      <c r="AK403" s="250"/>
      <c r="AL403" s="248"/>
      <c r="AM403" s="304"/>
      <c r="AN403" s="172"/>
      <c r="AO403" s="250"/>
      <c r="AP403" s="250"/>
      <c r="AQ403" s="250"/>
      <c r="AR403" s="250"/>
      <c r="AS403" s="250"/>
      <c r="AT403" s="251"/>
      <c r="AU403" s="251"/>
      <c r="AV403" s="249"/>
      <c r="AW403" s="249"/>
      <c r="AX403" s="249"/>
      <c r="AY403" s="249"/>
      <c r="AZ403" s="249"/>
      <c r="BA403" s="249"/>
      <c r="BB403" s="249"/>
      <c r="BC403" s="249"/>
      <c r="BD403" s="249"/>
      <c r="BE403" s="249"/>
      <c r="BF403" s="249"/>
      <c r="BG403" s="249"/>
      <c r="BH403" s="249"/>
      <c r="BI403" s="249"/>
      <c r="BJ403" s="249"/>
      <c r="BK403" s="249"/>
      <c r="BL403" s="249"/>
      <c r="BM403" s="249"/>
      <c r="BN403" s="249"/>
      <c r="BO403" s="249"/>
      <c r="BP403" s="249"/>
      <c r="BQ403" s="249"/>
      <c r="BR403" s="249"/>
      <c r="BS403" s="249"/>
      <c r="BT403" s="249"/>
      <c r="BU403" s="249"/>
      <c r="BV403" s="249"/>
      <c r="BW403" s="249"/>
      <c r="BX403" s="249"/>
      <c r="BY403" s="249"/>
      <c r="BZ403" s="249"/>
      <c r="CA403" s="249"/>
      <c r="CB403" s="249"/>
      <c r="CC403" s="249"/>
      <c r="CD403" s="249"/>
      <c r="CE403" s="249"/>
      <c r="CF403" s="249"/>
      <c r="CG403" s="249"/>
      <c r="CH403" s="249"/>
      <c r="CI403" s="249"/>
      <c r="CJ403" s="249"/>
      <c r="CK403" s="249"/>
      <c r="CL403" s="249"/>
      <c r="CM403" s="249"/>
      <c r="CN403" s="249"/>
      <c r="CO403" s="249"/>
      <c r="CP403" s="249"/>
      <c r="CQ403" s="249"/>
      <c r="CR403" s="249"/>
      <c r="CS403" s="249"/>
      <c r="CT403" s="249"/>
      <c r="CU403" s="249"/>
      <c r="CV403" s="249"/>
      <c r="CW403" s="249"/>
      <c r="CX403" s="249"/>
      <c r="CY403" s="249"/>
      <c r="CZ403" s="249"/>
      <c r="DA403" s="249"/>
      <c r="DB403" s="249"/>
      <c r="DC403" s="249"/>
      <c r="DD403" s="249"/>
      <c r="DE403" s="249"/>
      <c r="DF403" s="249"/>
      <c r="DG403" s="249"/>
      <c r="DH403" s="249"/>
      <c r="DI403" s="249"/>
      <c r="DJ403" s="249"/>
      <c r="DK403" s="249"/>
      <c r="DL403" s="249"/>
      <c r="DM403" s="249"/>
      <c r="DN403" s="249"/>
      <c r="DO403" s="249"/>
      <c r="DP403" s="249"/>
      <c r="DQ403" s="249"/>
      <c r="DR403" s="249"/>
      <c r="DS403" s="249"/>
      <c r="DT403" s="249"/>
      <c r="DU403" s="249"/>
      <c r="DV403" s="249"/>
      <c r="DW403" s="249"/>
      <c r="DX403" s="249"/>
      <c r="DY403" s="249"/>
      <c r="DZ403" s="249"/>
      <c r="EA403" s="249"/>
      <c r="EB403" s="249"/>
      <c r="EC403" s="249"/>
      <c r="ED403" s="249"/>
      <c r="EE403" s="249"/>
      <c r="EF403" s="249"/>
      <c r="EG403" s="249"/>
      <c r="EH403" s="249"/>
      <c r="EI403" s="249"/>
      <c r="EJ403" s="249"/>
      <c r="EK403" s="249"/>
      <c r="EL403" s="249"/>
      <c r="EM403" s="249"/>
      <c r="EN403" s="249"/>
      <c r="EO403" s="249"/>
      <c r="EP403" s="249"/>
      <c r="EQ403" s="249"/>
      <c r="ER403" s="249"/>
      <c r="ES403" s="249"/>
      <c r="ET403" s="249"/>
      <c r="EU403" s="249"/>
      <c r="EV403" s="249"/>
      <c r="EW403" s="249"/>
      <c r="EX403" s="249"/>
      <c r="EY403" s="249"/>
      <c r="EZ403" s="249"/>
      <c r="FA403" s="249"/>
      <c r="FB403" s="249"/>
      <c r="FC403" s="249"/>
      <c r="FD403" s="249"/>
      <c r="FE403" s="249"/>
      <c r="FF403" s="249"/>
      <c r="FG403" s="249"/>
      <c r="FH403" s="249"/>
      <c r="FI403" s="249"/>
      <c r="FJ403" s="249"/>
      <c r="FK403" s="249"/>
      <c r="FL403" s="249"/>
      <c r="FM403" s="249"/>
      <c r="FN403" s="249"/>
      <c r="FO403" s="249"/>
      <c r="FP403" s="249"/>
      <c r="FQ403" s="249"/>
      <c r="FR403" s="249"/>
      <c r="FS403" s="249"/>
      <c r="FT403" s="249"/>
      <c r="FU403" s="249"/>
      <c r="FV403" s="249"/>
      <c r="FW403" s="249"/>
      <c r="FX403" s="249"/>
      <c r="FY403" s="249"/>
      <c r="FZ403" s="249"/>
      <c r="GA403" s="249"/>
      <c r="GB403" s="249"/>
      <c r="GC403" s="249"/>
      <c r="GD403" s="249"/>
      <c r="GE403" s="249"/>
      <c r="GF403" s="249"/>
      <c r="GG403" s="249"/>
      <c r="GH403" s="249"/>
      <c r="GI403" s="249"/>
      <c r="GJ403" s="249"/>
      <c r="GK403" s="249"/>
      <c r="GL403" s="249"/>
      <c r="GM403" s="249"/>
      <c r="GN403" s="249"/>
      <c r="GO403" s="249"/>
      <c r="GP403" s="249"/>
      <c r="GQ403" s="249"/>
      <c r="GR403" s="249"/>
    </row>
    <row r="404" spans="1:205" s="252" customFormat="1" ht="12.75" customHeight="1" x14ac:dyDescent="0.2">
      <c r="A404" s="721"/>
      <c r="B404" s="1122"/>
      <c r="C404" s="1122"/>
      <c r="D404" s="228"/>
      <c r="E404" s="596"/>
      <c r="F404" s="249"/>
      <c r="G404" s="250"/>
      <c r="H404" s="248"/>
      <c r="I404" s="295"/>
      <c r="J404" s="295"/>
      <c r="K404" s="295"/>
      <c r="L404" s="250"/>
      <c r="M404" s="250"/>
      <c r="N404" s="250"/>
      <c r="O404" s="250"/>
      <c r="P404" s="251"/>
      <c r="Q404" s="251"/>
      <c r="R404" s="251"/>
      <c r="S404" s="251"/>
      <c r="T404" s="251"/>
      <c r="U404" s="181"/>
      <c r="V404" s="181"/>
      <c r="W404" s="172"/>
      <c r="X404" s="172"/>
      <c r="Y404" s="172"/>
      <c r="Z404" s="228"/>
      <c r="AA404" s="172"/>
      <c r="AB404" s="172"/>
      <c r="AC404" s="172"/>
      <c r="AD404" s="172"/>
      <c r="AE404" s="228"/>
      <c r="AF404" s="172"/>
      <c r="AG404" s="249"/>
      <c r="AH404" s="250"/>
      <c r="AI404" s="249"/>
      <c r="AJ404" s="250"/>
      <c r="AK404" s="250"/>
      <c r="AL404" s="248"/>
      <c r="AM404" s="295"/>
      <c r="AN404" s="250"/>
      <c r="AO404" s="304"/>
      <c r="AP404" s="250"/>
      <c r="AQ404" s="250"/>
      <c r="AR404" s="250"/>
      <c r="AS404" s="250"/>
      <c r="AT404" s="251"/>
      <c r="AU404" s="251"/>
      <c r="AV404" s="249"/>
      <c r="AW404" s="249"/>
      <c r="AX404" s="249"/>
      <c r="AY404" s="249"/>
      <c r="AZ404" s="249"/>
      <c r="BA404" s="249"/>
      <c r="BB404" s="249"/>
      <c r="BC404" s="249"/>
      <c r="BD404" s="249"/>
      <c r="BE404" s="249"/>
      <c r="BF404" s="249"/>
      <c r="BG404" s="249"/>
      <c r="BH404" s="249"/>
      <c r="BI404" s="249"/>
      <c r="BJ404" s="249"/>
      <c r="BK404" s="249"/>
      <c r="BL404" s="249"/>
      <c r="BM404" s="249"/>
      <c r="BN404" s="249"/>
      <c r="BO404" s="249"/>
      <c r="BP404" s="249"/>
      <c r="BQ404" s="249"/>
      <c r="BR404" s="249"/>
      <c r="BS404" s="249"/>
      <c r="BT404" s="249"/>
      <c r="BU404" s="249"/>
      <c r="BV404" s="249"/>
      <c r="BW404" s="249"/>
      <c r="BX404" s="249"/>
      <c r="BY404" s="249"/>
      <c r="BZ404" s="249"/>
      <c r="CA404" s="249"/>
      <c r="CB404" s="249"/>
      <c r="CC404" s="249"/>
      <c r="CD404" s="249"/>
      <c r="CE404" s="249"/>
      <c r="CF404" s="249"/>
      <c r="CG404" s="249"/>
      <c r="CH404" s="249"/>
      <c r="CI404" s="249"/>
      <c r="CJ404" s="249"/>
      <c r="CK404" s="249"/>
      <c r="CL404" s="249"/>
      <c r="CM404" s="249"/>
      <c r="CN404" s="249"/>
      <c r="CO404" s="249"/>
      <c r="CP404" s="249"/>
      <c r="CQ404" s="249"/>
      <c r="CR404" s="249"/>
      <c r="CS404" s="249"/>
      <c r="CT404" s="249"/>
      <c r="CU404" s="249"/>
      <c r="CV404" s="249"/>
      <c r="CW404" s="249"/>
      <c r="CX404" s="249"/>
      <c r="CY404" s="249"/>
      <c r="CZ404" s="249"/>
      <c r="DA404" s="249"/>
      <c r="DB404" s="249"/>
      <c r="DC404" s="249"/>
      <c r="DD404" s="249"/>
      <c r="DE404" s="249"/>
      <c r="DF404" s="249"/>
      <c r="DG404" s="249"/>
      <c r="DH404" s="249"/>
      <c r="DI404" s="249"/>
      <c r="DJ404" s="249"/>
      <c r="DK404" s="249"/>
      <c r="DL404" s="249"/>
      <c r="DM404" s="249"/>
      <c r="DN404" s="249"/>
      <c r="DO404" s="249"/>
      <c r="DP404" s="249"/>
      <c r="DQ404" s="249"/>
      <c r="DR404" s="249"/>
      <c r="DS404" s="249"/>
      <c r="DT404" s="249"/>
      <c r="DU404" s="249"/>
      <c r="DV404" s="249"/>
      <c r="DW404" s="249"/>
      <c r="DX404" s="249"/>
      <c r="DY404" s="249"/>
      <c r="DZ404" s="249"/>
      <c r="EA404" s="249"/>
      <c r="EB404" s="249"/>
      <c r="EC404" s="249"/>
      <c r="ED404" s="249"/>
      <c r="EE404" s="249"/>
      <c r="EF404" s="249"/>
      <c r="EG404" s="249"/>
      <c r="EH404" s="249"/>
      <c r="EI404" s="249"/>
      <c r="EJ404" s="249"/>
      <c r="EK404" s="249"/>
      <c r="EL404" s="249"/>
      <c r="EM404" s="249"/>
      <c r="EN404" s="249"/>
      <c r="EO404" s="249"/>
      <c r="EP404" s="249"/>
      <c r="EQ404" s="249"/>
      <c r="ER404" s="249"/>
      <c r="ES404" s="249"/>
      <c r="ET404" s="249"/>
      <c r="EU404" s="249"/>
      <c r="EV404" s="249"/>
      <c r="EW404" s="249"/>
      <c r="EX404" s="249"/>
      <c r="EY404" s="249"/>
      <c r="EZ404" s="249"/>
      <c r="FA404" s="249"/>
      <c r="FB404" s="249"/>
      <c r="FC404" s="249"/>
      <c r="FD404" s="249"/>
      <c r="FE404" s="249"/>
      <c r="FF404" s="249"/>
      <c r="FG404" s="249"/>
      <c r="FH404" s="249"/>
      <c r="FI404" s="249"/>
      <c r="FJ404" s="249"/>
      <c r="FK404" s="249"/>
      <c r="FL404" s="249"/>
      <c r="FM404" s="249"/>
      <c r="FN404" s="249"/>
      <c r="FO404" s="249"/>
      <c r="FP404" s="249"/>
      <c r="FQ404" s="249"/>
      <c r="FR404" s="249"/>
      <c r="FS404" s="249"/>
      <c r="FT404" s="249"/>
      <c r="FU404" s="249"/>
      <c r="FV404" s="249"/>
      <c r="FW404" s="249"/>
      <c r="FX404" s="249"/>
      <c r="FY404" s="249"/>
      <c r="FZ404" s="249"/>
      <c r="GA404" s="249"/>
      <c r="GB404" s="249"/>
      <c r="GC404" s="249"/>
      <c r="GD404" s="249"/>
      <c r="GE404" s="249"/>
      <c r="GF404" s="249"/>
      <c r="GG404" s="249"/>
      <c r="GH404" s="249"/>
      <c r="GI404" s="249"/>
      <c r="GJ404" s="249"/>
      <c r="GK404" s="249"/>
      <c r="GL404" s="249"/>
      <c r="GM404" s="249"/>
      <c r="GN404" s="249"/>
      <c r="GO404" s="249"/>
      <c r="GP404" s="249"/>
      <c r="GQ404" s="249"/>
      <c r="GR404" s="249"/>
    </row>
    <row r="405" spans="1:205" s="252" customFormat="1" ht="12.75" customHeight="1" x14ac:dyDescent="0.2">
      <c r="A405" s="721"/>
      <c r="B405" s="1122"/>
      <c r="C405" s="1122"/>
      <c r="D405" s="228"/>
      <c r="E405" s="606"/>
      <c r="F405" s="249"/>
      <c r="G405" s="250"/>
      <c r="H405" s="248"/>
      <c r="I405" s="295"/>
      <c r="J405" s="295"/>
      <c r="K405" s="295"/>
      <c r="L405" s="250"/>
      <c r="M405" s="250"/>
      <c r="N405" s="250"/>
      <c r="O405" s="250"/>
      <c r="P405" s="251"/>
      <c r="Q405" s="251"/>
      <c r="R405" s="251"/>
      <c r="S405" s="251"/>
      <c r="T405" s="251"/>
      <c r="U405" s="1390"/>
      <c r="V405" s="1391" t="s">
        <v>172</v>
      </c>
      <c r="W405" s="172"/>
      <c r="X405" s="172"/>
      <c r="Y405" s="172"/>
      <c r="Z405" s="228"/>
      <c r="AA405" s="172"/>
      <c r="AB405" s="172"/>
      <c r="AC405" s="172"/>
      <c r="AD405" s="172"/>
      <c r="AE405" s="228"/>
      <c r="AF405" s="220"/>
      <c r="AG405" s="249"/>
      <c r="AH405" s="250"/>
      <c r="AI405" s="249"/>
      <c r="AJ405" s="250"/>
      <c r="AK405" s="250"/>
      <c r="AL405" s="248"/>
      <c r="AM405" s="295"/>
      <c r="AN405" s="304"/>
      <c r="AO405" s="295"/>
      <c r="AP405" s="250"/>
      <c r="AQ405" s="250"/>
      <c r="AR405" s="250"/>
      <c r="AS405" s="250"/>
      <c r="AT405" s="251"/>
      <c r="AU405" s="251"/>
      <c r="AV405" s="249"/>
      <c r="AW405" s="249"/>
      <c r="AX405" s="249"/>
      <c r="AY405" s="249"/>
      <c r="AZ405" s="249"/>
      <c r="BA405" s="249"/>
      <c r="BB405" s="249"/>
      <c r="BC405" s="249"/>
      <c r="BD405" s="249"/>
      <c r="BE405" s="249"/>
      <c r="BF405" s="249"/>
      <c r="BG405" s="249"/>
      <c r="BH405" s="249"/>
      <c r="BI405" s="249"/>
      <c r="BJ405" s="249"/>
      <c r="BK405" s="249"/>
      <c r="BL405" s="249"/>
      <c r="BM405" s="249"/>
      <c r="BN405" s="249"/>
      <c r="BO405" s="249"/>
      <c r="BP405" s="249"/>
      <c r="BQ405" s="249"/>
      <c r="BR405" s="249"/>
      <c r="BS405" s="249"/>
      <c r="BT405" s="249"/>
      <c r="BU405" s="249"/>
      <c r="BV405" s="249"/>
      <c r="BW405" s="249"/>
      <c r="BX405" s="249"/>
      <c r="BY405" s="249"/>
      <c r="BZ405" s="249"/>
      <c r="CA405" s="249"/>
      <c r="CB405" s="249"/>
      <c r="CC405" s="249"/>
      <c r="CD405" s="249"/>
      <c r="CE405" s="249"/>
      <c r="CF405" s="249"/>
      <c r="CG405" s="249"/>
      <c r="CH405" s="249"/>
      <c r="CI405" s="249"/>
      <c r="CJ405" s="249"/>
      <c r="CK405" s="249"/>
      <c r="CL405" s="249"/>
      <c r="CM405" s="249"/>
      <c r="CN405" s="249"/>
      <c r="CO405" s="249"/>
      <c r="CP405" s="249"/>
      <c r="CQ405" s="249"/>
      <c r="CR405" s="249"/>
      <c r="CS405" s="249"/>
      <c r="CT405" s="249"/>
      <c r="CU405" s="249"/>
      <c r="CV405" s="249"/>
      <c r="CW405" s="249"/>
      <c r="CX405" s="249"/>
      <c r="CY405" s="249"/>
      <c r="CZ405" s="249"/>
      <c r="DA405" s="249"/>
      <c r="DB405" s="249"/>
      <c r="DC405" s="249"/>
      <c r="DD405" s="249"/>
      <c r="DE405" s="249"/>
      <c r="DF405" s="249"/>
      <c r="DG405" s="249"/>
      <c r="DH405" s="249"/>
      <c r="DI405" s="249"/>
      <c r="DJ405" s="249"/>
      <c r="DK405" s="249"/>
      <c r="DL405" s="249"/>
      <c r="DM405" s="249"/>
      <c r="DN405" s="249"/>
      <c r="DO405" s="249"/>
      <c r="DP405" s="249"/>
      <c r="DQ405" s="249"/>
      <c r="DR405" s="249"/>
      <c r="DS405" s="249"/>
      <c r="DT405" s="249"/>
      <c r="DU405" s="249"/>
      <c r="DV405" s="249"/>
      <c r="DW405" s="249"/>
      <c r="DX405" s="249"/>
      <c r="DY405" s="249"/>
      <c r="DZ405" s="249"/>
      <c r="EA405" s="249"/>
      <c r="EB405" s="249"/>
      <c r="EC405" s="249"/>
      <c r="ED405" s="249"/>
      <c r="EE405" s="249"/>
      <c r="EF405" s="249"/>
      <c r="EG405" s="249"/>
      <c r="EH405" s="249"/>
      <c r="EI405" s="249"/>
      <c r="EJ405" s="249"/>
      <c r="EK405" s="249"/>
      <c r="EL405" s="249"/>
      <c r="EM405" s="249"/>
      <c r="EN405" s="249"/>
      <c r="EO405" s="249"/>
      <c r="EP405" s="249"/>
      <c r="EQ405" s="249"/>
      <c r="ER405" s="249"/>
      <c r="ES405" s="249"/>
      <c r="ET405" s="249"/>
      <c r="EU405" s="249"/>
      <c r="EV405" s="249"/>
      <c r="EW405" s="249"/>
      <c r="EX405" s="249"/>
      <c r="EY405" s="249"/>
      <c r="EZ405" s="249"/>
      <c r="FA405" s="249"/>
      <c r="FB405" s="249"/>
      <c r="FC405" s="249"/>
      <c r="FD405" s="249"/>
      <c r="FE405" s="249"/>
      <c r="FF405" s="249"/>
      <c r="FG405" s="249"/>
      <c r="FH405" s="249"/>
      <c r="FI405" s="249"/>
      <c r="FJ405" s="249"/>
      <c r="FK405" s="249"/>
      <c r="FL405" s="249"/>
      <c r="FM405" s="249"/>
      <c r="FN405" s="249"/>
      <c r="FO405" s="249"/>
      <c r="FP405" s="249"/>
      <c r="FQ405" s="249"/>
      <c r="FR405" s="249"/>
      <c r="FS405" s="249"/>
      <c r="FT405" s="249"/>
      <c r="FU405" s="249"/>
      <c r="FV405" s="249"/>
      <c r="FW405" s="249"/>
      <c r="FX405" s="249"/>
      <c r="FY405" s="249"/>
      <c r="FZ405" s="249"/>
      <c r="GA405" s="249"/>
      <c r="GB405" s="249"/>
      <c r="GC405" s="249"/>
      <c r="GD405" s="249"/>
      <c r="GE405" s="249"/>
      <c r="GF405" s="249"/>
      <c r="GG405" s="249"/>
      <c r="GH405" s="249"/>
      <c r="GI405" s="249"/>
      <c r="GJ405" s="249"/>
      <c r="GK405" s="249"/>
      <c r="GL405" s="249"/>
      <c r="GM405" s="249"/>
      <c r="GN405" s="249"/>
      <c r="GO405" s="249"/>
      <c r="GP405" s="249"/>
      <c r="GQ405" s="249"/>
      <c r="GR405" s="249"/>
    </row>
    <row r="406" spans="1:205" s="252" customFormat="1" ht="12.75" customHeight="1" x14ac:dyDescent="0.2">
      <c r="A406" s="721"/>
      <c r="B406" s="1122"/>
      <c r="C406" s="1122"/>
      <c r="D406" s="228"/>
      <c r="E406" s="596"/>
      <c r="F406" s="249"/>
      <c r="G406" s="250"/>
      <c r="H406" s="248"/>
      <c r="I406" s="295"/>
      <c r="J406" s="295"/>
      <c r="K406" s="295"/>
      <c r="L406" s="250"/>
      <c r="M406" s="250"/>
      <c r="N406" s="250"/>
      <c r="O406" s="250"/>
      <c r="P406" s="251"/>
      <c r="Q406" s="251"/>
      <c r="R406" s="251"/>
      <c r="S406" s="251"/>
      <c r="T406" s="251"/>
      <c r="U406" s="1391"/>
      <c r="V406" s="181"/>
      <c r="W406" s="172"/>
      <c r="X406" s="172"/>
      <c r="Y406" s="172"/>
      <c r="Z406" s="228"/>
      <c r="AA406" s="172"/>
      <c r="AB406" s="172"/>
      <c r="AC406" s="172"/>
      <c r="AD406" s="172"/>
      <c r="AE406" s="228"/>
      <c r="AF406" s="172"/>
      <c r="AG406" s="249"/>
      <c r="AH406" s="250"/>
      <c r="AI406" s="249"/>
      <c r="AJ406" s="250"/>
      <c r="AK406" s="250"/>
      <c r="AL406" s="248"/>
      <c r="AM406" s="295"/>
      <c r="AN406" s="295"/>
      <c r="AO406" s="295"/>
      <c r="AP406" s="250"/>
      <c r="AQ406" s="250"/>
      <c r="AR406" s="250"/>
      <c r="AS406" s="250"/>
      <c r="AT406" s="251"/>
      <c r="AU406" s="251"/>
      <c r="AV406" s="249"/>
      <c r="AW406" s="249"/>
      <c r="AX406" s="249"/>
      <c r="AY406" s="249"/>
      <c r="AZ406" s="249"/>
      <c r="BA406" s="249"/>
      <c r="BB406" s="249"/>
      <c r="BC406" s="249"/>
      <c r="BD406" s="249"/>
      <c r="BE406" s="249"/>
      <c r="BF406" s="249"/>
      <c r="BG406" s="249"/>
      <c r="BH406" s="249"/>
      <c r="BI406" s="249"/>
      <c r="BJ406" s="249"/>
      <c r="BK406" s="249"/>
      <c r="BL406" s="249"/>
      <c r="BM406" s="249"/>
      <c r="BN406" s="249"/>
      <c r="BO406" s="249"/>
      <c r="BP406" s="249"/>
      <c r="BQ406" s="249"/>
      <c r="BR406" s="249"/>
      <c r="BS406" s="249"/>
      <c r="BT406" s="249"/>
      <c r="BU406" s="249"/>
      <c r="BV406" s="249"/>
      <c r="BW406" s="249"/>
      <c r="BX406" s="249"/>
      <c r="BY406" s="249"/>
      <c r="BZ406" s="249"/>
      <c r="CA406" s="249"/>
      <c r="CB406" s="249"/>
      <c r="CC406" s="249"/>
      <c r="CD406" s="249"/>
      <c r="CE406" s="249"/>
      <c r="CF406" s="249"/>
      <c r="CG406" s="249"/>
      <c r="CH406" s="249"/>
      <c r="CI406" s="249"/>
      <c r="CJ406" s="249"/>
      <c r="CK406" s="249"/>
      <c r="CL406" s="249"/>
      <c r="CM406" s="249"/>
      <c r="CN406" s="249"/>
      <c r="CO406" s="249"/>
      <c r="CP406" s="249"/>
      <c r="CQ406" s="249"/>
      <c r="CR406" s="249"/>
      <c r="CS406" s="249"/>
      <c r="CT406" s="249"/>
      <c r="CU406" s="249"/>
      <c r="CV406" s="249"/>
      <c r="CW406" s="249"/>
      <c r="CX406" s="249"/>
      <c r="CY406" s="249"/>
      <c r="CZ406" s="249"/>
      <c r="DA406" s="249"/>
      <c r="DB406" s="249"/>
      <c r="DC406" s="249"/>
      <c r="DD406" s="249"/>
      <c r="DE406" s="249"/>
      <c r="DF406" s="249"/>
      <c r="DG406" s="249"/>
      <c r="DH406" s="249"/>
      <c r="DI406" s="249"/>
      <c r="DJ406" s="249"/>
      <c r="DK406" s="249"/>
      <c r="DL406" s="249"/>
      <c r="DM406" s="249"/>
      <c r="DN406" s="249"/>
      <c r="DO406" s="249"/>
      <c r="DP406" s="249"/>
      <c r="DQ406" s="249"/>
      <c r="DR406" s="249"/>
      <c r="DS406" s="249"/>
      <c r="DT406" s="249"/>
      <c r="DU406" s="249"/>
      <c r="DV406" s="249"/>
      <c r="DW406" s="249"/>
      <c r="DX406" s="249"/>
      <c r="DY406" s="249"/>
      <c r="DZ406" s="249"/>
      <c r="EA406" s="249"/>
      <c r="EB406" s="249"/>
      <c r="EC406" s="249"/>
      <c r="ED406" s="249"/>
      <c r="EE406" s="249"/>
      <c r="EF406" s="249"/>
      <c r="EG406" s="249"/>
      <c r="EH406" s="249"/>
      <c r="EI406" s="249"/>
      <c r="EJ406" s="249"/>
      <c r="EK406" s="249"/>
      <c r="EL406" s="249"/>
      <c r="EM406" s="249"/>
      <c r="EN406" s="249"/>
      <c r="EO406" s="249"/>
      <c r="EP406" s="249"/>
      <c r="EQ406" s="249"/>
      <c r="ER406" s="249"/>
      <c r="ES406" s="249"/>
      <c r="ET406" s="249"/>
      <c r="EU406" s="249"/>
      <c r="EV406" s="249"/>
      <c r="EW406" s="249"/>
      <c r="EX406" s="249"/>
      <c r="EY406" s="249"/>
      <c r="EZ406" s="249"/>
      <c r="FA406" s="249"/>
      <c r="FB406" s="249"/>
      <c r="FC406" s="249"/>
      <c r="FD406" s="249"/>
      <c r="FE406" s="249"/>
      <c r="FF406" s="249"/>
      <c r="FG406" s="249"/>
      <c r="FH406" s="249"/>
      <c r="FI406" s="249"/>
      <c r="FJ406" s="249"/>
      <c r="FK406" s="249"/>
      <c r="FL406" s="249"/>
      <c r="FM406" s="249"/>
      <c r="FN406" s="249"/>
      <c r="FO406" s="249"/>
      <c r="FP406" s="249"/>
      <c r="FQ406" s="249"/>
      <c r="FR406" s="249"/>
      <c r="FS406" s="249"/>
      <c r="FT406" s="249"/>
      <c r="FU406" s="249"/>
      <c r="FV406" s="249"/>
      <c r="FW406" s="249"/>
      <c r="FX406" s="249"/>
      <c r="FY406" s="249"/>
      <c r="FZ406" s="249"/>
      <c r="GA406" s="249"/>
      <c r="GB406" s="249"/>
      <c r="GC406" s="249"/>
      <c r="GD406" s="249"/>
      <c r="GE406" s="249"/>
      <c r="GF406" s="249"/>
      <c r="GG406" s="249"/>
      <c r="GH406" s="249"/>
      <c r="GI406" s="249"/>
      <c r="GJ406" s="249"/>
      <c r="GK406" s="249"/>
      <c r="GL406" s="249"/>
      <c r="GM406" s="249"/>
      <c r="GN406" s="249"/>
      <c r="GO406" s="249"/>
      <c r="GP406" s="249"/>
      <c r="GQ406" s="249"/>
      <c r="GR406" s="249"/>
    </row>
    <row r="407" spans="1:205" ht="13.5" customHeight="1" x14ac:dyDescent="0.2">
      <c r="A407" s="724"/>
      <c r="B407" s="1125"/>
      <c r="C407" s="1125"/>
      <c r="D407" s="528"/>
      <c r="G407" s="174"/>
      <c r="H407" s="185"/>
      <c r="I407" s="186"/>
      <c r="J407" s="186"/>
      <c r="K407" s="186"/>
      <c r="P407" s="179"/>
      <c r="Q407" s="179"/>
      <c r="R407" s="179"/>
      <c r="S407" s="179"/>
      <c r="T407" s="179"/>
      <c r="U407" s="254"/>
      <c r="V407" s="665" t="s">
        <v>173</v>
      </c>
      <c r="W407" s="254"/>
      <c r="X407" s="528"/>
      <c r="Y407" s="528"/>
      <c r="Z407" s="528"/>
      <c r="AA407" s="254"/>
      <c r="AB407" s="254"/>
      <c r="AC407" s="528"/>
      <c r="AD407" s="528"/>
      <c r="AE407" s="528"/>
      <c r="AF407" s="528"/>
      <c r="AG407" s="528"/>
      <c r="AH407" s="528"/>
      <c r="AI407" s="528"/>
      <c r="AJ407" s="528"/>
      <c r="AK407" s="528"/>
      <c r="AL407" s="528"/>
      <c r="AM407" s="528"/>
      <c r="AN407" s="295"/>
      <c r="AO407" s="295"/>
      <c r="AP407" s="250"/>
      <c r="AQ407" s="250"/>
      <c r="AR407" s="250"/>
      <c r="AS407" s="250"/>
      <c r="AT407" s="251"/>
      <c r="AU407" s="251"/>
      <c r="GS407" s="176"/>
      <c r="GT407" s="176"/>
      <c r="GU407" s="176"/>
      <c r="GV407" s="176"/>
      <c r="GW407" s="176"/>
    </row>
    <row r="408" spans="1:205" ht="13.5" customHeight="1" x14ac:dyDescent="0.2">
      <c r="A408" s="728"/>
      <c r="B408" s="1129"/>
      <c r="C408" s="1129"/>
      <c r="D408" s="531"/>
      <c r="E408" s="613"/>
      <c r="G408" s="321"/>
      <c r="H408" s="241"/>
      <c r="I408" s="242"/>
      <c r="J408" s="242"/>
      <c r="K408" s="174"/>
      <c r="P408" s="179"/>
      <c r="Q408" s="179"/>
      <c r="R408" s="179"/>
      <c r="S408" s="179"/>
      <c r="T408" s="179"/>
      <c r="U408" s="2521" t="s">
        <v>152</v>
      </c>
      <c r="V408" s="2522"/>
      <c r="W408" s="1440" t="s">
        <v>153</v>
      </c>
      <c r="X408" s="1426" t="str">
        <f t="shared" ref="X408:AJ408" si="101">X$14</f>
        <v>RIGMOVE</v>
      </c>
      <c r="Y408" s="1426" t="str">
        <f t="shared" si="101"/>
        <v>DSURFACE</v>
      </c>
      <c r="Z408" s="1426" t="str">
        <f t="shared" si="101"/>
        <v>FSURFACE</v>
      </c>
      <c r="AA408" s="1426" t="str">
        <f t="shared" si="101"/>
        <v>DINTERMEDIATE</v>
      </c>
      <c r="AB408" s="1426" t="str">
        <f t="shared" si="101"/>
        <v>FINTERMEDIATE</v>
      </c>
      <c r="AC408" s="1426" t="str">
        <f t="shared" si="101"/>
        <v>DPRODUCTION</v>
      </c>
      <c r="AD408" s="1426" t="str">
        <f t="shared" si="101"/>
        <v>FPRODUCTION</v>
      </c>
      <c r="AE408" s="1426" t="str">
        <f t="shared" si="101"/>
        <v>DLINER1</v>
      </c>
      <c r="AF408" s="1426" t="str">
        <f t="shared" si="101"/>
        <v>FLINER1</v>
      </c>
      <c r="AG408" s="1426" t="str">
        <f t="shared" si="101"/>
        <v>DLINER2</v>
      </c>
      <c r="AH408" s="1426" t="str">
        <f t="shared" si="101"/>
        <v>FLINER2</v>
      </c>
      <c r="AI408" s="1426" t="str">
        <f>AI$14</f>
        <v/>
      </c>
      <c r="AJ408" s="1426" t="str">
        <f t="shared" si="101"/>
        <v/>
      </c>
      <c r="AK408" s="1426" t="str">
        <f>AK$14</f>
        <v/>
      </c>
      <c r="AL408" s="1426"/>
      <c r="AM408" s="1437" t="s">
        <v>101</v>
      </c>
      <c r="AN408" s="295"/>
      <c r="AQ408" s="185"/>
      <c r="AR408" s="186"/>
      <c r="AS408" s="186"/>
      <c r="AT408" s="186"/>
      <c r="GS408" s="176"/>
      <c r="GT408" s="176"/>
      <c r="GU408" s="176"/>
      <c r="GV408" s="176"/>
      <c r="GW408" s="176"/>
    </row>
    <row r="409" spans="1:205" ht="12.75" customHeight="1" x14ac:dyDescent="0.2">
      <c r="A409" s="730"/>
      <c r="B409" s="1131"/>
      <c r="C409" s="1131"/>
      <c r="D409" s="538"/>
      <c r="E409" s="599"/>
      <c r="G409" s="174"/>
      <c r="H409" s="185"/>
      <c r="I409" s="186"/>
      <c r="J409" s="186"/>
      <c r="K409" s="174"/>
      <c r="P409" s="179"/>
      <c r="Q409" s="179"/>
      <c r="R409" s="179"/>
      <c r="S409" s="179"/>
      <c r="T409" s="179"/>
      <c r="U409" s="287"/>
      <c r="V409" s="287" t="str">
        <f>'Cement SLB Rev'!P25</f>
        <v>Cementing Primary Equipment</v>
      </c>
      <c r="W409" s="245" t="s">
        <v>177</v>
      </c>
      <c r="X409" s="683">
        <f ca="1">INDIRECT($X$408)</f>
        <v>13</v>
      </c>
      <c r="Y409" s="683">
        <f ca="1">IF(INPUT!$D$18="YES",INDIRECT(Y$408),0)</f>
        <v>2</v>
      </c>
      <c r="Z409" s="683">
        <f ca="1">INDIRECT(Z$408)</f>
        <v>4</v>
      </c>
      <c r="AA409" s="683">
        <f t="shared" ref="AA409:AF409" ca="1" si="102">INDIRECT(AA$408)</f>
        <v>5</v>
      </c>
      <c r="AB409" s="683">
        <f t="shared" ca="1" si="102"/>
        <v>4</v>
      </c>
      <c r="AC409" s="683">
        <f t="shared" ca="1" si="102"/>
        <v>10</v>
      </c>
      <c r="AD409" s="683">
        <f t="shared" ca="1" si="102"/>
        <v>3</v>
      </c>
      <c r="AE409" s="683">
        <f t="shared" ca="1" si="102"/>
        <v>6</v>
      </c>
      <c r="AF409" s="683">
        <f t="shared" ca="1" si="102"/>
        <v>2</v>
      </c>
      <c r="AG409" s="683">
        <f ca="1">IFERROR(INDIRECT(AG$408),0)</f>
        <v>5</v>
      </c>
      <c r="AH409" s="683">
        <f ca="1">IFERROR(INDIRECT(AH$408),0)</f>
        <v>7</v>
      </c>
      <c r="AI409" s="683">
        <f ca="1">IFERROR(NDIRECT(AI$408),0)</f>
        <v>0</v>
      </c>
      <c r="AJ409" s="683">
        <f ca="1">IFERROR(NDIRECT(AJ$408),0)</f>
        <v>0</v>
      </c>
      <c r="AK409" s="683">
        <f ca="1">IFERROR(INDIRECT(AK$408),0)</f>
        <v>0</v>
      </c>
      <c r="AL409" s="243"/>
      <c r="AM409" s="683">
        <f t="shared" ref="AM409:AM419" ca="1" si="103">SUM(X409:AL409)</f>
        <v>61</v>
      </c>
      <c r="AN409" s="172"/>
      <c r="AP409" s="321"/>
      <c r="AQ409" s="241"/>
      <c r="AR409" s="242"/>
      <c r="AS409" s="242"/>
      <c r="GS409" s="176"/>
      <c r="GT409" s="176"/>
      <c r="GU409" s="176"/>
      <c r="GV409" s="176"/>
      <c r="GW409" s="176"/>
    </row>
    <row r="410" spans="1:205" ht="12.75" customHeight="1" x14ac:dyDescent="0.2">
      <c r="A410" s="730"/>
      <c r="B410" s="1131"/>
      <c r="C410" s="1131"/>
      <c r="D410" s="538"/>
      <c r="E410" s="599"/>
      <c r="G410" s="174"/>
      <c r="H410" s="185"/>
      <c r="I410" s="186"/>
      <c r="J410" s="186"/>
      <c r="K410" s="174"/>
      <c r="P410" s="179"/>
      <c r="Q410" s="179"/>
      <c r="R410" s="179"/>
      <c r="S410" s="179"/>
      <c r="T410" s="179"/>
      <c r="U410" s="287"/>
      <c r="V410" s="287" t="str">
        <f>'Cement SLB Rev'!P26</f>
        <v>26" Circulating Swedge</v>
      </c>
      <c r="W410" s="245" t="s">
        <v>177</v>
      </c>
      <c r="X410" s="683"/>
      <c r="Y410" s="683">
        <f>IF(INPUT!$D$18="No",0,IF(INPUT!$D$7="Big Hole",5,0))*IF(INPUT!$D$18="Yes",1,0)</f>
        <v>5</v>
      </c>
      <c r="Z410" s="683"/>
      <c r="AA410" s="683"/>
      <c r="AB410" s="683"/>
      <c r="AC410" s="683"/>
      <c r="AD410" s="683"/>
      <c r="AE410" s="683"/>
      <c r="AF410" s="683"/>
      <c r="AG410" s="683"/>
      <c r="AH410" s="683"/>
      <c r="AI410" s="286"/>
      <c r="AJ410" s="286"/>
      <c r="AK410" s="286"/>
      <c r="AL410" s="243"/>
      <c r="AM410" s="683">
        <f t="shared" si="103"/>
        <v>5</v>
      </c>
      <c r="AN410" s="254"/>
      <c r="AQ410" s="185"/>
      <c r="AR410" s="186"/>
      <c r="AS410" s="186"/>
      <c r="GS410" s="176"/>
      <c r="GT410" s="176"/>
      <c r="GU410" s="176"/>
      <c r="GV410" s="176"/>
      <c r="GW410" s="176"/>
    </row>
    <row r="411" spans="1:205" ht="12.75" customHeight="1" x14ac:dyDescent="0.2">
      <c r="A411" s="730"/>
      <c r="B411" s="1131"/>
      <c r="C411" s="1131"/>
      <c r="D411" s="538"/>
      <c r="E411" s="599"/>
      <c r="G411" s="174"/>
      <c r="H411" s="185"/>
      <c r="I411" s="186"/>
      <c r="J411" s="186"/>
      <c r="K411" s="174"/>
      <c r="P411" s="179"/>
      <c r="Q411" s="179"/>
      <c r="R411" s="179"/>
      <c r="S411" s="179"/>
      <c r="T411" s="179"/>
      <c r="U411" s="287"/>
      <c r="V411" s="287" t="str">
        <f>'Cement SLB Rev'!P27</f>
        <v>18 5/8" Circulating Swedge</v>
      </c>
      <c r="W411" s="245" t="s">
        <v>177</v>
      </c>
      <c r="X411" s="683"/>
      <c r="Y411" s="683">
        <f>IF(INPUT!$D$18="No",0,IF(INPUT!$D$7="Big Hole",5,0))*IF(INPUT!$D$18="Yes",1,0)</f>
        <v>5</v>
      </c>
      <c r="Z411" s="683"/>
      <c r="AA411" s="683"/>
      <c r="AB411" s="683"/>
      <c r="AC411" s="683"/>
      <c r="AD411" s="683"/>
      <c r="AE411" s="683"/>
      <c r="AF411" s="683"/>
      <c r="AG411" s="683"/>
      <c r="AH411" s="683"/>
      <c r="AI411" s="286"/>
      <c r="AJ411" s="286"/>
      <c r="AK411" s="286"/>
      <c r="AL411" s="243"/>
      <c r="AM411" s="683">
        <f t="shared" ref="AM411" si="104">SUM(X411:AL411)</f>
        <v>5</v>
      </c>
      <c r="AN411" s="254"/>
      <c r="AQ411" s="185"/>
      <c r="AR411" s="186"/>
      <c r="AS411" s="186"/>
      <c r="GS411" s="176"/>
      <c r="GT411" s="176"/>
      <c r="GU411" s="176"/>
      <c r="GV411" s="176"/>
      <c r="GW411" s="176"/>
    </row>
    <row r="412" spans="1:205" ht="12.75" customHeight="1" x14ac:dyDescent="0.2">
      <c r="A412" s="730"/>
      <c r="B412" s="1131"/>
      <c r="C412" s="1131"/>
      <c r="D412" s="538"/>
      <c r="E412" s="599"/>
      <c r="G412" s="174"/>
      <c r="H412" s="185"/>
      <c r="I412" s="186"/>
      <c r="J412" s="186"/>
      <c r="K412" s="174"/>
      <c r="P412" s="179"/>
      <c r="Q412" s="179"/>
      <c r="R412" s="179"/>
      <c r="S412" s="179"/>
      <c r="T412" s="179"/>
      <c r="U412" s="287"/>
      <c r="V412" s="287" t="str">
        <f>'Cement SLB Rev'!P28</f>
        <v>20 - 18 5/8" CMT Head</v>
      </c>
      <c r="W412" s="245" t="s">
        <v>177</v>
      </c>
      <c r="X412" s="683"/>
      <c r="Y412" s="683">
        <f>IF(INPUT!$D$18="No",0,IF(INPUT!$D$7="Big Hole",5,0))*IF(INPUT!$D$18="Yes",1,0)</f>
        <v>5</v>
      </c>
      <c r="Z412" s="683"/>
      <c r="AA412" s="683"/>
      <c r="AB412" s="683"/>
      <c r="AC412" s="683"/>
      <c r="AD412" s="683"/>
      <c r="AE412" s="683"/>
      <c r="AF412" s="683"/>
      <c r="AG412" s="683"/>
      <c r="AH412" s="683"/>
      <c r="AI412" s="286"/>
      <c r="AJ412" s="286"/>
      <c r="AK412" s="286"/>
      <c r="AL412" s="243"/>
      <c r="AM412" s="683">
        <f t="shared" si="103"/>
        <v>5</v>
      </c>
      <c r="AN412" s="254"/>
      <c r="AQ412" s="185"/>
      <c r="AR412" s="186"/>
      <c r="AS412" s="186"/>
      <c r="GS412" s="176"/>
      <c r="GT412" s="176"/>
      <c r="GU412" s="176"/>
      <c r="GV412" s="176"/>
      <c r="GW412" s="176"/>
    </row>
    <row r="413" spans="1:205" ht="12.75" customHeight="1" x14ac:dyDescent="0.2">
      <c r="A413" s="730"/>
      <c r="B413" s="1131"/>
      <c r="C413" s="1131"/>
      <c r="D413" s="538"/>
      <c r="E413" s="599"/>
      <c r="G413" s="174"/>
      <c r="H413" s="174"/>
      <c r="I413" s="174"/>
      <c r="J413" s="174"/>
      <c r="K413" s="174"/>
      <c r="P413" s="179"/>
      <c r="Q413" s="179"/>
      <c r="R413" s="179"/>
      <c r="S413" s="179"/>
      <c r="T413" s="179"/>
      <c r="U413" s="287"/>
      <c r="V413" s="287" t="str">
        <f>'Cement SLB Rev'!P29</f>
        <v>13 3/8" MST</v>
      </c>
      <c r="W413" s="245" t="s">
        <v>177</v>
      </c>
      <c r="X413" s="683"/>
      <c r="Y413" s="683"/>
      <c r="Z413" s="683"/>
      <c r="AA413" s="683"/>
      <c r="AB413" s="683"/>
      <c r="AC413" s="683"/>
      <c r="AD413" s="683"/>
      <c r="AE413" s="683"/>
      <c r="AF413" s="286">
        <f>IF($AH$408="",10,0)*IF(RH_BH="Big Hole",1,0)</f>
        <v>0</v>
      </c>
      <c r="AG413" s="683"/>
      <c r="AH413" s="286">
        <f>IF($AJ$408="",10,0)*IF([0]!RH_BH="Regular Hole",0,1)*IF(DOUBLE_LINER="No",0,1)</f>
        <v>10</v>
      </c>
      <c r="AI413" s="286"/>
      <c r="AJ413" s="286"/>
      <c r="AK413" s="286"/>
      <c r="AL413" s="243"/>
      <c r="AM413" s="683">
        <f t="shared" si="103"/>
        <v>10</v>
      </c>
      <c r="AN413" s="254"/>
      <c r="AQ413" s="185"/>
      <c r="AR413" s="186"/>
      <c r="AS413" s="186"/>
      <c r="GS413" s="176"/>
      <c r="GT413" s="176"/>
      <c r="GU413" s="176"/>
      <c r="GV413" s="176"/>
      <c r="GW413" s="176"/>
    </row>
    <row r="414" spans="1:205" ht="12.75" customHeight="1" x14ac:dyDescent="0.2">
      <c r="A414" s="730"/>
      <c r="B414" s="1131"/>
      <c r="C414" s="1131"/>
      <c r="D414" s="538"/>
      <c r="E414" s="599"/>
      <c r="G414" s="174"/>
      <c r="H414" s="174"/>
      <c r="I414" s="174"/>
      <c r="J414" s="174"/>
      <c r="K414" s="174"/>
      <c r="P414" s="179"/>
      <c r="Q414" s="179"/>
      <c r="R414" s="179"/>
      <c r="S414" s="179"/>
      <c r="T414" s="179"/>
      <c r="U414" s="287"/>
      <c r="V414" s="287" t="str">
        <f>'Cement SLB Rev'!P31</f>
        <v>9 5/8" MST</v>
      </c>
      <c r="W414" s="245" t="s">
        <v>177</v>
      </c>
      <c r="X414" s="683"/>
      <c r="Y414" s="683"/>
      <c r="Z414" s="683"/>
      <c r="AA414" s="683"/>
      <c r="AB414" s="683"/>
      <c r="AC414" s="683"/>
      <c r="AD414" s="683"/>
      <c r="AE414" s="683"/>
      <c r="AF414" s="286">
        <f>IF($AH$408="",10,0)*IF(RH_BH="Big Hole",0,1)</f>
        <v>0</v>
      </c>
      <c r="AG414" s="683"/>
      <c r="AH414" s="286">
        <f>IF($AJ$408="",10,0)*IF([0]!RH_BH="Regular Hole",1,0)*IF(DOUBLE_LINER="No",0,1)</f>
        <v>0</v>
      </c>
      <c r="AI414" s="286"/>
      <c r="AJ414" s="286"/>
      <c r="AK414" s="286"/>
      <c r="AL414" s="243"/>
      <c r="AM414" s="683">
        <f t="shared" si="103"/>
        <v>0</v>
      </c>
      <c r="AN414" s="254"/>
      <c r="GS414" s="176"/>
      <c r="GT414" s="176"/>
      <c r="GU414" s="176"/>
      <c r="GV414" s="176"/>
      <c r="GW414" s="176"/>
    </row>
    <row r="415" spans="1:205" ht="16.5" customHeight="1" x14ac:dyDescent="0.2">
      <c r="A415" s="730"/>
      <c r="B415" s="1131"/>
      <c r="C415" s="1131"/>
      <c r="D415" s="538"/>
      <c r="E415" s="599"/>
      <c r="G415" s="174"/>
      <c r="H415" s="174"/>
      <c r="I415" s="174"/>
      <c r="J415" s="174"/>
      <c r="K415" s="174"/>
      <c r="P415" s="179"/>
      <c r="Q415" s="179"/>
      <c r="R415" s="179"/>
      <c r="S415" s="179"/>
      <c r="T415" s="179"/>
      <c r="U415" s="287"/>
      <c r="V415" s="287" t="str">
        <f>'Cement SLB Rev'!P33</f>
        <v>Cement Plug</v>
      </c>
      <c r="W415" s="245" t="s">
        <v>174</v>
      </c>
      <c r="X415" s="683"/>
      <c r="Y415" s="683">
        <f>IF(INPUT!$J$23="",0,INPUT!$J$23)</f>
        <v>1</v>
      </c>
      <c r="Z415" s="683"/>
      <c r="AA415" s="286">
        <f>IF(INPUT!$J$24="",0,INPUT!$J$24)</f>
        <v>1</v>
      </c>
      <c r="AB415" s="683"/>
      <c r="AC415" s="286">
        <f>IF(INPUT!$J$25="",0,INPUT!$J$25)</f>
        <v>1</v>
      </c>
      <c r="AD415" s="683"/>
      <c r="AE415" s="683"/>
      <c r="AF415" s="286">
        <f>IF(AH$408="",1,0)</f>
        <v>0</v>
      </c>
      <c r="AG415" s="683"/>
      <c r="AH415" s="286">
        <f>IF($AJ$408="",1,0)*IF(RH_BH="Regular Hole",0,1)*IF(DOUBLE_LINER="No",0,1)</f>
        <v>1</v>
      </c>
      <c r="AI415" s="286"/>
      <c r="AJ415" s="286">
        <f>IF($AJ$408="",0,1)</f>
        <v>0</v>
      </c>
      <c r="AK415" s="286">
        <f>IF(INPUT!$J$29="",0,INPUT!$J$29)</f>
        <v>0</v>
      </c>
      <c r="AL415" s="243"/>
      <c r="AM415" s="683">
        <f t="shared" si="103"/>
        <v>4</v>
      </c>
      <c r="AN415" s="254"/>
      <c r="GS415" s="176"/>
      <c r="GT415" s="176"/>
      <c r="GU415" s="176"/>
      <c r="GV415" s="176"/>
      <c r="GW415" s="176"/>
    </row>
    <row r="416" spans="1:205" ht="15" customHeight="1" x14ac:dyDescent="0.2">
      <c r="A416" s="730"/>
      <c r="B416" s="1131"/>
      <c r="C416" s="1131"/>
      <c r="D416" s="538"/>
      <c r="E416" s="599"/>
      <c r="G416" s="174"/>
      <c r="H416" s="174"/>
      <c r="I416" s="174"/>
      <c r="J416" s="174"/>
      <c r="K416" s="174"/>
      <c r="P416" s="179"/>
      <c r="Q416" s="179"/>
      <c r="R416" s="179"/>
      <c r="S416" s="179"/>
      <c r="T416" s="179"/>
      <c r="U416" s="287"/>
      <c r="V416" s="287" t="str">
        <f>'Cement SLB Rev'!P34</f>
        <v>Top Job</v>
      </c>
      <c r="W416" s="245" t="s">
        <v>174</v>
      </c>
      <c r="X416" s="683"/>
      <c r="Y416" s="683"/>
      <c r="Z416" s="286">
        <f>IF(INPUT!$K$23="",0,INPUT!$K$23)</f>
        <v>1</v>
      </c>
      <c r="AA416" s="683"/>
      <c r="AB416" s="683">
        <f>IF(INPUT!$K$24="",0,INPUT!$K$24)</f>
        <v>1</v>
      </c>
      <c r="AC416" s="683"/>
      <c r="AD416" s="683">
        <f>IF(INPUT!$K$25="",0,INPUT!$K$25)</f>
        <v>1</v>
      </c>
      <c r="AE416" s="683"/>
      <c r="AF416" s="683"/>
      <c r="AG416" s="683"/>
      <c r="AH416" s="683"/>
      <c r="AI416" s="286"/>
      <c r="AJ416" s="286"/>
      <c r="AK416" s="286"/>
      <c r="AL416" s="243"/>
      <c r="AM416" s="683">
        <f t="shared" si="103"/>
        <v>3</v>
      </c>
      <c r="AN416" s="254"/>
      <c r="GS416" s="176"/>
      <c r="GT416" s="176"/>
      <c r="GU416" s="176"/>
      <c r="GV416" s="176"/>
      <c r="GW416" s="176"/>
    </row>
    <row r="417" spans="1:205" ht="13.5" customHeight="1" x14ac:dyDescent="0.2">
      <c r="A417" s="730"/>
      <c r="B417" s="1131"/>
      <c r="C417" s="1131"/>
      <c r="D417" s="538"/>
      <c r="E417" s="599"/>
      <c r="G417" s="174"/>
      <c r="H417" s="174"/>
      <c r="I417" s="174"/>
      <c r="J417" s="174"/>
      <c r="K417" s="174"/>
      <c r="P417" s="179"/>
      <c r="Q417" s="179"/>
      <c r="R417" s="179"/>
      <c r="S417" s="179"/>
      <c r="T417" s="179"/>
      <c r="U417" s="287"/>
      <c r="V417" s="287" t="str">
        <f>'Cement SLB Rev'!P35</f>
        <v>Cementing Casing</v>
      </c>
      <c r="W417" s="245" t="s">
        <v>174</v>
      </c>
      <c r="X417" s="683"/>
      <c r="Y417" s="683"/>
      <c r="Z417" s="683">
        <f>IF(INPUT!$D$18="No",0,1)</f>
        <v>1</v>
      </c>
      <c r="AA417" s="683"/>
      <c r="AB417" s="683">
        <f>IF(AB$408="",0,1)</f>
        <v>1</v>
      </c>
      <c r="AC417" s="683"/>
      <c r="AD417" s="683">
        <f>IF(AD$408="",0,1)</f>
        <v>1</v>
      </c>
      <c r="AE417" s="683"/>
      <c r="AF417" s="286">
        <f>IF(AH$408="",1,0)</f>
        <v>0</v>
      </c>
      <c r="AG417" s="683"/>
      <c r="AH417" s="286">
        <f>IF($AJ$408="",1,0)*IF(RH_BH="Regular Hole",0,1)*IF(DOUBLE_LINER="No",0,1)</f>
        <v>1</v>
      </c>
      <c r="AI417" s="286"/>
      <c r="AJ417" s="286">
        <f>IF($AJ$408="",0,1)</f>
        <v>0</v>
      </c>
      <c r="AK417" s="286"/>
      <c r="AL417" s="243"/>
      <c r="AM417" s="683">
        <f t="shared" si="103"/>
        <v>4</v>
      </c>
      <c r="AN417" s="254"/>
      <c r="GS417" s="176"/>
      <c r="GT417" s="176"/>
      <c r="GU417" s="176"/>
      <c r="GV417" s="176"/>
      <c r="GW417" s="176"/>
    </row>
    <row r="418" spans="1:205" ht="13.5" customHeight="1" x14ac:dyDescent="0.2">
      <c r="A418" s="730"/>
      <c r="B418" s="1131"/>
      <c r="C418" s="1131"/>
      <c r="D418" s="538"/>
      <c r="E418" s="599"/>
      <c r="G418" s="174"/>
      <c r="H418" s="174"/>
      <c r="I418" s="174"/>
      <c r="J418" s="174"/>
      <c r="K418" s="174"/>
      <c r="P418" s="179"/>
      <c r="Q418" s="179"/>
      <c r="R418" s="179"/>
      <c r="S418" s="179"/>
      <c r="T418" s="179"/>
      <c r="U418" s="287"/>
      <c r="V418" s="287" t="str">
        <f>'Cement SLB Rev'!P40</f>
        <v>Cementing Engineer/Supervisor</v>
      </c>
      <c r="W418" s="245" t="s">
        <v>177</v>
      </c>
      <c r="X418" s="683">
        <f ca="1">INDIRECT($X$408)-5</f>
        <v>8</v>
      </c>
      <c r="Y418" s="683">
        <f ca="1">IF(INPUT!$D$18="YES",INDIRECT(Y$408),0)</f>
        <v>2</v>
      </c>
      <c r="Z418" s="683">
        <f t="shared" ref="Z418:AA420" ca="1" si="105">INDIRECT(Z$408)</f>
        <v>4</v>
      </c>
      <c r="AA418" s="683">
        <f ca="1">INDIRECT(AA$408)</f>
        <v>5</v>
      </c>
      <c r="AB418" s="683">
        <f t="shared" ref="AB418:AF420" ca="1" si="106">INDIRECT(AB$408)</f>
        <v>4</v>
      </c>
      <c r="AC418" s="683">
        <f t="shared" ca="1" si="106"/>
        <v>10</v>
      </c>
      <c r="AD418" s="683">
        <f t="shared" ca="1" si="106"/>
        <v>3</v>
      </c>
      <c r="AE418" s="683">
        <f t="shared" ca="1" si="106"/>
        <v>6</v>
      </c>
      <c r="AF418" s="683">
        <f t="shared" ca="1" si="106"/>
        <v>2</v>
      </c>
      <c r="AG418" s="683">
        <f t="shared" ref="AG418:AH420" ca="1" si="107">IFERROR(INDIRECT(AG$408),0)</f>
        <v>5</v>
      </c>
      <c r="AH418" s="683">
        <f t="shared" ca="1" si="107"/>
        <v>7</v>
      </c>
      <c r="AI418" s="683">
        <f ca="1">IFERROR(NDIRECT(AI$408),0)</f>
        <v>0</v>
      </c>
      <c r="AJ418" s="683">
        <f ca="1">IFERROR(NDIRECT(AJ$408),0)</f>
        <v>0</v>
      </c>
      <c r="AK418" s="683">
        <f ca="1">IFERROR(INDIRECT(AK$408),0)</f>
        <v>0</v>
      </c>
      <c r="AL418" s="243"/>
      <c r="AM418" s="683">
        <f ca="1">SUM(X418:AL418)</f>
        <v>56</v>
      </c>
      <c r="AN418" s="254"/>
      <c r="GS418" s="176"/>
      <c r="GT418" s="176"/>
      <c r="GU418" s="176"/>
      <c r="GV418" s="176"/>
      <c r="GW418" s="176"/>
    </row>
    <row r="419" spans="1:205" ht="12.75" customHeight="1" x14ac:dyDescent="0.2">
      <c r="A419" s="730"/>
      <c r="B419" s="1131"/>
      <c r="C419" s="1131"/>
      <c r="D419" s="538"/>
      <c r="E419" s="599"/>
      <c r="G419" s="174"/>
      <c r="H419" s="174"/>
      <c r="I419" s="174"/>
      <c r="J419" s="174"/>
      <c r="K419" s="174"/>
      <c r="P419" s="179"/>
      <c r="Q419" s="179"/>
      <c r="R419" s="179"/>
      <c r="S419" s="179"/>
      <c r="T419" s="179"/>
      <c r="U419" s="287"/>
      <c r="V419" s="287" t="str">
        <f>'Cement SLB Rev'!P41</f>
        <v>Equipment Operator/Helper</v>
      </c>
      <c r="W419" s="245" t="s">
        <v>177</v>
      </c>
      <c r="X419" s="683">
        <f ca="1">INDIRECT($X$408)-4</f>
        <v>9</v>
      </c>
      <c r="Y419" s="683">
        <f ca="1">IF(INPUT!$D$18="YES",INDIRECT(Y$408),0)</f>
        <v>2</v>
      </c>
      <c r="Z419" s="683">
        <f t="shared" ca="1" si="105"/>
        <v>4</v>
      </c>
      <c r="AA419" s="683">
        <f t="shared" ca="1" si="105"/>
        <v>5</v>
      </c>
      <c r="AB419" s="683">
        <f t="shared" ca="1" si="106"/>
        <v>4</v>
      </c>
      <c r="AC419" s="683">
        <f t="shared" ca="1" si="106"/>
        <v>10</v>
      </c>
      <c r="AD419" s="683">
        <f t="shared" ca="1" si="106"/>
        <v>3</v>
      </c>
      <c r="AE419" s="683">
        <f t="shared" ca="1" si="106"/>
        <v>6</v>
      </c>
      <c r="AF419" s="683">
        <f t="shared" ca="1" si="106"/>
        <v>2</v>
      </c>
      <c r="AG419" s="683">
        <f t="shared" ca="1" si="107"/>
        <v>5</v>
      </c>
      <c r="AH419" s="683">
        <f t="shared" ca="1" si="107"/>
        <v>7</v>
      </c>
      <c r="AI419" s="683">
        <f ca="1">IFERROR(NDIRECT(AI$408),0)</f>
        <v>0</v>
      </c>
      <c r="AJ419" s="683">
        <f ca="1">IFERROR(NDIRECT(AJ$408),0)</f>
        <v>0</v>
      </c>
      <c r="AK419" s="683">
        <f ca="1">IFERROR(INDIRECT(AK$408),0)</f>
        <v>0</v>
      </c>
      <c r="AL419" s="243"/>
      <c r="AM419" s="683">
        <f t="shared" ca="1" si="103"/>
        <v>57</v>
      </c>
      <c r="AN419" s="254"/>
      <c r="GS419" s="176"/>
      <c r="GT419" s="176"/>
      <c r="GU419" s="176"/>
      <c r="GV419" s="176"/>
      <c r="GW419" s="176"/>
    </row>
    <row r="420" spans="1:205" ht="12.75" customHeight="1" x14ac:dyDescent="0.2">
      <c r="A420" s="730"/>
      <c r="B420" s="1131"/>
      <c r="C420" s="1131"/>
      <c r="D420" s="538"/>
      <c r="E420" s="599"/>
      <c r="G420" s="174"/>
      <c r="H420" s="174"/>
      <c r="I420" s="174"/>
      <c r="J420" s="174"/>
      <c r="K420" s="174"/>
      <c r="P420" s="179"/>
      <c r="Q420" s="179"/>
      <c r="R420" s="179"/>
      <c r="S420" s="179"/>
      <c r="T420" s="179"/>
      <c r="U420" s="287"/>
      <c r="V420" s="287" t="str">
        <f>'Cement SLB Rev'!P42</f>
        <v>Batch Mixer Operator</v>
      </c>
      <c r="W420" s="245" t="s">
        <v>177</v>
      </c>
      <c r="X420" s="683">
        <f ca="1">INDIRECT($X$408)-4</f>
        <v>9</v>
      </c>
      <c r="Y420" s="683">
        <f ca="1">IF(INPUT!$D$18="YES",INDIRECT(Y$408),0)</f>
        <v>2</v>
      </c>
      <c r="Z420" s="683">
        <f t="shared" ca="1" si="105"/>
        <v>4</v>
      </c>
      <c r="AA420" s="683">
        <f t="shared" ca="1" si="105"/>
        <v>5</v>
      </c>
      <c r="AB420" s="683">
        <f t="shared" ca="1" si="106"/>
        <v>4</v>
      </c>
      <c r="AC420" s="683">
        <f t="shared" ca="1" si="106"/>
        <v>10</v>
      </c>
      <c r="AD420" s="683">
        <f t="shared" ca="1" si="106"/>
        <v>3</v>
      </c>
      <c r="AE420" s="683">
        <f t="shared" ca="1" si="106"/>
        <v>6</v>
      </c>
      <c r="AF420" s="683">
        <f t="shared" ca="1" si="106"/>
        <v>2</v>
      </c>
      <c r="AG420" s="683">
        <f t="shared" ca="1" si="107"/>
        <v>5</v>
      </c>
      <c r="AH420" s="683">
        <f t="shared" ca="1" si="107"/>
        <v>7</v>
      </c>
      <c r="AI420" s="683">
        <f ca="1">IFERROR(NDIRECT(AI$408),0)</f>
        <v>0</v>
      </c>
      <c r="AJ420" s="683">
        <f ca="1">IFERROR(NDIRECT(AJ$408),0)</f>
        <v>0</v>
      </c>
      <c r="AK420" s="683">
        <f ca="1">IFERROR(INDIRECT(AK$408),0)</f>
        <v>0</v>
      </c>
      <c r="AL420" s="243"/>
      <c r="AM420" s="683">
        <f ca="1">SUM(X420:AL420)</f>
        <v>57</v>
      </c>
      <c r="AN420" s="254"/>
      <c r="GS420" s="176"/>
      <c r="GT420" s="176"/>
      <c r="GU420" s="176"/>
      <c r="GV420" s="176"/>
      <c r="GW420" s="176"/>
    </row>
    <row r="421" spans="1:205" ht="13.5" customHeight="1" x14ac:dyDescent="0.2">
      <c r="A421" s="730"/>
      <c r="B421" s="1131"/>
      <c r="C421" s="1131"/>
      <c r="D421" s="538"/>
      <c r="E421" s="599"/>
      <c r="G421" s="174"/>
      <c r="H421" s="174"/>
      <c r="I421" s="174"/>
      <c r="J421" s="174"/>
      <c r="K421" s="174"/>
      <c r="P421" s="179"/>
      <c r="Q421" s="179"/>
      <c r="R421" s="179"/>
      <c r="S421" s="179"/>
      <c r="T421" s="179"/>
      <c r="U421" s="287"/>
      <c r="V421" s="287" t="str">
        <f>'Cement SLB Rev'!P44</f>
        <v>Toolman(call out)</v>
      </c>
      <c r="W421" s="245" t="s">
        <v>177</v>
      </c>
      <c r="X421" s="683"/>
      <c r="Y421" s="683"/>
      <c r="Z421" s="683"/>
      <c r="AA421" s="683"/>
      <c r="AB421" s="683"/>
      <c r="AC421" s="683"/>
      <c r="AD421" s="683"/>
      <c r="AE421" s="683"/>
      <c r="AF421" s="286">
        <f>IF($AH$408="",10,0)*IF(RH_BH="Big Hole",1,0)</f>
        <v>0</v>
      </c>
      <c r="AG421" s="683"/>
      <c r="AH421" s="286">
        <f>IF($AH$408="",0,10)</f>
        <v>10</v>
      </c>
      <c r="AI421" s="286"/>
      <c r="AJ421" s="286">
        <f>IF($AJ$408="",0,10)</f>
        <v>0</v>
      </c>
      <c r="AK421" s="286"/>
      <c r="AL421" s="243"/>
      <c r="AM421" s="683">
        <f>SUM(X421:AL421)</f>
        <v>10</v>
      </c>
      <c r="AN421" s="254"/>
      <c r="GS421" s="176"/>
      <c r="GT421" s="176"/>
      <c r="GU421" s="176"/>
      <c r="GV421" s="176"/>
      <c r="GW421" s="176"/>
    </row>
    <row r="422" spans="1:205" ht="13.5" customHeight="1" x14ac:dyDescent="0.2">
      <c r="A422" s="724"/>
      <c r="B422" s="1125"/>
      <c r="C422" s="1125"/>
      <c r="D422" s="528"/>
      <c r="G422" s="174"/>
      <c r="H422" s="174"/>
      <c r="I422" s="174"/>
      <c r="J422" s="174"/>
      <c r="K422" s="174"/>
      <c r="P422" s="179"/>
      <c r="Q422" s="179"/>
      <c r="R422" s="179"/>
      <c r="S422" s="179"/>
      <c r="T422" s="179"/>
      <c r="U422" s="254"/>
      <c r="V422" s="254"/>
      <c r="W422" s="254"/>
      <c r="X422" s="1454"/>
      <c r="Y422" s="254"/>
      <c r="Z422" s="254"/>
      <c r="AA422" s="254"/>
      <c r="AB422" s="254"/>
      <c r="AC422" s="306"/>
      <c r="AD422" s="306"/>
      <c r="AE422" s="306"/>
      <c r="AF422" s="306"/>
      <c r="AG422" s="306"/>
      <c r="AH422" s="306"/>
      <c r="AI422" s="306"/>
      <c r="AJ422" s="306"/>
      <c r="AK422" s="306"/>
      <c r="AL422" s="306"/>
      <c r="AM422" s="528"/>
      <c r="AN422" s="254"/>
      <c r="GS422" s="176"/>
      <c r="GT422" s="176"/>
      <c r="GU422" s="176"/>
      <c r="GV422" s="176"/>
      <c r="GW422" s="176"/>
    </row>
    <row r="423" spans="1:205" ht="13.5" customHeight="1" x14ac:dyDescent="0.2">
      <c r="A423" s="733"/>
      <c r="B423" s="1134"/>
      <c r="C423" s="1134"/>
      <c r="D423" s="535"/>
      <c r="E423" s="613"/>
      <c r="G423" s="174"/>
      <c r="H423" s="174"/>
      <c r="I423" s="174"/>
      <c r="J423" s="174"/>
      <c r="K423" s="174"/>
      <c r="P423" s="179"/>
      <c r="Q423" s="179"/>
      <c r="R423" s="179"/>
      <c r="S423" s="179"/>
      <c r="T423" s="179"/>
      <c r="U423" s="2513" t="s">
        <v>161</v>
      </c>
      <c r="V423" s="2514"/>
      <c r="W423" s="1440" t="s">
        <v>179</v>
      </c>
      <c r="X423" s="1426" t="str">
        <f t="shared" ref="X423:AK423" si="108">X$14</f>
        <v>RIGMOVE</v>
      </c>
      <c r="Y423" s="1426" t="str">
        <f t="shared" si="108"/>
        <v>DSURFACE</v>
      </c>
      <c r="Z423" s="1426" t="str">
        <f t="shared" si="108"/>
        <v>FSURFACE</v>
      </c>
      <c r="AA423" s="1426" t="str">
        <f t="shared" si="108"/>
        <v>DINTERMEDIATE</v>
      </c>
      <c r="AB423" s="1426" t="str">
        <f t="shared" si="108"/>
        <v>FINTERMEDIATE</v>
      </c>
      <c r="AC423" s="1426" t="str">
        <f t="shared" si="108"/>
        <v>DPRODUCTION</v>
      </c>
      <c r="AD423" s="1426" t="str">
        <f t="shared" si="108"/>
        <v>FPRODUCTION</v>
      </c>
      <c r="AE423" s="1426" t="str">
        <f t="shared" si="108"/>
        <v>DLINER1</v>
      </c>
      <c r="AF423" s="1426" t="str">
        <f t="shared" si="108"/>
        <v>FLINER1</v>
      </c>
      <c r="AG423" s="1426" t="str">
        <f t="shared" si="108"/>
        <v>DLINER2</v>
      </c>
      <c r="AH423" s="1426" t="str">
        <f t="shared" si="108"/>
        <v>FLINER2</v>
      </c>
      <c r="AI423" s="1426" t="str">
        <f t="shared" si="108"/>
        <v/>
      </c>
      <c r="AJ423" s="1426" t="str">
        <f t="shared" si="108"/>
        <v/>
      </c>
      <c r="AK423" s="1426" t="str">
        <f t="shared" si="108"/>
        <v/>
      </c>
      <c r="AL423" s="1426"/>
      <c r="AM423" s="1449" t="s">
        <v>46</v>
      </c>
      <c r="AN423" s="254"/>
      <c r="GS423" s="176"/>
      <c r="GT423" s="176"/>
      <c r="GU423" s="176"/>
      <c r="GV423" s="176"/>
      <c r="GW423" s="176"/>
    </row>
    <row r="424" spans="1:205" ht="12.75" customHeight="1" x14ac:dyDescent="0.2">
      <c r="A424" s="709"/>
      <c r="B424" s="1110"/>
      <c r="C424" s="1110"/>
      <c r="D424" s="257"/>
      <c r="E424" s="613"/>
      <c r="G424" s="186" t="e">
        <f>#REF!</f>
        <v>#REF!</v>
      </c>
      <c r="H424" s="186" t="e">
        <f>#REF!</f>
        <v>#REF!</v>
      </c>
      <c r="I424" s="186" t="e">
        <f>#REF!</f>
        <v>#REF!</v>
      </c>
      <c r="J424" s="186" t="e">
        <f>#REF!</f>
        <v>#REF!</v>
      </c>
      <c r="K424" s="186" t="e">
        <f>#REF!</f>
        <v>#REF!</v>
      </c>
      <c r="L424" s="186" t="e">
        <f>#REF!</f>
        <v>#REF!</v>
      </c>
      <c r="P424" s="179"/>
      <c r="Q424" s="179"/>
      <c r="R424" s="179"/>
      <c r="S424" s="175"/>
      <c r="T424" s="175"/>
      <c r="U424" s="287" t="str">
        <f>V409</f>
        <v>Cementing Primary Equipment</v>
      </c>
      <c r="V424" s="287"/>
      <c r="W424" s="327">
        <f>INDEX('Cement SLB Rev'!$R$25:$R$44,MATCH('Cost Details'!U424,'Cement SLB Rev'!$P$25:$P$44,0))</f>
        <v>937.14074999999991</v>
      </c>
      <c r="X424" s="246">
        <f t="shared" ref="X424:AK424" ca="1" si="109">($W424*FOREX)*X409</f>
        <v>621324.31724999996</v>
      </c>
      <c r="Y424" s="246">
        <f t="shared" ca="1" si="109"/>
        <v>95588.356499999994</v>
      </c>
      <c r="Z424" s="246">
        <f t="shared" ca="1" si="109"/>
        <v>191176.71299999999</v>
      </c>
      <c r="AA424" s="246">
        <f t="shared" ca="1" si="109"/>
        <v>238970.89124999999</v>
      </c>
      <c r="AB424" s="246">
        <f t="shared" ca="1" si="109"/>
        <v>191176.71299999999</v>
      </c>
      <c r="AC424" s="246">
        <f t="shared" ca="1" si="109"/>
        <v>477941.78249999997</v>
      </c>
      <c r="AD424" s="246">
        <f t="shared" ca="1" si="109"/>
        <v>143382.53474999999</v>
      </c>
      <c r="AE424" s="246">
        <f t="shared" ca="1" si="109"/>
        <v>286765.06949999998</v>
      </c>
      <c r="AF424" s="246">
        <f t="shared" ca="1" si="109"/>
        <v>95588.356499999994</v>
      </c>
      <c r="AG424" s="246">
        <f t="shared" ca="1" si="109"/>
        <v>238970.89124999999</v>
      </c>
      <c r="AH424" s="246">
        <f t="shared" ca="1" si="109"/>
        <v>334559.24774999998</v>
      </c>
      <c r="AI424" s="246">
        <f t="shared" ca="1" si="109"/>
        <v>0</v>
      </c>
      <c r="AJ424" s="246">
        <f t="shared" ca="1" si="109"/>
        <v>0</v>
      </c>
      <c r="AK424" s="246">
        <f t="shared" ca="1" si="109"/>
        <v>0</v>
      </c>
      <c r="AL424" s="246"/>
      <c r="AM424" s="246">
        <f t="shared" ref="AM424:AM434" ca="1" si="110">SUM(X424:AL424)</f>
        <v>2915444.8732499997</v>
      </c>
      <c r="AN424" s="172"/>
      <c r="GS424" s="176"/>
      <c r="GT424" s="176"/>
      <c r="GU424" s="176"/>
      <c r="GV424" s="176"/>
      <c r="GW424" s="176"/>
    </row>
    <row r="425" spans="1:205" ht="12.75" customHeight="1" x14ac:dyDescent="0.2">
      <c r="A425" s="709"/>
      <c r="B425" s="1110"/>
      <c r="C425" s="1110"/>
      <c r="D425" s="257"/>
      <c r="E425" s="613"/>
      <c r="G425" s="186" t="e">
        <f>#REF!</f>
        <v>#REF!</v>
      </c>
      <c r="H425" s="186" t="e">
        <f>#REF!</f>
        <v>#REF!</v>
      </c>
      <c r="I425" s="186" t="e">
        <f>#REF!</f>
        <v>#REF!</v>
      </c>
      <c r="J425" s="186" t="e">
        <f>#REF!</f>
        <v>#REF!</v>
      </c>
      <c r="K425" s="186" t="e">
        <f>#REF!</f>
        <v>#REF!</v>
      </c>
      <c r="L425" s="186" t="e">
        <f>#REF!</f>
        <v>#REF!</v>
      </c>
      <c r="P425" s="179"/>
      <c r="Q425" s="179"/>
      <c r="R425" s="179"/>
      <c r="S425" s="175"/>
      <c r="T425" s="175"/>
      <c r="U425" s="287" t="str">
        <f t="shared" ref="U425:U436" si="111">V410</f>
        <v>26" Circulating Swedge</v>
      </c>
      <c r="V425" s="287"/>
      <c r="W425" s="327">
        <f>INDEX('Cement SLB Rev'!$R$25:$R$44,MATCH('Cost Details'!U425,'Cement SLB Rev'!$P$25:$P$44,0))</f>
        <v>26.861250000000002</v>
      </c>
      <c r="X425" s="246">
        <f t="shared" ref="X425:AK425" si="112">($W425*FOREX)*X410</f>
        <v>0</v>
      </c>
      <c r="Y425" s="246">
        <f t="shared" si="112"/>
        <v>6849.6187500000005</v>
      </c>
      <c r="Z425" s="246">
        <f t="shared" si="112"/>
        <v>0</v>
      </c>
      <c r="AA425" s="246">
        <f t="shared" si="112"/>
        <v>0</v>
      </c>
      <c r="AB425" s="246">
        <f t="shared" si="112"/>
        <v>0</v>
      </c>
      <c r="AC425" s="246">
        <f t="shared" si="112"/>
        <v>0</v>
      </c>
      <c r="AD425" s="246">
        <f t="shared" si="112"/>
        <v>0</v>
      </c>
      <c r="AE425" s="246">
        <f t="shared" si="112"/>
        <v>0</v>
      </c>
      <c r="AF425" s="246">
        <f t="shared" si="112"/>
        <v>0</v>
      </c>
      <c r="AG425" s="246">
        <f t="shared" si="112"/>
        <v>0</v>
      </c>
      <c r="AH425" s="246">
        <f t="shared" si="112"/>
        <v>0</v>
      </c>
      <c r="AI425" s="246">
        <f t="shared" si="112"/>
        <v>0</v>
      </c>
      <c r="AJ425" s="246">
        <f t="shared" si="112"/>
        <v>0</v>
      </c>
      <c r="AK425" s="246">
        <f t="shared" si="112"/>
        <v>0</v>
      </c>
      <c r="AL425" s="246"/>
      <c r="AM425" s="246">
        <f t="shared" si="110"/>
        <v>6849.6187500000005</v>
      </c>
      <c r="AN425" s="254"/>
      <c r="AP425" s="186"/>
      <c r="AQ425" s="186"/>
      <c r="AR425" s="186"/>
      <c r="AS425" s="186"/>
      <c r="AT425" s="186"/>
      <c r="AU425" s="186"/>
      <c r="GS425" s="176"/>
      <c r="GT425" s="176"/>
      <c r="GU425" s="176"/>
      <c r="GV425" s="176"/>
      <c r="GW425" s="176"/>
    </row>
    <row r="426" spans="1:205" ht="12.75" customHeight="1" x14ac:dyDescent="0.2">
      <c r="A426" s="709"/>
      <c r="B426" s="1110"/>
      <c r="C426" s="1110"/>
      <c r="D426" s="257"/>
      <c r="E426" s="613"/>
      <c r="G426" s="186" t="e">
        <f>#REF!</f>
        <v>#REF!</v>
      </c>
      <c r="H426" s="186" t="e">
        <f>#REF!</f>
        <v>#REF!</v>
      </c>
      <c r="I426" s="186" t="e">
        <f>#REF!</f>
        <v>#REF!</v>
      </c>
      <c r="J426" s="186" t="e">
        <f>#REF!</f>
        <v>#REF!</v>
      </c>
      <c r="K426" s="186" t="e">
        <f>#REF!</f>
        <v>#REF!</v>
      </c>
      <c r="L426" s="186" t="e">
        <f>#REF!</f>
        <v>#REF!</v>
      </c>
      <c r="P426" s="179"/>
      <c r="Q426" s="179"/>
      <c r="R426" s="179"/>
      <c r="S426" s="175"/>
      <c r="T426" s="175"/>
      <c r="U426" s="287" t="str">
        <f t="shared" si="111"/>
        <v>18 5/8" Circulating Swedge</v>
      </c>
      <c r="V426" s="287"/>
      <c r="W426" s="327">
        <f>INDEX('Cement SLB Rev'!$R$25:$R$44,MATCH('Cost Details'!U426,'Cement SLB Rev'!$P$25:$P$44,0))</f>
        <v>20.81625</v>
      </c>
      <c r="X426" s="246">
        <f t="shared" ref="X426:AK426" si="113">($W426*FOREX)*X411</f>
        <v>0</v>
      </c>
      <c r="Y426" s="246">
        <f t="shared" si="113"/>
        <v>5308.1437500000002</v>
      </c>
      <c r="Z426" s="246">
        <f t="shared" si="113"/>
        <v>0</v>
      </c>
      <c r="AA426" s="246">
        <f t="shared" si="113"/>
        <v>0</v>
      </c>
      <c r="AB426" s="246">
        <f t="shared" si="113"/>
        <v>0</v>
      </c>
      <c r="AC426" s="246">
        <f t="shared" si="113"/>
        <v>0</v>
      </c>
      <c r="AD426" s="246">
        <f t="shared" si="113"/>
        <v>0</v>
      </c>
      <c r="AE426" s="246">
        <f t="shared" si="113"/>
        <v>0</v>
      </c>
      <c r="AF426" s="246">
        <f t="shared" si="113"/>
        <v>0</v>
      </c>
      <c r="AG426" s="246">
        <f t="shared" si="113"/>
        <v>0</v>
      </c>
      <c r="AH426" s="246">
        <f t="shared" si="113"/>
        <v>0</v>
      </c>
      <c r="AI426" s="246">
        <f t="shared" si="113"/>
        <v>0</v>
      </c>
      <c r="AJ426" s="246">
        <f t="shared" si="113"/>
        <v>0</v>
      </c>
      <c r="AK426" s="246">
        <f t="shared" si="113"/>
        <v>0</v>
      </c>
      <c r="AL426" s="246"/>
      <c r="AM426" s="246">
        <f t="shared" ref="AM426" si="114">SUM(X426:AL426)</f>
        <v>5308.1437500000002</v>
      </c>
      <c r="AN426" s="254"/>
      <c r="AP426" s="186"/>
      <c r="AQ426" s="186"/>
      <c r="AR426" s="186"/>
      <c r="AS426" s="186"/>
      <c r="AT426" s="186"/>
      <c r="AU426" s="186"/>
      <c r="GS426" s="176"/>
      <c r="GT426" s="176"/>
      <c r="GU426" s="176"/>
      <c r="GV426" s="176"/>
      <c r="GW426" s="176"/>
    </row>
    <row r="427" spans="1:205" ht="12.75" customHeight="1" x14ac:dyDescent="0.2">
      <c r="A427" s="709"/>
      <c r="B427" s="1110"/>
      <c r="C427" s="1110"/>
      <c r="D427" s="257"/>
      <c r="E427" s="613"/>
      <c r="G427" s="186" t="e">
        <f>#REF!</f>
        <v>#REF!</v>
      </c>
      <c r="H427" s="186" t="e">
        <f>#REF!</f>
        <v>#REF!</v>
      </c>
      <c r="I427" s="186" t="e">
        <f>#REF!</f>
        <v>#REF!</v>
      </c>
      <c r="J427" s="186" t="e">
        <f>#REF!</f>
        <v>#REF!</v>
      </c>
      <c r="K427" s="186" t="e">
        <f>#REF!</f>
        <v>#REF!</v>
      </c>
      <c r="L427" s="186" t="e">
        <f>#REF!</f>
        <v>#REF!</v>
      </c>
      <c r="P427" s="179"/>
      <c r="Q427" s="179"/>
      <c r="R427" s="179"/>
      <c r="S427" s="175"/>
      <c r="T427" s="175"/>
      <c r="U427" s="287" t="str">
        <f t="shared" si="111"/>
        <v>20 - 18 5/8" CMT Head</v>
      </c>
      <c r="V427" s="287"/>
      <c r="W427" s="327">
        <f>INDEX('Cement SLB Rev'!$R$25:$R$44,MATCH('Cost Details'!U427,'Cement SLB Rev'!$P$25:$P$44,0))</f>
        <v>74.304749999999999</v>
      </c>
      <c r="X427" s="246">
        <f t="shared" ref="X427:AK427" si="115">($W427*FOREX)*X412</f>
        <v>0</v>
      </c>
      <c r="Y427" s="246">
        <f t="shared" si="115"/>
        <v>18947.71125</v>
      </c>
      <c r="Z427" s="246">
        <f t="shared" si="115"/>
        <v>0</v>
      </c>
      <c r="AA427" s="246">
        <f t="shared" si="115"/>
        <v>0</v>
      </c>
      <c r="AB427" s="246">
        <f t="shared" si="115"/>
        <v>0</v>
      </c>
      <c r="AC427" s="246">
        <f t="shared" si="115"/>
        <v>0</v>
      </c>
      <c r="AD427" s="246">
        <f t="shared" si="115"/>
        <v>0</v>
      </c>
      <c r="AE427" s="246">
        <f t="shared" si="115"/>
        <v>0</v>
      </c>
      <c r="AF427" s="246">
        <f t="shared" si="115"/>
        <v>0</v>
      </c>
      <c r="AG427" s="246">
        <f t="shared" si="115"/>
        <v>0</v>
      </c>
      <c r="AH427" s="246">
        <f t="shared" si="115"/>
        <v>0</v>
      </c>
      <c r="AI427" s="246">
        <f t="shared" si="115"/>
        <v>0</v>
      </c>
      <c r="AJ427" s="246">
        <f t="shared" si="115"/>
        <v>0</v>
      </c>
      <c r="AK427" s="246">
        <f t="shared" si="115"/>
        <v>0</v>
      </c>
      <c r="AL427" s="246"/>
      <c r="AM427" s="246">
        <f t="shared" si="110"/>
        <v>18947.71125</v>
      </c>
      <c r="AN427" s="257"/>
      <c r="AP427" s="186"/>
      <c r="AQ427" s="186"/>
      <c r="AR427" s="186"/>
      <c r="AS427" s="186"/>
      <c r="AT427" s="186"/>
      <c r="AU427" s="186"/>
      <c r="GS427" s="176"/>
      <c r="GT427" s="176"/>
      <c r="GU427" s="176"/>
      <c r="GV427" s="176"/>
      <c r="GW427" s="176"/>
    </row>
    <row r="428" spans="1:205" ht="12.75" customHeight="1" x14ac:dyDescent="0.2">
      <c r="A428" s="709"/>
      <c r="B428" s="1110"/>
      <c r="C428" s="1110"/>
      <c r="D428" s="257"/>
      <c r="E428" s="613"/>
      <c r="G428" s="186" t="e">
        <f>#REF!</f>
        <v>#REF!</v>
      </c>
      <c r="H428" s="186" t="e">
        <f>#REF!</f>
        <v>#REF!</v>
      </c>
      <c r="I428" s="186" t="e">
        <f>#REF!</f>
        <v>#REF!</v>
      </c>
      <c r="J428" s="186" t="e">
        <f>#REF!</f>
        <v>#REF!</v>
      </c>
      <c r="K428" s="186" t="e">
        <f>#REF!</f>
        <v>#REF!</v>
      </c>
      <c r="L428" s="186" t="e">
        <f>#REF!</f>
        <v>#REF!</v>
      </c>
      <c r="P428" s="179"/>
      <c r="Q428" s="179"/>
      <c r="R428" s="179"/>
      <c r="S428" s="175"/>
      <c r="T428" s="175"/>
      <c r="U428" s="287" t="str">
        <f t="shared" si="111"/>
        <v>13 3/8" MST</v>
      </c>
      <c r="V428" s="287"/>
      <c r="W428" s="327">
        <f>INDEX('Cement SLB Rev'!$R$25:$R$44,MATCH('Cost Details'!U428,'Cement SLB Rev'!$P$25:$P$44,0))</f>
        <v>273</v>
      </c>
      <c r="X428" s="246">
        <f t="shared" ref="X428:AK428" si="116">($W428*FOREX)*X413</f>
        <v>0</v>
      </c>
      <c r="Y428" s="246">
        <f t="shared" si="116"/>
        <v>0</v>
      </c>
      <c r="Z428" s="246">
        <f t="shared" si="116"/>
        <v>0</v>
      </c>
      <c r="AA428" s="246">
        <f t="shared" si="116"/>
        <v>0</v>
      </c>
      <c r="AB428" s="246">
        <f t="shared" si="116"/>
        <v>0</v>
      </c>
      <c r="AC428" s="246">
        <f t="shared" si="116"/>
        <v>0</v>
      </c>
      <c r="AD428" s="246">
        <f t="shared" si="116"/>
        <v>0</v>
      </c>
      <c r="AE428" s="246">
        <f t="shared" si="116"/>
        <v>0</v>
      </c>
      <c r="AF428" s="246">
        <f t="shared" si="116"/>
        <v>0</v>
      </c>
      <c r="AG428" s="246">
        <f t="shared" si="116"/>
        <v>0</v>
      </c>
      <c r="AH428" s="246">
        <f>($W428*FOREX)*AH413</f>
        <v>139230</v>
      </c>
      <c r="AI428" s="246">
        <f t="shared" si="116"/>
        <v>0</v>
      </c>
      <c r="AJ428" s="246">
        <f t="shared" si="116"/>
        <v>0</v>
      </c>
      <c r="AK428" s="246">
        <f t="shared" si="116"/>
        <v>0</v>
      </c>
      <c r="AL428" s="246"/>
      <c r="AM428" s="246">
        <f t="shared" si="110"/>
        <v>139230</v>
      </c>
      <c r="AN428" s="257"/>
      <c r="AP428" s="186"/>
      <c r="AQ428" s="186"/>
      <c r="AR428" s="186"/>
      <c r="AS428" s="186"/>
      <c r="AT428" s="186"/>
      <c r="AU428" s="186"/>
      <c r="GS428" s="176"/>
      <c r="GT428" s="176"/>
      <c r="GU428" s="176"/>
      <c r="GV428" s="176"/>
      <c r="GW428" s="176"/>
    </row>
    <row r="429" spans="1:205" ht="12.75" customHeight="1" x14ac:dyDescent="0.2">
      <c r="A429" s="709"/>
      <c r="B429" s="1110"/>
      <c r="C429" s="1110"/>
      <c r="D429" s="257"/>
      <c r="E429" s="613"/>
      <c r="G429" s="186" t="e">
        <f>#REF!</f>
        <v>#REF!</v>
      </c>
      <c r="H429" s="186" t="e">
        <f>#REF!</f>
        <v>#REF!</v>
      </c>
      <c r="I429" s="186" t="e">
        <f>#REF!</f>
        <v>#REF!</v>
      </c>
      <c r="J429" s="186" t="e">
        <f>#REF!</f>
        <v>#REF!</v>
      </c>
      <c r="K429" s="186" t="e">
        <f>#REF!</f>
        <v>#REF!</v>
      </c>
      <c r="L429" s="186" t="e">
        <f>#REF!</f>
        <v>#REF!</v>
      </c>
      <c r="P429" s="179"/>
      <c r="Q429" s="179"/>
      <c r="R429" s="179"/>
      <c r="S429" s="175"/>
      <c r="T429" s="175"/>
      <c r="U429" s="287" t="str">
        <f t="shared" si="111"/>
        <v>9 5/8" MST</v>
      </c>
      <c r="V429" s="287"/>
      <c r="W429" s="327">
        <f>INDEX('Cement SLB Rev'!$R$25:$R$44,MATCH('Cost Details'!U429,'Cement SLB Rev'!$P$25:$P$44,0))</f>
        <v>273</v>
      </c>
      <c r="X429" s="246">
        <f t="shared" ref="X429:AK429" si="117">($W429*FOREX)*X414</f>
        <v>0</v>
      </c>
      <c r="Y429" s="246">
        <f t="shared" si="117"/>
        <v>0</v>
      </c>
      <c r="Z429" s="246">
        <f t="shared" si="117"/>
        <v>0</v>
      </c>
      <c r="AA429" s="246">
        <f t="shared" si="117"/>
        <v>0</v>
      </c>
      <c r="AB429" s="246">
        <f t="shared" si="117"/>
        <v>0</v>
      </c>
      <c r="AC429" s="246">
        <f t="shared" si="117"/>
        <v>0</v>
      </c>
      <c r="AD429" s="246">
        <f t="shared" si="117"/>
        <v>0</v>
      </c>
      <c r="AE429" s="246">
        <f t="shared" si="117"/>
        <v>0</v>
      </c>
      <c r="AF429" s="246">
        <f t="shared" si="117"/>
        <v>0</v>
      </c>
      <c r="AG429" s="246">
        <f t="shared" si="117"/>
        <v>0</v>
      </c>
      <c r="AH429" s="246">
        <f t="shared" si="117"/>
        <v>0</v>
      </c>
      <c r="AI429" s="246">
        <f t="shared" si="117"/>
        <v>0</v>
      </c>
      <c r="AJ429" s="246">
        <f t="shared" si="117"/>
        <v>0</v>
      </c>
      <c r="AK429" s="246">
        <f t="shared" si="117"/>
        <v>0</v>
      </c>
      <c r="AL429" s="246"/>
      <c r="AM429" s="246">
        <f t="shared" si="110"/>
        <v>0</v>
      </c>
      <c r="AN429" s="257"/>
      <c r="AP429" s="186"/>
      <c r="AQ429" s="186"/>
      <c r="AR429" s="186"/>
      <c r="AS429" s="186"/>
      <c r="AT429" s="186"/>
      <c r="AU429" s="186"/>
      <c r="GS429" s="176"/>
      <c r="GT429" s="176"/>
      <c r="GU429" s="176"/>
      <c r="GV429" s="176"/>
      <c r="GW429" s="176"/>
    </row>
    <row r="430" spans="1:205" ht="12.75" customHeight="1" x14ac:dyDescent="0.2">
      <c r="A430" s="709"/>
      <c r="B430" s="1110"/>
      <c r="C430" s="1110"/>
      <c r="D430" s="257"/>
      <c r="E430" s="614"/>
      <c r="G430" s="186"/>
      <c r="H430" s="186"/>
      <c r="I430" s="186"/>
      <c r="J430" s="186"/>
      <c r="K430" s="186"/>
      <c r="L430" s="186"/>
      <c r="P430" s="179"/>
      <c r="Q430" s="179"/>
      <c r="R430" s="179"/>
      <c r="S430" s="175"/>
      <c r="T430" s="175"/>
      <c r="U430" s="287" t="str">
        <f t="shared" si="111"/>
        <v>Cement Plug</v>
      </c>
      <c r="V430" s="1451"/>
      <c r="W430" s="327">
        <f>INDEX('Cement SLB Rev'!$R$25:$R$44,MATCH('Cost Details'!U430,'Cement SLB Rev'!$P$25:$P$44,0))</f>
        <v>308.34375</v>
      </c>
      <c r="X430" s="246">
        <f t="shared" ref="X430:AK430" si="118">($W430*FOREX)*X415</f>
        <v>0</v>
      </c>
      <c r="Y430" s="246">
        <f t="shared" si="118"/>
        <v>15725.53125</v>
      </c>
      <c r="Z430" s="246">
        <f t="shared" si="118"/>
        <v>0</v>
      </c>
      <c r="AA430" s="246">
        <f t="shared" si="118"/>
        <v>15725.53125</v>
      </c>
      <c r="AB430" s="246">
        <f t="shared" si="118"/>
        <v>0</v>
      </c>
      <c r="AC430" s="246">
        <f t="shared" si="118"/>
        <v>15725.53125</v>
      </c>
      <c r="AD430" s="246">
        <f t="shared" si="118"/>
        <v>0</v>
      </c>
      <c r="AE430" s="246">
        <f t="shared" si="118"/>
        <v>0</v>
      </c>
      <c r="AF430" s="246">
        <f t="shared" si="118"/>
        <v>0</v>
      </c>
      <c r="AG430" s="246">
        <f t="shared" si="118"/>
        <v>0</v>
      </c>
      <c r="AH430" s="246">
        <f t="shared" si="118"/>
        <v>15725.53125</v>
      </c>
      <c r="AI430" s="246">
        <f t="shared" si="118"/>
        <v>0</v>
      </c>
      <c r="AJ430" s="246">
        <f t="shared" si="118"/>
        <v>0</v>
      </c>
      <c r="AK430" s="246">
        <f t="shared" si="118"/>
        <v>0</v>
      </c>
      <c r="AL430" s="246"/>
      <c r="AM430" s="246">
        <f t="shared" si="110"/>
        <v>62902.125</v>
      </c>
      <c r="AN430" s="257"/>
      <c r="AP430" s="186"/>
      <c r="AQ430" s="186"/>
      <c r="AR430" s="186"/>
      <c r="AS430" s="186"/>
      <c r="AT430" s="186"/>
      <c r="AU430" s="186"/>
      <c r="GS430" s="176"/>
      <c r="GT430" s="176"/>
      <c r="GU430" s="176"/>
      <c r="GV430" s="176"/>
      <c r="GW430" s="176"/>
    </row>
    <row r="431" spans="1:205" ht="12.75" customHeight="1" x14ac:dyDescent="0.2">
      <c r="A431" s="709"/>
      <c r="B431" s="1110"/>
      <c r="C431" s="1110"/>
      <c r="D431" s="257"/>
      <c r="E431" s="614"/>
      <c r="G431" s="186"/>
      <c r="H431" s="186"/>
      <c r="I431" s="186"/>
      <c r="J431" s="186"/>
      <c r="K431" s="186"/>
      <c r="L431" s="186"/>
      <c r="P431" s="179"/>
      <c r="Q431" s="179"/>
      <c r="R431" s="179"/>
      <c r="S431" s="175"/>
      <c r="T431" s="175"/>
      <c r="U431" s="287" t="str">
        <f t="shared" si="111"/>
        <v>Top Job</v>
      </c>
      <c r="V431" s="1451"/>
      <c r="W431" s="327">
        <f>INDEX('Cement SLB Rev'!$R$25:$R$44,MATCH('Cost Details'!U431,'Cement SLB Rev'!$P$25:$P$44,0))</f>
        <v>75.075000000000003</v>
      </c>
      <c r="X431" s="246">
        <f t="shared" ref="X431:AK431" si="119">($W431*FOREX)*X416</f>
        <v>0</v>
      </c>
      <c r="Y431" s="246">
        <f t="shared" si="119"/>
        <v>0</v>
      </c>
      <c r="Z431" s="246">
        <f t="shared" si="119"/>
        <v>3828.8250000000003</v>
      </c>
      <c r="AA431" s="246">
        <f t="shared" si="119"/>
        <v>0</v>
      </c>
      <c r="AB431" s="246">
        <f t="shared" si="119"/>
        <v>3828.8250000000003</v>
      </c>
      <c r="AC431" s="246">
        <f t="shared" si="119"/>
        <v>0</v>
      </c>
      <c r="AD431" s="246">
        <f t="shared" si="119"/>
        <v>3828.8250000000003</v>
      </c>
      <c r="AE431" s="246">
        <f t="shared" si="119"/>
        <v>0</v>
      </c>
      <c r="AF431" s="246">
        <f t="shared" si="119"/>
        <v>0</v>
      </c>
      <c r="AG431" s="246">
        <f t="shared" si="119"/>
        <v>0</v>
      </c>
      <c r="AH431" s="246">
        <f t="shared" si="119"/>
        <v>0</v>
      </c>
      <c r="AI431" s="246">
        <f t="shared" si="119"/>
        <v>0</v>
      </c>
      <c r="AJ431" s="246">
        <f t="shared" si="119"/>
        <v>0</v>
      </c>
      <c r="AK431" s="246">
        <f t="shared" si="119"/>
        <v>0</v>
      </c>
      <c r="AL431" s="246"/>
      <c r="AM431" s="246">
        <f t="shared" si="110"/>
        <v>11486.475</v>
      </c>
      <c r="AN431" s="257"/>
      <c r="AP431" s="186"/>
      <c r="AQ431" s="186"/>
      <c r="AR431" s="186"/>
      <c r="AS431" s="186"/>
      <c r="AT431" s="186"/>
      <c r="AU431" s="186"/>
      <c r="GS431" s="176"/>
      <c r="GT431" s="176"/>
      <c r="GU431" s="176"/>
      <c r="GV431" s="176"/>
      <c r="GW431" s="176"/>
    </row>
    <row r="432" spans="1:205" ht="13.5" customHeight="1" x14ac:dyDescent="0.2">
      <c r="A432" s="709"/>
      <c r="B432" s="1110"/>
      <c r="C432" s="1110"/>
      <c r="D432" s="257"/>
      <c r="E432" s="599"/>
      <c r="G432" s="186" t="e">
        <f>#REF!</f>
        <v>#REF!</v>
      </c>
      <c r="H432" s="186" t="e">
        <f>#REF!</f>
        <v>#REF!</v>
      </c>
      <c r="I432" s="186" t="e">
        <f>#REF!</f>
        <v>#REF!</v>
      </c>
      <c r="J432" s="186" t="e">
        <f>#REF!</f>
        <v>#REF!</v>
      </c>
      <c r="K432" s="186" t="e">
        <f>#REF!</f>
        <v>#REF!</v>
      </c>
      <c r="L432" s="186" t="e">
        <f>#REF!</f>
        <v>#REF!</v>
      </c>
      <c r="P432" s="179"/>
      <c r="Q432" s="179"/>
      <c r="R432" s="179"/>
      <c r="S432" s="175"/>
      <c r="T432" s="175"/>
      <c r="U432" s="287" t="str">
        <f t="shared" si="111"/>
        <v>Cementing Casing</v>
      </c>
      <c r="V432" s="326"/>
      <c r="W432" s="327">
        <f>INDEX('Cement SLB Rev'!$R$25:$R$44,MATCH('Cost Details'!U432,'Cement SLB Rev'!$P$25:$P$44,0))</f>
        <v>308.34375</v>
      </c>
      <c r="X432" s="246">
        <f t="shared" ref="X432:AK432" si="120">($W432*FOREX)*X417</f>
        <v>0</v>
      </c>
      <c r="Y432" s="246">
        <f t="shared" si="120"/>
        <v>0</v>
      </c>
      <c r="Z432" s="246">
        <f t="shared" si="120"/>
        <v>15725.53125</v>
      </c>
      <c r="AA432" s="246">
        <f t="shared" si="120"/>
        <v>0</v>
      </c>
      <c r="AB432" s="246">
        <f t="shared" si="120"/>
        <v>15725.53125</v>
      </c>
      <c r="AC432" s="246">
        <f t="shared" si="120"/>
        <v>0</v>
      </c>
      <c r="AD432" s="246">
        <f t="shared" si="120"/>
        <v>15725.53125</v>
      </c>
      <c r="AE432" s="246">
        <f t="shared" si="120"/>
        <v>0</v>
      </c>
      <c r="AF432" s="246">
        <f t="shared" si="120"/>
        <v>0</v>
      </c>
      <c r="AG432" s="246">
        <f t="shared" si="120"/>
        <v>0</v>
      </c>
      <c r="AH432" s="246">
        <f t="shared" si="120"/>
        <v>15725.53125</v>
      </c>
      <c r="AI432" s="246">
        <f t="shared" si="120"/>
        <v>0</v>
      </c>
      <c r="AJ432" s="246">
        <f t="shared" si="120"/>
        <v>0</v>
      </c>
      <c r="AK432" s="246">
        <f t="shared" si="120"/>
        <v>0</v>
      </c>
      <c r="AL432" s="246"/>
      <c r="AM432" s="246">
        <f t="shared" si="110"/>
        <v>62902.125</v>
      </c>
      <c r="AN432" s="257"/>
      <c r="AP432" s="186"/>
      <c r="AQ432" s="186"/>
      <c r="AR432" s="186"/>
      <c r="AS432" s="186"/>
      <c r="AT432" s="186"/>
      <c r="AU432" s="186"/>
      <c r="GS432" s="176"/>
      <c r="GT432" s="176"/>
      <c r="GU432" s="176"/>
      <c r="GV432" s="176"/>
      <c r="GW432" s="176"/>
    </row>
    <row r="433" spans="1:205" ht="13.5" customHeight="1" x14ac:dyDescent="0.2">
      <c r="A433" s="709"/>
      <c r="B433" s="1110"/>
      <c r="C433" s="1110"/>
      <c r="D433" s="257"/>
      <c r="E433" s="599"/>
      <c r="G433" s="186"/>
      <c r="H433" s="186"/>
      <c r="I433" s="186"/>
      <c r="J433" s="186"/>
      <c r="K433" s="186"/>
      <c r="L433" s="186"/>
      <c r="P433" s="179"/>
      <c r="Q433" s="179"/>
      <c r="R433" s="179"/>
      <c r="S433" s="175"/>
      <c r="T433" s="175"/>
      <c r="U433" s="287" t="str">
        <f t="shared" si="111"/>
        <v>Cementing Engineer/Supervisor</v>
      </c>
      <c r="V433" s="326"/>
      <c r="W433" s="327">
        <f>INDEX('Cement SLB Rev'!$R$25:$R$44,MATCH('Cost Details'!U433,'Cement SLB Rev'!$P$25:$P$44,0))</f>
        <v>538.19999999999993</v>
      </c>
      <c r="X433" s="246">
        <f t="shared" ref="X433:AK433" ca="1" si="121">($W433*FOREX)*X418</f>
        <v>219585.59999999998</v>
      </c>
      <c r="Y433" s="246">
        <f t="shared" ca="1" si="121"/>
        <v>54896.399999999994</v>
      </c>
      <c r="Z433" s="246">
        <f t="shared" ca="1" si="121"/>
        <v>109792.79999999999</v>
      </c>
      <c r="AA433" s="246">
        <f t="shared" ca="1" si="121"/>
        <v>137241</v>
      </c>
      <c r="AB433" s="246">
        <f t="shared" ca="1" si="121"/>
        <v>109792.79999999999</v>
      </c>
      <c r="AC433" s="246">
        <f t="shared" ca="1" si="121"/>
        <v>274482</v>
      </c>
      <c r="AD433" s="246">
        <f t="shared" ca="1" si="121"/>
        <v>82344.599999999991</v>
      </c>
      <c r="AE433" s="246">
        <f t="shared" ca="1" si="121"/>
        <v>164689.19999999998</v>
      </c>
      <c r="AF433" s="246">
        <f t="shared" ca="1" si="121"/>
        <v>54896.399999999994</v>
      </c>
      <c r="AG433" s="246">
        <f t="shared" ca="1" si="121"/>
        <v>137241</v>
      </c>
      <c r="AH433" s="246">
        <f t="shared" ca="1" si="121"/>
        <v>192137.39999999997</v>
      </c>
      <c r="AI433" s="246">
        <f t="shared" ca="1" si="121"/>
        <v>0</v>
      </c>
      <c r="AJ433" s="246">
        <f t="shared" ca="1" si="121"/>
        <v>0</v>
      </c>
      <c r="AK433" s="246">
        <f t="shared" ca="1" si="121"/>
        <v>0</v>
      </c>
      <c r="AL433" s="246"/>
      <c r="AM433" s="246">
        <f t="shared" ca="1" si="110"/>
        <v>1537099.1999999997</v>
      </c>
      <c r="AN433" s="257"/>
      <c r="AP433" s="186"/>
      <c r="AQ433" s="186"/>
      <c r="AR433" s="186"/>
      <c r="AS433" s="186"/>
      <c r="AT433" s="186"/>
      <c r="AU433" s="186"/>
      <c r="GS433" s="176"/>
      <c r="GT433" s="176"/>
      <c r="GU433" s="176"/>
      <c r="GV433" s="176"/>
      <c r="GW433" s="176"/>
    </row>
    <row r="434" spans="1:205" ht="12.75" customHeight="1" x14ac:dyDescent="0.2">
      <c r="A434" s="709"/>
      <c r="B434" s="1110"/>
      <c r="C434" s="1110"/>
      <c r="D434" s="257"/>
      <c r="E434" s="614"/>
      <c r="G434" s="186"/>
      <c r="H434" s="186"/>
      <c r="I434" s="186"/>
      <c r="J434" s="186"/>
      <c r="K434" s="186"/>
      <c r="L434" s="186"/>
      <c r="P434" s="179"/>
      <c r="Q434" s="179"/>
      <c r="R434" s="179"/>
      <c r="S434" s="175"/>
      <c r="T434" s="175"/>
      <c r="U434" s="287" t="str">
        <f t="shared" si="111"/>
        <v>Equipment Operator/Helper</v>
      </c>
      <c r="V434" s="1509"/>
      <c r="W434" s="327">
        <f>INDEX('Cement SLB Rev'!$R$25:$R$44,MATCH('Cost Details'!U434,'Cement SLB Rev'!$P$25:$P$44,0))</f>
        <v>201.82499999999999</v>
      </c>
      <c r="X434" s="246">
        <f t="shared" ref="X434:AK434" ca="1" si="122">($W434*FOREX)*X419</f>
        <v>92637.674999999988</v>
      </c>
      <c r="Y434" s="246">
        <f t="shared" ca="1" si="122"/>
        <v>20586.149999999998</v>
      </c>
      <c r="Z434" s="246">
        <f t="shared" ca="1" si="122"/>
        <v>41172.299999999996</v>
      </c>
      <c r="AA434" s="246">
        <f t="shared" ca="1" si="122"/>
        <v>51465.374999999993</v>
      </c>
      <c r="AB434" s="246">
        <f t="shared" ca="1" si="122"/>
        <v>41172.299999999996</v>
      </c>
      <c r="AC434" s="246">
        <f t="shared" ca="1" si="122"/>
        <v>102930.74999999999</v>
      </c>
      <c r="AD434" s="246">
        <f t="shared" ca="1" si="122"/>
        <v>30879.224999999999</v>
      </c>
      <c r="AE434" s="246">
        <f t="shared" ca="1" si="122"/>
        <v>61758.45</v>
      </c>
      <c r="AF434" s="246">
        <f t="shared" ca="1" si="122"/>
        <v>20586.149999999998</v>
      </c>
      <c r="AG434" s="246">
        <f t="shared" ca="1" si="122"/>
        <v>51465.374999999993</v>
      </c>
      <c r="AH434" s="246">
        <f t="shared" ca="1" si="122"/>
        <v>72051.524999999994</v>
      </c>
      <c r="AI434" s="246">
        <f t="shared" ca="1" si="122"/>
        <v>0</v>
      </c>
      <c r="AJ434" s="246">
        <f t="shared" ca="1" si="122"/>
        <v>0</v>
      </c>
      <c r="AK434" s="246">
        <f t="shared" ca="1" si="122"/>
        <v>0</v>
      </c>
      <c r="AL434" s="246"/>
      <c r="AM434" s="246">
        <f t="shared" ca="1" si="110"/>
        <v>586705.27499999991</v>
      </c>
      <c r="AN434" s="257"/>
      <c r="AP434" s="186"/>
      <c r="AQ434" s="186"/>
      <c r="AR434" s="186"/>
      <c r="AS434" s="186"/>
      <c r="AT434" s="186"/>
      <c r="AU434" s="186"/>
      <c r="GS434" s="176"/>
      <c r="GT434" s="176"/>
      <c r="GU434" s="176"/>
      <c r="GV434" s="176"/>
      <c r="GW434" s="176"/>
    </row>
    <row r="435" spans="1:205" ht="12.75" customHeight="1" x14ac:dyDescent="0.2">
      <c r="A435" s="709"/>
      <c r="B435" s="1110"/>
      <c r="C435" s="1110"/>
      <c r="D435" s="257"/>
      <c r="E435" s="599"/>
      <c r="G435" s="186"/>
      <c r="H435" s="186"/>
      <c r="I435" s="186"/>
      <c r="J435" s="186"/>
      <c r="K435" s="186"/>
      <c r="L435" s="186"/>
      <c r="P435" s="179"/>
      <c r="Q435" s="179"/>
      <c r="R435" s="179"/>
      <c r="S435" s="175"/>
      <c r="T435" s="175"/>
      <c r="U435" s="287" t="str">
        <f t="shared" si="111"/>
        <v>Batch Mixer Operator</v>
      </c>
      <c r="V435" s="1509"/>
      <c r="W435" s="327">
        <f>INDEX('Cement SLB Rev'!$R$25:$R$44,MATCH('Cost Details'!U435,'Cement SLB Rev'!$P$25:$P$44,0))</f>
        <v>201.82499999999999</v>
      </c>
      <c r="X435" s="246">
        <f t="shared" ref="X435:AK435" ca="1" si="123">($W435*FOREX)*X420</f>
        <v>92637.674999999988</v>
      </c>
      <c r="Y435" s="246">
        <f t="shared" ca="1" si="123"/>
        <v>20586.149999999998</v>
      </c>
      <c r="Z435" s="246">
        <f t="shared" ca="1" si="123"/>
        <v>41172.299999999996</v>
      </c>
      <c r="AA435" s="246">
        <f t="shared" ca="1" si="123"/>
        <v>51465.374999999993</v>
      </c>
      <c r="AB435" s="246">
        <f t="shared" ca="1" si="123"/>
        <v>41172.299999999996</v>
      </c>
      <c r="AC435" s="246">
        <f t="shared" ca="1" si="123"/>
        <v>102930.74999999999</v>
      </c>
      <c r="AD435" s="246">
        <f t="shared" ca="1" si="123"/>
        <v>30879.224999999999</v>
      </c>
      <c r="AE435" s="246">
        <f t="shared" ca="1" si="123"/>
        <v>61758.45</v>
      </c>
      <c r="AF435" s="246">
        <f t="shared" ca="1" si="123"/>
        <v>20586.149999999998</v>
      </c>
      <c r="AG435" s="246">
        <f t="shared" ca="1" si="123"/>
        <v>51465.374999999993</v>
      </c>
      <c r="AH435" s="246">
        <f t="shared" ca="1" si="123"/>
        <v>72051.524999999994</v>
      </c>
      <c r="AI435" s="246">
        <f t="shared" ca="1" si="123"/>
        <v>0</v>
      </c>
      <c r="AJ435" s="246">
        <f t="shared" ca="1" si="123"/>
        <v>0</v>
      </c>
      <c r="AK435" s="246">
        <f t="shared" ca="1" si="123"/>
        <v>0</v>
      </c>
      <c r="AL435" s="246"/>
      <c r="AM435" s="246">
        <f ca="1">SUM(X435:AL435)</f>
        <v>586705.27499999991</v>
      </c>
      <c r="AN435" s="257"/>
      <c r="AP435" s="186"/>
      <c r="AQ435" s="186"/>
      <c r="AR435" s="186"/>
      <c r="AS435" s="186"/>
      <c r="AT435" s="186"/>
      <c r="AU435" s="186"/>
      <c r="GS435" s="176"/>
      <c r="GT435" s="176"/>
      <c r="GU435" s="176"/>
      <c r="GV435" s="176"/>
      <c r="GW435" s="176"/>
    </row>
    <row r="436" spans="1:205" ht="13.5" customHeight="1" x14ac:dyDescent="0.2">
      <c r="A436" s="709"/>
      <c r="B436" s="1110"/>
      <c r="C436" s="1110"/>
      <c r="D436" s="257"/>
      <c r="E436" s="599"/>
      <c r="G436" s="186"/>
      <c r="H436" s="186"/>
      <c r="I436" s="186"/>
      <c r="J436" s="186"/>
      <c r="K436" s="186"/>
      <c r="L436" s="186"/>
      <c r="P436" s="179"/>
      <c r="Q436" s="179"/>
      <c r="R436" s="179"/>
      <c r="S436" s="175"/>
      <c r="T436" s="175"/>
      <c r="U436" s="287" t="str">
        <f t="shared" si="111"/>
        <v>Toolman(call out)</v>
      </c>
      <c r="V436" s="287"/>
      <c r="W436" s="327">
        <f>INDEX('Cement SLB Rev'!$R$25:$R$44,MATCH('Cost Details'!U436,'Cement SLB Rev'!$P$25:$P$44,0))</f>
        <v>840.9375</v>
      </c>
      <c r="X436" s="246">
        <f t="shared" ref="X436:AK436" si="124">($W436*FOREX)*X421</f>
        <v>0</v>
      </c>
      <c r="Y436" s="246">
        <f t="shared" si="124"/>
        <v>0</v>
      </c>
      <c r="Z436" s="246">
        <f t="shared" si="124"/>
        <v>0</v>
      </c>
      <c r="AA436" s="246">
        <f t="shared" si="124"/>
        <v>0</v>
      </c>
      <c r="AB436" s="246">
        <f t="shared" si="124"/>
        <v>0</v>
      </c>
      <c r="AC436" s="246">
        <f t="shared" si="124"/>
        <v>0</v>
      </c>
      <c r="AD436" s="246">
        <f t="shared" si="124"/>
        <v>0</v>
      </c>
      <c r="AE436" s="246">
        <f t="shared" si="124"/>
        <v>0</v>
      </c>
      <c r="AF436" s="246">
        <f t="shared" si="124"/>
        <v>0</v>
      </c>
      <c r="AG436" s="246">
        <f t="shared" si="124"/>
        <v>0</v>
      </c>
      <c r="AH436" s="246">
        <f>($W436*FOREX)*AH421</f>
        <v>428878.125</v>
      </c>
      <c r="AI436" s="246">
        <f t="shared" si="124"/>
        <v>0</v>
      </c>
      <c r="AJ436" s="246">
        <f t="shared" si="124"/>
        <v>0</v>
      </c>
      <c r="AK436" s="246">
        <f t="shared" si="124"/>
        <v>0</v>
      </c>
      <c r="AL436" s="246"/>
      <c r="AM436" s="246">
        <f>SUM(X436:AL436)</f>
        <v>428878.125</v>
      </c>
      <c r="AN436" s="257"/>
      <c r="AP436" s="186"/>
      <c r="AQ436" s="186"/>
      <c r="AR436" s="186"/>
      <c r="AS436" s="186"/>
      <c r="AT436" s="186"/>
      <c r="AU436" s="186"/>
      <c r="GS436" s="176"/>
      <c r="GT436" s="176"/>
      <c r="GU436" s="176"/>
      <c r="GV436" s="176"/>
      <c r="GW436" s="176"/>
    </row>
    <row r="437" spans="1:205" ht="13.5" customHeight="1" x14ac:dyDescent="0.2">
      <c r="A437" s="712"/>
      <c r="B437" s="1113"/>
      <c r="C437" s="1113"/>
      <c r="D437" s="533"/>
      <c r="E437" s="613"/>
      <c r="G437" s="174"/>
      <c r="H437" s="174"/>
      <c r="I437" s="174"/>
      <c r="J437" s="174"/>
      <c r="K437" s="174"/>
      <c r="P437" s="179"/>
      <c r="Q437" s="179"/>
      <c r="R437" s="179"/>
      <c r="S437" s="175"/>
      <c r="T437" s="175"/>
      <c r="U437" s="254"/>
      <c r="V437" s="254"/>
      <c r="W437" s="257"/>
      <c r="X437" s="286">
        <f t="shared" ref="X437:AK437" ca="1" si="125">SUM(X424:X436)</f>
        <v>1026185.26725</v>
      </c>
      <c r="Y437" s="286">
        <f t="shared" ca="1" si="125"/>
        <v>238488.06149999998</v>
      </c>
      <c r="Z437" s="286">
        <f t="shared" ca="1" si="125"/>
        <v>402868.46924999997</v>
      </c>
      <c r="AA437" s="286">
        <f t="shared" ca="1" si="125"/>
        <v>494868.17249999999</v>
      </c>
      <c r="AB437" s="286">
        <f t="shared" ca="1" si="125"/>
        <v>402868.46924999997</v>
      </c>
      <c r="AC437" s="286">
        <f t="shared" ca="1" si="125"/>
        <v>974010.81374999997</v>
      </c>
      <c r="AD437" s="286">
        <f t="shared" ca="1" si="125"/>
        <v>307039.94099999993</v>
      </c>
      <c r="AE437" s="286">
        <f t="shared" ca="1" si="125"/>
        <v>574971.16949999996</v>
      </c>
      <c r="AF437" s="286">
        <f t="shared" ca="1" si="125"/>
        <v>191657.05649999998</v>
      </c>
      <c r="AG437" s="286">
        <f t="shared" ca="1" si="125"/>
        <v>479142.64124999999</v>
      </c>
      <c r="AH437" s="286">
        <f t="shared" ca="1" si="125"/>
        <v>1270358.8852500001</v>
      </c>
      <c r="AI437" s="286">
        <f t="shared" ca="1" si="125"/>
        <v>0</v>
      </c>
      <c r="AJ437" s="286">
        <f t="shared" ca="1" si="125"/>
        <v>0</v>
      </c>
      <c r="AK437" s="286">
        <f t="shared" ca="1" si="125"/>
        <v>0</v>
      </c>
      <c r="AL437" s="286"/>
      <c r="AM437" s="1439">
        <f ca="1">SUM(X437:AL437)</f>
        <v>6362458.9470000006</v>
      </c>
      <c r="AN437" s="257"/>
      <c r="AP437" s="186"/>
      <c r="AQ437" s="186"/>
      <c r="AR437" s="186"/>
      <c r="AS437" s="186"/>
      <c r="AT437" s="186"/>
      <c r="AU437" s="186"/>
      <c r="GS437" s="176"/>
      <c r="GT437" s="176"/>
      <c r="GU437" s="176"/>
      <c r="GV437" s="176"/>
      <c r="GW437" s="176"/>
    </row>
    <row r="438" spans="1:205" ht="12.75" customHeight="1" x14ac:dyDescent="0.2">
      <c r="A438" s="712"/>
      <c r="B438" s="1113"/>
      <c r="C438" s="1113"/>
      <c r="D438" s="522"/>
      <c r="G438" s="174"/>
      <c r="H438" s="174"/>
      <c r="I438" s="174"/>
      <c r="J438" s="174"/>
      <c r="K438" s="174"/>
      <c r="P438" s="179"/>
      <c r="Q438" s="179"/>
      <c r="R438" s="179"/>
      <c r="S438" s="175"/>
      <c r="T438" s="175"/>
      <c r="W438" s="202"/>
      <c r="X438" s="541"/>
      <c r="Y438" s="257"/>
      <c r="Z438" s="257"/>
      <c r="AA438" s="257"/>
      <c r="AB438" s="257"/>
      <c r="AC438" s="542"/>
      <c r="AD438" s="542"/>
      <c r="AE438" s="542"/>
      <c r="AF438" s="542"/>
      <c r="AG438" s="542"/>
      <c r="AH438" s="542"/>
      <c r="AI438" s="542"/>
      <c r="AJ438" s="542"/>
      <c r="AK438" s="542"/>
      <c r="AL438" s="542"/>
      <c r="AM438" s="522"/>
      <c r="AN438" s="254"/>
      <c r="GS438" s="176"/>
      <c r="GT438" s="176"/>
      <c r="GU438" s="176"/>
      <c r="GV438" s="176"/>
      <c r="GW438" s="176"/>
    </row>
    <row r="439" spans="1:205" ht="12.75" customHeight="1" x14ac:dyDescent="0.2">
      <c r="A439" s="732"/>
      <c r="B439" s="1133"/>
      <c r="C439" s="1133"/>
      <c r="D439" s="220"/>
      <c r="G439" s="174"/>
      <c r="H439" s="174"/>
      <c r="I439" s="174"/>
      <c r="J439" s="174"/>
      <c r="K439" s="174"/>
      <c r="P439" s="179"/>
      <c r="Q439" s="179"/>
      <c r="R439" s="179"/>
      <c r="S439" s="179"/>
      <c r="T439" s="179"/>
      <c r="Y439" s="202"/>
      <c r="Z439" s="202"/>
      <c r="AA439" s="202"/>
      <c r="AB439" s="202"/>
      <c r="AC439" s="235"/>
      <c r="AD439" s="235"/>
      <c r="AE439" s="235"/>
      <c r="AF439" s="235"/>
      <c r="AG439" s="235"/>
      <c r="AH439" s="235"/>
      <c r="AI439" s="235"/>
      <c r="AJ439" s="235"/>
      <c r="AK439" s="235"/>
      <c r="AL439" s="235"/>
      <c r="AM439" s="220"/>
      <c r="AN439" s="224"/>
      <c r="GS439" s="176"/>
      <c r="GT439" s="176"/>
      <c r="GU439" s="176"/>
      <c r="GV439" s="176"/>
      <c r="GW439" s="176"/>
    </row>
    <row r="440" spans="1:205" ht="13.5" customHeight="1" x14ac:dyDescent="0.2">
      <c r="A440" s="702"/>
      <c r="B440" s="1103"/>
      <c r="C440" s="1103"/>
      <c r="D440" s="254"/>
      <c r="E440" s="596" t="str">
        <f>INPUT!H11</f>
        <v>NO</v>
      </c>
      <c r="G440" s="174"/>
      <c r="H440" s="174"/>
      <c r="I440" s="174"/>
      <c r="J440" s="174"/>
      <c r="K440" s="174"/>
      <c r="P440" s="179"/>
      <c r="Q440" s="179"/>
      <c r="R440" s="179"/>
      <c r="S440" s="179"/>
      <c r="T440" s="179"/>
      <c r="U440" s="254"/>
      <c r="V440" s="665" t="s">
        <v>180</v>
      </c>
      <c r="W440" s="254"/>
      <c r="X440" s="254"/>
      <c r="Y440" s="254"/>
      <c r="Z440" s="254"/>
      <c r="AA440" s="254"/>
      <c r="AB440" s="254"/>
      <c r="AC440" s="254"/>
      <c r="AD440" s="254"/>
      <c r="AE440" s="254"/>
      <c r="AF440" s="254"/>
      <c r="AG440" s="254"/>
      <c r="AH440" s="254"/>
      <c r="AI440" s="254"/>
      <c r="AJ440" s="254"/>
      <c r="AK440" s="254"/>
      <c r="AL440" s="254"/>
      <c r="AM440" s="254"/>
      <c r="AN440" s="172"/>
      <c r="GS440" s="176"/>
      <c r="GT440" s="176"/>
      <c r="GU440" s="176"/>
      <c r="GV440" s="176"/>
      <c r="GW440" s="176"/>
    </row>
    <row r="441" spans="1:205" ht="13.5" customHeight="1" x14ac:dyDescent="0.2">
      <c r="A441" s="728"/>
      <c r="B441" s="1129"/>
      <c r="C441" s="1129"/>
      <c r="D441" s="531"/>
      <c r="E441" s="613"/>
      <c r="G441" s="174"/>
      <c r="H441" s="174"/>
      <c r="I441" s="174"/>
      <c r="J441" s="174"/>
      <c r="K441" s="174"/>
      <c r="P441" s="179"/>
      <c r="Q441" s="179"/>
      <c r="R441" s="179"/>
      <c r="S441" s="179"/>
      <c r="T441" s="179"/>
      <c r="U441" s="2523" t="s">
        <v>181</v>
      </c>
      <c r="V441" s="2524"/>
      <c r="W441" s="1426" t="s">
        <v>138</v>
      </c>
      <c r="X441" s="1426" t="str">
        <f t="shared" ref="X441:AK441" si="126">X$14</f>
        <v>RIGMOVE</v>
      </c>
      <c r="Y441" s="1426" t="str">
        <f t="shared" si="126"/>
        <v>DSURFACE</v>
      </c>
      <c r="Z441" s="1426" t="str">
        <f t="shared" si="126"/>
        <v>FSURFACE</v>
      </c>
      <c r="AA441" s="1426" t="str">
        <f t="shared" si="126"/>
        <v>DINTERMEDIATE</v>
      </c>
      <c r="AB441" s="1426" t="str">
        <f t="shared" si="126"/>
        <v>FINTERMEDIATE</v>
      </c>
      <c r="AC441" s="1426" t="str">
        <f t="shared" si="126"/>
        <v>DPRODUCTION</v>
      </c>
      <c r="AD441" s="1426" t="str">
        <f t="shared" si="126"/>
        <v>FPRODUCTION</v>
      </c>
      <c r="AE441" s="1426" t="str">
        <f t="shared" si="126"/>
        <v>DLINER1</v>
      </c>
      <c r="AF441" s="1426" t="str">
        <f t="shared" si="126"/>
        <v>FLINER1</v>
      </c>
      <c r="AG441" s="1426" t="str">
        <f t="shared" si="126"/>
        <v>DLINER2</v>
      </c>
      <c r="AH441" s="1426" t="str">
        <f t="shared" si="126"/>
        <v>FLINER2</v>
      </c>
      <c r="AI441" s="1426" t="str">
        <f t="shared" si="126"/>
        <v/>
      </c>
      <c r="AJ441" s="1426" t="str">
        <f t="shared" si="126"/>
        <v/>
      </c>
      <c r="AK441" s="1426" t="str">
        <f t="shared" si="126"/>
        <v/>
      </c>
      <c r="AL441" s="1426"/>
      <c r="AM441" s="1437" t="s">
        <v>101</v>
      </c>
      <c r="AN441" s="172"/>
      <c r="GS441" s="176"/>
      <c r="GT441" s="176"/>
      <c r="GU441" s="176"/>
      <c r="GV441" s="176"/>
      <c r="GW441" s="176"/>
    </row>
    <row r="442" spans="1:205" ht="12.75" customHeight="1" x14ac:dyDescent="0.2">
      <c r="A442" s="735"/>
      <c r="B442" s="1136"/>
      <c r="C442" s="1136"/>
      <c r="D442" s="539"/>
      <c r="E442" s="613" t="s">
        <v>663</v>
      </c>
      <c r="G442" s="174"/>
      <c r="H442" s="174"/>
      <c r="I442" s="174"/>
      <c r="J442" s="174"/>
      <c r="K442" s="174"/>
      <c r="P442" s="179"/>
      <c r="Q442" s="179"/>
      <c r="R442" s="179"/>
      <c r="S442" s="179"/>
      <c r="T442" s="179"/>
      <c r="U442" s="328" t="s">
        <v>2146</v>
      </c>
      <c r="V442" s="1728" t="str">
        <f>IF(INPUT!$D$7="Big Hole",JARSSHOCKTOOLDDT!J82,JARSSHOCKTOOLDDT!G82)</f>
        <v>Directional Engineer</v>
      </c>
      <c r="W442" s="255">
        <f>IF(INPUT!$D$7="Big Hole",JARSSHOCKTOOLDDT!K82,JARSSHOCKTOOLDDT!H82)</f>
        <v>2</v>
      </c>
      <c r="X442" s="633">
        <f>IF(RIGMOVE=0,0,2)</f>
        <v>2</v>
      </c>
      <c r="Y442" s="1833">
        <f ca="1">INDIRECT($Y$441)</f>
        <v>2</v>
      </c>
      <c r="Z442" s="1833">
        <f ca="1">INDIRECT($Z$441)</f>
        <v>4</v>
      </c>
      <c r="AA442" s="1833">
        <f ca="1">INDIRECT($AA$441)</f>
        <v>5</v>
      </c>
      <c r="AB442" s="1833">
        <f ca="1">INDIRECT($AB$441)</f>
        <v>4</v>
      </c>
      <c r="AC442" s="1833">
        <f ca="1">INDIRECT($AC$441)</f>
        <v>10</v>
      </c>
      <c r="AD442" s="1833">
        <f ca="1">INDIRECT($AD$441)</f>
        <v>3</v>
      </c>
      <c r="AE442" s="1833">
        <f ca="1">INDIRECT($AE$441)</f>
        <v>6</v>
      </c>
      <c r="AF442" s="1833">
        <f ca="1">INDIRECT($AF$441)</f>
        <v>2</v>
      </c>
      <c r="AG442" s="1833">
        <f ca="1">IF(INPUT!$D$8="YES",INDIRECT($AG$441)," ")</f>
        <v>5</v>
      </c>
      <c r="AH442" s="1834">
        <f>IF($AI$441="",2,7)*IF(DOUBLE_LINER="No",0,1)</f>
        <v>2</v>
      </c>
      <c r="AI442" s="1834">
        <f ca="1">IF($AI$441="",0,INDIRECT($AI$441))</f>
        <v>0</v>
      </c>
      <c r="AJ442" s="1834">
        <f ca="1">IF($AI$441="",0,INDIRECT($AI$441))</f>
        <v>0</v>
      </c>
      <c r="AK442" s="1834">
        <f>IF($AK$441="",0,2)</f>
        <v>0</v>
      </c>
      <c r="AL442" s="633"/>
      <c r="AM442" s="640">
        <f t="shared" ref="AM442:AM474" ca="1" si="127">SUM(X442:AL442)</f>
        <v>45</v>
      </c>
      <c r="AN442" s="1456"/>
      <c r="AR442" s="596"/>
      <c r="GS442" s="176"/>
      <c r="GT442" s="176"/>
      <c r="GU442" s="176"/>
      <c r="GV442" s="176"/>
      <c r="GW442" s="176"/>
    </row>
    <row r="443" spans="1:205" ht="12.75" customHeight="1" x14ac:dyDescent="0.2">
      <c r="A443" s="735"/>
      <c r="B443" s="1136"/>
      <c r="C443" s="1136"/>
      <c r="D443" s="539" t="s">
        <v>671</v>
      </c>
      <c r="E443" s="613" t="s">
        <v>645</v>
      </c>
      <c r="G443" s="174"/>
      <c r="H443" s="174"/>
      <c r="I443" s="174"/>
      <c r="J443" s="174"/>
      <c r="K443" s="174"/>
      <c r="P443" s="179"/>
      <c r="Q443" s="179"/>
      <c r="R443" s="179"/>
      <c r="S443" s="179"/>
      <c r="T443" s="179"/>
      <c r="U443" s="328" t="s">
        <v>2146</v>
      </c>
      <c r="V443" s="1728" t="str">
        <f>IF(INPUT!$D$7="Big Hole",JARSSHOCKTOOLDDT!J83,JARSSHOCKTOOLDDT!G83)</f>
        <v>MWD Engineer</v>
      </c>
      <c r="W443" s="255">
        <f>IF(INPUT!$D$7="Big Hole",JARSSHOCKTOOLDDT!K83,JARSSHOCKTOOLDDT!H83)</f>
        <v>2</v>
      </c>
      <c r="X443" s="633">
        <f>IF(RIGMOVE=0,0,2)</f>
        <v>2</v>
      </c>
      <c r="Y443" s="1833">
        <f ca="1">INDIRECT($Y$441)</f>
        <v>2</v>
      </c>
      <c r="Z443" s="1833">
        <f ca="1">INDIRECT($Z$441)</f>
        <v>4</v>
      </c>
      <c r="AA443" s="1833">
        <f ca="1">INDIRECT($AA$441)</f>
        <v>5</v>
      </c>
      <c r="AB443" s="1833">
        <f ca="1">INDIRECT($AB$441)</f>
        <v>4</v>
      </c>
      <c r="AC443" s="1833">
        <f ca="1">INDIRECT($AC$441)</f>
        <v>10</v>
      </c>
      <c r="AD443" s="1833">
        <f ca="1">INDIRECT($AD$441)</f>
        <v>3</v>
      </c>
      <c r="AE443" s="1833">
        <f ca="1">INDIRECT($AE$441)</f>
        <v>6</v>
      </c>
      <c r="AF443" s="1833">
        <f ca="1">INDIRECT($AF$441)</f>
        <v>2</v>
      </c>
      <c r="AG443" s="1833">
        <f ca="1">IF(INPUT!$D$8="YES",INDIRECT($AG$441)," ")</f>
        <v>5</v>
      </c>
      <c r="AH443" s="1834">
        <f>IF($AI$441="",2,7)*IF(DOUBLE_LINER="No",0,1)</f>
        <v>2</v>
      </c>
      <c r="AI443" s="1834">
        <f ca="1">IF($AI$441="",0,INDIRECT($AI$441))</f>
        <v>0</v>
      </c>
      <c r="AJ443" s="1834">
        <f ca="1">IF($AI$441="",0,INDIRECT($AI$441))</f>
        <v>0</v>
      </c>
      <c r="AK443" s="1834">
        <f>IF($AK$441="",0,2)</f>
        <v>0</v>
      </c>
      <c r="AL443" s="633"/>
      <c r="AM443" s="640">
        <f t="shared" ca="1" si="127"/>
        <v>45</v>
      </c>
      <c r="AN443" s="254"/>
      <c r="AR443" s="596"/>
      <c r="GS443" s="176"/>
      <c r="GT443" s="176"/>
      <c r="GU443" s="176"/>
      <c r="GV443" s="176"/>
      <c r="GW443" s="176"/>
    </row>
    <row r="444" spans="1:205" ht="12.75" customHeight="1" x14ac:dyDescent="0.2">
      <c r="A444" s="735"/>
      <c r="B444" s="1136"/>
      <c r="C444" s="1136"/>
      <c r="D444" s="539"/>
      <c r="E444" s="613" t="s">
        <v>645</v>
      </c>
      <c r="G444" s="174"/>
      <c r="H444" s="174"/>
      <c r="I444" s="174"/>
      <c r="J444" s="174"/>
      <c r="K444" s="174"/>
      <c r="P444" s="179"/>
      <c r="Q444" s="179"/>
      <c r="R444" s="179"/>
      <c r="S444" s="179"/>
      <c r="T444" s="179"/>
      <c r="U444" s="328" t="s">
        <v>2147</v>
      </c>
      <c r="V444" s="1728" t="str">
        <f>IF(INPUT!$D$7="Big Hole",JARSSHOCKTOOLDDT!J84,JARSSHOCKTOOLDDT!G84)</f>
        <v>9-5/8" Mud Motor, rental</v>
      </c>
      <c r="W444" s="255">
        <f>IF(INPUT!$D$7="Big Hole",JARSSHOCKTOOLDDT!K84,JARSSHOCKTOOLDDT!H84)</f>
        <v>4</v>
      </c>
      <c r="X444" s="1361">
        <f>IF(RIGMOVE=0,0,INDEX(INPUT!$AI$12:$AI$15,MATCH(INPUT!$H$8,INPUT!$AH$12:$AH$15,0)))</f>
        <v>7</v>
      </c>
      <c r="Y444" s="633">
        <f ca="1">INDIRECT($Y$441)</f>
        <v>2</v>
      </c>
      <c r="Z444" s="633">
        <f ca="1">INDIRECT($Z$441)</f>
        <v>4</v>
      </c>
      <c r="AA444" s="633">
        <f ca="1">INDIRECT($AA$441)</f>
        <v>5</v>
      </c>
      <c r="AB444" s="633">
        <f ca="1">IF(RH_BH="Big Hole",INDIRECT($AB$441),0)</f>
        <v>4</v>
      </c>
      <c r="AC444" s="633">
        <f ca="1">IF(RH_BH="Big Hole",INDIRECT($AC$441),0)</f>
        <v>10</v>
      </c>
      <c r="AD444" s="633"/>
      <c r="AE444" s="1361">
        <f>INDEX(INPUT!$AI$12:$AI$15,MATCH(INPUT!$H$8,INPUT!$AH$12:$AH$15,0))</f>
        <v>7</v>
      </c>
      <c r="AF444" s="634"/>
      <c r="AG444" s="634"/>
      <c r="AH444" s="634"/>
      <c r="AI444" s="634"/>
      <c r="AJ444" s="634"/>
      <c r="AK444" s="634"/>
      <c r="AL444" s="633"/>
      <c r="AM444" s="640">
        <f t="shared" ca="1" si="127"/>
        <v>39</v>
      </c>
      <c r="AN444" s="254"/>
      <c r="AR444" s="596"/>
      <c r="GS444" s="176"/>
      <c r="GT444" s="176"/>
      <c r="GU444" s="176"/>
      <c r="GV444" s="176"/>
      <c r="GW444" s="176"/>
    </row>
    <row r="445" spans="1:205" ht="12.75" customHeight="1" x14ac:dyDescent="0.2">
      <c r="A445" s="735"/>
      <c r="B445" s="1136"/>
      <c r="C445" s="1136"/>
      <c r="D445" s="539"/>
      <c r="E445" s="613" t="s">
        <v>645</v>
      </c>
      <c r="G445" s="174"/>
      <c r="H445" s="174"/>
      <c r="I445" s="174"/>
      <c r="J445" s="174"/>
      <c r="K445" s="174"/>
      <c r="P445" s="179"/>
      <c r="Q445" s="179"/>
      <c r="R445" s="179"/>
      <c r="S445" s="179"/>
      <c r="T445" s="179"/>
      <c r="U445" s="328" t="s">
        <v>2148</v>
      </c>
      <c r="V445" s="1728" t="str">
        <f>IF(INPUT!$D$7="Big Hole",JARSSHOCKTOOLDDT!J85,JARSSHOCKTOOLDDT!G85)</f>
        <v>9-5/8" Mud Motor, run charge</v>
      </c>
      <c r="W445" s="255">
        <f>IF(INPUT!$D$7="Big Hole",JARSSHOCKTOOLDDT!K85,JARSSHOCKTOOLDDT!H85)</f>
        <v>1</v>
      </c>
      <c r="X445" s="633"/>
      <c r="Y445" s="1360">
        <f ca="1">INDIRECT($Y$441)*24</f>
        <v>48</v>
      </c>
      <c r="Z445" s="633"/>
      <c r="AA445" s="1360">
        <f ca="1">INDIRECT($AA$441)*24</f>
        <v>120</v>
      </c>
      <c r="AB445" s="633"/>
      <c r="AC445" s="1360">
        <f ca="1">IF(RH_BH="Big Hole",INDIRECT($AA$441)*24,0)</f>
        <v>120</v>
      </c>
      <c r="AD445" s="633"/>
      <c r="AE445" s="633"/>
      <c r="AF445" s="634"/>
      <c r="AG445" s="634"/>
      <c r="AH445" s="634"/>
      <c r="AI445" s="634"/>
      <c r="AJ445" s="634"/>
      <c r="AK445" s="634"/>
      <c r="AL445" s="633"/>
      <c r="AM445" s="640">
        <f t="shared" ca="1" si="127"/>
        <v>288</v>
      </c>
      <c r="AN445" s="254"/>
      <c r="AO445" s="1362" t="s">
        <v>1093</v>
      </c>
      <c r="AR445" s="596"/>
      <c r="GS445" s="176"/>
      <c r="GT445" s="176"/>
      <c r="GU445" s="176"/>
      <c r="GV445" s="176"/>
      <c r="GW445" s="176"/>
    </row>
    <row r="446" spans="1:205" ht="12.75" customHeight="1" x14ac:dyDescent="0.2">
      <c r="A446" s="735"/>
      <c r="B446" s="1136"/>
      <c r="C446" s="1136"/>
      <c r="D446" s="539"/>
      <c r="E446" s="613" t="s">
        <v>661</v>
      </c>
      <c r="G446" s="174"/>
      <c r="H446" s="174"/>
      <c r="I446" s="174"/>
      <c r="J446" s="174"/>
      <c r="K446" s="174"/>
      <c r="P446" s="179"/>
      <c r="Q446" s="179"/>
      <c r="R446" s="179"/>
      <c r="S446" s="179"/>
      <c r="T446" s="179"/>
      <c r="U446" s="328" t="s">
        <v>2149</v>
      </c>
      <c r="V446" s="1728" t="str">
        <f>IF(INPUT!$D$7="Big Hole",JARSSHOCKTOOLDDT!J86,JARSSHOCKTOOLDDT!G86)</f>
        <v>8" Mud Motor, rental</v>
      </c>
      <c r="W446" s="255">
        <f>IF(INPUT!$D$7="Big Hole",JARSSHOCKTOOLDDT!K86,JARSSHOCKTOOLDDT!H86)</f>
        <v>2</v>
      </c>
      <c r="X446" s="633"/>
      <c r="Y446" s="633"/>
      <c r="Z446" s="633"/>
      <c r="AA446" s="633"/>
      <c r="AB446" s="1361">
        <f>INDEX(INPUT!$AI$12:$AI$15,MATCH(INPUT!$H$8,INPUT!$AH$12:$AH$15,0))*IF(RH_BH="Big Hole",0,1)</f>
        <v>0</v>
      </c>
      <c r="AC446" s="633">
        <f ca="1">IF(RH_BH="Big Hole",0,INDIRECT($AC$441))</f>
        <v>0</v>
      </c>
      <c r="AD446" s="1361">
        <f ca="1">IF(RH_BH="Big Hole",INDEX(INPUT!$AI$12:$AI$15,MATCH(INPUT!$H$8,INPUT!$AH$12:$AH$15,0)),INDIRECT($AD$441))</f>
        <v>7</v>
      </c>
      <c r="AE446" s="633">
        <f ca="1">IF(RH_BH="Big Hole",INDIRECT($AE$441),0)</f>
        <v>6</v>
      </c>
      <c r="AF446" s="633" t="str">
        <f>IF(INPUT!$D$8="NO",1,"")</f>
        <v/>
      </c>
      <c r="AG446" s="1457"/>
      <c r="AH446" s="633"/>
      <c r="AI446" s="1457"/>
      <c r="AJ446" s="633"/>
      <c r="AK446" s="633"/>
      <c r="AL446" s="633"/>
      <c r="AM446" s="640">
        <f t="shared" ca="1" si="127"/>
        <v>13</v>
      </c>
      <c r="AN446" s="254"/>
      <c r="AO446" s="1363" t="s">
        <v>1091</v>
      </c>
      <c r="AR446" s="596"/>
      <c r="GS446" s="176"/>
      <c r="GT446" s="176"/>
      <c r="GU446" s="176"/>
      <c r="GV446" s="176"/>
      <c r="GW446" s="176"/>
    </row>
    <row r="447" spans="1:205" ht="12.75" customHeight="1" x14ac:dyDescent="0.2">
      <c r="A447" s="735"/>
      <c r="B447" s="1136"/>
      <c r="C447" s="1136"/>
      <c r="D447" s="539"/>
      <c r="E447" s="613" t="s">
        <v>661</v>
      </c>
      <c r="G447" s="174"/>
      <c r="H447" s="174"/>
      <c r="I447" s="174"/>
      <c r="J447" s="174"/>
      <c r="K447" s="174"/>
      <c r="P447" s="179"/>
      <c r="Q447" s="179"/>
      <c r="R447" s="179"/>
      <c r="S447" s="179"/>
      <c r="T447" s="179"/>
      <c r="U447" s="328" t="s">
        <v>2148</v>
      </c>
      <c r="V447" s="1728" t="str">
        <f>IF(INPUT!$D$7="Big Hole",JARSSHOCKTOOLDDT!J87,JARSSHOCKTOOLDDT!G87)</f>
        <v>8" Mud Motor, run charge</v>
      </c>
      <c r="W447" s="255">
        <f>IF(INPUT!$D$7="Big Hole",JARSSHOCKTOOLDDT!K87,JARSSHOCKTOOLDDT!H87)</f>
        <v>1</v>
      </c>
      <c r="X447" s="633"/>
      <c r="Y447" s="633"/>
      <c r="Z447" s="633"/>
      <c r="AA447" s="633"/>
      <c r="AB447" s="633"/>
      <c r="AC447" s="1360">
        <f ca="1">IF(RH_BH="Big Hole",0,INDIRECT($AC$441)*24)</f>
        <v>0</v>
      </c>
      <c r="AD447" s="633"/>
      <c r="AE447" s="1360">
        <f ca="1">IF(RH_BH="Big Hole",INDIRECT($AE$441)*24,0)</f>
        <v>144</v>
      </c>
      <c r="AF447" s="634"/>
      <c r="AG447" s="1457"/>
      <c r="AH447" s="1457"/>
      <c r="AI447" s="1457"/>
      <c r="AJ447" s="634"/>
      <c r="AK447" s="634"/>
      <c r="AL447" s="633"/>
      <c r="AM447" s="640">
        <f t="shared" ca="1" si="127"/>
        <v>144</v>
      </c>
      <c r="AN447" s="254"/>
      <c r="AO447" s="1365" t="s">
        <v>1092</v>
      </c>
      <c r="AR447" s="596"/>
      <c r="GS447" s="176"/>
      <c r="GT447" s="176"/>
      <c r="GU447" s="176"/>
      <c r="GV447" s="176"/>
      <c r="GW447" s="176"/>
    </row>
    <row r="448" spans="1:205" ht="12.75" customHeight="1" x14ac:dyDescent="0.2">
      <c r="A448" s="735"/>
      <c r="B448" s="1136"/>
      <c r="C448" s="1136"/>
      <c r="D448" s="539"/>
      <c r="E448" s="613" t="s">
        <v>662</v>
      </c>
      <c r="G448" s="174"/>
      <c r="H448" s="174"/>
      <c r="I448" s="174"/>
      <c r="J448" s="174"/>
      <c r="K448" s="174"/>
      <c r="P448" s="179"/>
      <c r="Q448" s="179"/>
      <c r="R448" s="179"/>
      <c r="S448" s="179"/>
      <c r="T448" s="179"/>
      <c r="U448" s="328" t="s">
        <v>2149</v>
      </c>
      <c r="V448" s="1728" t="str">
        <f>IF(INPUT!$D$7="Big Hole",JARSSHOCKTOOLDDT!J88,JARSSHOCKTOOLDDT!G88)</f>
        <v>6-3/4" Mud Motor, rental</v>
      </c>
      <c r="W448" s="255">
        <f>IF(INPUT!$D$7="Big Hole",JARSSHOCKTOOLDDT!K88,JARSSHOCKTOOLDDT!H88)</f>
        <v>2</v>
      </c>
      <c r="X448" s="633"/>
      <c r="Y448" s="633"/>
      <c r="Z448" s="633"/>
      <c r="AA448" s="633"/>
      <c r="AB448" s="633"/>
      <c r="AC448" s="633"/>
      <c r="AD448" s="633"/>
      <c r="AE448" s="634"/>
      <c r="AF448" s="1361">
        <f>INDEX(INPUT!$AI$12:$AI$15,MATCH(INPUT!$H$8,INPUT!$AH$12:$AH$15,0))*IF(RH_BH="Big Hole",1,0)</f>
        <v>7</v>
      </c>
      <c r="AG448" s="633">
        <f ca="1">IFERROR(IF(RH_BH="Big Hole",INDIRECT($AG$441),0),0)</f>
        <v>5</v>
      </c>
      <c r="AH448" s="1361">
        <f ca="1">IF(RH_BH="Big Hole",INDEX(INPUT!$AI$12:$AI$15,MATCH(INPUT!$H$8,INPUT!$AH$12:$AH$15,0)),INDIRECT('Cost Details'!$AH$441))*IF(DOUBLE_LINER="No",0,1)</f>
        <v>7</v>
      </c>
      <c r="AI448" s="633">
        <f ca="1">IF($AI$441="",0,INDIRECT($AI$441))</f>
        <v>0</v>
      </c>
      <c r="AJ448" s="634"/>
      <c r="AK448" s="634"/>
      <c r="AL448" s="633"/>
      <c r="AM448" s="640">
        <f t="shared" ca="1" si="127"/>
        <v>19</v>
      </c>
      <c r="AN448" s="254"/>
      <c r="AR448" s="596"/>
      <c r="GS448" s="176"/>
      <c r="GT448" s="176"/>
      <c r="GU448" s="176"/>
      <c r="GV448" s="176"/>
      <c r="GW448" s="176"/>
    </row>
    <row r="449" spans="1:205" ht="12.75" customHeight="1" x14ac:dyDescent="0.2">
      <c r="A449" s="735"/>
      <c r="B449" s="1136"/>
      <c r="C449" s="1136"/>
      <c r="D449" s="539"/>
      <c r="E449" s="613" t="s">
        <v>662</v>
      </c>
      <c r="G449" s="174"/>
      <c r="H449" s="174"/>
      <c r="I449" s="174"/>
      <c r="J449" s="174"/>
      <c r="K449" s="174"/>
      <c r="P449" s="179"/>
      <c r="Q449" s="179"/>
      <c r="R449" s="179"/>
      <c r="S449" s="179"/>
      <c r="T449" s="179"/>
      <c r="U449" s="328" t="s">
        <v>2148</v>
      </c>
      <c r="V449" s="1728" t="str">
        <f>IF(INPUT!$D$7="Big Hole",JARSSHOCKTOOLDDT!J89,JARSSHOCKTOOLDDT!G89)</f>
        <v>6-3/4" Mud Motor, run charge</v>
      </c>
      <c r="W449" s="255">
        <f>IF(INPUT!$D$7="Big Hole",JARSSHOCKTOOLDDT!K89,JARSSHOCKTOOLDDT!H89)</f>
        <v>1</v>
      </c>
      <c r="X449" s="634"/>
      <c r="Y449" s="634"/>
      <c r="Z449" s="634"/>
      <c r="AA449" s="634"/>
      <c r="AB449" s="634"/>
      <c r="AC449" s="634"/>
      <c r="AD449" s="634"/>
      <c r="AE449" s="634"/>
      <c r="AF449" s="634"/>
      <c r="AG449" s="1360">
        <f ca="1">IFERROR(IF(RH_BH="Big Hole",INDIRECT($AG$441)*24,0),0)</f>
        <v>120</v>
      </c>
      <c r="AH449" s="634"/>
      <c r="AI449" s="1360">
        <f ca="1">IF($AI$441="",0,INDIRECT($AI$441))*24</f>
        <v>0</v>
      </c>
      <c r="AJ449" s="634"/>
      <c r="AK449" s="634"/>
      <c r="AL449" s="633"/>
      <c r="AM449" s="640">
        <f t="shared" ca="1" si="127"/>
        <v>120</v>
      </c>
      <c r="AN449" s="254"/>
      <c r="AR449" s="596"/>
      <c r="GS449" s="176"/>
      <c r="GT449" s="176"/>
      <c r="GU449" s="176"/>
      <c r="GV449" s="176"/>
      <c r="GW449" s="176"/>
    </row>
    <row r="450" spans="1:205" ht="12.75" customHeight="1" x14ac:dyDescent="0.2">
      <c r="A450" s="735"/>
      <c r="B450" s="1136"/>
      <c r="C450" s="1136"/>
      <c r="D450" s="539"/>
      <c r="E450" s="613" t="s">
        <v>663</v>
      </c>
      <c r="G450" s="174"/>
      <c r="H450" s="174"/>
      <c r="I450" s="174"/>
      <c r="J450" s="174"/>
      <c r="K450" s="174"/>
      <c r="P450" s="179"/>
      <c r="Q450" s="179"/>
      <c r="R450" s="179"/>
      <c r="S450" s="179"/>
      <c r="T450" s="179"/>
      <c r="U450" s="328" t="s">
        <v>2148</v>
      </c>
      <c r="V450" s="1728" t="str">
        <f>IF(INPUT!$D$7="Big Hole",JARSSHOCKTOOLDDT!J90,JARSSHOCKTOOLDDT!G90)</f>
        <v>MWD, operating</v>
      </c>
      <c r="W450" s="255">
        <f>IF(INPUT!$D$7="Big Hole",JARSSHOCKTOOLDDT!K90,JARSSHOCKTOOLDDT!H90)</f>
        <v>1</v>
      </c>
      <c r="X450" s="634"/>
      <c r="Y450" s="1833">
        <f ca="1">INDIRECT($Y$441)</f>
        <v>2</v>
      </c>
      <c r="Z450" s="1833">
        <f ca="1">INDIRECT($Z$441)</f>
        <v>4</v>
      </c>
      <c r="AA450" s="1833">
        <f ca="1">INDIRECT($AA$441)</f>
        <v>5</v>
      </c>
      <c r="AB450" s="1833">
        <f ca="1">INDIRECT($AB$441)</f>
        <v>4</v>
      </c>
      <c r="AC450" s="1833">
        <f ca="1">INDIRECT($AC$441)</f>
        <v>10</v>
      </c>
      <c r="AD450" s="1833">
        <f ca="1">INDIRECT($AD$441)</f>
        <v>3</v>
      </c>
      <c r="AE450" s="1833">
        <f ca="1">INDIRECT($AE$441)</f>
        <v>6</v>
      </c>
      <c r="AF450" s="1833">
        <f ca="1">INDIRECT($AF$441)</f>
        <v>2</v>
      </c>
      <c r="AG450" s="1833">
        <f ca="1">IF(INPUT!$D$8="YES",INDIRECT($AG$441)," ")</f>
        <v>5</v>
      </c>
      <c r="AH450" s="1834">
        <f>IF($AI$441="",0,7)</f>
        <v>0</v>
      </c>
      <c r="AI450" s="1834">
        <f t="shared" ref="AI450:AJ454" ca="1" si="128">IF($AI$441="",0,INDIRECT($AI$441))</f>
        <v>0</v>
      </c>
      <c r="AJ450" s="1834">
        <f t="shared" ca="1" si="128"/>
        <v>0</v>
      </c>
      <c r="AK450" s="1834">
        <f>IF($AK$441="",0,2)</f>
        <v>0</v>
      </c>
      <c r="AL450" s="633"/>
      <c r="AM450" s="640">
        <f t="shared" ca="1" si="127"/>
        <v>41</v>
      </c>
      <c r="AN450" s="254"/>
      <c r="AR450" s="596"/>
      <c r="GS450" s="176"/>
      <c r="GT450" s="176"/>
      <c r="GU450" s="176"/>
      <c r="GV450" s="176"/>
      <c r="GW450" s="176"/>
    </row>
    <row r="451" spans="1:205" ht="12.75" customHeight="1" x14ac:dyDescent="0.2">
      <c r="A451" s="735"/>
      <c r="B451" s="1136"/>
      <c r="C451" s="1136"/>
      <c r="D451" s="539"/>
      <c r="E451" s="613" t="s">
        <v>663</v>
      </c>
      <c r="G451" s="174"/>
      <c r="H451" s="174"/>
      <c r="I451" s="174"/>
      <c r="J451" s="174"/>
      <c r="K451" s="174"/>
      <c r="P451" s="179"/>
      <c r="Q451" s="179"/>
      <c r="R451" s="179"/>
      <c r="S451" s="179"/>
      <c r="T451" s="179"/>
      <c r="U451" s="328" t="s">
        <v>2149</v>
      </c>
      <c r="V451" s="1728" t="str">
        <f>IF(INPUT!$D$7="Big Hole",JARSSHOCKTOOLDDT!J91,JARSSHOCKTOOLDDT!G91)</f>
        <v>MWD, rental</v>
      </c>
      <c r="W451" s="255">
        <f>IF(INPUT!$D$7="Big Hole",JARSSHOCKTOOLDDT!K91,JARSSHOCKTOOLDDT!H91)</f>
        <v>1</v>
      </c>
      <c r="X451" s="1361">
        <f>IF(RIGMOVE=0,0,INDEX(INPUT!$AI$12:$AI$15,MATCH(INPUT!$H$8,INPUT!$AH$12:$AH$15,0)))</f>
        <v>7</v>
      </c>
      <c r="Y451" s="1833">
        <f ca="1">INDIRECT($Y$441)</f>
        <v>2</v>
      </c>
      <c r="Z451" s="1833">
        <f ca="1">INDIRECT($Z$441)</f>
        <v>4</v>
      </c>
      <c r="AA451" s="1833">
        <f ca="1">INDIRECT($AA$441)</f>
        <v>5</v>
      </c>
      <c r="AB451" s="1833">
        <f ca="1">INDIRECT($AB$441)</f>
        <v>4</v>
      </c>
      <c r="AC451" s="1833">
        <f ca="1">INDIRECT($AC$441)</f>
        <v>10</v>
      </c>
      <c r="AD451" s="1833">
        <f ca="1">INDIRECT($AD$441)</f>
        <v>3</v>
      </c>
      <c r="AE451" s="1833">
        <f ca="1">INDIRECT($AE$441)</f>
        <v>6</v>
      </c>
      <c r="AF451" s="1833">
        <f ca="1">INDIRECT($AF$441)</f>
        <v>2</v>
      </c>
      <c r="AG451" s="1833">
        <f ca="1">IF(INPUT!$D$8="YES",INDIRECT($AG$441)," ")</f>
        <v>5</v>
      </c>
      <c r="AH451" s="1834">
        <f>IF($AI$441="",0,7)</f>
        <v>0</v>
      </c>
      <c r="AI451" s="1834">
        <f t="shared" ca="1" si="128"/>
        <v>0</v>
      </c>
      <c r="AJ451" s="1834">
        <f t="shared" ca="1" si="128"/>
        <v>0</v>
      </c>
      <c r="AK451" s="1834">
        <f t="shared" ref="AK451:AK454" si="129">IF($AK$441="",0,2)</f>
        <v>0</v>
      </c>
      <c r="AL451" s="633"/>
      <c r="AM451" s="640">
        <f t="shared" ca="1" si="127"/>
        <v>48</v>
      </c>
      <c r="AN451" s="254"/>
      <c r="AR451" s="596"/>
      <c r="GS451" s="176"/>
      <c r="GT451" s="176"/>
      <c r="GU451" s="176"/>
      <c r="GV451" s="176"/>
      <c r="GW451" s="176"/>
    </row>
    <row r="452" spans="1:205" ht="12.75" customHeight="1" x14ac:dyDescent="0.2">
      <c r="A452" s="735"/>
      <c r="B452" s="1136"/>
      <c r="C452" s="1136"/>
      <c r="D452" s="539"/>
      <c r="E452" s="613" t="s">
        <v>663</v>
      </c>
      <c r="G452" s="174"/>
      <c r="H452" s="174"/>
      <c r="I452" s="174"/>
      <c r="J452" s="174"/>
      <c r="K452" s="174"/>
      <c r="P452" s="179"/>
      <c r="Q452" s="179"/>
      <c r="R452" s="179"/>
      <c r="S452" s="179"/>
      <c r="T452" s="179"/>
      <c r="U452" s="328" t="s">
        <v>2149</v>
      </c>
      <c r="V452" s="1728" t="str">
        <f>IF(INPUT!$D$7="Big Hole",JARSSHOCKTOOLDDT!J92,JARSSHOCKTOOLDDT!G92)</f>
        <v>EMS, rental</v>
      </c>
      <c r="W452" s="255">
        <f>IF(INPUT!$D$7="Big Hole",JARSSHOCKTOOLDDT!K92,JARSSHOCKTOOLDDT!H92)</f>
        <v>1</v>
      </c>
      <c r="X452" s="1361">
        <f>IF(RIGMOVE=0,0,INDEX(INPUT!$AI$12:$AI$15,MATCH(INPUT!$H$8,INPUT!$AH$12:$AH$15,0)))</f>
        <v>7</v>
      </c>
      <c r="Y452" s="1833">
        <f ca="1">INDIRECT($Y$441)</f>
        <v>2</v>
      </c>
      <c r="Z452" s="1833">
        <f ca="1">INDIRECT($Z$441)</f>
        <v>4</v>
      </c>
      <c r="AA452" s="1833">
        <f ca="1">INDIRECT($AA$441)</f>
        <v>5</v>
      </c>
      <c r="AB452" s="1833">
        <f ca="1">INDIRECT($AB$441)</f>
        <v>4</v>
      </c>
      <c r="AC452" s="1833">
        <f ca="1">INDIRECT($AC$441)</f>
        <v>10</v>
      </c>
      <c r="AD452" s="1833">
        <f ca="1">INDIRECT($AD$441)</f>
        <v>3</v>
      </c>
      <c r="AE452" s="1833">
        <f ca="1">INDIRECT($AE$441)</f>
        <v>6</v>
      </c>
      <c r="AF452" s="1833">
        <f ca="1">INDIRECT($AF$441)</f>
        <v>2</v>
      </c>
      <c r="AG452" s="1833">
        <f ca="1">IF(INPUT!$D$8="YES",INDIRECT($AG$441)," ")</f>
        <v>5</v>
      </c>
      <c r="AH452" s="1834">
        <f>IF($AI$441="",0,7)</f>
        <v>0</v>
      </c>
      <c r="AI452" s="1834">
        <f t="shared" ca="1" si="128"/>
        <v>0</v>
      </c>
      <c r="AJ452" s="1834">
        <f t="shared" ca="1" si="128"/>
        <v>0</v>
      </c>
      <c r="AK452" s="1834">
        <f t="shared" si="129"/>
        <v>0</v>
      </c>
      <c r="AL452" s="633"/>
      <c r="AM452" s="640">
        <f t="shared" ca="1" si="127"/>
        <v>48</v>
      </c>
      <c r="AN452" s="254"/>
      <c r="AR452" s="596"/>
      <c r="GS452" s="176"/>
      <c r="GT452" s="176"/>
      <c r="GU452" s="176"/>
      <c r="GV452" s="176"/>
      <c r="GW452" s="176"/>
    </row>
    <row r="453" spans="1:205" ht="12.75" customHeight="1" x14ac:dyDescent="0.2">
      <c r="A453" s="735"/>
      <c r="B453" s="1136"/>
      <c r="C453" s="1136"/>
      <c r="D453" s="539"/>
      <c r="E453" s="613" t="s">
        <v>664</v>
      </c>
      <c r="G453" s="174"/>
      <c r="H453" s="174"/>
      <c r="I453" s="174"/>
      <c r="J453" s="174"/>
      <c r="K453" s="174"/>
      <c r="P453" s="179"/>
      <c r="Q453" s="179"/>
      <c r="R453" s="179"/>
      <c r="S453" s="179"/>
      <c r="T453" s="179"/>
      <c r="U453" s="328" t="s">
        <v>2148</v>
      </c>
      <c r="V453" s="1728" t="str">
        <f>IF(INPUT!$D$7="Big Hole",JARSSHOCKTOOLDDT!J93,JARSSHOCKTOOLDDT!G93)</f>
        <v>EMS, operating</v>
      </c>
      <c r="W453" s="255">
        <f>IF(INPUT!$D$7="Big Hole",JARSSHOCKTOOLDDT!K93,JARSSHOCKTOOLDDT!H93)</f>
        <v>1</v>
      </c>
      <c r="X453" s="634"/>
      <c r="Y453" s="1833">
        <f ca="1">INDIRECT($Y$441)</f>
        <v>2</v>
      </c>
      <c r="Z453" s="1833">
        <f ca="1">INDIRECT($Z$441)</f>
        <v>4</v>
      </c>
      <c r="AA453" s="1833">
        <f ca="1">INDIRECT($AA$441)</f>
        <v>5</v>
      </c>
      <c r="AB453" s="1833">
        <f ca="1">INDIRECT($AB$441)</f>
        <v>4</v>
      </c>
      <c r="AC453" s="1833">
        <f ca="1">INDIRECT($AC$441)</f>
        <v>10</v>
      </c>
      <c r="AD453" s="1833">
        <f ca="1">INDIRECT($AD$441)</f>
        <v>3</v>
      </c>
      <c r="AE453" s="1833">
        <f ca="1">INDIRECT($AE$441)</f>
        <v>6</v>
      </c>
      <c r="AF453" s="1833">
        <f ca="1">INDIRECT($AF$441)</f>
        <v>2</v>
      </c>
      <c r="AG453" s="1833">
        <f ca="1">IF(INPUT!$D$8="YES",INDIRECT($AG$441)," ")</f>
        <v>5</v>
      </c>
      <c r="AH453" s="1834">
        <f>IF($AI$441="",0,7)</f>
        <v>0</v>
      </c>
      <c r="AI453" s="1834">
        <f t="shared" ca="1" si="128"/>
        <v>0</v>
      </c>
      <c r="AJ453" s="1834">
        <f t="shared" ca="1" si="128"/>
        <v>0</v>
      </c>
      <c r="AK453" s="1834">
        <f t="shared" si="129"/>
        <v>0</v>
      </c>
      <c r="AL453" s="633"/>
      <c r="AM453" s="640">
        <f t="shared" ca="1" si="127"/>
        <v>41</v>
      </c>
      <c r="AN453" s="254"/>
      <c r="AR453" s="596"/>
      <c r="GS453" s="176"/>
      <c r="GT453" s="176"/>
      <c r="GU453" s="176"/>
      <c r="GV453" s="176"/>
      <c r="GW453" s="176"/>
    </row>
    <row r="454" spans="1:205" ht="12.75" customHeight="1" x14ac:dyDescent="0.2">
      <c r="A454" s="735"/>
      <c r="B454" s="1136"/>
      <c r="C454" s="1136"/>
      <c r="D454" s="539"/>
      <c r="E454" s="614" t="s">
        <v>645</v>
      </c>
      <c r="G454" s="174"/>
      <c r="H454" s="174"/>
      <c r="I454" s="174"/>
      <c r="J454" s="174"/>
      <c r="K454" s="174"/>
      <c r="P454" s="179"/>
      <c r="Q454" s="179"/>
      <c r="R454" s="179"/>
      <c r="S454" s="179"/>
      <c r="T454" s="179"/>
      <c r="U454" s="328" t="s">
        <v>2147</v>
      </c>
      <c r="V454" s="1728" t="str">
        <f>IF(INPUT!$D$7="Big Hole",JARSSHOCKTOOLDDT!J94,JARSSHOCKTOOLDDT!G94)</f>
        <v>EMS Redress</v>
      </c>
      <c r="W454" s="255">
        <f>IF(INPUT!$D$7="Big Hole",JARSSHOCKTOOLDDT!K94,JARSSHOCKTOOLDDT!H94)</f>
        <v>1</v>
      </c>
      <c r="X454" s="634"/>
      <c r="Y454" s="1833">
        <f ca="1">INDIRECT($Y$441)</f>
        <v>2</v>
      </c>
      <c r="Z454" s="1833">
        <f ca="1">INDIRECT($Z$441)</f>
        <v>4</v>
      </c>
      <c r="AA454" s="1833">
        <f ca="1">INDIRECT($AA$441)</f>
        <v>5</v>
      </c>
      <c r="AB454" s="1833">
        <f ca="1">INDIRECT($AB$441)</f>
        <v>4</v>
      </c>
      <c r="AC454" s="1833">
        <f ca="1">INDIRECT($AC$441)</f>
        <v>10</v>
      </c>
      <c r="AD454" s="1833">
        <f ca="1">INDIRECT($AD$441)</f>
        <v>3</v>
      </c>
      <c r="AE454" s="1833">
        <f ca="1">INDIRECT($AE$441)</f>
        <v>6</v>
      </c>
      <c r="AF454" s="1833">
        <f ca="1">INDIRECT($AF$441)</f>
        <v>2</v>
      </c>
      <c r="AG454" s="1833">
        <f ca="1">IF(INPUT!$D$8="YES",INDIRECT($AG$441)," ")</f>
        <v>5</v>
      </c>
      <c r="AH454" s="1834">
        <f>IF($AI$441="",0,7)</f>
        <v>0</v>
      </c>
      <c r="AI454" s="1834">
        <f t="shared" ca="1" si="128"/>
        <v>0</v>
      </c>
      <c r="AJ454" s="1834">
        <f t="shared" ca="1" si="128"/>
        <v>0</v>
      </c>
      <c r="AK454" s="1834">
        <f t="shared" si="129"/>
        <v>0</v>
      </c>
      <c r="AL454" s="633"/>
      <c r="AM454" s="640">
        <f t="shared" ca="1" si="127"/>
        <v>41</v>
      </c>
      <c r="AN454" s="254"/>
      <c r="AR454" s="596"/>
      <c r="GS454" s="176"/>
      <c r="GT454" s="176"/>
      <c r="GU454" s="176"/>
      <c r="GV454" s="176"/>
      <c r="GW454" s="176"/>
    </row>
    <row r="455" spans="1:205" ht="12.75" customHeight="1" x14ac:dyDescent="0.2">
      <c r="A455" s="735"/>
      <c r="B455" s="1136"/>
      <c r="C455" s="1136"/>
      <c r="D455" s="539" t="s">
        <v>681</v>
      </c>
      <c r="E455" s="613"/>
      <c r="G455" s="174"/>
      <c r="H455" s="174"/>
      <c r="I455" s="174"/>
      <c r="J455" s="174"/>
      <c r="K455" s="174"/>
      <c r="P455" s="179"/>
      <c r="Q455" s="179"/>
      <c r="R455" s="179"/>
      <c r="S455" s="179"/>
      <c r="T455" s="179"/>
      <c r="U455" s="328" t="s">
        <v>2147</v>
      </c>
      <c r="V455" s="1728" t="str">
        <f>IF(INPUT!$D$7="Big Hole",JARSSHOCKTOOLDDT!J95,JARSSHOCKTOOLDDT!G95)</f>
        <v>8" NMDC</v>
      </c>
      <c r="W455" s="255">
        <f>IF(INPUT!$D$7="Big Hole",JARSSHOCKTOOLDDT!K95,JARSSHOCKTOOLDDT!H95)</f>
        <v>2</v>
      </c>
      <c r="X455" s="633"/>
      <c r="Y455" s="633"/>
      <c r="Z455" s="633"/>
      <c r="AA455" s="633"/>
      <c r="AB455" s="633"/>
      <c r="AC455" s="633"/>
      <c r="AD455" s="633"/>
      <c r="AE455" s="634"/>
      <c r="AF455" s="633"/>
      <c r="AG455" s="633"/>
      <c r="AH455" s="634"/>
      <c r="AI455" s="633"/>
      <c r="AJ455" s="634"/>
      <c r="AK455" s="634"/>
      <c r="AL455" s="633"/>
      <c r="AM455" s="640">
        <f t="shared" si="127"/>
        <v>0</v>
      </c>
      <c r="AN455" s="254"/>
      <c r="AR455" s="596"/>
      <c r="GS455" s="176"/>
      <c r="GT455" s="176"/>
      <c r="GU455" s="176"/>
      <c r="GV455" s="176"/>
      <c r="GW455" s="176"/>
    </row>
    <row r="456" spans="1:205" ht="12.75" customHeight="1" x14ac:dyDescent="0.2">
      <c r="A456" s="735"/>
      <c r="B456" s="1136"/>
      <c r="C456" s="1136"/>
      <c r="D456" s="539"/>
      <c r="E456" s="613" t="s">
        <v>662</v>
      </c>
      <c r="G456" s="174"/>
      <c r="H456" s="174"/>
      <c r="I456" s="174"/>
      <c r="J456" s="174"/>
      <c r="K456" s="174"/>
      <c r="P456" s="179"/>
      <c r="Q456" s="179"/>
      <c r="R456" s="179"/>
      <c r="S456" s="179"/>
      <c r="T456" s="179"/>
      <c r="U456" s="328" t="s">
        <v>2147</v>
      </c>
      <c r="V456" s="1728" t="str">
        <f>IF(INPUT!$D$7="Big Hole",JARSSHOCKTOOLDDT!J96,JARSSHOCKTOOLDDT!G96)</f>
        <v>6-1/2" Pony NMDC</v>
      </c>
      <c r="W456" s="255">
        <f>IF(INPUT!$D$7="Big Hole",JARSSHOCKTOOLDDT!K96,JARSSHOCKTOOLDDT!H96)</f>
        <v>2</v>
      </c>
      <c r="X456" s="633"/>
      <c r="Y456" s="633"/>
      <c r="Z456" s="633"/>
      <c r="AA456" s="633"/>
      <c r="AB456" s="633"/>
      <c r="AC456" s="633"/>
      <c r="AD456" s="633"/>
      <c r="AE456" s="633"/>
      <c r="AF456" s="633"/>
      <c r="AG456" s="633"/>
      <c r="AH456" s="633"/>
      <c r="AI456" s="633"/>
      <c r="AJ456" s="633"/>
      <c r="AK456" s="633"/>
      <c r="AL456" s="633"/>
      <c r="AM456" s="640">
        <f t="shared" si="127"/>
        <v>0</v>
      </c>
      <c r="AN456" s="254"/>
      <c r="AR456" s="596"/>
      <c r="GS456" s="176"/>
      <c r="GT456" s="176"/>
      <c r="GU456" s="176"/>
      <c r="GV456" s="176"/>
      <c r="GW456" s="176"/>
    </row>
    <row r="457" spans="1:205" ht="12.75" customHeight="1" x14ac:dyDescent="0.2">
      <c r="A457" s="735"/>
      <c r="B457" s="1136"/>
      <c r="C457" s="1136"/>
      <c r="D457" s="2538" t="s">
        <v>679</v>
      </c>
      <c r="E457" s="613" t="s">
        <v>645</v>
      </c>
      <c r="G457" s="174"/>
      <c r="H457" s="174"/>
      <c r="I457" s="174"/>
      <c r="J457" s="174"/>
      <c r="K457" s="174"/>
      <c r="P457" s="179"/>
      <c r="Q457" s="179"/>
      <c r="R457" s="179"/>
      <c r="S457" s="179"/>
      <c r="T457" s="179"/>
      <c r="U457" s="328" t="s">
        <v>2147</v>
      </c>
      <c r="V457" s="1728" t="str">
        <f>IF(INPUT!$D$7="Big Hole",JARSSHOCKTOOLDDT!J97,JARSSHOCKTOOLDDT!G97)</f>
        <v>6-1/2" NMDC</v>
      </c>
      <c r="W457" s="255">
        <f>IF(INPUT!$D$7="Big Hole",JARSSHOCKTOOLDDT!K97,JARSSHOCKTOOLDDT!H97)</f>
        <v>2</v>
      </c>
      <c r="X457" s="633"/>
      <c r="Y457" s="633"/>
      <c r="Z457" s="633"/>
      <c r="AA457" s="633"/>
      <c r="AB457" s="633"/>
      <c r="AC457" s="633"/>
      <c r="AD457" s="633"/>
      <c r="AE457" s="633"/>
      <c r="AF457" s="633"/>
      <c r="AG457" s="633"/>
      <c r="AH457" s="1361">
        <f ca="1">IF(AI434="",0,INDEX(INPUT!$AI$12:$AI$15,MATCH(INPUT!$H$8,INPUT!$AH$12:$AH$15,0)))*IF(DOUBLE_LINER="No",0,1)</f>
        <v>7</v>
      </c>
      <c r="AI457" s="634">
        <f ca="1">IF($AI$441="",0,INDIRECT($AG$441))</f>
        <v>0</v>
      </c>
      <c r="AJ457" s="634">
        <f>IF($AJ$441="",0,INDEX(INPUT!$AI$12:$AI$15,MATCH(INPUT!$H$8,INPUT!$AH$12:$AH$15,0)))</f>
        <v>0</v>
      </c>
      <c r="AK457" s="633"/>
      <c r="AL457" s="633"/>
      <c r="AM457" s="640">
        <f t="shared" ca="1" si="127"/>
        <v>7</v>
      </c>
      <c r="AN457" s="254"/>
      <c r="AR457" s="596"/>
      <c r="GS457" s="176"/>
      <c r="GT457" s="176"/>
      <c r="GU457" s="176"/>
      <c r="GV457" s="176"/>
      <c r="GW457" s="176"/>
    </row>
    <row r="458" spans="1:205" ht="12.75" customHeight="1" x14ac:dyDescent="0.2">
      <c r="A458" s="735"/>
      <c r="B458" s="1136"/>
      <c r="C458" s="1136"/>
      <c r="D458" s="2538"/>
      <c r="E458" s="619" t="s">
        <v>645</v>
      </c>
      <c r="G458" s="174"/>
      <c r="H458" s="174"/>
      <c r="I458" s="174"/>
      <c r="J458" s="174"/>
      <c r="K458" s="174"/>
      <c r="P458" s="179"/>
      <c r="Q458" s="179"/>
      <c r="R458" s="179"/>
      <c r="S458" s="179"/>
      <c r="T458" s="179"/>
      <c r="U458" s="328" t="s">
        <v>2147</v>
      </c>
      <c r="V458" s="1728" t="str">
        <f>IF(INPUT!$D$7="Big Hole",JARSSHOCKTOOLDDT!J98,JARSSHOCKTOOLDDT!G98)</f>
        <v>26" Stabilizer</v>
      </c>
      <c r="W458" s="255">
        <f>IF(INPUT!$D$7="Big Hole",JARSSHOCKTOOLDDT!K98,JARSSHOCKTOOLDDT!H98)</f>
        <v>2</v>
      </c>
      <c r="X458" s="1361">
        <f>IF(RIGMOVE=0,0,INDEX(INPUT!$AI$12:$AI$15,MATCH(INPUT!$H$8,INPUT!$AH$12:$AH$15,0)))</f>
        <v>7</v>
      </c>
      <c r="Y458" s="1833">
        <f ca="1">INDIRECT($Y$441)</f>
        <v>2</v>
      </c>
      <c r="Z458" s="1833">
        <f ca="1">INDIRECT($Z$441)</f>
        <v>4</v>
      </c>
      <c r="AA458" s="1361">
        <f>INDEX(INPUT!$AI$12:$AI$15,MATCH(INPUT!$H$8,INPUT!$AH$12:$AH$15,0))</f>
        <v>7</v>
      </c>
      <c r="AB458" s="633"/>
      <c r="AC458" s="633"/>
      <c r="AD458" s="633"/>
      <c r="AE458" s="633"/>
      <c r="AF458" s="633"/>
      <c r="AG458" s="633"/>
      <c r="AH458" s="633"/>
      <c r="AI458" s="633"/>
      <c r="AJ458" s="633"/>
      <c r="AK458" s="633"/>
      <c r="AL458" s="633"/>
      <c r="AM458" s="640">
        <f t="shared" ca="1" si="127"/>
        <v>20</v>
      </c>
      <c r="AN458" s="254"/>
      <c r="AR458" s="596"/>
      <c r="GS458" s="176"/>
      <c r="GT458" s="176"/>
      <c r="GU458" s="176"/>
      <c r="GV458" s="176"/>
      <c r="GW458" s="176"/>
    </row>
    <row r="459" spans="1:205" ht="12.75" customHeight="1" x14ac:dyDescent="0.2">
      <c r="A459" s="735"/>
      <c r="B459" s="1136"/>
      <c r="C459" s="1136"/>
      <c r="D459" s="539"/>
      <c r="E459" s="614" t="s">
        <v>664</v>
      </c>
      <c r="G459" s="174"/>
      <c r="H459" s="174"/>
      <c r="I459" s="174"/>
      <c r="J459" s="174"/>
      <c r="K459" s="174"/>
      <c r="P459" s="179"/>
      <c r="Q459" s="179"/>
      <c r="R459" s="179"/>
      <c r="S459" s="179"/>
      <c r="T459" s="179"/>
      <c r="U459" s="328" t="s">
        <v>2147</v>
      </c>
      <c r="V459" s="1728" t="str">
        <f>IF(INPUT!$D$7="Big Hole",JARSSHOCKTOOLDDT!J99,JARSSHOCKTOOLDDT!G99)</f>
        <v>23" Stabilizer</v>
      </c>
      <c r="W459" s="255">
        <f>IF(INPUT!$D$7="Big Hole",JARSSHOCKTOOLDDT!K99,JARSSHOCKTOOLDDT!H99)</f>
        <v>3</v>
      </c>
      <c r="X459" s="633"/>
      <c r="Y459" s="1361">
        <f>INDEX(INPUT!$AI$12:$AI$15,MATCH(INPUT!$H$8,INPUT!$AH$12:$AH$15,0))*IF(RH_BH="Big Hole",1,0)*IF(INPUT!$D$18="No",0,1)</f>
        <v>7</v>
      </c>
      <c r="Z459" s="1833">
        <f ca="1">INDIRECT($Z$441)</f>
        <v>4</v>
      </c>
      <c r="AA459" s="1361">
        <f>IF(RH_BH="Big Hole",INDEX(INPUT!$AI$12:$AI$15,MATCH(INPUT!$H$8,INPUT!$AH$12:$AH$15,0)),0)</f>
        <v>7</v>
      </c>
      <c r="AB459" s="633"/>
      <c r="AC459" s="633"/>
      <c r="AD459" s="633"/>
      <c r="AE459" s="633"/>
      <c r="AF459" s="633"/>
      <c r="AG459" s="633"/>
      <c r="AH459" s="633"/>
      <c r="AI459" s="633"/>
      <c r="AJ459" s="633"/>
      <c r="AK459" s="633"/>
      <c r="AL459" s="633"/>
      <c r="AM459" s="640">
        <f t="shared" ca="1" si="127"/>
        <v>18</v>
      </c>
      <c r="AN459" s="254"/>
      <c r="AR459" s="596"/>
      <c r="GS459" s="176"/>
      <c r="GT459" s="176"/>
      <c r="GU459" s="176"/>
      <c r="GV459" s="176"/>
      <c r="GW459" s="176"/>
    </row>
    <row r="460" spans="1:205" ht="12.75" customHeight="1" x14ac:dyDescent="0.2">
      <c r="A460" s="735"/>
      <c r="B460" s="1136"/>
      <c r="C460" s="1136"/>
      <c r="D460" s="539"/>
      <c r="E460" s="614" t="s">
        <v>664</v>
      </c>
      <c r="G460" s="174"/>
      <c r="H460" s="174"/>
      <c r="I460" s="174"/>
      <c r="J460" s="174"/>
      <c r="K460" s="174"/>
      <c r="P460" s="179"/>
      <c r="Q460" s="179"/>
      <c r="R460" s="179"/>
      <c r="S460" s="179"/>
      <c r="T460" s="179"/>
      <c r="U460" s="328" t="s">
        <v>2147</v>
      </c>
      <c r="V460" s="1728" t="str">
        <f>IF(INPUT!$D$7="Big Hole",JARSSHOCKTOOLDDT!J100,JARSSHOCKTOOLDDT!G100)</f>
        <v>16"/ 16-1/2" Stabilizer</v>
      </c>
      <c r="W460" s="255">
        <f>IF(INPUT!$D$7="Big Hole",JARSSHOCKTOOLDDT!K100,JARSSHOCKTOOLDDT!H100)</f>
        <v>3</v>
      </c>
      <c r="X460" s="633"/>
      <c r="Y460" s="633"/>
      <c r="Z460" s="633"/>
      <c r="AA460" s="633"/>
      <c r="AB460" s="1361">
        <f>INDEX(INPUT!$AI$12:$AI$15,MATCH(INPUT!$H$8,INPUT!$AH$12:$AH$15,0))*IF(RH_BH="Big Hole",1,0)</f>
        <v>7</v>
      </c>
      <c r="AC460" s="633">
        <f ca="1">IF(RH_BH="Big Hole",INDIRECT($AC$441),0)</f>
        <v>10</v>
      </c>
      <c r="AD460" s="1361">
        <f>INDEX(INPUT!$AI$12:$AI$15,MATCH(INPUT!$H$8,INPUT!$AH$12:$AH$15,0))*IF(RH_BH="Big Hole",1,0)</f>
        <v>7</v>
      </c>
      <c r="AE460" s="633"/>
      <c r="AF460" s="633"/>
      <c r="AG460" s="633"/>
      <c r="AH460" s="633"/>
      <c r="AI460" s="633"/>
      <c r="AJ460" s="633"/>
      <c r="AK460" s="633"/>
      <c r="AL460" s="633"/>
      <c r="AM460" s="640">
        <f t="shared" ca="1" si="127"/>
        <v>24</v>
      </c>
      <c r="AN460" s="254"/>
      <c r="AR460" s="596"/>
      <c r="GS460" s="176"/>
      <c r="GT460" s="176"/>
      <c r="GU460" s="176"/>
      <c r="GV460" s="176"/>
      <c r="GW460" s="176"/>
    </row>
    <row r="461" spans="1:205" ht="12.75" customHeight="1" x14ac:dyDescent="0.2">
      <c r="A461" s="735"/>
      <c r="B461" s="1136"/>
      <c r="C461" s="1136"/>
      <c r="D461" s="539"/>
      <c r="E461" s="614" t="s">
        <v>645</v>
      </c>
      <c r="G461" s="174"/>
      <c r="H461" s="174"/>
      <c r="I461" s="174"/>
      <c r="J461" s="174"/>
      <c r="K461" s="174"/>
      <c r="P461" s="179"/>
      <c r="Q461" s="179"/>
      <c r="R461" s="179"/>
      <c r="S461" s="179"/>
      <c r="T461" s="179"/>
      <c r="U461" s="328" t="s">
        <v>2147</v>
      </c>
      <c r="V461" s="1728" t="str">
        <f>IF(INPUT!$D$7="Big Hole",JARSSHOCKTOOLDDT!J101,JARSSHOCKTOOLDDT!G101)</f>
        <v>12-1/4" Stabilizer</v>
      </c>
      <c r="W461" s="255">
        <f>IF(INPUT!$D$7="Big Hole",JARSSHOCKTOOLDDT!K101,JARSSHOCKTOOLDDT!H101)</f>
        <v>3</v>
      </c>
      <c r="X461" s="634"/>
      <c r="Y461" s="633"/>
      <c r="Z461" s="633"/>
      <c r="AA461" s="633"/>
      <c r="AB461" s="1361">
        <f>IF(RH_BH="Big Hole",0,INDEX(INPUT!$AI$12:$AI$15,MATCH(INPUT!$H$8,INPUT!$AH$12:$AH$15,0)))</f>
        <v>0</v>
      </c>
      <c r="AC461" s="634">
        <f ca="1">IF(RH_BH="Big Hole",INDEX(INPUT!$AI$12:$AI$15,MATCH(INPUT!$H$8,INPUT!$AH$12:$AH$15,0)),INDIRECT(AC441))</f>
        <v>7</v>
      </c>
      <c r="AD461" s="634">
        <f ca="1">IF(RH_BH="Big Hole",INDIRECT(AD441),INDEX(INPUT!$AI$12:$AI$15,MATCH(INPUT!$H$8,INPUT!$AH$12:$AH$15,0)))</f>
        <v>3</v>
      </c>
      <c r="AE461" s="633"/>
      <c r="AF461" s="633"/>
      <c r="AG461" s="633"/>
      <c r="AH461" s="633"/>
      <c r="AI461" s="633"/>
      <c r="AJ461" s="633"/>
      <c r="AK461" s="633"/>
      <c r="AL461" s="633"/>
      <c r="AM461" s="640">
        <f ca="1">SUM(X461:AL461)</f>
        <v>10</v>
      </c>
      <c r="AN461" s="254"/>
      <c r="AR461" s="596"/>
      <c r="GS461" s="176"/>
      <c r="GT461" s="176"/>
      <c r="GU461" s="176"/>
      <c r="GV461" s="176"/>
      <c r="GW461" s="176"/>
    </row>
    <row r="462" spans="1:205" ht="12.75" customHeight="1" x14ac:dyDescent="0.2">
      <c r="A462" s="735"/>
      <c r="B462" s="1136"/>
      <c r="C462" s="1136"/>
      <c r="D462" s="539" t="s">
        <v>680</v>
      </c>
      <c r="E462" s="614"/>
      <c r="G462" s="174"/>
      <c r="H462" s="174"/>
      <c r="I462" s="174"/>
      <c r="J462" s="174"/>
      <c r="K462" s="174"/>
      <c r="P462" s="179"/>
      <c r="Q462" s="179"/>
      <c r="R462" s="179"/>
      <c r="S462" s="179"/>
      <c r="T462" s="179"/>
      <c r="U462" s="328" t="s">
        <v>2147</v>
      </c>
      <c r="V462" s="1728" t="str">
        <f>IF(INPUT!$D$7="Big Hole",JARSSHOCKTOOLDDT!J102,JARSSHOCKTOOLDDT!G102)</f>
        <v>9-7/8" Stabilizer</v>
      </c>
      <c r="W462" s="255">
        <f>IF(INPUT!$D$7="Big Hole",JARSSHOCKTOOLDDT!K102,JARSSHOCKTOOLDDT!H102)</f>
        <v>3</v>
      </c>
      <c r="X462" s="634"/>
      <c r="Y462" s="633"/>
      <c r="Z462" s="633"/>
      <c r="AA462" s="633"/>
      <c r="AB462" s="633"/>
      <c r="AC462" s="633"/>
      <c r="AD462" s="633"/>
      <c r="AE462" s="633"/>
      <c r="AF462" s="1361">
        <f>IF(RH_BH="Big Hole",INDEX(INPUT!$AI$12:$AI$15,MATCH(INPUT!$H$8,INPUT!$AH$12:$AH$15,0)),0)</f>
        <v>7</v>
      </c>
      <c r="AG462" s="634">
        <f ca="1">IFERROR(IF(RH_BH="Big Hole",INDIRECT($AG$441),0),0)</f>
        <v>5</v>
      </c>
      <c r="AH462" s="634">
        <f>IF(RH_BH="Big Hole",INDEX(INPUT!$AI$12:$AI$15,MATCH(INPUT!$H$8,INPUT!$AH$12:$AH$15,0)),0)*IF(DOUBLE_LINER="No",0,1)</f>
        <v>7</v>
      </c>
      <c r="AI462" s="633"/>
      <c r="AJ462" s="633"/>
      <c r="AK462" s="633"/>
      <c r="AL462" s="633"/>
      <c r="AM462" s="640">
        <f t="shared" ca="1" si="127"/>
        <v>19</v>
      </c>
      <c r="AN462" s="254"/>
      <c r="AR462" s="596"/>
      <c r="GS462" s="176"/>
      <c r="GT462" s="176"/>
      <c r="GU462" s="176"/>
      <c r="GV462" s="176"/>
      <c r="GW462" s="176"/>
    </row>
    <row r="463" spans="1:205" ht="12.75" customHeight="1" x14ac:dyDescent="0.2">
      <c r="A463" s="735"/>
      <c r="B463" s="1136"/>
      <c r="C463" s="1136"/>
      <c r="D463" s="539" t="s">
        <v>680</v>
      </c>
      <c r="E463" s="614"/>
      <c r="G463" s="174"/>
      <c r="H463" s="174"/>
      <c r="I463" s="174"/>
      <c r="J463" s="174"/>
      <c r="K463" s="174"/>
      <c r="P463" s="179"/>
      <c r="Q463" s="179"/>
      <c r="R463" s="179"/>
      <c r="S463" s="179"/>
      <c r="T463" s="179"/>
      <c r="U463" s="328" t="s">
        <v>2147</v>
      </c>
      <c r="V463" s="1728" t="str">
        <f>IF(INPUT!$D$7="Big Hole",JARSSHOCKTOOLDDT!J103,JARSSHOCKTOOLDDT!G103)</f>
        <v>8-1/2" Stabilizer</v>
      </c>
      <c r="W463" s="255">
        <f>IF(INPUT!$D$7="Big Hole",JARSSHOCKTOOLDDT!K103,JARSSHOCKTOOLDDT!H103)</f>
        <v>3</v>
      </c>
      <c r="X463" s="634"/>
      <c r="Y463" s="633"/>
      <c r="Z463" s="633"/>
      <c r="AA463" s="633"/>
      <c r="AB463" s="633"/>
      <c r="AC463" s="633"/>
      <c r="AD463" s="1361">
        <f>IF(RH_BH="Big Hole",0,INDEX(INPUT!$AI$12:$AI$15,MATCH(INPUT!$H$8,INPUT!$AH$12:$AH$15,0)))</f>
        <v>0</v>
      </c>
      <c r="AE463" s="634">
        <f ca="1">IF(RH_BH="Big Hole",0,INDIRECT($AE$441))</f>
        <v>0</v>
      </c>
      <c r="AF463" s="634">
        <f ca="1">IF(RH_BH="Big Hole",INDIRECT($AF$441),INDEX(INPUT!$AI$12:$AI$15,MATCH(INPUT!$H$8,INPUT!$AH$12:$AH$15,0)))</f>
        <v>2</v>
      </c>
      <c r="AG463" s="633"/>
      <c r="AH463" s="633"/>
      <c r="AI463" s="633"/>
      <c r="AJ463" s="633"/>
      <c r="AK463" s="633"/>
      <c r="AL463" s="633"/>
      <c r="AM463" s="640">
        <f t="shared" ca="1" si="127"/>
        <v>2</v>
      </c>
      <c r="AN463" s="254"/>
      <c r="AR463" s="596"/>
      <c r="GS463" s="176"/>
      <c r="GT463" s="176"/>
      <c r="GU463" s="176"/>
      <c r="GV463" s="176"/>
      <c r="GW463" s="176"/>
    </row>
    <row r="464" spans="1:205" ht="12.75" customHeight="1" x14ac:dyDescent="0.2">
      <c r="A464" s="735"/>
      <c r="B464" s="1136"/>
      <c r="C464" s="1136"/>
      <c r="D464" s="539"/>
      <c r="E464" s="614" t="s">
        <v>661</v>
      </c>
      <c r="G464" s="174"/>
      <c r="H464" s="174"/>
      <c r="I464" s="174"/>
      <c r="J464" s="174"/>
      <c r="K464" s="174"/>
      <c r="P464" s="179"/>
      <c r="Q464" s="179"/>
      <c r="R464" s="179"/>
      <c r="S464" s="179"/>
      <c r="T464" s="179"/>
      <c r="U464" s="328" t="s">
        <v>2147</v>
      </c>
      <c r="V464" s="1728" t="str">
        <f>IF(INPUT!$D$7="Big Hole",JARSSHOCKTOOLDDT!J104,JARSSHOCKTOOLDDT!G104)</f>
        <v>6-1/2" Stabilizer</v>
      </c>
      <c r="W464" s="255">
        <f>IF(INPUT!$D$7="Big Hole",JARSSHOCKTOOLDDT!K104,JARSSHOCKTOOLDDT!H104)</f>
        <v>3</v>
      </c>
      <c r="X464" s="634"/>
      <c r="Y464" s="633"/>
      <c r="Z464" s="633"/>
      <c r="AA464" s="633"/>
      <c r="AB464" s="633"/>
      <c r="AC464" s="633"/>
      <c r="AD464" s="633"/>
      <c r="AE464" s="633"/>
      <c r="AF464" s="633"/>
      <c r="AG464" s="633"/>
      <c r="AH464" s="1361">
        <f>IF(AI441="",0,INDEX(INPUT!$AI$12:$AI$15,MATCH(INPUT!$H$8,INPUT!$AH$12:$AH$15,0)))</f>
        <v>0</v>
      </c>
      <c r="AI464" s="634">
        <f ca="1">IF($AI$441="",0,INDIRECT($AG$441))</f>
        <v>0</v>
      </c>
      <c r="AJ464" s="634">
        <f>IF($AJ$441="",0,INDEX(INPUT!$AI$12:$AI$15,MATCH(INPUT!$H$8,INPUT!$AH$12:$AH$15,0)))</f>
        <v>0</v>
      </c>
      <c r="AK464" s="633"/>
      <c r="AL464" s="633"/>
      <c r="AM464" s="640">
        <f t="shared" ca="1" si="127"/>
        <v>0</v>
      </c>
      <c r="AN464" s="254"/>
      <c r="AR464" s="596"/>
      <c r="GS464" s="176"/>
      <c r="GT464" s="176"/>
      <c r="GU464" s="176"/>
      <c r="GV464" s="176"/>
      <c r="GW464" s="176"/>
    </row>
    <row r="465" spans="1:205" ht="12.75" customHeight="1" x14ac:dyDescent="0.2">
      <c r="A465" s="735"/>
      <c r="B465" s="1136"/>
      <c r="C465" s="1136"/>
      <c r="D465" s="539"/>
      <c r="E465" s="614" t="s">
        <v>662</v>
      </c>
      <c r="G465" s="174"/>
      <c r="H465" s="174"/>
      <c r="I465" s="174"/>
      <c r="J465" s="174"/>
      <c r="K465" s="174"/>
      <c r="P465" s="179"/>
      <c r="Q465" s="179"/>
      <c r="R465" s="179"/>
      <c r="S465" s="179"/>
      <c r="T465" s="179"/>
      <c r="U465" s="328" t="s">
        <v>2147</v>
      </c>
      <c r="V465" s="1728" t="str">
        <f>IF(INPUT!$D$7="Big Hole",JARSSHOCKTOOLDDT!J105,JARSSHOCKTOOLDDT!G105)</f>
        <v>9" NMDC</v>
      </c>
      <c r="W465" s="255">
        <f>IF(INPUT!$D$7="Big Hole",JARSSHOCKTOOLDDT!K105,JARSSHOCKTOOLDDT!H105)</f>
        <v>2</v>
      </c>
      <c r="X465" s="1361">
        <f>IF(RIGMOVE=0,0,INDEX(INPUT!$AI$12:$AI$15,MATCH(INPUT!$H$8,INPUT!$AH$12:$AH$15,0)))</f>
        <v>7</v>
      </c>
      <c r="Y465" s="633">
        <f ca="1">INDIRECT($Y$441)</f>
        <v>2</v>
      </c>
      <c r="Z465" s="633">
        <f ca="1">INDIRECT($Z$441)</f>
        <v>4</v>
      </c>
      <c r="AA465" s="633">
        <f ca="1">INDIRECT($AA$441)</f>
        <v>5</v>
      </c>
      <c r="AB465" s="633">
        <f ca="1">IF(RH_BH="Big Hole",INDIRECT($AB$441),0)</f>
        <v>4</v>
      </c>
      <c r="AC465" s="633">
        <f ca="1">IF(RH_BH="Big Hole",INDIRECT($AC$441),0)</f>
        <v>10</v>
      </c>
      <c r="AD465" s="633"/>
      <c r="AE465" s="1361">
        <f>INDEX(INPUT!$AI$12:$AI$15,MATCH(INPUT!$H$8,INPUT!$AH$12:$AH$15,0))</f>
        <v>7</v>
      </c>
      <c r="AF465" s="633"/>
      <c r="AG465" s="633"/>
      <c r="AH465" s="633"/>
      <c r="AI465" s="633"/>
      <c r="AJ465" s="633"/>
      <c r="AK465" s="633"/>
      <c r="AL465" s="633"/>
      <c r="AM465" s="640">
        <f t="shared" ca="1" si="127"/>
        <v>39</v>
      </c>
      <c r="AN465" s="254"/>
      <c r="AR465" s="596"/>
      <c r="GS465" s="176"/>
      <c r="GT465" s="176"/>
      <c r="GU465" s="176"/>
      <c r="GV465" s="176"/>
      <c r="GW465" s="176"/>
    </row>
    <row r="466" spans="1:205" ht="12.75" customHeight="1" x14ac:dyDescent="0.2">
      <c r="A466" s="735"/>
      <c r="B466" s="1136"/>
      <c r="C466" s="1136"/>
      <c r="D466" s="539"/>
      <c r="E466" s="613" t="s">
        <v>664</v>
      </c>
      <c r="G466" s="174"/>
      <c r="H466" s="174"/>
      <c r="I466" s="174"/>
      <c r="J466" s="174"/>
      <c r="K466" s="174"/>
      <c r="P466" s="179"/>
      <c r="Q466" s="179"/>
      <c r="R466" s="179"/>
      <c r="S466" s="179"/>
      <c r="T466" s="179"/>
      <c r="U466" s="328" t="s">
        <v>2147</v>
      </c>
      <c r="V466" s="1728" t="str">
        <f>IF(INPUT!$D$7="Big Hole",JARSSHOCKTOOLDDT!J106,JARSSHOCKTOOLDDT!G106)</f>
        <v>8" Pony NMDC</v>
      </c>
      <c r="W466" s="255">
        <f>IF(INPUT!$D$7="Big Hole",JARSSHOCKTOOLDDT!K106,JARSSHOCKTOOLDDT!H106)+IF(INPUT!$H$13="Yes",2,0)</f>
        <v>4</v>
      </c>
      <c r="X466" s="633"/>
      <c r="Y466" s="633"/>
      <c r="Z466" s="633"/>
      <c r="AA466" s="633"/>
      <c r="AB466" s="633"/>
      <c r="AC466" s="633"/>
      <c r="AD466" s="1361">
        <f>INDEX(INPUT!$AI$12:$AI$15,MATCH(INPUT!$H$8,INPUT!$AH$12:$AH$15,0))</f>
        <v>7</v>
      </c>
      <c r="AE466" s="633">
        <f ca="1">INDIRECT($AE$441)</f>
        <v>6</v>
      </c>
      <c r="AF466" s="1361">
        <f>INDEX(INPUT!$AI$12:$AI$15,MATCH(INPUT!$H$8,INPUT!$AH$12:$AH$15,0))</f>
        <v>7</v>
      </c>
      <c r="AG466" s="633"/>
      <c r="AH466" s="633"/>
      <c r="AI466" s="633"/>
      <c r="AJ466" s="633"/>
      <c r="AK466" s="633"/>
      <c r="AL466" s="633"/>
      <c r="AM466" s="640">
        <f t="shared" ca="1" si="127"/>
        <v>20</v>
      </c>
      <c r="AN466" s="254"/>
      <c r="AR466" s="596"/>
      <c r="GS466" s="176"/>
      <c r="GT466" s="176"/>
      <c r="GU466" s="176"/>
      <c r="GV466" s="176"/>
      <c r="GW466" s="176"/>
    </row>
    <row r="467" spans="1:205" ht="12.75" customHeight="1" x14ac:dyDescent="0.2">
      <c r="A467" s="735"/>
      <c r="B467" s="1136"/>
      <c r="C467" s="1136"/>
      <c r="D467" s="539"/>
      <c r="E467" s="613" t="s">
        <v>664</v>
      </c>
      <c r="G467" s="174"/>
      <c r="H467" s="174"/>
      <c r="I467" s="174"/>
      <c r="J467" s="174"/>
      <c r="K467" s="174"/>
      <c r="P467" s="179"/>
      <c r="Q467" s="179"/>
      <c r="R467" s="179"/>
      <c r="S467" s="179"/>
      <c r="T467" s="179"/>
      <c r="U467" s="1829"/>
      <c r="V467" s="1830"/>
      <c r="W467" s="255"/>
      <c r="X467" s="633"/>
      <c r="Y467" s="633"/>
      <c r="Z467" s="633"/>
      <c r="AA467" s="633"/>
      <c r="AB467" s="633"/>
      <c r="AC467" s="633"/>
      <c r="AD467" s="633"/>
      <c r="AE467" s="633"/>
      <c r="AF467" s="633"/>
      <c r="AG467" s="633"/>
      <c r="AH467" s="633"/>
      <c r="AI467" s="633"/>
      <c r="AJ467" s="633"/>
      <c r="AK467" s="633"/>
      <c r="AL467" s="633"/>
      <c r="AM467" s="640">
        <f t="shared" si="127"/>
        <v>0</v>
      </c>
      <c r="AN467" s="254"/>
      <c r="AR467" s="596"/>
      <c r="GS467" s="176"/>
      <c r="GT467" s="176"/>
      <c r="GU467" s="176"/>
      <c r="GV467" s="176"/>
      <c r="GW467" s="176"/>
    </row>
    <row r="468" spans="1:205" ht="12.75" customHeight="1" x14ac:dyDescent="0.2">
      <c r="A468" s="735"/>
      <c r="B468" s="1136"/>
      <c r="C468" s="1136"/>
      <c r="D468" s="539"/>
      <c r="E468" s="614"/>
      <c r="G468" s="174"/>
      <c r="H468" s="174"/>
      <c r="I468" s="174"/>
      <c r="J468" s="174"/>
      <c r="K468" s="174"/>
      <c r="P468" s="179"/>
      <c r="Q468" s="179"/>
      <c r="R468" s="179"/>
      <c r="S468" s="179"/>
      <c r="T468" s="179"/>
      <c r="U468" s="328"/>
      <c r="V468" s="1728" t="str">
        <f>IF(INPUT!$H$13="Yes",JARSSHOCKTOOLDDT!G109,"")</f>
        <v>8" PWD Tool</v>
      </c>
      <c r="W468" s="243">
        <v>1</v>
      </c>
      <c r="X468" s="633"/>
      <c r="Y468" s="633"/>
      <c r="Z468" s="633"/>
      <c r="AA468" s="633"/>
      <c r="AB468" s="633"/>
      <c r="AC468" s="633"/>
      <c r="AD468" s="633"/>
      <c r="AE468" s="633">
        <f>IF(INPUT!$H$13="Yes",1,0)</f>
        <v>1</v>
      </c>
      <c r="AF468" s="633"/>
      <c r="AG468" s="633"/>
      <c r="AH468" s="633"/>
      <c r="AI468" s="633"/>
      <c r="AJ468" s="633"/>
      <c r="AK468" s="633"/>
      <c r="AL468" s="633"/>
      <c r="AM468" s="640">
        <f t="shared" si="127"/>
        <v>1</v>
      </c>
      <c r="AN468" s="254"/>
      <c r="AR468" s="596"/>
      <c r="GS468" s="176"/>
      <c r="GT468" s="176"/>
      <c r="GU468" s="176"/>
      <c r="GV468" s="176"/>
      <c r="GW468" s="176"/>
    </row>
    <row r="469" spans="1:205" ht="12.75" customHeight="1" x14ac:dyDescent="0.2">
      <c r="A469" s="735"/>
      <c r="B469" s="1136"/>
      <c r="C469" s="1136"/>
      <c r="D469" s="539"/>
      <c r="E469" s="614"/>
      <c r="G469" s="174"/>
      <c r="H469" s="174"/>
      <c r="I469" s="174"/>
      <c r="J469" s="174"/>
      <c r="K469" s="174"/>
      <c r="P469" s="179"/>
      <c r="Q469" s="179"/>
      <c r="R469" s="179"/>
      <c r="S469" s="179"/>
      <c r="T469" s="179"/>
      <c r="U469" s="1150"/>
      <c r="V469" s="1728" t="str">
        <f>IF(INPUT!$H$13="Yes",JARSSHOCKTOOLDDT!G110,"")</f>
        <v>6-3/4" PWD Tool</v>
      </c>
      <c r="W469" s="243">
        <v>1</v>
      </c>
      <c r="X469" s="633"/>
      <c r="Y469" s="633"/>
      <c r="Z469" s="633"/>
      <c r="AA469" s="633"/>
      <c r="AB469" s="633"/>
      <c r="AC469" s="633"/>
      <c r="AD469" s="633"/>
      <c r="AE469" s="633"/>
      <c r="AF469" s="633"/>
      <c r="AG469" s="633">
        <f>IF(INPUT!$H$14="Yes",1,0)*IF(DOUBLE_LINER="No",0,1)</f>
        <v>1</v>
      </c>
      <c r="AH469" s="633"/>
      <c r="AI469" s="633"/>
      <c r="AJ469" s="633"/>
      <c r="AK469" s="633"/>
      <c r="AL469" s="633"/>
      <c r="AM469" s="640">
        <f t="shared" si="127"/>
        <v>1</v>
      </c>
      <c r="AN469" s="254"/>
      <c r="AR469" s="596"/>
      <c r="GS469" s="176"/>
      <c r="GT469" s="176"/>
      <c r="GU469" s="176"/>
      <c r="GV469" s="176"/>
      <c r="GW469" s="176"/>
    </row>
    <row r="470" spans="1:205" ht="12.75" customHeight="1" x14ac:dyDescent="0.2">
      <c r="A470" s="735"/>
      <c r="B470" s="1136"/>
      <c r="C470" s="1136"/>
      <c r="D470" s="539"/>
      <c r="E470" s="614"/>
      <c r="G470" s="174"/>
      <c r="H470" s="174"/>
      <c r="I470" s="174"/>
      <c r="J470" s="174"/>
      <c r="K470" s="174"/>
      <c r="P470" s="179"/>
      <c r="Q470" s="179"/>
      <c r="R470" s="179"/>
      <c r="S470" s="179"/>
      <c r="T470" s="179"/>
      <c r="U470" s="1150"/>
      <c r="V470" s="1728" t="str">
        <f>IF($V$468="","","Circulating Hours 8 PWD")</f>
        <v>Circulating Hours 8 PWD</v>
      </c>
      <c r="W470" s="243">
        <v>1</v>
      </c>
      <c r="X470" s="633"/>
      <c r="Y470" s="633"/>
      <c r="Z470" s="633"/>
      <c r="AA470" s="633"/>
      <c r="AB470" s="633"/>
      <c r="AC470" s="633"/>
      <c r="AD470" s="633"/>
      <c r="AE470" s="633">
        <f ca="1">IF(INPUT!$H$13="Yes",INDIRECT($AE$441)*24,0)</f>
        <v>144</v>
      </c>
      <c r="AF470" s="633"/>
      <c r="AG470" s="633"/>
      <c r="AH470" s="633"/>
      <c r="AI470" s="633"/>
      <c r="AJ470" s="633"/>
      <c r="AK470" s="633"/>
      <c r="AL470" s="633"/>
      <c r="AM470" s="640">
        <f t="shared" ca="1" si="127"/>
        <v>144</v>
      </c>
      <c r="AN470" s="254"/>
      <c r="AR470" s="596"/>
      <c r="GS470" s="176"/>
      <c r="GT470" s="176"/>
      <c r="GU470" s="176"/>
      <c r="GV470" s="176"/>
      <c r="GW470" s="176"/>
    </row>
    <row r="471" spans="1:205" ht="12.75" customHeight="1" x14ac:dyDescent="0.2">
      <c r="A471" s="735"/>
      <c r="B471" s="1136"/>
      <c r="C471" s="1136"/>
      <c r="D471" s="539"/>
      <c r="E471" s="614"/>
      <c r="G471" s="174"/>
      <c r="H471" s="174"/>
      <c r="I471" s="174"/>
      <c r="J471" s="174"/>
      <c r="K471" s="174"/>
      <c r="P471" s="179"/>
      <c r="Q471" s="179"/>
      <c r="R471" s="179"/>
      <c r="S471" s="179"/>
      <c r="T471" s="179"/>
      <c r="U471" s="1458"/>
      <c r="V471" s="1728" t="str">
        <f>IF($V$469="","","Circulating Hours 6 PWD")</f>
        <v>Circulating Hours 6 PWD</v>
      </c>
      <c r="W471" s="243">
        <v>1</v>
      </c>
      <c r="X471" s="633"/>
      <c r="Y471" s="633"/>
      <c r="Z471" s="633"/>
      <c r="AA471" s="633"/>
      <c r="AB471" s="633"/>
      <c r="AC471" s="633"/>
      <c r="AD471" s="633"/>
      <c r="AE471" s="633"/>
      <c r="AF471" s="633"/>
      <c r="AG471" s="633">
        <f ca="1">IFERROR(IF(INPUT!$H$13="Yes",INDIRECT($AG$441)*24,0),0)</f>
        <v>120</v>
      </c>
      <c r="AH471" s="633"/>
      <c r="AI471" s="633"/>
      <c r="AJ471" s="633"/>
      <c r="AK471" s="633"/>
      <c r="AL471" s="633"/>
      <c r="AM471" s="640">
        <f t="shared" ca="1" si="127"/>
        <v>120</v>
      </c>
      <c r="AN471" s="254"/>
      <c r="AR471" s="596"/>
      <c r="GS471" s="176"/>
      <c r="GT471" s="176"/>
      <c r="GU471" s="176"/>
      <c r="GV471" s="176"/>
      <c r="GW471" s="176"/>
    </row>
    <row r="472" spans="1:205" ht="12.75" customHeight="1" x14ac:dyDescent="0.2">
      <c r="A472" s="735"/>
      <c r="B472" s="1136"/>
      <c r="C472" s="1136"/>
      <c r="D472" s="539"/>
      <c r="E472" s="614"/>
      <c r="G472" s="174"/>
      <c r="H472" s="174"/>
      <c r="I472" s="174"/>
      <c r="J472" s="174"/>
      <c r="K472" s="174"/>
      <c r="P472" s="179"/>
      <c r="Q472" s="179"/>
      <c r="R472" s="179"/>
      <c r="S472" s="179"/>
      <c r="T472" s="179"/>
      <c r="U472" s="1150"/>
      <c r="V472" s="1728" t="str">
        <f>IF($V$468="","","PWD Engineer 8in")</f>
        <v>PWD Engineer 8in</v>
      </c>
      <c r="W472" s="243">
        <v>1</v>
      </c>
      <c r="X472" s="633"/>
      <c r="Y472" s="633"/>
      <c r="Z472" s="633"/>
      <c r="AA472" s="633"/>
      <c r="AB472" s="633"/>
      <c r="AC472" s="633"/>
      <c r="AD472" s="633">
        <f>IF(INPUT!$H$13="Yes",5,0)</f>
        <v>5</v>
      </c>
      <c r="AE472" s="1833">
        <f ca="1">IF(INPUT!$H$13="Yes",INDIRECT($AE$441),0)</f>
        <v>6</v>
      </c>
      <c r="AF472" s="1833">
        <f ca="1">IF(INPUT!$H$13="Yes",INDIRECT($AF$441),0)</f>
        <v>2</v>
      </c>
      <c r="AG472" s="633"/>
      <c r="AH472" s="633"/>
      <c r="AI472" s="633"/>
      <c r="AJ472" s="633"/>
      <c r="AK472" s="633"/>
      <c r="AL472" s="633"/>
      <c r="AM472" s="640">
        <f t="shared" ca="1" si="127"/>
        <v>13</v>
      </c>
      <c r="AN472" s="254"/>
      <c r="AR472" s="596"/>
      <c r="GS472" s="176"/>
      <c r="GT472" s="176"/>
      <c r="GU472" s="176"/>
      <c r="GV472" s="176"/>
      <c r="GW472" s="176"/>
    </row>
    <row r="473" spans="1:205" ht="12.75" customHeight="1" x14ac:dyDescent="0.2">
      <c r="A473" s="735"/>
      <c r="B473" s="1136"/>
      <c r="C473" s="1136"/>
      <c r="D473" s="539"/>
      <c r="E473" s="614"/>
      <c r="G473" s="174"/>
      <c r="H473" s="174"/>
      <c r="I473" s="174"/>
      <c r="J473" s="174"/>
      <c r="K473" s="174"/>
      <c r="P473" s="179"/>
      <c r="Q473" s="179"/>
      <c r="R473" s="179"/>
      <c r="S473" s="179"/>
      <c r="T473" s="179"/>
      <c r="U473" s="1150"/>
      <c r="V473" s="1728" t="str">
        <f>IF($V$470="","","PWD Engineer 6in")</f>
        <v>PWD Engineer 6in</v>
      </c>
      <c r="W473" s="243">
        <v>1</v>
      </c>
      <c r="X473" s="633"/>
      <c r="Y473" s="633"/>
      <c r="Z473" s="633"/>
      <c r="AA473" s="633"/>
      <c r="AB473" s="633"/>
      <c r="AC473" s="633"/>
      <c r="AD473" s="633"/>
      <c r="AE473" s="633"/>
      <c r="AF473" s="633"/>
      <c r="AG473" s="1833">
        <f ca="1">IFERROR(IF(INPUT!$H$14="Yes",INDIRECT($AG$441),0),0)</f>
        <v>5</v>
      </c>
      <c r="AH473" s="633">
        <f>IF(INPUT!$H$13="Yes",5,0)*IF(DOUBLE_LINER="No",0,1)</f>
        <v>5</v>
      </c>
      <c r="AI473" s="633"/>
      <c r="AJ473" s="633"/>
      <c r="AK473" s="633"/>
      <c r="AL473" s="633"/>
      <c r="AM473" s="640">
        <f t="shared" ca="1" si="127"/>
        <v>10</v>
      </c>
      <c r="AN473" s="254"/>
      <c r="AR473" s="596"/>
      <c r="GS473" s="176"/>
      <c r="GT473" s="176"/>
      <c r="GU473" s="176"/>
      <c r="GV473" s="176"/>
      <c r="GW473" s="176"/>
    </row>
    <row r="474" spans="1:205" ht="12.75" customHeight="1" x14ac:dyDescent="0.2">
      <c r="A474" s="735"/>
      <c r="B474" s="1136"/>
      <c r="C474" s="1136"/>
      <c r="D474" s="539"/>
      <c r="E474" s="614"/>
      <c r="G474" s="174"/>
      <c r="H474" s="174"/>
      <c r="I474" s="174"/>
      <c r="J474" s="174"/>
      <c r="K474" s="174"/>
      <c r="P474" s="179"/>
      <c r="Q474" s="179"/>
      <c r="R474" s="179"/>
      <c r="S474" s="179"/>
      <c r="T474" s="179"/>
      <c r="U474" s="1150"/>
      <c r="V474" s="1728" t="str">
        <f>IF($V$468="","","Tool Mob/Demob")</f>
        <v>Tool Mob/Demob</v>
      </c>
      <c r="W474" s="243">
        <v>1</v>
      </c>
      <c r="X474" s="633"/>
      <c r="Y474" s="633"/>
      <c r="Z474" s="633"/>
      <c r="AA474" s="633"/>
      <c r="AB474" s="633"/>
      <c r="AC474" s="633"/>
      <c r="AD474" s="633">
        <f>IF(INPUT!$H$13="Yes",1,0)</f>
        <v>1</v>
      </c>
      <c r="AE474" s="633"/>
      <c r="AF474" s="633"/>
      <c r="AG474" s="633"/>
      <c r="AH474" s="633"/>
      <c r="AI474" s="633"/>
      <c r="AJ474" s="633"/>
      <c r="AK474" s="633"/>
      <c r="AL474" s="633"/>
      <c r="AM474" s="640">
        <f t="shared" si="127"/>
        <v>1</v>
      </c>
      <c r="AN474" s="254"/>
      <c r="AR474" s="596"/>
      <c r="GS474" s="176"/>
      <c r="GT474" s="176"/>
      <c r="GU474" s="176"/>
      <c r="GV474" s="176"/>
      <c r="GW474" s="176"/>
    </row>
    <row r="475" spans="1:205" ht="13.5" customHeight="1" x14ac:dyDescent="0.2">
      <c r="A475" s="735"/>
      <c r="B475" s="1136"/>
      <c r="C475" s="1136"/>
      <c r="D475" s="539"/>
      <c r="G475" s="174"/>
      <c r="H475" s="174"/>
      <c r="I475" s="174"/>
      <c r="J475" s="174"/>
      <c r="K475" s="174"/>
      <c r="P475" s="179"/>
      <c r="Q475" s="179"/>
      <c r="R475" s="179"/>
      <c r="S475" s="179"/>
      <c r="T475" s="179"/>
      <c r="U475"/>
      <c r="V475"/>
      <c r="W475"/>
      <c r="X475"/>
      <c r="Y475"/>
      <c r="Z475"/>
      <c r="AA475"/>
      <c r="AB475"/>
      <c r="AC475"/>
      <c r="AD475"/>
      <c r="AE475"/>
      <c r="AF475"/>
      <c r="AG475"/>
      <c r="AH475"/>
      <c r="AI475" s="315"/>
      <c r="AJ475" s="315"/>
      <c r="AK475" s="315"/>
      <c r="AL475"/>
      <c r="AM475"/>
      <c r="AN475" s="244"/>
      <c r="AO475" s="249"/>
      <c r="AP475" s="250"/>
      <c r="AQ475" s="250"/>
      <c r="AR475" s="250"/>
      <c r="AS475" s="250"/>
      <c r="AT475" s="250"/>
      <c r="AU475" s="250"/>
      <c r="GS475" s="176"/>
      <c r="GT475" s="176"/>
      <c r="GU475" s="176"/>
      <c r="GV475" s="176"/>
      <c r="GW475" s="176"/>
    </row>
    <row r="476" spans="1:205" ht="13.5" customHeight="1" x14ac:dyDescent="0.2">
      <c r="A476" s="733"/>
      <c r="B476" s="1134"/>
      <c r="C476" s="1134"/>
      <c r="D476" s="535"/>
      <c r="E476" s="613"/>
      <c r="G476" s="174"/>
      <c r="H476" s="174"/>
      <c r="I476" s="174"/>
      <c r="J476" s="174"/>
      <c r="K476" s="174"/>
      <c r="P476" s="179"/>
      <c r="Q476" s="179"/>
      <c r="R476" s="179"/>
      <c r="S476" s="179"/>
      <c r="T476" s="179"/>
      <c r="U476" s="2513" t="s">
        <v>147</v>
      </c>
      <c r="V476" s="2514"/>
      <c r="W476" s="1440" t="s">
        <v>929</v>
      </c>
      <c r="X476" s="1426" t="str">
        <f t="shared" ref="X476:AK476" si="130">X$14</f>
        <v>RIGMOVE</v>
      </c>
      <c r="Y476" s="1426" t="str">
        <f t="shared" si="130"/>
        <v>DSURFACE</v>
      </c>
      <c r="Z476" s="1426" t="str">
        <f t="shared" si="130"/>
        <v>FSURFACE</v>
      </c>
      <c r="AA476" s="1426" t="str">
        <f t="shared" si="130"/>
        <v>DINTERMEDIATE</v>
      </c>
      <c r="AB476" s="1426" t="str">
        <f t="shared" si="130"/>
        <v>FINTERMEDIATE</v>
      </c>
      <c r="AC476" s="1426">
        <f>SUM(X478:X510)</f>
        <v>1983709.26</v>
      </c>
      <c r="AD476" s="1426" t="str">
        <f t="shared" si="130"/>
        <v>FPRODUCTION</v>
      </c>
      <c r="AE476" s="1426" t="str">
        <f t="shared" si="130"/>
        <v>DLINER1</v>
      </c>
      <c r="AF476" s="1426" t="str">
        <f t="shared" si="130"/>
        <v>FLINER1</v>
      </c>
      <c r="AG476" s="1426" t="str">
        <f t="shared" si="130"/>
        <v>DLINER2</v>
      </c>
      <c r="AH476" s="1426" t="str">
        <f t="shared" si="130"/>
        <v>FLINER2</v>
      </c>
      <c r="AI476" s="1426" t="str">
        <f t="shared" si="130"/>
        <v/>
      </c>
      <c r="AJ476" s="1426" t="str">
        <f t="shared" si="130"/>
        <v/>
      </c>
      <c r="AK476" s="1426" t="str">
        <f t="shared" si="130"/>
        <v/>
      </c>
      <c r="AL476" s="1426"/>
      <c r="AM476" s="1449" t="s">
        <v>46</v>
      </c>
      <c r="AN476" s="294"/>
      <c r="GS476" s="176"/>
      <c r="GT476" s="176"/>
      <c r="GU476" s="176"/>
      <c r="GV476" s="176"/>
      <c r="GW476" s="176"/>
    </row>
    <row r="477" spans="1:205" s="252" customFormat="1" ht="16.5" customHeight="1" x14ac:dyDescent="0.2">
      <c r="A477" s="735"/>
      <c r="B477" s="1136"/>
      <c r="C477" s="1136"/>
      <c r="D477" s="540"/>
      <c r="E477" s="614"/>
      <c r="F477" s="249"/>
      <c r="G477" s="250"/>
      <c r="H477" s="250"/>
      <c r="I477" s="250"/>
      <c r="J477" s="250"/>
      <c r="K477" s="250"/>
      <c r="L477" s="250"/>
      <c r="M477" s="250"/>
      <c r="N477" s="250"/>
      <c r="O477" s="250"/>
      <c r="P477" s="251"/>
      <c r="Q477" s="251"/>
      <c r="R477" s="251"/>
      <c r="S477" s="251"/>
      <c r="T477" s="251"/>
      <c r="U477" s="1465"/>
      <c r="V477" s="1153"/>
      <c r="W477" s="1466"/>
      <c r="X477" s="1154"/>
      <c r="Y477" s="1154"/>
      <c r="Z477" s="1154"/>
      <c r="AA477" s="1154"/>
      <c r="AB477" s="1154"/>
      <c r="AC477" s="1154"/>
      <c r="AD477" s="1154"/>
      <c r="AE477" s="1154"/>
      <c r="AF477" s="1154"/>
      <c r="AG477" s="1154"/>
      <c r="AH477" s="1154"/>
      <c r="AI477" s="1154"/>
      <c r="AJ477" s="1154"/>
      <c r="AK477" s="1154"/>
      <c r="AL477" s="1154"/>
      <c r="AM477" s="1467"/>
      <c r="AN477" s="254"/>
      <c r="AO477" s="249"/>
      <c r="AP477" s="250"/>
      <c r="AQ477" s="250"/>
      <c r="AR477" s="250"/>
      <c r="AS477" s="250"/>
      <c r="AT477" s="250"/>
      <c r="AU477" s="250"/>
      <c r="AV477" s="249"/>
      <c r="AW477" s="249"/>
      <c r="AX477" s="249"/>
      <c r="AY477" s="249"/>
      <c r="AZ477" s="249"/>
      <c r="BA477" s="249"/>
      <c r="BB477" s="249"/>
      <c r="BC477" s="249"/>
      <c r="BD477" s="249"/>
      <c r="BE477" s="249"/>
      <c r="BF477" s="249"/>
      <c r="BG477" s="249"/>
      <c r="BH477" s="249"/>
      <c r="BI477" s="249"/>
      <c r="BJ477" s="249"/>
      <c r="BK477" s="249"/>
      <c r="BL477" s="249"/>
      <c r="BM477" s="249"/>
      <c r="BN477" s="249"/>
      <c r="BO477" s="249"/>
      <c r="BP477" s="249"/>
      <c r="BQ477" s="249"/>
      <c r="BR477" s="249"/>
      <c r="BS477" s="249"/>
      <c r="BT477" s="249"/>
      <c r="BU477" s="249"/>
      <c r="BV477" s="249"/>
      <c r="BW477" s="249"/>
      <c r="BX477" s="249"/>
      <c r="BY477" s="249"/>
      <c r="BZ477" s="249"/>
      <c r="CA477" s="249"/>
      <c r="CB477" s="249"/>
      <c r="CC477" s="249"/>
      <c r="CD477" s="249"/>
      <c r="CE477" s="249"/>
      <c r="CF477" s="249"/>
      <c r="CG477" s="249"/>
      <c r="CH477" s="249"/>
      <c r="CI477" s="249"/>
      <c r="CJ477" s="249"/>
      <c r="CK477" s="249"/>
      <c r="CL477" s="249"/>
      <c r="CM477" s="249"/>
      <c r="CN477" s="249"/>
      <c r="CO477" s="249"/>
      <c r="CP477" s="249"/>
      <c r="CQ477" s="249"/>
      <c r="CR477" s="249"/>
      <c r="CS477" s="249"/>
      <c r="CT477" s="249"/>
      <c r="CU477" s="249"/>
      <c r="CV477" s="249"/>
      <c r="CW477" s="249"/>
      <c r="CX477" s="249"/>
      <c r="CY477" s="249"/>
      <c r="CZ477" s="249"/>
      <c r="DA477" s="249"/>
      <c r="DB477" s="249"/>
      <c r="DC477" s="249"/>
      <c r="DD477" s="249"/>
      <c r="DE477" s="249"/>
      <c r="DF477" s="249"/>
      <c r="DG477" s="249"/>
      <c r="DH477" s="249"/>
      <c r="DI477" s="249"/>
      <c r="DJ477" s="249"/>
      <c r="DK477" s="249"/>
      <c r="DL477" s="249"/>
      <c r="DM477" s="249"/>
      <c r="DN477" s="249"/>
      <c r="DO477" s="249"/>
      <c r="DP477" s="249"/>
      <c r="DQ477" s="249"/>
      <c r="DR477" s="249"/>
      <c r="DS477" s="249"/>
      <c r="DT477" s="249"/>
      <c r="DU477" s="249"/>
      <c r="DV477" s="249"/>
      <c r="DW477" s="249"/>
      <c r="DX477" s="249"/>
      <c r="DY477" s="249"/>
      <c r="DZ477" s="249"/>
      <c r="EA477" s="249"/>
      <c r="EB477" s="249"/>
      <c r="EC477" s="249"/>
      <c r="ED477" s="249"/>
      <c r="EE477" s="249"/>
      <c r="EF477" s="249"/>
      <c r="EG477" s="249"/>
      <c r="EH477" s="249"/>
      <c r="EI477" s="249"/>
      <c r="EJ477" s="249"/>
      <c r="EK477" s="249"/>
      <c r="EL477" s="249"/>
      <c r="EM477" s="249"/>
      <c r="EN477" s="249"/>
      <c r="EO477" s="249"/>
      <c r="EP477" s="249"/>
      <c r="EQ477" s="249"/>
      <c r="ER477" s="249"/>
      <c r="ES477" s="249"/>
      <c r="ET477" s="249"/>
      <c r="EU477" s="249"/>
      <c r="EV477" s="249"/>
      <c r="EW477" s="249"/>
      <c r="EX477" s="249"/>
      <c r="EY477" s="249"/>
      <c r="EZ477" s="249"/>
      <c r="FA477" s="249"/>
      <c r="FB477" s="249"/>
      <c r="FC477" s="249"/>
      <c r="FD477" s="249"/>
      <c r="FE477" s="249"/>
      <c r="FF477" s="249"/>
      <c r="FG477" s="249"/>
      <c r="FH477" s="249"/>
      <c r="FI477" s="249"/>
      <c r="FJ477" s="249"/>
      <c r="FK477" s="249"/>
      <c r="FL477" s="249"/>
      <c r="FM477" s="249"/>
      <c r="FN477" s="249"/>
      <c r="FO477" s="249"/>
      <c r="FP477" s="249"/>
      <c r="FQ477" s="249"/>
      <c r="FR477" s="249"/>
      <c r="FS477" s="249"/>
      <c r="FT477" s="249"/>
      <c r="FU477" s="249"/>
      <c r="FV477" s="249"/>
      <c r="FW477" s="249"/>
      <c r="FX477" s="249"/>
      <c r="FY477" s="249"/>
      <c r="FZ477" s="249"/>
      <c r="GA477" s="249"/>
      <c r="GB477" s="249"/>
      <c r="GC477" s="249"/>
      <c r="GD477" s="249"/>
      <c r="GE477" s="249"/>
      <c r="GF477" s="249"/>
      <c r="GG477" s="249"/>
      <c r="GH477" s="249"/>
      <c r="GI477" s="249"/>
      <c r="GJ477" s="249"/>
      <c r="GK477" s="249"/>
      <c r="GL477" s="249"/>
      <c r="GM477" s="249"/>
      <c r="GN477" s="249"/>
      <c r="GO477" s="249"/>
      <c r="GP477" s="249"/>
      <c r="GQ477" s="249"/>
      <c r="GR477" s="249"/>
    </row>
    <row r="478" spans="1:205" ht="12.75" customHeight="1" x14ac:dyDescent="0.2">
      <c r="A478" s="709"/>
      <c r="B478" s="1110"/>
      <c r="C478" s="1110"/>
      <c r="D478" s="257"/>
      <c r="E478" s="613"/>
      <c r="G478" s="174"/>
      <c r="H478" s="174"/>
      <c r="I478" s="174"/>
      <c r="J478" s="174"/>
      <c r="K478" s="174"/>
      <c r="P478" s="179"/>
      <c r="Q478" s="179"/>
      <c r="R478" s="179"/>
      <c r="S478" s="175"/>
      <c r="T478" s="175"/>
      <c r="U478" s="253"/>
      <c r="V478" s="1460" t="str">
        <f t="shared" ref="V478:V502" si="131">V442</f>
        <v>Directional Engineer</v>
      </c>
      <c r="W478" s="290">
        <f>JARSSHOCKTOOLDDT!I82</f>
        <v>552.5</v>
      </c>
      <c r="X478" s="245">
        <f>IFERROR(($W478*$W442*X442*FOREX),0)</f>
        <v>112710</v>
      </c>
      <c r="Y478" s="245">
        <f ca="1">IFERROR(($W478*$W442*Y442*FOREX),0)</f>
        <v>112710</v>
      </c>
      <c r="Z478" s="245">
        <f t="shared" ref="Z478:AK478" ca="1" si="132">IFERROR(($W478*$W442*Z442*FOREX),0)</f>
        <v>225420</v>
      </c>
      <c r="AA478" s="245">
        <f t="shared" ca="1" si="132"/>
        <v>281775</v>
      </c>
      <c r="AB478" s="245">
        <f t="shared" ca="1" si="132"/>
        <v>225420</v>
      </c>
      <c r="AC478" s="245">
        <f t="shared" ca="1" si="132"/>
        <v>563550</v>
      </c>
      <c r="AD478" s="245">
        <f t="shared" ca="1" si="132"/>
        <v>169065</v>
      </c>
      <c r="AE478" s="245">
        <f t="shared" ca="1" si="132"/>
        <v>338130</v>
      </c>
      <c r="AF478" s="245">
        <f t="shared" ca="1" si="132"/>
        <v>112710</v>
      </c>
      <c r="AG478" s="245">
        <f t="shared" ca="1" si="132"/>
        <v>281775</v>
      </c>
      <c r="AH478" s="245">
        <f>IFERROR(($W478*$W442*AH442*FOREX),0)*IF(RH_BH="Regular Hole",0,1)</f>
        <v>112710</v>
      </c>
      <c r="AI478" s="245">
        <f t="shared" ca="1" si="132"/>
        <v>0</v>
      </c>
      <c r="AJ478" s="245">
        <f t="shared" ca="1" si="132"/>
        <v>0</v>
      </c>
      <c r="AK478" s="245">
        <f t="shared" si="132"/>
        <v>0</v>
      </c>
      <c r="AL478" s="245"/>
      <c r="AM478" s="246">
        <f t="shared" ref="AM478:AM510" ca="1" si="133">SUM(X478:AL478)</f>
        <v>2535975</v>
      </c>
      <c r="AN478" s="254"/>
      <c r="GS478" s="176"/>
      <c r="GT478" s="176"/>
      <c r="GU478" s="176"/>
      <c r="GV478" s="176"/>
      <c r="GW478" s="176"/>
    </row>
    <row r="479" spans="1:205" ht="12.75" customHeight="1" x14ac:dyDescent="0.2">
      <c r="A479" s="709"/>
      <c r="B479" s="1110"/>
      <c r="C479" s="1110"/>
      <c r="D479" s="257"/>
      <c r="E479" s="613"/>
      <c r="G479" s="174"/>
      <c r="H479" s="174"/>
      <c r="I479" s="174"/>
      <c r="J479" s="174"/>
      <c r="K479" s="174"/>
      <c r="P479" s="179"/>
      <c r="Q479" s="179"/>
      <c r="R479" s="179"/>
      <c r="S479" s="175"/>
      <c r="T479" s="175"/>
      <c r="U479" s="253"/>
      <c r="V479" s="1728" t="str">
        <f t="shared" si="131"/>
        <v>MWD Engineer</v>
      </c>
      <c r="W479" s="290">
        <f>JARSSHOCKTOOLDDT!I83</f>
        <v>552.5</v>
      </c>
      <c r="X479" s="245">
        <f>IFERROR(($W479*$W443*X443*FOREX),0)</f>
        <v>112710</v>
      </c>
      <c r="Y479" s="245">
        <f t="shared" ref="Y479:AK479" ca="1" si="134">IFERROR(($W479*$W443*Y443*FOREX),0)</f>
        <v>112710</v>
      </c>
      <c r="Z479" s="245">
        <f t="shared" ca="1" si="134"/>
        <v>225420</v>
      </c>
      <c r="AA479" s="245">
        <f t="shared" ca="1" si="134"/>
        <v>281775</v>
      </c>
      <c r="AB479" s="245">
        <f t="shared" ca="1" si="134"/>
        <v>225420</v>
      </c>
      <c r="AC479" s="245">
        <f t="shared" ca="1" si="134"/>
        <v>563550</v>
      </c>
      <c r="AD479" s="245">
        <f t="shared" ca="1" si="134"/>
        <v>169065</v>
      </c>
      <c r="AE479" s="245">
        <f t="shared" ca="1" si="134"/>
        <v>338130</v>
      </c>
      <c r="AF479" s="245">
        <f t="shared" ca="1" si="134"/>
        <v>112710</v>
      </c>
      <c r="AG479" s="245">
        <f t="shared" ca="1" si="134"/>
        <v>281775</v>
      </c>
      <c r="AH479" s="245">
        <f>IFERROR(($W479*$W443*AH443*FOREX),0)*IF(RH_BH="Regular Hole",0,1)</f>
        <v>112710</v>
      </c>
      <c r="AI479" s="245">
        <f t="shared" ca="1" si="134"/>
        <v>0</v>
      </c>
      <c r="AJ479" s="245">
        <f t="shared" ca="1" si="134"/>
        <v>0</v>
      </c>
      <c r="AK479" s="245">
        <f t="shared" si="134"/>
        <v>0</v>
      </c>
      <c r="AL479" s="245"/>
      <c r="AM479" s="246">
        <f t="shared" ca="1" si="133"/>
        <v>2535975</v>
      </c>
      <c r="AN479" s="254"/>
      <c r="GS479" s="176"/>
      <c r="GT479" s="176"/>
      <c r="GU479" s="176"/>
      <c r="GV479" s="176"/>
      <c r="GW479" s="176"/>
    </row>
    <row r="480" spans="1:205" ht="12.75" customHeight="1" x14ac:dyDescent="0.2">
      <c r="A480" s="709"/>
      <c r="B480" s="1110"/>
      <c r="C480" s="1110"/>
      <c r="D480" s="257"/>
      <c r="E480" s="614"/>
      <c r="G480" s="174"/>
      <c r="H480" s="174"/>
      <c r="I480" s="174"/>
      <c r="J480" s="174"/>
      <c r="K480" s="174"/>
      <c r="P480" s="179"/>
      <c r="Q480" s="179"/>
      <c r="R480" s="179"/>
      <c r="S480" s="175"/>
      <c r="T480" s="175"/>
      <c r="U480" s="253"/>
      <c r="V480" s="1728" t="str">
        <f t="shared" si="131"/>
        <v>9-5/8" Mud Motor, rental</v>
      </c>
      <c r="W480" s="290">
        <f>JARSSHOCKTOOLDDT!I84</f>
        <v>455</v>
      </c>
      <c r="X480" s="245">
        <f>IFERROR(($W480*$W444*X444*FOREX),0)</f>
        <v>649740</v>
      </c>
      <c r="Y480" s="245">
        <f t="shared" ref="Y480:AK480" ca="1" si="135">IFERROR(($W480*$W444*Y444*FOREX),0)</f>
        <v>185640</v>
      </c>
      <c r="Z480" s="245">
        <f t="shared" ca="1" si="135"/>
        <v>371280</v>
      </c>
      <c r="AA480" s="245">
        <f t="shared" ca="1" si="135"/>
        <v>464100</v>
      </c>
      <c r="AB480" s="245">
        <f t="shared" ca="1" si="135"/>
        <v>371280</v>
      </c>
      <c r="AC480" s="245">
        <f t="shared" ca="1" si="135"/>
        <v>928200</v>
      </c>
      <c r="AD480" s="245">
        <f t="shared" si="135"/>
        <v>0</v>
      </c>
      <c r="AE480" s="245">
        <f t="shared" si="135"/>
        <v>649740</v>
      </c>
      <c r="AF480" s="245">
        <f t="shared" si="135"/>
        <v>0</v>
      </c>
      <c r="AG480" s="245">
        <f t="shared" si="135"/>
        <v>0</v>
      </c>
      <c r="AH480" s="245">
        <f t="shared" si="135"/>
        <v>0</v>
      </c>
      <c r="AI480" s="245">
        <f t="shared" si="135"/>
        <v>0</v>
      </c>
      <c r="AJ480" s="245">
        <f t="shared" si="135"/>
        <v>0</v>
      </c>
      <c r="AK480" s="245">
        <f t="shared" si="135"/>
        <v>0</v>
      </c>
      <c r="AL480" s="245"/>
      <c r="AM480" s="246">
        <f t="shared" ca="1" si="133"/>
        <v>3619980</v>
      </c>
      <c r="AN480" s="254"/>
      <c r="GS480" s="176"/>
      <c r="GT480" s="176"/>
      <c r="GU480" s="176"/>
      <c r="GV480" s="176"/>
      <c r="GW480" s="176"/>
    </row>
    <row r="481" spans="1:205" ht="12.75" customHeight="1" x14ac:dyDescent="0.2">
      <c r="A481" s="709"/>
      <c r="B481" s="1110"/>
      <c r="C481" s="1110"/>
      <c r="D481" s="257"/>
      <c r="E481" s="613"/>
      <c r="G481" s="186" t="e">
        <f>#REF!</f>
        <v>#REF!</v>
      </c>
      <c r="H481" s="186" t="e">
        <f>#REF!</f>
        <v>#REF!</v>
      </c>
      <c r="I481" s="186" t="e">
        <f>#REF!</f>
        <v>#REF!</v>
      </c>
      <c r="J481" s="186" t="e">
        <f>#REF!</f>
        <v>#REF!</v>
      </c>
      <c r="K481" s="186" t="e">
        <f>#REF!</f>
        <v>#REF!</v>
      </c>
      <c r="L481" s="186" t="e">
        <f>#REF!</f>
        <v>#REF!</v>
      </c>
      <c r="P481" s="179"/>
      <c r="Q481" s="179"/>
      <c r="R481" s="179"/>
      <c r="S481" s="179"/>
      <c r="T481" s="179"/>
      <c r="U481" s="253"/>
      <c r="V481" s="1728" t="str">
        <f t="shared" si="131"/>
        <v>9-5/8" Mud Motor, run charge</v>
      </c>
      <c r="W481" s="290">
        <f>JARSSHOCKTOOLDDT!I85</f>
        <v>3.25</v>
      </c>
      <c r="X481" s="245">
        <f t="shared" ref="X481:AK481" si="136">IFERROR(($W481*$W445*X445*FOREX),0)</f>
        <v>0</v>
      </c>
      <c r="Y481" s="245">
        <f t="shared" ca="1" si="136"/>
        <v>7956</v>
      </c>
      <c r="Z481" s="245">
        <f t="shared" si="136"/>
        <v>0</v>
      </c>
      <c r="AA481" s="245">
        <f t="shared" ca="1" si="136"/>
        <v>19890</v>
      </c>
      <c r="AB481" s="245">
        <f t="shared" si="136"/>
        <v>0</v>
      </c>
      <c r="AC481" s="245">
        <f t="shared" ca="1" si="136"/>
        <v>19890</v>
      </c>
      <c r="AD481" s="245">
        <f t="shared" si="136"/>
        <v>0</v>
      </c>
      <c r="AE481" s="245">
        <f t="shared" si="136"/>
        <v>0</v>
      </c>
      <c r="AF481" s="245">
        <f t="shared" si="136"/>
        <v>0</v>
      </c>
      <c r="AG481" s="245">
        <f t="shared" si="136"/>
        <v>0</v>
      </c>
      <c r="AH481" s="245">
        <f t="shared" si="136"/>
        <v>0</v>
      </c>
      <c r="AI481" s="245">
        <f t="shared" si="136"/>
        <v>0</v>
      </c>
      <c r="AJ481" s="245">
        <f t="shared" si="136"/>
        <v>0</v>
      </c>
      <c r="AK481" s="245">
        <f t="shared" si="136"/>
        <v>0</v>
      </c>
      <c r="AL481" s="245"/>
      <c r="AM481" s="246">
        <f t="shared" ca="1" si="133"/>
        <v>47736</v>
      </c>
      <c r="AN481" s="254"/>
      <c r="AP481" s="186"/>
      <c r="AQ481" s="186"/>
      <c r="AR481" s="186"/>
      <c r="AS481" s="186"/>
      <c r="AT481" s="186"/>
      <c r="AU481" s="186"/>
      <c r="GS481" s="176"/>
      <c r="GT481" s="176"/>
      <c r="GU481" s="176"/>
      <c r="GV481" s="176"/>
      <c r="GW481" s="176"/>
    </row>
    <row r="482" spans="1:205" ht="12.75" customHeight="1" x14ac:dyDescent="0.2">
      <c r="A482" s="709"/>
      <c r="B482" s="1110"/>
      <c r="C482" s="1110"/>
      <c r="D482" s="257"/>
      <c r="E482" s="613"/>
      <c r="G482" s="186" t="e">
        <f>#REF!</f>
        <v>#REF!</v>
      </c>
      <c r="H482" s="186" t="e">
        <f>#REF!</f>
        <v>#REF!</v>
      </c>
      <c r="I482" s="186" t="e">
        <f>#REF!</f>
        <v>#REF!</v>
      </c>
      <c r="J482" s="186" t="e">
        <f>#REF!</f>
        <v>#REF!</v>
      </c>
      <c r="K482" s="186" t="e">
        <f>#REF!</f>
        <v>#REF!</v>
      </c>
      <c r="L482" s="186" t="e">
        <f>#REF!</f>
        <v>#REF!</v>
      </c>
      <c r="P482" s="179"/>
      <c r="Q482" s="179"/>
      <c r="R482" s="179"/>
      <c r="S482" s="175"/>
      <c r="T482" s="175"/>
      <c r="U482" s="253"/>
      <c r="V482" s="1728" t="str">
        <f t="shared" si="131"/>
        <v>8" Mud Motor, rental</v>
      </c>
      <c r="W482" s="290">
        <f>JARSSHOCKTOOLDDT!I86</f>
        <v>130</v>
      </c>
      <c r="X482" s="245">
        <f t="shared" ref="X482:AK482" si="137">IFERROR(($W482*$W446*X446*FOREX),0)</f>
        <v>0</v>
      </c>
      <c r="Y482" s="245">
        <f t="shared" si="137"/>
        <v>0</v>
      </c>
      <c r="Z482" s="245">
        <f t="shared" si="137"/>
        <v>0</v>
      </c>
      <c r="AA482" s="245">
        <f t="shared" si="137"/>
        <v>0</v>
      </c>
      <c r="AB482" s="245">
        <f t="shared" si="137"/>
        <v>0</v>
      </c>
      <c r="AC482" s="245">
        <f t="shared" ca="1" si="137"/>
        <v>0</v>
      </c>
      <c r="AD482" s="245">
        <f t="shared" ca="1" si="137"/>
        <v>92820</v>
      </c>
      <c r="AE482" s="245">
        <f t="shared" ca="1" si="137"/>
        <v>79560</v>
      </c>
      <c r="AF482" s="245">
        <f t="shared" si="137"/>
        <v>0</v>
      </c>
      <c r="AG482" s="245">
        <f t="shared" si="137"/>
        <v>0</v>
      </c>
      <c r="AH482" s="245">
        <f t="shared" si="137"/>
        <v>0</v>
      </c>
      <c r="AI482" s="245">
        <f t="shared" si="137"/>
        <v>0</v>
      </c>
      <c r="AJ482" s="245">
        <f t="shared" si="137"/>
        <v>0</v>
      </c>
      <c r="AK482" s="245">
        <f t="shared" si="137"/>
        <v>0</v>
      </c>
      <c r="AL482" s="245"/>
      <c r="AM482" s="246">
        <f t="shared" ca="1" si="133"/>
        <v>172380</v>
      </c>
      <c r="AN482" s="254"/>
      <c r="AP482" s="186"/>
      <c r="AQ482" s="186"/>
      <c r="AR482" s="186"/>
      <c r="AS482" s="186"/>
      <c r="AT482" s="186"/>
      <c r="AU482" s="186"/>
      <c r="GS482" s="176"/>
      <c r="GT482" s="176"/>
      <c r="GU482" s="176"/>
      <c r="GV482" s="176"/>
      <c r="GW482" s="176"/>
    </row>
    <row r="483" spans="1:205" ht="12.75" customHeight="1" x14ac:dyDescent="0.2">
      <c r="A483" s="709"/>
      <c r="B483" s="1110"/>
      <c r="C483" s="1110"/>
      <c r="D483" s="257"/>
      <c r="E483" s="613"/>
      <c r="G483" s="186" t="e">
        <f>#REF!</f>
        <v>#REF!</v>
      </c>
      <c r="H483" s="186" t="e">
        <f>#REF!</f>
        <v>#REF!</v>
      </c>
      <c r="I483" s="186" t="e">
        <f>#REF!</f>
        <v>#REF!</v>
      </c>
      <c r="J483" s="186" t="e">
        <f>#REF!</f>
        <v>#REF!</v>
      </c>
      <c r="K483" s="186" t="e">
        <f>#REF!</f>
        <v>#REF!</v>
      </c>
      <c r="L483" s="186" t="e">
        <f>#REF!</f>
        <v>#REF!</v>
      </c>
      <c r="P483" s="179"/>
      <c r="Q483" s="179"/>
      <c r="R483" s="179"/>
      <c r="S483" s="175"/>
      <c r="T483" s="175"/>
      <c r="U483" s="253"/>
      <c r="V483" s="1728" t="str">
        <f t="shared" si="131"/>
        <v>8" Mud Motor, run charge</v>
      </c>
      <c r="W483" s="290">
        <f>JARSSHOCKTOOLDDT!I87</f>
        <v>3.25</v>
      </c>
      <c r="X483" s="245">
        <f t="shared" ref="X483:AK483" si="138">IFERROR(($W483*$W447*X447*FOREX),0)</f>
        <v>0</v>
      </c>
      <c r="Y483" s="245">
        <f t="shared" si="138"/>
        <v>0</v>
      </c>
      <c r="Z483" s="245">
        <f t="shared" si="138"/>
        <v>0</v>
      </c>
      <c r="AA483" s="245">
        <f t="shared" si="138"/>
        <v>0</v>
      </c>
      <c r="AB483" s="245">
        <f t="shared" si="138"/>
        <v>0</v>
      </c>
      <c r="AC483" s="245">
        <f t="shared" ca="1" si="138"/>
        <v>0</v>
      </c>
      <c r="AD483" s="245">
        <f t="shared" si="138"/>
        <v>0</v>
      </c>
      <c r="AE483" s="245">
        <f t="shared" ca="1" si="138"/>
        <v>23868</v>
      </c>
      <c r="AF483" s="245">
        <f t="shared" si="138"/>
        <v>0</v>
      </c>
      <c r="AG483" s="245">
        <f t="shared" si="138"/>
        <v>0</v>
      </c>
      <c r="AH483" s="245">
        <f t="shared" si="138"/>
        <v>0</v>
      </c>
      <c r="AI483" s="245">
        <f t="shared" si="138"/>
        <v>0</v>
      </c>
      <c r="AJ483" s="245">
        <f t="shared" si="138"/>
        <v>0</v>
      </c>
      <c r="AK483" s="245">
        <f t="shared" si="138"/>
        <v>0</v>
      </c>
      <c r="AL483" s="245"/>
      <c r="AM483" s="246">
        <f t="shared" ca="1" si="133"/>
        <v>23868</v>
      </c>
      <c r="AN483" s="254"/>
      <c r="AP483" s="186"/>
      <c r="AQ483" s="186"/>
      <c r="AR483" s="186"/>
      <c r="AS483" s="186"/>
      <c r="AT483" s="186"/>
      <c r="AU483" s="186"/>
      <c r="GS483" s="176"/>
      <c r="GT483" s="176"/>
      <c r="GU483" s="176"/>
      <c r="GV483" s="176"/>
      <c r="GW483" s="176"/>
    </row>
    <row r="484" spans="1:205" ht="12.75" customHeight="1" x14ac:dyDescent="0.2">
      <c r="A484" s="709"/>
      <c r="B484" s="1110"/>
      <c r="C484" s="1110"/>
      <c r="D484" s="257"/>
      <c r="E484" s="613"/>
      <c r="G484" s="186" t="e">
        <f>#REF!</f>
        <v>#REF!</v>
      </c>
      <c r="H484" s="186" t="e">
        <f>#REF!</f>
        <v>#REF!</v>
      </c>
      <c r="I484" s="186" t="e">
        <f>#REF!</f>
        <v>#REF!</v>
      </c>
      <c r="J484" s="186" t="e">
        <f>#REF!</f>
        <v>#REF!</v>
      </c>
      <c r="K484" s="186" t="e">
        <f>#REF!</f>
        <v>#REF!</v>
      </c>
      <c r="L484" s="186" t="e">
        <f>#REF!</f>
        <v>#REF!</v>
      </c>
      <c r="P484" s="179"/>
      <c r="Q484" s="179"/>
      <c r="R484" s="179"/>
      <c r="S484" s="175"/>
      <c r="T484" s="175"/>
      <c r="U484" s="253"/>
      <c r="V484" s="1728" t="str">
        <f t="shared" si="131"/>
        <v>6-3/4" Mud Motor, rental</v>
      </c>
      <c r="W484" s="290">
        <f>JARSSHOCKTOOLDDT!I88</f>
        <v>97.5</v>
      </c>
      <c r="X484" s="245">
        <f t="shared" ref="X484:AK484" si="139">IFERROR(($W484*$W448*X448*FOREX),0)</f>
        <v>0</v>
      </c>
      <c r="Y484" s="245">
        <f t="shared" si="139"/>
        <v>0</v>
      </c>
      <c r="Z484" s="245">
        <f t="shared" si="139"/>
        <v>0</v>
      </c>
      <c r="AA484" s="245">
        <f t="shared" si="139"/>
        <v>0</v>
      </c>
      <c r="AB484" s="245">
        <f t="shared" si="139"/>
        <v>0</v>
      </c>
      <c r="AC484" s="245">
        <f t="shared" si="139"/>
        <v>0</v>
      </c>
      <c r="AD484" s="245">
        <f t="shared" si="139"/>
        <v>0</v>
      </c>
      <c r="AE484" s="245">
        <f t="shared" si="139"/>
        <v>0</v>
      </c>
      <c r="AF484" s="245">
        <f t="shared" si="139"/>
        <v>69615</v>
      </c>
      <c r="AG484" s="245">
        <f t="shared" ca="1" si="139"/>
        <v>49725</v>
      </c>
      <c r="AH484" s="245">
        <f t="shared" ca="1" si="139"/>
        <v>69615</v>
      </c>
      <c r="AI484" s="245">
        <f t="shared" ca="1" si="139"/>
        <v>0</v>
      </c>
      <c r="AJ484" s="245">
        <f t="shared" si="139"/>
        <v>0</v>
      </c>
      <c r="AK484" s="245">
        <f t="shared" si="139"/>
        <v>0</v>
      </c>
      <c r="AL484" s="245"/>
      <c r="AM484" s="246">
        <f t="shared" ca="1" si="133"/>
        <v>188955</v>
      </c>
      <c r="AN484" s="254"/>
      <c r="AP484" s="186"/>
      <c r="AQ484" s="186"/>
      <c r="AR484" s="186"/>
      <c r="AS484" s="186"/>
      <c r="AT484" s="186"/>
      <c r="AU484" s="186"/>
      <c r="GS484" s="176"/>
      <c r="GT484" s="176"/>
      <c r="GU484" s="176"/>
      <c r="GV484" s="176"/>
      <c r="GW484" s="176"/>
    </row>
    <row r="485" spans="1:205" ht="12.75" customHeight="1" x14ac:dyDescent="0.2">
      <c r="A485" s="709"/>
      <c r="B485" s="1110"/>
      <c r="C485" s="1110"/>
      <c r="D485" s="257"/>
      <c r="E485" s="613"/>
      <c r="G485" s="186"/>
      <c r="H485" s="186"/>
      <c r="I485" s="186"/>
      <c r="J485" s="186"/>
      <c r="K485" s="186"/>
      <c r="L485" s="186"/>
      <c r="P485" s="179"/>
      <c r="Q485" s="179"/>
      <c r="R485" s="179"/>
      <c r="S485" s="175"/>
      <c r="T485" s="175"/>
      <c r="U485" s="253"/>
      <c r="V485" s="1728" t="str">
        <f t="shared" si="131"/>
        <v>6-3/4" Mud Motor, run charge</v>
      </c>
      <c r="W485" s="290">
        <f>JARSSHOCKTOOLDDT!I89</f>
        <v>3.25</v>
      </c>
      <c r="X485" s="245">
        <f t="shared" ref="X485:AK485" si="140">IFERROR(($W485*$W449*X449*FOREX),0)</f>
        <v>0</v>
      </c>
      <c r="Y485" s="245">
        <f t="shared" si="140"/>
        <v>0</v>
      </c>
      <c r="Z485" s="245">
        <f t="shared" si="140"/>
        <v>0</v>
      </c>
      <c r="AA485" s="245">
        <f t="shared" si="140"/>
        <v>0</v>
      </c>
      <c r="AB485" s="245">
        <f t="shared" si="140"/>
        <v>0</v>
      </c>
      <c r="AC485" s="245">
        <f t="shared" si="140"/>
        <v>0</v>
      </c>
      <c r="AD485" s="245">
        <f t="shared" si="140"/>
        <v>0</v>
      </c>
      <c r="AE485" s="245">
        <f t="shared" si="140"/>
        <v>0</v>
      </c>
      <c r="AF485" s="245">
        <f t="shared" si="140"/>
        <v>0</v>
      </c>
      <c r="AG485" s="245">
        <f t="shared" ca="1" si="140"/>
        <v>19890</v>
      </c>
      <c r="AH485" s="245">
        <f t="shared" si="140"/>
        <v>0</v>
      </c>
      <c r="AI485" s="245">
        <f t="shared" ca="1" si="140"/>
        <v>0</v>
      </c>
      <c r="AJ485" s="245">
        <f t="shared" si="140"/>
        <v>0</v>
      </c>
      <c r="AK485" s="245">
        <f t="shared" si="140"/>
        <v>0</v>
      </c>
      <c r="AL485" s="245"/>
      <c r="AM485" s="246">
        <f t="shared" ca="1" si="133"/>
        <v>19890</v>
      </c>
      <c r="AN485" s="254"/>
      <c r="AP485" s="186"/>
      <c r="AQ485" s="186"/>
      <c r="AR485" s="186"/>
      <c r="AS485" s="186"/>
      <c r="AT485" s="186"/>
      <c r="AU485" s="186"/>
      <c r="GS485" s="176"/>
      <c r="GT485" s="176"/>
      <c r="GU485" s="176"/>
      <c r="GV485" s="176"/>
      <c r="GW485" s="176"/>
    </row>
    <row r="486" spans="1:205" ht="12.75" customHeight="1" x14ac:dyDescent="0.2">
      <c r="A486" s="709"/>
      <c r="B486" s="1110"/>
      <c r="C486" s="1110"/>
      <c r="D486" s="257"/>
      <c r="E486" s="613"/>
      <c r="G486" s="186"/>
      <c r="H486" s="186"/>
      <c r="I486" s="186"/>
      <c r="J486" s="186"/>
      <c r="K486" s="186"/>
      <c r="L486" s="186"/>
      <c r="P486" s="179"/>
      <c r="Q486" s="179"/>
      <c r="R486" s="179"/>
      <c r="S486" s="175"/>
      <c r="T486" s="175"/>
      <c r="U486" s="253"/>
      <c r="V486" s="1728" t="str">
        <f t="shared" si="131"/>
        <v>MWD, operating</v>
      </c>
      <c r="W486" s="290">
        <f>JARSSHOCKTOOLDDT!I90</f>
        <v>3.25</v>
      </c>
      <c r="X486" s="245">
        <f t="shared" ref="X486:AK486" si="141">IFERROR(($W486*$W450*X450*FOREX),0)</f>
        <v>0</v>
      </c>
      <c r="Y486" s="245">
        <f t="shared" ca="1" si="141"/>
        <v>331.5</v>
      </c>
      <c r="Z486" s="245">
        <f t="shared" ca="1" si="141"/>
        <v>663</v>
      </c>
      <c r="AA486" s="245">
        <f t="shared" ca="1" si="141"/>
        <v>828.75</v>
      </c>
      <c r="AB486" s="245">
        <f t="shared" ca="1" si="141"/>
        <v>663</v>
      </c>
      <c r="AC486" s="245">
        <f t="shared" ca="1" si="141"/>
        <v>1657.5</v>
      </c>
      <c r="AD486" s="245">
        <f t="shared" ca="1" si="141"/>
        <v>497.25</v>
      </c>
      <c r="AE486" s="245">
        <f t="shared" ca="1" si="141"/>
        <v>994.5</v>
      </c>
      <c r="AF486" s="245">
        <f t="shared" ca="1" si="141"/>
        <v>331.5</v>
      </c>
      <c r="AG486" s="245">
        <f t="shared" ca="1" si="141"/>
        <v>828.75</v>
      </c>
      <c r="AH486" s="245">
        <f t="shared" si="141"/>
        <v>0</v>
      </c>
      <c r="AI486" s="245">
        <f t="shared" ca="1" si="141"/>
        <v>0</v>
      </c>
      <c r="AJ486" s="245">
        <f t="shared" ca="1" si="141"/>
        <v>0</v>
      </c>
      <c r="AK486" s="245">
        <f t="shared" si="141"/>
        <v>0</v>
      </c>
      <c r="AL486" s="245"/>
      <c r="AM486" s="246">
        <f t="shared" ca="1" si="133"/>
        <v>6795.75</v>
      </c>
      <c r="AN486" s="254"/>
      <c r="AP486" s="186"/>
      <c r="AQ486" s="186"/>
      <c r="AR486" s="186"/>
      <c r="AS486" s="186"/>
      <c r="AT486" s="186"/>
      <c r="AU486" s="186"/>
      <c r="GS486" s="176"/>
      <c r="GT486" s="176"/>
      <c r="GU486" s="176"/>
      <c r="GV486" s="176"/>
      <c r="GW486" s="176"/>
    </row>
    <row r="487" spans="1:205" ht="12.75" customHeight="1" x14ac:dyDescent="0.2">
      <c r="A487" s="709"/>
      <c r="B487" s="1110"/>
      <c r="C487" s="1110"/>
      <c r="D487" s="257"/>
      <c r="E487" s="613"/>
      <c r="G487" s="186"/>
      <c r="H487" s="186"/>
      <c r="I487" s="186"/>
      <c r="J487" s="186"/>
      <c r="K487" s="186"/>
      <c r="L487" s="186"/>
      <c r="P487" s="179"/>
      <c r="Q487" s="179"/>
      <c r="R487" s="179"/>
      <c r="S487" s="175"/>
      <c r="T487" s="175"/>
      <c r="U487" s="253"/>
      <c r="V487" s="1728" t="str">
        <f t="shared" si="131"/>
        <v>MWD, rental</v>
      </c>
      <c r="W487" s="290">
        <f>JARSSHOCKTOOLDDT!I91</f>
        <v>2038.4</v>
      </c>
      <c r="X487" s="245">
        <f t="shared" ref="X487:AK487" si="142">IFERROR(($W487*$W451*X451*FOREX),0)</f>
        <v>727708.8</v>
      </c>
      <c r="Y487" s="245">
        <f t="shared" ca="1" si="142"/>
        <v>207916.80000000002</v>
      </c>
      <c r="Z487" s="245">
        <f t="shared" ca="1" si="142"/>
        <v>415833.60000000003</v>
      </c>
      <c r="AA487" s="245">
        <f t="shared" ca="1" si="142"/>
        <v>519792</v>
      </c>
      <c r="AB487" s="245">
        <f t="shared" ca="1" si="142"/>
        <v>415833.60000000003</v>
      </c>
      <c r="AC487" s="245">
        <f t="shared" ca="1" si="142"/>
        <v>1039584</v>
      </c>
      <c r="AD487" s="245">
        <f t="shared" ca="1" si="142"/>
        <v>311875.20000000001</v>
      </c>
      <c r="AE487" s="245">
        <f t="shared" ca="1" si="142"/>
        <v>623750.40000000002</v>
      </c>
      <c r="AF487" s="245">
        <f t="shared" ca="1" si="142"/>
        <v>207916.80000000002</v>
      </c>
      <c r="AG487" s="245">
        <f t="shared" ca="1" si="142"/>
        <v>519792</v>
      </c>
      <c r="AH487" s="245">
        <f t="shared" si="142"/>
        <v>0</v>
      </c>
      <c r="AI487" s="245">
        <f t="shared" ca="1" si="142"/>
        <v>0</v>
      </c>
      <c r="AJ487" s="245">
        <f t="shared" ca="1" si="142"/>
        <v>0</v>
      </c>
      <c r="AK487" s="245">
        <f t="shared" si="142"/>
        <v>0</v>
      </c>
      <c r="AL487" s="245"/>
      <c r="AM487" s="246">
        <f t="shared" ca="1" si="133"/>
        <v>4990003.2000000002</v>
      </c>
      <c r="AN487" s="254"/>
      <c r="AP487" s="186"/>
      <c r="AQ487" s="186"/>
      <c r="AR487" s="186"/>
      <c r="AS487" s="186"/>
      <c r="AT487" s="186"/>
      <c r="AU487" s="186"/>
      <c r="GS487" s="176"/>
      <c r="GT487" s="176"/>
      <c r="GU487" s="176"/>
      <c r="GV487" s="176"/>
      <c r="GW487" s="176"/>
    </row>
    <row r="488" spans="1:205" ht="12.75" customHeight="1" x14ac:dyDescent="0.2">
      <c r="A488" s="709"/>
      <c r="B488" s="1110"/>
      <c r="C488" s="1110"/>
      <c r="D488" s="257"/>
      <c r="E488" s="613"/>
      <c r="G488" s="186"/>
      <c r="H488" s="186"/>
      <c r="I488" s="186"/>
      <c r="J488" s="186"/>
      <c r="K488" s="186"/>
      <c r="L488" s="186"/>
      <c r="P488" s="179"/>
      <c r="Q488" s="179"/>
      <c r="R488" s="179"/>
      <c r="S488" s="175"/>
      <c r="T488" s="175"/>
      <c r="U488" s="253"/>
      <c r="V488" s="1728" t="str">
        <f t="shared" si="131"/>
        <v>EMS, rental</v>
      </c>
      <c r="W488" s="290">
        <f>JARSSHOCKTOOLDDT!I92</f>
        <v>162.5</v>
      </c>
      <c r="X488" s="245">
        <f t="shared" ref="X488:AK488" si="143">IFERROR(($W488*$W452*X452*FOREX),0)</f>
        <v>58012.5</v>
      </c>
      <c r="Y488" s="245">
        <f t="shared" ca="1" si="143"/>
        <v>16575</v>
      </c>
      <c r="Z488" s="245">
        <f t="shared" ca="1" si="143"/>
        <v>33150</v>
      </c>
      <c r="AA488" s="245">
        <f t="shared" ca="1" si="143"/>
        <v>41437.5</v>
      </c>
      <c r="AB488" s="245">
        <f t="shared" ca="1" si="143"/>
        <v>33150</v>
      </c>
      <c r="AC488" s="245">
        <f t="shared" ca="1" si="143"/>
        <v>82875</v>
      </c>
      <c r="AD488" s="245">
        <f t="shared" ca="1" si="143"/>
        <v>24862.5</v>
      </c>
      <c r="AE488" s="245">
        <f t="shared" ca="1" si="143"/>
        <v>49725</v>
      </c>
      <c r="AF488" s="245">
        <f t="shared" ca="1" si="143"/>
        <v>16575</v>
      </c>
      <c r="AG488" s="245">
        <f t="shared" ca="1" si="143"/>
        <v>41437.5</v>
      </c>
      <c r="AH488" s="245">
        <f t="shared" si="143"/>
        <v>0</v>
      </c>
      <c r="AI488" s="245">
        <f t="shared" ca="1" si="143"/>
        <v>0</v>
      </c>
      <c r="AJ488" s="245">
        <f t="shared" ca="1" si="143"/>
        <v>0</v>
      </c>
      <c r="AK488" s="245">
        <f t="shared" si="143"/>
        <v>0</v>
      </c>
      <c r="AL488" s="245"/>
      <c r="AM488" s="246">
        <f t="shared" ca="1" si="133"/>
        <v>397800</v>
      </c>
      <c r="AN488" s="254"/>
      <c r="AP488" s="186"/>
      <c r="AQ488" s="186"/>
      <c r="AR488" s="186"/>
      <c r="AS488" s="186"/>
      <c r="AT488" s="186"/>
      <c r="AU488" s="186"/>
      <c r="GS488" s="176"/>
      <c r="GT488" s="176"/>
      <c r="GU488" s="176"/>
      <c r="GV488" s="176"/>
      <c r="GW488" s="176"/>
    </row>
    <row r="489" spans="1:205" ht="12.75" customHeight="1" x14ac:dyDescent="0.2">
      <c r="A489" s="709"/>
      <c r="B489" s="1110"/>
      <c r="C489" s="1110"/>
      <c r="D489" s="257"/>
      <c r="E489" s="613"/>
      <c r="G489" s="186"/>
      <c r="H489" s="186"/>
      <c r="I489" s="186"/>
      <c r="J489" s="186"/>
      <c r="K489" s="186"/>
      <c r="L489" s="186"/>
      <c r="P489" s="179"/>
      <c r="Q489" s="179"/>
      <c r="R489" s="179"/>
      <c r="S489" s="175"/>
      <c r="T489" s="175"/>
      <c r="U489" s="253"/>
      <c r="V489" s="1728" t="str">
        <f t="shared" si="131"/>
        <v>EMS, operating</v>
      </c>
      <c r="W489" s="290">
        <f>JARSSHOCKTOOLDDT!I93</f>
        <v>0</v>
      </c>
      <c r="X489" s="245">
        <f t="shared" ref="X489:AK489" si="144">IFERROR(($W489*$W453*X453*FOREX),0)</f>
        <v>0</v>
      </c>
      <c r="Y489" s="245">
        <f t="shared" ca="1" si="144"/>
        <v>0</v>
      </c>
      <c r="Z489" s="245">
        <f t="shared" ca="1" si="144"/>
        <v>0</v>
      </c>
      <c r="AA489" s="245">
        <f t="shared" ca="1" si="144"/>
        <v>0</v>
      </c>
      <c r="AB489" s="245">
        <f t="shared" ca="1" si="144"/>
        <v>0</v>
      </c>
      <c r="AC489" s="245">
        <f t="shared" ca="1" si="144"/>
        <v>0</v>
      </c>
      <c r="AD489" s="245">
        <f t="shared" ca="1" si="144"/>
        <v>0</v>
      </c>
      <c r="AE489" s="245">
        <f t="shared" ca="1" si="144"/>
        <v>0</v>
      </c>
      <c r="AF489" s="245">
        <f t="shared" ca="1" si="144"/>
        <v>0</v>
      </c>
      <c r="AG489" s="245">
        <f t="shared" ca="1" si="144"/>
        <v>0</v>
      </c>
      <c r="AH489" s="245">
        <f t="shared" si="144"/>
        <v>0</v>
      </c>
      <c r="AI489" s="245">
        <f t="shared" ca="1" si="144"/>
        <v>0</v>
      </c>
      <c r="AJ489" s="245">
        <f t="shared" ca="1" si="144"/>
        <v>0</v>
      </c>
      <c r="AK489" s="245">
        <f t="shared" si="144"/>
        <v>0</v>
      </c>
      <c r="AL489" s="245"/>
      <c r="AM489" s="246">
        <f t="shared" ca="1" si="133"/>
        <v>0</v>
      </c>
      <c r="AN489" s="254"/>
      <c r="AP489" s="186"/>
      <c r="AQ489" s="186"/>
      <c r="AR489" s="186"/>
      <c r="AS489" s="186"/>
      <c r="AT489" s="186"/>
      <c r="AU489" s="186"/>
      <c r="GS489" s="176"/>
      <c r="GT489" s="176"/>
      <c r="GU489" s="176"/>
      <c r="GV489" s="176"/>
      <c r="GW489" s="176"/>
    </row>
    <row r="490" spans="1:205" ht="12.75" customHeight="1" x14ac:dyDescent="0.2">
      <c r="A490" s="709"/>
      <c r="B490" s="1110"/>
      <c r="C490" s="1110"/>
      <c r="D490" s="257"/>
      <c r="E490" s="613"/>
      <c r="G490" s="186"/>
      <c r="H490" s="186"/>
      <c r="I490" s="186"/>
      <c r="J490" s="186"/>
      <c r="K490" s="186"/>
      <c r="L490" s="186"/>
      <c r="P490" s="179"/>
      <c r="Q490" s="179"/>
      <c r="R490" s="179"/>
      <c r="S490" s="175"/>
      <c r="T490" s="175"/>
      <c r="U490" s="253"/>
      <c r="V490" s="1728" t="str">
        <f t="shared" si="131"/>
        <v>EMS Redress</v>
      </c>
      <c r="W490" s="290">
        <f>JARSSHOCKTOOLDDT!I94</f>
        <v>0</v>
      </c>
      <c r="X490" s="245">
        <f t="shared" ref="X490:AK490" si="145">IFERROR(($W490*$W454*X454*FOREX),0)</f>
        <v>0</v>
      </c>
      <c r="Y490" s="245">
        <f t="shared" ca="1" si="145"/>
        <v>0</v>
      </c>
      <c r="Z490" s="245">
        <f t="shared" ca="1" si="145"/>
        <v>0</v>
      </c>
      <c r="AA490" s="245">
        <f t="shared" ca="1" si="145"/>
        <v>0</v>
      </c>
      <c r="AB490" s="245">
        <f t="shared" ca="1" si="145"/>
        <v>0</v>
      </c>
      <c r="AC490" s="245">
        <f t="shared" ca="1" si="145"/>
        <v>0</v>
      </c>
      <c r="AD490" s="245">
        <f t="shared" ca="1" si="145"/>
        <v>0</v>
      </c>
      <c r="AE490" s="245">
        <f t="shared" ca="1" si="145"/>
        <v>0</v>
      </c>
      <c r="AF490" s="245">
        <f t="shared" ca="1" si="145"/>
        <v>0</v>
      </c>
      <c r="AG490" s="245">
        <f t="shared" ca="1" si="145"/>
        <v>0</v>
      </c>
      <c r="AH490" s="245">
        <f t="shared" si="145"/>
        <v>0</v>
      </c>
      <c r="AI490" s="245">
        <f t="shared" ca="1" si="145"/>
        <v>0</v>
      </c>
      <c r="AJ490" s="245">
        <f t="shared" ca="1" si="145"/>
        <v>0</v>
      </c>
      <c r="AK490" s="245">
        <f t="shared" si="145"/>
        <v>0</v>
      </c>
      <c r="AL490" s="245"/>
      <c r="AM490" s="246">
        <f t="shared" ca="1" si="133"/>
        <v>0</v>
      </c>
      <c r="AN490" s="254"/>
      <c r="AP490" s="186"/>
      <c r="AQ490" s="186"/>
      <c r="AR490" s="186"/>
      <c r="AS490" s="186"/>
      <c r="AT490" s="186"/>
      <c r="AU490" s="186"/>
      <c r="GS490" s="176"/>
      <c r="GT490" s="176"/>
      <c r="GU490" s="176"/>
      <c r="GV490" s="176"/>
      <c r="GW490" s="176"/>
    </row>
    <row r="491" spans="1:205" ht="12.75" customHeight="1" x14ac:dyDescent="0.2">
      <c r="A491" s="709"/>
      <c r="B491" s="1110"/>
      <c r="C491" s="1110"/>
      <c r="D491" s="257"/>
      <c r="E491" s="613"/>
      <c r="G491" s="186"/>
      <c r="H491" s="186"/>
      <c r="I491" s="186"/>
      <c r="J491" s="186"/>
      <c r="K491" s="186"/>
      <c r="L491" s="186"/>
      <c r="P491" s="179"/>
      <c r="Q491" s="179"/>
      <c r="R491" s="179"/>
      <c r="S491" s="175"/>
      <c r="T491" s="175"/>
      <c r="U491" s="253"/>
      <c r="V491" s="1728" t="str">
        <f t="shared" si="131"/>
        <v>8" NMDC</v>
      </c>
      <c r="W491" s="290">
        <f>JARSSHOCKTOOLDDT!I95</f>
        <v>219.95999999999998</v>
      </c>
      <c r="X491" s="245">
        <f t="shared" ref="X491:AK491" si="146">IFERROR(($W491*$W455*X455*FOREX),0)</f>
        <v>0</v>
      </c>
      <c r="Y491" s="245">
        <f t="shared" si="146"/>
        <v>0</v>
      </c>
      <c r="Z491" s="245">
        <f t="shared" si="146"/>
        <v>0</v>
      </c>
      <c r="AA491" s="245">
        <f t="shared" si="146"/>
        <v>0</v>
      </c>
      <c r="AB491" s="245">
        <f t="shared" si="146"/>
        <v>0</v>
      </c>
      <c r="AC491" s="245">
        <f t="shared" si="146"/>
        <v>0</v>
      </c>
      <c r="AD491" s="245">
        <f t="shared" si="146"/>
        <v>0</v>
      </c>
      <c r="AE491" s="245">
        <f t="shared" si="146"/>
        <v>0</v>
      </c>
      <c r="AF491" s="245">
        <f t="shared" si="146"/>
        <v>0</v>
      </c>
      <c r="AG491" s="245">
        <f t="shared" si="146"/>
        <v>0</v>
      </c>
      <c r="AH491" s="245">
        <f t="shared" si="146"/>
        <v>0</v>
      </c>
      <c r="AI491" s="245">
        <f t="shared" si="146"/>
        <v>0</v>
      </c>
      <c r="AJ491" s="245">
        <f t="shared" si="146"/>
        <v>0</v>
      </c>
      <c r="AK491" s="245">
        <f t="shared" si="146"/>
        <v>0</v>
      </c>
      <c r="AL491" s="245"/>
      <c r="AM491" s="246">
        <f>SUM(X491:AL491)</f>
        <v>0</v>
      </c>
      <c r="AN491" s="254"/>
      <c r="AP491" s="186"/>
      <c r="AQ491" s="186"/>
      <c r="AR491" s="186"/>
      <c r="AS491" s="186"/>
      <c r="AT491" s="186"/>
      <c r="AU491" s="186"/>
      <c r="GS491" s="176"/>
      <c r="GT491" s="176"/>
      <c r="GU491" s="176"/>
      <c r="GV491" s="176"/>
      <c r="GW491" s="176"/>
    </row>
    <row r="492" spans="1:205" ht="12.75" customHeight="1" x14ac:dyDescent="0.2">
      <c r="A492" s="709"/>
      <c r="B492" s="1110"/>
      <c r="C492" s="1110"/>
      <c r="D492" s="257"/>
      <c r="E492" s="613"/>
      <c r="G492" s="186"/>
      <c r="H492" s="186"/>
      <c r="I492" s="186"/>
      <c r="J492" s="186"/>
      <c r="K492" s="186"/>
      <c r="L492" s="186"/>
      <c r="P492" s="179"/>
      <c r="Q492" s="179"/>
      <c r="R492" s="179"/>
      <c r="S492" s="175"/>
      <c r="T492" s="175"/>
      <c r="U492" s="253"/>
      <c r="V492" s="1728" t="str">
        <f t="shared" si="131"/>
        <v>6-1/2" Pony NMDC</v>
      </c>
      <c r="W492" s="290">
        <f>JARSSHOCKTOOLDDT!I96</f>
        <v>219.95999999999998</v>
      </c>
      <c r="X492" s="245">
        <f t="shared" ref="X492:AK492" si="147">IFERROR(($W492*$W456*X456*FOREX),0)</f>
        <v>0</v>
      </c>
      <c r="Y492" s="245">
        <f t="shared" si="147"/>
        <v>0</v>
      </c>
      <c r="Z492" s="245">
        <f t="shared" si="147"/>
        <v>0</v>
      </c>
      <c r="AA492" s="245">
        <f t="shared" si="147"/>
        <v>0</v>
      </c>
      <c r="AB492" s="245">
        <f t="shared" si="147"/>
        <v>0</v>
      </c>
      <c r="AC492" s="245">
        <f t="shared" si="147"/>
        <v>0</v>
      </c>
      <c r="AD492" s="245">
        <f t="shared" si="147"/>
        <v>0</v>
      </c>
      <c r="AE492" s="245">
        <f t="shared" si="147"/>
        <v>0</v>
      </c>
      <c r="AF492" s="245">
        <f t="shared" si="147"/>
        <v>0</v>
      </c>
      <c r="AG492" s="245">
        <f t="shared" si="147"/>
        <v>0</v>
      </c>
      <c r="AH492" s="245">
        <f t="shared" si="147"/>
        <v>0</v>
      </c>
      <c r="AI492" s="245">
        <f t="shared" si="147"/>
        <v>0</v>
      </c>
      <c r="AJ492" s="245">
        <f t="shared" si="147"/>
        <v>0</v>
      </c>
      <c r="AK492" s="245">
        <f t="shared" si="147"/>
        <v>0</v>
      </c>
      <c r="AL492" s="245"/>
      <c r="AM492" s="246">
        <f>SUM(X492:AL492)</f>
        <v>0</v>
      </c>
      <c r="AN492" s="254"/>
      <c r="AP492" s="186"/>
      <c r="AQ492" s="186"/>
      <c r="AR492" s="186"/>
      <c r="AS492" s="186"/>
      <c r="AT492" s="186"/>
      <c r="AU492" s="186"/>
      <c r="GS492" s="176"/>
      <c r="GT492" s="176"/>
      <c r="GU492" s="176"/>
      <c r="GV492" s="176"/>
      <c r="GW492" s="176"/>
    </row>
    <row r="493" spans="1:205" ht="12.75" customHeight="1" x14ac:dyDescent="0.2">
      <c r="A493" s="709"/>
      <c r="B493" s="1110"/>
      <c r="C493" s="1110"/>
      <c r="D493" s="257"/>
      <c r="E493" s="614"/>
      <c r="G493" s="186"/>
      <c r="H493" s="186"/>
      <c r="I493" s="186"/>
      <c r="J493" s="186"/>
      <c r="K493" s="186"/>
      <c r="L493" s="186"/>
      <c r="P493" s="179"/>
      <c r="Q493" s="179"/>
      <c r="R493" s="179"/>
      <c r="S493" s="175"/>
      <c r="T493" s="175"/>
      <c r="U493" s="253"/>
      <c r="V493" s="1728" t="str">
        <f t="shared" si="131"/>
        <v>6-1/2" NMDC</v>
      </c>
      <c r="W493" s="290">
        <f>JARSSHOCKTOOLDDT!I97</f>
        <v>219.95999999999998</v>
      </c>
      <c r="X493" s="245">
        <f t="shared" ref="X493:AK493" si="148">IFERROR(($W493*$W457*X457*FOREX),0)</f>
        <v>0</v>
      </c>
      <c r="Y493" s="245">
        <f t="shared" si="148"/>
        <v>0</v>
      </c>
      <c r="Z493" s="245">
        <f t="shared" si="148"/>
        <v>0</v>
      </c>
      <c r="AA493" s="245">
        <f t="shared" si="148"/>
        <v>0</v>
      </c>
      <c r="AB493" s="245">
        <f t="shared" si="148"/>
        <v>0</v>
      </c>
      <c r="AC493" s="245">
        <f t="shared" si="148"/>
        <v>0</v>
      </c>
      <c r="AD493" s="245">
        <f t="shared" si="148"/>
        <v>0</v>
      </c>
      <c r="AE493" s="245">
        <f t="shared" si="148"/>
        <v>0</v>
      </c>
      <c r="AF493" s="245">
        <f t="shared" si="148"/>
        <v>0</v>
      </c>
      <c r="AG493" s="245">
        <f t="shared" si="148"/>
        <v>0</v>
      </c>
      <c r="AH493" s="245">
        <f ca="1">IFERROR(($W493*$W457*AH457*FOREX),0)*IF(RH_BH="Regular Hole",0,1)</f>
        <v>157051.43999999997</v>
      </c>
      <c r="AI493" s="245">
        <f ca="1">IFERROR(($W493*$W457*AI457*FOREX),0)</f>
        <v>0</v>
      </c>
      <c r="AJ493" s="245">
        <f t="shared" si="148"/>
        <v>0</v>
      </c>
      <c r="AK493" s="245">
        <f t="shared" si="148"/>
        <v>0</v>
      </c>
      <c r="AL493" s="245"/>
      <c r="AM493" s="246">
        <f ca="1">SUM(X493:AL493)</f>
        <v>157051.43999999997</v>
      </c>
      <c r="AN493" s="254"/>
      <c r="AP493" s="186"/>
      <c r="AQ493" s="186"/>
      <c r="AR493" s="186"/>
      <c r="AS493" s="186"/>
      <c r="AT493" s="186"/>
      <c r="AU493" s="186"/>
      <c r="GS493" s="176"/>
      <c r="GT493" s="176"/>
      <c r="GU493" s="176"/>
      <c r="GV493" s="176"/>
      <c r="GW493" s="176"/>
    </row>
    <row r="494" spans="1:205" ht="12.75" customHeight="1" x14ac:dyDescent="0.2">
      <c r="A494" s="709"/>
      <c r="B494" s="1110"/>
      <c r="C494" s="1110"/>
      <c r="D494" s="257"/>
      <c r="E494" s="613"/>
      <c r="G494" s="186" t="e">
        <f>#REF!</f>
        <v>#REF!</v>
      </c>
      <c r="H494" s="186" t="e">
        <f>#REF!</f>
        <v>#REF!</v>
      </c>
      <c r="I494" s="186" t="e">
        <f>#REF!</f>
        <v>#REF!</v>
      </c>
      <c r="J494" s="186" t="e">
        <f>#REF!</f>
        <v>#REF!</v>
      </c>
      <c r="K494" s="186" t="e">
        <f>#REF!</f>
        <v>#REF!</v>
      </c>
      <c r="L494" s="186" t="e">
        <f>#REF!</f>
        <v>#REF!</v>
      </c>
      <c r="P494" s="179"/>
      <c r="Q494" s="179"/>
      <c r="R494" s="179"/>
      <c r="S494" s="175"/>
      <c r="T494" s="175"/>
      <c r="U494" s="253"/>
      <c r="V494" s="1728" t="str">
        <f t="shared" si="131"/>
        <v>26" Stabilizer</v>
      </c>
      <c r="W494" s="290">
        <f>JARSSHOCKTOOLDDT!I98</f>
        <v>232.18</v>
      </c>
      <c r="X494" s="245">
        <f t="shared" ref="X494:AK494" si="149">IFERROR(($W494*$W458*X458*FOREX),0)</f>
        <v>165776.51999999999</v>
      </c>
      <c r="Y494" s="245">
        <f t="shared" ca="1" si="149"/>
        <v>47364.72</v>
      </c>
      <c r="Z494" s="245">
        <f t="shared" ca="1" si="149"/>
        <v>94729.44</v>
      </c>
      <c r="AA494" s="245">
        <f t="shared" si="149"/>
        <v>165776.51999999999</v>
      </c>
      <c r="AB494" s="245">
        <f t="shared" si="149"/>
        <v>0</v>
      </c>
      <c r="AC494" s="245">
        <f t="shared" si="149"/>
        <v>0</v>
      </c>
      <c r="AD494" s="245">
        <f t="shared" si="149"/>
        <v>0</v>
      </c>
      <c r="AE494" s="245">
        <f t="shared" si="149"/>
        <v>0</v>
      </c>
      <c r="AF494" s="245">
        <f t="shared" si="149"/>
        <v>0</v>
      </c>
      <c r="AG494" s="245">
        <f t="shared" si="149"/>
        <v>0</v>
      </c>
      <c r="AH494" s="245">
        <f t="shared" si="149"/>
        <v>0</v>
      </c>
      <c r="AI494" s="245">
        <f t="shared" si="149"/>
        <v>0</v>
      </c>
      <c r="AJ494" s="245">
        <f t="shared" si="149"/>
        <v>0</v>
      </c>
      <c r="AK494" s="245">
        <f t="shared" si="149"/>
        <v>0</v>
      </c>
      <c r="AL494" s="245"/>
      <c r="AM494" s="246">
        <f t="shared" ca="1" si="133"/>
        <v>473647.19999999995</v>
      </c>
      <c r="AN494" s="254"/>
      <c r="AP494" s="186"/>
      <c r="AQ494" s="186"/>
      <c r="AR494" s="186"/>
      <c r="AS494" s="186"/>
      <c r="AT494" s="186"/>
      <c r="AU494" s="186"/>
      <c r="GS494" s="176"/>
      <c r="GT494" s="176"/>
      <c r="GU494" s="176"/>
      <c r="GV494" s="176"/>
      <c r="GW494" s="176"/>
    </row>
    <row r="495" spans="1:205" ht="12.75" customHeight="1" x14ac:dyDescent="0.2">
      <c r="A495" s="709"/>
      <c r="B495" s="1110"/>
      <c r="C495" s="1110"/>
      <c r="D495" s="257"/>
      <c r="E495" s="613"/>
      <c r="G495" s="186" t="e">
        <f>#REF!</f>
        <v>#REF!</v>
      </c>
      <c r="H495" s="186" t="e">
        <f>#REF!</f>
        <v>#REF!</v>
      </c>
      <c r="I495" s="186" t="e">
        <f>#REF!</f>
        <v>#REF!</v>
      </c>
      <c r="J495" s="186" t="e">
        <f>#REF!</f>
        <v>#REF!</v>
      </c>
      <c r="K495" s="186" t="e">
        <f>#REF!</f>
        <v>#REF!</v>
      </c>
      <c r="L495" s="186" t="e">
        <f>#REF!</f>
        <v>#REF!</v>
      </c>
      <c r="P495" s="179"/>
      <c r="Q495" s="179"/>
      <c r="R495" s="179"/>
      <c r="S495" s="175"/>
      <c r="T495" s="175"/>
      <c r="U495" s="253"/>
      <c r="V495" s="1728" t="str">
        <f t="shared" si="131"/>
        <v>23" Stabilizer</v>
      </c>
      <c r="W495" s="290">
        <f>JARSSHOCKTOOLDDT!I99</f>
        <v>247</v>
      </c>
      <c r="X495" s="245">
        <f t="shared" ref="X495:AK495" si="150">IFERROR(($W495*$W459*X459*FOREX),0)</f>
        <v>0</v>
      </c>
      <c r="Y495" s="245">
        <f>IFERROR(($W495*$W459*Y459*FOREX),0)</f>
        <v>264537</v>
      </c>
      <c r="Z495" s="245">
        <f t="shared" ca="1" si="150"/>
        <v>151164</v>
      </c>
      <c r="AA495" s="245">
        <f t="shared" si="150"/>
        <v>264537</v>
      </c>
      <c r="AB495" s="245">
        <f t="shared" si="150"/>
        <v>0</v>
      </c>
      <c r="AC495" s="245">
        <f t="shared" si="150"/>
        <v>0</v>
      </c>
      <c r="AD495" s="245">
        <f t="shared" si="150"/>
        <v>0</v>
      </c>
      <c r="AE495" s="245">
        <f t="shared" si="150"/>
        <v>0</v>
      </c>
      <c r="AF495" s="245">
        <f t="shared" si="150"/>
        <v>0</v>
      </c>
      <c r="AG495" s="245">
        <f t="shared" si="150"/>
        <v>0</v>
      </c>
      <c r="AH495" s="245">
        <f t="shared" si="150"/>
        <v>0</v>
      </c>
      <c r="AI495" s="245">
        <f t="shared" si="150"/>
        <v>0</v>
      </c>
      <c r="AJ495" s="245">
        <f t="shared" si="150"/>
        <v>0</v>
      </c>
      <c r="AK495" s="245">
        <f t="shared" si="150"/>
        <v>0</v>
      </c>
      <c r="AL495" s="245"/>
      <c r="AM495" s="246">
        <f t="shared" ca="1" si="133"/>
        <v>680238</v>
      </c>
      <c r="AN495" s="254"/>
      <c r="AP495" s="186"/>
      <c r="AQ495" s="186"/>
      <c r="AR495" s="186"/>
      <c r="AS495" s="186"/>
      <c r="AT495" s="186"/>
      <c r="AU495" s="186"/>
      <c r="GS495" s="176"/>
      <c r="GT495" s="176"/>
      <c r="GU495" s="176"/>
      <c r="GV495" s="176"/>
      <c r="GW495" s="176"/>
    </row>
    <row r="496" spans="1:205" ht="12.75" customHeight="1" x14ac:dyDescent="0.2">
      <c r="A496" s="709"/>
      <c r="B496" s="1110"/>
      <c r="C496" s="1110"/>
      <c r="D496" s="257"/>
      <c r="E496" s="2536"/>
      <c r="G496" s="186" t="e">
        <f>#REF!</f>
        <v>#REF!</v>
      </c>
      <c r="H496" s="186" t="e">
        <f>#REF!</f>
        <v>#REF!</v>
      </c>
      <c r="I496" s="186" t="e">
        <f>#REF!</f>
        <v>#REF!</v>
      </c>
      <c r="J496" s="186" t="e">
        <f>#REF!</f>
        <v>#REF!</v>
      </c>
      <c r="K496" s="186" t="e">
        <f>#REF!</f>
        <v>#REF!</v>
      </c>
      <c r="L496" s="186" t="e">
        <f>#REF!</f>
        <v>#REF!</v>
      </c>
      <c r="P496" s="179"/>
      <c r="Q496" s="179"/>
      <c r="R496" s="179"/>
      <c r="S496" s="175"/>
      <c r="T496" s="175"/>
      <c r="U496" s="253"/>
      <c r="V496" s="1728" t="str">
        <f t="shared" si="131"/>
        <v>16"/ 16-1/2" Stabilizer</v>
      </c>
      <c r="W496" s="290">
        <f>JARSSHOCKTOOLDDT!I100</f>
        <v>200.20000000000002</v>
      </c>
      <c r="X496" s="245">
        <f t="shared" ref="X496:AK496" si="151">IFERROR(($W496*$W460*X460*FOREX),0)</f>
        <v>0</v>
      </c>
      <c r="Y496" s="245">
        <f t="shared" si="151"/>
        <v>0</v>
      </c>
      <c r="Z496" s="245">
        <f t="shared" si="151"/>
        <v>0</v>
      </c>
      <c r="AA496" s="245">
        <f t="shared" si="151"/>
        <v>0</v>
      </c>
      <c r="AB496" s="245">
        <f t="shared" si="151"/>
        <v>214414.19999999998</v>
      </c>
      <c r="AC496" s="245">
        <f t="shared" ca="1" si="151"/>
        <v>306306</v>
      </c>
      <c r="AD496" s="245">
        <f t="shared" si="151"/>
        <v>214414.19999999998</v>
      </c>
      <c r="AE496" s="245">
        <f t="shared" si="151"/>
        <v>0</v>
      </c>
      <c r="AF496" s="245">
        <f t="shared" si="151"/>
        <v>0</v>
      </c>
      <c r="AG496" s="245">
        <f t="shared" si="151"/>
        <v>0</v>
      </c>
      <c r="AH496" s="245">
        <f t="shared" si="151"/>
        <v>0</v>
      </c>
      <c r="AI496" s="245">
        <f t="shared" si="151"/>
        <v>0</v>
      </c>
      <c r="AJ496" s="245">
        <f t="shared" si="151"/>
        <v>0</v>
      </c>
      <c r="AK496" s="245">
        <f t="shared" si="151"/>
        <v>0</v>
      </c>
      <c r="AL496" s="245"/>
      <c r="AM496" s="246">
        <f t="shared" ca="1" si="133"/>
        <v>735134.39999999991</v>
      </c>
      <c r="AN496" s="254"/>
      <c r="AP496" s="186"/>
      <c r="AQ496" s="186"/>
      <c r="AR496" s="186"/>
      <c r="AS496" s="186"/>
      <c r="AT496" s="186"/>
      <c r="AU496" s="186"/>
      <c r="GS496" s="176"/>
      <c r="GT496" s="176"/>
      <c r="GU496" s="176"/>
      <c r="GV496" s="176"/>
      <c r="GW496" s="176"/>
    </row>
    <row r="497" spans="1:205" ht="12.75" customHeight="1" x14ac:dyDescent="0.2">
      <c r="A497" s="709"/>
      <c r="B497" s="1110"/>
      <c r="C497" s="1110"/>
      <c r="D497" s="257"/>
      <c r="E497" s="2536"/>
      <c r="G497" s="186" t="e">
        <f>#REF!</f>
        <v>#REF!</v>
      </c>
      <c r="H497" s="186" t="e">
        <f>#REF!</f>
        <v>#REF!</v>
      </c>
      <c r="I497" s="186" t="e">
        <f>#REF!</f>
        <v>#REF!</v>
      </c>
      <c r="J497" s="186" t="e">
        <f>#REF!</f>
        <v>#REF!</v>
      </c>
      <c r="K497" s="186" t="e">
        <f>#REF!</f>
        <v>#REF!</v>
      </c>
      <c r="L497" s="186" t="e">
        <f>#REF!</f>
        <v>#REF!</v>
      </c>
      <c r="P497" s="179"/>
      <c r="Q497" s="179"/>
      <c r="R497" s="179"/>
      <c r="S497" s="175"/>
      <c r="T497" s="175"/>
      <c r="U497" s="253"/>
      <c r="V497" s="1728" t="str">
        <f t="shared" si="131"/>
        <v>12-1/4" Stabilizer</v>
      </c>
      <c r="W497" s="290">
        <f>JARSSHOCKTOOLDDT!I101</f>
        <v>130</v>
      </c>
      <c r="X497" s="245">
        <f t="shared" ref="X497:AK497" si="152">IFERROR(($W497*$W461*X461*FOREX),0)</f>
        <v>0</v>
      </c>
      <c r="Y497" s="245">
        <f t="shared" si="152"/>
        <v>0</v>
      </c>
      <c r="Z497" s="245">
        <f t="shared" si="152"/>
        <v>0</v>
      </c>
      <c r="AA497" s="245">
        <f t="shared" si="152"/>
        <v>0</v>
      </c>
      <c r="AB497" s="245">
        <f t="shared" si="152"/>
        <v>0</v>
      </c>
      <c r="AC497" s="245">
        <f t="shared" ca="1" si="152"/>
        <v>139230</v>
      </c>
      <c r="AD497" s="245">
        <f t="shared" ca="1" si="152"/>
        <v>59670</v>
      </c>
      <c r="AE497" s="245">
        <f t="shared" si="152"/>
        <v>0</v>
      </c>
      <c r="AF497" s="245">
        <f t="shared" si="152"/>
        <v>0</v>
      </c>
      <c r="AG497" s="245">
        <f t="shared" si="152"/>
        <v>0</v>
      </c>
      <c r="AH497" s="245">
        <f t="shared" si="152"/>
        <v>0</v>
      </c>
      <c r="AI497" s="245">
        <f t="shared" si="152"/>
        <v>0</v>
      </c>
      <c r="AJ497" s="245">
        <f t="shared" si="152"/>
        <v>0</v>
      </c>
      <c r="AK497" s="245">
        <f t="shared" si="152"/>
        <v>0</v>
      </c>
      <c r="AL497" s="245"/>
      <c r="AM497" s="246">
        <f t="shared" ca="1" si="133"/>
        <v>198900</v>
      </c>
      <c r="AN497" s="254"/>
      <c r="AP497" s="186"/>
      <c r="AQ497" s="186"/>
      <c r="AR497" s="186"/>
      <c r="AS497" s="186"/>
      <c r="AT497" s="186"/>
      <c r="AU497" s="186"/>
      <c r="GS497" s="176"/>
      <c r="GT497" s="176"/>
      <c r="GU497" s="176"/>
      <c r="GV497" s="176"/>
      <c r="GW497" s="176"/>
    </row>
    <row r="498" spans="1:205" ht="12.75" customHeight="1" x14ac:dyDescent="0.2">
      <c r="A498" s="709"/>
      <c r="B498" s="1110"/>
      <c r="C498" s="1110"/>
      <c r="D498" s="257"/>
      <c r="E498" s="2537"/>
      <c r="G498" s="186"/>
      <c r="H498" s="186"/>
      <c r="I498" s="186"/>
      <c r="J498" s="186"/>
      <c r="K498" s="186"/>
      <c r="L498" s="186"/>
      <c r="P498" s="179"/>
      <c r="Q498" s="179"/>
      <c r="R498" s="179"/>
      <c r="S498" s="175"/>
      <c r="T498" s="175"/>
      <c r="U498" s="253"/>
      <c r="V498" s="1728" t="str">
        <f t="shared" si="131"/>
        <v>9-7/8" Stabilizer</v>
      </c>
      <c r="W498" s="290">
        <f>JARSSHOCKTOOLDDT!I102</f>
        <v>130</v>
      </c>
      <c r="X498" s="245">
        <f t="shared" ref="X498:AK498" si="153">IFERROR(($W498*$W462*X462*FOREX),0)</f>
        <v>0</v>
      </c>
      <c r="Y498" s="245">
        <f t="shared" si="153"/>
        <v>0</v>
      </c>
      <c r="Z498" s="245">
        <f t="shared" si="153"/>
        <v>0</v>
      </c>
      <c r="AA498" s="245">
        <f t="shared" si="153"/>
        <v>0</v>
      </c>
      <c r="AB498" s="245">
        <f t="shared" si="153"/>
        <v>0</v>
      </c>
      <c r="AC498" s="245">
        <f t="shared" si="153"/>
        <v>0</v>
      </c>
      <c r="AD498" s="245">
        <f t="shared" si="153"/>
        <v>0</v>
      </c>
      <c r="AE498" s="245">
        <f t="shared" si="153"/>
        <v>0</v>
      </c>
      <c r="AF498" s="245">
        <f t="shared" si="153"/>
        <v>139230</v>
      </c>
      <c r="AG498" s="245">
        <f t="shared" ca="1" si="153"/>
        <v>99450</v>
      </c>
      <c r="AH498" s="245">
        <f t="shared" si="153"/>
        <v>139230</v>
      </c>
      <c r="AI498" s="245">
        <f t="shared" si="153"/>
        <v>0</v>
      </c>
      <c r="AJ498" s="245">
        <f t="shared" si="153"/>
        <v>0</v>
      </c>
      <c r="AK498" s="245">
        <f t="shared" si="153"/>
        <v>0</v>
      </c>
      <c r="AL498" s="245"/>
      <c r="AM498" s="246">
        <f t="shared" ca="1" si="133"/>
        <v>377910</v>
      </c>
      <c r="AN498" s="254"/>
      <c r="AP498" s="186"/>
      <c r="AQ498" s="186"/>
      <c r="AR498" s="186"/>
      <c r="AS498" s="186"/>
      <c r="AT498" s="186"/>
      <c r="AU498" s="186"/>
      <c r="GS498" s="176"/>
      <c r="GT498" s="176"/>
      <c r="GU498" s="176"/>
      <c r="GV498" s="176"/>
      <c r="GW498" s="176"/>
    </row>
    <row r="499" spans="1:205" ht="12.75" customHeight="1" x14ac:dyDescent="0.2">
      <c r="A499" s="709"/>
      <c r="B499" s="1110"/>
      <c r="C499" s="1110"/>
      <c r="D499" s="257"/>
      <c r="E499" s="2537"/>
      <c r="G499" s="186"/>
      <c r="H499" s="186"/>
      <c r="I499" s="186"/>
      <c r="J499" s="186"/>
      <c r="K499" s="186"/>
      <c r="L499" s="186"/>
      <c r="P499" s="179"/>
      <c r="Q499" s="179"/>
      <c r="R499" s="179"/>
      <c r="S499" s="175"/>
      <c r="T499" s="175"/>
      <c r="U499" s="253"/>
      <c r="V499" s="1728" t="str">
        <f t="shared" si="131"/>
        <v>8-1/2" Stabilizer</v>
      </c>
      <c r="W499" s="290">
        <f>JARSSHOCKTOOLDDT!I103</f>
        <v>130</v>
      </c>
      <c r="X499" s="245">
        <f t="shared" ref="X499:AK499" si="154">IFERROR(($W499*$W463*X463*FOREX),0)</f>
        <v>0</v>
      </c>
      <c r="Y499" s="245">
        <f t="shared" si="154"/>
        <v>0</v>
      </c>
      <c r="Z499" s="245">
        <f t="shared" si="154"/>
        <v>0</v>
      </c>
      <c r="AA499" s="245">
        <f t="shared" si="154"/>
        <v>0</v>
      </c>
      <c r="AB499" s="245">
        <f t="shared" si="154"/>
        <v>0</v>
      </c>
      <c r="AC499" s="245">
        <f t="shared" si="154"/>
        <v>0</v>
      </c>
      <c r="AD499" s="245">
        <f t="shared" si="154"/>
        <v>0</v>
      </c>
      <c r="AE499" s="245">
        <f t="shared" ca="1" si="154"/>
        <v>0</v>
      </c>
      <c r="AF499" s="245">
        <f t="shared" ca="1" si="154"/>
        <v>39780</v>
      </c>
      <c r="AG499" s="245">
        <f t="shared" si="154"/>
        <v>0</v>
      </c>
      <c r="AH499" s="245">
        <f t="shared" si="154"/>
        <v>0</v>
      </c>
      <c r="AI499" s="245">
        <f t="shared" si="154"/>
        <v>0</v>
      </c>
      <c r="AJ499" s="245">
        <f t="shared" si="154"/>
        <v>0</v>
      </c>
      <c r="AK499" s="245">
        <f t="shared" si="154"/>
        <v>0</v>
      </c>
      <c r="AL499" s="245"/>
      <c r="AM499" s="246">
        <f t="shared" ca="1" si="133"/>
        <v>39780</v>
      </c>
      <c r="AN499" s="254"/>
      <c r="AP499" s="186"/>
      <c r="AQ499" s="186"/>
      <c r="AR499" s="186"/>
      <c r="AS499" s="186"/>
      <c r="AT499" s="186"/>
      <c r="AU499" s="186"/>
      <c r="GS499" s="176"/>
      <c r="GT499" s="176"/>
      <c r="GU499" s="176"/>
      <c r="GV499" s="176"/>
      <c r="GW499" s="176"/>
    </row>
    <row r="500" spans="1:205" ht="12.75" customHeight="1" x14ac:dyDescent="0.2">
      <c r="A500" s="709"/>
      <c r="B500" s="1110"/>
      <c r="C500" s="1110"/>
      <c r="D500" s="257"/>
      <c r="E500" s="2537"/>
      <c r="G500" s="186"/>
      <c r="H500" s="186"/>
      <c r="I500" s="186"/>
      <c r="J500" s="186"/>
      <c r="K500" s="186"/>
      <c r="L500" s="186"/>
      <c r="P500" s="179"/>
      <c r="Q500" s="179"/>
      <c r="R500" s="179"/>
      <c r="S500" s="175"/>
      <c r="T500" s="175"/>
      <c r="U500" s="253"/>
      <c r="V500" s="1728" t="str">
        <f t="shared" si="131"/>
        <v>6-1/2" Stabilizer</v>
      </c>
      <c r="W500" s="290">
        <f>JARSSHOCKTOOLDDT!I104</f>
        <v>260</v>
      </c>
      <c r="X500" s="245">
        <f t="shared" ref="X500:AK500" si="155">IFERROR(($W500*$W464*X464*FOREX),0)</f>
        <v>0</v>
      </c>
      <c r="Y500" s="245">
        <f t="shared" si="155"/>
        <v>0</v>
      </c>
      <c r="Z500" s="245">
        <f t="shared" si="155"/>
        <v>0</v>
      </c>
      <c r="AA500" s="245">
        <f t="shared" si="155"/>
        <v>0</v>
      </c>
      <c r="AB500" s="245">
        <f t="shared" si="155"/>
        <v>0</v>
      </c>
      <c r="AC500" s="245">
        <f t="shared" si="155"/>
        <v>0</v>
      </c>
      <c r="AD500" s="245">
        <f t="shared" si="155"/>
        <v>0</v>
      </c>
      <c r="AE500" s="245">
        <f t="shared" si="155"/>
        <v>0</v>
      </c>
      <c r="AF500" s="245">
        <f t="shared" si="155"/>
        <v>0</v>
      </c>
      <c r="AG500" s="245">
        <f t="shared" si="155"/>
        <v>0</v>
      </c>
      <c r="AH500" s="245">
        <f t="shared" si="155"/>
        <v>0</v>
      </c>
      <c r="AI500" s="245">
        <f t="shared" ca="1" si="155"/>
        <v>0</v>
      </c>
      <c r="AJ500" s="245">
        <f t="shared" si="155"/>
        <v>0</v>
      </c>
      <c r="AK500" s="245">
        <f t="shared" si="155"/>
        <v>0</v>
      </c>
      <c r="AL500" s="245"/>
      <c r="AM500" s="246">
        <f t="shared" ca="1" si="133"/>
        <v>0</v>
      </c>
      <c r="AN500" s="254"/>
      <c r="AP500" s="186"/>
      <c r="AQ500" s="186"/>
      <c r="AR500" s="186"/>
      <c r="AS500" s="186"/>
      <c r="AT500" s="186"/>
      <c r="AU500" s="186"/>
      <c r="GS500" s="176"/>
      <c r="GT500" s="176"/>
      <c r="GU500" s="176"/>
      <c r="GV500" s="176"/>
      <c r="GW500" s="176"/>
    </row>
    <row r="501" spans="1:205" ht="12.75" customHeight="1" x14ac:dyDescent="0.2">
      <c r="A501" s="709"/>
      <c r="B501" s="1110"/>
      <c r="C501" s="1110"/>
      <c r="D501" s="257"/>
      <c r="E501" s="2537"/>
      <c r="G501" s="186"/>
      <c r="H501" s="186"/>
      <c r="I501" s="186"/>
      <c r="J501" s="186"/>
      <c r="K501" s="186"/>
      <c r="L501" s="186"/>
      <c r="P501" s="179"/>
      <c r="Q501" s="179"/>
      <c r="R501" s="179"/>
      <c r="S501" s="175"/>
      <c r="T501" s="175"/>
      <c r="U501" s="1150"/>
      <c r="V501" s="1728" t="str">
        <f t="shared" si="131"/>
        <v>9" NMDC</v>
      </c>
      <c r="W501" s="290">
        <f>JARSSHOCKTOOLDDT!I105</f>
        <v>219.95999999999998</v>
      </c>
      <c r="X501" s="245">
        <f t="shared" ref="X501:AK501" si="156">IFERROR(($W501*$W465*X465*FOREX),0)</f>
        <v>157051.43999999997</v>
      </c>
      <c r="Y501" s="245">
        <f t="shared" ca="1" si="156"/>
        <v>44871.839999999997</v>
      </c>
      <c r="Z501" s="245">
        <f t="shared" ca="1" si="156"/>
        <v>89743.679999999993</v>
      </c>
      <c r="AA501" s="245">
        <f t="shared" ca="1" si="156"/>
        <v>112179.59999999999</v>
      </c>
      <c r="AB501" s="245">
        <f t="shared" ca="1" si="156"/>
        <v>89743.679999999993</v>
      </c>
      <c r="AC501" s="245">
        <f t="shared" ca="1" si="156"/>
        <v>224359.19999999998</v>
      </c>
      <c r="AD501" s="245">
        <f t="shared" si="156"/>
        <v>0</v>
      </c>
      <c r="AE501" s="245">
        <f t="shared" si="156"/>
        <v>157051.43999999997</v>
      </c>
      <c r="AF501" s="245">
        <f t="shared" si="156"/>
        <v>0</v>
      </c>
      <c r="AG501" s="245">
        <f t="shared" si="156"/>
        <v>0</v>
      </c>
      <c r="AH501" s="245">
        <f t="shared" si="156"/>
        <v>0</v>
      </c>
      <c r="AI501" s="245">
        <f t="shared" si="156"/>
        <v>0</v>
      </c>
      <c r="AJ501" s="245">
        <f t="shared" si="156"/>
        <v>0</v>
      </c>
      <c r="AK501" s="245">
        <f t="shared" si="156"/>
        <v>0</v>
      </c>
      <c r="AL501" s="245"/>
      <c r="AM501" s="246">
        <f t="shared" ca="1" si="133"/>
        <v>875000.87999999989</v>
      </c>
      <c r="AN501" s="254"/>
      <c r="AP501" s="186"/>
      <c r="AQ501" s="186"/>
      <c r="AR501" s="186"/>
      <c r="AS501" s="186"/>
      <c r="AT501" s="186"/>
      <c r="AU501" s="186"/>
      <c r="GS501" s="176"/>
      <c r="GT501" s="176"/>
      <c r="GU501" s="176"/>
      <c r="GV501" s="176"/>
      <c r="GW501" s="176"/>
    </row>
    <row r="502" spans="1:205" ht="12.75" customHeight="1" x14ac:dyDescent="0.2">
      <c r="A502" s="709"/>
      <c r="B502" s="1110"/>
      <c r="C502" s="1110"/>
      <c r="D502" s="257"/>
      <c r="E502" s="2537"/>
      <c r="G502" s="186"/>
      <c r="H502" s="186"/>
      <c r="I502" s="186"/>
      <c r="J502" s="186"/>
      <c r="K502" s="186"/>
      <c r="L502" s="186"/>
      <c r="P502" s="179"/>
      <c r="Q502" s="179"/>
      <c r="R502" s="179"/>
      <c r="S502" s="175"/>
      <c r="T502" s="175"/>
      <c r="U502" s="1150"/>
      <c r="V502" s="1728" t="str">
        <f t="shared" si="131"/>
        <v>8" Pony NMDC</v>
      </c>
      <c r="W502" s="290">
        <f>JARSSHOCKTOOLDDT!I106</f>
        <v>219.95999999999998</v>
      </c>
      <c r="X502" s="245">
        <f t="shared" ref="X502:AK502" si="157">IFERROR(($W502*$W466*X466*FOREX),0)</f>
        <v>0</v>
      </c>
      <c r="Y502" s="245">
        <f t="shared" si="157"/>
        <v>0</v>
      </c>
      <c r="Z502" s="245">
        <f t="shared" si="157"/>
        <v>0</v>
      </c>
      <c r="AA502" s="245">
        <f t="shared" si="157"/>
        <v>0</v>
      </c>
      <c r="AB502" s="245">
        <f t="shared" si="157"/>
        <v>0</v>
      </c>
      <c r="AC502" s="245">
        <f t="shared" si="157"/>
        <v>0</v>
      </c>
      <c r="AD502" s="245">
        <f t="shared" si="157"/>
        <v>314102.87999999995</v>
      </c>
      <c r="AE502" s="245">
        <f t="shared" ca="1" si="157"/>
        <v>269231.03999999998</v>
      </c>
      <c r="AF502" s="245">
        <f t="shared" si="157"/>
        <v>314102.87999999995</v>
      </c>
      <c r="AG502" s="245">
        <f t="shared" si="157"/>
        <v>0</v>
      </c>
      <c r="AH502" s="245">
        <f t="shared" si="157"/>
        <v>0</v>
      </c>
      <c r="AI502" s="245">
        <f t="shared" si="157"/>
        <v>0</v>
      </c>
      <c r="AJ502" s="245">
        <f t="shared" si="157"/>
        <v>0</v>
      </c>
      <c r="AK502" s="245">
        <f t="shared" si="157"/>
        <v>0</v>
      </c>
      <c r="AL502" s="245"/>
      <c r="AM502" s="246">
        <f t="shared" ca="1" si="133"/>
        <v>897436.79999999981</v>
      </c>
      <c r="AN502" s="254"/>
      <c r="AP502" s="186"/>
      <c r="AQ502" s="186"/>
      <c r="AR502" s="186"/>
      <c r="AS502" s="186"/>
      <c r="AT502" s="186"/>
      <c r="AU502" s="186"/>
      <c r="GS502" s="176"/>
      <c r="GT502" s="176"/>
      <c r="GU502" s="176"/>
      <c r="GV502" s="176"/>
      <c r="GW502" s="176"/>
    </row>
    <row r="503" spans="1:205" ht="12.75" customHeight="1" x14ac:dyDescent="0.2">
      <c r="A503" s="709"/>
      <c r="B503" s="1110"/>
      <c r="C503" s="1110"/>
      <c r="D503" s="257"/>
      <c r="E503" s="2537"/>
      <c r="G503" s="186"/>
      <c r="H503" s="186"/>
      <c r="I503" s="186"/>
      <c r="J503" s="186"/>
      <c r="K503" s="186"/>
      <c r="L503" s="186"/>
      <c r="P503" s="179"/>
      <c r="Q503" s="179"/>
      <c r="R503" s="179"/>
      <c r="S503" s="175"/>
      <c r="T503" s="175"/>
      <c r="U503" s="1829"/>
      <c r="V503" s="1830"/>
      <c r="W503" s="1611"/>
      <c r="X503" s="245">
        <f t="shared" ref="X503:AK503" si="158">IFERROR(($W503*$W467*X467*FOREX),0)</f>
        <v>0</v>
      </c>
      <c r="Y503" s="245">
        <f t="shared" si="158"/>
        <v>0</v>
      </c>
      <c r="Z503" s="245">
        <f t="shared" si="158"/>
        <v>0</v>
      </c>
      <c r="AA503" s="245">
        <f t="shared" si="158"/>
        <v>0</v>
      </c>
      <c r="AB503" s="245">
        <f t="shared" si="158"/>
        <v>0</v>
      </c>
      <c r="AC503" s="245">
        <f t="shared" si="158"/>
        <v>0</v>
      </c>
      <c r="AD503" s="245">
        <f t="shared" si="158"/>
        <v>0</v>
      </c>
      <c r="AE503" s="245">
        <f t="shared" si="158"/>
        <v>0</v>
      </c>
      <c r="AF503" s="245">
        <f t="shared" si="158"/>
        <v>0</v>
      </c>
      <c r="AG503" s="245">
        <f t="shared" si="158"/>
        <v>0</v>
      </c>
      <c r="AH503" s="245">
        <f t="shared" si="158"/>
        <v>0</v>
      </c>
      <c r="AI503" s="245">
        <f t="shared" si="158"/>
        <v>0</v>
      </c>
      <c r="AJ503" s="245">
        <f t="shared" si="158"/>
        <v>0</v>
      </c>
      <c r="AK503" s="245">
        <f t="shared" si="158"/>
        <v>0</v>
      </c>
      <c r="AL503" s="1831"/>
      <c r="AM503" s="1832">
        <f t="shared" si="133"/>
        <v>0</v>
      </c>
      <c r="AN503" s="254"/>
      <c r="AP503" s="186"/>
      <c r="AQ503" s="186"/>
      <c r="AR503" s="186"/>
      <c r="AS503" s="186"/>
      <c r="AT503" s="186"/>
      <c r="AU503" s="186"/>
      <c r="GS503" s="176"/>
      <c r="GT503" s="176"/>
      <c r="GU503" s="176"/>
      <c r="GV503" s="176"/>
      <c r="GW503" s="176"/>
    </row>
    <row r="504" spans="1:205" ht="12.75" customHeight="1" x14ac:dyDescent="0.2">
      <c r="A504" s="709"/>
      <c r="B504" s="1110"/>
      <c r="C504" s="1110"/>
      <c r="D504" s="257"/>
      <c r="E504" s="2537"/>
      <c r="G504" s="186"/>
      <c r="H504" s="186"/>
      <c r="I504" s="186"/>
      <c r="J504" s="186"/>
      <c r="K504" s="186"/>
      <c r="L504" s="186"/>
      <c r="P504" s="179"/>
      <c r="Q504" s="179"/>
      <c r="R504" s="179"/>
      <c r="S504" s="175"/>
      <c r="T504" s="175"/>
      <c r="U504" s="1150"/>
      <c r="V504" s="1728" t="str">
        <f t="shared" ref="V504:V510" si="159">V468</f>
        <v>8" PWD Tool</v>
      </c>
      <c r="W504" s="290">
        <f>JARSSHOCKTOOLDDT!I109</f>
        <v>24957</v>
      </c>
      <c r="X504" s="245">
        <f t="shared" ref="X504:AK504" si="160">IFERROR(($W504*$W468*X468*FOREX),0)</f>
        <v>0</v>
      </c>
      <c r="Y504" s="245">
        <f t="shared" si="160"/>
        <v>0</v>
      </c>
      <c r="Z504" s="245">
        <f t="shared" si="160"/>
        <v>0</v>
      </c>
      <c r="AA504" s="245">
        <f t="shared" si="160"/>
        <v>0</v>
      </c>
      <c r="AB504" s="245">
        <f t="shared" si="160"/>
        <v>0</v>
      </c>
      <c r="AC504" s="245">
        <f t="shared" si="160"/>
        <v>0</v>
      </c>
      <c r="AD504" s="245">
        <f t="shared" si="160"/>
        <v>0</v>
      </c>
      <c r="AE504" s="245">
        <f t="shared" si="160"/>
        <v>1272807</v>
      </c>
      <c r="AF504" s="245">
        <f t="shared" si="160"/>
        <v>0</v>
      </c>
      <c r="AG504" s="245">
        <f t="shared" si="160"/>
        <v>0</v>
      </c>
      <c r="AH504" s="245">
        <f t="shared" si="160"/>
        <v>0</v>
      </c>
      <c r="AI504" s="245">
        <f t="shared" si="160"/>
        <v>0</v>
      </c>
      <c r="AJ504" s="245">
        <f t="shared" si="160"/>
        <v>0</v>
      </c>
      <c r="AK504" s="245">
        <f t="shared" si="160"/>
        <v>0</v>
      </c>
      <c r="AL504" s="245"/>
      <c r="AM504" s="246">
        <f t="shared" si="133"/>
        <v>1272807</v>
      </c>
      <c r="AN504" s="254"/>
      <c r="AP504" s="186"/>
      <c r="AQ504" s="186"/>
      <c r="AR504" s="186"/>
      <c r="AS504" s="186"/>
      <c r="AT504" s="186"/>
      <c r="AU504" s="186"/>
      <c r="GS504" s="176"/>
      <c r="GT504" s="176"/>
      <c r="GU504" s="176"/>
      <c r="GV504" s="176"/>
      <c r="GW504" s="176"/>
    </row>
    <row r="505" spans="1:205" ht="12.75" customHeight="1" x14ac:dyDescent="0.2">
      <c r="A505" s="709"/>
      <c r="B505" s="1110"/>
      <c r="C505" s="1110"/>
      <c r="D505" s="257"/>
      <c r="E505" s="2537"/>
      <c r="G505" s="186"/>
      <c r="H505" s="186"/>
      <c r="I505" s="186"/>
      <c r="J505" s="186"/>
      <c r="K505" s="186"/>
      <c r="L505" s="186"/>
      <c r="P505" s="179"/>
      <c r="Q505" s="179"/>
      <c r="R505" s="179"/>
      <c r="S505" s="175"/>
      <c r="T505" s="175"/>
      <c r="U505" s="1150"/>
      <c r="V505" s="1728" t="str">
        <f t="shared" si="159"/>
        <v>6-3/4" PWD Tool</v>
      </c>
      <c r="W505" s="290">
        <f>JARSSHOCKTOOLDDT!I110</f>
        <v>24957</v>
      </c>
      <c r="X505" s="245">
        <f t="shared" ref="X505:AK505" si="161">IFERROR(($W505*$W469*X469*FOREX),0)</f>
        <v>0</v>
      </c>
      <c r="Y505" s="245">
        <f t="shared" si="161"/>
        <v>0</v>
      </c>
      <c r="Z505" s="245">
        <f t="shared" si="161"/>
        <v>0</v>
      </c>
      <c r="AA505" s="245">
        <f t="shared" si="161"/>
        <v>0</v>
      </c>
      <c r="AB505" s="245">
        <f t="shared" si="161"/>
        <v>0</v>
      </c>
      <c r="AC505" s="245">
        <f t="shared" si="161"/>
        <v>0</v>
      </c>
      <c r="AD505" s="245">
        <f t="shared" si="161"/>
        <v>0</v>
      </c>
      <c r="AE505" s="245">
        <f t="shared" si="161"/>
        <v>0</v>
      </c>
      <c r="AF505" s="245">
        <f t="shared" si="161"/>
        <v>0</v>
      </c>
      <c r="AG505" s="245">
        <f>IFERROR(($W505*$W469*AG469*FOREX),0)</f>
        <v>1272807</v>
      </c>
      <c r="AH505" s="245">
        <f t="shared" si="161"/>
        <v>0</v>
      </c>
      <c r="AI505" s="245">
        <f t="shared" si="161"/>
        <v>0</v>
      </c>
      <c r="AJ505" s="245">
        <f t="shared" si="161"/>
        <v>0</v>
      </c>
      <c r="AK505" s="245">
        <f t="shared" si="161"/>
        <v>0</v>
      </c>
      <c r="AL505" s="245"/>
      <c r="AM505" s="246">
        <f t="shared" si="133"/>
        <v>1272807</v>
      </c>
      <c r="AN505" s="254"/>
      <c r="AP505" s="186"/>
      <c r="AQ505" s="186"/>
      <c r="AR505" s="186"/>
      <c r="AS505" s="186"/>
      <c r="AT505" s="186"/>
      <c r="AU505" s="186"/>
      <c r="GS505" s="176"/>
      <c r="GT505" s="176"/>
      <c r="GU505" s="176"/>
      <c r="GV505" s="176"/>
      <c r="GW505" s="176"/>
    </row>
    <row r="506" spans="1:205" ht="12.75" customHeight="1" x14ac:dyDescent="0.2">
      <c r="A506" s="709"/>
      <c r="B506" s="1110"/>
      <c r="C506" s="1110"/>
      <c r="D506" s="257"/>
      <c r="E506" s="620"/>
      <c r="F506" s="1727"/>
      <c r="G506" s="186" t="e">
        <f>#REF!</f>
        <v>#REF!</v>
      </c>
      <c r="H506" s="186" t="e">
        <f>#REF!</f>
        <v>#REF!</v>
      </c>
      <c r="I506" s="186" t="e">
        <f>#REF!</f>
        <v>#REF!</v>
      </c>
      <c r="J506" s="186" t="e">
        <f>#REF!</f>
        <v>#REF!</v>
      </c>
      <c r="K506" s="186" t="e">
        <f>#REF!</f>
        <v>#REF!</v>
      </c>
      <c r="L506" s="186" t="e">
        <f>#REF!</f>
        <v>#REF!</v>
      </c>
      <c r="P506" s="179"/>
      <c r="Q506" s="179"/>
      <c r="R506" s="179"/>
      <c r="S506" s="179"/>
      <c r="T506" s="179"/>
      <c r="U506" s="1150"/>
      <c r="V506" s="1728" t="str">
        <f t="shared" si="159"/>
        <v>Circulating Hours 8 PWD</v>
      </c>
      <c r="W506" s="290">
        <f>JARSSHOCKTOOLDDT!K111</f>
        <v>60</v>
      </c>
      <c r="X506" s="245">
        <f t="shared" ref="X506:AK506" si="162">IFERROR(($W506*$W470*X470*FOREX),0)</f>
        <v>0</v>
      </c>
      <c r="Y506" s="245">
        <f t="shared" si="162"/>
        <v>0</v>
      </c>
      <c r="Z506" s="245">
        <f t="shared" si="162"/>
        <v>0</v>
      </c>
      <c r="AA506" s="245">
        <f t="shared" si="162"/>
        <v>0</v>
      </c>
      <c r="AB506" s="245">
        <f t="shared" si="162"/>
        <v>0</v>
      </c>
      <c r="AC506" s="245">
        <f t="shared" si="162"/>
        <v>0</v>
      </c>
      <c r="AD506" s="245">
        <f t="shared" si="162"/>
        <v>0</v>
      </c>
      <c r="AE506" s="245">
        <f t="shared" ca="1" si="162"/>
        <v>440640</v>
      </c>
      <c r="AF506" s="245">
        <f t="shared" si="162"/>
        <v>0</v>
      </c>
      <c r="AG506" s="245">
        <f t="shared" si="162"/>
        <v>0</v>
      </c>
      <c r="AH506" s="245">
        <f t="shared" si="162"/>
        <v>0</v>
      </c>
      <c r="AI506" s="245">
        <f t="shared" si="162"/>
        <v>0</v>
      </c>
      <c r="AJ506" s="245">
        <f t="shared" si="162"/>
        <v>0</v>
      </c>
      <c r="AK506" s="245">
        <f t="shared" si="162"/>
        <v>0</v>
      </c>
      <c r="AL506" s="245"/>
      <c r="AM506" s="246">
        <f t="shared" ca="1" si="133"/>
        <v>440640</v>
      </c>
      <c r="AN506" s="254"/>
      <c r="AP506" s="186"/>
      <c r="AQ506" s="186"/>
      <c r="AR506" s="186"/>
      <c r="AS506" s="186"/>
      <c r="AT506" s="186"/>
      <c r="AU506" s="186"/>
      <c r="GS506" s="176"/>
      <c r="GT506" s="176"/>
      <c r="GU506" s="176"/>
      <c r="GV506" s="176"/>
      <c r="GW506" s="176"/>
    </row>
    <row r="507" spans="1:205" ht="12.75" customHeight="1" x14ac:dyDescent="0.2">
      <c r="A507" s="709"/>
      <c r="B507" s="1110"/>
      <c r="C507" s="1110"/>
      <c r="D507" s="257"/>
      <c r="E507" s="1030"/>
      <c r="F507" s="1029"/>
      <c r="G507" s="186"/>
      <c r="H507" s="186"/>
      <c r="I507" s="186"/>
      <c r="J507" s="186"/>
      <c r="K507" s="186"/>
      <c r="L507" s="186"/>
      <c r="P507" s="179"/>
      <c r="Q507" s="179"/>
      <c r="R507" s="179"/>
      <c r="S507" s="179"/>
      <c r="T507" s="179"/>
      <c r="U507" s="1150"/>
      <c r="V507" s="1728" t="str">
        <f t="shared" si="159"/>
        <v>Circulating Hours 6 PWD</v>
      </c>
      <c r="W507" s="290">
        <f>W506</f>
        <v>60</v>
      </c>
      <c r="X507" s="245">
        <f t="shared" ref="X507:AK507" si="163">IFERROR(($W507*$W471*X471*FOREX),0)</f>
        <v>0</v>
      </c>
      <c r="Y507" s="245">
        <f t="shared" si="163"/>
        <v>0</v>
      </c>
      <c r="Z507" s="245">
        <f t="shared" si="163"/>
        <v>0</v>
      </c>
      <c r="AA507" s="245">
        <f t="shared" si="163"/>
        <v>0</v>
      </c>
      <c r="AB507" s="245">
        <f t="shared" si="163"/>
        <v>0</v>
      </c>
      <c r="AC507" s="245">
        <f t="shared" si="163"/>
        <v>0</v>
      </c>
      <c r="AD507" s="245">
        <f t="shared" si="163"/>
        <v>0</v>
      </c>
      <c r="AE507" s="245">
        <f t="shared" si="163"/>
        <v>0</v>
      </c>
      <c r="AF507" s="245">
        <f t="shared" si="163"/>
        <v>0</v>
      </c>
      <c r="AG507" s="245">
        <f t="shared" ca="1" si="163"/>
        <v>367200</v>
      </c>
      <c r="AH507" s="245">
        <f t="shared" si="163"/>
        <v>0</v>
      </c>
      <c r="AI507" s="245">
        <f t="shared" si="163"/>
        <v>0</v>
      </c>
      <c r="AJ507" s="245">
        <f t="shared" si="163"/>
        <v>0</v>
      </c>
      <c r="AK507" s="245">
        <f t="shared" si="163"/>
        <v>0</v>
      </c>
      <c r="AL507" s="245"/>
      <c r="AM507" s="246">
        <f t="shared" ca="1" si="133"/>
        <v>367200</v>
      </c>
      <c r="AN507" s="254"/>
      <c r="AP507" s="186"/>
      <c r="AQ507" s="186"/>
      <c r="AR507" s="186"/>
      <c r="AS507" s="186"/>
      <c r="AT507" s="186"/>
      <c r="AU507" s="186"/>
      <c r="GS507" s="176"/>
      <c r="GT507" s="176"/>
      <c r="GU507" s="176"/>
      <c r="GV507" s="176"/>
      <c r="GW507" s="176"/>
    </row>
    <row r="508" spans="1:205" ht="12.75" customHeight="1" x14ac:dyDescent="0.2">
      <c r="A508" s="709"/>
      <c r="B508" s="1110"/>
      <c r="C508" s="1110"/>
      <c r="D508" s="257"/>
      <c r="E508" s="1030"/>
      <c r="F508" s="1029"/>
      <c r="G508" s="186"/>
      <c r="H508" s="186"/>
      <c r="I508" s="186"/>
      <c r="J508" s="186"/>
      <c r="K508" s="186"/>
      <c r="L508" s="186"/>
      <c r="P508" s="179"/>
      <c r="Q508" s="179"/>
      <c r="R508" s="179"/>
      <c r="S508" s="179"/>
      <c r="T508" s="179"/>
      <c r="U508" s="253"/>
      <c r="V508" s="1728" t="str">
        <f t="shared" si="159"/>
        <v>PWD Engineer 8in</v>
      </c>
      <c r="W508" s="290">
        <f>JARSSHOCKTOOLDDT!J112</f>
        <v>850</v>
      </c>
      <c r="X508" s="245">
        <f t="shared" ref="X508:AK508" si="164">IFERROR(($W508*$W472*X472*FOREX),0)</f>
        <v>0</v>
      </c>
      <c r="Y508" s="245">
        <f t="shared" si="164"/>
        <v>0</v>
      </c>
      <c r="Z508" s="245">
        <f t="shared" si="164"/>
        <v>0</v>
      </c>
      <c r="AA508" s="245">
        <f t="shared" si="164"/>
        <v>0</v>
      </c>
      <c r="AB508" s="245">
        <f t="shared" si="164"/>
        <v>0</v>
      </c>
      <c r="AC508" s="245">
        <f t="shared" si="164"/>
        <v>0</v>
      </c>
      <c r="AD508" s="245">
        <f t="shared" si="164"/>
        <v>216750</v>
      </c>
      <c r="AE508" s="245">
        <f t="shared" ca="1" si="164"/>
        <v>260100</v>
      </c>
      <c r="AF508" s="245">
        <f t="shared" ca="1" si="164"/>
        <v>86700</v>
      </c>
      <c r="AG508" s="245">
        <f t="shared" si="164"/>
        <v>0</v>
      </c>
      <c r="AH508" s="245">
        <f t="shared" si="164"/>
        <v>0</v>
      </c>
      <c r="AI508" s="245">
        <f t="shared" si="164"/>
        <v>0</v>
      </c>
      <c r="AJ508" s="245">
        <f t="shared" si="164"/>
        <v>0</v>
      </c>
      <c r="AK508" s="245">
        <f t="shared" si="164"/>
        <v>0</v>
      </c>
      <c r="AL508" s="245"/>
      <c r="AM508" s="246">
        <f t="shared" ca="1" si="133"/>
        <v>563550</v>
      </c>
      <c r="AN508" s="254"/>
      <c r="AP508" s="186"/>
      <c r="AQ508" s="186"/>
      <c r="AR508" s="186"/>
      <c r="AS508" s="186"/>
      <c r="AT508" s="186"/>
      <c r="AU508" s="186"/>
      <c r="GS508" s="176"/>
      <c r="GT508" s="176"/>
      <c r="GU508" s="176"/>
      <c r="GV508" s="176"/>
      <c r="GW508" s="176"/>
    </row>
    <row r="509" spans="1:205" ht="12.75" customHeight="1" x14ac:dyDescent="0.2">
      <c r="A509" s="709"/>
      <c r="B509" s="1110"/>
      <c r="C509" s="1110"/>
      <c r="D509" s="257"/>
      <c r="E509" s="1030"/>
      <c r="F509" s="1029"/>
      <c r="G509" s="186"/>
      <c r="H509" s="186"/>
      <c r="I509" s="186"/>
      <c r="J509" s="186"/>
      <c r="K509" s="186"/>
      <c r="L509" s="186"/>
      <c r="P509" s="179"/>
      <c r="Q509" s="179"/>
      <c r="R509" s="179"/>
      <c r="S509" s="179"/>
      <c r="T509" s="179"/>
      <c r="U509" s="253"/>
      <c r="V509" s="1728" t="str">
        <f t="shared" si="159"/>
        <v>PWD Engineer 6in</v>
      </c>
      <c r="W509" s="290">
        <f>W508</f>
        <v>850</v>
      </c>
      <c r="X509" s="245">
        <f t="shared" ref="X509:AK509" si="165">IFERROR(($W509*$W473*X473*FOREX),0)</f>
        <v>0</v>
      </c>
      <c r="Y509" s="245">
        <f t="shared" si="165"/>
        <v>0</v>
      </c>
      <c r="Z509" s="245">
        <f t="shared" si="165"/>
        <v>0</v>
      </c>
      <c r="AA509" s="245">
        <f t="shared" si="165"/>
        <v>0</v>
      </c>
      <c r="AB509" s="245">
        <f t="shared" si="165"/>
        <v>0</v>
      </c>
      <c r="AC509" s="245">
        <f t="shared" si="165"/>
        <v>0</v>
      </c>
      <c r="AD509" s="245">
        <f t="shared" si="165"/>
        <v>0</v>
      </c>
      <c r="AE509" s="245">
        <f t="shared" si="165"/>
        <v>0</v>
      </c>
      <c r="AF509" s="245">
        <f t="shared" si="165"/>
        <v>0</v>
      </c>
      <c r="AG509" s="245">
        <f t="shared" ca="1" si="165"/>
        <v>216750</v>
      </c>
      <c r="AH509" s="245">
        <f t="shared" si="165"/>
        <v>216750</v>
      </c>
      <c r="AI509" s="245">
        <f t="shared" si="165"/>
        <v>0</v>
      </c>
      <c r="AJ509" s="245">
        <f t="shared" si="165"/>
        <v>0</v>
      </c>
      <c r="AK509" s="245">
        <f t="shared" si="165"/>
        <v>0</v>
      </c>
      <c r="AL509" s="245"/>
      <c r="AM509" s="246">
        <f t="shared" ca="1" si="133"/>
        <v>433500</v>
      </c>
      <c r="AN509" s="254"/>
      <c r="AP509" s="186"/>
      <c r="AQ509" s="186"/>
      <c r="AR509" s="186"/>
      <c r="AS509" s="186"/>
      <c r="AT509" s="186"/>
      <c r="AU509" s="186"/>
      <c r="GS509" s="176"/>
      <c r="GT509" s="176"/>
      <c r="GU509" s="176"/>
      <c r="GV509" s="176"/>
      <c r="GW509" s="176"/>
    </row>
    <row r="510" spans="1:205" ht="12.75" customHeight="1" x14ac:dyDescent="0.2">
      <c r="A510" s="709"/>
      <c r="B510" s="1110"/>
      <c r="C510" s="1110"/>
      <c r="D510" s="257"/>
      <c r="E510" s="1030"/>
      <c r="F510" s="1029"/>
      <c r="G510" s="186"/>
      <c r="H510" s="186"/>
      <c r="I510" s="186"/>
      <c r="J510" s="186"/>
      <c r="K510" s="186"/>
      <c r="L510" s="186"/>
      <c r="P510" s="179"/>
      <c r="Q510" s="179"/>
      <c r="R510" s="179"/>
      <c r="S510" s="179"/>
      <c r="T510" s="179"/>
      <c r="U510" s="253"/>
      <c r="V510" s="1728" t="str">
        <f t="shared" si="159"/>
        <v>Tool Mob/Demob</v>
      </c>
      <c r="W510" s="290">
        <f>JARSSHOCKTOOLDDT!I113</f>
        <v>9375</v>
      </c>
      <c r="X510" s="245">
        <f t="shared" ref="X510:AK510" si="166">IFERROR(($W510*$W474*X474*FOREX),0)</f>
        <v>0</v>
      </c>
      <c r="Y510" s="245">
        <f t="shared" si="166"/>
        <v>0</v>
      </c>
      <c r="Z510" s="245">
        <f t="shared" si="166"/>
        <v>0</v>
      </c>
      <c r="AA510" s="245">
        <f t="shared" si="166"/>
        <v>0</v>
      </c>
      <c r="AB510" s="245">
        <f t="shared" si="166"/>
        <v>0</v>
      </c>
      <c r="AC510" s="245">
        <f t="shared" si="166"/>
        <v>0</v>
      </c>
      <c r="AD510" s="245">
        <f t="shared" si="166"/>
        <v>478125</v>
      </c>
      <c r="AE510" s="245">
        <f t="shared" si="166"/>
        <v>0</v>
      </c>
      <c r="AF510" s="245">
        <f t="shared" si="166"/>
        <v>0</v>
      </c>
      <c r="AG510" s="245">
        <f t="shared" si="166"/>
        <v>0</v>
      </c>
      <c r="AH510" s="245">
        <f t="shared" si="166"/>
        <v>0</v>
      </c>
      <c r="AI510" s="245">
        <f t="shared" si="166"/>
        <v>0</v>
      </c>
      <c r="AJ510" s="245">
        <f t="shared" si="166"/>
        <v>0</v>
      </c>
      <c r="AK510" s="245">
        <f t="shared" si="166"/>
        <v>0</v>
      </c>
      <c r="AL510" s="245"/>
      <c r="AM510" s="246">
        <f t="shared" si="133"/>
        <v>478125</v>
      </c>
      <c r="AN510" s="254"/>
      <c r="AP510" s="186"/>
      <c r="AQ510" s="186"/>
      <c r="AR510" s="186"/>
      <c r="AS510" s="186"/>
      <c r="AT510" s="186"/>
      <c r="AU510" s="186"/>
      <c r="GS510" s="176"/>
      <c r="GT510" s="176"/>
      <c r="GU510" s="176"/>
      <c r="GV510" s="176"/>
      <c r="GW510" s="176"/>
    </row>
    <row r="511" spans="1:205" s="252" customFormat="1" ht="16.5" hidden="1" customHeight="1" thickBot="1" x14ac:dyDescent="0.25">
      <c r="A511" s="735"/>
      <c r="B511" s="1136"/>
      <c r="C511" s="1136"/>
      <c r="D511" s="540"/>
      <c r="E511" s="614"/>
      <c r="F511" s="249"/>
      <c r="G511" s="250"/>
      <c r="H511" s="250"/>
      <c r="I511" s="250"/>
      <c r="J511" s="250"/>
      <c r="K511" s="250"/>
      <c r="L511" s="250"/>
      <c r="M511" s="250"/>
      <c r="N511" s="250"/>
      <c r="O511" s="250"/>
      <c r="P511" s="251"/>
      <c r="Q511" s="251"/>
      <c r="R511" s="251"/>
      <c r="S511" s="251"/>
      <c r="T511" s="251"/>
      <c r="U511" s="328"/>
      <c r="V511" s="1153" t="s">
        <v>242</v>
      </c>
      <c r="W511" s="1426" t="s">
        <v>138</v>
      </c>
      <c r="X511" s="1426" t="str">
        <f t="shared" ref="X511:AK511" si="167">X$14</f>
        <v>RIGMOVE</v>
      </c>
      <c r="Y511" s="1426" t="str">
        <f t="shared" si="167"/>
        <v>DSURFACE</v>
      </c>
      <c r="Z511" s="1426" t="str">
        <f t="shared" si="167"/>
        <v>FSURFACE</v>
      </c>
      <c r="AA511" s="1426" t="str">
        <f t="shared" si="167"/>
        <v>DINTERMEDIATE</v>
      </c>
      <c r="AB511" s="1426" t="str">
        <f t="shared" si="167"/>
        <v>FINTERMEDIATE</v>
      </c>
      <c r="AC511" s="1426" t="str">
        <f t="shared" si="167"/>
        <v>DPRODUCTION</v>
      </c>
      <c r="AD511" s="1426" t="str">
        <f t="shared" si="167"/>
        <v>FPRODUCTION</v>
      </c>
      <c r="AE511" s="1426" t="str">
        <f t="shared" si="167"/>
        <v>DLINER1</v>
      </c>
      <c r="AF511" s="1426" t="str">
        <f t="shared" si="167"/>
        <v>FLINER1</v>
      </c>
      <c r="AG511" s="1426" t="str">
        <f t="shared" si="167"/>
        <v>DLINER2</v>
      </c>
      <c r="AH511" s="1426" t="str">
        <f t="shared" si="167"/>
        <v>FLINER2</v>
      </c>
      <c r="AI511" s="1426" t="str">
        <f t="shared" si="167"/>
        <v/>
      </c>
      <c r="AJ511" s="1426" t="str">
        <f t="shared" si="167"/>
        <v/>
      </c>
      <c r="AK511" s="1426" t="str">
        <f t="shared" si="167"/>
        <v/>
      </c>
      <c r="AL511" s="1154"/>
      <c r="AM511" s="1449" t="s">
        <v>46</v>
      </c>
      <c r="AN511" s="254"/>
      <c r="AO511" s="172"/>
      <c r="AP511" s="186"/>
      <c r="AQ511" s="186"/>
      <c r="AR511" s="186"/>
      <c r="AS511" s="186"/>
      <c r="AT511" s="186"/>
      <c r="AU511" s="186"/>
      <c r="AV511" s="249"/>
      <c r="AW511" s="249"/>
      <c r="AX511" s="249"/>
      <c r="AY511" s="249"/>
      <c r="AZ511" s="249"/>
      <c r="BA511" s="249"/>
      <c r="BB511" s="249"/>
      <c r="BC511" s="249"/>
      <c r="BD511" s="249"/>
      <c r="BE511" s="249"/>
      <c r="BF511" s="249"/>
      <c r="BG511" s="249"/>
      <c r="BH511" s="249"/>
      <c r="BI511" s="249"/>
      <c r="BJ511" s="249"/>
      <c r="BK511" s="249"/>
      <c r="BL511" s="249"/>
      <c r="BM511" s="249"/>
      <c r="BN511" s="249"/>
      <c r="BO511" s="249"/>
      <c r="BP511" s="249"/>
      <c r="BQ511" s="249"/>
      <c r="BR511" s="249"/>
      <c r="BS511" s="249"/>
      <c r="BT511" s="249"/>
      <c r="BU511" s="249"/>
      <c r="BV511" s="249"/>
      <c r="BW511" s="249"/>
      <c r="BX511" s="249"/>
      <c r="BY511" s="249"/>
      <c r="BZ511" s="249"/>
      <c r="CA511" s="249"/>
      <c r="CB511" s="249"/>
      <c r="CC511" s="249"/>
      <c r="CD511" s="249"/>
      <c r="CE511" s="249"/>
      <c r="CF511" s="249"/>
      <c r="CG511" s="249"/>
      <c r="CH511" s="249"/>
      <c r="CI511" s="249"/>
      <c r="CJ511" s="249"/>
      <c r="CK511" s="249"/>
      <c r="CL511" s="249"/>
      <c r="CM511" s="249"/>
      <c r="CN511" s="249"/>
      <c r="CO511" s="249"/>
      <c r="CP511" s="249"/>
      <c r="CQ511" s="249"/>
      <c r="CR511" s="249"/>
      <c r="CS511" s="249"/>
      <c r="CT511" s="249"/>
      <c r="CU511" s="249"/>
      <c r="CV511" s="249"/>
      <c r="CW511" s="249"/>
      <c r="CX511" s="249"/>
      <c r="CY511" s="249"/>
      <c r="CZ511" s="249"/>
      <c r="DA511" s="249"/>
      <c r="DB511" s="249"/>
      <c r="DC511" s="249"/>
      <c r="DD511" s="249"/>
      <c r="DE511" s="249"/>
      <c r="DF511" s="249"/>
      <c r="DG511" s="249"/>
      <c r="DH511" s="249"/>
      <c r="DI511" s="249"/>
      <c r="DJ511" s="249"/>
      <c r="DK511" s="249"/>
      <c r="DL511" s="249"/>
      <c r="DM511" s="249"/>
      <c r="DN511" s="249"/>
      <c r="DO511" s="249"/>
      <c r="DP511" s="249"/>
      <c r="DQ511" s="249"/>
      <c r="DR511" s="249"/>
      <c r="DS511" s="249"/>
      <c r="DT511" s="249"/>
      <c r="DU511" s="249"/>
      <c r="DV511" s="249"/>
      <c r="DW511" s="249"/>
      <c r="DX511" s="249"/>
      <c r="DY511" s="249"/>
      <c r="DZ511" s="249"/>
      <c r="EA511" s="249"/>
      <c r="EB511" s="249"/>
      <c r="EC511" s="249"/>
      <c r="ED511" s="249"/>
      <c r="EE511" s="249"/>
      <c r="EF511" s="249"/>
      <c r="EG511" s="249"/>
      <c r="EH511" s="249"/>
      <c r="EI511" s="249"/>
      <c r="EJ511" s="249"/>
      <c r="EK511" s="249"/>
      <c r="EL511" s="249"/>
      <c r="EM511" s="249"/>
      <c r="EN511" s="249"/>
      <c r="EO511" s="249"/>
      <c r="EP511" s="249"/>
      <c r="EQ511" s="249"/>
      <c r="ER511" s="249"/>
      <c r="ES511" s="249"/>
      <c r="ET511" s="249"/>
      <c r="EU511" s="249"/>
      <c r="EV511" s="249"/>
      <c r="EW511" s="249"/>
      <c r="EX511" s="249"/>
      <c r="EY511" s="249"/>
      <c r="EZ511" s="249"/>
      <c r="FA511" s="249"/>
      <c r="FB511" s="249"/>
      <c r="FC511" s="249"/>
      <c r="FD511" s="249"/>
      <c r="FE511" s="249"/>
      <c r="FF511" s="249"/>
      <c r="FG511" s="249"/>
      <c r="FH511" s="249"/>
      <c r="FI511" s="249"/>
      <c r="FJ511" s="249"/>
      <c r="FK511" s="249"/>
      <c r="FL511" s="249"/>
      <c r="FM511" s="249"/>
      <c r="FN511" s="249"/>
      <c r="FO511" s="249"/>
      <c r="FP511" s="249"/>
      <c r="FQ511" s="249"/>
      <c r="FR511" s="249"/>
      <c r="FS511" s="249"/>
      <c r="FT511" s="249"/>
      <c r="FU511" s="249"/>
      <c r="FV511" s="249"/>
      <c r="FW511" s="249"/>
      <c r="FX511" s="249"/>
      <c r="FY511" s="249"/>
      <c r="FZ511" s="249"/>
      <c r="GA511" s="249"/>
      <c r="GB511" s="249"/>
      <c r="GC511" s="249"/>
      <c r="GD511" s="249"/>
      <c r="GE511" s="249"/>
      <c r="GF511" s="249"/>
      <c r="GG511" s="249"/>
      <c r="GH511" s="249"/>
      <c r="GI511" s="249"/>
      <c r="GJ511" s="249"/>
      <c r="GK511" s="249"/>
      <c r="GL511" s="249"/>
      <c r="GM511" s="249"/>
      <c r="GN511" s="249"/>
      <c r="GO511" s="249"/>
      <c r="GP511" s="249"/>
      <c r="GQ511" s="249"/>
      <c r="GR511" s="249"/>
    </row>
    <row r="512" spans="1:205" s="252" customFormat="1" ht="16.5" hidden="1" customHeight="1" x14ac:dyDescent="0.2">
      <c r="A512" s="735"/>
      <c r="B512" s="1136"/>
      <c r="C512" s="1136"/>
      <c r="D512" s="539"/>
      <c r="E512" s="614"/>
      <c r="F512" s="249"/>
      <c r="G512" s="250"/>
      <c r="H512" s="250"/>
      <c r="I512" s="250"/>
      <c r="J512" s="250"/>
      <c r="K512" s="250"/>
      <c r="L512" s="250"/>
      <c r="M512" s="250"/>
      <c r="N512" s="250"/>
      <c r="O512" s="250"/>
      <c r="P512" s="251"/>
      <c r="Q512" s="251"/>
      <c r="R512" s="251"/>
      <c r="S512" s="251"/>
      <c r="T512" s="251"/>
      <c r="U512" s="1157" t="str">
        <f>JARSSHOCKTOOLDDT!I14</f>
        <v>A. FOR 26" &amp; 17" HOLE (to be shipped while Rig move)</v>
      </c>
      <c r="V512" s="1152"/>
      <c r="W512" s="1159"/>
      <c r="X512" s="1156"/>
      <c r="Y512" s="1156"/>
      <c r="Z512" s="1156"/>
      <c r="AA512" s="1156"/>
      <c r="AB512" s="1156"/>
      <c r="AC512" s="1156"/>
      <c r="AD512" s="1156"/>
      <c r="AE512" s="1156"/>
      <c r="AF512" s="1156"/>
      <c r="AG512" s="1156"/>
      <c r="AH512" s="1156"/>
      <c r="AI512" s="1156"/>
      <c r="AJ512" s="1156"/>
      <c r="AK512" s="1156"/>
      <c r="AL512" s="1156"/>
      <c r="AM512" s="1160"/>
      <c r="AN512" s="254"/>
      <c r="AO512" s="1392"/>
      <c r="AP512" s="1149"/>
      <c r="AQ512" s="1149"/>
      <c r="AR512" s="1149"/>
      <c r="AS512" s="1149"/>
      <c r="AT512" s="1149"/>
      <c r="AU512" s="1149"/>
      <c r="AV512" s="249"/>
      <c r="AW512" s="249"/>
      <c r="AX512" s="249"/>
      <c r="AY512" s="249"/>
      <c r="AZ512" s="249"/>
      <c r="BA512" s="249"/>
      <c r="BB512" s="249"/>
      <c r="BC512" s="249"/>
      <c r="BD512" s="249"/>
      <c r="BE512" s="249"/>
      <c r="BF512" s="249"/>
      <c r="BG512" s="249"/>
      <c r="BH512" s="249"/>
      <c r="BI512" s="249"/>
      <c r="BJ512" s="249"/>
      <c r="BK512" s="249"/>
      <c r="BL512" s="249"/>
      <c r="BM512" s="249"/>
      <c r="BN512" s="249"/>
      <c r="BO512" s="249"/>
      <c r="BP512" s="249"/>
      <c r="BQ512" s="249"/>
      <c r="BR512" s="249"/>
      <c r="BS512" s="249"/>
      <c r="BT512" s="249"/>
      <c r="BU512" s="249"/>
      <c r="BV512" s="249"/>
      <c r="BW512" s="249"/>
      <c r="BX512" s="249"/>
      <c r="BY512" s="249"/>
      <c r="BZ512" s="249"/>
      <c r="CA512" s="249"/>
      <c r="CB512" s="249"/>
      <c r="CC512" s="249"/>
      <c r="CD512" s="249"/>
      <c r="CE512" s="249"/>
      <c r="CF512" s="249"/>
      <c r="CG512" s="249"/>
      <c r="CH512" s="249"/>
      <c r="CI512" s="249"/>
      <c r="CJ512" s="249"/>
      <c r="CK512" s="249"/>
      <c r="CL512" s="249"/>
      <c r="CM512" s="249"/>
      <c r="CN512" s="249"/>
      <c r="CO512" s="249"/>
      <c r="CP512" s="249"/>
      <c r="CQ512" s="249"/>
      <c r="CR512" s="249"/>
      <c r="CS512" s="249"/>
      <c r="CT512" s="249"/>
      <c r="CU512" s="249"/>
      <c r="CV512" s="249"/>
      <c r="CW512" s="249"/>
      <c r="CX512" s="249"/>
      <c r="CY512" s="249"/>
      <c r="CZ512" s="249"/>
      <c r="DA512" s="249"/>
      <c r="DB512" s="249"/>
      <c r="DC512" s="249"/>
      <c r="DD512" s="249"/>
      <c r="DE512" s="249"/>
      <c r="DF512" s="249"/>
      <c r="DG512" s="249"/>
      <c r="DH512" s="249"/>
      <c r="DI512" s="249"/>
      <c r="DJ512" s="249"/>
      <c r="DK512" s="249"/>
      <c r="DL512" s="249"/>
      <c r="DM512" s="249"/>
      <c r="DN512" s="249"/>
      <c r="DO512" s="249"/>
      <c r="DP512" s="249"/>
      <c r="DQ512" s="249"/>
      <c r="DR512" s="249"/>
      <c r="DS512" s="249"/>
      <c r="DT512" s="249"/>
      <c r="DU512" s="249"/>
      <c r="DV512" s="249"/>
      <c r="DW512" s="249"/>
      <c r="DX512" s="249"/>
      <c r="DY512" s="249"/>
      <c r="DZ512" s="249"/>
      <c r="EA512" s="249"/>
      <c r="EB512" s="249"/>
      <c r="EC512" s="249"/>
      <c r="ED512" s="249"/>
      <c r="EE512" s="249"/>
      <c r="EF512" s="249"/>
      <c r="EG512" s="249"/>
      <c r="EH512" s="249"/>
      <c r="EI512" s="249"/>
      <c r="EJ512" s="249"/>
      <c r="EK512" s="249"/>
      <c r="EL512" s="249"/>
      <c r="EM512" s="249"/>
      <c r="EN512" s="249"/>
      <c r="EO512" s="249"/>
      <c r="EP512" s="249"/>
      <c r="EQ512" s="249"/>
      <c r="ER512" s="249"/>
      <c r="ES512" s="249"/>
      <c r="ET512" s="249"/>
      <c r="EU512" s="249"/>
      <c r="EV512" s="249"/>
      <c r="EW512" s="249"/>
      <c r="EX512" s="249"/>
      <c r="EY512" s="249"/>
      <c r="EZ512" s="249"/>
      <c r="FA512" s="249"/>
      <c r="FB512" s="249"/>
      <c r="FC512" s="249"/>
      <c r="FD512" s="249"/>
      <c r="FE512" s="249"/>
      <c r="FF512" s="249"/>
      <c r="FG512" s="249"/>
      <c r="FH512" s="249"/>
      <c r="FI512" s="249"/>
      <c r="FJ512" s="249"/>
      <c r="FK512" s="249"/>
      <c r="FL512" s="249"/>
      <c r="FM512" s="249"/>
      <c r="FN512" s="249"/>
      <c r="FO512" s="249"/>
      <c r="FP512" s="249"/>
      <c r="FQ512" s="249"/>
      <c r="FR512" s="249"/>
      <c r="FS512" s="249"/>
      <c r="FT512" s="249"/>
      <c r="FU512" s="249"/>
      <c r="FV512" s="249"/>
      <c r="FW512" s="249"/>
      <c r="FX512" s="249"/>
      <c r="FY512" s="249"/>
      <c r="FZ512" s="249"/>
      <c r="GA512" s="249"/>
      <c r="GB512" s="249"/>
      <c r="GC512" s="249"/>
      <c r="GD512" s="249"/>
      <c r="GE512" s="249"/>
      <c r="GF512" s="249"/>
      <c r="GG512" s="249"/>
      <c r="GH512" s="249"/>
      <c r="GI512" s="249"/>
      <c r="GJ512" s="249"/>
      <c r="GK512" s="249"/>
      <c r="GL512" s="249"/>
      <c r="GM512" s="249"/>
      <c r="GN512" s="249"/>
      <c r="GO512" s="249"/>
      <c r="GP512" s="249"/>
      <c r="GQ512" s="249"/>
      <c r="GR512" s="249"/>
    </row>
    <row r="513" spans="1:200" s="252" customFormat="1" ht="16.5" hidden="1" customHeight="1" x14ac:dyDescent="0.2">
      <c r="A513" s="735"/>
      <c r="B513" s="1136"/>
      <c r="C513" s="1136"/>
      <c r="D513" s="539" t="e">
        <f>#REF!=#REF!</f>
        <v>#REF!</v>
      </c>
      <c r="E513" s="614"/>
      <c r="F513" s="249"/>
      <c r="G513" s="250"/>
      <c r="H513" s="250"/>
      <c r="I513" s="250"/>
      <c r="J513" s="250"/>
      <c r="K513" s="250"/>
      <c r="L513" s="250"/>
      <c r="M513" s="250"/>
      <c r="N513" s="250"/>
      <c r="O513" s="250"/>
      <c r="P513" s="251"/>
      <c r="Q513" s="251"/>
      <c r="R513" s="251"/>
      <c r="S513" s="251"/>
      <c r="T513" s="251"/>
      <c r="U513" s="328"/>
      <c r="V513" s="1028" t="str">
        <f>JARSSHOCKTOOLDDT!I15</f>
        <v>Directional Engineer</v>
      </c>
      <c r="W513" s="1027">
        <f>IF(INPUT!$H$11="SCIENTIFIC DRILLING INC.",VLOOKUP(V513,JARSSHOCKTOOLDDT!$I$15:$M$43,2,FALSE),VLOOKUP(V513,JARSSHOCKTOOLDDT!$I$15:$M$43,4,FALSE))*IF(INPUT!$D$7="REGULAR HOLE",1,0)</f>
        <v>0</v>
      </c>
      <c r="X513" s="285">
        <v>2</v>
      </c>
      <c r="Y513" s="633">
        <f t="shared" ref="Y513:AF514" ca="1" si="168">INDIRECT(Y$511)</f>
        <v>2</v>
      </c>
      <c r="Z513" s="633">
        <f t="shared" ca="1" si="168"/>
        <v>4</v>
      </c>
      <c r="AA513" s="633">
        <f t="shared" ca="1" si="168"/>
        <v>5</v>
      </c>
      <c r="AB513" s="633">
        <f t="shared" ca="1" si="168"/>
        <v>4</v>
      </c>
      <c r="AC513" s="633">
        <f t="shared" ca="1" si="168"/>
        <v>10</v>
      </c>
      <c r="AD513" s="633">
        <f t="shared" ca="1" si="168"/>
        <v>3</v>
      </c>
      <c r="AE513" s="633">
        <f t="shared" ca="1" si="168"/>
        <v>6</v>
      </c>
      <c r="AF513" s="633">
        <f t="shared" ca="1" si="168"/>
        <v>2</v>
      </c>
      <c r="AG513" s="285"/>
      <c r="AH513" s="285"/>
      <c r="AI513" s="285"/>
      <c r="AJ513" s="285"/>
      <c r="AK513" s="285"/>
      <c r="AL513" s="285"/>
      <c r="AM513" s="284">
        <f t="shared" ref="AM513:AM541" ca="1" si="169">SUM(X513:AL513)</f>
        <v>38</v>
      </c>
      <c r="AN513" s="673"/>
      <c r="AO513" s="249"/>
      <c r="AP513" s="250"/>
      <c r="AQ513" s="250"/>
      <c r="AR513" s="250"/>
      <c r="AS513" s="250"/>
      <c r="AT513" s="250"/>
      <c r="AU513" s="250"/>
      <c r="AV513" s="249"/>
      <c r="AW513" s="249"/>
      <c r="AX513" s="249"/>
      <c r="AY513" s="249"/>
      <c r="AZ513" s="249"/>
      <c r="BA513" s="249"/>
      <c r="BB513" s="249"/>
      <c r="BC513" s="249"/>
      <c r="BD513" s="249"/>
      <c r="BE513" s="249"/>
      <c r="BF513" s="249"/>
      <c r="BG513" s="249"/>
      <c r="BH513" s="249"/>
      <c r="BI513" s="249"/>
      <c r="BJ513" s="249"/>
      <c r="BK513" s="249"/>
      <c r="BL513" s="249"/>
      <c r="BM513" s="249"/>
      <c r="BN513" s="249"/>
      <c r="BO513" s="249"/>
      <c r="BP513" s="249"/>
      <c r="BQ513" s="249"/>
      <c r="BR513" s="249"/>
      <c r="BS513" s="249"/>
      <c r="BT513" s="249"/>
      <c r="BU513" s="249"/>
      <c r="BV513" s="249"/>
      <c r="BW513" s="249"/>
      <c r="BX513" s="249"/>
      <c r="BY513" s="249"/>
      <c r="BZ513" s="249"/>
      <c r="CA513" s="249"/>
      <c r="CB513" s="249"/>
      <c r="CC513" s="249"/>
      <c r="CD513" s="249"/>
      <c r="CE513" s="249"/>
      <c r="CF513" s="249"/>
      <c r="CG513" s="249"/>
      <c r="CH513" s="249"/>
      <c r="CI513" s="249"/>
      <c r="CJ513" s="249"/>
      <c r="CK513" s="249"/>
      <c r="CL513" s="249"/>
      <c r="CM513" s="249"/>
      <c r="CN513" s="249"/>
      <c r="CO513" s="249"/>
      <c r="CP513" s="249"/>
      <c r="CQ513" s="249"/>
      <c r="CR513" s="249"/>
      <c r="CS513" s="249"/>
      <c r="CT513" s="249"/>
      <c r="CU513" s="249"/>
      <c r="CV513" s="249"/>
      <c r="CW513" s="249"/>
      <c r="CX513" s="249"/>
      <c r="CY513" s="249"/>
      <c r="CZ513" s="249"/>
      <c r="DA513" s="249"/>
      <c r="DB513" s="249"/>
      <c r="DC513" s="249"/>
      <c r="DD513" s="249"/>
      <c r="DE513" s="249"/>
      <c r="DF513" s="249"/>
      <c r="DG513" s="249"/>
      <c r="DH513" s="249"/>
      <c r="DI513" s="249"/>
      <c r="DJ513" s="249"/>
      <c r="DK513" s="249"/>
      <c r="DL513" s="249"/>
      <c r="DM513" s="249"/>
      <c r="DN513" s="249"/>
      <c r="DO513" s="249"/>
      <c r="DP513" s="249"/>
      <c r="DQ513" s="249"/>
      <c r="DR513" s="249"/>
      <c r="DS513" s="249"/>
      <c r="DT513" s="249"/>
      <c r="DU513" s="249"/>
      <c r="DV513" s="249"/>
      <c r="DW513" s="249"/>
      <c r="DX513" s="249"/>
      <c r="DY513" s="249"/>
      <c r="DZ513" s="249"/>
      <c r="EA513" s="249"/>
      <c r="EB513" s="249"/>
      <c r="EC513" s="249"/>
      <c r="ED513" s="249"/>
      <c r="EE513" s="249"/>
      <c r="EF513" s="249"/>
      <c r="EG513" s="249"/>
      <c r="EH513" s="249"/>
      <c r="EI513" s="249"/>
      <c r="EJ513" s="249"/>
      <c r="EK513" s="249"/>
      <c r="EL513" s="249"/>
      <c r="EM513" s="249"/>
      <c r="EN513" s="249"/>
      <c r="EO513" s="249"/>
      <c r="EP513" s="249"/>
      <c r="EQ513" s="249"/>
      <c r="ER513" s="249"/>
      <c r="ES513" s="249"/>
      <c r="ET513" s="249"/>
      <c r="EU513" s="249"/>
      <c r="EV513" s="249"/>
      <c r="EW513" s="249"/>
      <c r="EX513" s="249"/>
      <c r="EY513" s="249"/>
      <c r="EZ513" s="249"/>
      <c r="FA513" s="249"/>
      <c r="FB513" s="249"/>
      <c r="FC513" s="249"/>
      <c r="FD513" s="249"/>
      <c r="FE513" s="249"/>
      <c r="FF513" s="249"/>
      <c r="FG513" s="249"/>
      <c r="FH513" s="249"/>
      <c r="FI513" s="249"/>
      <c r="FJ513" s="249"/>
      <c r="FK513" s="249"/>
      <c r="FL513" s="249"/>
      <c r="FM513" s="249"/>
      <c r="FN513" s="249"/>
      <c r="FO513" s="249"/>
      <c r="FP513" s="249"/>
      <c r="FQ513" s="249"/>
      <c r="FR513" s="249"/>
      <c r="FS513" s="249"/>
      <c r="FT513" s="249"/>
      <c r="FU513" s="249"/>
      <c r="FV513" s="249"/>
      <c r="FW513" s="249"/>
      <c r="FX513" s="249"/>
      <c r="FY513" s="249"/>
      <c r="FZ513" s="249"/>
      <c r="GA513" s="249"/>
      <c r="GB513" s="249"/>
      <c r="GC513" s="249"/>
      <c r="GD513" s="249"/>
      <c r="GE513" s="249"/>
      <c r="GF513" s="249"/>
      <c r="GG513" s="249"/>
      <c r="GH513" s="249"/>
      <c r="GI513" s="249"/>
      <c r="GJ513" s="249"/>
      <c r="GK513" s="249"/>
      <c r="GL513" s="249"/>
      <c r="GM513" s="249"/>
      <c r="GN513" s="249"/>
      <c r="GO513" s="249"/>
      <c r="GP513" s="249"/>
      <c r="GQ513" s="249"/>
      <c r="GR513" s="249"/>
    </row>
    <row r="514" spans="1:200" s="252" customFormat="1" ht="16.5" hidden="1" customHeight="1" x14ac:dyDescent="0.2">
      <c r="A514" s="735"/>
      <c r="B514" s="1136"/>
      <c r="C514" s="1136"/>
      <c r="D514" s="539" t="e">
        <f>#REF!=#REF!</f>
        <v>#REF!</v>
      </c>
      <c r="E514" s="614"/>
      <c r="F514" s="249"/>
      <c r="G514" s="250"/>
      <c r="H514" s="250"/>
      <c r="I514" s="250"/>
      <c r="J514" s="250"/>
      <c r="K514" s="250"/>
      <c r="L514" s="250"/>
      <c r="M514" s="250"/>
      <c r="N514" s="250"/>
      <c r="O514" s="250"/>
      <c r="P514" s="251"/>
      <c r="Q514" s="251"/>
      <c r="R514" s="251"/>
      <c r="S514" s="251"/>
      <c r="T514" s="251"/>
      <c r="U514" s="328"/>
      <c r="V514" s="1028" t="str">
        <f>JARSSHOCKTOOLDDT!I16</f>
        <v>MWD Engineer</v>
      </c>
      <c r="W514" s="1027">
        <f>IF(INPUT!$H$11="SCIENTIFIC DRILLING INC.",VLOOKUP(V514,JARSSHOCKTOOLDDT!$I$15:$M$43,2,FALSE),VLOOKUP(V514,JARSSHOCKTOOLDDT!$I$15:$M$43,4,FALSE))*IF(INPUT!$D$7="REGULAR HOLE",1,0)</f>
        <v>0</v>
      </c>
      <c r="X514" s="285">
        <v>2</v>
      </c>
      <c r="Y514" s="633">
        <f t="shared" ca="1" si="168"/>
        <v>2</v>
      </c>
      <c r="Z514" s="633">
        <f t="shared" ca="1" si="168"/>
        <v>4</v>
      </c>
      <c r="AA514" s="633">
        <f t="shared" ca="1" si="168"/>
        <v>5</v>
      </c>
      <c r="AB514" s="633">
        <f t="shared" ca="1" si="168"/>
        <v>4</v>
      </c>
      <c r="AC514" s="633">
        <f t="shared" ca="1" si="168"/>
        <v>10</v>
      </c>
      <c r="AD514" s="633">
        <f t="shared" ca="1" si="168"/>
        <v>3</v>
      </c>
      <c r="AE514" s="633">
        <f t="shared" ca="1" si="168"/>
        <v>6</v>
      </c>
      <c r="AF514" s="633">
        <f t="shared" ca="1" si="168"/>
        <v>2</v>
      </c>
      <c r="AG514" s="285"/>
      <c r="AH514" s="285"/>
      <c r="AI514" s="285"/>
      <c r="AJ514" s="285"/>
      <c r="AK514" s="285"/>
      <c r="AL514" s="285"/>
      <c r="AM514" s="284">
        <f t="shared" ca="1" si="169"/>
        <v>38</v>
      </c>
      <c r="AN514" s="294"/>
      <c r="AO514" s="249"/>
      <c r="AP514" s="250"/>
      <c r="AQ514" s="250"/>
      <c r="AR514" s="250"/>
      <c r="AS514" s="250"/>
      <c r="AT514" s="250"/>
      <c r="AU514" s="250"/>
      <c r="AV514" s="249"/>
      <c r="AW514" s="249"/>
      <c r="AX514" s="249"/>
      <c r="AY514" s="249"/>
      <c r="AZ514" s="249"/>
      <c r="BA514" s="249"/>
      <c r="BB514" s="249"/>
      <c r="BC514" s="249"/>
      <c r="BD514" s="249"/>
      <c r="BE514" s="249"/>
      <c r="BF514" s="249"/>
      <c r="BG514" s="249"/>
      <c r="BH514" s="249"/>
      <c r="BI514" s="249"/>
      <c r="BJ514" s="249"/>
      <c r="BK514" s="249"/>
      <c r="BL514" s="249"/>
      <c r="BM514" s="249"/>
      <c r="BN514" s="249"/>
      <c r="BO514" s="249"/>
      <c r="BP514" s="249"/>
      <c r="BQ514" s="249"/>
      <c r="BR514" s="249"/>
      <c r="BS514" s="249"/>
      <c r="BT514" s="249"/>
      <c r="BU514" s="249"/>
      <c r="BV514" s="249"/>
      <c r="BW514" s="249"/>
      <c r="BX514" s="249"/>
      <c r="BY514" s="249"/>
      <c r="BZ514" s="249"/>
      <c r="CA514" s="249"/>
      <c r="CB514" s="249"/>
      <c r="CC514" s="249"/>
      <c r="CD514" s="249"/>
      <c r="CE514" s="249"/>
      <c r="CF514" s="249"/>
      <c r="CG514" s="249"/>
      <c r="CH514" s="249"/>
      <c r="CI514" s="249"/>
      <c r="CJ514" s="249"/>
      <c r="CK514" s="249"/>
      <c r="CL514" s="249"/>
      <c r="CM514" s="249"/>
      <c r="CN514" s="249"/>
      <c r="CO514" s="249"/>
      <c r="CP514" s="249"/>
      <c r="CQ514" s="249"/>
      <c r="CR514" s="249"/>
      <c r="CS514" s="249"/>
      <c r="CT514" s="249"/>
      <c r="CU514" s="249"/>
      <c r="CV514" s="249"/>
      <c r="CW514" s="249"/>
      <c r="CX514" s="249"/>
      <c r="CY514" s="249"/>
      <c r="CZ514" s="249"/>
      <c r="DA514" s="249"/>
      <c r="DB514" s="249"/>
      <c r="DC514" s="249"/>
      <c r="DD514" s="249"/>
      <c r="DE514" s="249"/>
      <c r="DF514" s="249"/>
      <c r="DG514" s="249"/>
      <c r="DH514" s="249"/>
      <c r="DI514" s="249"/>
      <c r="DJ514" s="249"/>
      <c r="DK514" s="249"/>
      <c r="DL514" s="249"/>
      <c r="DM514" s="249"/>
      <c r="DN514" s="249"/>
      <c r="DO514" s="249"/>
      <c r="DP514" s="249"/>
      <c r="DQ514" s="249"/>
      <c r="DR514" s="249"/>
      <c r="DS514" s="249"/>
      <c r="DT514" s="249"/>
      <c r="DU514" s="249"/>
      <c r="DV514" s="249"/>
      <c r="DW514" s="249"/>
      <c r="DX514" s="249"/>
      <c r="DY514" s="249"/>
      <c r="DZ514" s="249"/>
      <c r="EA514" s="249"/>
      <c r="EB514" s="249"/>
      <c r="EC514" s="249"/>
      <c r="ED514" s="249"/>
      <c r="EE514" s="249"/>
      <c r="EF514" s="249"/>
      <c r="EG514" s="249"/>
      <c r="EH514" s="249"/>
      <c r="EI514" s="249"/>
      <c r="EJ514" s="249"/>
      <c r="EK514" s="249"/>
      <c r="EL514" s="249"/>
      <c r="EM514" s="249"/>
      <c r="EN514" s="249"/>
      <c r="EO514" s="249"/>
      <c r="EP514" s="249"/>
      <c r="EQ514" s="249"/>
      <c r="ER514" s="249"/>
      <c r="ES514" s="249"/>
      <c r="ET514" s="249"/>
      <c r="EU514" s="249"/>
      <c r="EV514" s="249"/>
      <c r="EW514" s="249"/>
      <c r="EX514" s="249"/>
      <c r="EY514" s="249"/>
      <c r="EZ514" s="249"/>
      <c r="FA514" s="249"/>
      <c r="FB514" s="249"/>
      <c r="FC514" s="249"/>
      <c r="FD514" s="249"/>
      <c r="FE514" s="249"/>
      <c r="FF514" s="249"/>
      <c r="FG514" s="249"/>
      <c r="FH514" s="249"/>
      <c r="FI514" s="249"/>
      <c r="FJ514" s="249"/>
      <c r="FK514" s="249"/>
      <c r="FL514" s="249"/>
      <c r="FM514" s="249"/>
      <c r="FN514" s="249"/>
      <c r="FO514" s="249"/>
      <c r="FP514" s="249"/>
      <c r="FQ514" s="249"/>
      <c r="FR514" s="249"/>
      <c r="FS514" s="249"/>
      <c r="FT514" s="249"/>
      <c r="FU514" s="249"/>
      <c r="FV514" s="249"/>
      <c r="FW514" s="249"/>
      <c r="FX514" s="249"/>
      <c r="FY514" s="249"/>
      <c r="FZ514" s="249"/>
      <c r="GA514" s="249"/>
      <c r="GB514" s="249"/>
      <c r="GC514" s="249"/>
      <c r="GD514" s="249"/>
      <c r="GE514" s="249"/>
      <c r="GF514" s="249"/>
      <c r="GG514" s="249"/>
      <c r="GH514" s="249"/>
      <c r="GI514" s="249"/>
      <c r="GJ514" s="249"/>
      <c r="GK514" s="249"/>
      <c r="GL514" s="249"/>
      <c r="GM514" s="249"/>
      <c r="GN514" s="249"/>
      <c r="GO514" s="249"/>
      <c r="GP514" s="249"/>
      <c r="GQ514" s="249"/>
      <c r="GR514" s="249"/>
    </row>
    <row r="515" spans="1:200" s="252" customFormat="1" ht="16.5" hidden="1" customHeight="1" x14ac:dyDescent="0.2">
      <c r="A515" s="735"/>
      <c r="B515" s="1136"/>
      <c r="C515" s="1136"/>
      <c r="D515" s="539" t="e">
        <f>#REF!=#REF!</f>
        <v>#REF!</v>
      </c>
      <c r="E515" s="614"/>
      <c r="F515" s="249"/>
      <c r="G515" s="250"/>
      <c r="H515" s="250"/>
      <c r="I515" s="250"/>
      <c r="J515" s="250"/>
      <c r="K515" s="250"/>
      <c r="L515" s="250"/>
      <c r="M515" s="250"/>
      <c r="N515" s="250"/>
      <c r="O515" s="250"/>
      <c r="P515" s="251"/>
      <c r="Q515" s="251"/>
      <c r="R515" s="251"/>
      <c r="S515" s="251"/>
      <c r="T515" s="251"/>
      <c r="U515" s="328"/>
      <c r="V515" s="1028" t="str">
        <f>JARSSHOCKTOOLDDT!I17</f>
        <v>9-5/8" Super Extended PDM Tool, rental</v>
      </c>
      <c r="W515" s="1027">
        <f>IF(INPUT!$H$11="SCIENTIFIC DRILLING INC.",VLOOKUP(V515,JARSSHOCKTOOLDDT!$I$15:$M$43,2,FALSE),VLOOKUP(V515,JARSSHOCKTOOLDDT!$I$15:$M$43,4,FALSE))*IF(INPUT!$D$7="REGULAR HOLE",1,0)</f>
        <v>0</v>
      </c>
      <c r="X515" s="1364">
        <f>INDEX(INPUT!$AI$12:$AI$15,MATCH(INPUT!$H$8,INPUT!$AH$12:$AH$15,0))</f>
        <v>7</v>
      </c>
      <c r="Y515" s="633">
        <f t="shared" ref="Y515:AB516" ca="1" si="170">INDIRECT(Y$511)</f>
        <v>2</v>
      </c>
      <c r="Z515" s="633">
        <f t="shared" ca="1" si="170"/>
        <v>4</v>
      </c>
      <c r="AA515" s="633">
        <f t="shared" ca="1" si="170"/>
        <v>5</v>
      </c>
      <c r="AB515" s="633">
        <f t="shared" ca="1" si="170"/>
        <v>4</v>
      </c>
      <c r="AC515" s="1364">
        <f>INDEX(INPUT!$AI$12:$AI$15,MATCH(INPUT!$H$8,INPUT!$AH$12:$AH$15,0))</f>
        <v>7</v>
      </c>
      <c r="AD515" s="633"/>
      <c r="AE515" s="633"/>
      <c r="AF515" s="285"/>
      <c r="AG515" s="285"/>
      <c r="AH515" s="285"/>
      <c r="AI515" s="285"/>
      <c r="AJ515" s="285"/>
      <c r="AK515" s="285"/>
      <c r="AL515" s="285"/>
      <c r="AM515" s="284">
        <f t="shared" ca="1" si="169"/>
        <v>29</v>
      </c>
      <c r="AN515" s="294"/>
      <c r="AO515" s="249"/>
      <c r="AP515" s="250"/>
      <c r="AQ515" s="250"/>
      <c r="AR515" s="250"/>
      <c r="AS515" s="250"/>
      <c r="AT515" s="250"/>
      <c r="AU515" s="250"/>
      <c r="AV515" s="249"/>
      <c r="AW515" s="249"/>
      <c r="AX515" s="249"/>
      <c r="AY515" s="249"/>
      <c r="AZ515" s="249"/>
      <c r="BA515" s="249"/>
      <c r="BB515" s="249"/>
      <c r="BC515" s="249"/>
      <c r="BD515" s="249"/>
      <c r="BE515" s="249"/>
      <c r="BF515" s="249"/>
      <c r="BG515" s="249"/>
      <c r="BH515" s="249"/>
      <c r="BI515" s="249"/>
      <c r="BJ515" s="249"/>
      <c r="BK515" s="249"/>
      <c r="BL515" s="249"/>
      <c r="BM515" s="249"/>
      <c r="BN515" s="249"/>
      <c r="BO515" s="249"/>
      <c r="BP515" s="249"/>
      <c r="BQ515" s="249"/>
      <c r="BR515" s="249"/>
      <c r="BS515" s="249"/>
      <c r="BT515" s="249"/>
      <c r="BU515" s="249"/>
      <c r="BV515" s="249"/>
      <c r="BW515" s="249"/>
      <c r="BX515" s="249"/>
      <c r="BY515" s="249"/>
      <c r="BZ515" s="249"/>
      <c r="CA515" s="249"/>
      <c r="CB515" s="249"/>
      <c r="CC515" s="249"/>
      <c r="CD515" s="249"/>
      <c r="CE515" s="249"/>
      <c r="CF515" s="249"/>
      <c r="CG515" s="249"/>
      <c r="CH515" s="249"/>
      <c r="CI515" s="249"/>
      <c r="CJ515" s="249"/>
      <c r="CK515" s="249"/>
      <c r="CL515" s="249"/>
      <c r="CM515" s="249"/>
      <c r="CN515" s="249"/>
      <c r="CO515" s="249"/>
      <c r="CP515" s="249"/>
      <c r="CQ515" s="249"/>
      <c r="CR515" s="249"/>
      <c r="CS515" s="249"/>
      <c r="CT515" s="249"/>
      <c r="CU515" s="249"/>
      <c r="CV515" s="249"/>
      <c r="CW515" s="249"/>
      <c r="CX515" s="249"/>
      <c r="CY515" s="249"/>
      <c r="CZ515" s="249"/>
      <c r="DA515" s="249"/>
      <c r="DB515" s="249"/>
      <c r="DC515" s="249"/>
      <c r="DD515" s="249"/>
      <c r="DE515" s="249"/>
      <c r="DF515" s="249"/>
      <c r="DG515" s="249"/>
      <c r="DH515" s="249"/>
      <c r="DI515" s="249"/>
      <c r="DJ515" s="249"/>
      <c r="DK515" s="249"/>
      <c r="DL515" s="249"/>
      <c r="DM515" s="249"/>
      <c r="DN515" s="249"/>
      <c r="DO515" s="249"/>
      <c r="DP515" s="249"/>
      <c r="DQ515" s="249"/>
      <c r="DR515" s="249"/>
      <c r="DS515" s="249"/>
      <c r="DT515" s="249"/>
      <c r="DU515" s="249"/>
      <c r="DV515" s="249"/>
      <c r="DW515" s="249"/>
      <c r="DX515" s="249"/>
      <c r="DY515" s="249"/>
      <c r="DZ515" s="249"/>
      <c r="EA515" s="249"/>
      <c r="EB515" s="249"/>
      <c r="EC515" s="249"/>
      <c r="ED515" s="249"/>
      <c r="EE515" s="249"/>
      <c r="EF515" s="249"/>
      <c r="EG515" s="249"/>
      <c r="EH515" s="249"/>
      <c r="EI515" s="249"/>
      <c r="EJ515" s="249"/>
      <c r="EK515" s="249"/>
      <c r="EL515" s="249"/>
      <c r="EM515" s="249"/>
      <c r="EN515" s="249"/>
      <c r="EO515" s="249"/>
      <c r="EP515" s="249"/>
      <c r="EQ515" s="249"/>
      <c r="ER515" s="249"/>
      <c r="ES515" s="249"/>
      <c r="ET515" s="249"/>
      <c r="EU515" s="249"/>
      <c r="EV515" s="249"/>
      <c r="EW515" s="249"/>
      <c r="EX515" s="249"/>
      <c r="EY515" s="249"/>
      <c r="EZ515" s="249"/>
      <c r="FA515" s="249"/>
      <c r="FB515" s="249"/>
      <c r="FC515" s="249"/>
      <c r="FD515" s="249"/>
      <c r="FE515" s="249"/>
      <c r="FF515" s="249"/>
      <c r="FG515" s="249"/>
      <c r="FH515" s="249"/>
      <c r="FI515" s="249"/>
      <c r="FJ515" s="249"/>
      <c r="FK515" s="249"/>
      <c r="FL515" s="249"/>
      <c r="FM515" s="249"/>
      <c r="FN515" s="249"/>
      <c r="FO515" s="249"/>
      <c r="FP515" s="249"/>
      <c r="FQ515" s="249"/>
      <c r="FR515" s="249"/>
      <c r="FS515" s="249"/>
      <c r="FT515" s="249"/>
      <c r="FU515" s="249"/>
      <c r="FV515" s="249"/>
      <c r="FW515" s="249"/>
      <c r="FX515" s="249"/>
      <c r="FY515" s="249"/>
      <c r="FZ515" s="249"/>
      <c r="GA515" s="249"/>
      <c r="GB515" s="249"/>
      <c r="GC515" s="249"/>
      <c r="GD515" s="249"/>
      <c r="GE515" s="249"/>
      <c r="GF515" s="249"/>
      <c r="GG515" s="249"/>
      <c r="GH515" s="249"/>
      <c r="GI515" s="249"/>
      <c r="GJ515" s="249"/>
      <c r="GK515" s="249"/>
      <c r="GL515" s="249"/>
      <c r="GM515" s="249"/>
      <c r="GN515" s="249"/>
      <c r="GO515" s="249"/>
      <c r="GP515" s="249"/>
      <c r="GQ515" s="249"/>
      <c r="GR515" s="249"/>
    </row>
    <row r="516" spans="1:200" s="252" customFormat="1" ht="16.5" hidden="1" customHeight="1" x14ac:dyDescent="0.2">
      <c r="A516" s="735"/>
      <c r="B516" s="1136"/>
      <c r="C516" s="1136"/>
      <c r="D516" s="539" t="e">
        <f>#REF!=#REF!</f>
        <v>#REF!</v>
      </c>
      <c r="E516" s="614"/>
      <c r="F516" s="249"/>
      <c r="G516" s="250"/>
      <c r="H516" s="250"/>
      <c r="I516" s="250"/>
      <c r="J516" s="250"/>
      <c r="K516" s="250"/>
      <c r="L516" s="250"/>
      <c r="M516" s="250"/>
      <c r="N516" s="250"/>
      <c r="O516" s="250"/>
      <c r="P516" s="251"/>
      <c r="Q516" s="251"/>
      <c r="R516" s="251"/>
      <c r="S516" s="251"/>
      <c r="T516" s="251"/>
      <c r="U516" s="328"/>
      <c r="V516" s="1028" t="str">
        <f>JARSSHOCKTOOLDDT!I18</f>
        <v>9-5/8" Mud Motor, rental</v>
      </c>
      <c r="W516" s="1027">
        <f>IF(INPUT!$H$11="SCIENTIFIC DRILLING INC.",VLOOKUP(V516,JARSSHOCKTOOLDDT!$I$15:$M$43,2,FALSE),VLOOKUP(V516,JARSSHOCKTOOLDDT!$I$15:$M$43,4,FALSE))*IF(INPUT!$D$7="REGULAR HOLE",1,0)</f>
        <v>0</v>
      </c>
      <c r="X516" s="1364">
        <f>INDEX(INPUT!$AI$12:$AI$15,MATCH(INPUT!$H$8,INPUT!$AH$12:$AH$15,0))</f>
        <v>7</v>
      </c>
      <c r="Y516" s="633">
        <f t="shared" ca="1" si="170"/>
        <v>2</v>
      </c>
      <c r="Z516" s="633">
        <f t="shared" ca="1" si="170"/>
        <v>4</v>
      </c>
      <c r="AA516" s="633">
        <f t="shared" ca="1" si="170"/>
        <v>5</v>
      </c>
      <c r="AB516" s="633">
        <f t="shared" ca="1" si="170"/>
        <v>4</v>
      </c>
      <c r="AC516" s="1364">
        <f>INDEX(INPUT!$AI$12:$AI$15,MATCH(INPUT!$H$8,INPUT!$AH$12:$AH$15,0))</f>
        <v>7</v>
      </c>
      <c r="AD516" s="633"/>
      <c r="AE516" s="633"/>
      <c r="AF516" s="285"/>
      <c r="AG516" s="285"/>
      <c r="AH516" s="285"/>
      <c r="AI516" s="285"/>
      <c r="AJ516" s="285"/>
      <c r="AK516" s="285"/>
      <c r="AL516" s="285"/>
      <c r="AM516" s="284">
        <f t="shared" ca="1" si="169"/>
        <v>29</v>
      </c>
      <c r="AN516" s="294"/>
      <c r="AO516" s="249"/>
      <c r="AP516" s="250"/>
      <c r="AQ516" s="250"/>
      <c r="AR516" s="250"/>
      <c r="AS516" s="250"/>
      <c r="AT516" s="250"/>
      <c r="AU516" s="250"/>
      <c r="AV516" s="249"/>
      <c r="AW516" s="249"/>
      <c r="AX516" s="249"/>
      <c r="AY516" s="249"/>
      <c r="AZ516" s="249"/>
      <c r="BA516" s="249"/>
      <c r="BB516" s="249"/>
      <c r="BC516" s="249"/>
      <c r="BD516" s="249"/>
      <c r="BE516" s="249"/>
      <c r="BF516" s="249"/>
      <c r="BG516" s="249"/>
      <c r="BH516" s="249"/>
      <c r="BI516" s="249"/>
      <c r="BJ516" s="249"/>
      <c r="BK516" s="249"/>
      <c r="BL516" s="249"/>
      <c r="BM516" s="249"/>
      <c r="BN516" s="249"/>
      <c r="BO516" s="249"/>
      <c r="BP516" s="249"/>
      <c r="BQ516" s="249"/>
      <c r="BR516" s="249"/>
      <c r="BS516" s="249"/>
      <c r="BT516" s="249"/>
      <c r="BU516" s="249"/>
      <c r="BV516" s="249"/>
      <c r="BW516" s="249"/>
      <c r="BX516" s="249"/>
      <c r="BY516" s="249"/>
      <c r="BZ516" s="249"/>
      <c r="CA516" s="249"/>
      <c r="CB516" s="249"/>
      <c r="CC516" s="249"/>
      <c r="CD516" s="249"/>
      <c r="CE516" s="249"/>
      <c r="CF516" s="249"/>
      <c r="CG516" s="249"/>
      <c r="CH516" s="249"/>
      <c r="CI516" s="249"/>
      <c r="CJ516" s="249"/>
      <c r="CK516" s="249"/>
      <c r="CL516" s="249"/>
      <c r="CM516" s="249"/>
      <c r="CN516" s="249"/>
      <c r="CO516" s="249"/>
      <c r="CP516" s="249"/>
      <c r="CQ516" s="249"/>
      <c r="CR516" s="249"/>
      <c r="CS516" s="249"/>
      <c r="CT516" s="249"/>
      <c r="CU516" s="249"/>
      <c r="CV516" s="249"/>
      <c r="CW516" s="249"/>
      <c r="CX516" s="249"/>
      <c r="CY516" s="249"/>
      <c r="CZ516" s="249"/>
      <c r="DA516" s="249"/>
      <c r="DB516" s="249"/>
      <c r="DC516" s="249"/>
      <c r="DD516" s="249"/>
      <c r="DE516" s="249"/>
      <c r="DF516" s="249"/>
      <c r="DG516" s="249"/>
      <c r="DH516" s="249"/>
      <c r="DI516" s="249"/>
      <c r="DJ516" s="249"/>
      <c r="DK516" s="249"/>
      <c r="DL516" s="249"/>
      <c r="DM516" s="249"/>
      <c r="DN516" s="249"/>
      <c r="DO516" s="249"/>
      <c r="DP516" s="249"/>
      <c r="DQ516" s="249"/>
      <c r="DR516" s="249"/>
      <c r="DS516" s="249"/>
      <c r="DT516" s="249"/>
      <c r="DU516" s="249"/>
      <c r="DV516" s="249"/>
      <c r="DW516" s="249"/>
      <c r="DX516" s="249"/>
      <c r="DY516" s="249"/>
      <c r="DZ516" s="249"/>
      <c r="EA516" s="249"/>
      <c r="EB516" s="249"/>
      <c r="EC516" s="249"/>
      <c r="ED516" s="249"/>
      <c r="EE516" s="249"/>
      <c r="EF516" s="249"/>
      <c r="EG516" s="249"/>
      <c r="EH516" s="249"/>
      <c r="EI516" s="249"/>
      <c r="EJ516" s="249"/>
      <c r="EK516" s="249"/>
      <c r="EL516" s="249"/>
      <c r="EM516" s="249"/>
      <c r="EN516" s="249"/>
      <c r="EO516" s="249"/>
      <c r="EP516" s="249"/>
      <c r="EQ516" s="249"/>
      <c r="ER516" s="249"/>
      <c r="ES516" s="249"/>
      <c r="ET516" s="249"/>
      <c r="EU516" s="249"/>
      <c r="EV516" s="249"/>
      <c r="EW516" s="249"/>
      <c r="EX516" s="249"/>
      <c r="EY516" s="249"/>
      <c r="EZ516" s="249"/>
      <c r="FA516" s="249"/>
      <c r="FB516" s="249"/>
      <c r="FC516" s="249"/>
      <c r="FD516" s="249"/>
      <c r="FE516" s="249"/>
      <c r="FF516" s="249"/>
      <c r="FG516" s="249"/>
      <c r="FH516" s="249"/>
      <c r="FI516" s="249"/>
      <c r="FJ516" s="249"/>
      <c r="FK516" s="249"/>
      <c r="FL516" s="249"/>
      <c r="FM516" s="249"/>
      <c r="FN516" s="249"/>
      <c r="FO516" s="249"/>
      <c r="FP516" s="249"/>
      <c r="FQ516" s="249"/>
      <c r="FR516" s="249"/>
      <c r="FS516" s="249"/>
      <c r="FT516" s="249"/>
      <c r="FU516" s="249"/>
      <c r="FV516" s="249"/>
      <c r="FW516" s="249"/>
      <c r="FX516" s="249"/>
      <c r="FY516" s="249"/>
      <c r="FZ516" s="249"/>
      <c r="GA516" s="249"/>
      <c r="GB516" s="249"/>
      <c r="GC516" s="249"/>
      <c r="GD516" s="249"/>
      <c r="GE516" s="249"/>
      <c r="GF516" s="249"/>
      <c r="GG516" s="249"/>
      <c r="GH516" s="249"/>
      <c r="GI516" s="249"/>
      <c r="GJ516" s="249"/>
      <c r="GK516" s="249"/>
      <c r="GL516" s="249"/>
      <c r="GM516" s="249"/>
      <c r="GN516" s="249"/>
      <c r="GO516" s="249"/>
      <c r="GP516" s="249"/>
      <c r="GQ516" s="249"/>
      <c r="GR516" s="249"/>
    </row>
    <row r="517" spans="1:200" s="252" customFormat="1" ht="16.5" hidden="1" customHeight="1" x14ac:dyDescent="0.2">
      <c r="A517" s="735"/>
      <c r="B517" s="1136"/>
      <c r="C517" s="1136"/>
      <c r="D517" s="539" t="e">
        <f>#REF!=#REF!</f>
        <v>#REF!</v>
      </c>
      <c r="E517" s="614"/>
      <c r="F517" s="249"/>
      <c r="G517" s="250"/>
      <c r="H517" s="250"/>
      <c r="I517" s="250"/>
      <c r="J517" s="250"/>
      <c r="K517" s="250"/>
      <c r="L517" s="250"/>
      <c r="M517" s="250"/>
      <c r="N517" s="250"/>
      <c r="O517" s="250"/>
      <c r="P517" s="251"/>
      <c r="Q517" s="251"/>
      <c r="R517" s="251"/>
      <c r="S517" s="251"/>
      <c r="T517" s="251"/>
      <c r="U517" s="328"/>
      <c r="V517" s="1028" t="str">
        <f>JARSSHOCKTOOLDDT!I19</f>
        <v>9-5/8" Mud Motor, run charge</v>
      </c>
      <c r="W517" s="1027">
        <f>IF(INPUT!$H$11="SCIENTIFIC DRILLING INC.",VLOOKUP(V517,JARSSHOCKTOOLDDT!$I$15:$M$43,2,FALSE),VLOOKUP(V517,JARSSHOCKTOOLDDT!$I$15:$M$43,4,FALSE))*IF(INPUT!$D$7="REGULAR HOLE",1,0)</f>
        <v>0</v>
      </c>
      <c r="X517" s="633"/>
      <c r="Y517" s="1360">
        <f ca="1">INDIRECT(Y$511)*24</f>
        <v>48</v>
      </c>
      <c r="Z517" s="633"/>
      <c r="AA517" s="1360">
        <f ca="1">INDIRECT(AA$511)*20</f>
        <v>100</v>
      </c>
      <c r="AB517" s="633"/>
      <c r="AC517" s="633"/>
      <c r="AD517" s="633"/>
      <c r="AE517" s="633"/>
      <c r="AF517" s="285"/>
      <c r="AG517" s="285"/>
      <c r="AH517" s="285"/>
      <c r="AI517" s="285"/>
      <c r="AJ517" s="285"/>
      <c r="AK517" s="285"/>
      <c r="AL517" s="285"/>
      <c r="AM517" s="284">
        <f t="shared" ca="1" si="169"/>
        <v>148</v>
      </c>
      <c r="AN517" s="294"/>
      <c r="AO517" s="249"/>
      <c r="AP517" s="250"/>
      <c r="AQ517" s="250"/>
      <c r="AR517" s="250"/>
      <c r="AS517" s="250"/>
      <c r="AT517" s="250"/>
      <c r="AU517" s="250"/>
      <c r="AV517" s="249"/>
      <c r="AW517" s="249"/>
      <c r="AX517" s="249"/>
      <c r="AY517" s="249"/>
      <c r="AZ517" s="249"/>
      <c r="BA517" s="249"/>
      <c r="BB517" s="249"/>
      <c r="BC517" s="249"/>
      <c r="BD517" s="249"/>
      <c r="BE517" s="249"/>
      <c r="BF517" s="249"/>
      <c r="BG517" s="249"/>
      <c r="BH517" s="249"/>
      <c r="BI517" s="249"/>
      <c r="BJ517" s="249"/>
      <c r="BK517" s="249"/>
      <c r="BL517" s="249"/>
      <c r="BM517" s="249"/>
      <c r="BN517" s="249"/>
      <c r="BO517" s="249"/>
      <c r="BP517" s="249"/>
      <c r="BQ517" s="249"/>
      <c r="BR517" s="249"/>
      <c r="BS517" s="249"/>
      <c r="BT517" s="249"/>
      <c r="BU517" s="249"/>
      <c r="BV517" s="249"/>
      <c r="BW517" s="249"/>
      <c r="BX517" s="249"/>
      <c r="BY517" s="249"/>
      <c r="BZ517" s="249"/>
      <c r="CA517" s="249"/>
      <c r="CB517" s="249"/>
      <c r="CC517" s="249"/>
      <c r="CD517" s="249"/>
      <c r="CE517" s="249"/>
      <c r="CF517" s="249"/>
      <c r="CG517" s="249"/>
      <c r="CH517" s="249"/>
      <c r="CI517" s="249"/>
      <c r="CJ517" s="249"/>
      <c r="CK517" s="249"/>
      <c r="CL517" s="249"/>
      <c r="CM517" s="249"/>
      <c r="CN517" s="249"/>
      <c r="CO517" s="249"/>
      <c r="CP517" s="249"/>
      <c r="CQ517" s="249"/>
      <c r="CR517" s="249"/>
      <c r="CS517" s="249"/>
      <c r="CT517" s="249"/>
      <c r="CU517" s="249"/>
      <c r="CV517" s="249"/>
      <c r="CW517" s="249"/>
      <c r="CX517" s="249"/>
      <c r="CY517" s="249"/>
      <c r="CZ517" s="249"/>
      <c r="DA517" s="249"/>
      <c r="DB517" s="249"/>
      <c r="DC517" s="249"/>
      <c r="DD517" s="249"/>
      <c r="DE517" s="249"/>
      <c r="DF517" s="249"/>
      <c r="DG517" s="249"/>
      <c r="DH517" s="249"/>
      <c r="DI517" s="249"/>
      <c r="DJ517" s="249"/>
      <c r="DK517" s="249"/>
      <c r="DL517" s="249"/>
      <c r="DM517" s="249"/>
      <c r="DN517" s="249"/>
      <c r="DO517" s="249"/>
      <c r="DP517" s="249"/>
      <c r="DQ517" s="249"/>
      <c r="DR517" s="249"/>
      <c r="DS517" s="249"/>
      <c r="DT517" s="249"/>
      <c r="DU517" s="249"/>
      <c r="DV517" s="249"/>
      <c r="DW517" s="249"/>
      <c r="DX517" s="249"/>
      <c r="DY517" s="249"/>
      <c r="DZ517" s="249"/>
      <c r="EA517" s="249"/>
      <c r="EB517" s="249"/>
      <c r="EC517" s="249"/>
      <c r="ED517" s="249"/>
      <c r="EE517" s="249"/>
      <c r="EF517" s="249"/>
      <c r="EG517" s="249"/>
      <c r="EH517" s="249"/>
      <c r="EI517" s="249"/>
      <c r="EJ517" s="249"/>
      <c r="EK517" s="249"/>
      <c r="EL517" s="249"/>
      <c r="EM517" s="249"/>
      <c r="EN517" s="249"/>
      <c r="EO517" s="249"/>
      <c r="EP517" s="249"/>
      <c r="EQ517" s="249"/>
      <c r="ER517" s="249"/>
      <c r="ES517" s="249"/>
      <c r="ET517" s="249"/>
      <c r="EU517" s="249"/>
      <c r="EV517" s="249"/>
      <c r="EW517" s="249"/>
      <c r="EX517" s="249"/>
      <c r="EY517" s="249"/>
      <c r="EZ517" s="249"/>
      <c r="FA517" s="249"/>
      <c r="FB517" s="249"/>
      <c r="FC517" s="249"/>
      <c r="FD517" s="249"/>
      <c r="FE517" s="249"/>
      <c r="FF517" s="249"/>
      <c r="FG517" s="249"/>
      <c r="FH517" s="249"/>
      <c r="FI517" s="249"/>
      <c r="FJ517" s="249"/>
      <c r="FK517" s="249"/>
      <c r="FL517" s="249"/>
      <c r="FM517" s="249"/>
      <c r="FN517" s="249"/>
      <c r="FO517" s="249"/>
      <c r="FP517" s="249"/>
      <c r="FQ517" s="249"/>
      <c r="FR517" s="249"/>
      <c r="FS517" s="249"/>
      <c r="FT517" s="249"/>
      <c r="FU517" s="249"/>
      <c r="FV517" s="249"/>
      <c r="FW517" s="249"/>
      <c r="FX517" s="249"/>
      <c r="FY517" s="249"/>
      <c r="FZ517" s="249"/>
      <c r="GA517" s="249"/>
      <c r="GB517" s="249"/>
      <c r="GC517" s="249"/>
      <c r="GD517" s="249"/>
      <c r="GE517" s="249"/>
      <c r="GF517" s="249"/>
      <c r="GG517" s="249"/>
      <c r="GH517" s="249"/>
      <c r="GI517" s="249"/>
      <c r="GJ517" s="249"/>
      <c r="GK517" s="249"/>
      <c r="GL517" s="249"/>
      <c r="GM517" s="249"/>
      <c r="GN517" s="249"/>
      <c r="GO517" s="249"/>
      <c r="GP517" s="249"/>
      <c r="GQ517" s="249"/>
      <c r="GR517" s="249"/>
    </row>
    <row r="518" spans="1:200" s="252" customFormat="1" ht="16.5" hidden="1" customHeight="1" x14ac:dyDescent="0.2">
      <c r="A518" s="735"/>
      <c r="B518" s="1136"/>
      <c r="C518" s="1136"/>
      <c r="D518" s="539" t="e">
        <f>#REF!=#REF!</f>
        <v>#REF!</v>
      </c>
      <c r="E518" s="614"/>
      <c r="F518" s="249"/>
      <c r="G518" s="250"/>
      <c r="H518" s="250"/>
      <c r="I518" s="250"/>
      <c r="J518" s="250"/>
      <c r="K518" s="250"/>
      <c r="L518" s="250"/>
      <c r="M518" s="250"/>
      <c r="N518" s="250"/>
      <c r="O518" s="250"/>
      <c r="P518" s="251"/>
      <c r="Q518" s="251"/>
      <c r="R518" s="251"/>
      <c r="S518" s="251"/>
      <c r="T518" s="251"/>
      <c r="U518" s="328"/>
      <c r="V518" s="1028" t="str">
        <f>JARSSHOCKTOOLDDT!I20</f>
        <v>9-5/8" Mud Motor, redress</v>
      </c>
      <c r="W518" s="1027">
        <f>IF(INPUT!$H$11="SCIENTIFIC DRILLING INC.",VLOOKUP(V518,JARSSHOCKTOOLDDT!$I$15:$M$43,2,FALSE),VLOOKUP(V518,JARSSHOCKTOOLDDT!$I$15:$M$43,4,FALSE))*IF(INPUT!$D$7="REGULAR HOLE",1,0)</f>
        <v>0</v>
      </c>
      <c r="X518" s="633"/>
      <c r="Y518" s="633"/>
      <c r="Z518" s="633"/>
      <c r="AA518" s="633"/>
      <c r="AB518" s="633"/>
      <c r="AC518" s="633"/>
      <c r="AD518" s="633"/>
      <c r="AE518" s="1457"/>
      <c r="AF518" s="633">
        <f>IF(INPUT!$D$7="REGULAR HOLE",1,0)</f>
        <v>0</v>
      </c>
      <c r="AG518" s="1457"/>
      <c r="AH518" s="633"/>
      <c r="AI518" s="1457"/>
      <c r="AJ518" s="633"/>
      <c r="AK518" s="633"/>
      <c r="AL518" s="285"/>
      <c r="AM518" s="284">
        <f t="shared" si="169"/>
        <v>0</v>
      </c>
      <c r="AN518" s="294"/>
      <c r="AO518" s="249"/>
      <c r="AP518" s="250"/>
      <c r="AQ518" s="250"/>
      <c r="AR518" s="250"/>
      <c r="AS518" s="250"/>
      <c r="AT518" s="250"/>
      <c r="AU518" s="250"/>
      <c r="AV518" s="249"/>
      <c r="AW518" s="249"/>
      <c r="AX518" s="249"/>
      <c r="AY518" s="249"/>
      <c r="AZ518" s="249"/>
      <c r="BA518" s="249"/>
      <c r="BB518" s="249"/>
      <c r="BC518" s="249"/>
      <c r="BD518" s="249"/>
      <c r="BE518" s="249"/>
      <c r="BF518" s="249"/>
      <c r="BG518" s="249"/>
      <c r="BH518" s="249"/>
      <c r="BI518" s="249"/>
      <c r="BJ518" s="249"/>
      <c r="BK518" s="249"/>
      <c r="BL518" s="249"/>
      <c r="BM518" s="249"/>
      <c r="BN518" s="249"/>
      <c r="BO518" s="249"/>
      <c r="BP518" s="249"/>
      <c r="BQ518" s="249"/>
      <c r="BR518" s="249"/>
      <c r="BS518" s="249"/>
      <c r="BT518" s="249"/>
      <c r="BU518" s="249"/>
      <c r="BV518" s="249"/>
      <c r="BW518" s="249"/>
      <c r="BX518" s="249"/>
      <c r="BY518" s="249"/>
      <c r="BZ518" s="249"/>
      <c r="CA518" s="249"/>
      <c r="CB518" s="249"/>
      <c r="CC518" s="249"/>
      <c r="CD518" s="249"/>
      <c r="CE518" s="249"/>
      <c r="CF518" s="249"/>
      <c r="CG518" s="249"/>
      <c r="CH518" s="249"/>
      <c r="CI518" s="249"/>
      <c r="CJ518" s="249"/>
      <c r="CK518" s="249"/>
      <c r="CL518" s="249"/>
      <c r="CM518" s="249"/>
      <c r="CN518" s="249"/>
      <c r="CO518" s="249"/>
      <c r="CP518" s="249"/>
      <c r="CQ518" s="249"/>
      <c r="CR518" s="249"/>
      <c r="CS518" s="249"/>
      <c r="CT518" s="249"/>
      <c r="CU518" s="249"/>
      <c r="CV518" s="249"/>
      <c r="CW518" s="249"/>
      <c r="CX518" s="249"/>
      <c r="CY518" s="249"/>
      <c r="CZ518" s="249"/>
      <c r="DA518" s="249"/>
      <c r="DB518" s="249"/>
      <c r="DC518" s="249"/>
      <c r="DD518" s="249"/>
      <c r="DE518" s="249"/>
      <c r="DF518" s="249"/>
      <c r="DG518" s="249"/>
      <c r="DH518" s="249"/>
      <c r="DI518" s="249"/>
      <c r="DJ518" s="249"/>
      <c r="DK518" s="249"/>
      <c r="DL518" s="249"/>
      <c r="DM518" s="249"/>
      <c r="DN518" s="249"/>
      <c r="DO518" s="249"/>
      <c r="DP518" s="249"/>
      <c r="DQ518" s="249"/>
      <c r="DR518" s="249"/>
      <c r="DS518" s="249"/>
      <c r="DT518" s="249"/>
      <c r="DU518" s="249"/>
      <c r="DV518" s="249"/>
      <c r="DW518" s="249"/>
      <c r="DX518" s="249"/>
      <c r="DY518" s="249"/>
      <c r="DZ518" s="249"/>
      <c r="EA518" s="249"/>
      <c r="EB518" s="249"/>
      <c r="EC518" s="249"/>
      <c r="ED518" s="249"/>
      <c r="EE518" s="249"/>
      <c r="EF518" s="249"/>
      <c r="EG518" s="249"/>
      <c r="EH518" s="249"/>
      <c r="EI518" s="249"/>
      <c r="EJ518" s="249"/>
      <c r="EK518" s="249"/>
      <c r="EL518" s="249"/>
      <c r="EM518" s="249"/>
      <c r="EN518" s="249"/>
      <c r="EO518" s="249"/>
      <c r="EP518" s="249"/>
      <c r="EQ518" s="249"/>
      <c r="ER518" s="249"/>
      <c r="ES518" s="249"/>
      <c r="ET518" s="249"/>
      <c r="EU518" s="249"/>
      <c r="EV518" s="249"/>
      <c r="EW518" s="249"/>
      <c r="EX518" s="249"/>
      <c r="EY518" s="249"/>
      <c r="EZ518" s="249"/>
      <c r="FA518" s="249"/>
      <c r="FB518" s="249"/>
      <c r="FC518" s="249"/>
      <c r="FD518" s="249"/>
      <c r="FE518" s="249"/>
      <c r="FF518" s="249"/>
      <c r="FG518" s="249"/>
      <c r="FH518" s="249"/>
      <c r="FI518" s="249"/>
      <c r="FJ518" s="249"/>
      <c r="FK518" s="249"/>
      <c r="FL518" s="249"/>
      <c r="FM518" s="249"/>
      <c r="FN518" s="249"/>
      <c r="FO518" s="249"/>
      <c r="FP518" s="249"/>
      <c r="FQ518" s="249"/>
      <c r="FR518" s="249"/>
      <c r="FS518" s="249"/>
      <c r="FT518" s="249"/>
      <c r="FU518" s="249"/>
      <c r="FV518" s="249"/>
      <c r="FW518" s="249"/>
      <c r="FX518" s="249"/>
      <c r="FY518" s="249"/>
      <c r="FZ518" s="249"/>
      <c r="GA518" s="249"/>
      <c r="GB518" s="249"/>
      <c r="GC518" s="249"/>
      <c r="GD518" s="249"/>
      <c r="GE518" s="249"/>
      <c r="GF518" s="249"/>
      <c r="GG518" s="249"/>
      <c r="GH518" s="249"/>
      <c r="GI518" s="249"/>
      <c r="GJ518" s="249"/>
      <c r="GK518" s="249"/>
      <c r="GL518" s="249"/>
      <c r="GM518" s="249"/>
      <c r="GN518" s="249"/>
      <c r="GO518" s="249"/>
      <c r="GP518" s="249"/>
      <c r="GQ518" s="249"/>
      <c r="GR518" s="249"/>
    </row>
    <row r="519" spans="1:200" s="252" customFormat="1" ht="16.5" hidden="1" customHeight="1" x14ac:dyDescent="0.2">
      <c r="A519" s="735"/>
      <c r="B519" s="1136"/>
      <c r="C519" s="1136"/>
      <c r="D519" s="539" t="e">
        <f>#REF!=#REF!</f>
        <v>#REF!</v>
      </c>
      <c r="E519" s="614"/>
      <c r="F519" s="249"/>
      <c r="G519" s="250"/>
      <c r="H519" s="250"/>
      <c r="I519" s="250"/>
      <c r="J519" s="250"/>
      <c r="K519" s="250"/>
      <c r="L519" s="250"/>
      <c r="M519" s="250"/>
      <c r="N519" s="250"/>
      <c r="O519" s="250"/>
      <c r="P519" s="251"/>
      <c r="Q519" s="251"/>
      <c r="R519" s="251"/>
      <c r="S519" s="251"/>
      <c r="T519" s="251"/>
      <c r="U519" s="328"/>
      <c r="V519" s="1028" t="str">
        <f>JARSSHOCKTOOLDDT!I21</f>
        <v>MWD, operating</v>
      </c>
      <c r="W519" s="1027">
        <f>IF(INPUT!$H$11="SCIENTIFIC DRILLING INC.",VLOOKUP(V519,JARSSHOCKTOOLDDT!$I$15:$M$43,2,FALSE),VLOOKUP(V519,JARSSHOCKTOOLDDT!$I$15:$M$43,4,FALSE))*IF(INPUT!$D$7="REGULAR HOLE",1,0)</f>
        <v>0</v>
      </c>
      <c r="X519" s="1364">
        <f>INDEX(INPUT!$AI$12:$AI$15,MATCH(INPUT!$H$8,INPUT!$AH$12:$AH$15,0))</f>
        <v>7</v>
      </c>
      <c r="Y519" s="1360">
        <f ca="1">INDIRECT(Y$511)*24</f>
        <v>48</v>
      </c>
      <c r="Z519" s="633"/>
      <c r="AA519" s="1360">
        <f ca="1">INDIRECT(AA$511)*20</f>
        <v>100</v>
      </c>
      <c r="AB519" s="633"/>
      <c r="AC519" s="1360">
        <f ca="1">INDIRECT(AC$511)*20</f>
        <v>200</v>
      </c>
      <c r="AD519" s="633"/>
      <c r="AE519" s="1360">
        <f ca="1">INDIRECT(AE$511)*20</f>
        <v>120</v>
      </c>
      <c r="AF519" s="285"/>
      <c r="AG519" s="285"/>
      <c r="AH519" s="285"/>
      <c r="AI519" s="285"/>
      <c r="AJ519" s="285"/>
      <c r="AK519" s="285"/>
      <c r="AL519" s="285"/>
      <c r="AM519" s="284">
        <f t="shared" ca="1" si="169"/>
        <v>475</v>
      </c>
      <c r="AN519" s="294"/>
      <c r="AO519" s="249"/>
      <c r="AP519" s="250"/>
      <c r="AQ519" s="250"/>
      <c r="AR519" s="250"/>
      <c r="AS519" s="250"/>
      <c r="AT519" s="250"/>
      <c r="AU519" s="250"/>
      <c r="AV519" s="249"/>
      <c r="AW519" s="249"/>
      <c r="AX519" s="249"/>
      <c r="AY519" s="249"/>
      <c r="AZ519" s="249"/>
      <c r="BA519" s="249"/>
      <c r="BB519" s="249"/>
      <c r="BC519" s="249"/>
      <c r="BD519" s="249"/>
      <c r="BE519" s="249"/>
      <c r="BF519" s="249"/>
      <c r="BG519" s="249"/>
      <c r="BH519" s="249"/>
      <c r="BI519" s="249"/>
      <c r="BJ519" s="249"/>
      <c r="BK519" s="249"/>
      <c r="BL519" s="249"/>
      <c r="BM519" s="249"/>
      <c r="BN519" s="249"/>
      <c r="BO519" s="249"/>
      <c r="BP519" s="249"/>
      <c r="BQ519" s="249"/>
      <c r="BR519" s="249"/>
      <c r="BS519" s="249"/>
      <c r="BT519" s="249"/>
      <c r="BU519" s="249"/>
      <c r="BV519" s="249"/>
      <c r="BW519" s="249"/>
      <c r="BX519" s="249"/>
      <c r="BY519" s="249"/>
      <c r="BZ519" s="249"/>
      <c r="CA519" s="249"/>
      <c r="CB519" s="249"/>
      <c r="CC519" s="249"/>
      <c r="CD519" s="249"/>
      <c r="CE519" s="249"/>
      <c r="CF519" s="249"/>
      <c r="CG519" s="249"/>
      <c r="CH519" s="249"/>
      <c r="CI519" s="249"/>
      <c r="CJ519" s="249"/>
      <c r="CK519" s="249"/>
      <c r="CL519" s="249"/>
      <c r="CM519" s="249"/>
      <c r="CN519" s="249"/>
      <c r="CO519" s="249"/>
      <c r="CP519" s="249"/>
      <c r="CQ519" s="249"/>
      <c r="CR519" s="249"/>
      <c r="CS519" s="249"/>
      <c r="CT519" s="249"/>
      <c r="CU519" s="249"/>
      <c r="CV519" s="249"/>
      <c r="CW519" s="249"/>
      <c r="CX519" s="249"/>
      <c r="CY519" s="249"/>
      <c r="CZ519" s="249"/>
      <c r="DA519" s="249"/>
      <c r="DB519" s="249"/>
      <c r="DC519" s="249"/>
      <c r="DD519" s="249"/>
      <c r="DE519" s="249"/>
      <c r="DF519" s="249"/>
      <c r="DG519" s="249"/>
      <c r="DH519" s="249"/>
      <c r="DI519" s="249"/>
      <c r="DJ519" s="249"/>
      <c r="DK519" s="249"/>
      <c r="DL519" s="249"/>
      <c r="DM519" s="249"/>
      <c r="DN519" s="249"/>
      <c r="DO519" s="249"/>
      <c r="DP519" s="249"/>
      <c r="DQ519" s="249"/>
      <c r="DR519" s="249"/>
      <c r="DS519" s="249"/>
      <c r="DT519" s="249"/>
      <c r="DU519" s="249"/>
      <c r="DV519" s="249"/>
      <c r="DW519" s="249"/>
      <c r="DX519" s="249"/>
      <c r="DY519" s="249"/>
      <c r="DZ519" s="249"/>
      <c r="EA519" s="249"/>
      <c r="EB519" s="249"/>
      <c r="EC519" s="249"/>
      <c r="ED519" s="249"/>
      <c r="EE519" s="249"/>
      <c r="EF519" s="249"/>
      <c r="EG519" s="249"/>
      <c r="EH519" s="249"/>
      <c r="EI519" s="249"/>
      <c r="EJ519" s="249"/>
      <c r="EK519" s="249"/>
      <c r="EL519" s="249"/>
      <c r="EM519" s="249"/>
      <c r="EN519" s="249"/>
      <c r="EO519" s="249"/>
      <c r="EP519" s="249"/>
      <c r="EQ519" s="249"/>
      <c r="ER519" s="249"/>
      <c r="ES519" s="249"/>
      <c r="ET519" s="249"/>
      <c r="EU519" s="249"/>
      <c r="EV519" s="249"/>
      <c r="EW519" s="249"/>
      <c r="EX519" s="249"/>
      <c r="EY519" s="249"/>
      <c r="EZ519" s="249"/>
      <c r="FA519" s="249"/>
      <c r="FB519" s="249"/>
      <c r="FC519" s="249"/>
      <c r="FD519" s="249"/>
      <c r="FE519" s="249"/>
      <c r="FF519" s="249"/>
      <c r="FG519" s="249"/>
      <c r="FH519" s="249"/>
      <c r="FI519" s="249"/>
      <c r="FJ519" s="249"/>
      <c r="FK519" s="249"/>
      <c r="FL519" s="249"/>
      <c r="FM519" s="249"/>
      <c r="FN519" s="249"/>
      <c r="FO519" s="249"/>
      <c r="FP519" s="249"/>
      <c r="FQ519" s="249"/>
      <c r="FR519" s="249"/>
      <c r="FS519" s="249"/>
      <c r="FT519" s="249"/>
      <c r="FU519" s="249"/>
      <c r="FV519" s="249"/>
      <c r="FW519" s="249"/>
      <c r="FX519" s="249"/>
      <c r="FY519" s="249"/>
      <c r="FZ519" s="249"/>
      <c r="GA519" s="249"/>
      <c r="GB519" s="249"/>
      <c r="GC519" s="249"/>
      <c r="GD519" s="249"/>
      <c r="GE519" s="249"/>
      <c r="GF519" s="249"/>
      <c r="GG519" s="249"/>
      <c r="GH519" s="249"/>
      <c r="GI519" s="249"/>
      <c r="GJ519" s="249"/>
      <c r="GK519" s="249"/>
      <c r="GL519" s="249"/>
      <c r="GM519" s="249"/>
      <c r="GN519" s="249"/>
      <c r="GO519" s="249"/>
      <c r="GP519" s="249"/>
      <c r="GQ519" s="249"/>
      <c r="GR519" s="249"/>
    </row>
    <row r="520" spans="1:200" s="252" customFormat="1" ht="16.5" hidden="1" customHeight="1" x14ac:dyDescent="0.2">
      <c r="A520" s="735"/>
      <c r="B520" s="1136"/>
      <c r="C520" s="1136"/>
      <c r="D520" s="539" t="e">
        <f>#REF!=#REF!</f>
        <v>#REF!</v>
      </c>
      <c r="E520" s="614"/>
      <c r="F520" s="249"/>
      <c r="G520" s="250"/>
      <c r="H520" s="250"/>
      <c r="I520" s="250"/>
      <c r="J520" s="250"/>
      <c r="K520" s="250"/>
      <c r="L520" s="250"/>
      <c r="M520" s="250"/>
      <c r="N520" s="250"/>
      <c r="O520" s="250"/>
      <c r="P520" s="251"/>
      <c r="Q520" s="251"/>
      <c r="R520" s="251"/>
      <c r="S520" s="251"/>
      <c r="T520" s="251"/>
      <c r="U520" s="328"/>
      <c r="V520" s="1028" t="str">
        <f>JARSSHOCKTOOLDDT!I22</f>
        <v>MWD, rental</v>
      </c>
      <c r="W520" s="1027">
        <f>IF(INPUT!$H$11="SCIENTIFIC DRILLING INC.",VLOOKUP(V520,JARSSHOCKTOOLDDT!$I$15:$M$43,2,FALSE),VLOOKUP(V520,JARSSHOCKTOOLDDT!$I$15:$M$43,4,FALSE))*IF(INPUT!$D$7="REGULAR HOLE",1,0)</f>
        <v>0</v>
      </c>
      <c r="X520" s="1364">
        <f>INDEX(INPUT!$AI$12:$AI$15,MATCH(INPUT!$H$8,INPUT!$AH$12:$AH$15,0))</f>
        <v>7</v>
      </c>
      <c r="Y520" s="633">
        <f t="shared" ref="Y520:AE520" ca="1" si="171">INDIRECT(Y$511)</f>
        <v>2</v>
      </c>
      <c r="Z520" s="633">
        <f t="shared" ca="1" si="171"/>
        <v>4</v>
      </c>
      <c r="AA520" s="633">
        <f t="shared" ca="1" si="171"/>
        <v>5</v>
      </c>
      <c r="AB520" s="633">
        <f t="shared" ca="1" si="171"/>
        <v>4</v>
      </c>
      <c r="AC520" s="633">
        <f t="shared" ca="1" si="171"/>
        <v>10</v>
      </c>
      <c r="AD520" s="633">
        <f t="shared" ca="1" si="171"/>
        <v>3</v>
      </c>
      <c r="AE520" s="633">
        <f t="shared" ca="1" si="171"/>
        <v>6</v>
      </c>
      <c r="AF520" s="1364">
        <f>INDEX(INPUT!$AI$12:$AI$15,MATCH(INPUT!$H$8,INPUT!$AH$12:$AH$15,0))</f>
        <v>7</v>
      </c>
      <c r="AG520" s="285"/>
      <c r="AH520" s="285"/>
      <c r="AI520" s="285"/>
      <c r="AJ520" s="285"/>
      <c r="AK520" s="285"/>
      <c r="AL520" s="285"/>
      <c r="AM520" s="284">
        <f t="shared" ca="1" si="169"/>
        <v>48</v>
      </c>
      <c r="AN520" s="294"/>
      <c r="AO520" s="249"/>
      <c r="AP520" s="250"/>
      <c r="AQ520" s="250"/>
      <c r="AR520" s="250"/>
      <c r="AS520" s="250"/>
      <c r="AT520" s="250"/>
      <c r="AU520" s="250"/>
      <c r="AV520" s="249"/>
      <c r="AW520" s="249"/>
      <c r="AX520" s="249"/>
      <c r="AY520" s="249"/>
      <c r="AZ520" s="249"/>
      <c r="BA520" s="249"/>
      <c r="BB520" s="249"/>
      <c r="BC520" s="249"/>
      <c r="BD520" s="249"/>
      <c r="BE520" s="249"/>
      <c r="BF520" s="249"/>
      <c r="BG520" s="249"/>
      <c r="BH520" s="249"/>
      <c r="BI520" s="249"/>
      <c r="BJ520" s="249"/>
      <c r="BK520" s="249"/>
      <c r="BL520" s="249"/>
      <c r="BM520" s="249"/>
      <c r="BN520" s="249"/>
      <c r="BO520" s="249"/>
      <c r="BP520" s="249"/>
      <c r="BQ520" s="249"/>
      <c r="BR520" s="249"/>
      <c r="BS520" s="249"/>
      <c r="BT520" s="249"/>
      <c r="BU520" s="249"/>
      <c r="BV520" s="249"/>
      <c r="BW520" s="249"/>
      <c r="BX520" s="249"/>
      <c r="BY520" s="249"/>
      <c r="BZ520" s="249"/>
      <c r="CA520" s="249"/>
      <c r="CB520" s="249"/>
      <c r="CC520" s="249"/>
      <c r="CD520" s="249"/>
      <c r="CE520" s="249"/>
      <c r="CF520" s="249"/>
      <c r="CG520" s="249"/>
      <c r="CH520" s="249"/>
      <c r="CI520" s="249"/>
      <c r="CJ520" s="249"/>
      <c r="CK520" s="249"/>
      <c r="CL520" s="249"/>
      <c r="CM520" s="249"/>
      <c r="CN520" s="249"/>
      <c r="CO520" s="249"/>
      <c r="CP520" s="249"/>
      <c r="CQ520" s="249"/>
      <c r="CR520" s="249"/>
      <c r="CS520" s="249"/>
      <c r="CT520" s="249"/>
      <c r="CU520" s="249"/>
      <c r="CV520" s="249"/>
      <c r="CW520" s="249"/>
      <c r="CX520" s="249"/>
      <c r="CY520" s="249"/>
      <c r="CZ520" s="249"/>
      <c r="DA520" s="249"/>
      <c r="DB520" s="249"/>
      <c r="DC520" s="249"/>
      <c r="DD520" s="249"/>
      <c r="DE520" s="249"/>
      <c r="DF520" s="249"/>
      <c r="DG520" s="249"/>
      <c r="DH520" s="249"/>
      <c r="DI520" s="249"/>
      <c r="DJ520" s="249"/>
      <c r="DK520" s="249"/>
      <c r="DL520" s="249"/>
      <c r="DM520" s="249"/>
      <c r="DN520" s="249"/>
      <c r="DO520" s="249"/>
      <c r="DP520" s="249"/>
      <c r="DQ520" s="249"/>
      <c r="DR520" s="249"/>
      <c r="DS520" s="249"/>
      <c r="DT520" s="249"/>
      <c r="DU520" s="249"/>
      <c r="DV520" s="249"/>
      <c r="DW520" s="249"/>
      <c r="DX520" s="249"/>
      <c r="DY520" s="249"/>
      <c r="DZ520" s="249"/>
      <c r="EA520" s="249"/>
      <c r="EB520" s="249"/>
      <c r="EC520" s="249"/>
      <c r="ED520" s="249"/>
      <c r="EE520" s="249"/>
      <c r="EF520" s="249"/>
      <c r="EG520" s="249"/>
      <c r="EH520" s="249"/>
      <c r="EI520" s="249"/>
      <c r="EJ520" s="249"/>
      <c r="EK520" s="249"/>
      <c r="EL520" s="249"/>
      <c r="EM520" s="249"/>
      <c r="EN520" s="249"/>
      <c r="EO520" s="249"/>
      <c r="EP520" s="249"/>
      <c r="EQ520" s="249"/>
      <c r="ER520" s="249"/>
      <c r="ES520" s="249"/>
      <c r="ET520" s="249"/>
      <c r="EU520" s="249"/>
      <c r="EV520" s="249"/>
      <c r="EW520" s="249"/>
      <c r="EX520" s="249"/>
      <c r="EY520" s="249"/>
      <c r="EZ520" s="249"/>
      <c r="FA520" s="249"/>
      <c r="FB520" s="249"/>
      <c r="FC520" s="249"/>
      <c r="FD520" s="249"/>
      <c r="FE520" s="249"/>
      <c r="FF520" s="249"/>
      <c r="FG520" s="249"/>
      <c r="FH520" s="249"/>
      <c r="FI520" s="249"/>
      <c r="FJ520" s="249"/>
      <c r="FK520" s="249"/>
      <c r="FL520" s="249"/>
      <c r="FM520" s="249"/>
      <c r="FN520" s="249"/>
      <c r="FO520" s="249"/>
      <c r="FP520" s="249"/>
      <c r="FQ520" s="249"/>
      <c r="FR520" s="249"/>
      <c r="FS520" s="249"/>
      <c r="FT520" s="249"/>
      <c r="FU520" s="249"/>
      <c r="FV520" s="249"/>
      <c r="FW520" s="249"/>
      <c r="FX520" s="249"/>
      <c r="FY520" s="249"/>
      <c r="FZ520" s="249"/>
      <c r="GA520" s="249"/>
      <c r="GB520" s="249"/>
      <c r="GC520" s="249"/>
      <c r="GD520" s="249"/>
      <c r="GE520" s="249"/>
      <c r="GF520" s="249"/>
      <c r="GG520" s="249"/>
      <c r="GH520" s="249"/>
      <c r="GI520" s="249"/>
      <c r="GJ520" s="249"/>
      <c r="GK520" s="249"/>
      <c r="GL520" s="249"/>
      <c r="GM520" s="249"/>
      <c r="GN520" s="249"/>
      <c r="GO520" s="249"/>
      <c r="GP520" s="249"/>
      <c r="GQ520" s="249"/>
      <c r="GR520" s="249"/>
    </row>
    <row r="521" spans="1:200" s="252" customFormat="1" ht="16.5" hidden="1" customHeight="1" x14ac:dyDescent="0.2">
      <c r="A521" s="735"/>
      <c r="B521" s="1136"/>
      <c r="C521" s="1136"/>
      <c r="D521" s="539" t="e">
        <f>#REF!=#REF!</f>
        <v>#REF!</v>
      </c>
      <c r="E521" s="614"/>
      <c r="F521" s="249"/>
      <c r="G521" s="250"/>
      <c r="H521" s="250"/>
      <c r="I521" s="250"/>
      <c r="J521" s="250"/>
      <c r="K521" s="250"/>
      <c r="L521" s="250"/>
      <c r="M521" s="250"/>
      <c r="N521" s="250"/>
      <c r="O521" s="250"/>
      <c r="P521" s="251"/>
      <c r="Q521" s="251"/>
      <c r="R521" s="251"/>
      <c r="S521" s="251"/>
      <c r="T521" s="251"/>
      <c r="U521" s="328"/>
      <c r="V521" s="1028" t="str">
        <f>JARSSHOCKTOOLDDT!I23</f>
        <v>9" NMDC</v>
      </c>
      <c r="W521" s="1027">
        <f>IF(INPUT!$H$11="SCIENTIFIC DRILLING INC.",VLOOKUP(V521,JARSSHOCKTOOLDDT!$I$15:$M$43,2,FALSE),VLOOKUP(V521,JARSSHOCKTOOLDDT!$I$15:$M$43,4,FALSE))*IF(INPUT!$D$7="REGULAR HOLE",1,0)</f>
        <v>0</v>
      </c>
      <c r="X521" s="1364">
        <f>INDEX(INPUT!$AI$12:$AI$15,MATCH(INPUT!$H$8,INPUT!$AH$12:$AH$15,0))</f>
        <v>7</v>
      </c>
      <c r="Y521" s="633">
        <f t="shared" ref="Y521:AB522" ca="1" si="172">INDIRECT(Y$511)</f>
        <v>2</v>
      </c>
      <c r="Z521" s="633">
        <f t="shared" ca="1" si="172"/>
        <v>4</v>
      </c>
      <c r="AA521" s="633">
        <f t="shared" ca="1" si="172"/>
        <v>5</v>
      </c>
      <c r="AB521" s="633">
        <f t="shared" ca="1" si="172"/>
        <v>4</v>
      </c>
      <c r="AC521" s="1364">
        <f>INDEX(INPUT!$AI$12:$AI$15,MATCH(INPUT!$H$8,INPUT!$AH$12:$AH$15,0))</f>
        <v>7</v>
      </c>
      <c r="AD521" s="633"/>
      <c r="AE521" s="633"/>
      <c r="AF521" s="285"/>
      <c r="AG521" s="285"/>
      <c r="AH521" s="285"/>
      <c r="AI521" s="285"/>
      <c r="AJ521" s="285"/>
      <c r="AK521" s="285"/>
      <c r="AL521" s="285"/>
      <c r="AM521" s="284">
        <f t="shared" ca="1" si="169"/>
        <v>29</v>
      </c>
      <c r="AN521" s="294"/>
      <c r="AO521" s="249"/>
      <c r="AP521" s="250"/>
      <c r="AQ521" s="250"/>
      <c r="AR521" s="250"/>
      <c r="AS521" s="250"/>
      <c r="AT521" s="250"/>
      <c r="AU521" s="250"/>
      <c r="AV521" s="249"/>
      <c r="AW521" s="249"/>
      <c r="AX521" s="249"/>
      <c r="AY521" s="249"/>
      <c r="AZ521" s="249"/>
      <c r="BA521" s="249"/>
      <c r="BB521" s="249"/>
      <c r="BC521" s="249"/>
      <c r="BD521" s="249"/>
      <c r="BE521" s="249"/>
      <c r="BF521" s="249"/>
      <c r="BG521" s="249"/>
      <c r="BH521" s="249"/>
      <c r="BI521" s="249"/>
      <c r="BJ521" s="249"/>
      <c r="BK521" s="249"/>
      <c r="BL521" s="249"/>
      <c r="BM521" s="249"/>
      <c r="BN521" s="249"/>
      <c r="BO521" s="249"/>
      <c r="BP521" s="249"/>
      <c r="BQ521" s="249"/>
      <c r="BR521" s="249"/>
      <c r="BS521" s="249"/>
      <c r="BT521" s="249"/>
      <c r="BU521" s="249"/>
      <c r="BV521" s="249"/>
      <c r="BW521" s="249"/>
      <c r="BX521" s="249"/>
      <c r="BY521" s="249"/>
      <c r="BZ521" s="249"/>
      <c r="CA521" s="249"/>
      <c r="CB521" s="249"/>
      <c r="CC521" s="249"/>
      <c r="CD521" s="249"/>
      <c r="CE521" s="249"/>
      <c r="CF521" s="249"/>
      <c r="CG521" s="249"/>
      <c r="CH521" s="249"/>
      <c r="CI521" s="249"/>
      <c r="CJ521" s="249"/>
      <c r="CK521" s="249"/>
      <c r="CL521" s="249"/>
      <c r="CM521" s="249"/>
      <c r="CN521" s="249"/>
      <c r="CO521" s="249"/>
      <c r="CP521" s="249"/>
      <c r="CQ521" s="249"/>
      <c r="CR521" s="249"/>
      <c r="CS521" s="249"/>
      <c r="CT521" s="249"/>
      <c r="CU521" s="249"/>
      <c r="CV521" s="249"/>
      <c r="CW521" s="249"/>
      <c r="CX521" s="249"/>
      <c r="CY521" s="249"/>
      <c r="CZ521" s="249"/>
      <c r="DA521" s="249"/>
      <c r="DB521" s="249"/>
      <c r="DC521" s="249"/>
      <c r="DD521" s="249"/>
      <c r="DE521" s="249"/>
      <c r="DF521" s="249"/>
      <c r="DG521" s="249"/>
      <c r="DH521" s="249"/>
      <c r="DI521" s="249"/>
      <c r="DJ521" s="249"/>
      <c r="DK521" s="249"/>
      <c r="DL521" s="249"/>
      <c r="DM521" s="249"/>
      <c r="DN521" s="249"/>
      <c r="DO521" s="249"/>
      <c r="DP521" s="249"/>
      <c r="DQ521" s="249"/>
      <c r="DR521" s="249"/>
      <c r="DS521" s="249"/>
      <c r="DT521" s="249"/>
      <c r="DU521" s="249"/>
      <c r="DV521" s="249"/>
      <c r="DW521" s="249"/>
      <c r="DX521" s="249"/>
      <c r="DY521" s="249"/>
      <c r="DZ521" s="249"/>
      <c r="EA521" s="249"/>
      <c r="EB521" s="249"/>
      <c r="EC521" s="249"/>
      <c r="ED521" s="249"/>
      <c r="EE521" s="249"/>
      <c r="EF521" s="249"/>
      <c r="EG521" s="249"/>
      <c r="EH521" s="249"/>
      <c r="EI521" s="249"/>
      <c r="EJ521" s="249"/>
      <c r="EK521" s="249"/>
      <c r="EL521" s="249"/>
      <c r="EM521" s="249"/>
      <c r="EN521" s="249"/>
      <c r="EO521" s="249"/>
      <c r="EP521" s="249"/>
      <c r="EQ521" s="249"/>
      <c r="ER521" s="249"/>
      <c r="ES521" s="249"/>
      <c r="ET521" s="249"/>
      <c r="EU521" s="249"/>
      <c r="EV521" s="249"/>
      <c r="EW521" s="249"/>
      <c r="EX521" s="249"/>
      <c r="EY521" s="249"/>
      <c r="EZ521" s="249"/>
      <c r="FA521" s="249"/>
      <c r="FB521" s="249"/>
      <c r="FC521" s="249"/>
      <c r="FD521" s="249"/>
      <c r="FE521" s="249"/>
      <c r="FF521" s="249"/>
      <c r="FG521" s="249"/>
      <c r="FH521" s="249"/>
      <c r="FI521" s="249"/>
      <c r="FJ521" s="249"/>
      <c r="FK521" s="249"/>
      <c r="FL521" s="249"/>
      <c r="FM521" s="249"/>
      <c r="FN521" s="249"/>
      <c r="FO521" s="249"/>
      <c r="FP521" s="249"/>
      <c r="FQ521" s="249"/>
      <c r="FR521" s="249"/>
      <c r="FS521" s="249"/>
      <c r="FT521" s="249"/>
      <c r="FU521" s="249"/>
      <c r="FV521" s="249"/>
      <c r="FW521" s="249"/>
      <c r="FX521" s="249"/>
      <c r="FY521" s="249"/>
      <c r="FZ521" s="249"/>
      <c r="GA521" s="249"/>
      <c r="GB521" s="249"/>
      <c r="GC521" s="249"/>
      <c r="GD521" s="249"/>
      <c r="GE521" s="249"/>
      <c r="GF521" s="249"/>
      <c r="GG521" s="249"/>
      <c r="GH521" s="249"/>
      <c r="GI521" s="249"/>
      <c r="GJ521" s="249"/>
      <c r="GK521" s="249"/>
      <c r="GL521" s="249"/>
      <c r="GM521" s="249"/>
      <c r="GN521" s="249"/>
      <c r="GO521" s="249"/>
      <c r="GP521" s="249"/>
      <c r="GQ521" s="249"/>
      <c r="GR521" s="249"/>
    </row>
    <row r="522" spans="1:200" s="252" customFormat="1" ht="16.5" hidden="1" customHeight="1" x14ac:dyDescent="0.2">
      <c r="A522" s="735"/>
      <c r="B522" s="1136"/>
      <c r="C522" s="1136"/>
      <c r="D522" s="539" t="e">
        <f>#REF!=#REF!</f>
        <v>#REF!</v>
      </c>
      <c r="E522" s="614"/>
      <c r="F522" s="249"/>
      <c r="G522" s="250"/>
      <c r="H522" s="250"/>
      <c r="I522" s="250"/>
      <c r="J522" s="250"/>
      <c r="K522" s="250"/>
      <c r="L522" s="250"/>
      <c r="M522" s="250"/>
      <c r="N522" s="250"/>
      <c r="O522" s="250"/>
      <c r="P522" s="251"/>
      <c r="Q522" s="251"/>
      <c r="R522" s="251"/>
      <c r="S522" s="251"/>
      <c r="T522" s="251"/>
      <c r="U522" s="328"/>
      <c r="V522" s="1028" t="str">
        <f>JARSSHOCKTOOLDDT!I24</f>
        <v>26" Roller Reamer</v>
      </c>
      <c r="W522" s="1027">
        <f>IF(INPUT!$H$11="SCIENTIFIC DRILLING INC.",VLOOKUP(V522,JARSSHOCKTOOLDDT!$I$15:$M$43,2,FALSE),VLOOKUP(V522,JARSSHOCKTOOLDDT!$I$15:$M$43,4,FALSE))*IF(INPUT!$D$7="REGULAR HOLE",1,0)</f>
        <v>0</v>
      </c>
      <c r="X522" s="1364">
        <f>INDEX(INPUT!$AI$12:$AI$15,MATCH(INPUT!$H$8,INPUT!$AH$12:$AH$15,0))</f>
        <v>7</v>
      </c>
      <c r="Y522" s="633">
        <f t="shared" ca="1" si="172"/>
        <v>2</v>
      </c>
      <c r="Z522" s="633">
        <f t="shared" ca="1" si="172"/>
        <v>4</v>
      </c>
      <c r="AA522" s="633">
        <f t="shared" ca="1" si="172"/>
        <v>5</v>
      </c>
      <c r="AB522" s="633">
        <f t="shared" ca="1" si="172"/>
        <v>4</v>
      </c>
      <c r="AC522" s="1364">
        <f>INDEX(INPUT!$AI$12:$AI$15,MATCH(INPUT!$H$8,INPUT!$AH$12:$AH$15,0))</f>
        <v>7</v>
      </c>
      <c r="AD522" s="633"/>
      <c r="AE522" s="633"/>
      <c r="AF522" s="285"/>
      <c r="AG522" s="285"/>
      <c r="AH522" s="285"/>
      <c r="AI522" s="285"/>
      <c r="AJ522" s="285"/>
      <c r="AK522" s="285"/>
      <c r="AL522" s="285"/>
      <c r="AM522" s="284">
        <f t="shared" ca="1" si="169"/>
        <v>29</v>
      </c>
      <c r="AN522" s="294"/>
      <c r="AO522" s="249"/>
      <c r="AP522" s="250"/>
      <c r="AQ522" s="250"/>
      <c r="AR522" s="250"/>
      <c r="AS522" s="250"/>
      <c r="AT522" s="250"/>
      <c r="AU522" s="250"/>
      <c r="AV522" s="249"/>
      <c r="AW522" s="249"/>
      <c r="AX522" s="249"/>
      <c r="AY522" s="249"/>
      <c r="AZ522" s="249"/>
      <c r="BA522" s="249"/>
      <c r="BB522" s="249"/>
      <c r="BC522" s="249"/>
      <c r="BD522" s="249"/>
      <c r="BE522" s="249"/>
      <c r="BF522" s="249"/>
      <c r="BG522" s="249"/>
      <c r="BH522" s="249"/>
      <c r="BI522" s="249"/>
      <c r="BJ522" s="249"/>
      <c r="BK522" s="249"/>
      <c r="BL522" s="249"/>
      <c r="BM522" s="249"/>
      <c r="BN522" s="249"/>
      <c r="BO522" s="249"/>
      <c r="BP522" s="249"/>
      <c r="BQ522" s="249"/>
      <c r="BR522" s="249"/>
      <c r="BS522" s="249"/>
      <c r="BT522" s="249"/>
      <c r="BU522" s="249"/>
      <c r="BV522" s="249"/>
      <c r="BW522" s="249"/>
      <c r="BX522" s="249"/>
      <c r="BY522" s="249"/>
      <c r="BZ522" s="249"/>
      <c r="CA522" s="249"/>
      <c r="CB522" s="249"/>
      <c r="CC522" s="249"/>
      <c r="CD522" s="249"/>
      <c r="CE522" s="249"/>
      <c r="CF522" s="249"/>
      <c r="CG522" s="249"/>
      <c r="CH522" s="249"/>
      <c r="CI522" s="249"/>
      <c r="CJ522" s="249"/>
      <c r="CK522" s="249"/>
      <c r="CL522" s="249"/>
      <c r="CM522" s="249"/>
      <c r="CN522" s="249"/>
      <c r="CO522" s="249"/>
      <c r="CP522" s="249"/>
      <c r="CQ522" s="249"/>
      <c r="CR522" s="249"/>
      <c r="CS522" s="249"/>
      <c r="CT522" s="249"/>
      <c r="CU522" s="249"/>
      <c r="CV522" s="249"/>
      <c r="CW522" s="249"/>
      <c r="CX522" s="249"/>
      <c r="CY522" s="249"/>
      <c r="CZ522" s="249"/>
      <c r="DA522" s="249"/>
      <c r="DB522" s="249"/>
      <c r="DC522" s="249"/>
      <c r="DD522" s="249"/>
      <c r="DE522" s="249"/>
      <c r="DF522" s="249"/>
      <c r="DG522" s="249"/>
      <c r="DH522" s="249"/>
      <c r="DI522" s="249"/>
      <c r="DJ522" s="249"/>
      <c r="DK522" s="249"/>
      <c r="DL522" s="249"/>
      <c r="DM522" s="249"/>
      <c r="DN522" s="249"/>
      <c r="DO522" s="249"/>
      <c r="DP522" s="249"/>
      <c r="DQ522" s="249"/>
      <c r="DR522" s="249"/>
      <c r="DS522" s="249"/>
      <c r="DT522" s="249"/>
      <c r="DU522" s="249"/>
      <c r="DV522" s="249"/>
      <c r="DW522" s="249"/>
      <c r="DX522" s="249"/>
      <c r="DY522" s="249"/>
      <c r="DZ522" s="249"/>
      <c r="EA522" s="249"/>
      <c r="EB522" s="249"/>
      <c r="EC522" s="249"/>
      <c r="ED522" s="249"/>
      <c r="EE522" s="249"/>
      <c r="EF522" s="249"/>
      <c r="EG522" s="249"/>
      <c r="EH522" s="249"/>
      <c r="EI522" s="249"/>
      <c r="EJ522" s="249"/>
      <c r="EK522" s="249"/>
      <c r="EL522" s="249"/>
      <c r="EM522" s="249"/>
      <c r="EN522" s="249"/>
      <c r="EO522" s="249"/>
      <c r="EP522" s="249"/>
      <c r="EQ522" s="249"/>
      <c r="ER522" s="249"/>
      <c r="ES522" s="249"/>
      <c r="ET522" s="249"/>
      <c r="EU522" s="249"/>
      <c r="EV522" s="249"/>
      <c r="EW522" s="249"/>
      <c r="EX522" s="249"/>
      <c r="EY522" s="249"/>
      <c r="EZ522" s="249"/>
      <c r="FA522" s="249"/>
      <c r="FB522" s="249"/>
      <c r="FC522" s="249"/>
      <c r="FD522" s="249"/>
      <c r="FE522" s="249"/>
      <c r="FF522" s="249"/>
      <c r="FG522" s="249"/>
      <c r="FH522" s="249"/>
      <c r="FI522" s="249"/>
      <c r="FJ522" s="249"/>
      <c r="FK522" s="249"/>
      <c r="FL522" s="249"/>
      <c r="FM522" s="249"/>
      <c r="FN522" s="249"/>
      <c r="FO522" s="249"/>
      <c r="FP522" s="249"/>
      <c r="FQ522" s="249"/>
      <c r="FR522" s="249"/>
      <c r="FS522" s="249"/>
      <c r="FT522" s="249"/>
      <c r="FU522" s="249"/>
      <c r="FV522" s="249"/>
      <c r="FW522" s="249"/>
      <c r="FX522" s="249"/>
      <c r="FY522" s="249"/>
      <c r="FZ522" s="249"/>
      <c r="GA522" s="249"/>
      <c r="GB522" s="249"/>
      <c r="GC522" s="249"/>
      <c r="GD522" s="249"/>
      <c r="GE522" s="249"/>
      <c r="GF522" s="249"/>
      <c r="GG522" s="249"/>
      <c r="GH522" s="249"/>
      <c r="GI522" s="249"/>
      <c r="GJ522" s="249"/>
      <c r="GK522" s="249"/>
      <c r="GL522" s="249"/>
      <c r="GM522" s="249"/>
      <c r="GN522" s="249"/>
      <c r="GO522" s="249"/>
      <c r="GP522" s="249"/>
      <c r="GQ522" s="249"/>
      <c r="GR522" s="249"/>
    </row>
    <row r="523" spans="1:200" s="252" customFormat="1" ht="16.5" hidden="1" customHeight="1" x14ac:dyDescent="0.2">
      <c r="A523" s="735"/>
      <c r="B523" s="1136"/>
      <c r="C523" s="1136"/>
      <c r="D523" s="539" t="e">
        <f>#REF!=#REF!</f>
        <v>#REF!</v>
      </c>
      <c r="E523" s="614"/>
      <c r="F523" s="249"/>
      <c r="G523" s="250"/>
      <c r="H523" s="250"/>
      <c r="I523" s="250"/>
      <c r="J523" s="250"/>
      <c r="K523" s="250"/>
      <c r="L523" s="250"/>
      <c r="M523" s="250"/>
      <c r="N523" s="250"/>
      <c r="O523" s="250"/>
      <c r="P523" s="251"/>
      <c r="Q523" s="251"/>
      <c r="R523" s="251"/>
      <c r="S523" s="251"/>
      <c r="T523" s="251"/>
      <c r="U523" s="328"/>
      <c r="V523" s="1028" t="str">
        <f>JARSSHOCKTOOLDDT!I25</f>
        <v>26" Roller Reamer Redress</v>
      </c>
      <c r="W523" s="1027">
        <f>IF(INPUT!$H$11="SCIENTIFIC DRILLING INC.",VLOOKUP(V523,JARSSHOCKTOOLDDT!$I$15:$M$43,2,FALSE),VLOOKUP(V523,JARSSHOCKTOOLDDT!$I$15:$M$43,4,FALSE))*IF(INPUT!$D$7="REGULAR HOLE",1,0)</f>
        <v>0</v>
      </c>
      <c r="X523" s="633"/>
      <c r="Y523" s="633"/>
      <c r="Z523" s="633"/>
      <c r="AA523" s="633"/>
      <c r="AB523" s="633"/>
      <c r="AC523" s="633"/>
      <c r="AD523" s="633"/>
      <c r="AE523" s="633"/>
      <c r="AF523" s="633">
        <f>IF(INPUT!$D$7="REGULAR HOLE",1,0)</f>
        <v>0</v>
      </c>
      <c r="AG523" s="1457"/>
      <c r="AH523" s="633"/>
      <c r="AI523" s="1457"/>
      <c r="AJ523" s="633"/>
      <c r="AK523" s="633"/>
      <c r="AL523" s="285"/>
      <c r="AM523" s="284">
        <f t="shared" si="169"/>
        <v>0</v>
      </c>
      <c r="AN523" s="294"/>
      <c r="AO523" s="249"/>
      <c r="AP523" s="250"/>
      <c r="AQ523" s="250"/>
      <c r="AR523" s="250"/>
      <c r="AS523" s="250"/>
      <c r="AT523" s="250"/>
      <c r="AU523" s="250"/>
      <c r="AV523" s="249"/>
      <c r="AW523" s="249"/>
      <c r="AX523" s="249"/>
      <c r="AY523" s="249"/>
      <c r="AZ523" s="249"/>
      <c r="BA523" s="249"/>
      <c r="BB523" s="249"/>
      <c r="BC523" s="249"/>
      <c r="BD523" s="249"/>
      <c r="BE523" s="249"/>
      <c r="BF523" s="249"/>
      <c r="BG523" s="249"/>
      <c r="BH523" s="249"/>
      <c r="BI523" s="249"/>
      <c r="BJ523" s="249"/>
      <c r="BK523" s="249"/>
      <c r="BL523" s="249"/>
      <c r="BM523" s="249"/>
      <c r="BN523" s="249"/>
      <c r="BO523" s="249"/>
      <c r="BP523" s="249"/>
      <c r="BQ523" s="249"/>
      <c r="BR523" s="249"/>
      <c r="BS523" s="249"/>
      <c r="BT523" s="249"/>
      <c r="BU523" s="249"/>
      <c r="BV523" s="249"/>
      <c r="BW523" s="249"/>
      <c r="BX523" s="249"/>
      <c r="BY523" s="249"/>
      <c r="BZ523" s="249"/>
      <c r="CA523" s="249"/>
      <c r="CB523" s="249"/>
      <c r="CC523" s="249"/>
      <c r="CD523" s="249"/>
      <c r="CE523" s="249"/>
      <c r="CF523" s="249"/>
      <c r="CG523" s="249"/>
      <c r="CH523" s="249"/>
      <c r="CI523" s="249"/>
      <c r="CJ523" s="249"/>
      <c r="CK523" s="249"/>
      <c r="CL523" s="249"/>
      <c r="CM523" s="249"/>
      <c r="CN523" s="249"/>
      <c r="CO523" s="249"/>
      <c r="CP523" s="249"/>
      <c r="CQ523" s="249"/>
      <c r="CR523" s="249"/>
      <c r="CS523" s="249"/>
      <c r="CT523" s="249"/>
      <c r="CU523" s="249"/>
      <c r="CV523" s="249"/>
      <c r="CW523" s="249"/>
      <c r="CX523" s="249"/>
      <c r="CY523" s="249"/>
      <c r="CZ523" s="249"/>
      <c r="DA523" s="249"/>
      <c r="DB523" s="249"/>
      <c r="DC523" s="249"/>
      <c r="DD523" s="249"/>
      <c r="DE523" s="249"/>
      <c r="DF523" s="249"/>
      <c r="DG523" s="249"/>
      <c r="DH523" s="249"/>
      <c r="DI523" s="249"/>
      <c r="DJ523" s="249"/>
      <c r="DK523" s="249"/>
      <c r="DL523" s="249"/>
      <c r="DM523" s="249"/>
      <c r="DN523" s="249"/>
      <c r="DO523" s="249"/>
      <c r="DP523" s="249"/>
      <c r="DQ523" s="249"/>
      <c r="DR523" s="249"/>
      <c r="DS523" s="249"/>
      <c r="DT523" s="249"/>
      <c r="DU523" s="249"/>
      <c r="DV523" s="249"/>
      <c r="DW523" s="249"/>
      <c r="DX523" s="249"/>
      <c r="DY523" s="249"/>
      <c r="DZ523" s="249"/>
      <c r="EA523" s="249"/>
      <c r="EB523" s="249"/>
      <c r="EC523" s="249"/>
      <c r="ED523" s="249"/>
      <c r="EE523" s="249"/>
      <c r="EF523" s="249"/>
      <c r="EG523" s="249"/>
      <c r="EH523" s="249"/>
      <c r="EI523" s="249"/>
      <c r="EJ523" s="249"/>
      <c r="EK523" s="249"/>
      <c r="EL523" s="249"/>
      <c r="EM523" s="249"/>
      <c r="EN523" s="249"/>
      <c r="EO523" s="249"/>
      <c r="EP523" s="249"/>
      <c r="EQ523" s="249"/>
      <c r="ER523" s="249"/>
      <c r="ES523" s="249"/>
      <c r="ET523" s="249"/>
      <c r="EU523" s="249"/>
      <c r="EV523" s="249"/>
      <c r="EW523" s="249"/>
      <c r="EX523" s="249"/>
      <c r="EY523" s="249"/>
      <c r="EZ523" s="249"/>
      <c r="FA523" s="249"/>
      <c r="FB523" s="249"/>
      <c r="FC523" s="249"/>
      <c r="FD523" s="249"/>
      <c r="FE523" s="249"/>
      <c r="FF523" s="249"/>
      <c r="FG523" s="249"/>
      <c r="FH523" s="249"/>
      <c r="FI523" s="249"/>
      <c r="FJ523" s="249"/>
      <c r="FK523" s="249"/>
      <c r="FL523" s="249"/>
      <c r="FM523" s="249"/>
      <c r="FN523" s="249"/>
      <c r="FO523" s="249"/>
      <c r="FP523" s="249"/>
      <c r="FQ523" s="249"/>
      <c r="FR523" s="249"/>
      <c r="FS523" s="249"/>
      <c r="FT523" s="249"/>
      <c r="FU523" s="249"/>
      <c r="FV523" s="249"/>
      <c r="FW523" s="249"/>
      <c r="FX523" s="249"/>
      <c r="FY523" s="249"/>
      <c r="FZ523" s="249"/>
      <c r="GA523" s="249"/>
      <c r="GB523" s="249"/>
      <c r="GC523" s="249"/>
      <c r="GD523" s="249"/>
      <c r="GE523" s="249"/>
      <c r="GF523" s="249"/>
      <c r="GG523" s="249"/>
      <c r="GH523" s="249"/>
      <c r="GI523" s="249"/>
      <c r="GJ523" s="249"/>
      <c r="GK523" s="249"/>
      <c r="GL523" s="249"/>
      <c r="GM523" s="249"/>
      <c r="GN523" s="249"/>
      <c r="GO523" s="249"/>
      <c r="GP523" s="249"/>
      <c r="GQ523" s="249"/>
      <c r="GR523" s="249"/>
    </row>
    <row r="524" spans="1:200" s="252" customFormat="1" ht="16.5" hidden="1" customHeight="1" x14ac:dyDescent="0.2">
      <c r="A524" s="735"/>
      <c r="B524" s="1136"/>
      <c r="C524" s="1136"/>
      <c r="D524" s="539" t="e">
        <f>#REF!=#REF!</f>
        <v>#REF!</v>
      </c>
      <c r="E524" s="614"/>
      <c r="F524" s="249"/>
      <c r="G524" s="250"/>
      <c r="H524" s="250"/>
      <c r="I524" s="250"/>
      <c r="J524" s="250"/>
      <c r="K524" s="250"/>
      <c r="L524" s="250"/>
      <c r="M524" s="250"/>
      <c r="N524" s="250"/>
      <c r="O524" s="250"/>
      <c r="P524" s="251"/>
      <c r="Q524" s="251"/>
      <c r="R524" s="251"/>
      <c r="S524" s="251"/>
      <c r="T524" s="251"/>
      <c r="U524" s="328"/>
      <c r="V524" s="1028" t="str">
        <f>JARSSHOCKTOOLDDT!I26</f>
        <v>26" UG Stabilizers</v>
      </c>
      <c r="W524" s="1027">
        <f>IF(INPUT!$H$11="SCIENTIFIC DRILLING INC.",VLOOKUP(V524,JARSSHOCKTOOLDDT!$I$15:$M$43,2,FALSE),VLOOKUP(V524,JARSSHOCKTOOLDDT!$I$15:$M$43,4,FALSE))*IF(INPUT!$D$7="REGULAR HOLE",1,0)</f>
        <v>0</v>
      </c>
      <c r="X524" s="1364">
        <f>INDEX(INPUT!$AI$12:$AI$15,MATCH(INPUT!$H$8,INPUT!$AH$12:$AH$15,0))</f>
        <v>7</v>
      </c>
      <c r="Y524" s="633">
        <f t="shared" ref="Y524:AB526" ca="1" si="173">INDIRECT(Y$511)</f>
        <v>2</v>
      </c>
      <c r="Z524" s="633">
        <f t="shared" ca="1" si="173"/>
        <v>4</v>
      </c>
      <c r="AA524" s="633">
        <f t="shared" ca="1" si="173"/>
        <v>5</v>
      </c>
      <c r="AB524" s="633">
        <f t="shared" ca="1" si="173"/>
        <v>4</v>
      </c>
      <c r="AC524" s="1364">
        <f>INDEX(INPUT!$AI$12:$AI$15,MATCH(INPUT!$H$8,INPUT!$AH$12:$AH$15,0))</f>
        <v>7</v>
      </c>
      <c r="AD524" s="633"/>
      <c r="AE524" s="633"/>
      <c r="AF524" s="285"/>
      <c r="AG524" s="285"/>
      <c r="AH524" s="285"/>
      <c r="AI524" s="285"/>
      <c r="AJ524" s="285"/>
      <c r="AK524" s="285"/>
      <c r="AL524" s="285"/>
      <c r="AM524" s="284">
        <f t="shared" ca="1" si="169"/>
        <v>29</v>
      </c>
      <c r="AN524" s="294"/>
      <c r="AO524" s="249"/>
      <c r="AP524" s="250"/>
      <c r="AQ524" s="250"/>
      <c r="AR524" s="250"/>
      <c r="AS524" s="250"/>
      <c r="AT524" s="250"/>
      <c r="AU524" s="250"/>
      <c r="AV524" s="249"/>
      <c r="AW524" s="249"/>
      <c r="AX524" s="249"/>
      <c r="AY524" s="249"/>
      <c r="AZ524" s="249"/>
      <c r="BA524" s="249"/>
      <c r="BB524" s="249"/>
      <c r="BC524" s="249"/>
      <c r="BD524" s="249"/>
      <c r="BE524" s="249"/>
      <c r="BF524" s="249"/>
      <c r="BG524" s="249"/>
      <c r="BH524" s="249"/>
      <c r="BI524" s="249"/>
      <c r="BJ524" s="249"/>
      <c r="BK524" s="249"/>
      <c r="BL524" s="249"/>
      <c r="BM524" s="249"/>
      <c r="BN524" s="249"/>
      <c r="BO524" s="249"/>
      <c r="BP524" s="249"/>
      <c r="BQ524" s="249"/>
      <c r="BR524" s="249"/>
      <c r="BS524" s="249"/>
      <c r="BT524" s="249"/>
      <c r="BU524" s="249"/>
      <c r="BV524" s="249"/>
      <c r="BW524" s="249"/>
      <c r="BX524" s="249"/>
      <c r="BY524" s="249"/>
      <c r="BZ524" s="249"/>
      <c r="CA524" s="249"/>
      <c r="CB524" s="249"/>
      <c r="CC524" s="249"/>
      <c r="CD524" s="249"/>
      <c r="CE524" s="249"/>
      <c r="CF524" s="249"/>
      <c r="CG524" s="249"/>
      <c r="CH524" s="249"/>
      <c r="CI524" s="249"/>
      <c r="CJ524" s="249"/>
      <c r="CK524" s="249"/>
      <c r="CL524" s="249"/>
      <c r="CM524" s="249"/>
      <c r="CN524" s="249"/>
      <c r="CO524" s="249"/>
      <c r="CP524" s="249"/>
      <c r="CQ524" s="249"/>
      <c r="CR524" s="249"/>
      <c r="CS524" s="249"/>
      <c r="CT524" s="249"/>
      <c r="CU524" s="249"/>
      <c r="CV524" s="249"/>
      <c r="CW524" s="249"/>
      <c r="CX524" s="249"/>
      <c r="CY524" s="249"/>
      <c r="CZ524" s="249"/>
      <c r="DA524" s="249"/>
      <c r="DB524" s="249"/>
      <c r="DC524" s="249"/>
      <c r="DD524" s="249"/>
      <c r="DE524" s="249"/>
      <c r="DF524" s="249"/>
      <c r="DG524" s="249"/>
      <c r="DH524" s="249"/>
      <c r="DI524" s="249"/>
      <c r="DJ524" s="249"/>
      <c r="DK524" s="249"/>
      <c r="DL524" s="249"/>
      <c r="DM524" s="249"/>
      <c r="DN524" s="249"/>
      <c r="DO524" s="249"/>
      <c r="DP524" s="249"/>
      <c r="DQ524" s="249"/>
      <c r="DR524" s="249"/>
      <c r="DS524" s="249"/>
      <c r="DT524" s="249"/>
      <c r="DU524" s="249"/>
      <c r="DV524" s="249"/>
      <c r="DW524" s="249"/>
      <c r="DX524" s="249"/>
      <c r="DY524" s="249"/>
      <c r="DZ524" s="249"/>
      <c r="EA524" s="249"/>
      <c r="EB524" s="249"/>
      <c r="EC524" s="249"/>
      <c r="ED524" s="249"/>
      <c r="EE524" s="249"/>
      <c r="EF524" s="249"/>
      <c r="EG524" s="249"/>
      <c r="EH524" s="249"/>
      <c r="EI524" s="249"/>
      <c r="EJ524" s="249"/>
      <c r="EK524" s="249"/>
      <c r="EL524" s="249"/>
      <c r="EM524" s="249"/>
      <c r="EN524" s="249"/>
      <c r="EO524" s="249"/>
      <c r="EP524" s="249"/>
      <c r="EQ524" s="249"/>
      <c r="ER524" s="249"/>
      <c r="ES524" s="249"/>
      <c r="ET524" s="249"/>
      <c r="EU524" s="249"/>
      <c r="EV524" s="249"/>
      <c r="EW524" s="249"/>
      <c r="EX524" s="249"/>
      <c r="EY524" s="249"/>
      <c r="EZ524" s="249"/>
      <c r="FA524" s="249"/>
      <c r="FB524" s="249"/>
      <c r="FC524" s="249"/>
      <c r="FD524" s="249"/>
      <c r="FE524" s="249"/>
      <c r="FF524" s="249"/>
      <c r="FG524" s="249"/>
      <c r="FH524" s="249"/>
      <c r="FI524" s="249"/>
      <c r="FJ524" s="249"/>
      <c r="FK524" s="249"/>
      <c r="FL524" s="249"/>
      <c r="FM524" s="249"/>
      <c r="FN524" s="249"/>
      <c r="FO524" s="249"/>
      <c r="FP524" s="249"/>
      <c r="FQ524" s="249"/>
      <c r="FR524" s="249"/>
      <c r="FS524" s="249"/>
      <c r="FT524" s="249"/>
      <c r="FU524" s="249"/>
      <c r="FV524" s="249"/>
      <c r="FW524" s="249"/>
      <c r="FX524" s="249"/>
      <c r="FY524" s="249"/>
      <c r="FZ524" s="249"/>
      <c r="GA524" s="249"/>
      <c r="GB524" s="249"/>
      <c r="GC524" s="249"/>
      <c r="GD524" s="249"/>
      <c r="GE524" s="249"/>
      <c r="GF524" s="249"/>
      <c r="GG524" s="249"/>
      <c r="GH524" s="249"/>
      <c r="GI524" s="249"/>
      <c r="GJ524" s="249"/>
      <c r="GK524" s="249"/>
      <c r="GL524" s="249"/>
      <c r="GM524" s="249"/>
      <c r="GN524" s="249"/>
      <c r="GO524" s="249"/>
      <c r="GP524" s="249"/>
      <c r="GQ524" s="249"/>
      <c r="GR524" s="249"/>
    </row>
    <row r="525" spans="1:200" s="252" customFormat="1" ht="16.5" hidden="1" customHeight="1" x14ac:dyDescent="0.2">
      <c r="A525" s="735"/>
      <c r="B525" s="1136"/>
      <c r="C525" s="1136"/>
      <c r="D525" s="539" t="e">
        <f>#REF!=#REF!</f>
        <v>#REF!</v>
      </c>
      <c r="E525" s="614"/>
      <c r="F525" s="249"/>
      <c r="G525" s="250"/>
      <c r="H525" s="250"/>
      <c r="I525" s="250"/>
      <c r="J525" s="250"/>
      <c r="K525" s="250"/>
      <c r="L525" s="250"/>
      <c r="M525" s="250"/>
      <c r="N525" s="250"/>
      <c r="O525" s="250"/>
      <c r="P525" s="251"/>
      <c r="Q525" s="251"/>
      <c r="R525" s="251"/>
      <c r="S525" s="251"/>
      <c r="T525" s="251"/>
      <c r="U525" s="328"/>
      <c r="V525" s="1028" t="str">
        <f>JARSSHOCKTOOLDDT!I27</f>
        <v>26" FG Stabilizers</v>
      </c>
      <c r="W525" s="1027">
        <f>IF(INPUT!$H$11="SCIENTIFIC DRILLING INC.",VLOOKUP(V525,JARSSHOCKTOOLDDT!$I$15:$M$43,2,FALSE),VLOOKUP(V525,JARSSHOCKTOOLDDT!$I$15:$M$43,4,FALSE))*IF(INPUT!$D$7="REGULAR HOLE",1,0)</f>
        <v>0</v>
      </c>
      <c r="X525" s="1364">
        <f>INDEX(INPUT!$AI$12:$AI$15,MATCH(INPUT!$H$8,INPUT!$AH$12:$AH$15,0))</f>
        <v>7</v>
      </c>
      <c r="Y525" s="633">
        <f t="shared" ca="1" si="173"/>
        <v>2</v>
      </c>
      <c r="Z525" s="633">
        <f t="shared" ca="1" si="173"/>
        <v>4</v>
      </c>
      <c r="AA525" s="633">
        <f t="shared" ca="1" si="173"/>
        <v>5</v>
      </c>
      <c r="AB525" s="633">
        <f t="shared" ca="1" si="173"/>
        <v>4</v>
      </c>
      <c r="AC525" s="1364">
        <f>INDEX(INPUT!$AI$12:$AI$15,MATCH(INPUT!$H$8,INPUT!$AH$12:$AH$15,0))</f>
        <v>7</v>
      </c>
      <c r="AD525" s="633"/>
      <c r="AE525" s="633"/>
      <c r="AF525" s="285"/>
      <c r="AG525" s="285"/>
      <c r="AH525" s="285"/>
      <c r="AI525" s="285"/>
      <c r="AJ525" s="285"/>
      <c r="AK525" s="285"/>
      <c r="AL525" s="285"/>
      <c r="AM525" s="284">
        <f t="shared" ca="1" si="169"/>
        <v>29</v>
      </c>
      <c r="AN525" s="294"/>
      <c r="AO525" s="249"/>
      <c r="AP525" s="250"/>
      <c r="AQ525" s="250"/>
      <c r="AR525" s="250"/>
      <c r="AS525" s="250"/>
      <c r="AT525" s="250"/>
      <c r="AU525" s="250"/>
      <c r="AV525" s="249"/>
      <c r="AW525" s="249"/>
      <c r="AX525" s="249"/>
      <c r="AY525" s="249"/>
      <c r="AZ525" s="249"/>
      <c r="BA525" s="249"/>
      <c r="BB525" s="249"/>
      <c r="BC525" s="249"/>
      <c r="BD525" s="249"/>
      <c r="BE525" s="249"/>
      <c r="BF525" s="249"/>
      <c r="BG525" s="249"/>
      <c r="BH525" s="249"/>
      <c r="BI525" s="249"/>
      <c r="BJ525" s="249"/>
      <c r="BK525" s="249"/>
      <c r="BL525" s="249"/>
      <c r="BM525" s="249"/>
      <c r="BN525" s="249"/>
      <c r="BO525" s="249"/>
      <c r="BP525" s="249"/>
      <c r="BQ525" s="249"/>
      <c r="BR525" s="249"/>
      <c r="BS525" s="249"/>
      <c r="BT525" s="249"/>
      <c r="BU525" s="249"/>
      <c r="BV525" s="249"/>
      <c r="BW525" s="249"/>
      <c r="BX525" s="249"/>
      <c r="BY525" s="249"/>
      <c r="BZ525" s="249"/>
      <c r="CA525" s="249"/>
      <c r="CB525" s="249"/>
      <c r="CC525" s="249"/>
      <c r="CD525" s="249"/>
      <c r="CE525" s="249"/>
      <c r="CF525" s="249"/>
      <c r="CG525" s="249"/>
      <c r="CH525" s="249"/>
      <c r="CI525" s="249"/>
      <c r="CJ525" s="249"/>
      <c r="CK525" s="249"/>
      <c r="CL525" s="249"/>
      <c r="CM525" s="249"/>
      <c r="CN525" s="249"/>
      <c r="CO525" s="249"/>
      <c r="CP525" s="249"/>
      <c r="CQ525" s="249"/>
      <c r="CR525" s="249"/>
      <c r="CS525" s="249"/>
      <c r="CT525" s="249"/>
      <c r="CU525" s="249"/>
      <c r="CV525" s="249"/>
      <c r="CW525" s="249"/>
      <c r="CX525" s="249"/>
      <c r="CY525" s="249"/>
      <c r="CZ525" s="249"/>
      <c r="DA525" s="249"/>
      <c r="DB525" s="249"/>
      <c r="DC525" s="249"/>
      <c r="DD525" s="249"/>
      <c r="DE525" s="249"/>
      <c r="DF525" s="249"/>
      <c r="DG525" s="249"/>
      <c r="DH525" s="249"/>
      <c r="DI525" s="249"/>
      <c r="DJ525" s="249"/>
      <c r="DK525" s="249"/>
      <c r="DL525" s="249"/>
      <c r="DM525" s="249"/>
      <c r="DN525" s="249"/>
      <c r="DO525" s="249"/>
      <c r="DP525" s="249"/>
      <c r="DQ525" s="249"/>
      <c r="DR525" s="249"/>
      <c r="DS525" s="249"/>
      <c r="DT525" s="249"/>
      <c r="DU525" s="249"/>
      <c r="DV525" s="249"/>
      <c r="DW525" s="249"/>
      <c r="DX525" s="249"/>
      <c r="DY525" s="249"/>
      <c r="DZ525" s="249"/>
      <c r="EA525" s="249"/>
      <c r="EB525" s="249"/>
      <c r="EC525" s="249"/>
      <c r="ED525" s="249"/>
      <c r="EE525" s="249"/>
      <c r="EF525" s="249"/>
      <c r="EG525" s="249"/>
      <c r="EH525" s="249"/>
      <c r="EI525" s="249"/>
      <c r="EJ525" s="249"/>
      <c r="EK525" s="249"/>
      <c r="EL525" s="249"/>
      <c r="EM525" s="249"/>
      <c r="EN525" s="249"/>
      <c r="EO525" s="249"/>
      <c r="EP525" s="249"/>
      <c r="EQ525" s="249"/>
      <c r="ER525" s="249"/>
      <c r="ES525" s="249"/>
      <c r="ET525" s="249"/>
      <c r="EU525" s="249"/>
      <c r="EV525" s="249"/>
      <c r="EW525" s="249"/>
      <c r="EX525" s="249"/>
      <c r="EY525" s="249"/>
      <c r="EZ525" s="249"/>
      <c r="FA525" s="249"/>
      <c r="FB525" s="249"/>
      <c r="FC525" s="249"/>
      <c r="FD525" s="249"/>
      <c r="FE525" s="249"/>
      <c r="FF525" s="249"/>
      <c r="FG525" s="249"/>
      <c r="FH525" s="249"/>
      <c r="FI525" s="249"/>
      <c r="FJ525" s="249"/>
      <c r="FK525" s="249"/>
      <c r="FL525" s="249"/>
      <c r="FM525" s="249"/>
      <c r="FN525" s="249"/>
      <c r="FO525" s="249"/>
      <c r="FP525" s="249"/>
      <c r="FQ525" s="249"/>
      <c r="FR525" s="249"/>
      <c r="FS525" s="249"/>
      <c r="FT525" s="249"/>
      <c r="FU525" s="249"/>
      <c r="FV525" s="249"/>
      <c r="FW525" s="249"/>
      <c r="FX525" s="249"/>
      <c r="FY525" s="249"/>
      <c r="FZ525" s="249"/>
      <c r="GA525" s="249"/>
      <c r="GB525" s="249"/>
      <c r="GC525" s="249"/>
      <c r="GD525" s="249"/>
      <c r="GE525" s="249"/>
      <c r="GF525" s="249"/>
      <c r="GG525" s="249"/>
      <c r="GH525" s="249"/>
      <c r="GI525" s="249"/>
      <c r="GJ525" s="249"/>
      <c r="GK525" s="249"/>
      <c r="GL525" s="249"/>
      <c r="GM525" s="249"/>
      <c r="GN525" s="249"/>
      <c r="GO525" s="249"/>
      <c r="GP525" s="249"/>
      <c r="GQ525" s="249"/>
      <c r="GR525" s="249"/>
    </row>
    <row r="526" spans="1:200" s="252" customFormat="1" ht="16.5" hidden="1" customHeight="1" x14ac:dyDescent="0.2">
      <c r="A526" s="735"/>
      <c r="B526" s="1136"/>
      <c r="C526" s="1136"/>
      <c r="D526" s="539" t="e">
        <f>#REF!=#REF!</f>
        <v>#REF!</v>
      </c>
      <c r="E526" s="614"/>
      <c r="F526" s="249"/>
      <c r="G526" s="250"/>
      <c r="H526" s="250"/>
      <c r="I526" s="250"/>
      <c r="J526" s="250"/>
      <c r="K526" s="250"/>
      <c r="L526" s="250"/>
      <c r="M526" s="250"/>
      <c r="N526" s="250"/>
      <c r="O526" s="250"/>
      <c r="P526" s="251"/>
      <c r="Q526" s="251"/>
      <c r="R526" s="251"/>
      <c r="S526" s="251"/>
      <c r="T526" s="251"/>
      <c r="U526" s="328"/>
      <c r="V526" s="1028" t="str">
        <f>JARSSHOCKTOOLDDT!I28</f>
        <v>17" UG Stabilizers</v>
      </c>
      <c r="W526" s="1027">
        <f>IF(INPUT!$H$11="SCIENTIFIC DRILLING INC.",VLOOKUP(V526,JARSSHOCKTOOLDDT!$I$15:$M$43,2,FALSE),VLOOKUP(V526,JARSSHOCKTOOLDDT!$I$15:$M$43,4,FALSE))*IF(INPUT!$D$7="REGULAR HOLE",1,0)</f>
        <v>0</v>
      </c>
      <c r="X526" s="1364">
        <f>INDEX(INPUT!$AI$12:$AI$15,MATCH(INPUT!$H$8,INPUT!$AH$12:$AH$15,0))</f>
        <v>7</v>
      </c>
      <c r="Y526" s="633">
        <f t="shared" ca="1" si="173"/>
        <v>2</v>
      </c>
      <c r="Z526" s="633">
        <f t="shared" ca="1" si="173"/>
        <v>4</v>
      </c>
      <c r="AA526" s="633">
        <f t="shared" ca="1" si="173"/>
        <v>5</v>
      </c>
      <c r="AB526" s="633">
        <f t="shared" ca="1" si="173"/>
        <v>4</v>
      </c>
      <c r="AC526" s="1364">
        <f>INDEX(INPUT!$AI$12:$AI$15,MATCH(INPUT!$H$8,INPUT!$AH$12:$AH$15,0))</f>
        <v>7</v>
      </c>
      <c r="AD526" s="633"/>
      <c r="AE526" s="633"/>
      <c r="AF526" s="285"/>
      <c r="AG526" s="285"/>
      <c r="AH526" s="285"/>
      <c r="AI526" s="285"/>
      <c r="AJ526" s="285"/>
      <c r="AK526" s="285"/>
      <c r="AL526" s="285"/>
      <c r="AM526" s="284">
        <f t="shared" ca="1" si="169"/>
        <v>29</v>
      </c>
      <c r="AN526" s="294"/>
      <c r="AO526" s="249"/>
      <c r="AP526" s="250"/>
      <c r="AQ526" s="250"/>
      <c r="AR526" s="250"/>
      <c r="AS526" s="250"/>
      <c r="AT526" s="250"/>
      <c r="AU526" s="250"/>
      <c r="AV526" s="249"/>
      <c r="AW526" s="249"/>
      <c r="AX526" s="249"/>
      <c r="AY526" s="249"/>
      <c r="AZ526" s="249"/>
      <c r="BA526" s="249"/>
      <c r="BB526" s="249"/>
      <c r="BC526" s="249"/>
      <c r="BD526" s="249"/>
      <c r="BE526" s="249"/>
      <c r="BF526" s="249"/>
      <c r="BG526" s="249"/>
      <c r="BH526" s="249"/>
      <c r="BI526" s="249"/>
      <c r="BJ526" s="249"/>
      <c r="BK526" s="249"/>
      <c r="BL526" s="249"/>
      <c r="BM526" s="249"/>
      <c r="BN526" s="249"/>
      <c r="BO526" s="249"/>
      <c r="BP526" s="249"/>
      <c r="BQ526" s="249"/>
      <c r="BR526" s="249"/>
      <c r="BS526" s="249"/>
      <c r="BT526" s="249"/>
      <c r="BU526" s="249"/>
      <c r="BV526" s="249"/>
      <c r="BW526" s="249"/>
      <c r="BX526" s="249"/>
      <c r="BY526" s="249"/>
      <c r="BZ526" s="249"/>
      <c r="CA526" s="249"/>
      <c r="CB526" s="249"/>
      <c r="CC526" s="249"/>
      <c r="CD526" s="249"/>
      <c r="CE526" s="249"/>
      <c r="CF526" s="249"/>
      <c r="CG526" s="249"/>
      <c r="CH526" s="249"/>
      <c r="CI526" s="249"/>
      <c r="CJ526" s="249"/>
      <c r="CK526" s="249"/>
      <c r="CL526" s="249"/>
      <c r="CM526" s="249"/>
      <c r="CN526" s="249"/>
      <c r="CO526" s="249"/>
      <c r="CP526" s="249"/>
      <c r="CQ526" s="249"/>
      <c r="CR526" s="249"/>
      <c r="CS526" s="249"/>
      <c r="CT526" s="249"/>
      <c r="CU526" s="249"/>
      <c r="CV526" s="249"/>
      <c r="CW526" s="249"/>
      <c r="CX526" s="249"/>
      <c r="CY526" s="249"/>
      <c r="CZ526" s="249"/>
      <c r="DA526" s="249"/>
      <c r="DB526" s="249"/>
      <c r="DC526" s="249"/>
      <c r="DD526" s="249"/>
      <c r="DE526" s="249"/>
      <c r="DF526" s="249"/>
      <c r="DG526" s="249"/>
      <c r="DH526" s="249"/>
      <c r="DI526" s="249"/>
      <c r="DJ526" s="249"/>
      <c r="DK526" s="249"/>
      <c r="DL526" s="249"/>
      <c r="DM526" s="249"/>
      <c r="DN526" s="249"/>
      <c r="DO526" s="249"/>
      <c r="DP526" s="249"/>
      <c r="DQ526" s="249"/>
      <c r="DR526" s="249"/>
      <c r="DS526" s="249"/>
      <c r="DT526" s="249"/>
      <c r="DU526" s="249"/>
      <c r="DV526" s="249"/>
      <c r="DW526" s="249"/>
      <c r="DX526" s="249"/>
      <c r="DY526" s="249"/>
      <c r="DZ526" s="249"/>
      <c r="EA526" s="249"/>
      <c r="EB526" s="249"/>
      <c r="EC526" s="249"/>
      <c r="ED526" s="249"/>
      <c r="EE526" s="249"/>
      <c r="EF526" s="249"/>
      <c r="EG526" s="249"/>
      <c r="EH526" s="249"/>
      <c r="EI526" s="249"/>
      <c r="EJ526" s="249"/>
      <c r="EK526" s="249"/>
      <c r="EL526" s="249"/>
      <c r="EM526" s="249"/>
      <c r="EN526" s="249"/>
      <c r="EO526" s="249"/>
      <c r="EP526" s="249"/>
      <c r="EQ526" s="249"/>
      <c r="ER526" s="249"/>
      <c r="ES526" s="249"/>
      <c r="ET526" s="249"/>
      <c r="EU526" s="249"/>
      <c r="EV526" s="249"/>
      <c r="EW526" s="249"/>
      <c r="EX526" s="249"/>
      <c r="EY526" s="249"/>
      <c r="EZ526" s="249"/>
      <c r="FA526" s="249"/>
      <c r="FB526" s="249"/>
      <c r="FC526" s="249"/>
      <c r="FD526" s="249"/>
      <c r="FE526" s="249"/>
      <c r="FF526" s="249"/>
      <c r="FG526" s="249"/>
      <c r="FH526" s="249"/>
      <c r="FI526" s="249"/>
      <c r="FJ526" s="249"/>
      <c r="FK526" s="249"/>
      <c r="FL526" s="249"/>
      <c r="FM526" s="249"/>
      <c r="FN526" s="249"/>
      <c r="FO526" s="249"/>
      <c r="FP526" s="249"/>
      <c r="FQ526" s="249"/>
      <c r="FR526" s="249"/>
      <c r="FS526" s="249"/>
      <c r="FT526" s="249"/>
      <c r="FU526" s="249"/>
      <c r="FV526" s="249"/>
      <c r="FW526" s="249"/>
      <c r="FX526" s="249"/>
      <c r="FY526" s="249"/>
      <c r="FZ526" s="249"/>
      <c r="GA526" s="249"/>
      <c r="GB526" s="249"/>
      <c r="GC526" s="249"/>
      <c r="GD526" s="249"/>
      <c r="GE526" s="249"/>
      <c r="GF526" s="249"/>
      <c r="GG526" s="249"/>
      <c r="GH526" s="249"/>
      <c r="GI526" s="249"/>
      <c r="GJ526" s="249"/>
      <c r="GK526" s="249"/>
      <c r="GL526" s="249"/>
      <c r="GM526" s="249"/>
      <c r="GN526" s="249"/>
      <c r="GO526" s="249"/>
      <c r="GP526" s="249"/>
      <c r="GQ526" s="249"/>
      <c r="GR526" s="249"/>
    </row>
    <row r="527" spans="1:200" s="252" customFormat="1" ht="16.5" hidden="1" customHeight="1" x14ac:dyDescent="0.2">
      <c r="A527" s="735"/>
      <c r="B527" s="1136"/>
      <c r="C527" s="1136"/>
      <c r="D527" s="539" t="e">
        <f>#REF!=#REF!</f>
        <v>#REF!</v>
      </c>
      <c r="E527" s="614"/>
      <c r="F527" s="249"/>
      <c r="G527" s="250"/>
      <c r="H527" s="250"/>
      <c r="I527" s="250"/>
      <c r="J527" s="250"/>
      <c r="K527" s="250"/>
      <c r="L527" s="250"/>
      <c r="M527" s="250"/>
      <c r="N527" s="250"/>
      <c r="O527" s="250"/>
      <c r="P527" s="251"/>
      <c r="Q527" s="251"/>
      <c r="R527" s="251"/>
      <c r="S527" s="251"/>
      <c r="T527" s="251"/>
      <c r="U527" s="1157" t="str">
        <f>JARSSHOCKTOOLDDT!I29</f>
        <v>B. FOR 12-1/4" &amp; 8-1/2" HOLE (to be shipped while drilling of 17" Hole)</v>
      </c>
      <c r="V527" s="1469"/>
      <c r="W527" s="1159"/>
      <c r="X527" s="1156"/>
      <c r="Y527" s="1156"/>
      <c r="Z527" s="1156"/>
      <c r="AA527" s="1156"/>
      <c r="AB527" s="1156"/>
      <c r="AC527" s="1156"/>
      <c r="AD527" s="1156"/>
      <c r="AE527" s="1156"/>
      <c r="AF527" s="1156"/>
      <c r="AG527" s="1156"/>
      <c r="AH527" s="1156"/>
      <c r="AI527" s="1156"/>
      <c r="AJ527" s="1156"/>
      <c r="AK527" s="1156"/>
      <c r="AL527" s="1156"/>
      <c r="AM527" s="1160"/>
      <c r="AN527" s="294"/>
      <c r="AO527" s="249"/>
      <c r="AP527" s="250"/>
      <c r="AQ527" s="250"/>
      <c r="AR527" s="250"/>
      <c r="AS527" s="250"/>
      <c r="AT527" s="250"/>
      <c r="AU527" s="250"/>
      <c r="AV527" s="249"/>
      <c r="AW527" s="249"/>
      <c r="AX527" s="249"/>
      <c r="AY527" s="249"/>
      <c r="AZ527" s="249"/>
      <c r="BA527" s="249"/>
      <c r="BB527" s="249"/>
      <c r="BC527" s="249"/>
      <c r="BD527" s="249"/>
      <c r="BE527" s="249"/>
      <c r="BF527" s="249"/>
      <c r="BG527" s="249"/>
      <c r="BH527" s="249"/>
      <c r="BI527" s="249"/>
      <c r="BJ527" s="249"/>
      <c r="BK527" s="249"/>
      <c r="BL527" s="249"/>
      <c r="BM527" s="249"/>
      <c r="BN527" s="249"/>
      <c r="BO527" s="249"/>
      <c r="BP527" s="249"/>
      <c r="BQ527" s="249"/>
      <c r="BR527" s="249"/>
      <c r="BS527" s="249"/>
      <c r="BT527" s="249"/>
      <c r="BU527" s="249"/>
      <c r="BV527" s="249"/>
      <c r="BW527" s="249"/>
      <c r="BX527" s="249"/>
      <c r="BY527" s="249"/>
      <c r="BZ527" s="249"/>
      <c r="CA527" s="249"/>
      <c r="CB527" s="249"/>
      <c r="CC527" s="249"/>
      <c r="CD527" s="249"/>
      <c r="CE527" s="249"/>
      <c r="CF527" s="249"/>
      <c r="CG527" s="249"/>
      <c r="CH527" s="249"/>
      <c r="CI527" s="249"/>
      <c r="CJ527" s="249"/>
      <c r="CK527" s="249"/>
      <c r="CL527" s="249"/>
      <c r="CM527" s="249"/>
      <c r="CN527" s="249"/>
      <c r="CO527" s="249"/>
      <c r="CP527" s="249"/>
      <c r="CQ527" s="249"/>
      <c r="CR527" s="249"/>
      <c r="CS527" s="249"/>
      <c r="CT527" s="249"/>
      <c r="CU527" s="249"/>
      <c r="CV527" s="249"/>
      <c r="CW527" s="249"/>
      <c r="CX527" s="249"/>
      <c r="CY527" s="249"/>
      <c r="CZ527" s="249"/>
      <c r="DA527" s="249"/>
      <c r="DB527" s="249"/>
      <c r="DC527" s="249"/>
      <c r="DD527" s="249"/>
      <c r="DE527" s="249"/>
      <c r="DF527" s="249"/>
      <c r="DG527" s="249"/>
      <c r="DH527" s="249"/>
      <c r="DI527" s="249"/>
      <c r="DJ527" s="249"/>
      <c r="DK527" s="249"/>
      <c r="DL527" s="249"/>
      <c r="DM527" s="249"/>
      <c r="DN527" s="249"/>
      <c r="DO527" s="249"/>
      <c r="DP527" s="249"/>
      <c r="DQ527" s="249"/>
      <c r="DR527" s="249"/>
      <c r="DS527" s="249"/>
      <c r="DT527" s="249"/>
      <c r="DU527" s="249"/>
      <c r="DV527" s="249"/>
      <c r="DW527" s="249"/>
      <c r="DX527" s="249"/>
      <c r="DY527" s="249"/>
      <c r="DZ527" s="249"/>
      <c r="EA527" s="249"/>
      <c r="EB527" s="249"/>
      <c r="EC527" s="249"/>
      <c r="ED527" s="249"/>
      <c r="EE527" s="249"/>
      <c r="EF527" s="249"/>
      <c r="EG527" s="249"/>
      <c r="EH527" s="249"/>
      <c r="EI527" s="249"/>
      <c r="EJ527" s="249"/>
      <c r="EK527" s="249"/>
      <c r="EL527" s="249"/>
      <c r="EM527" s="249"/>
      <c r="EN527" s="249"/>
      <c r="EO527" s="249"/>
      <c r="EP527" s="249"/>
      <c r="EQ527" s="249"/>
      <c r="ER527" s="249"/>
      <c r="ES527" s="249"/>
      <c r="ET527" s="249"/>
      <c r="EU527" s="249"/>
      <c r="EV527" s="249"/>
      <c r="EW527" s="249"/>
      <c r="EX527" s="249"/>
      <c r="EY527" s="249"/>
      <c r="EZ527" s="249"/>
      <c r="FA527" s="249"/>
      <c r="FB527" s="249"/>
      <c r="FC527" s="249"/>
      <c r="FD527" s="249"/>
      <c r="FE527" s="249"/>
      <c r="FF527" s="249"/>
      <c r="FG527" s="249"/>
      <c r="FH527" s="249"/>
      <c r="FI527" s="249"/>
      <c r="FJ527" s="249"/>
      <c r="FK527" s="249"/>
      <c r="FL527" s="249"/>
      <c r="FM527" s="249"/>
      <c r="FN527" s="249"/>
      <c r="FO527" s="249"/>
      <c r="FP527" s="249"/>
      <c r="FQ527" s="249"/>
      <c r="FR527" s="249"/>
      <c r="FS527" s="249"/>
      <c r="FT527" s="249"/>
      <c r="FU527" s="249"/>
      <c r="FV527" s="249"/>
      <c r="FW527" s="249"/>
      <c r="FX527" s="249"/>
      <c r="FY527" s="249"/>
      <c r="FZ527" s="249"/>
      <c r="GA527" s="249"/>
      <c r="GB527" s="249"/>
      <c r="GC527" s="249"/>
      <c r="GD527" s="249"/>
      <c r="GE527" s="249"/>
      <c r="GF527" s="249"/>
      <c r="GG527" s="249"/>
      <c r="GH527" s="249"/>
      <c r="GI527" s="249"/>
      <c r="GJ527" s="249"/>
      <c r="GK527" s="249"/>
      <c r="GL527" s="249"/>
      <c r="GM527" s="249"/>
      <c r="GN527" s="249"/>
      <c r="GO527" s="249"/>
      <c r="GP527" s="249"/>
      <c r="GQ527" s="249"/>
      <c r="GR527" s="249"/>
    </row>
    <row r="528" spans="1:200" s="252" customFormat="1" ht="16.5" hidden="1" customHeight="1" x14ac:dyDescent="0.2">
      <c r="A528" s="735"/>
      <c r="B528" s="1136"/>
      <c r="C528" s="1136"/>
      <c r="D528" s="539" t="e">
        <f>#REF!=#REF!</f>
        <v>#REF!</v>
      </c>
      <c r="E528" s="614"/>
      <c r="F528" s="249"/>
      <c r="G528" s="250"/>
      <c r="H528" s="250"/>
      <c r="I528" s="250"/>
      <c r="J528" s="250"/>
      <c r="K528" s="250"/>
      <c r="L528" s="250"/>
      <c r="M528" s="250"/>
      <c r="N528" s="250"/>
      <c r="O528" s="250"/>
      <c r="P528" s="251"/>
      <c r="Q528" s="251"/>
      <c r="R528" s="251"/>
      <c r="S528" s="251"/>
      <c r="T528" s="251"/>
      <c r="U528" s="328"/>
      <c r="V528" s="1028" t="str">
        <f>JARSSHOCKTOOLDDT!I30</f>
        <v>8" Mud Motor, rental</v>
      </c>
      <c r="W528" s="1027">
        <f>IF(INPUT!$H$11="SCIENTIFIC DRILLING INC.",VLOOKUP(V528,JARSSHOCKTOOLDDT!$I$15:$M$43,2,FALSE),VLOOKUP(V528,JARSSHOCKTOOLDDT!$I$15:$M$43,4,FALSE))*IF(INPUT!$D$7="REGULAR HOLE",1,0)</f>
        <v>0</v>
      </c>
      <c r="X528" s="285"/>
      <c r="Y528" s="285"/>
      <c r="Z528" s="285"/>
      <c r="AA528" s="1364">
        <f ca="1">INDEX(INPUT!$AI$12:$AI$15,MATCH(INPUT!$H$8,INPUT!$AH$12:$AH$15,0))-AB528</f>
        <v>3</v>
      </c>
      <c r="AB528" s="1364">
        <f ca="1">INDIRECT(AB$511)</f>
        <v>4</v>
      </c>
      <c r="AC528" s="633">
        <f ca="1">INDIRECT(AC$511)</f>
        <v>10</v>
      </c>
      <c r="AD528" s="633">
        <f ca="1">INDIRECT(AD$511)</f>
        <v>3</v>
      </c>
      <c r="AE528" s="633">
        <f ca="1">INDIRECT(AE$511)</f>
        <v>6</v>
      </c>
      <c r="AF528" s="1364">
        <f>INDEX(INPUT!$AI$12:$AI$15,MATCH(INPUT!$H$8,INPUT!$AH$12:$AH$15,0))</f>
        <v>7</v>
      </c>
      <c r="AG528" s="285"/>
      <c r="AH528" s="285"/>
      <c r="AI528" s="285"/>
      <c r="AJ528" s="285"/>
      <c r="AK528" s="285"/>
      <c r="AL528" s="285"/>
      <c r="AM528" s="284">
        <f t="shared" ca="1" si="169"/>
        <v>33</v>
      </c>
      <c r="AN528" s="294"/>
      <c r="AO528" s="249"/>
      <c r="AP528" s="250"/>
      <c r="AQ528" s="250"/>
      <c r="AR528" s="250"/>
      <c r="AS528" s="250"/>
      <c r="AT528" s="250"/>
      <c r="AU528" s="250"/>
      <c r="AV528" s="249"/>
      <c r="AW528" s="249"/>
      <c r="AX528" s="249"/>
      <c r="AY528" s="249"/>
      <c r="AZ528" s="249"/>
      <c r="BA528" s="249"/>
      <c r="BB528" s="249"/>
      <c r="BC528" s="249"/>
      <c r="BD528" s="249"/>
      <c r="BE528" s="249"/>
      <c r="BF528" s="249"/>
      <c r="BG528" s="249"/>
      <c r="BH528" s="249"/>
      <c r="BI528" s="249"/>
      <c r="BJ528" s="249"/>
      <c r="BK528" s="249"/>
      <c r="BL528" s="249"/>
      <c r="BM528" s="249"/>
      <c r="BN528" s="249"/>
      <c r="BO528" s="249"/>
      <c r="BP528" s="249"/>
      <c r="BQ528" s="249"/>
      <c r="BR528" s="249"/>
      <c r="BS528" s="249"/>
      <c r="BT528" s="249"/>
      <c r="BU528" s="249"/>
      <c r="BV528" s="249"/>
      <c r="BW528" s="249"/>
      <c r="BX528" s="249"/>
      <c r="BY528" s="249"/>
      <c r="BZ528" s="249"/>
      <c r="CA528" s="249"/>
      <c r="CB528" s="249"/>
      <c r="CC528" s="249"/>
      <c r="CD528" s="249"/>
      <c r="CE528" s="249"/>
      <c r="CF528" s="249"/>
      <c r="CG528" s="249"/>
      <c r="CH528" s="249"/>
      <c r="CI528" s="249"/>
      <c r="CJ528" s="249"/>
      <c r="CK528" s="249"/>
      <c r="CL528" s="249"/>
      <c r="CM528" s="249"/>
      <c r="CN528" s="249"/>
      <c r="CO528" s="249"/>
      <c r="CP528" s="249"/>
      <c r="CQ528" s="249"/>
      <c r="CR528" s="249"/>
      <c r="CS528" s="249"/>
      <c r="CT528" s="249"/>
      <c r="CU528" s="249"/>
      <c r="CV528" s="249"/>
      <c r="CW528" s="249"/>
      <c r="CX528" s="249"/>
      <c r="CY528" s="249"/>
      <c r="CZ528" s="249"/>
      <c r="DA528" s="249"/>
      <c r="DB528" s="249"/>
      <c r="DC528" s="249"/>
      <c r="DD528" s="249"/>
      <c r="DE528" s="249"/>
      <c r="DF528" s="249"/>
      <c r="DG528" s="249"/>
      <c r="DH528" s="249"/>
      <c r="DI528" s="249"/>
      <c r="DJ528" s="249"/>
      <c r="DK528" s="249"/>
      <c r="DL528" s="249"/>
      <c r="DM528" s="249"/>
      <c r="DN528" s="249"/>
      <c r="DO528" s="249"/>
      <c r="DP528" s="249"/>
      <c r="DQ528" s="249"/>
      <c r="DR528" s="249"/>
      <c r="DS528" s="249"/>
      <c r="DT528" s="249"/>
      <c r="DU528" s="249"/>
      <c r="DV528" s="249"/>
      <c r="DW528" s="249"/>
      <c r="DX528" s="249"/>
      <c r="DY528" s="249"/>
      <c r="DZ528" s="249"/>
      <c r="EA528" s="249"/>
      <c r="EB528" s="249"/>
      <c r="EC528" s="249"/>
      <c r="ED528" s="249"/>
      <c r="EE528" s="249"/>
      <c r="EF528" s="249"/>
      <c r="EG528" s="249"/>
      <c r="EH528" s="249"/>
      <c r="EI528" s="249"/>
      <c r="EJ528" s="249"/>
      <c r="EK528" s="249"/>
      <c r="EL528" s="249"/>
      <c r="EM528" s="249"/>
      <c r="EN528" s="249"/>
      <c r="EO528" s="249"/>
      <c r="EP528" s="249"/>
      <c r="EQ528" s="249"/>
      <c r="ER528" s="249"/>
      <c r="ES528" s="249"/>
      <c r="ET528" s="249"/>
      <c r="EU528" s="249"/>
      <c r="EV528" s="249"/>
      <c r="EW528" s="249"/>
      <c r="EX528" s="249"/>
      <c r="EY528" s="249"/>
      <c r="EZ528" s="249"/>
      <c r="FA528" s="249"/>
      <c r="FB528" s="249"/>
      <c r="FC528" s="249"/>
      <c r="FD528" s="249"/>
      <c r="FE528" s="249"/>
      <c r="FF528" s="249"/>
      <c r="FG528" s="249"/>
      <c r="FH528" s="249"/>
      <c r="FI528" s="249"/>
      <c r="FJ528" s="249"/>
      <c r="FK528" s="249"/>
      <c r="FL528" s="249"/>
      <c r="FM528" s="249"/>
      <c r="FN528" s="249"/>
      <c r="FO528" s="249"/>
      <c r="FP528" s="249"/>
      <c r="FQ528" s="249"/>
      <c r="FR528" s="249"/>
      <c r="FS528" s="249"/>
      <c r="FT528" s="249"/>
      <c r="FU528" s="249"/>
      <c r="FV528" s="249"/>
      <c r="FW528" s="249"/>
      <c r="FX528" s="249"/>
      <c r="FY528" s="249"/>
      <c r="FZ528" s="249"/>
      <c r="GA528" s="249"/>
      <c r="GB528" s="249"/>
      <c r="GC528" s="249"/>
      <c r="GD528" s="249"/>
      <c r="GE528" s="249"/>
      <c r="GF528" s="249"/>
      <c r="GG528" s="249"/>
      <c r="GH528" s="249"/>
      <c r="GI528" s="249"/>
      <c r="GJ528" s="249"/>
      <c r="GK528" s="249"/>
      <c r="GL528" s="249"/>
      <c r="GM528" s="249"/>
      <c r="GN528" s="249"/>
      <c r="GO528" s="249"/>
      <c r="GP528" s="249"/>
      <c r="GQ528" s="249"/>
      <c r="GR528" s="249"/>
    </row>
    <row r="529" spans="1:205" s="252" customFormat="1" ht="16.5" hidden="1" customHeight="1" x14ac:dyDescent="0.2">
      <c r="A529" s="735"/>
      <c r="B529" s="1136"/>
      <c r="C529" s="1136"/>
      <c r="D529" s="539" t="e">
        <f>#REF!=#REF!</f>
        <v>#REF!</v>
      </c>
      <c r="E529" s="614"/>
      <c r="F529" s="249"/>
      <c r="G529" s="250"/>
      <c r="H529" s="250"/>
      <c r="I529" s="250"/>
      <c r="J529" s="250"/>
      <c r="K529" s="250"/>
      <c r="L529" s="250"/>
      <c r="M529" s="250"/>
      <c r="N529" s="250"/>
      <c r="O529" s="250"/>
      <c r="P529" s="251"/>
      <c r="Q529" s="251"/>
      <c r="R529" s="251"/>
      <c r="S529" s="251"/>
      <c r="T529" s="251"/>
      <c r="U529" s="328"/>
      <c r="V529" s="1028" t="str">
        <f>JARSSHOCKTOOLDDT!I31</f>
        <v>8" Mud Motor, run charge</v>
      </c>
      <c r="W529" s="1027">
        <f>IF(INPUT!$H$11="SCIENTIFIC DRILLING INC.",VLOOKUP(V529,JARSSHOCKTOOLDDT!$I$15:$M$43,2,FALSE),VLOOKUP(V529,JARSSHOCKTOOLDDT!$I$15:$M$43,4,FALSE))*IF(INPUT!$D$7="REGULAR HOLE",1,0)</f>
        <v>0</v>
      </c>
      <c r="X529" s="285"/>
      <c r="Y529" s="285"/>
      <c r="Z529" s="285"/>
      <c r="AA529" s="285"/>
      <c r="AB529" s="285"/>
      <c r="AC529" s="1360">
        <f ca="1">INDIRECT(AC$511)*24</f>
        <v>240</v>
      </c>
      <c r="AD529" s="633"/>
      <c r="AE529" s="633"/>
      <c r="AF529" s="633"/>
      <c r="AG529" s="285"/>
      <c r="AH529" s="285"/>
      <c r="AI529" s="285"/>
      <c r="AJ529" s="285"/>
      <c r="AK529" s="285"/>
      <c r="AL529" s="285"/>
      <c r="AM529" s="284">
        <f t="shared" ca="1" si="169"/>
        <v>240</v>
      </c>
      <c r="AN529" s="294"/>
      <c r="AO529" s="249"/>
      <c r="AP529" s="250"/>
      <c r="AQ529" s="250"/>
      <c r="AR529" s="250"/>
      <c r="AS529" s="250"/>
      <c r="AT529" s="250"/>
      <c r="AU529" s="250"/>
      <c r="AV529" s="249"/>
      <c r="AW529" s="249"/>
      <c r="AX529" s="249"/>
      <c r="AY529" s="249"/>
      <c r="AZ529" s="249"/>
      <c r="BA529" s="249"/>
      <c r="BB529" s="249"/>
      <c r="BC529" s="249"/>
      <c r="BD529" s="249"/>
      <c r="BE529" s="249"/>
      <c r="BF529" s="249"/>
      <c r="BG529" s="249"/>
      <c r="BH529" s="249"/>
      <c r="BI529" s="249"/>
      <c r="BJ529" s="249"/>
      <c r="BK529" s="249"/>
      <c r="BL529" s="249"/>
      <c r="BM529" s="249"/>
      <c r="BN529" s="249"/>
      <c r="BO529" s="249"/>
      <c r="BP529" s="249"/>
      <c r="BQ529" s="249"/>
      <c r="BR529" s="249"/>
      <c r="BS529" s="249"/>
      <c r="BT529" s="249"/>
      <c r="BU529" s="249"/>
      <c r="BV529" s="249"/>
      <c r="BW529" s="249"/>
      <c r="BX529" s="249"/>
      <c r="BY529" s="249"/>
      <c r="BZ529" s="249"/>
      <c r="CA529" s="249"/>
      <c r="CB529" s="249"/>
      <c r="CC529" s="249"/>
      <c r="CD529" s="249"/>
      <c r="CE529" s="249"/>
      <c r="CF529" s="249"/>
      <c r="CG529" s="249"/>
      <c r="CH529" s="249"/>
      <c r="CI529" s="249"/>
      <c r="CJ529" s="249"/>
      <c r="CK529" s="249"/>
      <c r="CL529" s="249"/>
      <c r="CM529" s="249"/>
      <c r="CN529" s="249"/>
      <c r="CO529" s="249"/>
      <c r="CP529" s="249"/>
      <c r="CQ529" s="249"/>
      <c r="CR529" s="249"/>
      <c r="CS529" s="249"/>
      <c r="CT529" s="249"/>
      <c r="CU529" s="249"/>
      <c r="CV529" s="249"/>
      <c r="CW529" s="249"/>
      <c r="CX529" s="249"/>
      <c r="CY529" s="249"/>
      <c r="CZ529" s="249"/>
      <c r="DA529" s="249"/>
      <c r="DB529" s="249"/>
      <c r="DC529" s="249"/>
      <c r="DD529" s="249"/>
      <c r="DE529" s="249"/>
      <c r="DF529" s="249"/>
      <c r="DG529" s="249"/>
      <c r="DH529" s="249"/>
      <c r="DI529" s="249"/>
      <c r="DJ529" s="249"/>
      <c r="DK529" s="249"/>
      <c r="DL529" s="249"/>
      <c r="DM529" s="249"/>
      <c r="DN529" s="249"/>
      <c r="DO529" s="249"/>
      <c r="DP529" s="249"/>
      <c r="DQ529" s="249"/>
      <c r="DR529" s="249"/>
      <c r="DS529" s="249"/>
      <c r="DT529" s="249"/>
      <c r="DU529" s="249"/>
      <c r="DV529" s="249"/>
      <c r="DW529" s="249"/>
      <c r="DX529" s="249"/>
      <c r="DY529" s="249"/>
      <c r="DZ529" s="249"/>
      <c r="EA529" s="249"/>
      <c r="EB529" s="249"/>
      <c r="EC529" s="249"/>
      <c r="ED529" s="249"/>
      <c r="EE529" s="249"/>
      <c r="EF529" s="249"/>
      <c r="EG529" s="249"/>
      <c r="EH529" s="249"/>
      <c r="EI529" s="249"/>
      <c r="EJ529" s="249"/>
      <c r="EK529" s="249"/>
      <c r="EL529" s="249"/>
      <c r="EM529" s="249"/>
      <c r="EN529" s="249"/>
      <c r="EO529" s="249"/>
      <c r="EP529" s="249"/>
      <c r="EQ529" s="249"/>
      <c r="ER529" s="249"/>
      <c r="ES529" s="249"/>
      <c r="ET529" s="249"/>
      <c r="EU529" s="249"/>
      <c r="EV529" s="249"/>
      <c r="EW529" s="249"/>
      <c r="EX529" s="249"/>
      <c r="EY529" s="249"/>
      <c r="EZ529" s="249"/>
      <c r="FA529" s="249"/>
      <c r="FB529" s="249"/>
      <c r="FC529" s="249"/>
      <c r="FD529" s="249"/>
      <c r="FE529" s="249"/>
      <c r="FF529" s="249"/>
      <c r="FG529" s="249"/>
      <c r="FH529" s="249"/>
      <c r="FI529" s="249"/>
      <c r="FJ529" s="249"/>
      <c r="FK529" s="249"/>
      <c r="FL529" s="249"/>
      <c r="FM529" s="249"/>
      <c r="FN529" s="249"/>
      <c r="FO529" s="249"/>
      <c r="FP529" s="249"/>
      <c r="FQ529" s="249"/>
      <c r="FR529" s="249"/>
      <c r="FS529" s="249"/>
      <c r="FT529" s="249"/>
      <c r="FU529" s="249"/>
      <c r="FV529" s="249"/>
      <c r="FW529" s="249"/>
      <c r="FX529" s="249"/>
      <c r="FY529" s="249"/>
      <c r="FZ529" s="249"/>
      <c r="GA529" s="249"/>
      <c r="GB529" s="249"/>
      <c r="GC529" s="249"/>
      <c r="GD529" s="249"/>
      <c r="GE529" s="249"/>
      <c r="GF529" s="249"/>
      <c r="GG529" s="249"/>
      <c r="GH529" s="249"/>
      <c r="GI529" s="249"/>
      <c r="GJ529" s="249"/>
      <c r="GK529" s="249"/>
      <c r="GL529" s="249"/>
      <c r="GM529" s="249"/>
      <c r="GN529" s="249"/>
      <c r="GO529" s="249"/>
      <c r="GP529" s="249"/>
      <c r="GQ529" s="249"/>
      <c r="GR529" s="249"/>
    </row>
    <row r="530" spans="1:205" s="252" customFormat="1" ht="16.5" hidden="1" customHeight="1" x14ac:dyDescent="0.2">
      <c r="A530" s="735"/>
      <c r="B530" s="1136"/>
      <c r="C530" s="1136"/>
      <c r="D530" s="539" t="e">
        <f>#REF!=#REF!</f>
        <v>#REF!</v>
      </c>
      <c r="E530" s="614"/>
      <c r="F530" s="249"/>
      <c r="G530" s="250"/>
      <c r="H530" s="250"/>
      <c r="I530" s="250"/>
      <c r="J530" s="250"/>
      <c r="K530" s="250"/>
      <c r="L530" s="250"/>
      <c r="M530" s="250"/>
      <c r="N530" s="250"/>
      <c r="O530" s="250"/>
      <c r="P530" s="251"/>
      <c r="Q530" s="251"/>
      <c r="R530" s="251"/>
      <c r="S530" s="251"/>
      <c r="T530" s="251"/>
      <c r="U530" s="328"/>
      <c r="V530" s="1028" t="str">
        <f>JARSSHOCKTOOLDDT!I32</f>
        <v>8" Mud Motor, redress</v>
      </c>
      <c r="W530" s="1027">
        <f>IF(INPUT!$H$11="SCIENTIFIC DRILLING INC.",VLOOKUP(V530,JARSSHOCKTOOLDDT!$I$15:$M$43,2,FALSE),VLOOKUP(V530,JARSSHOCKTOOLDDT!$I$15:$M$43,4,FALSE))*IF(INPUT!$D$7="REGULAR HOLE",1,0)</f>
        <v>0</v>
      </c>
      <c r="X530" s="285"/>
      <c r="Y530" s="285"/>
      <c r="Z530" s="285"/>
      <c r="AA530" s="285"/>
      <c r="AB530" s="285"/>
      <c r="AC530" s="633"/>
      <c r="AD530" s="633"/>
      <c r="AE530" s="633"/>
      <c r="AF530" s="633">
        <f>IF(INPUT!$D$7="REGULAR HOLE",1,0)</f>
        <v>0</v>
      </c>
      <c r="AG530" s="1457"/>
      <c r="AH530" s="633"/>
      <c r="AI530" s="1457"/>
      <c r="AJ530" s="633"/>
      <c r="AK530" s="633"/>
      <c r="AL530" s="285"/>
      <c r="AM530" s="284">
        <f t="shared" si="169"/>
        <v>0</v>
      </c>
      <c r="AN530" s="294"/>
      <c r="AO530" s="249"/>
      <c r="AP530" s="250"/>
      <c r="AQ530" s="250"/>
      <c r="AR530" s="250"/>
      <c r="AS530" s="250"/>
      <c r="AT530" s="250"/>
      <c r="AU530" s="250"/>
      <c r="AV530" s="249"/>
      <c r="AW530" s="249"/>
      <c r="AX530" s="249"/>
      <c r="AY530" s="249"/>
      <c r="AZ530" s="249"/>
      <c r="BA530" s="249"/>
      <c r="BB530" s="249"/>
      <c r="BC530" s="249"/>
      <c r="BD530" s="249"/>
      <c r="BE530" s="249"/>
      <c r="BF530" s="249"/>
      <c r="BG530" s="249"/>
      <c r="BH530" s="249"/>
      <c r="BI530" s="249"/>
      <c r="BJ530" s="249"/>
      <c r="BK530" s="249"/>
      <c r="BL530" s="249"/>
      <c r="BM530" s="249"/>
      <c r="BN530" s="249"/>
      <c r="BO530" s="249"/>
      <c r="BP530" s="249"/>
      <c r="BQ530" s="249"/>
      <c r="BR530" s="249"/>
      <c r="BS530" s="249"/>
      <c r="BT530" s="249"/>
      <c r="BU530" s="249"/>
      <c r="BV530" s="249"/>
      <c r="BW530" s="249"/>
      <c r="BX530" s="249"/>
      <c r="BY530" s="249"/>
      <c r="BZ530" s="249"/>
      <c r="CA530" s="249"/>
      <c r="CB530" s="249"/>
      <c r="CC530" s="249"/>
      <c r="CD530" s="249"/>
      <c r="CE530" s="249"/>
      <c r="CF530" s="249"/>
      <c r="CG530" s="249"/>
      <c r="CH530" s="249"/>
      <c r="CI530" s="249"/>
      <c r="CJ530" s="249"/>
      <c r="CK530" s="249"/>
      <c r="CL530" s="249"/>
      <c r="CM530" s="249"/>
      <c r="CN530" s="249"/>
      <c r="CO530" s="249"/>
      <c r="CP530" s="249"/>
      <c r="CQ530" s="249"/>
      <c r="CR530" s="249"/>
      <c r="CS530" s="249"/>
      <c r="CT530" s="249"/>
      <c r="CU530" s="249"/>
      <c r="CV530" s="249"/>
      <c r="CW530" s="249"/>
      <c r="CX530" s="249"/>
      <c r="CY530" s="249"/>
      <c r="CZ530" s="249"/>
      <c r="DA530" s="249"/>
      <c r="DB530" s="249"/>
      <c r="DC530" s="249"/>
      <c r="DD530" s="249"/>
      <c r="DE530" s="249"/>
      <c r="DF530" s="249"/>
      <c r="DG530" s="249"/>
      <c r="DH530" s="249"/>
      <c r="DI530" s="249"/>
      <c r="DJ530" s="249"/>
      <c r="DK530" s="249"/>
      <c r="DL530" s="249"/>
      <c r="DM530" s="249"/>
      <c r="DN530" s="249"/>
      <c r="DO530" s="249"/>
      <c r="DP530" s="249"/>
      <c r="DQ530" s="249"/>
      <c r="DR530" s="249"/>
      <c r="DS530" s="249"/>
      <c r="DT530" s="249"/>
      <c r="DU530" s="249"/>
      <c r="DV530" s="249"/>
      <c r="DW530" s="249"/>
      <c r="DX530" s="249"/>
      <c r="DY530" s="249"/>
      <c r="DZ530" s="249"/>
      <c r="EA530" s="249"/>
      <c r="EB530" s="249"/>
      <c r="EC530" s="249"/>
      <c r="ED530" s="249"/>
      <c r="EE530" s="249"/>
      <c r="EF530" s="249"/>
      <c r="EG530" s="249"/>
      <c r="EH530" s="249"/>
      <c r="EI530" s="249"/>
      <c r="EJ530" s="249"/>
      <c r="EK530" s="249"/>
      <c r="EL530" s="249"/>
      <c r="EM530" s="249"/>
      <c r="EN530" s="249"/>
      <c r="EO530" s="249"/>
      <c r="EP530" s="249"/>
      <c r="EQ530" s="249"/>
      <c r="ER530" s="249"/>
      <c r="ES530" s="249"/>
      <c r="ET530" s="249"/>
      <c r="EU530" s="249"/>
      <c r="EV530" s="249"/>
      <c r="EW530" s="249"/>
      <c r="EX530" s="249"/>
      <c r="EY530" s="249"/>
      <c r="EZ530" s="249"/>
      <c r="FA530" s="249"/>
      <c r="FB530" s="249"/>
      <c r="FC530" s="249"/>
      <c r="FD530" s="249"/>
      <c r="FE530" s="249"/>
      <c r="FF530" s="249"/>
      <c r="FG530" s="249"/>
      <c r="FH530" s="249"/>
      <c r="FI530" s="249"/>
      <c r="FJ530" s="249"/>
      <c r="FK530" s="249"/>
      <c r="FL530" s="249"/>
      <c r="FM530" s="249"/>
      <c r="FN530" s="249"/>
      <c r="FO530" s="249"/>
      <c r="FP530" s="249"/>
      <c r="FQ530" s="249"/>
      <c r="FR530" s="249"/>
      <c r="FS530" s="249"/>
      <c r="FT530" s="249"/>
      <c r="FU530" s="249"/>
      <c r="FV530" s="249"/>
      <c r="FW530" s="249"/>
      <c r="FX530" s="249"/>
      <c r="FY530" s="249"/>
      <c r="FZ530" s="249"/>
      <c r="GA530" s="249"/>
      <c r="GB530" s="249"/>
      <c r="GC530" s="249"/>
      <c r="GD530" s="249"/>
      <c r="GE530" s="249"/>
      <c r="GF530" s="249"/>
      <c r="GG530" s="249"/>
      <c r="GH530" s="249"/>
      <c r="GI530" s="249"/>
      <c r="GJ530" s="249"/>
      <c r="GK530" s="249"/>
      <c r="GL530" s="249"/>
      <c r="GM530" s="249"/>
      <c r="GN530" s="249"/>
      <c r="GO530" s="249"/>
      <c r="GP530" s="249"/>
      <c r="GQ530" s="249"/>
      <c r="GR530" s="249"/>
    </row>
    <row r="531" spans="1:205" s="252" customFormat="1" ht="16.5" hidden="1" customHeight="1" x14ac:dyDescent="0.2">
      <c r="A531" s="735"/>
      <c r="B531" s="1136"/>
      <c r="C531" s="1136"/>
      <c r="D531" s="539" t="e">
        <f>#REF!=#REF!</f>
        <v>#REF!</v>
      </c>
      <c r="E531" s="614"/>
      <c r="F531" s="249"/>
      <c r="G531" s="250"/>
      <c r="H531" s="250"/>
      <c r="I531" s="250"/>
      <c r="J531" s="250"/>
      <c r="K531" s="250"/>
      <c r="L531" s="250"/>
      <c r="M531" s="250"/>
      <c r="N531" s="250"/>
      <c r="O531" s="250"/>
      <c r="P531" s="251"/>
      <c r="Q531" s="251"/>
      <c r="R531" s="251"/>
      <c r="S531" s="251"/>
      <c r="T531" s="251"/>
      <c r="U531" s="328"/>
      <c r="V531" s="1028" t="str">
        <f>JARSSHOCKTOOLDDT!I33</f>
        <v>8" Pony NMDC</v>
      </c>
      <c r="W531" s="1027">
        <f>IF(INPUT!$H$11="SCIENTIFIC DRILLING INC.",VLOOKUP(V531,JARSSHOCKTOOLDDT!$I$15:$M$43,2,FALSE),VLOOKUP(V531,JARSSHOCKTOOLDDT!$I$15:$M$43,4,FALSE))*IF(INPUT!$D$7="REGULAR HOLE",1,0)</f>
        <v>0</v>
      </c>
      <c r="X531" s="285"/>
      <c r="Y531" s="285"/>
      <c r="Z531" s="285"/>
      <c r="AA531" s="1364">
        <f ca="1">INDEX(INPUT!$AI$12:$AI$15,MATCH(INPUT!$H$8,INPUT!$AH$12:$AH$15,0))-AB531</f>
        <v>3</v>
      </c>
      <c r="AB531" s="1364">
        <f t="shared" ref="AB531:AE533" ca="1" si="174">INDIRECT(AB$511)</f>
        <v>4</v>
      </c>
      <c r="AC531" s="633">
        <f t="shared" ca="1" si="174"/>
        <v>10</v>
      </c>
      <c r="AD531" s="633">
        <f t="shared" ca="1" si="174"/>
        <v>3</v>
      </c>
      <c r="AE531" s="633">
        <f t="shared" ca="1" si="174"/>
        <v>6</v>
      </c>
      <c r="AF531" s="1364">
        <f>INDEX(INPUT!$AI$12:$AI$15,MATCH(INPUT!$H$8,INPUT!$AH$12:$AH$15,0))</f>
        <v>7</v>
      </c>
      <c r="AG531" s="285"/>
      <c r="AH531" s="285"/>
      <c r="AI531" s="285"/>
      <c r="AJ531" s="285"/>
      <c r="AK531" s="285"/>
      <c r="AL531" s="285"/>
      <c r="AM531" s="284">
        <f t="shared" ca="1" si="169"/>
        <v>33</v>
      </c>
      <c r="AN531" s="294"/>
      <c r="AO531" s="249"/>
      <c r="AP531" s="250"/>
      <c r="AQ531" s="250"/>
      <c r="AR531" s="250"/>
      <c r="AS531" s="250"/>
      <c r="AT531" s="250"/>
      <c r="AU531" s="250"/>
      <c r="AV531" s="249"/>
      <c r="AW531" s="249"/>
      <c r="AX531" s="249"/>
      <c r="AY531" s="249"/>
      <c r="AZ531" s="249"/>
      <c r="BA531" s="249"/>
      <c r="BB531" s="249"/>
      <c r="BC531" s="249"/>
      <c r="BD531" s="249"/>
      <c r="BE531" s="249"/>
      <c r="BF531" s="249"/>
      <c r="BG531" s="249"/>
      <c r="BH531" s="249"/>
      <c r="BI531" s="249"/>
      <c r="BJ531" s="249"/>
      <c r="BK531" s="249"/>
      <c r="BL531" s="249"/>
      <c r="BM531" s="249"/>
      <c r="BN531" s="249"/>
      <c r="BO531" s="249"/>
      <c r="BP531" s="249"/>
      <c r="BQ531" s="249"/>
      <c r="BR531" s="249"/>
      <c r="BS531" s="249"/>
      <c r="BT531" s="249"/>
      <c r="BU531" s="249"/>
      <c r="BV531" s="249"/>
      <c r="BW531" s="249"/>
      <c r="BX531" s="249"/>
      <c r="BY531" s="249"/>
      <c r="BZ531" s="249"/>
      <c r="CA531" s="249"/>
      <c r="CB531" s="249"/>
      <c r="CC531" s="249"/>
      <c r="CD531" s="249"/>
      <c r="CE531" s="249"/>
      <c r="CF531" s="249"/>
      <c r="CG531" s="249"/>
      <c r="CH531" s="249"/>
      <c r="CI531" s="249"/>
      <c r="CJ531" s="249"/>
      <c r="CK531" s="249"/>
      <c r="CL531" s="249"/>
      <c r="CM531" s="249"/>
      <c r="CN531" s="249"/>
      <c r="CO531" s="249"/>
      <c r="CP531" s="249"/>
      <c r="CQ531" s="249"/>
      <c r="CR531" s="249"/>
      <c r="CS531" s="249"/>
      <c r="CT531" s="249"/>
      <c r="CU531" s="249"/>
      <c r="CV531" s="249"/>
      <c r="CW531" s="249"/>
      <c r="CX531" s="249"/>
      <c r="CY531" s="249"/>
      <c r="CZ531" s="249"/>
      <c r="DA531" s="249"/>
      <c r="DB531" s="249"/>
      <c r="DC531" s="249"/>
      <c r="DD531" s="249"/>
      <c r="DE531" s="249"/>
      <c r="DF531" s="249"/>
      <c r="DG531" s="249"/>
      <c r="DH531" s="249"/>
      <c r="DI531" s="249"/>
      <c r="DJ531" s="249"/>
      <c r="DK531" s="249"/>
      <c r="DL531" s="249"/>
      <c r="DM531" s="249"/>
      <c r="DN531" s="249"/>
      <c r="DO531" s="249"/>
      <c r="DP531" s="249"/>
      <c r="DQ531" s="249"/>
      <c r="DR531" s="249"/>
      <c r="DS531" s="249"/>
      <c r="DT531" s="249"/>
      <c r="DU531" s="249"/>
      <c r="DV531" s="249"/>
      <c r="DW531" s="249"/>
      <c r="DX531" s="249"/>
      <c r="DY531" s="249"/>
      <c r="DZ531" s="249"/>
      <c r="EA531" s="249"/>
      <c r="EB531" s="249"/>
      <c r="EC531" s="249"/>
      <c r="ED531" s="249"/>
      <c r="EE531" s="249"/>
      <c r="EF531" s="249"/>
      <c r="EG531" s="249"/>
      <c r="EH531" s="249"/>
      <c r="EI531" s="249"/>
      <c r="EJ531" s="249"/>
      <c r="EK531" s="249"/>
      <c r="EL531" s="249"/>
      <c r="EM531" s="249"/>
      <c r="EN531" s="249"/>
      <c r="EO531" s="249"/>
      <c r="EP531" s="249"/>
      <c r="EQ531" s="249"/>
      <c r="ER531" s="249"/>
      <c r="ES531" s="249"/>
      <c r="ET531" s="249"/>
      <c r="EU531" s="249"/>
      <c r="EV531" s="249"/>
      <c r="EW531" s="249"/>
      <c r="EX531" s="249"/>
      <c r="EY531" s="249"/>
      <c r="EZ531" s="249"/>
      <c r="FA531" s="249"/>
      <c r="FB531" s="249"/>
      <c r="FC531" s="249"/>
      <c r="FD531" s="249"/>
      <c r="FE531" s="249"/>
      <c r="FF531" s="249"/>
      <c r="FG531" s="249"/>
      <c r="FH531" s="249"/>
      <c r="FI531" s="249"/>
      <c r="FJ531" s="249"/>
      <c r="FK531" s="249"/>
      <c r="FL531" s="249"/>
      <c r="FM531" s="249"/>
      <c r="FN531" s="249"/>
      <c r="FO531" s="249"/>
      <c r="FP531" s="249"/>
      <c r="FQ531" s="249"/>
      <c r="FR531" s="249"/>
      <c r="FS531" s="249"/>
      <c r="FT531" s="249"/>
      <c r="FU531" s="249"/>
      <c r="FV531" s="249"/>
      <c r="FW531" s="249"/>
      <c r="FX531" s="249"/>
      <c r="FY531" s="249"/>
      <c r="FZ531" s="249"/>
      <c r="GA531" s="249"/>
      <c r="GB531" s="249"/>
      <c r="GC531" s="249"/>
      <c r="GD531" s="249"/>
      <c r="GE531" s="249"/>
      <c r="GF531" s="249"/>
      <c r="GG531" s="249"/>
      <c r="GH531" s="249"/>
      <c r="GI531" s="249"/>
      <c r="GJ531" s="249"/>
      <c r="GK531" s="249"/>
      <c r="GL531" s="249"/>
      <c r="GM531" s="249"/>
      <c r="GN531" s="249"/>
      <c r="GO531" s="249"/>
      <c r="GP531" s="249"/>
      <c r="GQ531" s="249"/>
      <c r="GR531" s="249"/>
    </row>
    <row r="532" spans="1:205" s="252" customFormat="1" ht="16.5" hidden="1" customHeight="1" x14ac:dyDescent="0.2">
      <c r="A532" s="735"/>
      <c r="B532" s="1136"/>
      <c r="C532" s="1136"/>
      <c r="D532" s="539" t="e">
        <f>#REF!=#REF!</f>
        <v>#REF!</v>
      </c>
      <c r="E532" s="614"/>
      <c r="F532" s="249"/>
      <c r="G532" s="250"/>
      <c r="H532" s="250"/>
      <c r="I532" s="250"/>
      <c r="J532" s="250"/>
      <c r="K532" s="250"/>
      <c r="L532" s="250"/>
      <c r="M532" s="250"/>
      <c r="N532" s="250"/>
      <c r="O532" s="250"/>
      <c r="P532" s="251"/>
      <c r="Q532" s="251"/>
      <c r="R532" s="251"/>
      <c r="S532" s="251"/>
      <c r="T532" s="251"/>
      <c r="U532" s="328"/>
      <c r="V532" s="1028" t="str">
        <f>JARSSHOCKTOOLDDT!I34</f>
        <v>8" NMDC</v>
      </c>
      <c r="W532" s="1027">
        <f>IF(INPUT!$H$11="SCIENTIFIC DRILLING INC.",VLOOKUP(V532,JARSSHOCKTOOLDDT!$I$15:$M$43,2,FALSE),VLOOKUP(V532,JARSSHOCKTOOLDDT!$I$15:$M$43,4,FALSE))*IF(INPUT!$D$7="REGULAR HOLE",1,0)</f>
        <v>0</v>
      </c>
      <c r="X532" s="285"/>
      <c r="Y532" s="285"/>
      <c r="Z532" s="285"/>
      <c r="AA532" s="1364">
        <f ca="1">INDEX(INPUT!$AI$12:$AI$15,MATCH(INPUT!$H$8,INPUT!$AH$12:$AH$15,0))-AB532</f>
        <v>3</v>
      </c>
      <c r="AB532" s="1364">
        <f t="shared" ca="1" si="174"/>
        <v>4</v>
      </c>
      <c r="AC532" s="633">
        <f t="shared" ca="1" si="174"/>
        <v>10</v>
      </c>
      <c r="AD532" s="633">
        <f t="shared" ca="1" si="174"/>
        <v>3</v>
      </c>
      <c r="AE532" s="633">
        <f t="shared" ca="1" si="174"/>
        <v>6</v>
      </c>
      <c r="AF532" s="1364">
        <f>INDEX(INPUT!$AI$12:$AI$15,MATCH(INPUT!$H$8,INPUT!$AH$12:$AH$15,0))</f>
        <v>7</v>
      </c>
      <c r="AG532" s="285"/>
      <c r="AH532" s="285"/>
      <c r="AI532" s="285"/>
      <c r="AJ532" s="285"/>
      <c r="AK532" s="285"/>
      <c r="AL532" s="285"/>
      <c r="AM532" s="284">
        <f ca="1">SUM(X532:AL532)</f>
        <v>33</v>
      </c>
      <c r="AN532" s="294"/>
      <c r="AO532" s="249"/>
      <c r="AP532" s="250"/>
      <c r="AQ532" s="250"/>
      <c r="AR532" s="250"/>
      <c r="AS532" s="250"/>
      <c r="AT532" s="250"/>
      <c r="AU532" s="250"/>
      <c r="AV532" s="249"/>
      <c r="AW532" s="249"/>
      <c r="AX532" s="249"/>
      <c r="AY532" s="249"/>
      <c r="AZ532" s="249"/>
      <c r="BA532" s="249"/>
      <c r="BB532" s="249"/>
      <c r="BC532" s="249"/>
      <c r="BD532" s="249"/>
      <c r="BE532" s="249"/>
      <c r="BF532" s="249"/>
      <c r="BG532" s="249"/>
      <c r="BH532" s="249"/>
      <c r="BI532" s="249"/>
      <c r="BJ532" s="249"/>
      <c r="BK532" s="249"/>
      <c r="BL532" s="249"/>
      <c r="BM532" s="249"/>
      <c r="BN532" s="249"/>
      <c r="BO532" s="249"/>
      <c r="BP532" s="249"/>
      <c r="BQ532" s="249"/>
      <c r="BR532" s="249"/>
      <c r="BS532" s="249"/>
      <c r="BT532" s="249"/>
      <c r="BU532" s="249"/>
      <c r="BV532" s="249"/>
      <c r="BW532" s="249"/>
      <c r="BX532" s="249"/>
      <c r="BY532" s="249"/>
      <c r="BZ532" s="249"/>
      <c r="CA532" s="249"/>
      <c r="CB532" s="249"/>
      <c r="CC532" s="249"/>
      <c r="CD532" s="249"/>
      <c r="CE532" s="249"/>
      <c r="CF532" s="249"/>
      <c r="CG532" s="249"/>
      <c r="CH532" s="249"/>
      <c r="CI532" s="249"/>
      <c r="CJ532" s="249"/>
      <c r="CK532" s="249"/>
      <c r="CL532" s="249"/>
      <c r="CM532" s="249"/>
      <c r="CN532" s="249"/>
      <c r="CO532" s="249"/>
      <c r="CP532" s="249"/>
      <c r="CQ532" s="249"/>
      <c r="CR532" s="249"/>
      <c r="CS532" s="249"/>
      <c r="CT532" s="249"/>
      <c r="CU532" s="249"/>
      <c r="CV532" s="249"/>
      <c r="CW532" s="249"/>
      <c r="CX532" s="249"/>
      <c r="CY532" s="249"/>
      <c r="CZ532" s="249"/>
      <c r="DA532" s="249"/>
      <c r="DB532" s="249"/>
      <c r="DC532" s="249"/>
      <c r="DD532" s="249"/>
      <c r="DE532" s="249"/>
      <c r="DF532" s="249"/>
      <c r="DG532" s="249"/>
      <c r="DH532" s="249"/>
      <c r="DI532" s="249"/>
      <c r="DJ532" s="249"/>
      <c r="DK532" s="249"/>
      <c r="DL532" s="249"/>
      <c r="DM532" s="249"/>
      <c r="DN532" s="249"/>
      <c r="DO532" s="249"/>
      <c r="DP532" s="249"/>
      <c r="DQ532" s="249"/>
      <c r="DR532" s="249"/>
      <c r="DS532" s="249"/>
      <c r="DT532" s="249"/>
      <c r="DU532" s="249"/>
      <c r="DV532" s="249"/>
      <c r="DW532" s="249"/>
      <c r="DX532" s="249"/>
      <c r="DY532" s="249"/>
      <c r="DZ532" s="249"/>
      <c r="EA532" s="249"/>
      <c r="EB532" s="249"/>
      <c r="EC532" s="249"/>
      <c r="ED532" s="249"/>
      <c r="EE532" s="249"/>
      <c r="EF532" s="249"/>
      <c r="EG532" s="249"/>
      <c r="EH532" s="249"/>
      <c r="EI532" s="249"/>
      <c r="EJ532" s="249"/>
      <c r="EK532" s="249"/>
      <c r="EL532" s="249"/>
      <c r="EM532" s="249"/>
      <c r="EN532" s="249"/>
      <c r="EO532" s="249"/>
      <c r="EP532" s="249"/>
      <c r="EQ532" s="249"/>
      <c r="ER532" s="249"/>
      <c r="ES532" s="249"/>
      <c r="ET532" s="249"/>
      <c r="EU532" s="249"/>
      <c r="EV532" s="249"/>
      <c r="EW532" s="249"/>
      <c r="EX532" s="249"/>
      <c r="EY532" s="249"/>
      <c r="EZ532" s="249"/>
      <c r="FA532" s="249"/>
      <c r="FB532" s="249"/>
      <c r="FC532" s="249"/>
      <c r="FD532" s="249"/>
      <c r="FE532" s="249"/>
      <c r="FF532" s="249"/>
      <c r="FG532" s="249"/>
      <c r="FH532" s="249"/>
      <c r="FI532" s="249"/>
      <c r="FJ532" s="249"/>
      <c r="FK532" s="249"/>
      <c r="FL532" s="249"/>
      <c r="FM532" s="249"/>
      <c r="FN532" s="249"/>
      <c r="FO532" s="249"/>
      <c r="FP532" s="249"/>
      <c r="FQ532" s="249"/>
      <c r="FR532" s="249"/>
      <c r="FS532" s="249"/>
      <c r="FT532" s="249"/>
      <c r="FU532" s="249"/>
      <c r="FV532" s="249"/>
      <c r="FW532" s="249"/>
      <c r="FX532" s="249"/>
      <c r="FY532" s="249"/>
      <c r="FZ532" s="249"/>
      <c r="GA532" s="249"/>
      <c r="GB532" s="249"/>
      <c r="GC532" s="249"/>
      <c r="GD532" s="249"/>
      <c r="GE532" s="249"/>
      <c r="GF532" s="249"/>
      <c r="GG532" s="249"/>
      <c r="GH532" s="249"/>
      <c r="GI532" s="249"/>
      <c r="GJ532" s="249"/>
      <c r="GK532" s="249"/>
      <c r="GL532" s="249"/>
      <c r="GM532" s="249"/>
      <c r="GN532" s="249"/>
      <c r="GO532" s="249"/>
      <c r="GP532" s="249"/>
      <c r="GQ532" s="249"/>
      <c r="GR532" s="249"/>
    </row>
    <row r="533" spans="1:205" s="252" customFormat="1" ht="16.5" hidden="1" customHeight="1" x14ac:dyDescent="0.2">
      <c r="A533" s="735"/>
      <c r="B533" s="1136"/>
      <c r="C533" s="1136"/>
      <c r="D533" s="539" t="e">
        <f>#REF!=#REF!</f>
        <v>#REF!</v>
      </c>
      <c r="E533" s="614"/>
      <c r="F533" s="249"/>
      <c r="G533" s="250"/>
      <c r="H533" s="250"/>
      <c r="I533" s="250"/>
      <c r="J533" s="250"/>
      <c r="K533" s="250"/>
      <c r="L533" s="250"/>
      <c r="M533" s="250"/>
      <c r="N533" s="250"/>
      <c r="O533" s="250"/>
      <c r="P533" s="251"/>
      <c r="Q533" s="251"/>
      <c r="R533" s="251"/>
      <c r="S533" s="251"/>
      <c r="T533" s="251"/>
      <c r="U533" s="328"/>
      <c r="V533" s="1028" t="str">
        <f>JARSSHOCKTOOLDDT!I35</f>
        <v>EMS, rental</v>
      </c>
      <c r="W533" s="1027">
        <f>IF(INPUT!$H$11="SCIENTIFIC DRILLING INC.",VLOOKUP(V533,JARSSHOCKTOOLDDT!$I$15:$M$43,2,FALSE),VLOOKUP(V533,JARSSHOCKTOOLDDT!$I$15:$M$43,4,FALSE))*IF(INPUT!$D$7="REGULAR HOLE",1,0)</f>
        <v>0</v>
      </c>
      <c r="X533" s="1364">
        <f>INDEX(INPUT!$AI$12:$AI$15,MATCH(INPUT!$H$8,INPUT!$AH$12:$AH$15,0))</f>
        <v>7</v>
      </c>
      <c r="Y533" s="633">
        <f ca="1">INDIRECT(Y$511)</f>
        <v>2</v>
      </c>
      <c r="Z533" s="633">
        <f ca="1">INDIRECT(Z$511)</f>
        <v>4</v>
      </c>
      <c r="AA533" s="633">
        <f ca="1">INDIRECT(AA$511)</f>
        <v>5</v>
      </c>
      <c r="AB533" s="633">
        <f t="shared" ca="1" si="174"/>
        <v>4</v>
      </c>
      <c r="AC533" s="633">
        <f t="shared" ca="1" si="174"/>
        <v>10</v>
      </c>
      <c r="AD533" s="633">
        <f t="shared" ca="1" si="174"/>
        <v>3</v>
      </c>
      <c r="AE533" s="633">
        <f t="shared" ca="1" si="174"/>
        <v>6</v>
      </c>
      <c r="AF533" s="1364">
        <f>INDEX(INPUT!$AI$12:$AI$15,MATCH(INPUT!$H$8,INPUT!$AH$12:$AH$15,0))</f>
        <v>7</v>
      </c>
      <c r="AG533" s="285"/>
      <c r="AH533" s="285"/>
      <c r="AI533" s="285"/>
      <c r="AJ533" s="285"/>
      <c r="AK533" s="285"/>
      <c r="AL533" s="285"/>
      <c r="AM533" s="284">
        <f ca="1">SUM(X533:AL533)</f>
        <v>48</v>
      </c>
      <c r="AN533" s="294"/>
      <c r="AO533" s="249"/>
      <c r="AP533" s="250"/>
      <c r="AQ533" s="250"/>
      <c r="AR533" s="250"/>
      <c r="AS533" s="250"/>
      <c r="AT533" s="250"/>
      <c r="AU533" s="250"/>
      <c r="AV533" s="249"/>
      <c r="AW533" s="249"/>
      <c r="AX533" s="249"/>
      <c r="AY533" s="249"/>
      <c r="AZ533" s="249"/>
      <c r="BA533" s="249"/>
      <c r="BB533" s="249"/>
      <c r="BC533" s="249"/>
      <c r="BD533" s="249"/>
      <c r="BE533" s="249"/>
      <c r="BF533" s="249"/>
      <c r="BG533" s="249"/>
      <c r="BH533" s="249"/>
      <c r="BI533" s="249"/>
      <c r="BJ533" s="249"/>
      <c r="BK533" s="249"/>
      <c r="BL533" s="249"/>
      <c r="BM533" s="249"/>
      <c r="BN533" s="249"/>
      <c r="BO533" s="249"/>
      <c r="BP533" s="249"/>
      <c r="BQ533" s="249"/>
      <c r="BR533" s="249"/>
      <c r="BS533" s="249"/>
      <c r="BT533" s="249"/>
      <c r="BU533" s="249"/>
      <c r="BV533" s="249"/>
      <c r="BW533" s="249"/>
      <c r="BX533" s="249"/>
      <c r="BY533" s="249"/>
      <c r="BZ533" s="249"/>
      <c r="CA533" s="249"/>
      <c r="CB533" s="249"/>
      <c r="CC533" s="249"/>
      <c r="CD533" s="249"/>
      <c r="CE533" s="249"/>
      <c r="CF533" s="249"/>
      <c r="CG533" s="249"/>
      <c r="CH533" s="249"/>
      <c r="CI533" s="249"/>
      <c r="CJ533" s="249"/>
      <c r="CK533" s="249"/>
      <c r="CL533" s="249"/>
      <c r="CM533" s="249"/>
      <c r="CN533" s="249"/>
      <c r="CO533" s="249"/>
      <c r="CP533" s="249"/>
      <c r="CQ533" s="249"/>
      <c r="CR533" s="249"/>
      <c r="CS533" s="249"/>
      <c r="CT533" s="249"/>
      <c r="CU533" s="249"/>
      <c r="CV533" s="249"/>
      <c r="CW533" s="249"/>
      <c r="CX533" s="249"/>
      <c r="CY533" s="249"/>
      <c r="CZ533" s="249"/>
      <c r="DA533" s="249"/>
      <c r="DB533" s="249"/>
      <c r="DC533" s="249"/>
      <c r="DD533" s="249"/>
      <c r="DE533" s="249"/>
      <c r="DF533" s="249"/>
      <c r="DG533" s="249"/>
      <c r="DH533" s="249"/>
      <c r="DI533" s="249"/>
      <c r="DJ533" s="249"/>
      <c r="DK533" s="249"/>
      <c r="DL533" s="249"/>
      <c r="DM533" s="249"/>
      <c r="DN533" s="249"/>
      <c r="DO533" s="249"/>
      <c r="DP533" s="249"/>
      <c r="DQ533" s="249"/>
      <c r="DR533" s="249"/>
      <c r="DS533" s="249"/>
      <c r="DT533" s="249"/>
      <c r="DU533" s="249"/>
      <c r="DV533" s="249"/>
      <c r="DW533" s="249"/>
      <c r="DX533" s="249"/>
      <c r="DY533" s="249"/>
      <c r="DZ533" s="249"/>
      <c r="EA533" s="249"/>
      <c r="EB533" s="249"/>
      <c r="EC533" s="249"/>
      <c r="ED533" s="249"/>
      <c r="EE533" s="249"/>
      <c r="EF533" s="249"/>
      <c r="EG533" s="249"/>
      <c r="EH533" s="249"/>
      <c r="EI533" s="249"/>
      <c r="EJ533" s="249"/>
      <c r="EK533" s="249"/>
      <c r="EL533" s="249"/>
      <c r="EM533" s="249"/>
      <c r="EN533" s="249"/>
      <c r="EO533" s="249"/>
      <c r="EP533" s="249"/>
      <c r="EQ533" s="249"/>
      <c r="ER533" s="249"/>
      <c r="ES533" s="249"/>
      <c r="ET533" s="249"/>
      <c r="EU533" s="249"/>
      <c r="EV533" s="249"/>
      <c r="EW533" s="249"/>
      <c r="EX533" s="249"/>
      <c r="EY533" s="249"/>
      <c r="EZ533" s="249"/>
      <c r="FA533" s="249"/>
      <c r="FB533" s="249"/>
      <c r="FC533" s="249"/>
      <c r="FD533" s="249"/>
      <c r="FE533" s="249"/>
      <c r="FF533" s="249"/>
      <c r="FG533" s="249"/>
      <c r="FH533" s="249"/>
      <c r="FI533" s="249"/>
      <c r="FJ533" s="249"/>
      <c r="FK533" s="249"/>
      <c r="FL533" s="249"/>
      <c r="FM533" s="249"/>
      <c r="FN533" s="249"/>
      <c r="FO533" s="249"/>
      <c r="FP533" s="249"/>
      <c r="FQ533" s="249"/>
      <c r="FR533" s="249"/>
      <c r="FS533" s="249"/>
      <c r="FT533" s="249"/>
      <c r="FU533" s="249"/>
      <c r="FV533" s="249"/>
      <c r="FW533" s="249"/>
      <c r="FX533" s="249"/>
      <c r="FY533" s="249"/>
      <c r="FZ533" s="249"/>
      <c r="GA533" s="249"/>
      <c r="GB533" s="249"/>
      <c r="GC533" s="249"/>
      <c r="GD533" s="249"/>
      <c r="GE533" s="249"/>
      <c r="GF533" s="249"/>
      <c r="GG533" s="249"/>
      <c r="GH533" s="249"/>
      <c r="GI533" s="249"/>
      <c r="GJ533" s="249"/>
      <c r="GK533" s="249"/>
      <c r="GL533" s="249"/>
      <c r="GM533" s="249"/>
      <c r="GN533" s="249"/>
      <c r="GO533" s="249"/>
      <c r="GP533" s="249"/>
      <c r="GQ533" s="249"/>
      <c r="GR533" s="249"/>
    </row>
    <row r="534" spans="1:205" s="252" customFormat="1" ht="16.5" hidden="1" customHeight="1" x14ac:dyDescent="0.2">
      <c r="A534" s="735"/>
      <c r="B534" s="1136"/>
      <c r="C534" s="1136"/>
      <c r="D534" s="539" t="e">
        <f>#REF!=#REF!</f>
        <v>#REF!</v>
      </c>
      <c r="E534" s="614"/>
      <c r="F534" s="249"/>
      <c r="G534" s="250"/>
      <c r="H534" s="250"/>
      <c r="I534" s="250"/>
      <c r="J534" s="250"/>
      <c r="K534" s="250"/>
      <c r="L534" s="250"/>
      <c r="M534" s="250"/>
      <c r="N534" s="250"/>
      <c r="O534" s="250"/>
      <c r="P534" s="251"/>
      <c r="Q534" s="251"/>
      <c r="R534" s="251"/>
      <c r="S534" s="251"/>
      <c r="T534" s="251"/>
      <c r="U534" s="328"/>
      <c r="V534" s="1028" t="str">
        <f>JARSSHOCKTOOLDDT!I36</f>
        <v>EMS, redress</v>
      </c>
      <c r="W534" s="1027">
        <f>IF(INPUT!$H$11="SCIENTIFIC DRILLING INC.",VLOOKUP(V534,JARSSHOCKTOOLDDT!$I$15:$M$43,2,FALSE),VLOOKUP(V534,JARSSHOCKTOOLDDT!$I$15:$M$43,4,FALSE))*IF(INPUT!$D$7="REGULAR HOLE",1,0)</f>
        <v>0</v>
      </c>
      <c r="X534" s="285"/>
      <c r="Y534" s="285"/>
      <c r="Z534" s="285"/>
      <c r="AA534" s="285"/>
      <c r="AB534" s="285"/>
      <c r="AC534" s="633"/>
      <c r="AD534" s="633"/>
      <c r="AE534" s="633"/>
      <c r="AF534" s="633">
        <f>IF(INPUT!$D$7="REGULAR HOLE",1,0)</f>
        <v>0</v>
      </c>
      <c r="AG534" s="285"/>
      <c r="AH534" s="285"/>
      <c r="AI534" s="285"/>
      <c r="AJ534" s="285"/>
      <c r="AK534" s="285"/>
      <c r="AL534" s="285"/>
      <c r="AM534" s="284">
        <f>SUM(X534:AL534)</f>
        <v>0</v>
      </c>
      <c r="AN534" s="294"/>
      <c r="AO534" s="249"/>
      <c r="AP534" s="250"/>
      <c r="AQ534" s="250"/>
      <c r="AR534" s="250"/>
      <c r="AS534" s="250"/>
      <c r="AT534" s="250"/>
      <c r="AU534" s="250"/>
      <c r="AV534" s="249"/>
      <c r="AW534" s="249"/>
      <c r="AX534" s="249"/>
      <c r="AY534" s="249"/>
      <c r="AZ534" s="249"/>
      <c r="BA534" s="249"/>
      <c r="BB534" s="249"/>
      <c r="BC534" s="249"/>
      <c r="BD534" s="249"/>
      <c r="BE534" s="249"/>
      <c r="BF534" s="249"/>
      <c r="BG534" s="249"/>
      <c r="BH534" s="249"/>
      <c r="BI534" s="249"/>
      <c r="BJ534" s="249"/>
      <c r="BK534" s="249"/>
      <c r="BL534" s="249"/>
      <c r="BM534" s="249"/>
      <c r="BN534" s="249"/>
      <c r="BO534" s="249"/>
      <c r="BP534" s="249"/>
      <c r="BQ534" s="249"/>
      <c r="BR534" s="249"/>
      <c r="BS534" s="249"/>
      <c r="BT534" s="249"/>
      <c r="BU534" s="249"/>
      <c r="BV534" s="249"/>
      <c r="BW534" s="249"/>
      <c r="BX534" s="249"/>
      <c r="BY534" s="249"/>
      <c r="BZ534" s="249"/>
      <c r="CA534" s="249"/>
      <c r="CB534" s="249"/>
      <c r="CC534" s="249"/>
      <c r="CD534" s="249"/>
      <c r="CE534" s="249"/>
      <c r="CF534" s="249"/>
      <c r="CG534" s="249"/>
      <c r="CH534" s="249"/>
      <c r="CI534" s="249"/>
      <c r="CJ534" s="249"/>
      <c r="CK534" s="249"/>
      <c r="CL534" s="249"/>
      <c r="CM534" s="249"/>
      <c r="CN534" s="249"/>
      <c r="CO534" s="249"/>
      <c r="CP534" s="249"/>
      <c r="CQ534" s="249"/>
      <c r="CR534" s="249"/>
      <c r="CS534" s="249"/>
      <c r="CT534" s="249"/>
      <c r="CU534" s="249"/>
      <c r="CV534" s="249"/>
      <c r="CW534" s="249"/>
      <c r="CX534" s="249"/>
      <c r="CY534" s="249"/>
      <c r="CZ534" s="249"/>
      <c r="DA534" s="249"/>
      <c r="DB534" s="249"/>
      <c r="DC534" s="249"/>
      <c r="DD534" s="249"/>
      <c r="DE534" s="249"/>
      <c r="DF534" s="249"/>
      <c r="DG534" s="249"/>
      <c r="DH534" s="249"/>
      <c r="DI534" s="249"/>
      <c r="DJ534" s="249"/>
      <c r="DK534" s="249"/>
      <c r="DL534" s="249"/>
      <c r="DM534" s="249"/>
      <c r="DN534" s="249"/>
      <c r="DO534" s="249"/>
      <c r="DP534" s="249"/>
      <c r="DQ534" s="249"/>
      <c r="DR534" s="249"/>
      <c r="DS534" s="249"/>
      <c r="DT534" s="249"/>
      <c r="DU534" s="249"/>
      <c r="DV534" s="249"/>
      <c r="DW534" s="249"/>
      <c r="DX534" s="249"/>
      <c r="DY534" s="249"/>
      <c r="DZ534" s="249"/>
      <c r="EA534" s="249"/>
      <c r="EB534" s="249"/>
      <c r="EC534" s="249"/>
      <c r="ED534" s="249"/>
      <c r="EE534" s="249"/>
      <c r="EF534" s="249"/>
      <c r="EG534" s="249"/>
      <c r="EH534" s="249"/>
      <c r="EI534" s="249"/>
      <c r="EJ534" s="249"/>
      <c r="EK534" s="249"/>
      <c r="EL534" s="249"/>
      <c r="EM534" s="249"/>
      <c r="EN534" s="249"/>
      <c r="EO534" s="249"/>
      <c r="EP534" s="249"/>
      <c r="EQ534" s="249"/>
      <c r="ER534" s="249"/>
      <c r="ES534" s="249"/>
      <c r="ET534" s="249"/>
      <c r="EU534" s="249"/>
      <c r="EV534" s="249"/>
      <c r="EW534" s="249"/>
      <c r="EX534" s="249"/>
      <c r="EY534" s="249"/>
      <c r="EZ534" s="249"/>
      <c r="FA534" s="249"/>
      <c r="FB534" s="249"/>
      <c r="FC534" s="249"/>
      <c r="FD534" s="249"/>
      <c r="FE534" s="249"/>
      <c r="FF534" s="249"/>
      <c r="FG534" s="249"/>
      <c r="FH534" s="249"/>
      <c r="FI534" s="249"/>
      <c r="FJ534" s="249"/>
      <c r="FK534" s="249"/>
      <c r="FL534" s="249"/>
      <c r="FM534" s="249"/>
      <c r="FN534" s="249"/>
      <c r="FO534" s="249"/>
      <c r="FP534" s="249"/>
      <c r="FQ534" s="249"/>
      <c r="FR534" s="249"/>
      <c r="FS534" s="249"/>
      <c r="FT534" s="249"/>
      <c r="FU534" s="249"/>
      <c r="FV534" s="249"/>
      <c r="FW534" s="249"/>
      <c r="FX534" s="249"/>
      <c r="FY534" s="249"/>
      <c r="FZ534" s="249"/>
      <c r="GA534" s="249"/>
      <c r="GB534" s="249"/>
      <c r="GC534" s="249"/>
      <c r="GD534" s="249"/>
      <c r="GE534" s="249"/>
      <c r="GF534" s="249"/>
      <c r="GG534" s="249"/>
      <c r="GH534" s="249"/>
      <c r="GI534" s="249"/>
      <c r="GJ534" s="249"/>
      <c r="GK534" s="249"/>
      <c r="GL534" s="249"/>
      <c r="GM534" s="249"/>
      <c r="GN534" s="249"/>
      <c r="GO534" s="249"/>
      <c r="GP534" s="249"/>
      <c r="GQ534" s="249"/>
      <c r="GR534" s="249"/>
    </row>
    <row r="535" spans="1:205" s="252" customFormat="1" ht="16.5" hidden="1" customHeight="1" x14ac:dyDescent="0.2">
      <c r="A535" s="735"/>
      <c r="B535" s="1136"/>
      <c r="C535" s="1136"/>
      <c r="D535" s="539" t="e">
        <f>#REF!=#REF!</f>
        <v>#REF!</v>
      </c>
      <c r="E535" s="614"/>
      <c r="F535" s="249"/>
      <c r="G535" s="250"/>
      <c r="H535" s="250"/>
      <c r="I535" s="250"/>
      <c r="J535" s="250"/>
      <c r="K535" s="250"/>
      <c r="L535" s="250"/>
      <c r="M535" s="250"/>
      <c r="N535" s="250"/>
      <c r="O535" s="250"/>
      <c r="P535" s="251"/>
      <c r="Q535" s="251"/>
      <c r="R535" s="251"/>
      <c r="S535" s="251"/>
      <c r="T535" s="251"/>
      <c r="U535" s="328"/>
      <c r="V535" s="1028" t="str">
        <f>JARSSHOCKTOOLDDT!I37</f>
        <v>6-1/2"or 6-3/4" Mud Motor, rental</v>
      </c>
      <c r="W535" s="1027">
        <f>IF(INPUT!$H$11="SCIENTIFIC DRILLING INC.",VLOOKUP(V535,JARSSHOCKTOOLDDT!$I$15:$M$43,2,FALSE),VLOOKUP(V535,JARSSHOCKTOOLDDT!$I$15:$M$43,4,FALSE))*IF(INPUT!$D$7="REGULAR HOLE",1,0)</f>
        <v>0</v>
      </c>
      <c r="X535" s="285"/>
      <c r="Y535" s="285"/>
      <c r="Z535" s="285"/>
      <c r="AA535" s="1364">
        <f ca="1">INDEX(INPUT!$AI$12:$AI$15,MATCH(INPUT!$H$8,INPUT!$AH$12:$AH$15,0))-AB535</f>
        <v>3</v>
      </c>
      <c r="AB535" s="1364">
        <f ca="1">INDIRECT(AB$511)</f>
        <v>4</v>
      </c>
      <c r="AC535" s="633">
        <f ca="1">INDIRECT(AC$511)</f>
        <v>10</v>
      </c>
      <c r="AD535" s="633">
        <f ca="1">INDIRECT(AD$511)</f>
        <v>3</v>
      </c>
      <c r="AE535" s="633">
        <f ca="1">INDIRECT(AE$511)</f>
        <v>6</v>
      </c>
      <c r="AF535" s="1364">
        <f>INDEX(INPUT!$AI$12:$AI$15,MATCH(INPUT!$H$8,INPUT!$AH$12:$AH$15,0))</f>
        <v>7</v>
      </c>
      <c r="AG535" s="285"/>
      <c r="AH535" s="285"/>
      <c r="AI535" s="285"/>
      <c r="AJ535" s="285"/>
      <c r="AK535" s="285"/>
      <c r="AL535" s="285"/>
      <c r="AM535" s="284">
        <f ca="1">SUM(X535:AL535)</f>
        <v>33</v>
      </c>
      <c r="AN535" s="294"/>
      <c r="AO535" s="249"/>
      <c r="AP535" s="250"/>
      <c r="AQ535" s="250"/>
      <c r="AR535" s="250"/>
      <c r="AS535" s="250"/>
      <c r="AT535" s="250"/>
      <c r="AU535" s="250"/>
      <c r="AV535" s="249"/>
      <c r="AW535" s="249"/>
      <c r="AX535" s="249"/>
      <c r="AY535" s="249"/>
      <c r="AZ535" s="249"/>
      <c r="BA535" s="249"/>
      <c r="BB535" s="249"/>
      <c r="BC535" s="249"/>
      <c r="BD535" s="249"/>
      <c r="BE535" s="249"/>
      <c r="BF535" s="249"/>
      <c r="BG535" s="249"/>
      <c r="BH535" s="249"/>
      <c r="BI535" s="249"/>
      <c r="BJ535" s="249"/>
      <c r="BK535" s="249"/>
      <c r="BL535" s="249"/>
      <c r="BM535" s="249"/>
      <c r="BN535" s="249"/>
      <c r="BO535" s="249"/>
      <c r="BP535" s="249"/>
      <c r="BQ535" s="249"/>
      <c r="BR535" s="249"/>
      <c r="BS535" s="249"/>
      <c r="BT535" s="249"/>
      <c r="BU535" s="249"/>
      <c r="BV535" s="249"/>
      <c r="BW535" s="249"/>
      <c r="BX535" s="249"/>
      <c r="BY535" s="249"/>
      <c r="BZ535" s="249"/>
      <c r="CA535" s="249"/>
      <c r="CB535" s="249"/>
      <c r="CC535" s="249"/>
      <c r="CD535" s="249"/>
      <c r="CE535" s="249"/>
      <c r="CF535" s="249"/>
      <c r="CG535" s="249"/>
      <c r="CH535" s="249"/>
      <c r="CI535" s="249"/>
      <c r="CJ535" s="249"/>
      <c r="CK535" s="249"/>
      <c r="CL535" s="249"/>
      <c r="CM535" s="249"/>
      <c r="CN535" s="249"/>
      <c r="CO535" s="249"/>
      <c r="CP535" s="249"/>
      <c r="CQ535" s="249"/>
      <c r="CR535" s="249"/>
      <c r="CS535" s="249"/>
      <c r="CT535" s="249"/>
      <c r="CU535" s="249"/>
      <c r="CV535" s="249"/>
      <c r="CW535" s="249"/>
      <c r="CX535" s="249"/>
      <c r="CY535" s="249"/>
      <c r="CZ535" s="249"/>
      <c r="DA535" s="249"/>
      <c r="DB535" s="249"/>
      <c r="DC535" s="249"/>
      <c r="DD535" s="249"/>
      <c r="DE535" s="249"/>
      <c r="DF535" s="249"/>
      <c r="DG535" s="249"/>
      <c r="DH535" s="249"/>
      <c r="DI535" s="249"/>
      <c r="DJ535" s="249"/>
      <c r="DK535" s="249"/>
      <c r="DL535" s="249"/>
      <c r="DM535" s="249"/>
      <c r="DN535" s="249"/>
      <c r="DO535" s="249"/>
      <c r="DP535" s="249"/>
      <c r="DQ535" s="249"/>
      <c r="DR535" s="249"/>
      <c r="DS535" s="249"/>
      <c r="DT535" s="249"/>
      <c r="DU535" s="249"/>
      <c r="DV535" s="249"/>
      <c r="DW535" s="249"/>
      <c r="DX535" s="249"/>
      <c r="DY535" s="249"/>
      <c r="DZ535" s="249"/>
      <c r="EA535" s="249"/>
      <c r="EB535" s="249"/>
      <c r="EC535" s="249"/>
      <c r="ED535" s="249"/>
      <c r="EE535" s="249"/>
      <c r="EF535" s="249"/>
      <c r="EG535" s="249"/>
      <c r="EH535" s="249"/>
      <c r="EI535" s="249"/>
      <c r="EJ535" s="249"/>
      <c r="EK535" s="249"/>
      <c r="EL535" s="249"/>
      <c r="EM535" s="249"/>
      <c r="EN535" s="249"/>
      <c r="EO535" s="249"/>
      <c r="EP535" s="249"/>
      <c r="EQ535" s="249"/>
      <c r="ER535" s="249"/>
      <c r="ES535" s="249"/>
      <c r="ET535" s="249"/>
      <c r="EU535" s="249"/>
      <c r="EV535" s="249"/>
      <c r="EW535" s="249"/>
      <c r="EX535" s="249"/>
      <c r="EY535" s="249"/>
      <c r="EZ535" s="249"/>
      <c r="FA535" s="249"/>
      <c r="FB535" s="249"/>
      <c r="FC535" s="249"/>
      <c r="FD535" s="249"/>
      <c r="FE535" s="249"/>
      <c r="FF535" s="249"/>
      <c r="FG535" s="249"/>
      <c r="FH535" s="249"/>
      <c r="FI535" s="249"/>
      <c r="FJ535" s="249"/>
      <c r="FK535" s="249"/>
      <c r="FL535" s="249"/>
      <c r="FM535" s="249"/>
      <c r="FN535" s="249"/>
      <c r="FO535" s="249"/>
      <c r="FP535" s="249"/>
      <c r="FQ535" s="249"/>
      <c r="FR535" s="249"/>
      <c r="FS535" s="249"/>
      <c r="FT535" s="249"/>
      <c r="FU535" s="249"/>
      <c r="FV535" s="249"/>
      <c r="FW535" s="249"/>
      <c r="FX535" s="249"/>
      <c r="FY535" s="249"/>
      <c r="FZ535" s="249"/>
      <c r="GA535" s="249"/>
      <c r="GB535" s="249"/>
      <c r="GC535" s="249"/>
      <c r="GD535" s="249"/>
      <c r="GE535" s="249"/>
      <c r="GF535" s="249"/>
      <c r="GG535" s="249"/>
      <c r="GH535" s="249"/>
      <c r="GI535" s="249"/>
      <c r="GJ535" s="249"/>
      <c r="GK535" s="249"/>
      <c r="GL535" s="249"/>
      <c r="GM535" s="249"/>
      <c r="GN535" s="249"/>
      <c r="GO535" s="249"/>
      <c r="GP535" s="249"/>
      <c r="GQ535" s="249"/>
      <c r="GR535" s="249"/>
    </row>
    <row r="536" spans="1:205" s="252" customFormat="1" ht="16.5" hidden="1" customHeight="1" x14ac:dyDescent="0.2">
      <c r="A536" s="735"/>
      <c r="B536" s="1136"/>
      <c r="C536" s="1136"/>
      <c r="D536" s="539" t="e">
        <f>#REF!=#REF!</f>
        <v>#REF!</v>
      </c>
      <c r="E536" s="614"/>
      <c r="F536" s="249"/>
      <c r="G536" s="250"/>
      <c r="H536" s="250"/>
      <c r="I536" s="250"/>
      <c r="J536" s="250"/>
      <c r="K536" s="250"/>
      <c r="L536" s="250"/>
      <c r="M536" s="250"/>
      <c r="N536" s="250"/>
      <c r="O536" s="250"/>
      <c r="P536" s="251"/>
      <c r="Q536" s="251"/>
      <c r="R536" s="251"/>
      <c r="S536" s="251"/>
      <c r="T536" s="251"/>
      <c r="U536" s="328"/>
      <c r="V536" s="1028" t="str">
        <f>JARSSHOCKTOOLDDT!I38</f>
        <v>6-1/2" or 6-3/4" Mud Motor, run charge</v>
      </c>
      <c r="W536" s="1027">
        <f>IF(INPUT!$H$11="SCIENTIFIC DRILLING INC.",VLOOKUP(V536,JARSSHOCKTOOLDDT!$I$15:$M$43,2,FALSE),VLOOKUP(V536,JARSSHOCKTOOLDDT!$I$15:$M$43,4,FALSE))*IF(INPUT!$D$7="REGULAR HOLE",1,0)</f>
        <v>0</v>
      </c>
      <c r="X536" s="285"/>
      <c r="Y536" s="285"/>
      <c r="Z536" s="285"/>
      <c r="AA536" s="285"/>
      <c r="AB536" s="285"/>
      <c r="AC536" s="633"/>
      <c r="AD536" s="633"/>
      <c r="AE536" s="1360">
        <f ca="1">INDIRECT(AE$511)*20</f>
        <v>120</v>
      </c>
      <c r="AF536" s="633"/>
      <c r="AG536" s="285"/>
      <c r="AH536" s="285"/>
      <c r="AI536" s="285"/>
      <c r="AJ536" s="285"/>
      <c r="AK536" s="285"/>
      <c r="AL536" s="285"/>
      <c r="AM536" s="284">
        <f t="shared" ca="1" si="169"/>
        <v>120</v>
      </c>
      <c r="AN536" s="294"/>
      <c r="AO536" s="249"/>
      <c r="AP536" s="250"/>
      <c r="AQ536" s="250"/>
      <c r="AR536" s="250"/>
      <c r="AS536" s="250"/>
      <c r="AT536" s="250"/>
      <c r="AU536" s="250"/>
      <c r="AV536" s="249"/>
      <c r="AW536" s="249"/>
      <c r="AX536" s="249"/>
      <c r="AY536" s="249"/>
      <c r="AZ536" s="249"/>
      <c r="BA536" s="249"/>
      <c r="BB536" s="249"/>
      <c r="BC536" s="249"/>
      <c r="BD536" s="249"/>
      <c r="BE536" s="249"/>
      <c r="BF536" s="249"/>
      <c r="BG536" s="249"/>
      <c r="BH536" s="249"/>
      <c r="BI536" s="249"/>
      <c r="BJ536" s="249"/>
      <c r="BK536" s="249"/>
      <c r="BL536" s="249"/>
      <c r="BM536" s="249"/>
      <c r="BN536" s="249"/>
      <c r="BO536" s="249"/>
      <c r="BP536" s="249"/>
      <c r="BQ536" s="249"/>
      <c r="BR536" s="249"/>
      <c r="BS536" s="249"/>
      <c r="BT536" s="249"/>
      <c r="BU536" s="249"/>
      <c r="BV536" s="249"/>
      <c r="BW536" s="249"/>
      <c r="BX536" s="249"/>
      <c r="BY536" s="249"/>
      <c r="BZ536" s="249"/>
      <c r="CA536" s="249"/>
      <c r="CB536" s="249"/>
      <c r="CC536" s="249"/>
      <c r="CD536" s="249"/>
      <c r="CE536" s="249"/>
      <c r="CF536" s="249"/>
      <c r="CG536" s="249"/>
      <c r="CH536" s="249"/>
      <c r="CI536" s="249"/>
      <c r="CJ536" s="249"/>
      <c r="CK536" s="249"/>
      <c r="CL536" s="249"/>
      <c r="CM536" s="249"/>
      <c r="CN536" s="249"/>
      <c r="CO536" s="249"/>
      <c r="CP536" s="249"/>
      <c r="CQ536" s="249"/>
      <c r="CR536" s="249"/>
      <c r="CS536" s="249"/>
      <c r="CT536" s="249"/>
      <c r="CU536" s="249"/>
      <c r="CV536" s="249"/>
      <c r="CW536" s="249"/>
      <c r="CX536" s="249"/>
      <c r="CY536" s="249"/>
      <c r="CZ536" s="249"/>
      <c r="DA536" s="249"/>
      <c r="DB536" s="249"/>
      <c r="DC536" s="249"/>
      <c r="DD536" s="249"/>
      <c r="DE536" s="249"/>
      <c r="DF536" s="249"/>
      <c r="DG536" s="249"/>
      <c r="DH536" s="249"/>
      <c r="DI536" s="249"/>
      <c r="DJ536" s="249"/>
      <c r="DK536" s="249"/>
      <c r="DL536" s="249"/>
      <c r="DM536" s="249"/>
      <c r="DN536" s="249"/>
      <c r="DO536" s="249"/>
      <c r="DP536" s="249"/>
      <c r="DQ536" s="249"/>
      <c r="DR536" s="249"/>
      <c r="DS536" s="249"/>
      <c r="DT536" s="249"/>
      <c r="DU536" s="249"/>
      <c r="DV536" s="249"/>
      <c r="DW536" s="249"/>
      <c r="DX536" s="249"/>
      <c r="DY536" s="249"/>
      <c r="DZ536" s="249"/>
      <c r="EA536" s="249"/>
      <c r="EB536" s="249"/>
      <c r="EC536" s="249"/>
      <c r="ED536" s="249"/>
      <c r="EE536" s="249"/>
      <c r="EF536" s="249"/>
      <c r="EG536" s="249"/>
      <c r="EH536" s="249"/>
      <c r="EI536" s="249"/>
      <c r="EJ536" s="249"/>
      <c r="EK536" s="249"/>
      <c r="EL536" s="249"/>
      <c r="EM536" s="249"/>
      <c r="EN536" s="249"/>
      <c r="EO536" s="249"/>
      <c r="EP536" s="249"/>
      <c r="EQ536" s="249"/>
      <c r="ER536" s="249"/>
      <c r="ES536" s="249"/>
      <c r="ET536" s="249"/>
      <c r="EU536" s="249"/>
      <c r="EV536" s="249"/>
      <c r="EW536" s="249"/>
      <c r="EX536" s="249"/>
      <c r="EY536" s="249"/>
      <c r="EZ536" s="249"/>
      <c r="FA536" s="249"/>
      <c r="FB536" s="249"/>
      <c r="FC536" s="249"/>
      <c r="FD536" s="249"/>
      <c r="FE536" s="249"/>
      <c r="FF536" s="249"/>
      <c r="FG536" s="249"/>
      <c r="FH536" s="249"/>
      <c r="FI536" s="249"/>
      <c r="FJ536" s="249"/>
      <c r="FK536" s="249"/>
      <c r="FL536" s="249"/>
      <c r="FM536" s="249"/>
      <c r="FN536" s="249"/>
      <c r="FO536" s="249"/>
      <c r="FP536" s="249"/>
      <c r="FQ536" s="249"/>
      <c r="FR536" s="249"/>
      <c r="FS536" s="249"/>
      <c r="FT536" s="249"/>
      <c r="FU536" s="249"/>
      <c r="FV536" s="249"/>
      <c r="FW536" s="249"/>
      <c r="FX536" s="249"/>
      <c r="FY536" s="249"/>
      <c r="FZ536" s="249"/>
      <c r="GA536" s="249"/>
      <c r="GB536" s="249"/>
      <c r="GC536" s="249"/>
      <c r="GD536" s="249"/>
      <c r="GE536" s="249"/>
      <c r="GF536" s="249"/>
      <c r="GG536" s="249"/>
      <c r="GH536" s="249"/>
      <c r="GI536" s="249"/>
      <c r="GJ536" s="249"/>
      <c r="GK536" s="249"/>
      <c r="GL536" s="249"/>
      <c r="GM536" s="249"/>
      <c r="GN536" s="249"/>
      <c r="GO536" s="249"/>
      <c r="GP536" s="249"/>
      <c r="GQ536" s="249"/>
      <c r="GR536" s="249"/>
    </row>
    <row r="537" spans="1:205" s="252" customFormat="1" ht="16.5" hidden="1" customHeight="1" x14ac:dyDescent="0.2">
      <c r="A537" s="735"/>
      <c r="B537" s="1136"/>
      <c r="C537" s="1136"/>
      <c r="D537" s="539" t="e">
        <f>#REF!=#REF!</f>
        <v>#REF!</v>
      </c>
      <c r="E537" s="614"/>
      <c r="F537" s="249"/>
      <c r="G537" s="250"/>
      <c r="H537" s="250"/>
      <c r="I537" s="250"/>
      <c r="J537" s="250"/>
      <c r="K537" s="250"/>
      <c r="L537" s="250"/>
      <c r="M537" s="250"/>
      <c r="N537" s="250"/>
      <c r="O537" s="250"/>
      <c r="P537" s="251"/>
      <c r="Q537" s="251"/>
      <c r="R537" s="251"/>
      <c r="S537" s="251"/>
      <c r="T537" s="251"/>
      <c r="U537" s="328"/>
      <c r="V537" s="1028" t="str">
        <f>JARSSHOCKTOOLDDT!I39</f>
        <v>6-1/2" or 6-3/4" Mud Motor, redress</v>
      </c>
      <c r="W537" s="1027">
        <f>IF(INPUT!$H$11="SCIENTIFIC DRILLING INC.",VLOOKUP(V537,JARSSHOCKTOOLDDT!$I$15:$M$43,2,FALSE),VLOOKUP(V537,JARSSHOCKTOOLDDT!$I$15:$M$43,4,FALSE))*IF(INPUT!$D$7="REGULAR HOLE",1,0)</f>
        <v>0</v>
      </c>
      <c r="X537" s="285"/>
      <c r="Y537" s="285"/>
      <c r="Z537" s="285"/>
      <c r="AA537" s="285"/>
      <c r="AB537" s="285"/>
      <c r="AC537" s="633"/>
      <c r="AD537" s="633"/>
      <c r="AE537" s="633"/>
      <c r="AF537" s="633">
        <f>IF(INPUT!$D$7="REGULAR HOLE",1,0)</f>
        <v>0</v>
      </c>
      <c r="AG537" s="1457"/>
      <c r="AH537" s="633"/>
      <c r="AI537" s="1457"/>
      <c r="AJ537" s="633"/>
      <c r="AK537" s="633"/>
      <c r="AL537" s="285"/>
      <c r="AM537" s="284">
        <f t="shared" si="169"/>
        <v>0</v>
      </c>
      <c r="AN537" s="294"/>
      <c r="AO537" s="249"/>
      <c r="AP537" s="250"/>
      <c r="AQ537" s="250"/>
      <c r="AR537" s="250"/>
      <c r="AS537" s="250"/>
      <c r="AT537" s="250"/>
      <c r="AU537" s="250"/>
      <c r="AV537" s="249"/>
      <c r="AW537" s="249"/>
      <c r="AX537" s="249"/>
      <c r="AY537" s="249"/>
      <c r="AZ537" s="249"/>
      <c r="BA537" s="249"/>
      <c r="BB537" s="249"/>
      <c r="BC537" s="249"/>
      <c r="BD537" s="249"/>
      <c r="BE537" s="249"/>
      <c r="BF537" s="249"/>
      <c r="BG537" s="249"/>
      <c r="BH537" s="249"/>
      <c r="BI537" s="249"/>
      <c r="BJ537" s="249"/>
      <c r="BK537" s="249"/>
      <c r="BL537" s="249"/>
      <c r="BM537" s="249"/>
      <c r="BN537" s="249"/>
      <c r="BO537" s="249"/>
      <c r="BP537" s="249"/>
      <c r="BQ537" s="249"/>
      <c r="BR537" s="249"/>
      <c r="BS537" s="249"/>
      <c r="BT537" s="249"/>
      <c r="BU537" s="249"/>
      <c r="BV537" s="249"/>
      <c r="BW537" s="249"/>
      <c r="BX537" s="249"/>
      <c r="BY537" s="249"/>
      <c r="BZ537" s="249"/>
      <c r="CA537" s="249"/>
      <c r="CB537" s="249"/>
      <c r="CC537" s="249"/>
      <c r="CD537" s="249"/>
      <c r="CE537" s="249"/>
      <c r="CF537" s="249"/>
      <c r="CG537" s="249"/>
      <c r="CH537" s="249"/>
      <c r="CI537" s="249"/>
      <c r="CJ537" s="249"/>
      <c r="CK537" s="249"/>
      <c r="CL537" s="249"/>
      <c r="CM537" s="249"/>
      <c r="CN537" s="249"/>
      <c r="CO537" s="249"/>
      <c r="CP537" s="249"/>
      <c r="CQ537" s="249"/>
      <c r="CR537" s="249"/>
      <c r="CS537" s="249"/>
      <c r="CT537" s="249"/>
      <c r="CU537" s="249"/>
      <c r="CV537" s="249"/>
      <c r="CW537" s="249"/>
      <c r="CX537" s="249"/>
      <c r="CY537" s="249"/>
      <c r="CZ537" s="249"/>
      <c r="DA537" s="249"/>
      <c r="DB537" s="249"/>
      <c r="DC537" s="249"/>
      <c r="DD537" s="249"/>
      <c r="DE537" s="249"/>
      <c r="DF537" s="249"/>
      <c r="DG537" s="249"/>
      <c r="DH537" s="249"/>
      <c r="DI537" s="249"/>
      <c r="DJ537" s="249"/>
      <c r="DK537" s="249"/>
      <c r="DL537" s="249"/>
      <c r="DM537" s="249"/>
      <c r="DN537" s="249"/>
      <c r="DO537" s="249"/>
      <c r="DP537" s="249"/>
      <c r="DQ537" s="249"/>
      <c r="DR537" s="249"/>
      <c r="DS537" s="249"/>
      <c r="DT537" s="249"/>
      <c r="DU537" s="249"/>
      <c r="DV537" s="249"/>
      <c r="DW537" s="249"/>
      <c r="DX537" s="249"/>
      <c r="DY537" s="249"/>
      <c r="DZ537" s="249"/>
      <c r="EA537" s="249"/>
      <c r="EB537" s="249"/>
      <c r="EC537" s="249"/>
      <c r="ED537" s="249"/>
      <c r="EE537" s="249"/>
      <c r="EF537" s="249"/>
      <c r="EG537" s="249"/>
      <c r="EH537" s="249"/>
      <c r="EI537" s="249"/>
      <c r="EJ537" s="249"/>
      <c r="EK537" s="249"/>
      <c r="EL537" s="249"/>
      <c r="EM537" s="249"/>
      <c r="EN537" s="249"/>
      <c r="EO537" s="249"/>
      <c r="EP537" s="249"/>
      <c r="EQ537" s="249"/>
      <c r="ER537" s="249"/>
      <c r="ES537" s="249"/>
      <c r="ET537" s="249"/>
      <c r="EU537" s="249"/>
      <c r="EV537" s="249"/>
      <c r="EW537" s="249"/>
      <c r="EX537" s="249"/>
      <c r="EY537" s="249"/>
      <c r="EZ537" s="249"/>
      <c r="FA537" s="249"/>
      <c r="FB537" s="249"/>
      <c r="FC537" s="249"/>
      <c r="FD537" s="249"/>
      <c r="FE537" s="249"/>
      <c r="FF537" s="249"/>
      <c r="FG537" s="249"/>
      <c r="FH537" s="249"/>
      <c r="FI537" s="249"/>
      <c r="FJ537" s="249"/>
      <c r="FK537" s="249"/>
      <c r="FL537" s="249"/>
      <c r="FM537" s="249"/>
      <c r="FN537" s="249"/>
      <c r="FO537" s="249"/>
      <c r="FP537" s="249"/>
      <c r="FQ537" s="249"/>
      <c r="FR537" s="249"/>
      <c r="FS537" s="249"/>
      <c r="FT537" s="249"/>
      <c r="FU537" s="249"/>
      <c r="FV537" s="249"/>
      <c r="FW537" s="249"/>
      <c r="FX537" s="249"/>
      <c r="FY537" s="249"/>
      <c r="FZ537" s="249"/>
      <c r="GA537" s="249"/>
      <c r="GB537" s="249"/>
      <c r="GC537" s="249"/>
      <c r="GD537" s="249"/>
      <c r="GE537" s="249"/>
      <c r="GF537" s="249"/>
      <c r="GG537" s="249"/>
      <c r="GH537" s="249"/>
      <c r="GI537" s="249"/>
      <c r="GJ537" s="249"/>
      <c r="GK537" s="249"/>
      <c r="GL537" s="249"/>
      <c r="GM537" s="249"/>
      <c r="GN537" s="249"/>
      <c r="GO537" s="249"/>
      <c r="GP537" s="249"/>
      <c r="GQ537" s="249"/>
      <c r="GR537" s="249"/>
    </row>
    <row r="538" spans="1:205" s="252" customFormat="1" ht="16.5" hidden="1" customHeight="1" x14ac:dyDescent="0.2">
      <c r="A538" s="735"/>
      <c r="B538" s="1136"/>
      <c r="C538" s="1136"/>
      <c r="D538" s="539" t="e">
        <f>#REF!=#REF!</f>
        <v>#REF!</v>
      </c>
      <c r="E538" s="614"/>
      <c r="F538" s="249"/>
      <c r="G538" s="250"/>
      <c r="H538" s="250"/>
      <c r="I538" s="250"/>
      <c r="J538" s="250"/>
      <c r="K538" s="250"/>
      <c r="L538" s="250"/>
      <c r="M538" s="250"/>
      <c r="N538" s="250"/>
      <c r="O538" s="250"/>
      <c r="P538" s="251"/>
      <c r="Q538" s="251"/>
      <c r="R538" s="251"/>
      <c r="S538" s="251"/>
      <c r="T538" s="251"/>
      <c r="U538" s="328"/>
      <c r="V538" s="1028" t="str">
        <f>JARSSHOCKTOOLDDT!I40</f>
        <v>6-1/2" Pony NMDC</v>
      </c>
      <c r="W538" s="1027">
        <f>IF(INPUT!$H$11="SCIENTIFIC DRILLING INC.",VLOOKUP(V538,JARSSHOCKTOOLDDT!$I$15:$M$43,2,FALSE),VLOOKUP(V538,JARSSHOCKTOOLDDT!$I$15:$M$43,4,FALSE))*IF(INPUT!$D$7="REGULAR HOLE",1,0)</f>
        <v>0</v>
      </c>
      <c r="X538" s="285"/>
      <c r="Y538" s="285"/>
      <c r="Z538" s="285"/>
      <c r="AA538" s="1364">
        <f ca="1">INDEX(INPUT!$AI$12:$AI$15,MATCH(INPUT!$H$8,INPUT!$AH$12:$AH$15,0))-AB538</f>
        <v>3</v>
      </c>
      <c r="AB538" s="1364">
        <f t="shared" ref="AB538:AE541" ca="1" si="175">INDIRECT(AB$511)</f>
        <v>4</v>
      </c>
      <c r="AC538" s="633">
        <f t="shared" ca="1" si="175"/>
        <v>10</v>
      </c>
      <c r="AD538" s="633">
        <f t="shared" ca="1" si="175"/>
        <v>3</v>
      </c>
      <c r="AE538" s="633">
        <f t="shared" ca="1" si="175"/>
        <v>6</v>
      </c>
      <c r="AF538" s="1364">
        <f>INDEX(INPUT!$AI$12:$AI$15,MATCH(INPUT!$H$8,INPUT!$AH$12:$AH$15,0))</f>
        <v>7</v>
      </c>
      <c r="AG538" s="285"/>
      <c r="AH538" s="285"/>
      <c r="AI538" s="285"/>
      <c r="AJ538" s="285"/>
      <c r="AK538" s="285"/>
      <c r="AL538" s="285"/>
      <c r="AM538" s="284">
        <f t="shared" ca="1" si="169"/>
        <v>33</v>
      </c>
      <c r="AN538" s="294"/>
      <c r="AO538" s="249"/>
      <c r="AP538" s="250"/>
      <c r="AQ538" s="250"/>
      <c r="AR538" s="250"/>
      <c r="AS538" s="250"/>
      <c r="AT538" s="250"/>
      <c r="AU538" s="250"/>
      <c r="AV538" s="249"/>
      <c r="AW538" s="249"/>
      <c r="AX538" s="249"/>
      <c r="AY538" s="249"/>
      <c r="AZ538" s="249"/>
      <c r="BA538" s="249"/>
      <c r="BB538" s="249"/>
      <c r="BC538" s="249"/>
      <c r="BD538" s="249"/>
      <c r="BE538" s="249"/>
      <c r="BF538" s="249"/>
      <c r="BG538" s="249"/>
      <c r="BH538" s="249"/>
      <c r="BI538" s="249"/>
      <c r="BJ538" s="249"/>
      <c r="BK538" s="249"/>
      <c r="BL538" s="249"/>
      <c r="BM538" s="249"/>
      <c r="BN538" s="249"/>
      <c r="BO538" s="249"/>
      <c r="BP538" s="249"/>
      <c r="BQ538" s="249"/>
      <c r="BR538" s="249"/>
      <c r="BS538" s="249"/>
      <c r="BT538" s="249"/>
      <c r="BU538" s="249"/>
      <c r="BV538" s="249"/>
      <c r="BW538" s="249"/>
      <c r="BX538" s="249"/>
      <c r="BY538" s="249"/>
      <c r="BZ538" s="249"/>
      <c r="CA538" s="249"/>
      <c r="CB538" s="249"/>
      <c r="CC538" s="249"/>
      <c r="CD538" s="249"/>
      <c r="CE538" s="249"/>
      <c r="CF538" s="249"/>
      <c r="CG538" s="249"/>
      <c r="CH538" s="249"/>
      <c r="CI538" s="249"/>
      <c r="CJ538" s="249"/>
      <c r="CK538" s="249"/>
      <c r="CL538" s="249"/>
      <c r="CM538" s="249"/>
      <c r="CN538" s="249"/>
      <c r="CO538" s="249"/>
      <c r="CP538" s="249"/>
      <c r="CQ538" s="249"/>
      <c r="CR538" s="249"/>
      <c r="CS538" s="249"/>
      <c r="CT538" s="249"/>
      <c r="CU538" s="249"/>
      <c r="CV538" s="249"/>
      <c r="CW538" s="249"/>
      <c r="CX538" s="249"/>
      <c r="CY538" s="249"/>
      <c r="CZ538" s="249"/>
      <c r="DA538" s="249"/>
      <c r="DB538" s="249"/>
      <c r="DC538" s="249"/>
      <c r="DD538" s="249"/>
      <c r="DE538" s="249"/>
      <c r="DF538" s="249"/>
      <c r="DG538" s="249"/>
      <c r="DH538" s="249"/>
      <c r="DI538" s="249"/>
      <c r="DJ538" s="249"/>
      <c r="DK538" s="249"/>
      <c r="DL538" s="249"/>
      <c r="DM538" s="249"/>
      <c r="DN538" s="249"/>
      <c r="DO538" s="249"/>
      <c r="DP538" s="249"/>
      <c r="DQ538" s="249"/>
      <c r="DR538" s="249"/>
      <c r="DS538" s="249"/>
      <c r="DT538" s="249"/>
      <c r="DU538" s="249"/>
      <c r="DV538" s="249"/>
      <c r="DW538" s="249"/>
      <c r="DX538" s="249"/>
      <c r="DY538" s="249"/>
      <c r="DZ538" s="249"/>
      <c r="EA538" s="249"/>
      <c r="EB538" s="249"/>
      <c r="EC538" s="249"/>
      <c r="ED538" s="249"/>
      <c r="EE538" s="249"/>
      <c r="EF538" s="249"/>
      <c r="EG538" s="249"/>
      <c r="EH538" s="249"/>
      <c r="EI538" s="249"/>
      <c r="EJ538" s="249"/>
      <c r="EK538" s="249"/>
      <c r="EL538" s="249"/>
      <c r="EM538" s="249"/>
      <c r="EN538" s="249"/>
      <c r="EO538" s="249"/>
      <c r="EP538" s="249"/>
      <c r="EQ538" s="249"/>
      <c r="ER538" s="249"/>
      <c r="ES538" s="249"/>
      <c r="ET538" s="249"/>
      <c r="EU538" s="249"/>
      <c r="EV538" s="249"/>
      <c r="EW538" s="249"/>
      <c r="EX538" s="249"/>
      <c r="EY538" s="249"/>
      <c r="EZ538" s="249"/>
      <c r="FA538" s="249"/>
      <c r="FB538" s="249"/>
      <c r="FC538" s="249"/>
      <c r="FD538" s="249"/>
      <c r="FE538" s="249"/>
      <c r="FF538" s="249"/>
      <c r="FG538" s="249"/>
      <c r="FH538" s="249"/>
      <c r="FI538" s="249"/>
      <c r="FJ538" s="249"/>
      <c r="FK538" s="249"/>
      <c r="FL538" s="249"/>
      <c r="FM538" s="249"/>
      <c r="FN538" s="249"/>
      <c r="FO538" s="249"/>
      <c r="FP538" s="249"/>
      <c r="FQ538" s="249"/>
      <c r="FR538" s="249"/>
      <c r="FS538" s="249"/>
      <c r="FT538" s="249"/>
      <c r="FU538" s="249"/>
      <c r="FV538" s="249"/>
      <c r="FW538" s="249"/>
      <c r="FX538" s="249"/>
      <c r="FY538" s="249"/>
      <c r="FZ538" s="249"/>
      <c r="GA538" s="249"/>
      <c r="GB538" s="249"/>
      <c r="GC538" s="249"/>
      <c r="GD538" s="249"/>
      <c r="GE538" s="249"/>
      <c r="GF538" s="249"/>
      <c r="GG538" s="249"/>
      <c r="GH538" s="249"/>
      <c r="GI538" s="249"/>
      <c r="GJ538" s="249"/>
      <c r="GK538" s="249"/>
      <c r="GL538" s="249"/>
      <c r="GM538" s="249"/>
      <c r="GN538" s="249"/>
      <c r="GO538" s="249"/>
      <c r="GP538" s="249"/>
      <c r="GQ538" s="249"/>
      <c r="GR538" s="249"/>
    </row>
    <row r="539" spans="1:205" s="252" customFormat="1" ht="16.5" hidden="1" customHeight="1" x14ac:dyDescent="0.2">
      <c r="A539" s="735"/>
      <c r="B539" s="1136"/>
      <c r="C539" s="1136"/>
      <c r="D539" s="539" t="e">
        <f>#REF!=#REF!</f>
        <v>#REF!</v>
      </c>
      <c r="E539" s="614"/>
      <c r="F539" s="249"/>
      <c r="G539" s="250"/>
      <c r="H539" s="250"/>
      <c r="I539" s="250"/>
      <c r="J539" s="250"/>
      <c r="K539" s="250"/>
      <c r="L539" s="250"/>
      <c r="M539" s="250"/>
      <c r="N539" s="250"/>
      <c r="O539" s="250"/>
      <c r="P539" s="251"/>
      <c r="Q539" s="251"/>
      <c r="R539" s="251"/>
      <c r="S539" s="251"/>
      <c r="T539" s="251"/>
      <c r="U539" s="328"/>
      <c r="V539" s="1028" t="str">
        <f>JARSSHOCKTOOLDDT!I41</f>
        <v>6-1/2" NMDC</v>
      </c>
      <c r="W539" s="1027">
        <f>IF(INPUT!$H$11="SCIENTIFIC DRILLING INC.",VLOOKUP(V539,JARSSHOCKTOOLDDT!$I$15:$M$43,2,FALSE),VLOOKUP(V539,JARSSHOCKTOOLDDT!$I$15:$M$43,4,FALSE))*IF(INPUT!$D$7="REGULAR HOLE",1,0)</f>
        <v>0</v>
      </c>
      <c r="X539" s="285"/>
      <c r="Y539" s="285"/>
      <c r="Z539" s="285"/>
      <c r="AA539" s="1364">
        <f ca="1">INDEX(INPUT!$AI$12:$AI$15,MATCH(INPUT!$H$8,INPUT!$AH$12:$AH$15,0))-AB539</f>
        <v>3</v>
      </c>
      <c r="AB539" s="1364">
        <f t="shared" ca="1" si="175"/>
        <v>4</v>
      </c>
      <c r="AC539" s="633">
        <f t="shared" ca="1" si="175"/>
        <v>10</v>
      </c>
      <c r="AD539" s="633">
        <f t="shared" ca="1" si="175"/>
        <v>3</v>
      </c>
      <c r="AE539" s="633">
        <f t="shared" ca="1" si="175"/>
        <v>6</v>
      </c>
      <c r="AF539" s="1364">
        <f>INDEX(INPUT!$AI$12:$AI$15,MATCH(INPUT!$H$8,INPUT!$AH$12:$AH$15,0))</f>
        <v>7</v>
      </c>
      <c r="AG539" s="285"/>
      <c r="AH539" s="285"/>
      <c r="AI539" s="285"/>
      <c r="AJ539" s="285"/>
      <c r="AK539" s="285"/>
      <c r="AL539" s="285"/>
      <c r="AM539" s="284">
        <f t="shared" ca="1" si="169"/>
        <v>33</v>
      </c>
      <c r="AN539" s="294"/>
      <c r="AO539" s="249"/>
      <c r="AP539" s="250"/>
      <c r="AQ539" s="250"/>
      <c r="AR539" s="250"/>
      <c r="AS539" s="250"/>
      <c r="AT539" s="250"/>
      <c r="AU539" s="250"/>
      <c r="AV539" s="249"/>
      <c r="AW539" s="249"/>
      <c r="AX539" s="249"/>
      <c r="AY539" s="249"/>
      <c r="AZ539" s="249"/>
      <c r="BA539" s="249"/>
      <c r="BB539" s="249"/>
      <c r="BC539" s="249"/>
      <c r="BD539" s="249"/>
      <c r="BE539" s="249"/>
      <c r="BF539" s="249"/>
      <c r="BG539" s="249"/>
      <c r="BH539" s="249"/>
      <c r="BI539" s="249"/>
      <c r="BJ539" s="249"/>
      <c r="BK539" s="249"/>
      <c r="BL539" s="249"/>
      <c r="BM539" s="249"/>
      <c r="BN539" s="249"/>
      <c r="BO539" s="249"/>
      <c r="BP539" s="249"/>
      <c r="BQ539" s="249"/>
      <c r="BR539" s="249"/>
      <c r="BS539" s="249"/>
      <c r="BT539" s="249"/>
      <c r="BU539" s="249"/>
      <c r="BV539" s="249"/>
      <c r="BW539" s="249"/>
      <c r="BX539" s="249"/>
      <c r="BY539" s="249"/>
      <c r="BZ539" s="249"/>
      <c r="CA539" s="249"/>
      <c r="CB539" s="249"/>
      <c r="CC539" s="249"/>
      <c r="CD539" s="249"/>
      <c r="CE539" s="249"/>
      <c r="CF539" s="249"/>
      <c r="CG539" s="249"/>
      <c r="CH539" s="249"/>
      <c r="CI539" s="249"/>
      <c r="CJ539" s="249"/>
      <c r="CK539" s="249"/>
      <c r="CL539" s="249"/>
      <c r="CM539" s="249"/>
      <c r="CN539" s="249"/>
      <c r="CO539" s="249"/>
      <c r="CP539" s="249"/>
      <c r="CQ539" s="249"/>
      <c r="CR539" s="249"/>
      <c r="CS539" s="249"/>
      <c r="CT539" s="249"/>
      <c r="CU539" s="249"/>
      <c r="CV539" s="249"/>
      <c r="CW539" s="249"/>
      <c r="CX539" s="249"/>
      <c r="CY539" s="249"/>
      <c r="CZ539" s="249"/>
      <c r="DA539" s="249"/>
      <c r="DB539" s="249"/>
      <c r="DC539" s="249"/>
      <c r="DD539" s="249"/>
      <c r="DE539" s="249"/>
      <c r="DF539" s="249"/>
      <c r="DG539" s="249"/>
      <c r="DH539" s="249"/>
      <c r="DI539" s="249"/>
      <c r="DJ539" s="249"/>
      <c r="DK539" s="249"/>
      <c r="DL539" s="249"/>
      <c r="DM539" s="249"/>
      <c r="DN539" s="249"/>
      <c r="DO539" s="249"/>
      <c r="DP539" s="249"/>
      <c r="DQ539" s="249"/>
      <c r="DR539" s="249"/>
      <c r="DS539" s="249"/>
      <c r="DT539" s="249"/>
      <c r="DU539" s="249"/>
      <c r="DV539" s="249"/>
      <c r="DW539" s="249"/>
      <c r="DX539" s="249"/>
      <c r="DY539" s="249"/>
      <c r="DZ539" s="249"/>
      <c r="EA539" s="249"/>
      <c r="EB539" s="249"/>
      <c r="EC539" s="249"/>
      <c r="ED539" s="249"/>
      <c r="EE539" s="249"/>
      <c r="EF539" s="249"/>
      <c r="EG539" s="249"/>
      <c r="EH539" s="249"/>
      <c r="EI539" s="249"/>
      <c r="EJ539" s="249"/>
      <c r="EK539" s="249"/>
      <c r="EL539" s="249"/>
      <c r="EM539" s="249"/>
      <c r="EN539" s="249"/>
      <c r="EO539" s="249"/>
      <c r="EP539" s="249"/>
      <c r="EQ539" s="249"/>
      <c r="ER539" s="249"/>
      <c r="ES539" s="249"/>
      <c r="ET539" s="249"/>
      <c r="EU539" s="249"/>
      <c r="EV539" s="249"/>
      <c r="EW539" s="249"/>
      <c r="EX539" s="249"/>
      <c r="EY539" s="249"/>
      <c r="EZ539" s="249"/>
      <c r="FA539" s="249"/>
      <c r="FB539" s="249"/>
      <c r="FC539" s="249"/>
      <c r="FD539" s="249"/>
      <c r="FE539" s="249"/>
      <c r="FF539" s="249"/>
      <c r="FG539" s="249"/>
      <c r="FH539" s="249"/>
      <c r="FI539" s="249"/>
      <c r="FJ539" s="249"/>
      <c r="FK539" s="249"/>
      <c r="FL539" s="249"/>
      <c r="FM539" s="249"/>
      <c r="FN539" s="249"/>
      <c r="FO539" s="249"/>
      <c r="FP539" s="249"/>
      <c r="FQ539" s="249"/>
      <c r="FR539" s="249"/>
      <c r="FS539" s="249"/>
      <c r="FT539" s="249"/>
      <c r="FU539" s="249"/>
      <c r="FV539" s="249"/>
      <c r="FW539" s="249"/>
      <c r="FX539" s="249"/>
      <c r="FY539" s="249"/>
      <c r="FZ539" s="249"/>
      <c r="GA539" s="249"/>
      <c r="GB539" s="249"/>
      <c r="GC539" s="249"/>
      <c r="GD539" s="249"/>
      <c r="GE539" s="249"/>
      <c r="GF539" s="249"/>
      <c r="GG539" s="249"/>
      <c r="GH539" s="249"/>
      <c r="GI539" s="249"/>
      <c r="GJ539" s="249"/>
      <c r="GK539" s="249"/>
      <c r="GL539" s="249"/>
      <c r="GM539" s="249"/>
      <c r="GN539" s="249"/>
      <c r="GO539" s="249"/>
      <c r="GP539" s="249"/>
      <c r="GQ539" s="249"/>
      <c r="GR539" s="249"/>
    </row>
    <row r="540" spans="1:205" s="252" customFormat="1" ht="16.5" hidden="1" customHeight="1" x14ac:dyDescent="0.2">
      <c r="A540" s="735"/>
      <c r="B540" s="1136"/>
      <c r="C540" s="1136"/>
      <c r="D540" s="539" t="e">
        <f>#REF!=#REF!</f>
        <v>#REF!</v>
      </c>
      <c r="E540" s="614"/>
      <c r="F540" s="249"/>
      <c r="G540" s="250"/>
      <c r="H540" s="250"/>
      <c r="I540" s="250"/>
      <c r="J540" s="250"/>
      <c r="K540" s="250"/>
      <c r="L540" s="250"/>
      <c r="M540" s="250"/>
      <c r="N540" s="250"/>
      <c r="O540" s="250"/>
      <c r="P540" s="251"/>
      <c r="Q540" s="251"/>
      <c r="R540" s="251"/>
      <c r="S540" s="251"/>
      <c r="T540" s="251"/>
      <c r="U540" s="328"/>
      <c r="V540" s="1028" t="str">
        <f>JARSSHOCKTOOLDDT!I42</f>
        <v>12-1/4" UG Stabilizers</v>
      </c>
      <c r="W540" s="1027">
        <f>IF(INPUT!$H$11="SCIENTIFIC DRILLING INC.",VLOOKUP(V540,JARSSHOCKTOOLDDT!$I$15:$M$43,2,FALSE),VLOOKUP(V540,JARSSHOCKTOOLDDT!$I$15:$M$43,4,FALSE))*IF(INPUT!$D$7="REGULAR HOLE",1,0)</f>
        <v>0</v>
      </c>
      <c r="X540" s="285"/>
      <c r="Y540" s="285"/>
      <c r="Z540" s="285"/>
      <c r="AA540" s="1364">
        <f ca="1">INDEX(INPUT!$AI$12:$AI$15,MATCH(INPUT!$H$8,INPUT!$AH$12:$AH$15,0))-AB540</f>
        <v>3</v>
      </c>
      <c r="AB540" s="1364">
        <f t="shared" ca="1" si="175"/>
        <v>4</v>
      </c>
      <c r="AC540" s="633">
        <f t="shared" ca="1" si="175"/>
        <v>10</v>
      </c>
      <c r="AD540" s="633">
        <f t="shared" ca="1" si="175"/>
        <v>3</v>
      </c>
      <c r="AE540" s="633">
        <f t="shared" ca="1" si="175"/>
        <v>6</v>
      </c>
      <c r="AF540" s="1364">
        <f>INDEX(INPUT!$AI$12:$AI$15,MATCH(INPUT!$H$8,INPUT!$AH$12:$AH$15,0))</f>
        <v>7</v>
      </c>
      <c r="AG540" s="285"/>
      <c r="AH540" s="285"/>
      <c r="AI540" s="285"/>
      <c r="AJ540" s="285"/>
      <c r="AK540" s="285"/>
      <c r="AL540" s="285"/>
      <c r="AM540" s="284">
        <f t="shared" ca="1" si="169"/>
        <v>33</v>
      </c>
      <c r="AN540" s="294"/>
      <c r="AO540" s="249"/>
      <c r="AP540" s="250"/>
      <c r="AQ540" s="250"/>
      <c r="AR540" s="250"/>
      <c r="AS540" s="250"/>
      <c r="AT540" s="250"/>
      <c r="AU540" s="250"/>
      <c r="AV540" s="249"/>
      <c r="AW540" s="249"/>
      <c r="AX540" s="249"/>
      <c r="AY540" s="249"/>
      <c r="AZ540" s="249"/>
      <c r="BA540" s="249"/>
      <c r="BB540" s="249"/>
      <c r="BC540" s="249"/>
      <c r="BD540" s="249"/>
      <c r="BE540" s="249"/>
      <c r="BF540" s="249"/>
      <c r="BG540" s="249"/>
      <c r="BH540" s="249"/>
      <c r="BI540" s="249"/>
      <c r="BJ540" s="249"/>
      <c r="BK540" s="249"/>
      <c r="BL540" s="249"/>
      <c r="BM540" s="249"/>
      <c r="BN540" s="249"/>
      <c r="BO540" s="249"/>
      <c r="BP540" s="249"/>
      <c r="BQ540" s="249"/>
      <c r="BR540" s="249"/>
      <c r="BS540" s="249"/>
      <c r="BT540" s="249"/>
      <c r="BU540" s="249"/>
      <c r="BV540" s="249"/>
      <c r="BW540" s="249"/>
      <c r="BX540" s="249"/>
      <c r="BY540" s="249"/>
      <c r="BZ540" s="249"/>
      <c r="CA540" s="249"/>
      <c r="CB540" s="249"/>
      <c r="CC540" s="249"/>
      <c r="CD540" s="249"/>
      <c r="CE540" s="249"/>
      <c r="CF540" s="249"/>
      <c r="CG540" s="249"/>
      <c r="CH540" s="249"/>
      <c r="CI540" s="249"/>
      <c r="CJ540" s="249"/>
      <c r="CK540" s="249"/>
      <c r="CL540" s="249"/>
      <c r="CM540" s="249"/>
      <c r="CN540" s="249"/>
      <c r="CO540" s="249"/>
      <c r="CP540" s="249"/>
      <c r="CQ540" s="249"/>
      <c r="CR540" s="249"/>
      <c r="CS540" s="249"/>
      <c r="CT540" s="249"/>
      <c r="CU540" s="249"/>
      <c r="CV540" s="249"/>
      <c r="CW540" s="249"/>
      <c r="CX540" s="249"/>
      <c r="CY540" s="249"/>
      <c r="CZ540" s="249"/>
      <c r="DA540" s="249"/>
      <c r="DB540" s="249"/>
      <c r="DC540" s="249"/>
      <c r="DD540" s="249"/>
      <c r="DE540" s="249"/>
      <c r="DF540" s="249"/>
      <c r="DG540" s="249"/>
      <c r="DH540" s="249"/>
      <c r="DI540" s="249"/>
      <c r="DJ540" s="249"/>
      <c r="DK540" s="249"/>
      <c r="DL540" s="249"/>
      <c r="DM540" s="249"/>
      <c r="DN540" s="249"/>
      <c r="DO540" s="249"/>
      <c r="DP540" s="249"/>
      <c r="DQ540" s="249"/>
      <c r="DR540" s="249"/>
      <c r="DS540" s="249"/>
      <c r="DT540" s="249"/>
      <c r="DU540" s="249"/>
      <c r="DV540" s="249"/>
      <c r="DW540" s="249"/>
      <c r="DX540" s="249"/>
      <c r="DY540" s="249"/>
      <c r="DZ540" s="249"/>
      <c r="EA540" s="249"/>
      <c r="EB540" s="249"/>
      <c r="EC540" s="249"/>
      <c r="ED540" s="249"/>
      <c r="EE540" s="249"/>
      <c r="EF540" s="249"/>
      <c r="EG540" s="249"/>
      <c r="EH540" s="249"/>
      <c r="EI540" s="249"/>
      <c r="EJ540" s="249"/>
      <c r="EK540" s="249"/>
      <c r="EL540" s="249"/>
      <c r="EM540" s="249"/>
      <c r="EN540" s="249"/>
      <c r="EO540" s="249"/>
      <c r="EP540" s="249"/>
      <c r="EQ540" s="249"/>
      <c r="ER540" s="249"/>
      <c r="ES540" s="249"/>
      <c r="ET540" s="249"/>
      <c r="EU540" s="249"/>
      <c r="EV540" s="249"/>
      <c r="EW540" s="249"/>
      <c r="EX540" s="249"/>
      <c r="EY540" s="249"/>
      <c r="EZ540" s="249"/>
      <c r="FA540" s="249"/>
      <c r="FB540" s="249"/>
      <c r="FC540" s="249"/>
      <c r="FD540" s="249"/>
      <c r="FE540" s="249"/>
      <c r="FF540" s="249"/>
      <c r="FG540" s="249"/>
      <c r="FH540" s="249"/>
      <c r="FI540" s="249"/>
      <c r="FJ540" s="249"/>
      <c r="FK540" s="249"/>
      <c r="FL540" s="249"/>
      <c r="FM540" s="249"/>
      <c r="FN540" s="249"/>
      <c r="FO540" s="249"/>
      <c r="FP540" s="249"/>
      <c r="FQ540" s="249"/>
      <c r="FR540" s="249"/>
      <c r="FS540" s="249"/>
      <c r="FT540" s="249"/>
      <c r="FU540" s="249"/>
      <c r="FV540" s="249"/>
      <c r="FW540" s="249"/>
      <c r="FX540" s="249"/>
      <c r="FY540" s="249"/>
      <c r="FZ540" s="249"/>
      <c r="GA540" s="249"/>
      <c r="GB540" s="249"/>
      <c r="GC540" s="249"/>
      <c r="GD540" s="249"/>
      <c r="GE540" s="249"/>
      <c r="GF540" s="249"/>
      <c r="GG540" s="249"/>
      <c r="GH540" s="249"/>
      <c r="GI540" s="249"/>
      <c r="GJ540" s="249"/>
      <c r="GK540" s="249"/>
      <c r="GL540" s="249"/>
      <c r="GM540" s="249"/>
      <c r="GN540" s="249"/>
      <c r="GO540" s="249"/>
      <c r="GP540" s="249"/>
      <c r="GQ540" s="249"/>
      <c r="GR540" s="249"/>
    </row>
    <row r="541" spans="1:205" s="252" customFormat="1" ht="16.5" hidden="1" customHeight="1" x14ac:dyDescent="0.2">
      <c r="A541" s="735"/>
      <c r="B541" s="1136"/>
      <c r="C541" s="1136"/>
      <c r="D541" s="539" t="e">
        <f>#REF!=#REF!</f>
        <v>#REF!</v>
      </c>
      <c r="E541" s="614"/>
      <c r="F541" s="249"/>
      <c r="G541" s="250"/>
      <c r="H541" s="250"/>
      <c r="I541" s="250"/>
      <c r="J541" s="250"/>
      <c r="K541" s="250"/>
      <c r="L541" s="250"/>
      <c r="M541" s="250"/>
      <c r="N541" s="250"/>
      <c r="O541" s="250"/>
      <c r="P541" s="251"/>
      <c r="Q541" s="251"/>
      <c r="R541" s="251"/>
      <c r="S541" s="251"/>
      <c r="T541" s="251"/>
      <c r="U541" s="328"/>
      <c r="V541" s="1028" t="str">
        <f>JARSSHOCKTOOLDDT!I43</f>
        <v>8-1/2" UG Stabilizers</v>
      </c>
      <c r="W541" s="1027">
        <f>IF(INPUT!$H$11="SCIENTIFIC DRILLING INC.",VLOOKUP(V541,JARSSHOCKTOOLDDT!$I$15:$M$43,2,FALSE),VLOOKUP(V541,JARSSHOCKTOOLDDT!$I$15:$M$43,4,FALSE))*IF(INPUT!$D$7="REGULAR HOLE",1,0)</f>
        <v>0</v>
      </c>
      <c r="X541" s="285"/>
      <c r="Y541" s="285"/>
      <c r="Z541" s="285"/>
      <c r="AA541" s="1364">
        <f ca="1">INDEX(INPUT!$AI$12:$AI$15,MATCH(INPUT!$H$8,INPUT!$AH$12:$AH$15,0))-AB541</f>
        <v>3</v>
      </c>
      <c r="AB541" s="1364">
        <f t="shared" ca="1" si="175"/>
        <v>4</v>
      </c>
      <c r="AC541" s="633">
        <f t="shared" ca="1" si="175"/>
        <v>10</v>
      </c>
      <c r="AD541" s="633">
        <f t="shared" ca="1" si="175"/>
        <v>3</v>
      </c>
      <c r="AE541" s="633">
        <f t="shared" ca="1" si="175"/>
        <v>6</v>
      </c>
      <c r="AF541" s="1364">
        <f>INDEX(INPUT!$AI$12:$AI$15,MATCH(INPUT!$H$8,INPUT!$AH$12:$AH$15,0))</f>
        <v>7</v>
      </c>
      <c r="AG541" s="285"/>
      <c r="AH541" s="285"/>
      <c r="AI541" s="285"/>
      <c r="AJ541" s="285"/>
      <c r="AK541" s="285"/>
      <c r="AL541" s="285"/>
      <c r="AM541" s="284">
        <f t="shared" ca="1" si="169"/>
        <v>33</v>
      </c>
      <c r="AN541" s="294"/>
      <c r="AO541" s="249"/>
      <c r="AP541" s="250"/>
      <c r="AQ541" s="250"/>
      <c r="AR541" s="250"/>
      <c r="AS541" s="250"/>
      <c r="AT541" s="250"/>
      <c r="AU541" s="250"/>
      <c r="AV541" s="249"/>
      <c r="AW541" s="249"/>
      <c r="AX541" s="249"/>
      <c r="AY541" s="249"/>
      <c r="AZ541" s="249"/>
      <c r="BA541" s="249"/>
      <c r="BB541" s="249"/>
      <c r="BC541" s="249"/>
      <c r="BD541" s="249"/>
      <c r="BE541" s="249"/>
      <c r="BF541" s="249"/>
      <c r="BG541" s="249"/>
      <c r="BH541" s="249"/>
      <c r="BI541" s="249"/>
      <c r="BJ541" s="249"/>
      <c r="BK541" s="249"/>
      <c r="BL541" s="249"/>
      <c r="BM541" s="249"/>
      <c r="BN541" s="249"/>
      <c r="BO541" s="249"/>
      <c r="BP541" s="249"/>
      <c r="BQ541" s="249"/>
      <c r="BR541" s="249"/>
      <c r="BS541" s="249"/>
      <c r="BT541" s="249"/>
      <c r="BU541" s="249"/>
      <c r="BV541" s="249"/>
      <c r="BW541" s="249"/>
      <c r="BX541" s="249"/>
      <c r="BY541" s="249"/>
      <c r="BZ541" s="249"/>
      <c r="CA541" s="249"/>
      <c r="CB541" s="249"/>
      <c r="CC541" s="249"/>
      <c r="CD541" s="249"/>
      <c r="CE541" s="249"/>
      <c r="CF541" s="249"/>
      <c r="CG541" s="249"/>
      <c r="CH541" s="249"/>
      <c r="CI541" s="249"/>
      <c r="CJ541" s="249"/>
      <c r="CK541" s="249"/>
      <c r="CL541" s="249"/>
      <c r="CM541" s="249"/>
      <c r="CN541" s="249"/>
      <c r="CO541" s="249"/>
      <c r="CP541" s="249"/>
      <c r="CQ541" s="249"/>
      <c r="CR541" s="249"/>
      <c r="CS541" s="249"/>
      <c r="CT541" s="249"/>
      <c r="CU541" s="249"/>
      <c r="CV541" s="249"/>
      <c r="CW541" s="249"/>
      <c r="CX541" s="249"/>
      <c r="CY541" s="249"/>
      <c r="CZ541" s="249"/>
      <c r="DA541" s="249"/>
      <c r="DB541" s="249"/>
      <c r="DC541" s="249"/>
      <c r="DD541" s="249"/>
      <c r="DE541" s="249"/>
      <c r="DF541" s="249"/>
      <c r="DG541" s="249"/>
      <c r="DH541" s="249"/>
      <c r="DI541" s="249"/>
      <c r="DJ541" s="249"/>
      <c r="DK541" s="249"/>
      <c r="DL541" s="249"/>
      <c r="DM541" s="249"/>
      <c r="DN541" s="249"/>
      <c r="DO541" s="249"/>
      <c r="DP541" s="249"/>
      <c r="DQ541" s="249"/>
      <c r="DR541" s="249"/>
      <c r="DS541" s="249"/>
      <c r="DT541" s="249"/>
      <c r="DU541" s="249"/>
      <c r="DV541" s="249"/>
      <c r="DW541" s="249"/>
      <c r="DX541" s="249"/>
      <c r="DY541" s="249"/>
      <c r="DZ541" s="249"/>
      <c r="EA541" s="249"/>
      <c r="EB541" s="249"/>
      <c r="EC541" s="249"/>
      <c r="ED541" s="249"/>
      <c r="EE541" s="249"/>
      <c r="EF541" s="249"/>
      <c r="EG541" s="249"/>
      <c r="EH541" s="249"/>
      <c r="EI541" s="249"/>
      <c r="EJ541" s="249"/>
      <c r="EK541" s="249"/>
      <c r="EL541" s="249"/>
      <c r="EM541" s="249"/>
      <c r="EN541" s="249"/>
      <c r="EO541" s="249"/>
      <c r="EP541" s="249"/>
      <c r="EQ541" s="249"/>
      <c r="ER541" s="249"/>
      <c r="ES541" s="249"/>
      <c r="ET541" s="249"/>
      <c r="EU541" s="249"/>
      <c r="EV541" s="249"/>
      <c r="EW541" s="249"/>
      <c r="EX541" s="249"/>
      <c r="EY541" s="249"/>
      <c r="EZ541" s="249"/>
      <c r="FA541" s="249"/>
      <c r="FB541" s="249"/>
      <c r="FC541" s="249"/>
      <c r="FD541" s="249"/>
      <c r="FE541" s="249"/>
      <c r="FF541" s="249"/>
      <c r="FG541" s="249"/>
      <c r="FH541" s="249"/>
      <c r="FI541" s="249"/>
      <c r="FJ541" s="249"/>
      <c r="FK541" s="249"/>
      <c r="FL541" s="249"/>
      <c r="FM541" s="249"/>
      <c r="FN541" s="249"/>
      <c r="FO541" s="249"/>
      <c r="FP541" s="249"/>
      <c r="FQ541" s="249"/>
      <c r="FR541" s="249"/>
      <c r="FS541" s="249"/>
      <c r="FT541" s="249"/>
      <c r="FU541" s="249"/>
      <c r="FV541" s="249"/>
      <c r="FW541" s="249"/>
      <c r="FX541" s="249"/>
      <c r="FY541" s="249"/>
      <c r="FZ541" s="249"/>
      <c r="GA541" s="249"/>
      <c r="GB541" s="249"/>
      <c r="GC541" s="249"/>
      <c r="GD541" s="249"/>
      <c r="GE541" s="249"/>
      <c r="GF541" s="249"/>
      <c r="GG541" s="249"/>
      <c r="GH541" s="249"/>
      <c r="GI541" s="249"/>
      <c r="GJ541" s="249"/>
      <c r="GK541" s="249"/>
      <c r="GL541" s="249"/>
      <c r="GM541" s="249"/>
      <c r="GN541" s="249"/>
      <c r="GO541" s="249"/>
      <c r="GP541" s="249"/>
      <c r="GQ541" s="249"/>
      <c r="GR541" s="249"/>
    </row>
    <row r="542" spans="1:205" s="252" customFormat="1" ht="16.5" hidden="1" customHeight="1" x14ac:dyDescent="0.2">
      <c r="A542" s="735"/>
      <c r="B542" s="1136"/>
      <c r="C542" s="1136"/>
      <c r="D542" s="539" t="e">
        <f>#REF!=#REF!</f>
        <v>#REF!</v>
      </c>
      <c r="E542" s="614"/>
      <c r="F542" s="249"/>
      <c r="G542" s="250"/>
      <c r="H542" s="250"/>
      <c r="I542" s="250"/>
      <c r="J542" s="250"/>
      <c r="K542" s="250"/>
      <c r="L542" s="250"/>
      <c r="M542" s="250"/>
      <c r="N542" s="250"/>
      <c r="O542" s="250"/>
      <c r="P542" s="251"/>
      <c r="Q542" s="251"/>
      <c r="R542" s="251"/>
      <c r="S542" s="251"/>
      <c r="T542" s="251"/>
      <c r="U542" s="1157" t="str">
        <f>JARSSHOCKTOOLDDT!I44</f>
        <v>OTHER TOOLS</v>
      </c>
      <c r="V542" s="1158"/>
      <c r="W542" s="1159"/>
      <c r="X542" s="1156"/>
      <c r="Y542" s="1156"/>
      <c r="Z542" s="1156"/>
      <c r="AA542" s="1156"/>
      <c r="AB542" s="1156"/>
      <c r="AC542" s="1156"/>
      <c r="AD542" s="1156"/>
      <c r="AE542" s="1156"/>
      <c r="AF542" s="1156"/>
      <c r="AG542" s="1156"/>
      <c r="AH542" s="1156"/>
      <c r="AI542" s="1156"/>
      <c r="AJ542" s="1156"/>
      <c r="AK542" s="1156"/>
      <c r="AL542" s="1156"/>
      <c r="AM542" s="1160"/>
      <c r="AN542" s="294"/>
      <c r="AO542" s="249"/>
      <c r="AP542" s="250"/>
      <c r="AQ542" s="250"/>
      <c r="AR542" s="250"/>
      <c r="AS542" s="250"/>
      <c r="AT542" s="250"/>
      <c r="AU542" s="250"/>
      <c r="AV542" s="249"/>
      <c r="AW542" s="249"/>
      <c r="AX542" s="249"/>
      <c r="AY542" s="249"/>
      <c r="AZ542" s="249"/>
      <c r="BA542" s="249"/>
      <c r="BB542" s="249"/>
      <c r="BC542" s="249"/>
      <c r="BD542" s="249"/>
      <c r="BE542" s="249"/>
      <c r="BF542" s="249"/>
      <c r="BG542" s="249"/>
      <c r="BH542" s="249"/>
      <c r="BI542" s="249"/>
      <c r="BJ542" s="249"/>
      <c r="BK542" s="249"/>
      <c r="BL542" s="249"/>
      <c r="BM542" s="249"/>
      <c r="BN542" s="249"/>
      <c r="BO542" s="249"/>
      <c r="BP542" s="249"/>
      <c r="BQ542" s="249"/>
      <c r="BR542" s="249"/>
      <c r="BS542" s="249"/>
      <c r="BT542" s="249"/>
      <c r="BU542" s="249"/>
      <c r="BV542" s="249"/>
      <c r="BW542" s="249"/>
      <c r="BX542" s="249"/>
      <c r="BY542" s="249"/>
      <c r="BZ542" s="249"/>
      <c r="CA542" s="249"/>
      <c r="CB542" s="249"/>
      <c r="CC542" s="249"/>
      <c r="CD542" s="249"/>
      <c r="CE542" s="249"/>
      <c r="CF542" s="249"/>
      <c r="CG542" s="249"/>
      <c r="CH542" s="249"/>
      <c r="CI542" s="249"/>
      <c r="CJ542" s="249"/>
      <c r="CK542" s="249"/>
      <c r="CL542" s="249"/>
      <c r="CM542" s="249"/>
      <c r="CN542" s="249"/>
      <c r="CO542" s="249"/>
      <c r="CP542" s="249"/>
      <c r="CQ542" s="249"/>
      <c r="CR542" s="249"/>
      <c r="CS542" s="249"/>
      <c r="CT542" s="249"/>
      <c r="CU542" s="249"/>
      <c r="CV542" s="249"/>
      <c r="CW542" s="249"/>
      <c r="CX542" s="249"/>
      <c r="CY542" s="249"/>
      <c r="CZ542" s="249"/>
      <c r="DA542" s="249"/>
      <c r="DB542" s="249"/>
      <c r="DC542" s="249"/>
      <c r="DD542" s="249"/>
      <c r="DE542" s="249"/>
      <c r="DF542" s="249"/>
      <c r="DG542" s="249"/>
      <c r="DH542" s="249"/>
      <c r="DI542" s="249"/>
      <c r="DJ542" s="249"/>
      <c r="DK542" s="249"/>
      <c r="DL542" s="249"/>
      <c r="DM542" s="249"/>
      <c r="DN542" s="249"/>
      <c r="DO542" s="249"/>
      <c r="DP542" s="249"/>
      <c r="DQ542" s="249"/>
      <c r="DR542" s="249"/>
      <c r="DS542" s="249"/>
      <c r="DT542" s="249"/>
      <c r="DU542" s="249"/>
      <c r="DV542" s="249"/>
      <c r="DW542" s="249"/>
      <c r="DX542" s="249"/>
      <c r="DY542" s="249"/>
      <c r="DZ542" s="249"/>
      <c r="EA542" s="249"/>
      <c r="EB542" s="249"/>
      <c r="EC542" s="249"/>
      <c r="ED542" s="249"/>
      <c r="EE542" s="249"/>
      <c r="EF542" s="249"/>
      <c r="EG542" s="249"/>
      <c r="EH542" s="249"/>
      <c r="EI542" s="249"/>
      <c r="EJ542" s="249"/>
      <c r="EK542" s="249"/>
      <c r="EL542" s="249"/>
      <c r="EM542" s="249"/>
      <c r="EN542" s="249"/>
      <c r="EO542" s="249"/>
      <c r="EP542" s="249"/>
      <c r="EQ542" s="249"/>
      <c r="ER542" s="249"/>
      <c r="ES542" s="249"/>
      <c r="ET542" s="249"/>
      <c r="EU542" s="249"/>
      <c r="EV542" s="249"/>
      <c r="EW542" s="249"/>
      <c r="EX542" s="249"/>
      <c r="EY542" s="249"/>
      <c r="EZ542" s="249"/>
      <c r="FA542" s="249"/>
      <c r="FB542" s="249"/>
      <c r="FC542" s="249"/>
      <c r="FD542" s="249"/>
      <c r="FE542" s="249"/>
      <c r="FF542" s="249"/>
      <c r="FG542" s="249"/>
      <c r="FH542" s="249"/>
      <c r="FI542" s="249"/>
      <c r="FJ542" s="249"/>
      <c r="FK542" s="249"/>
      <c r="FL542" s="249"/>
      <c r="FM542" s="249"/>
      <c r="FN542" s="249"/>
      <c r="FO542" s="249"/>
      <c r="FP542" s="249"/>
      <c r="FQ542" s="249"/>
      <c r="FR542" s="249"/>
      <c r="FS542" s="249"/>
      <c r="FT542" s="249"/>
      <c r="FU542" s="249"/>
      <c r="FV542" s="249"/>
      <c r="FW542" s="249"/>
      <c r="FX542" s="249"/>
      <c r="FY542" s="249"/>
      <c r="FZ542" s="249"/>
      <c r="GA542" s="249"/>
      <c r="GB542" s="249"/>
      <c r="GC542" s="249"/>
      <c r="GD542" s="249"/>
      <c r="GE542" s="249"/>
      <c r="GF542" s="249"/>
      <c r="GG542" s="249"/>
      <c r="GH542" s="249"/>
      <c r="GI542" s="249"/>
      <c r="GJ542" s="249"/>
      <c r="GK542" s="249"/>
      <c r="GL542" s="249"/>
      <c r="GM542" s="249"/>
      <c r="GN542" s="249"/>
      <c r="GO542" s="249"/>
      <c r="GP542" s="249"/>
      <c r="GQ542" s="249"/>
      <c r="GR542" s="249"/>
    </row>
    <row r="543" spans="1:205" ht="13.5" hidden="1" customHeight="1" thickBot="1" x14ac:dyDescent="0.25">
      <c r="A543" s="735"/>
      <c r="B543" s="1136"/>
      <c r="C543" s="1136"/>
      <c r="D543" s="539"/>
      <c r="E543" s="613"/>
      <c r="G543" s="174"/>
      <c r="H543" s="174"/>
      <c r="I543" s="174"/>
      <c r="J543" s="174"/>
      <c r="K543" s="174"/>
      <c r="P543" s="179"/>
      <c r="Q543" s="179"/>
      <c r="R543" s="179"/>
      <c r="S543" s="179"/>
      <c r="T543" s="179"/>
      <c r="U543" s="287"/>
      <c r="V543" s="1460"/>
      <c r="W543" s="290"/>
      <c r="X543" s="283"/>
      <c r="Y543" s="283"/>
      <c r="Z543" s="283"/>
      <c r="AA543" s="283"/>
      <c r="AB543" s="283"/>
      <c r="AC543" s="283"/>
      <c r="AD543" s="283"/>
      <c r="AE543" s="283"/>
      <c r="AF543" s="283"/>
      <c r="AG543" s="283"/>
      <c r="AH543" s="283"/>
      <c r="AI543" s="283"/>
      <c r="AJ543" s="283"/>
      <c r="AK543" s="283"/>
      <c r="AL543" s="283"/>
      <c r="AM543" s="284"/>
      <c r="AN543" s="294"/>
      <c r="AO543" s="249"/>
      <c r="AP543" s="250"/>
      <c r="AQ543" s="250"/>
      <c r="AR543" s="250"/>
      <c r="AS543" s="250"/>
      <c r="AT543" s="250"/>
      <c r="AU543" s="250"/>
      <c r="GS543" s="176"/>
      <c r="GT543" s="176"/>
      <c r="GU543" s="176"/>
      <c r="GV543" s="176"/>
      <c r="GW543" s="176"/>
    </row>
    <row r="544" spans="1:205" s="252" customFormat="1" ht="16.5" hidden="1" customHeight="1" thickBot="1" x14ac:dyDescent="0.25">
      <c r="A544" s="735"/>
      <c r="B544" s="1136"/>
      <c r="C544" s="1136"/>
      <c r="D544" s="540"/>
      <c r="E544" s="614"/>
      <c r="F544" s="249"/>
      <c r="G544" s="250"/>
      <c r="H544" s="250"/>
      <c r="I544" s="250"/>
      <c r="J544" s="250"/>
      <c r="K544" s="250"/>
      <c r="L544" s="250"/>
      <c r="M544" s="250"/>
      <c r="N544" s="250"/>
      <c r="O544" s="250"/>
      <c r="P544" s="251"/>
      <c r="Q544" s="251"/>
      <c r="R544" s="251"/>
      <c r="S544" s="251"/>
      <c r="T544" s="251"/>
      <c r="U544" s="1470" t="str">
        <f>V511</f>
        <v>REGULAR HOLE</v>
      </c>
      <c r="V544" s="1470"/>
      <c r="W544" s="1426" t="s">
        <v>928</v>
      </c>
      <c r="X544" s="1426" t="str">
        <f t="shared" ref="X544:AK544" si="176">X$14</f>
        <v>RIGMOVE</v>
      </c>
      <c r="Y544" s="1426" t="str">
        <f t="shared" si="176"/>
        <v>DSURFACE</v>
      </c>
      <c r="Z544" s="1426" t="str">
        <f t="shared" si="176"/>
        <v>FSURFACE</v>
      </c>
      <c r="AA544" s="1426" t="str">
        <f t="shared" si="176"/>
        <v>DINTERMEDIATE</v>
      </c>
      <c r="AB544" s="1426" t="str">
        <f t="shared" si="176"/>
        <v>FINTERMEDIATE</v>
      </c>
      <c r="AC544" s="1426" t="str">
        <f t="shared" si="176"/>
        <v>DPRODUCTION</v>
      </c>
      <c r="AD544" s="1426" t="str">
        <f t="shared" si="176"/>
        <v>FPRODUCTION</v>
      </c>
      <c r="AE544" s="1426" t="str">
        <f t="shared" si="176"/>
        <v>DLINER1</v>
      </c>
      <c r="AF544" s="1426" t="str">
        <f t="shared" si="176"/>
        <v>FLINER1</v>
      </c>
      <c r="AG544" s="1426" t="str">
        <f t="shared" si="176"/>
        <v>DLINER2</v>
      </c>
      <c r="AH544" s="1426" t="str">
        <f t="shared" si="176"/>
        <v>FLINER2</v>
      </c>
      <c r="AI544" s="1426" t="str">
        <f t="shared" si="176"/>
        <v/>
      </c>
      <c r="AJ544" s="1426" t="str">
        <f t="shared" si="176"/>
        <v/>
      </c>
      <c r="AK544" s="1426" t="str">
        <f t="shared" si="176"/>
        <v/>
      </c>
      <c r="AL544" s="1154"/>
      <c r="AM544" s="1155" t="s">
        <v>101</v>
      </c>
      <c r="AN544" s="294"/>
      <c r="AO544" s="249"/>
      <c r="AP544" s="250"/>
      <c r="AQ544" s="250"/>
      <c r="AR544" s="250"/>
      <c r="AS544" s="250"/>
      <c r="AT544" s="250"/>
      <c r="AU544" s="250"/>
      <c r="AV544" s="249"/>
      <c r="AW544" s="249"/>
      <c r="AX544" s="249"/>
      <c r="AY544" s="249"/>
      <c r="AZ544" s="249"/>
      <c r="BA544" s="249"/>
      <c r="BB544" s="249"/>
      <c r="BC544" s="249"/>
      <c r="BD544" s="249"/>
      <c r="BE544" s="249"/>
      <c r="BF544" s="249"/>
      <c r="BG544" s="249"/>
      <c r="BH544" s="249"/>
      <c r="BI544" s="249"/>
      <c r="BJ544" s="249"/>
      <c r="BK544" s="249"/>
      <c r="BL544" s="249"/>
      <c r="BM544" s="249"/>
      <c r="BN544" s="249"/>
      <c r="BO544" s="249"/>
      <c r="BP544" s="249"/>
      <c r="BQ544" s="249"/>
      <c r="BR544" s="249"/>
      <c r="BS544" s="249"/>
      <c r="BT544" s="249"/>
      <c r="BU544" s="249"/>
      <c r="BV544" s="249"/>
      <c r="BW544" s="249"/>
      <c r="BX544" s="249"/>
      <c r="BY544" s="249"/>
      <c r="BZ544" s="249"/>
      <c r="CA544" s="249"/>
      <c r="CB544" s="249"/>
      <c r="CC544" s="249"/>
      <c r="CD544" s="249"/>
      <c r="CE544" s="249"/>
      <c r="CF544" s="249"/>
      <c r="CG544" s="249"/>
      <c r="CH544" s="249"/>
      <c r="CI544" s="249"/>
      <c r="CJ544" s="249"/>
      <c r="CK544" s="249"/>
      <c r="CL544" s="249"/>
      <c r="CM544" s="249"/>
      <c r="CN544" s="249"/>
      <c r="CO544" s="249"/>
      <c r="CP544" s="249"/>
      <c r="CQ544" s="249"/>
      <c r="CR544" s="249"/>
      <c r="CS544" s="249"/>
      <c r="CT544" s="249"/>
      <c r="CU544" s="249"/>
      <c r="CV544" s="249"/>
      <c r="CW544" s="249"/>
      <c r="CX544" s="249"/>
      <c r="CY544" s="249"/>
      <c r="CZ544" s="249"/>
      <c r="DA544" s="249"/>
      <c r="DB544" s="249"/>
      <c r="DC544" s="249"/>
      <c r="DD544" s="249"/>
      <c r="DE544" s="249"/>
      <c r="DF544" s="249"/>
      <c r="DG544" s="249"/>
      <c r="DH544" s="249"/>
      <c r="DI544" s="249"/>
      <c r="DJ544" s="249"/>
      <c r="DK544" s="249"/>
      <c r="DL544" s="249"/>
      <c r="DM544" s="249"/>
      <c r="DN544" s="249"/>
      <c r="DO544" s="249"/>
      <c r="DP544" s="249"/>
      <c r="DQ544" s="249"/>
      <c r="DR544" s="249"/>
      <c r="DS544" s="249"/>
      <c r="DT544" s="249"/>
      <c r="DU544" s="249"/>
      <c r="DV544" s="249"/>
      <c r="DW544" s="249"/>
      <c r="DX544" s="249"/>
      <c r="DY544" s="249"/>
      <c r="DZ544" s="249"/>
      <c r="EA544" s="249"/>
      <c r="EB544" s="249"/>
      <c r="EC544" s="249"/>
      <c r="ED544" s="249"/>
      <c r="EE544" s="249"/>
      <c r="EF544" s="249"/>
      <c r="EG544" s="249"/>
      <c r="EH544" s="249"/>
      <c r="EI544" s="249"/>
      <c r="EJ544" s="249"/>
      <c r="EK544" s="249"/>
      <c r="EL544" s="249"/>
      <c r="EM544" s="249"/>
      <c r="EN544" s="249"/>
      <c r="EO544" s="249"/>
      <c r="EP544" s="249"/>
      <c r="EQ544" s="249"/>
      <c r="ER544" s="249"/>
      <c r="ES544" s="249"/>
      <c r="ET544" s="249"/>
      <c r="EU544" s="249"/>
      <c r="EV544" s="249"/>
      <c r="EW544" s="249"/>
      <c r="EX544" s="249"/>
      <c r="EY544" s="249"/>
      <c r="EZ544" s="249"/>
      <c r="FA544" s="249"/>
      <c r="FB544" s="249"/>
      <c r="FC544" s="249"/>
      <c r="FD544" s="249"/>
      <c r="FE544" s="249"/>
      <c r="FF544" s="249"/>
      <c r="FG544" s="249"/>
      <c r="FH544" s="249"/>
      <c r="FI544" s="249"/>
      <c r="FJ544" s="249"/>
      <c r="FK544" s="249"/>
      <c r="FL544" s="249"/>
      <c r="FM544" s="249"/>
      <c r="FN544" s="249"/>
      <c r="FO544" s="249"/>
      <c r="FP544" s="249"/>
      <c r="FQ544" s="249"/>
      <c r="FR544" s="249"/>
      <c r="FS544" s="249"/>
      <c r="FT544" s="249"/>
      <c r="FU544" s="249"/>
      <c r="FV544" s="249"/>
      <c r="FW544" s="249"/>
      <c r="FX544" s="249"/>
      <c r="FY544" s="249"/>
      <c r="FZ544" s="249"/>
      <c r="GA544" s="249"/>
      <c r="GB544" s="249"/>
      <c r="GC544" s="249"/>
      <c r="GD544" s="249"/>
      <c r="GE544" s="249"/>
      <c r="GF544" s="249"/>
      <c r="GG544" s="249"/>
      <c r="GH544" s="249"/>
      <c r="GI544" s="249"/>
      <c r="GJ544" s="249"/>
      <c r="GK544" s="249"/>
      <c r="GL544" s="249"/>
      <c r="GM544" s="249"/>
      <c r="GN544" s="249"/>
      <c r="GO544" s="249"/>
      <c r="GP544" s="249"/>
      <c r="GQ544" s="249"/>
      <c r="GR544" s="249"/>
    </row>
    <row r="545" spans="1:205" ht="12.75" hidden="1" customHeight="1" x14ac:dyDescent="0.2">
      <c r="A545" s="709"/>
      <c r="B545" s="1110"/>
      <c r="C545" s="1110"/>
      <c r="D545" s="257"/>
      <c r="E545" s="614"/>
      <c r="G545" s="186"/>
      <c r="H545" s="186"/>
      <c r="I545" s="186"/>
      <c r="J545" s="186"/>
      <c r="K545" s="186"/>
      <c r="L545" s="186"/>
      <c r="P545" s="179"/>
      <c r="Q545" s="179"/>
      <c r="R545" s="179"/>
      <c r="S545" s="175"/>
      <c r="T545" s="175"/>
      <c r="U545" s="1152" t="str">
        <f>U512</f>
        <v>A. FOR 26" &amp; 17" HOLE (to be shipped while Rig move)</v>
      </c>
      <c r="V545" s="1152"/>
      <c r="W545" s="1159"/>
      <c r="X545" s="1151"/>
      <c r="Y545" s="1151"/>
      <c r="Z545" s="1151"/>
      <c r="AA545" s="1151"/>
      <c r="AB545" s="1151"/>
      <c r="AC545" s="1151"/>
      <c r="AD545" s="1151"/>
      <c r="AE545" s="1151"/>
      <c r="AF545" s="1151"/>
      <c r="AG545" s="1151"/>
      <c r="AH545" s="1151"/>
      <c r="AI545" s="1151"/>
      <c r="AJ545" s="1151"/>
      <c r="AK545" s="1151"/>
      <c r="AL545" s="1151"/>
      <c r="AM545" s="1468"/>
      <c r="AN545" s="294"/>
      <c r="GS545" s="176"/>
      <c r="GT545" s="176"/>
      <c r="GU545" s="176"/>
      <c r="GV545" s="176"/>
      <c r="GW545" s="176"/>
    </row>
    <row r="546" spans="1:205" ht="12.75" hidden="1" customHeight="1" x14ac:dyDescent="0.2">
      <c r="A546" s="709"/>
      <c r="B546" s="1110"/>
      <c r="C546" s="1110"/>
      <c r="D546" s="257" t="e">
        <f>#REF!=#REF!</f>
        <v>#REF!</v>
      </c>
      <c r="E546" s="614"/>
      <c r="G546" s="186"/>
      <c r="H546" s="186"/>
      <c r="I546" s="186"/>
      <c r="J546" s="186"/>
      <c r="K546" s="186"/>
      <c r="L546" s="186"/>
      <c r="P546" s="179"/>
      <c r="Q546" s="179"/>
      <c r="R546" s="179"/>
      <c r="S546" s="175"/>
      <c r="T546" s="175"/>
      <c r="U546" s="253"/>
      <c r="V546" s="1460" t="str">
        <f t="shared" ref="V546:V574" si="177">V513</f>
        <v>Directional Engineer</v>
      </c>
      <c r="W546" s="1027">
        <f>IF(INPUT!$H$11="SCIENTIFIC DRILLING INC.",VLOOKUP(V546,JARSSHOCKTOOLDDT!$I$15:$M$43,3,FALSE),VLOOKUP(V546,JARSSHOCKTOOLDDT!$I$15:$M$43,5,FALSE))</f>
        <v>850</v>
      </c>
      <c r="X546" s="245">
        <f t="shared" ref="X546:X574" si="178">IFERROR(($W546*$W513*X513*FOREX),0)</f>
        <v>0</v>
      </c>
      <c r="Y546" s="245">
        <f ca="1">IFERROR(($W546*$W513*Y513*FOREX),0)*IF(INPUT!$D$18="YES",0,1)</f>
        <v>0</v>
      </c>
      <c r="Z546" s="245">
        <f ca="1">IFERROR(($W546*$W513*Z513*FOREX),0)*IF(INPUT!$D$18="YES",0,1)</f>
        <v>0</v>
      </c>
      <c r="AA546" s="245">
        <f t="shared" ref="AA546:AH555" ca="1" si="179">IFERROR(($W546*$W513*AA513*FOREX),0)</f>
        <v>0</v>
      </c>
      <c r="AB546" s="245">
        <f t="shared" ca="1" si="179"/>
        <v>0</v>
      </c>
      <c r="AC546" s="245">
        <f t="shared" ca="1" si="179"/>
        <v>0</v>
      </c>
      <c r="AD546" s="245">
        <f t="shared" ca="1" si="179"/>
        <v>0</v>
      </c>
      <c r="AE546" s="245">
        <f t="shared" ca="1" si="179"/>
        <v>0</v>
      </c>
      <c r="AF546" s="245">
        <f t="shared" ca="1" si="179"/>
        <v>0</v>
      </c>
      <c r="AG546" s="245">
        <f t="shared" si="179"/>
        <v>0</v>
      </c>
      <c r="AH546" s="245">
        <f t="shared" si="179"/>
        <v>0</v>
      </c>
      <c r="AI546" s="245">
        <f t="shared" ref="AI546:AK574" si="180">IFERROR(($W546*$W513*AI513*FOREX),0)</f>
        <v>0</v>
      </c>
      <c r="AJ546" s="245">
        <f t="shared" si="180"/>
        <v>0</v>
      </c>
      <c r="AK546" s="245">
        <f t="shared" si="180"/>
        <v>0</v>
      </c>
      <c r="AL546" s="245"/>
      <c r="AM546" s="246">
        <f t="shared" ref="AM546:AM575" ca="1" si="181">SUM(X546:AL546)</f>
        <v>0</v>
      </c>
      <c r="AN546" s="254"/>
      <c r="GS546" s="176"/>
      <c r="GT546" s="176"/>
      <c r="GU546" s="176"/>
      <c r="GV546" s="176"/>
      <c r="GW546" s="176"/>
    </row>
    <row r="547" spans="1:205" ht="12.75" hidden="1" customHeight="1" x14ac:dyDescent="0.2">
      <c r="A547" s="709"/>
      <c r="B547" s="1110"/>
      <c r="C547" s="1110"/>
      <c r="D547" s="257" t="e">
        <f>#REF!=#REF!</f>
        <v>#REF!</v>
      </c>
      <c r="E547" s="614"/>
      <c r="G547" s="186"/>
      <c r="H547" s="186"/>
      <c r="I547" s="186"/>
      <c r="J547" s="186"/>
      <c r="K547" s="186"/>
      <c r="L547" s="186"/>
      <c r="P547" s="179"/>
      <c r="Q547" s="179"/>
      <c r="R547" s="179"/>
      <c r="S547" s="175"/>
      <c r="T547" s="175"/>
      <c r="U547" s="253"/>
      <c r="V547" s="1460" t="str">
        <f t="shared" si="177"/>
        <v>MWD Engineer</v>
      </c>
      <c r="W547" s="1027">
        <f>IF(INPUT!$H$11="SCIENTIFIC DRILLING INC.",VLOOKUP(V547,JARSSHOCKTOOLDDT!$I$15:$M$43,3,FALSE),VLOOKUP(V547,JARSSHOCKTOOLDDT!$I$15:$M$43,5,FALSE))</f>
        <v>850</v>
      </c>
      <c r="X547" s="245">
        <f t="shared" si="178"/>
        <v>0</v>
      </c>
      <c r="Y547" s="245">
        <f ca="1">IFERROR(($W547*$W514*Y514*FOREX),0)*IF(INPUT!$D$18="YES",0,1)</f>
        <v>0</v>
      </c>
      <c r="Z547" s="245">
        <f ca="1">IFERROR(($W547*$W514*Z514*FOREX),0)*IF(INPUT!$D$18="YES",0,1)</f>
        <v>0</v>
      </c>
      <c r="AA547" s="245">
        <f t="shared" ca="1" si="179"/>
        <v>0</v>
      </c>
      <c r="AB547" s="245">
        <f t="shared" ca="1" si="179"/>
        <v>0</v>
      </c>
      <c r="AC547" s="245">
        <f t="shared" ca="1" si="179"/>
        <v>0</v>
      </c>
      <c r="AD547" s="245">
        <f t="shared" ca="1" si="179"/>
        <v>0</v>
      </c>
      <c r="AE547" s="245">
        <f t="shared" ca="1" si="179"/>
        <v>0</v>
      </c>
      <c r="AF547" s="245">
        <f t="shared" ca="1" si="179"/>
        <v>0</v>
      </c>
      <c r="AG547" s="245">
        <f t="shared" si="179"/>
        <v>0</v>
      </c>
      <c r="AH547" s="245">
        <f t="shared" si="179"/>
        <v>0</v>
      </c>
      <c r="AI547" s="245">
        <f t="shared" si="180"/>
        <v>0</v>
      </c>
      <c r="AJ547" s="245">
        <f t="shared" si="180"/>
        <v>0</v>
      </c>
      <c r="AK547" s="245">
        <f t="shared" si="180"/>
        <v>0</v>
      </c>
      <c r="AL547" s="245"/>
      <c r="AM547" s="246">
        <f t="shared" ca="1" si="181"/>
        <v>0</v>
      </c>
      <c r="AN547" s="172"/>
      <c r="AO547" s="249"/>
      <c r="AP547" s="250"/>
      <c r="AQ547" s="250"/>
      <c r="AR547" s="250"/>
      <c r="AS547" s="250"/>
      <c r="AT547" s="250"/>
      <c r="AU547" s="250"/>
      <c r="GS547" s="176"/>
      <c r="GT547" s="176"/>
      <c r="GU547" s="176"/>
      <c r="GV547" s="176"/>
      <c r="GW547" s="176"/>
    </row>
    <row r="548" spans="1:205" ht="12.75" hidden="1" customHeight="1" x14ac:dyDescent="0.2">
      <c r="A548" s="709"/>
      <c r="B548" s="1110"/>
      <c r="C548" s="1110"/>
      <c r="D548" s="257" t="e">
        <f>#REF!=#REF!</f>
        <v>#REF!</v>
      </c>
      <c r="E548" s="614"/>
      <c r="G548" s="186"/>
      <c r="H548" s="186"/>
      <c r="I548" s="186"/>
      <c r="J548" s="186"/>
      <c r="K548" s="186"/>
      <c r="L548" s="186"/>
      <c r="P548" s="179"/>
      <c r="Q548" s="179"/>
      <c r="R548" s="179"/>
      <c r="S548" s="175"/>
      <c r="T548" s="175"/>
      <c r="U548" s="253"/>
      <c r="V548" s="1460" t="str">
        <f t="shared" si="177"/>
        <v>9-5/8" Super Extended PDM Tool, rental</v>
      </c>
      <c r="W548" s="1027">
        <f>IF(INPUT!$H$11="SCIENTIFIC DRILLING INC.",VLOOKUP(V548,JARSSHOCKTOOLDDT!$I$15:$M$43,3,FALSE),VLOOKUP(V548,JARSSHOCKTOOLDDT!$I$15:$M$43,5,FALSE))</f>
        <v>0</v>
      </c>
      <c r="X548" s="245">
        <f t="shared" si="178"/>
        <v>0</v>
      </c>
      <c r="Y548" s="245">
        <f ca="1">IFERROR(($W548*$W515*Y515*FOREX),0)*IF(INPUT!$D$18="YES",0,1)</f>
        <v>0</v>
      </c>
      <c r="Z548" s="245">
        <f ca="1">IFERROR(($W548*$W515*Z515*FOREX),0)*IF(INPUT!$D$18="YES",0,1)</f>
        <v>0</v>
      </c>
      <c r="AA548" s="245">
        <f t="shared" ca="1" si="179"/>
        <v>0</v>
      </c>
      <c r="AB548" s="245">
        <f t="shared" ca="1" si="179"/>
        <v>0</v>
      </c>
      <c r="AC548" s="245">
        <f t="shared" si="179"/>
        <v>0</v>
      </c>
      <c r="AD548" s="245">
        <f t="shared" si="179"/>
        <v>0</v>
      </c>
      <c r="AE548" s="245">
        <f t="shared" si="179"/>
        <v>0</v>
      </c>
      <c r="AF548" s="245">
        <f t="shared" si="179"/>
        <v>0</v>
      </c>
      <c r="AG548" s="245">
        <f t="shared" si="179"/>
        <v>0</v>
      </c>
      <c r="AH548" s="245">
        <f t="shared" si="179"/>
        <v>0</v>
      </c>
      <c r="AI548" s="245">
        <f t="shared" si="180"/>
        <v>0</v>
      </c>
      <c r="AJ548" s="245">
        <f t="shared" si="180"/>
        <v>0</v>
      </c>
      <c r="AK548" s="245">
        <f t="shared" si="180"/>
        <v>0</v>
      </c>
      <c r="AL548" s="245"/>
      <c r="AM548" s="246">
        <f t="shared" ca="1" si="181"/>
        <v>0</v>
      </c>
      <c r="AN548" s="294"/>
      <c r="AP548" s="186"/>
      <c r="AQ548" s="186"/>
      <c r="AR548" s="186"/>
      <c r="AS548" s="186"/>
      <c r="AT548" s="186"/>
      <c r="AU548" s="186"/>
      <c r="GS548" s="176"/>
      <c r="GT548" s="176"/>
      <c r="GU548" s="176"/>
      <c r="GV548" s="176"/>
      <c r="GW548" s="176"/>
    </row>
    <row r="549" spans="1:205" ht="12.75" hidden="1" customHeight="1" x14ac:dyDescent="0.2">
      <c r="A549" s="709"/>
      <c r="B549" s="1110"/>
      <c r="C549" s="1110"/>
      <c r="D549" s="257" t="e">
        <f>#REF!=#REF!</f>
        <v>#REF!</v>
      </c>
      <c r="E549" s="614"/>
      <c r="G549" s="186"/>
      <c r="H549" s="186"/>
      <c r="I549" s="186"/>
      <c r="J549" s="186"/>
      <c r="K549" s="186"/>
      <c r="L549" s="186"/>
      <c r="P549" s="179"/>
      <c r="Q549" s="179"/>
      <c r="R549" s="179"/>
      <c r="S549" s="175"/>
      <c r="T549" s="175"/>
      <c r="U549" s="253"/>
      <c r="V549" s="1460" t="str">
        <f t="shared" si="177"/>
        <v>9-5/8" Mud Motor, rental</v>
      </c>
      <c r="W549" s="1027">
        <f>IF(INPUT!$H$11="SCIENTIFIC DRILLING INC.",VLOOKUP(V549,JARSSHOCKTOOLDDT!$I$15:$M$43,3,FALSE),VLOOKUP(V549,JARSSHOCKTOOLDDT!$I$15:$M$43,5,FALSE))</f>
        <v>700</v>
      </c>
      <c r="X549" s="245">
        <f t="shared" si="178"/>
        <v>0</v>
      </c>
      <c r="Y549" s="245">
        <f ca="1">IFERROR(($W549*$W516*Y516*FOREX),0)*IF(INPUT!$D$18="YES",0,1)</f>
        <v>0</v>
      </c>
      <c r="Z549" s="245">
        <f ca="1">IFERROR(($W549*$W516*Z516*FOREX),0)*IF(INPUT!$D$18="YES",0,1)</f>
        <v>0</v>
      </c>
      <c r="AA549" s="245">
        <f t="shared" ca="1" si="179"/>
        <v>0</v>
      </c>
      <c r="AB549" s="245">
        <f t="shared" ca="1" si="179"/>
        <v>0</v>
      </c>
      <c r="AC549" s="245">
        <f t="shared" si="179"/>
        <v>0</v>
      </c>
      <c r="AD549" s="245">
        <f t="shared" si="179"/>
        <v>0</v>
      </c>
      <c r="AE549" s="245">
        <f t="shared" si="179"/>
        <v>0</v>
      </c>
      <c r="AF549" s="245">
        <f t="shared" si="179"/>
        <v>0</v>
      </c>
      <c r="AG549" s="245">
        <f t="shared" si="179"/>
        <v>0</v>
      </c>
      <c r="AH549" s="245">
        <f t="shared" si="179"/>
        <v>0</v>
      </c>
      <c r="AI549" s="245">
        <f t="shared" si="180"/>
        <v>0</v>
      </c>
      <c r="AJ549" s="245">
        <f t="shared" si="180"/>
        <v>0</v>
      </c>
      <c r="AK549" s="245">
        <f t="shared" si="180"/>
        <v>0</v>
      </c>
      <c r="AL549" s="245"/>
      <c r="AM549" s="246">
        <f t="shared" ca="1" si="181"/>
        <v>0</v>
      </c>
      <c r="AN549" s="257"/>
      <c r="AP549" s="186"/>
      <c r="AQ549" s="186"/>
      <c r="AR549" s="186"/>
      <c r="AS549" s="186"/>
      <c r="AT549" s="186"/>
      <c r="AU549" s="186"/>
      <c r="GS549" s="176"/>
      <c r="GT549" s="176"/>
      <c r="GU549" s="176"/>
      <c r="GV549" s="176"/>
      <c r="GW549" s="176"/>
    </row>
    <row r="550" spans="1:205" ht="12.75" hidden="1" customHeight="1" x14ac:dyDescent="0.2">
      <c r="A550" s="709"/>
      <c r="B550" s="1110"/>
      <c r="C550" s="1110"/>
      <c r="D550" s="257" t="e">
        <f>#REF!=#REF!</f>
        <v>#REF!</v>
      </c>
      <c r="E550" s="614"/>
      <c r="G550" s="186"/>
      <c r="H550" s="186"/>
      <c r="I550" s="186"/>
      <c r="J550" s="186"/>
      <c r="K550" s="186"/>
      <c r="L550" s="186"/>
      <c r="P550" s="179"/>
      <c r="Q550" s="179"/>
      <c r="R550" s="179"/>
      <c r="S550" s="175"/>
      <c r="T550" s="175"/>
      <c r="U550" s="253"/>
      <c r="V550" s="1460" t="str">
        <f t="shared" si="177"/>
        <v>9-5/8" Mud Motor, run charge</v>
      </c>
      <c r="W550" s="1027">
        <f>IF(INPUT!$H$11="SCIENTIFIC DRILLING INC.",VLOOKUP(V550,JARSSHOCKTOOLDDT!$I$15:$M$43,3,FALSE),VLOOKUP(V550,JARSSHOCKTOOLDDT!$I$15:$M$43,5,FALSE))</f>
        <v>5</v>
      </c>
      <c r="X550" s="245">
        <f t="shared" si="178"/>
        <v>0</v>
      </c>
      <c r="Y550" s="245">
        <f ca="1">IFERROR(($W550*$W517*Y517*FOREX),0)*IF(INPUT!$D$18="YES",0,1)</f>
        <v>0</v>
      </c>
      <c r="Z550" s="245">
        <f>IFERROR(($W550*$W517*Z517*FOREX),0)*IF(INPUT!$D$18="YES",0,1)</f>
        <v>0</v>
      </c>
      <c r="AA550" s="245">
        <f t="shared" ca="1" si="179"/>
        <v>0</v>
      </c>
      <c r="AB550" s="245">
        <f t="shared" si="179"/>
        <v>0</v>
      </c>
      <c r="AC550" s="245">
        <f t="shared" si="179"/>
        <v>0</v>
      </c>
      <c r="AD550" s="245">
        <f t="shared" si="179"/>
        <v>0</v>
      </c>
      <c r="AE550" s="245">
        <f t="shared" si="179"/>
        <v>0</v>
      </c>
      <c r="AF550" s="245">
        <f t="shared" si="179"/>
        <v>0</v>
      </c>
      <c r="AG550" s="245">
        <f t="shared" si="179"/>
        <v>0</v>
      </c>
      <c r="AH550" s="245">
        <f t="shared" si="179"/>
        <v>0</v>
      </c>
      <c r="AI550" s="245">
        <f t="shared" si="180"/>
        <v>0</v>
      </c>
      <c r="AJ550" s="245">
        <f t="shared" si="180"/>
        <v>0</v>
      </c>
      <c r="AK550" s="245">
        <f t="shared" si="180"/>
        <v>0</v>
      </c>
      <c r="AL550" s="245"/>
      <c r="AM550" s="246">
        <f t="shared" ca="1" si="181"/>
        <v>0</v>
      </c>
      <c r="AN550" s="257"/>
      <c r="AP550" s="186"/>
      <c r="AQ550" s="186"/>
      <c r="AR550" s="186"/>
      <c r="AS550" s="186"/>
      <c r="AT550" s="186"/>
      <c r="AU550" s="186"/>
      <c r="GS550" s="176"/>
      <c r="GT550" s="176"/>
      <c r="GU550" s="176"/>
      <c r="GV550" s="176"/>
      <c r="GW550" s="176"/>
    </row>
    <row r="551" spans="1:205" ht="12.75" hidden="1" customHeight="1" x14ac:dyDescent="0.2">
      <c r="A551" s="709"/>
      <c r="B551" s="1110"/>
      <c r="C551" s="1110"/>
      <c r="D551" s="257" t="e">
        <f>#REF!=#REF!</f>
        <v>#REF!</v>
      </c>
      <c r="E551" s="614"/>
      <c r="G551" s="186"/>
      <c r="H551" s="186"/>
      <c r="I551" s="186"/>
      <c r="J551" s="186"/>
      <c r="K551" s="186"/>
      <c r="L551" s="186"/>
      <c r="P551" s="179"/>
      <c r="Q551" s="179"/>
      <c r="R551" s="179"/>
      <c r="S551" s="175"/>
      <c r="T551" s="175"/>
      <c r="U551" s="253"/>
      <c r="V551" s="1460" t="str">
        <f t="shared" si="177"/>
        <v>9-5/8" Mud Motor, redress</v>
      </c>
      <c r="W551" s="1027">
        <f>IF(INPUT!$H$11="SCIENTIFIC DRILLING INC.",VLOOKUP(V551,JARSSHOCKTOOLDDT!$I$15:$M$43,3,FALSE),VLOOKUP(V551,JARSSHOCKTOOLDDT!$I$15:$M$43,5,FALSE))</f>
        <v>0</v>
      </c>
      <c r="X551" s="245">
        <f t="shared" si="178"/>
        <v>0</v>
      </c>
      <c r="Y551" s="245">
        <f>IFERROR(($W551*$W518*Y518*FOREX),0)*IF(INPUT!$D$18="YES",0,1)</f>
        <v>0</v>
      </c>
      <c r="Z551" s="245">
        <f>IFERROR(($W551*$W518*Z518*FOREX),0)*IF(INPUT!$D$18="YES",0,1)</f>
        <v>0</v>
      </c>
      <c r="AA551" s="245">
        <f t="shared" si="179"/>
        <v>0</v>
      </c>
      <c r="AB551" s="245">
        <f t="shared" si="179"/>
        <v>0</v>
      </c>
      <c r="AC551" s="245">
        <f t="shared" si="179"/>
        <v>0</v>
      </c>
      <c r="AD551" s="245">
        <f t="shared" si="179"/>
        <v>0</v>
      </c>
      <c r="AE551" s="245">
        <f t="shared" si="179"/>
        <v>0</v>
      </c>
      <c r="AF551" s="245">
        <f t="shared" si="179"/>
        <v>0</v>
      </c>
      <c r="AG551" s="245">
        <f t="shared" si="179"/>
        <v>0</v>
      </c>
      <c r="AH551" s="245">
        <f t="shared" si="179"/>
        <v>0</v>
      </c>
      <c r="AI551" s="245">
        <f t="shared" si="180"/>
        <v>0</v>
      </c>
      <c r="AJ551" s="245">
        <f t="shared" si="180"/>
        <v>0</v>
      </c>
      <c r="AK551" s="245">
        <f t="shared" si="180"/>
        <v>0</v>
      </c>
      <c r="AL551" s="245"/>
      <c r="AM551" s="246">
        <f t="shared" si="181"/>
        <v>0</v>
      </c>
      <c r="AN551" s="257"/>
      <c r="AP551" s="186"/>
      <c r="AQ551" s="186"/>
      <c r="AR551" s="186"/>
      <c r="AS551" s="186"/>
      <c r="AT551" s="186"/>
      <c r="AU551" s="186"/>
      <c r="GS551" s="176"/>
      <c r="GT551" s="176"/>
      <c r="GU551" s="176"/>
      <c r="GV551" s="176"/>
      <c r="GW551" s="176"/>
    </row>
    <row r="552" spans="1:205" ht="12.75" hidden="1" customHeight="1" x14ac:dyDescent="0.2">
      <c r="A552" s="709"/>
      <c r="B552" s="1110"/>
      <c r="C552" s="1110"/>
      <c r="D552" s="257" t="e">
        <f>#REF!=#REF!</f>
        <v>#REF!</v>
      </c>
      <c r="E552" s="614"/>
      <c r="G552" s="186"/>
      <c r="H552" s="186"/>
      <c r="I552" s="186"/>
      <c r="J552" s="186"/>
      <c r="K552" s="186"/>
      <c r="L552" s="186"/>
      <c r="P552" s="179"/>
      <c r="Q552" s="179"/>
      <c r="R552" s="179"/>
      <c r="S552" s="175"/>
      <c r="T552" s="175"/>
      <c r="U552" s="253"/>
      <c r="V552" s="1460" t="str">
        <f t="shared" si="177"/>
        <v>MWD, operating</v>
      </c>
      <c r="W552" s="1027">
        <f>IF(INPUT!$H$11="SCIENTIFIC DRILLING INC.",VLOOKUP(V552,JARSSHOCKTOOLDDT!$I$15:$M$43,3,FALSE),VLOOKUP(V552,JARSSHOCKTOOLDDT!$I$15:$M$43,5,FALSE))</f>
        <v>5</v>
      </c>
      <c r="X552" s="245">
        <f t="shared" si="178"/>
        <v>0</v>
      </c>
      <c r="Y552" s="245">
        <f ca="1">IFERROR(($W552*$W519*Y519*FOREX),0)*IF(INPUT!$D$18="YES",0,1)</f>
        <v>0</v>
      </c>
      <c r="Z552" s="245">
        <f>IFERROR(($W552*$W519*Z519*FOREX),0)*IF(INPUT!$D$18="YES",0,1)</f>
        <v>0</v>
      </c>
      <c r="AA552" s="245">
        <f t="shared" ca="1" si="179"/>
        <v>0</v>
      </c>
      <c r="AB552" s="245">
        <f t="shared" si="179"/>
        <v>0</v>
      </c>
      <c r="AC552" s="245">
        <f t="shared" ca="1" si="179"/>
        <v>0</v>
      </c>
      <c r="AD552" s="245">
        <f t="shared" si="179"/>
        <v>0</v>
      </c>
      <c r="AE552" s="245">
        <f t="shared" ca="1" si="179"/>
        <v>0</v>
      </c>
      <c r="AF552" s="245">
        <f t="shared" si="179"/>
        <v>0</v>
      </c>
      <c r="AG552" s="245">
        <f t="shared" si="179"/>
        <v>0</v>
      </c>
      <c r="AH552" s="245">
        <f t="shared" si="179"/>
        <v>0</v>
      </c>
      <c r="AI552" s="245">
        <f t="shared" si="180"/>
        <v>0</v>
      </c>
      <c r="AJ552" s="245">
        <f t="shared" si="180"/>
        <v>0</v>
      </c>
      <c r="AK552" s="245">
        <f t="shared" si="180"/>
        <v>0</v>
      </c>
      <c r="AL552" s="245"/>
      <c r="AM552" s="246">
        <f t="shared" ca="1" si="181"/>
        <v>0</v>
      </c>
      <c r="AN552" s="257"/>
      <c r="AP552" s="186"/>
      <c r="AQ552" s="186"/>
      <c r="AR552" s="186"/>
      <c r="AS552" s="186"/>
      <c r="AT552" s="186"/>
      <c r="AU552" s="186"/>
      <c r="GS552" s="176"/>
      <c r="GT552" s="176"/>
      <c r="GU552" s="176"/>
      <c r="GV552" s="176"/>
      <c r="GW552" s="176"/>
    </row>
    <row r="553" spans="1:205" ht="12.75" hidden="1" customHeight="1" x14ac:dyDescent="0.2">
      <c r="A553" s="709"/>
      <c r="B553" s="1110"/>
      <c r="C553" s="1110"/>
      <c r="D553" s="257" t="e">
        <f>#REF!=#REF!</f>
        <v>#REF!</v>
      </c>
      <c r="E553" s="614"/>
      <c r="G553" s="186"/>
      <c r="H553" s="186"/>
      <c r="I553" s="186"/>
      <c r="J553" s="186"/>
      <c r="K553" s="186"/>
      <c r="L553" s="186"/>
      <c r="P553" s="179"/>
      <c r="Q553" s="179"/>
      <c r="R553" s="179"/>
      <c r="S553" s="175"/>
      <c r="T553" s="175"/>
      <c r="U553" s="253"/>
      <c r="V553" s="1460" t="str">
        <f t="shared" si="177"/>
        <v>MWD, rental</v>
      </c>
      <c r="W553" s="1027">
        <f>IF(INPUT!$H$11="SCIENTIFIC DRILLING INC.",VLOOKUP(V553,JARSSHOCKTOOLDDT!$I$15:$M$43,3,FALSE),VLOOKUP(V553,JARSSHOCKTOOLDDT!$I$15:$M$43,5,FALSE))</f>
        <v>3136</v>
      </c>
      <c r="X553" s="245">
        <f t="shared" si="178"/>
        <v>0</v>
      </c>
      <c r="Y553" s="245">
        <f ca="1">IFERROR(($W553*$W520*Y520*FOREX),0)*IF(INPUT!$D$18="YES",0,1)</f>
        <v>0</v>
      </c>
      <c r="Z553" s="245">
        <f ca="1">IFERROR(($W553*$W520*Z520*FOREX),0)*IF(INPUT!$D$18="YES",0,1)</f>
        <v>0</v>
      </c>
      <c r="AA553" s="245">
        <f t="shared" ca="1" si="179"/>
        <v>0</v>
      </c>
      <c r="AB553" s="245">
        <f t="shared" ca="1" si="179"/>
        <v>0</v>
      </c>
      <c r="AC553" s="245">
        <f t="shared" ca="1" si="179"/>
        <v>0</v>
      </c>
      <c r="AD553" s="245">
        <f t="shared" ca="1" si="179"/>
        <v>0</v>
      </c>
      <c r="AE553" s="245">
        <f t="shared" ca="1" si="179"/>
        <v>0</v>
      </c>
      <c r="AF553" s="245">
        <f t="shared" si="179"/>
        <v>0</v>
      </c>
      <c r="AG553" s="245">
        <f t="shared" si="179"/>
        <v>0</v>
      </c>
      <c r="AH553" s="245">
        <f t="shared" si="179"/>
        <v>0</v>
      </c>
      <c r="AI553" s="245">
        <f t="shared" si="180"/>
        <v>0</v>
      </c>
      <c r="AJ553" s="245">
        <f t="shared" si="180"/>
        <v>0</v>
      </c>
      <c r="AK553" s="245">
        <f t="shared" si="180"/>
        <v>0</v>
      </c>
      <c r="AL553" s="245"/>
      <c r="AM553" s="246">
        <f t="shared" ca="1" si="181"/>
        <v>0</v>
      </c>
      <c r="AN553" s="257"/>
      <c r="AP553" s="186"/>
      <c r="AQ553" s="186"/>
      <c r="AR553" s="186"/>
      <c r="AS553" s="186"/>
      <c r="AT553" s="186"/>
      <c r="AU553" s="186"/>
      <c r="GS553" s="176"/>
      <c r="GT553" s="176"/>
      <c r="GU553" s="176"/>
      <c r="GV553" s="176"/>
      <c r="GW553" s="176"/>
    </row>
    <row r="554" spans="1:205" ht="12.75" hidden="1" customHeight="1" x14ac:dyDescent="0.2">
      <c r="A554" s="709"/>
      <c r="B554" s="1110"/>
      <c r="C554" s="1110"/>
      <c r="D554" s="257" t="e">
        <f>#REF!=#REF!</f>
        <v>#REF!</v>
      </c>
      <c r="E554" s="614"/>
      <c r="G554" s="186"/>
      <c r="H554" s="186"/>
      <c r="I554" s="186"/>
      <c r="J554" s="186"/>
      <c r="K554" s="186"/>
      <c r="L554" s="186"/>
      <c r="P554" s="179"/>
      <c r="Q554" s="179"/>
      <c r="R554" s="179"/>
      <c r="S554" s="175"/>
      <c r="T554" s="175"/>
      <c r="U554" s="253"/>
      <c r="V554" s="1460" t="str">
        <f t="shared" si="177"/>
        <v>9" NMDC</v>
      </c>
      <c r="W554" s="1027">
        <f>IF(INPUT!$H$11="SCIENTIFIC DRILLING INC.",VLOOKUP(V554,JARSSHOCKTOOLDDT!$I$15:$M$43,3,FALSE),VLOOKUP(V554,JARSSHOCKTOOLDDT!$I$15:$M$43,5,FALSE))</f>
        <v>338.4</v>
      </c>
      <c r="X554" s="245">
        <f t="shared" si="178"/>
        <v>0</v>
      </c>
      <c r="Y554" s="245">
        <f ca="1">IFERROR(($W554*$W521*Y521*FOREX),0)*IF(INPUT!$D$18="YES",0,1)</f>
        <v>0</v>
      </c>
      <c r="Z554" s="245">
        <f ca="1">IFERROR(($W554*$W521*Z521*FOREX),0)*IF(INPUT!$D$18="YES",0,1)</f>
        <v>0</v>
      </c>
      <c r="AA554" s="245">
        <f t="shared" ca="1" si="179"/>
        <v>0</v>
      </c>
      <c r="AB554" s="245">
        <f t="shared" ca="1" si="179"/>
        <v>0</v>
      </c>
      <c r="AC554" s="245">
        <f t="shared" si="179"/>
        <v>0</v>
      </c>
      <c r="AD554" s="245">
        <f t="shared" si="179"/>
        <v>0</v>
      </c>
      <c r="AE554" s="245">
        <f t="shared" si="179"/>
        <v>0</v>
      </c>
      <c r="AF554" s="245">
        <f t="shared" si="179"/>
        <v>0</v>
      </c>
      <c r="AG554" s="245">
        <f t="shared" si="179"/>
        <v>0</v>
      </c>
      <c r="AH554" s="245">
        <f t="shared" si="179"/>
        <v>0</v>
      </c>
      <c r="AI554" s="245">
        <f t="shared" si="180"/>
        <v>0</v>
      </c>
      <c r="AJ554" s="245">
        <f t="shared" si="180"/>
        <v>0</v>
      </c>
      <c r="AK554" s="245">
        <f t="shared" si="180"/>
        <v>0</v>
      </c>
      <c r="AL554" s="245"/>
      <c r="AM554" s="246">
        <f t="shared" ca="1" si="181"/>
        <v>0</v>
      </c>
      <c r="AN554" s="257"/>
      <c r="AP554" s="186"/>
      <c r="AQ554" s="186"/>
      <c r="AR554" s="186"/>
      <c r="AS554" s="186"/>
      <c r="AT554" s="186"/>
      <c r="AU554" s="186"/>
      <c r="GS554" s="176"/>
      <c r="GT554" s="176"/>
      <c r="GU554" s="176"/>
      <c r="GV554" s="176"/>
      <c r="GW554" s="176"/>
    </row>
    <row r="555" spans="1:205" ht="12.75" hidden="1" customHeight="1" x14ac:dyDescent="0.2">
      <c r="A555" s="709"/>
      <c r="B555" s="1110"/>
      <c r="C555" s="1110"/>
      <c r="D555" s="257" t="e">
        <f>#REF!=#REF!</f>
        <v>#REF!</v>
      </c>
      <c r="E555" s="614"/>
      <c r="G555" s="186"/>
      <c r="H555" s="186"/>
      <c r="I555" s="186"/>
      <c r="J555" s="186"/>
      <c r="K555" s="186"/>
      <c r="L555" s="186"/>
      <c r="P555" s="179"/>
      <c r="Q555" s="179"/>
      <c r="R555" s="179"/>
      <c r="S555" s="175"/>
      <c r="T555" s="175"/>
      <c r="U555" s="253"/>
      <c r="V555" s="1460" t="str">
        <f t="shared" si="177"/>
        <v>26" Roller Reamer</v>
      </c>
      <c r="W555" s="1027">
        <f>IF(INPUT!$H$11="SCIENTIFIC DRILLING INC.",VLOOKUP(V555,JARSSHOCKTOOLDDT!$I$15:$M$43,3,FALSE),VLOOKUP(V555,JARSSHOCKTOOLDDT!$I$15:$M$43,5,FALSE))</f>
        <v>0</v>
      </c>
      <c r="X555" s="245">
        <f t="shared" si="178"/>
        <v>0</v>
      </c>
      <c r="Y555" s="245">
        <f ca="1">IFERROR(($W555*$W522*Y522*FOREX),0)*IF(INPUT!$D$18="YES",0,1)</f>
        <v>0</v>
      </c>
      <c r="Z555" s="245">
        <f ca="1">IFERROR(($W555*$W522*Z522*FOREX),0)*IF(INPUT!$D$18="YES",0,1)</f>
        <v>0</v>
      </c>
      <c r="AA555" s="245">
        <f t="shared" ca="1" si="179"/>
        <v>0</v>
      </c>
      <c r="AB555" s="245">
        <f t="shared" ca="1" si="179"/>
        <v>0</v>
      </c>
      <c r="AC555" s="245">
        <f t="shared" si="179"/>
        <v>0</v>
      </c>
      <c r="AD555" s="245">
        <f t="shared" si="179"/>
        <v>0</v>
      </c>
      <c r="AE555" s="245">
        <f t="shared" si="179"/>
        <v>0</v>
      </c>
      <c r="AF555" s="245">
        <f t="shared" si="179"/>
        <v>0</v>
      </c>
      <c r="AG555" s="245">
        <f t="shared" si="179"/>
        <v>0</v>
      </c>
      <c r="AH555" s="245">
        <f t="shared" si="179"/>
        <v>0</v>
      </c>
      <c r="AI555" s="245">
        <f t="shared" si="180"/>
        <v>0</v>
      </c>
      <c r="AJ555" s="245">
        <f t="shared" si="180"/>
        <v>0</v>
      </c>
      <c r="AK555" s="245">
        <f t="shared" si="180"/>
        <v>0</v>
      </c>
      <c r="AL555" s="245"/>
      <c r="AM555" s="246">
        <f t="shared" ca="1" si="181"/>
        <v>0</v>
      </c>
      <c r="AN555" s="257"/>
      <c r="AP555" s="186"/>
      <c r="AQ555" s="186"/>
      <c r="AR555" s="186"/>
      <c r="AS555" s="186"/>
      <c r="AT555" s="186"/>
      <c r="AU555" s="186"/>
      <c r="GS555" s="176"/>
      <c r="GT555" s="176"/>
      <c r="GU555" s="176"/>
      <c r="GV555" s="176"/>
      <c r="GW555" s="176"/>
    </row>
    <row r="556" spans="1:205" ht="12.75" hidden="1" customHeight="1" x14ac:dyDescent="0.2">
      <c r="A556" s="709"/>
      <c r="B556" s="1110"/>
      <c r="C556" s="1110"/>
      <c r="D556" s="257" t="e">
        <f>#REF!=#REF!</f>
        <v>#REF!</v>
      </c>
      <c r="E556" s="614"/>
      <c r="G556" s="186"/>
      <c r="H556" s="186"/>
      <c r="I556" s="186"/>
      <c r="J556" s="186"/>
      <c r="K556" s="186"/>
      <c r="L556" s="186"/>
      <c r="P556" s="179"/>
      <c r="Q556" s="179"/>
      <c r="R556" s="179"/>
      <c r="S556" s="175"/>
      <c r="T556" s="175"/>
      <c r="U556" s="253"/>
      <c r="V556" s="1460" t="str">
        <f t="shared" si="177"/>
        <v>26" Roller Reamer Redress</v>
      </c>
      <c r="W556" s="1027">
        <f>IF(INPUT!$H$11="SCIENTIFIC DRILLING INC.",VLOOKUP(V556,JARSSHOCKTOOLDDT!$I$15:$M$43,3,FALSE),VLOOKUP(V556,JARSSHOCKTOOLDDT!$I$15:$M$43,5,FALSE))</f>
        <v>0</v>
      </c>
      <c r="X556" s="245">
        <f t="shared" si="178"/>
        <v>0</v>
      </c>
      <c r="Y556" s="245">
        <f>IFERROR(($W556*$W523*Y523*FOREX),0)*IF(INPUT!$D$18="YES",0,1)</f>
        <v>0</v>
      </c>
      <c r="Z556" s="245">
        <f>IFERROR(($W556*$W523*Z523*FOREX),0)*IF(INPUT!$D$18="YES",0,1)</f>
        <v>0</v>
      </c>
      <c r="AA556" s="245">
        <f t="shared" ref="AA556:AH565" si="182">IFERROR(($W556*$W523*AA523*FOREX),0)</f>
        <v>0</v>
      </c>
      <c r="AB556" s="245">
        <f t="shared" si="182"/>
        <v>0</v>
      </c>
      <c r="AC556" s="245">
        <f t="shared" si="182"/>
        <v>0</v>
      </c>
      <c r="AD556" s="245">
        <f t="shared" si="182"/>
        <v>0</v>
      </c>
      <c r="AE556" s="245">
        <f t="shared" si="182"/>
        <v>0</v>
      </c>
      <c r="AF556" s="245">
        <f t="shared" si="182"/>
        <v>0</v>
      </c>
      <c r="AG556" s="245">
        <f t="shared" si="182"/>
        <v>0</v>
      </c>
      <c r="AH556" s="245">
        <f t="shared" si="182"/>
        <v>0</v>
      </c>
      <c r="AI556" s="245">
        <f t="shared" si="180"/>
        <v>0</v>
      </c>
      <c r="AJ556" s="245">
        <f t="shared" si="180"/>
        <v>0</v>
      </c>
      <c r="AK556" s="245">
        <f t="shared" si="180"/>
        <v>0</v>
      </c>
      <c r="AL556" s="245"/>
      <c r="AM556" s="246">
        <f t="shared" si="181"/>
        <v>0</v>
      </c>
      <c r="AN556" s="257"/>
      <c r="AP556" s="186"/>
      <c r="AQ556" s="186"/>
      <c r="AR556" s="186"/>
      <c r="AS556" s="186"/>
      <c r="AT556" s="186"/>
      <c r="AU556" s="186"/>
      <c r="GS556" s="176"/>
      <c r="GT556" s="176"/>
      <c r="GU556" s="176"/>
      <c r="GV556" s="176"/>
      <c r="GW556" s="176"/>
    </row>
    <row r="557" spans="1:205" ht="12.75" hidden="1" customHeight="1" x14ac:dyDescent="0.2">
      <c r="A557" s="709"/>
      <c r="B557" s="1110"/>
      <c r="C557" s="1110"/>
      <c r="D557" s="257" t="e">
        <f>#REF!=#REF!</f>
        <v>#REF!</v>
      </c>
      <c r="E557" s="614"/>
      <c r="G557" s="186"/>
      <c r="H557" s="186"/>
      <c r="I557" s="186"/>
      <c r="J557" s="186"/>
      <c r="K557" s="186"/>
      <c r="L557" s="186"/>
      <c r="P557" s="179"/>
      <c r="Q557" s="179"/>
      <c r="R557" s="179"/>
      <c r="S557" s="175"/>
      <c r="T557" s="175"/>
      <c r="U557" s="253"/>
      <c r="V557" s="1460" t="str">
        <f t="shared" si="177"/>
        <v>26" UG Stabilizers</v>
      </c>
      <c r="W557" s="1027">
        <f>IF(INPUT!$H$11="SCIENTIFIC DRILLING INC.",VLOOKUP(V557,JARSSHOCKTOOLDDT!$I$15:$M$43,3,FALSE),VLOOKUP(V557,JARSSHOCKTOOLDDT!$I$15:$M$43,5,FALSE))</f>
        <v>357.2</v>
      </c>
      <c r="X557" s="245">
        <f t="shared" si="178"/>
        <v>0</v>
      </c>
      <c r="Y557" s="245">
        <f ca="1">IFERROR(($W557*$W524*Y524*FOREX),0)*IF(INPUT!$D$18="YES",0,1)</f>
        <v>0</v>
      </c>
      <c r="Z557" s="245">
        <f ca="1">IFERROR(($W557*$W524*Z524*FOREX),0)*IF(INPUT!$D$18="YES",0,1)</f>
        <v>0</v>
      </c>
      <c r="AA557" s="245">
        <f t="shared" ca="1" si="182"/>
        <v>0</v>
      </c>
      <c r="AB557" s="245">
        <f t="shared" ca="1" si="182"/>
        <v>0</v>
      </c>
      <c r="AC557" s="245">
        <f t="shared" si="182"/>
        <v>0</v>
      </c>
      <c r="AD557" s="245">
        <f t="shared" si="182"/>
        <v>0</v>
      </c>
      <c r="AE557" s="245">
        <f t="shared" si="182"/>
        <v>0</v>
      </c>
      <c r="AF557" s="245">
        <f t="shared" si="182"/>
        <v>0</v>
      </c>
      <c r="AG557" s="245">
        <f t="shared" si="182"/>
        <v>0</v>
      </c>
      <c r="AH557" s="245">
        <f t="shared" si="182"/>
        <v>0</v>
      </c>
      <c r="AI557" s="245">
        <f t="shared" si="180"/>
        <v>0</v>
      </c>
      <c r="AJ557" s="245">
        <f t="shared" si="180"/>
        <v>0</v>
      </c>
      <c r="AK557" s="245">
        <f t="shared" si="180"/>
        <v>0</v>
      </c>
      <c r="AL557" s="245"/>
      <c r="AM557" s="246">
        <f t="shared" ca="1" si="181"/>
        <v>0</v>
      </c>
      <c r="AN557" s="257"/>
      <c r="AP557" s="186"/>
      <c r="AQ557" s="186"/>
      <c r="AR557" s="186"/>
      <c r="AS557" s="186"/>
      <c r="AT557" s="186"/>
      <c r="AU557" s="186"/>
      <c r="GS557" s="176"/>
      <c r="GT557" s="176"/>
      <c r="GU557" s="176"/>
      <c r="GV557" s="176"/>
      <c r="GW557" s="176"/>
    </row>
    <row r="558" spans="1:205" ht="12.75" hidden="1" customHeight="1" x14ac:dyDescent="0.2">
      <c r="A558" s="709"/>
      <c r="B558" s="1110"/>
      <c r="C558" s="1110"/>
      <c r="D558" s="257" t="e">
        <f>#REF!=#REF!</f>
        <v>#REF!</v>
      </c>
      <c r="E558" s="614"/>
      <c r="G558" s="186"/>
      <c r="H558" s="186"/>
      <c r="I558" s="186"/>
      <c r="J558" s="186"/>
      <c r="K558" s="186"/>
      <c r="L558" s="186"/>
      <c r="P558" s="179"/>
      <c r="Q558" s="179"/>
      <c r="R558" s="179"/>
      <c r="S558" s="175"/>
      <c r="T558" s="175"/>
      <c r="U558" s="253"/>
      <c r="V558" s="1460" t="str">
        <f t="shared" si="177"/>
        <v>26" FG Stabilizers</v>
      </c>
      <c r="W558" s="1027">
        <f>IF(INPUT!$H$11="SCIENTIFIC DRILLING INC.",VLOOKUP(V558,JARSSHOCKTOOLDDT!$I$15:$M$43,3,FALSE),VLOOKUP(V558,JARSSHOCKTOOLDDT!$I$15:$M$43,5,FALSE))</f>
        <v>380</v>
      </c>
      <c r="X558" s="245">
        <f t="shared" si="178"/>
        <v>0</v>
      </c>
      <c r="Y558" s="245">
        <f ca="1">IFERROR(($W558*$W525*Y525*FOREX),0)*IF(INPUT!$D$18="YES",0,1)</f>
        <v>0</v>
      </c>
      <c r="Z558" s="245">
        <f ca="1">IFERROR(($W558*$W525*Z525*FOREX),0)*IF(INPUT!$D$18="YES",0,1)</f>
        <v>0</v>
      </c>
      <c r="AA558" s="245">
        <f t="shared" ca="1" si="182"/>
        <v>0</v>
      </c>
      <c r="AB558" s="245">
        <f t="shared" ca="1" si="182"/>
        <v>0</v>
      </c>
      <c r="AC558" s="245">
        <f t="shared" si="182"/>
        <v>0</v>
      </c>
      <c r="AD558" s="245">
        <f t="shared" si="182"/>
        <v>0</v>
      </c>
      <c r="AE558" s="245">
        <f t="shared" si="182"/>
        <v>0</v>
      </c>
      <c r="AF558" s="245">
        <f t="shared" si="182"/>
        <v>0</v>
      </c>
      <c r="AG558" s="245">
        <f t="shared" si="182"/>
        <v>0</v>
      </c>
      <c r="AH558" s="245">
        <f t="shared" si="182"/>
        <v>0</v>
      </c>
      <c r="AI558" s="245">
        <f t="shared" si="180"/>
        <v>0</v>
      </c>
      <c r="AJ558" s="245">
        <f t="shared" si="180"/>
        <v>0</v>
      </c>
      <c r="AK558" s="245">
        <f t="shared" si="180"/>
        <v>0</v>
      </c>
      <c r="AL558" s="245"/>
      <c r="AM558" s="246">
        <f t="shared" ca="1" si="181"/>
        <v>0</v>
      </c>
      <c r="AN558" s="257"/>
      <c r="AP558" s="186"/>
      <c r="AQ558" s="186"/>
      <c r="AR558" s="186"/>
      <c r="AS558" s="186"/>
      <c r="AT558" s="186"/>
      <c r="AU558" s="186"/>
      <c r="GS558" s="176"/>
      <c r="GT558" s="176"/>
      <c r="GU558" s="176"/>
      <c r="GV558" s="176"/>
      <c r="GW558" s="176"/>
    </row>
    <row r="559" spans="1:205" ht="12.75" hidden="1" customHeight="1" x14ac:dyDescent="0.2">
      <c r="A559" s="709"/>
      <c r="B559" s="1110"/>
      <c r="C559" s="1110"/>
      <c r="D559" s="257" t="e">
        <f>#REF!=#REF!</f>
        <v>#REF!</v>
      </c>
      <c r="E559" s="614"/>
      <c r="G559" s="186"/>
      <c r="H559" s="186"/>
      <c r="I559" s="186"/>
      <c r="J559" s="186"/>
      <c r="K559" s="186"/>
      <c r="L559" s="186"/>
      <c r="P559" s="179"/>
      <c r="Q559" s="179"/>
      <c r="R559" s="179"/>
      <c r="S559" s="175"/>
      <c r="T559" s="175"/>
      <c r="U559" s="253"/>
      <c r="V559" s="1460" t="str">
        <f t="shared" si="177"/>
        <v>17" UG Stabilizers</v>
      </c>
      <c r="W559" s="1027">
        <f>IF(INPUT!$H$11="SCIENTIFIC DRILLING INC.",VLOOKUP(V559,JARSSHOCKTOOLDDT!$I$15:$M$43,3,FALSE),VLOOKUP(V559,JARSSHOCKTOOLDDT!$I$15:$M$43,5,FALSE))</f>
        <v>308</v>
      </c>
      <c r="X559" s="245">
        <f t="shared" si="178"/>
        <v>0</v>
      </c>
      <c r="Y559" s="245">
        <f ca="1">IFERROR(($W559*$W526*Y526*FOREX),0)*IF(INPUT!$D$18="YES",0,1)</f>
        <v>0</v>
      </c>
      <c r="Z559" s="245">
        <f ca="1">IFERROR(($W559*$W526*Z526*FOREX),0)*IF(INPUT!$D$18="YES",0,1)</f>
        <v>0</v>
      </c>
      <c r="AA559" s="245">
        <f t="shared" ca="1" si="182"/>
        <v>0</v>
      </c>
      <c r="AB559" s="245">
        <f t="shared" ca="1" si="182"/>
        <v>0</v>
      </c>
      <c r="AC559" s="245">
        <f t="shared" si="182"/>
        <v>0</v>
      </c>
      <c r="AD559" s="245">
        <f t="shared" si="182"/>
        <v>0</v>
      </c>
      <c r="AE559" s="245">
        <f t="shared" si="182"/>
        <v>0</v>
      </c>
      <c r="AF559" s="245">
        <f t="shared" si="182"/>
        <v>0</v>
      </c>
      <c r="AG559" s="245">
        <f t="shared" si="182"/>
        <v>0</v>
      </c>
      <c r="AH559" s="245">
        <f t="shared" si="182"/>
        <v>0</v>
      </c>
      <c r="AI559" s="245">
        <f t="shared" si="180"/>
        <v>0</v>
      </c>
      <c r="AJ559" s="245">
        <f t="shared" si="180"/>
        <v>0</v>
      </c>
      <c r="AK559" s="245">
        <f t="shared" si="180"/>
        <v>0</v>
      </c>
      <c r="AL559" s="245"/>
      <c r="AM559" s="246">
        <f t="shared" ca="1" si="181"/>
        <v>0</v>
      </c>
      <c r="AN559" s="257"/>
      <c r="AP559" s="186"/>
      <c r="AQ559" s="186"/>
      <c r="AR559" s="186"/>
      <c r="AS559" s="186"/>
      <c r="AT559" s="186"/>
      <c r="AU559" s="186"/>
      <c r="GS559" s="176"/>
      <c r="GT559" s="176"/>
      <c r="GU559" s="176"/>
      <c r="GV559" s="176"/>
      <c r="GW559" s="176"/>
    </row>
    <row r="560" spans="1:205" ht="12.75" hidden="1" customHeight="1" x14ac:dyDescent="0.2">
      <c r="A560" s="709"/>
      <c r="B560" s="1110"/>
      <c r="C560" s="1110"/>
      <c r="D560" s="257" t="e">
        <f>#REF!=#REF!</f>
        <v>#REF!</v>
      </c>
      <c r="E560" s="614"/>
      <c r="G560" s="186"/>
      <c r="H560" s="186"/>
      <c r="I560" s="186"/>
      <c r="J560" s="186"/>
      <c r="K560" s="186"/>
      <c r="L560" s="186"/>
      <c r="P560" s="179"/>
      <c r="Q560" s="179"/>
      <c r="R560" s="179"/>
      <c r="S560" s="175"/>
      <c r="T560" s="175"/>
      <c r="U560" s="287" t="str">
        <f>U527</f>
        <v>B. FOR 12-1/4" &amp; 8-1/2" HOLE (to be shipped while drilling of 17" Hole)</v>
      </c>
      <c r="V560" s="1471"/>
      <c r="W560" s="946"/>
      <c r="X560" s="245">
        <f t="shared" si="178"/>
        <v>0</v>
      </c>
      <c r="Y560" s="245">
        <f>IFERROR(($W560*$W527*Y527*FOREX),0)*IF(INPUT!$D$18="YES",0,1)</f>
        <v>0</v>
      </c>
      <c r="Z560" s="245">
        <f>IFERROR(($W560*$W527*Z527*FOREX),0)*IF(INPUT!$D$18="YES",0,1)</f>
        <v>0</v>
      </c>
      <c r="AA560" s="245">
        <f t="shared" si="182"/>
        <v>0</v>
      </c>
      <c r="AB560" s="245">
        <f t="shared" si="182"/>
        <v>0</v>
      </c>
      <c r="AC560" s="245">
        <f t="shared" si="182"/>
        <v>0</v>
      </c>
      <c r="AD560" s="245">
        <f t="shared" si="182"/>
        <v>0</v>
      </c>
      <c r="AE560" s="245">
        <f t="shared" si="182"/>
        <v>0</v>
      </c>
      <c r="AF560" s="245">
        <f t="shared" si="182"/>
        <v>0</v>
      </c>
      <c r="AG560" s="245">
        <f t="shared" si="182"/>
        <v>0</v>
      </c>
      <c r="AH560" s="245">
        <f t="shared" si="182"/>
        <v>0</v>
      </c>
      <c r="AI560" s="245">
        <f t="shared" si="180"/>
        <v>0</v>
      </c>
      <c r="AJ560" s="245">
        <f t="shared" si="180"/>
        <v>0</v>
      </c>
      <c r="AK560" s="245">
        <f t="shared" si="180"/>
        <v>0</v>
      </c>
      <c r="AL560" s="245"/>
      <c r="AM560" s="246"/>
      <c r="AN560" s="257"/>
      <c r="AP560" s="186"/>
      <c r="AQ560" s="186"/>
      <c r="AR560" s="186"/>
      <c r="AS560" s="186"/>
      <c r="AT560" s="186"/>
      <c r="AU560" s="186"/>
      <c r="GS560" s="176"/>
      <c r="GT560" s="176"/>
      <c r="GU560" s="176"/>
      <c r="GV560" s="176"/>
      <c r="GW560" s="176"/>
    </row>
    <row r="561" spans="1:205" ht="12.75" hidden="1" customHeight="1" x14ac:dyDescent="0.2">
      <c r="A561" s="709"/>
      <c r="B561" s="1110"/>
      <c r="C561" s="1110"/>
      <c r="D561" s="257" t="e">
        <f>#REF!=#REF!</f>
        <v>#REF!</v>
      </c>
      <c r="E561" s="614"/>
      <c r="G561" s="186"/>
      <c r="H561" s="186"/>
      <c r="I561" s="186"/>
      <c r="J561" s="186"/>
      <c r="K561" s="186"/>
      <c r="L561" s="186"/>
      <c r="P561" s="179"/>
      <c r="Q561" s="179"/>
      <c r="R561" s="179"/>
      <c r="S561" s="175"/>
      <c r="T561" s="175"/>
      <c r="U561" s="253"/>
      <c r="V561" s="1460" t="str">
        <f t="shared" si="177"/>
        <v>8" Mud Motor, rental</v>
      </c>
      <c r="W561" s="1027">
        <f>IF(INPUT!$H$11="SCIENTIFIC DRILLING INC.",VLOOKUP(V561,JARSSHOCKTOOLDDT!$I$15:$M$43,3,FALSE),VLOOKUP(V561,JARSSHOCKTOOLDDT!$I$15:$M$43,5,FALSE))</f>
        <v>200</v>
      </c>
      <c r="X561" s="245">
        <f t="shared" si="178"/>
        <v>0</v>
      </c>
      <c r="Y561" s="245">
        <f>IFERROR(($W561*$W528*Y528*FOREX),0)*IF(INPUT!$D$18="YES",0,1)</f>
        <v>0</v>
      </c>
      <c r="Z561" s="245">
        <f>IFERROR(($W561*$W528*Z528*FOREX),0)*IF(INPUT!$D$18="YES",0,1)</f>
        <v>0</v>
      </c>
      <c r="AA561" s="245">
        <f t="shared" ca="1" si="182"/>
        <v>0</v>
      </c>
      <c r="AB561" s="245">
        <f t="shared" ca="1" si="182"/>
        <v>0</v>
      </c>
      <c r="AC561" s="245">
        <f t="shared" ca="1" si="182"/>
        <v>0</v>
      </c>
      <c r="AD561" s="245">
        <f t="shared" ca="1" si="182"/>
        <v>0</v>
      </c>
      <c r="AE561" s="245">
        <f t="shared" ca="1" si="182"/>
        <v>0</v>
      </c>
      <c r="AF561" s="245">
        <f t="shared" si="182"/>
        <v>0</v>
      </c>
      <c r="AG561" s="245">
        <f t="shared" si="182"/>
        <v>0</v>
      </c>
      <c r="AH561" s="245">
        <f t="shared" si="182"/>
        <v>0</v>
      </c>
      <c r="AI561" s="245">
        <f t="shared" si="180"/>
        <v>0</v>
      </c>
      <c r="AJ561" s="245">
        <f t="shared" si="180"/>
        <v>0</v>
      </c>
      <c r="AK561" s="245">
        <f t="shared" si="180"/>
        <v>0</v>
      </c>
      <c r="AL561" s="245"/>
      <c r="AM561" s="246">
        <f t="shared" ca="1" si="181"/>
        <v>0</v>
      </c>
      <c r="AN561" s="257"/>
      <c r="AP561" s="186"/>
      <c r="AQ561" s="186"/>
      <c r="AR561" s="186"/>
      <c r="AS561" s="186"/>
      <c r="AT561" s="186"/>
      <c r="AU561" s="186"/>
      <c r="GS561" s="176"/>
      <c r="GT561" s="176"/>
      <c r="GU561" s="176"/>
      <c r="GV561" s="176"/>
      <c r="GW561" s="176"/>
    </row>
    <row r="562" spans="1:205" ht="12.75" hidden="1" customHeight="1" x14ac:dyDescent="0.2">
      <c r="A562" s="709"/>
      <c r="B562" s="1110"/>
      <c r="C562" s="1110"/>
      <c r="D562" s="257" t="e">
        <f>#REF!=#REF!</f>
        <v>#REF!</v>
      </c>
      <c r="E562" s="614"/>
      <c r="G562" s="186"/>
      <c r="H562" s="186"/>
      <c r="I562" s="186"/>
      <c r="J562" s="186"/>
      <c r="K562" s="186"/>
      <c r="L562" s="186"/>
      <c r="P562" s="179"/>
      <c r="Q562" s="179"/>
      <c r="R562" s="179"/>
      <c r="S562" s="175"/>
      <c r="T562" s="175"/>
      <c r="U562" s="253"/>
      <c r="V562" s="1460" t="str">
        <f t="shared" si="177"/>
        <v>8" Mud Motor, run charge</v>
      </c>
      <c r="W562" s="1027">
        <f>IF(INPUT!$H$11="SCIENTIFIC DRILLING INC.",VLOOKUP(V562,JARSSHOCKTOOLDDT!$I$15:$M$43,3,FALSE),VLOOKUP(V562,JARSSHOCKTOOLDDT!$I$15:$M$43,5,FALSE))</f>
        <v>5</v>
      </c>
      <c r="X562" s="245">
        <f t="shared" si="178"/>
        <v>0</v>
      </c>
      <c r="Y562" s="245">
        <f>IFERROR(($W562*$W529*Y529*FOREX),0)*IF(INPUT!$D$18="YES",0,1)</f>
        <v>0</v>
      </c>
      <c r="Z562" s="245">
        <f>IFERROR(($W562*$W529*Z529*FOREX),0)*IF(INPUT!$D$18="YES",0,1)</f>
        <v>0</v>
      </c>
      <c r="AA562" s="245">
        <f t="shared" si="182"/>
        <v>0</v>
      </c>
      <c r="AB562" s="245">
        <f t="shared" si="182"/>
        <v>0</v>
      </c>
      <c r="AC562" s="245">
        <f t="shared" ca="1" si="182"/>
        <v>0</v>
      </c>
      <c r="AD562" s="245">
        <f t="shared" si="182"/>
        <v>0</v>
      </c>
      <c r="AE562" s="245">
        <f t="shared" si="182"/>
        <v>0</v>
      </c>
      <c r="AF562" s="245">
        <f t="shared" si="182"/>
        <v>0</v>
      </c>
      <c r="AG562" s="245">
        <f t="shared" si="182"/>
        <v>0</v>
      </c>
      <c r="AH562" s="245">
        <f t="shared" si="182"/>
        <v>0</v>
      </c>
      <c r="AI562" s="245">
        <f t="shared" si="180"/>
        <v>0</v>
      </c>
      <c r="AJ562" s="245">
        <f t="shared" si="180"/>
        <v>0</v>
      </c>
      <c r="AK562" s="245">
        <f t="shared" si="180"/>
        <v>0</v>
      </c>
      <c r="AL562" s="245"/>
      <c r="AM562" s="246">
        <f t="shared" ca="1" si="181"/>
        <v>0</v>
      </c>
      <c r="AN562" s="257"/>
      <c r="AP562" s="186"/>
      <c r="AQ562" s="186"/>
      <c r="AR562" s="186"/>
      <c r="AS562" s="186"/>
      <c r="AT562" s="186"/>
      <c r="AU562" s="186"/>
      <c r="GS562" s="176"/>
      <c r="GT562" s="176"/>
      <c r="GU562" s="176"/>
      <c r="GV562" s="176"/>
      <c r="GW562" s="176"/>
    </row>
    <row r="563" spans="1:205" ht="12.75" hidden="1" customHeight="1" x14ac:dyDescent="0.2">
      <c r="A563" s="709"/>
      <c r="B563" s="1110"/>
      <c r="C563" s="1110"/>
      <c r="D563" s="257" t="e">
        <f>#REF!=#REF!</f>
        <v>#REF!</v>
      </c>
      <c r="E563" s="614"/>
      <c r="G563" s="186"/>
      <c r="H563" s="186"/>
      <c r="I563" s="186"/>
      <c r="J563" s="186"/>
      <c r="K563" s="186"/>
      <c r="L563" s="186"/>
      <c r="P563" s="179"/>
      <c r="Q563" s="179"/>
      <c r="R563" s="179"/>
      <c r="S563" s="175"/>
      <c r="T563" s="175"/>
      <c r="U563" s="253"/>
      <c r="V563" s="1460" t="str">
        <f t="shared" si="177"/>
        <v>8" Mud Motor, redress</v>
      </c>
      <c r="W563" s="1027">
        <f>IF(INPUT!$H$11="SCIENTIFIC DRILLING INC.",VLOOKUP(V563,JARSSHOCKTOOLDDT!$I$15:$M$43,3,FALSE),VLOOKUP(V563,JARSSHOCKTOOLDDT!$I$15:$M$43,5,FALSE))</f>
        <v>200</v>
      </c>
      <c r="X563" s="245">
        <f t="shared" si="178"/>
        <v>0</v>
      </c>
      <c r="Y563" s="245">
        <f>IFERROR(($W563*$W530*Y530*FOREX),0)*IF(INPUT!$D$18="YES",0,1)</f>
        <v>0</v>
      </c>
      <c r="Z563" s="245">
        <f>IFERROR(($W563*$W530*Z530*FOREX),0)*IF(INPUT!$D$18="YES",0,1)</f>
        <v>0</v>
      </c>
      <c r="AA563" s="245">
        <f t="shared" si="182"/>
        <v>0</v>
      </c>
      <c r="AB563" s="245">
        <f t="shared" si="182"/>
        <v>0</v>
      </c>
      <c r="AC563" s="245">
        <f t="shared" si="182"/>
        <v>0</v>
      </c>
      <c r="AD563" s="245">
        <f t="shared" si="182"/>
        <v>0</v>
      </c>
      <c r="AE563" s="245">
        <f t="shared" si="182"/>
        <v>0</v>
      </c>
      <c r="AF563" s="245">
        <f t="shared" si="182"/>
        <v>0</v>
      </c>
      <c r="AG563" s="245">
        <f t="shared" si="182"/>
        <v>0</v>
      </c>
      <c r="AH563" s="245">
        <f t="shared" si="182"/>
        <v>0</v>
      </c>
      <c r="AI563" s="245">
        <f t="shared" si="180"/>
        <v>0</v>
      </c>
      <c r="AJ563" s="245">
        <f t="shared" si="180"/>
        <v>0</v>
      </c>
      <c r="AK563" s="245">
        <f t="shared" si="180"/>
        <v>0</v>
      </c>
      <c r="AL563" s="245"/>
      <c r="AM563" s="246">
        <f t="shared" si="181"/>
        <v>0</v>
      </c>
      <c r="AN563" s="257"/>
      <c r="AP563" s="186"/>
      <c r="AQ563" s="186"/>
      <c r="AR563" s="186"/>
      <c r="AS563" s="186"/>
      <c r="AT563" s="186"/>
      <c r="AU563" s="186"/>
      <c r="GS563" s="176"/>
      <c r="GT563" s="176"/>
      <c r="GU563" s="176"/>
      <c r="GV563" s="176"/>
      <c r="GW563" s="176"/>
    </row>
    <row r="564" spans="1:205" ht="12.75" hidden="1" customHeight="1" x14ac:dyDescent="0.2">
      <c r="A564" s="709"/>
      <c r="B564" s="1110"/>
      <c r="C564" s="1110"/>
      <c r="D564" s="257" t="e">
        <f>#REF!=#REF!</f>
        <v>#REF!</v>
      </c>
      <c r="E564" s="614"/>
      <c r="G564" s="186"/>
      <c r="H564" s="186"/>
      <c r="I564" s="186"/>
      <c r="J564" s="186"/>
      <c r="K564" s="186"/>
      <c r="L564" s="186"/>
      <c r="P564" s="179"/>
      <c r="Q564" s="179"/>
      <c r="R564" s="179"/>
      <c r="S564" s="175"/>
      <c r="T564" s="175"/>
      <c r="U564" s="253"/>
      <c r="V564" s="1460" t="str">
        <f t="shared" si="177"/>
        <v>8" Pony NMDC</v>
      </c>
      <c r="W564" s="1027">
        <f>IF(INPUT!$H$11="SCIENTIFIC DRILLING INC.",VLOOKUP(V564,JARSSHOCKTOOLDDT!$I$15:$M$43,3,FALSE),VLOOKUP(V564,JARSSHOCKTOOLDDT!$I$15:$M$43,5,FALSE))</f>
        <v>338.4</v>
      </c>
      <c r="X564" s="245">
        <f t="shared" si="178"/>
        <v>0</v>
      </c>
      <c r="Y564" s="245">
        <f>IFERROR(($W564*$W531*Y531*FOREX),0)*IF(INPUT!$D$18="YES",0,1)</f>
        <v>0</v>
      </c>
      <c r="Z564" s="245">
        <f>IFERROR(($W564*$W531*Z531*FOREX),0)*IF(INPUT!$D$18="YES",0,1)</f>
        <v>0</v>
      </c>
      <c r="AA564" s="245">
        <f t="shared" ca="1" si="182"/>
        <v>0</v>
      </c>
      <c r="AB564" s="245">
        <f t="shared" ca="1" si="182"/>
        <v>0</v>
      </c>
      <c r="AC564" s="245">
        <f t="shared" ca="1" si="182"/>
        <v>0</v>
      </c>
      <c r="AD564" s="245">
        <f t="shared" ca="1" si="182"/>
        <v>0</v>
      </c>
      <c r="AE564" s="245">
        <f t="shared" ca="1" si="182"/>
        <v>0</v>
      </c>
      <c r="AF564" s="245">
        <f t="shared" si="182"/>
        <v>0</v>
      </c>
      <c r="AG564" s="245">
        <f t="shared" si="182"/>
        <v>0</v>
      </c>
      <c r="AH564" s="245">
        <f t="shared" si="182"/>
        <v>0</v>
      </c>
      <c r="AI564" s="245">
        <f t="shared" si="180"/>
        <v>0</v>
      </c>
      <c r="AJ564" s="245">
        <f t="shared" si="180"/>
        <v>0</v>
      </c>
      <c r="AK564" s="245">
        <f t="shared" si="180"/>
        <v>0</v>
      </c>
      <c r="AL564" s="245"/>
      <c r="AM564" s="246">
        <f t="shared" ca="1" si="181"/>
        <v>0</v>
      </c>
      <c r="AN564" s="257"/>
      <c r="AP564" s="186"/>
      <c r="AQ564" s="186"/>
      <c r="AR564" s="186"/>
      <c r="AS564" s="186"/>
      <c r="AT564" s="186"/>
      <c r="AU564" s="186"/>
      <c r="GS564" s="176"/>
      <c r="GT564" s="176"/>
      <c r="GU564" s="176"/>
      <c r="GV564" s="176"/>
      <c r="GW564" s="176"/>
    </row>
    <row r="565" spans="1:205" ht="12.75" hidden="1" customHeight="1" x14ac:dyDescent="0.2">
      <c r="A565" s="709"/>
      <c r="B565" s="1110"/>
      <c r="C565" s="1110"/>
      <c r="D565" s="257" t="e">
        <f>#REF!=#REF!</f>
        <v>#REF!</v>
      </c>
      <c r="E565" s="614"/>
      <c r="G565" s="186"/>
      <c r="H565" s="186"/>
      <c r="I565" s="186"/>
      <c r="J565" s="186"/>
      <c r="K565" s="186"/>
      <c r="L565" s="186"/>
      <c r="P565" s="179"/>
      <c r="Q565" s="179"/>
      <c r="R565" s="179"/>
      <c r="S565" s="175"/>
      <c r="T565" s="175"/>
      <c r="U565" s="253"/>
      <c r="V565" s="1460" t="str">
        <f t="shared" si="177"/>
        <v>8" NMDC</v>
      </c>
      <c r="W565" s="1027">
        <f>IF(INPUT!$H$11="SCIENTIFIC DRILLING INC.",VLOOKUP(V565,JARSSHOCKTOOLDDT!$I$15:$M$43,3,FALSE),VLOOKUP(V565,JARSSHOCKTOOLDDT!$I$15:$M$43,5,FALSE))</f>
        <v>338.4</v>
      </c>
      <c r="X565" s="245">
        <f t="shared" si="178"/>
        <v>0</v>
      </c>
      <c r="Y565" s="245">
        <f>IFERROR(($W565*$W532*Y532*FOREX),0)*IF(INPUT!$D$18="YES",0,1)</f>
        <v>0</v>
      </c>
      <c r="Z565" s="245">
        <f>IFERROR(($W565*$W532*Z532*FOREX),0)*IF(INPUT!$D$18="YES",0,1)</f>
        <v>0</v>
      </c>
      <c r="AA565" s="245">
        <f t="shared" ca="1" si="182"/>
        <v>0</v>
      </c>
      <c r="AB565" s="245">
        <f t="shared" ca="1" si="182"/>
        <v>0</v>
      </c>
      <c r="AC565" s="245">
        <f t="shared" ca="1" si="182"/>
        <v>0</v>
      </c>
      <c r="AD565" s="245">
        <f t="shared" ca="1" si="182"/>
        <v>0</v>
      </c>
      <c r="AE565" s="245">
        <f t="shared" ca="1" si="182"/>
        <v>0</v>
      </c>
      <c r="AF565" s="245">
        <f t="shared" si="182"/>
        <v>0</v>
      </c>
      <c r="AG565" s="245">
        <f t="shared" si="182"/>
        <v>0</v>
      </c>
      <c r="AH565" s="245">
        <f t="shared" si="182"/>
        <v>0</v>
      </c>
      <c r="AI565" s="245">
        <f t="shared" si="180"/>
        <v>0</v>
      </c>
      <c r="AJ565" s="245">
        <f t="shared" si="180"/>
        <v>0</v>
      </c>
      <c r="AK565" s="245">
        <f t="shared" si="180"/>
        <v>0</v>
      </c>
      <c r="AL565" s="245"/>
      <c r="AM565" s="246">
        <f t="shared" ca="1" si="181"/>
        <v>0</v>
      </c>
      <c r="AN565" s="257"/>
      <c r="AP565" s="186"/>
      <c r="AQ565" s="186"/>
      <c r="AR565" s="186"/>
      <c r="AS565" s="186"/>
      <c r="AT565" s="186"/>
      <c r="AU565" s="186"/>
      <c r="GS565" s="176"/>
      <c r="GT565" s="176"/>
      <c r="GU565" s="176"/>
      <c r="GV565" s="176"/>
      <c r="GW565" s="176"/>
    </row>
    <row r="566" spans="1:205" ht="12.75" hidden="1" customHeight="1" x14ac:dyDescent="0.2">
      <c r="A566" s="709"/>
      <c r="B566" s="1110"/>
      <c r="C566" s="1110"/>
      <c r="D566" s="257" t="e">
        <f>#REF!=#REF!</f>
        <v>#REF!</v>
      </c>
      <c r="E566" s="614"/>
      <c r="G566" s="186"/>
      <c r="H566" s="186"/>
      <c r="I566" s="186"/>
      <c r="J566" s="186"/>
      <c r="K566" s="186"/>
      <c r="L566" s="186"/>
      <c r="P566" s="179"/>
      <c r="Q566" s="179"/>
      <c r="R566" s="179"/>
      <c r="S566" s="175"/>
      <c r="T566" s="175"/>
      <c r="U566" s="253"/>
      <c r="V566" s="1460" t="str">
        <f t="shared" si="177"/>
        <v>EMS, rental</v>
      </c>
      <c r="W566" s="1027">
        <f>IF(INPUT!$H$11="SCIENTIFIC DRILLING INC.",VLOOKUP(V566,JARSSHOCKTOOLDDT!$I$15:$M$43,3,FALSE),VLOOKUP(V566,JARSSHOCKTOOLDDT!$I$15:$M$43,5,FALSE))</f>
        <v>250</v>
      </c>
      <c r="X566" s="245">
        <f t="shared" si="178"/>
        <v>0</v>
      </c>
      <c r="Y566" s="245">
        <f ca="1">IFERROR(($W566*$W533*Y533*FOREX),0)*IF(INPUT!$D$18="YES",0,1)</f>
        <v>0</v>
      </c>
      <c r="Z566" s="245">
        <f ca="1">IFERROR(($W566*$W533*Z533*FOREX),0)*IF(INPUT!$D$18="YES",0,1)</f>
        <v>0</v>
      </c>
      <c r="AA566" s="245">
        <f t="shared" ref="AA566:AH574" ca="1" si="183">IFERROR(($W566*$W533*AA533*FOREX),0)</f>
        <v>0</v>
      </c>
      <c r="AB566" s="245">
        <f t="shared" ca="1" si="183"/>
        <v>0</v>
      </c>
      <c r="AC566" s="245">
        <f t="shared" ca="1" si="183"/>
        <v>0</v>
      </c>
      <c r="AD566" s="245">
        <f t="shared" ca="1" si="183"/>
        <v>0</v>
      </c>
      <c r="AE566" s="245">
        <f t="shared" ca="1" si="183"/>
        <v>0</v>
      </c>
      <c r="AF566" s="245">
        <f t="shared" si="183"/>
        <v>0</v>
      </c>
      <c r="AG566" s="245">
        <f t="shared" si="183"/>
        <v>0</v>
      </c>
      <c r="AH566" s="245">
        <f t="shared" si="183"/>
        <v>0</v>
      </c>
      <c r="AI566" s="245">
        <f t="shared" si="180"/>
        <v>0</v>
      </c>
      <c r="AJ566" s="245">
        <f t="shared" si="180"/>
        <v>0</v>
      </c>
      <c r="AK566" s="245">
        <f t="shared" si="180"/>
        <v>0</v>
      </c>
      <c r="AL566" s="245"/>
      <c r="AM566" s="246">
        <f t="shared" ca="1" si="181"/>
        <v>0</v>
      </c>
      <c r="AN566" s="257"/>
      <c r="AP566" s="186"/>
      <c r="AQ566" s="186"/>
      <c r="AR566" s="186"/>
      <c r="AS566" s="186"/>
      <c r="AT566" s="186"/>
      <c r="AU566" s="186"/>
      <c r="GS566" s="176"/>
      <c r="GT566" s="176"/>
      <c r="GU566" s="176"/>
      <c r="GV566" s="176"/>
      <c r="GW566" s="176"/>
    </row>
    <row r="567" spans="1:205" ht="12.75" hidden="1" customHeight="1" x14ac:dyDescent="0.2">
      <c r="A567" s="709"/>
      <c r="B567" s="1110"/>
      <c r="C567" s="1110"/>
      <c r="D567" s="257" t="e">
        <f>#REF!=#REF!</f>
        <v>#REF!</v>
      </c>
      <c r="E567" s="614"/>
      <c r="G567" s="186"/>
      <c r="H567" s="186"/>
      <c r="I567" s="186"/>
      <c r="J567" s="186"/>
      <c r="K567" s="186"/>
      <c r="L567" s="186"/>
      <c r="P567" s="179"/>
      <c r="Q567" s="179"/>
      <c r="R567" s="179"/>
      <c r="S567" s="175"/>
      <c r="T567" s="175"/>
      <c r="U567" s="253"/>
      <c r="V567" s="1460" t="str">
        <f t="shared" si="177"/>
        <v>EMS, redress</v>
      </c>
      <c r="W567" s="1027">
        <f>IF(INPUT!$H$11="SCIENTIFIC DRILLING INC.",VLOOKUP(V567,JARSSHOCKTOOLDDT!$I$15:$M$43,3,FALSE),VLOOKUP(V567,JARSSHOCKTOOLDDT!$I$15:$M$43,5,FALSE))</f>
        <v>0</v>
      </c>
      <c r="X567" s="245">
        <f t="shared" si="178"/>
        <v>0</v>
      </c>
      <c r="Y567" s="245">
        <f>IFERROR(($W567*$W534*Y534*FOREX),0)*IF(INPUT!$D$18="YES",0,1)</f>
        <v>0</v>
      </c>
      <c r="Z567" s="245">
        <f>IFERROR(($W567*$W534*Z534*FOREX),0)*IF(INPUT!$D$18="YES",0,1)</f>
        <v>0</v>
      </c>
      <c r="AA567" s="245">
        <f t="shared" si="183"/>
        <v>0</v>
      </c>
      <c r="AB567" s="245">
        <f t="shared" si="183"/>
        <v>0</v>
      </c>
      <c r="AC567" s="245">
        <f t="shared" si="183"/>
        <v>0</v>
      </c>
      <c r="AD567" s="245">
        <f t="shared" si="183"/>
        <v>0</v>
      </c>
      <c r="AE567" s="245">
        <f t="shared" si="183"/>
        <v>0</v>
      </c>
      <c r="AF567" s="245">
        <f t="shared" si="183"/>
        <v>0</v>
      </c>
      <c r="AG567" s="245">
        <f t="shared" si="183"/>
        <v>0</v>
      </c>
      <c r="AH567" s="245">
        <f t="shared" si="183"/>
        <v>0</v>
      </c>
      <c r="AI567" s="245">
        <f t="shared" si="180"/>
        <v>0</v>
      </c>
      <c r="AJ567" s="245">
        <f t="shared" si="180"/>
        <v>0</v>
      </c>
      <c r="AK567" s="245">
        <f t="shared" si="180"/>
        <v>0</v>
      </c>
      <c r="AL567" s="245"/>
      <c r="AM567" s="246">
        <f t="shared" si="181"/>
        <v>0</v>
      </c>
      <c r="AN567" s="257"/>
      <c r="AP567" s="186"/>
      <c r="AQ567" s="186"/>
      <c r="AR567" s="186"/>
      <c r="AS567" s="186"/>
      <c r="AT567" s="186"/>
      <c r="AU567" s="186"/>
      <c r="GS567" s="176"/>
      <c r="GT567" s="176"/>
      <c r="GU567" s="176"/>
      <c r="GV567" s="176"/>
      <c r="GW567" s="176"/>
    </row>
    <row r="568" spans="1:205" ht="12.75" hidden="1" customHeight="1" x14ac:dyDescent="0.2">
      <c r="A568" s="709"/>
      <c r="B568" s="1110"/>
      <c r="C568" s="1110"/>
      <c r="D568" s="257" t="e">
        <f>#REF!=#REF!</f>
        <v>#REF!</v>
      </c>
      <c r="E568" s="614"/>
      <c r="G568" s="186"/>
      <c r="H568" s="186"/>
      <c r="I568" s="186"/>
      <c r="J568" s="186"/>
      <c r="K568" s="186"/>
      <c r="L568" s="186"/>
      <c r="P568" s="179"/>
      <c r="Q568" s="179"/>
      <c r="R568" s="179"/>
      <c r="S568" s="175"/>
      <c r="T568" s="175"/>
      <c r="U568" s="253"/>
      <c r="V568" s="1460" t="str">
        <f t="shared" si="177"/>
        <v>6-1/2"or 6-3/4" Mud Motor, rental</v>
      </c>
      <c r="W568" s="1027">
        <f>IF(INPUT!$H$11="SCIENTIFIC DRILLING INC.",VLOOKUP(V568,JARSSHOCKTOOLDDT!$I$15:$M$43,3,FALSE),VLOOKUP(V568,JARSSHOCKTOOLDDT!$I$15:$M$43,5,FALSE))</f>
        <v>150</v>
      </c>
      <c r="X568" s="245">
        <f t="shared" si="178"/>
        <v>0</v>
      </c>
      <c r="Y568" s="245">
        <f>IFERROR(($W568*$W535*Y535*FOREX),0)*IF(INPUT!$D$18="YES",0,1)</f>
        <v>0</v>
      </c>
      <c r="Z568" s="245">
        <f>IFERROR(($W568*$W535*Z535*FOREX),0)*IF(INPUT!$D$18="YES",0,1)</f>
        <v>0</v>
      </c>
      <c r="AA568" s="245">
        <f t="shared" ca="1" si="183"/>
        <v>0</v>
      </c>
      <c r="AB568" s="245">
        <f t="shared" ca="1" si="183"/>
        <v>0</v>
      </c>
      <c r="AC568" s="245">
        <f t="shared" ca="1" si="183"/>
        <v>0</v>
      </c>
      <c r="AD568" s="245">
        <f t="shared" ca="1" si="183"/>
        <v>0</v>
      </c>
      <c r="AE568" s="245">
        <f t="shared" ca="1" si="183"/>
        <v>0</v>
      </c>
      <c r="AF568" s="245">
        <f t="shared" si="183"/>
        <v>0</v>
      </c>
      <c r="AG568" s="245">
        <f t="shared" si="183"/>
        <v>0</v>
      </c>
      <c r="AH568" s="245">
        <f t="shared" si="183"/>
        <v>0</v>
      </c>
      <c r="AI568" s="245">
        <f t="shared" si="180"/>
        <v>0</v>
      </c>
      <c r="AJ568" s="245">
        <f t="shared" si="180"/>
        <v>0</v>
      </c>
      <c r="AK568" s="245">
        <f t="shared" si="180"/>
        <v>0</v>
      </c>
      <c r="AL568" s="245"/>
      <c r="AM568" s="246">
        <f t="shared" ca="1" si="181"/>
        <v>0</v>
      </c>
      <c r="AN568" s="257"/>
      <c r="AP568" s="186"/>
      <c r="AQ568" s="186"/>
      <c r="AR568" s="186"/>
      <c r="AS568" s="186"/>
      <c r="AT568" s="186"/>
      <c r="AU568" s="186"/>
      <c r="GS568" s="176"/>
      <c r="GT568" s="176"/>
      <c r="GU568" s="176"/>
      <c r="GV568" s="176"/>
      <c r="GW568" s="176"/>
    </row>
    <row r="569" spans="1:205" ht="12.75" hidden="1" customHeight="1" x14ac:dyDescent="0.2">
      <c r="A569" s="709"/>
      <c r="B569" s="1110"/>
      <c r="C569" s="1110"/>
      <c r="D569" s="257" t="e">
        <f>#REF!=#REF!</f>
        <v>#REF!</v>
      </c>
      <c r="E569" s="614"/>
      <c r="G569" s="186"/>
      <c r="H569" s="186"/>
      <c r="I569" s="186"/>
      <c r="J569" s="186"/>
      <c r="K569" s="186"/>
      <c r="L569" s="186"/>
      <c r="P569" s="179"/>
      <c r="Q569" s="179"/>
      <c r="R569" s="179"/>
      <c r="S569" s="175"/>
      <c r="T569" s="175"/>
      <c r="U569" s="253"/>
      <c r="V569" s="1460" t="str">
        <f t="shared" si="177"/>
        <v>6-1/2" or 6-3/4" Mud Motor, run charge</v>
      </c>
      <c r="W569" s="1027">
        <f>IF(INPUT!$H$11="SCIENTIFIC DRILLING INC.",VLOOKUP(V569,JARSSHOCKTOOLDDT!$I$15:$M$43,3,FALSE),VLOOKUP(V569,JARSSHOCKTOOLDDT!$I$15:$M$43,5,FALSE))</f>
        <v>5</v>
      </c>
      <c r="X569" s="245">
        <f t="shared" si="178"/>
        <v>0</v>
      </c>
      <c r="Y569" s="245">
        <f>IFERROR(($W569*$W536*Y536*FOREX),0)*IF(INPUT!$D$18="YES",0,1)</f>
        <v>0</v>
      </c>
      <c r="Z569" s="245">
        <f>IFERROR(($W569*$W536*Z536*FOREX),0)*IF(INPUT!$D$18="YES",0,1)</f>
        <v>0</v>
      </c>
      <c r="AA569" s="245">
        <f t="shared" si="183"/>
        <v>0</v>
      </c>
      <c r="AB569" s="245">
        <f t="shared" si="183"/>
        <v>0</v>
      </c>
      <c r="AC569" s="245">
        <f t="shared" si="183"/>
        <v>0</v>
      </c>
      <c r="AD569" s="245">
        <f t="shared" si="183"/>
        <v>0</v>
      </c>
      <c r="AE569" s="245">
        <f t="shared" ca="1" si="183"/>
        <v>0</v>
      </c>
      <c r="AF569" s="245">
        <f t="shared" si="183"/>
        <v>0</v>
      </c>
      <c r="AG569" s="245">
        <f t="shared" si="183"/>
        <v>0</v>
      </c>
      <c r="AH569" s="245">
        <f t="shared" si="183"/>
        <v>0</v>
      </c>
      <c r="AI569" s="245">
        <f t="shared" si="180"/>
        <v>0</v>
      </c>
      <c r="AJ569" s="245">
        <f t="shared" si="180"/>
        <v>0</v>
      </c>
      <c r="AK569" s="245">
        <f t="shared" si="180"/>
        <v>0</v>
      </c>
      <c r="AL569" s="245"/>
      <c r="AM569" s="246">
        <f t="shared" ca="1" si="181"/>
        <v>0</v>
      </c>
      <c r="AN569" s="257"/>
      <c r="AP569" s="186"/>
      <c r="AQ569" s="186"/>
      <c r="AR569" s="186"/>
      <c r="AS569" s="186"/>
      <c r="AT569" s="186"/>
      <c r="AU569" s="186"/>
      <c r="GS569" s="176"/>
      <c r="GT569" s="176"/>
      <c r="GU569" s="176"/>
      <c r="GV569" s="176"/>
      <c r="GW569" s="176"/>
    </row>
    <row r="570" spans="1:205" ht="12.75" hidden="1" customHeight="1" x14ac:dyDescent="0.2">
      <c r="A570" s="709"/>
      <c r="B570" s="1110"/>
      <c r="C570" s="1110"/>
      <c r="D570" s="257" t="e">
        <f>#REF!=#REF!</f>
        <v>#REF!</v>
      </c>
      <c r="E570" s="614"/>
      <c r="G570" s="186"/>
      <c r="H570" s="186"/>
      <c r="I570" s="186"/>
      <c r="J570" s="186"/>
      <c r="K570" s="186"/>
      <c r="L570" s="186"/>
      <c r="P570" s="179"/>
      <c r="Q570" s="179"/>
      <c r="R570" s="179"/>
      <c r="S570" s="175"/>
      <c r="T570" s="175"/>
      <c r="U570" s="253"/>
      <c r="V570" s="1460" t="str">
        <f t="shared" si="177"/>
        <v>6-1/2" or 6-3/4" Mud Motor, redress</v>
      </c>
      <c r="W570" s="1027">
        <f>IF(INPUT!$H$11="SCIENTIFIC DRILLING INC.",VLOOKUP(V570,JARSSHOCKTOOLDDT!$I$15:$M$43,3,FALSE),VLOOKUP(V570,JARSSHOCKTOOLDDT!$I$15:$M$43,5,FALSE))</f>
        <v>0</v>
      </c>
      <c r="X570" s="245">
        <f t="shared" si="178"/>
        <v>0</v>
      </c>
      <c r="Y570" s="245">
        <f>IFERROR(($W570*$W537*Y537*FOREX),0)*IF(INPUT!$D$18="YES",0,1)</f>
        <v>0</v>
      </c>
      <c r="Z570" s="245">
        <f>IFERROR(($W570*$W537*Z537*FOREX),0)*IF(INPUT!$D$18="YES",0,1)</f>
        <v>0</v>
      </c>
      <c r="AA570" s="245">
        <f t="shared" si="183"/>
        <v>0</v>
      </c>
      <c r="AB570" s="245">
        <f t="shared" si="183"/>
        <v>0</v>
      </c>
      <c r="AC570" s="245">
        <f t="shared" si="183"/>
        <v>0</v>
      </c>
      <c r="AD570" s="245">
        <f t="shared" si="183"/>
        <v>0</v>
      </c>
      <c r="AE570" s="245">
        <f t="shared" si="183"/>
        <v>0</v>
      </c>
      <c r="AF570" s="245">
        <f t="shared" si="183"/>
        <v>0</v>
      </c>
      <c r="AG570" s="245">
        <f t="shared" si="183"/>
        <v>0</v>
      </c>
      <c r="AH570" s="245">
        <f t="shared" si="183"/>
        <v>0</v>
      </c>
      <c r="AI570" s="245">
        <f t="shared" si="180"/>
        <v>0</v>
      </c>
      <c r="AJ570" s="245">
        <f t="shared" si="180"/>
        <v>0</v>
      </c>
      <c r="AK570" s="245">
        <f t="shared" si="180"/>
        <v>0</v>
      </c>
      <c r="AL570" s="245"/>
      <c r="AM570" s="246">
        <f t="shared" si="181"/>
        <v>0</v>
      </c>
      <c r="AN570" s="257"/>
      <c r="AP570" s="186"/>
      <c r="AQ570" s="186"/>
      <c r="AR570" s="186"/>
      <c r="AS570" s="186"/>
      <c r="AT570" s="186"/>
      <c r="AU570" s="186"/>
      <c r="GS570" s="176"/>
      <c r="GT570" s="176"/>
      <c r="GU570" s="176"/>
      <c r="GV570" s="176"/>
      <c r="GW570" s="176"/>
    </row>
    <row r="571" spans="1:205" ht="12.75" hidden="1" customHeight="1" x14ac:dyDescent="0.2">
      <c r="A571" s="709"/>
      <c r="B571" s="1110"/>
      <c r="C571" s="1110"/>
      <c r="D571" s="257" t="e">
        <f>#REF!=#REF!</f>
        <v>#REF!</v>
      </c>
      <c r="E571" s="614"/>
      <c r="G571" s="186"/>
      <c r="H571" s="186"/>
      <c r="I571" s="186"/>
      <c r="J571" s="186"/>
      <c r="K571" s="186"/>
      <c r="L571" s="186"/>
      <c r="P571" s="179"/>
      <c r="Q571" s="179"/>
      <c r="R571" s="179"/>
      <c r="S571" s="175"/>
      <c r="T571" s="175"/>
      <c r="U571" s="253"/>
      <c r="V571" s="1460" t="str">
        <f t="shared" si="177"/>
        <v>6-1/2" Pony NMDC</v>
      </c>
      <c r="W571" s="1027">
        <f>IF(INPUT!$H$11="SCIENTIFIC DRILLING INC.",VLOOKUP(V571,JARSSHOCKTOOLDDT!$I$15:$M$43,3,FALSE),VLOOKUP(V571,JARSSHOCKTOOLDDT!$I$15:$M$43,5,FALSE))</f>
        <v>338.4</v>
      </c>
      <c r="X571" s="245">
        <f t="shared" si="178"/>
        <v>0</v>
      </c>
      <c r="Y571" s="245">
        <f>IFERROR(($W571*$W538*Y538*FOREX),0)*IF(INPUT!$D$18="YES",0,1)</f>
        <v>0</v>
      </c>
      <c r="Z571" s="245">
        <f>IFERROR(($W571*$W538*Z538*FOREX),0)*IF(INPUT!$D$18="YES",0,1)</f>
        <v>0</v>
      </c>
      <c r="AA571" s="245">
        <f t="shared" ca="1" si="183"/>
        <v>0</v>
      </c>
      <c r="AB571" s="245">
        <f t="shared" ca="1" si="183"/>
        <v>0</v>
      </c>
      <c r="AC571" s="245">
        <f t="shared" ca="1" si="183"/>
        <v>0</v>
      </c>
      <c r="AD571" s="245">
        <f t="shared" ca="1" si="183"/>
        <v>0</v>
      </c>
      <c r="AE571" s="245">
        <f t="shared" ca="1" si="183"/>
        <v>0</v>
      </c>
      <c r="AF571" s="245">
        <f t="shared" si="183"/>
        <v>0</v>
      </c>
      <c r="AG571" s="245">
        <f t="shared" si="183"/>
        <v>0</v>
      </c>
      <c r="AH571" s="245">
        <f t="shared" si="183"/>
        <v>0</v>
      </c>
      <c r="AI571" s="245">
        <f t="shared" si="180"/>
        <v>0</v>
      </c>
      <c r="AJ571" s="245">
        <f t="shared" si="180"/>
        <v>0</v>
      </c>
      <c r="AK571" s="245">
        <f t="shared" si="180"/>
        <v>0</v>
      </c>
      <c r="AL571" s="245"/>
      <c r="AM571" s="246">
        <f t="shared" ca="1" si="181"/>
        <v>0</v>
      </c>
      <c r="AN571" s="257"/>
      <c r="AP571" s="186"/>
      <c r="AQ571" s="186"/>
      <c r="AR571" s="186"/>
      <c r="AS571" s="186"/>
      <c r="AT571" s="186"/>
      <c r="AU571" s="186"/>
      <c r="GS571" s="176"/>
      <c r="GT571" s="176"/>
      <c r="GU571" s="176"/>
      <c r="GV571" s="176"/>
      <c r="GW571" s="176"/>
    </row>
    <row r="572" spans="1:205" ht="12.75" hidden="1" customHeight="1" x14ac:dyDescent="0.2">
      <c r="A572" s="709"/>
      <c r="B572" s="1110"/>
      <c r="C572" s="1110"/>
      <c r="D572" s="257" t="e">
        <f>#REF!=#REF!</f>
        <v>#REF!</v>
      </c>
      <c r="E572" s="614"/>
      <c r="G572" s="186"/>
      <c r="H572" s="186"/>
      <c r="I572" s="186"/>
      <c r="J572" s="186"/>
      <c r="K572" s="186"/>
      <c r="L572" s="186"/>
      <c r="P572" s="179"/>
      <c r="Q572" s="179"/>
      <c r="R572" s="179"/>
      <c r="S572" s="175"/>
      <c r="T572" s="175"/>
      <c r="U572" s="253"/>
      <c r="V572" s="1460" t="str">
        <f t="shared" si="177"/>
        <v>6-1/2" NMDC</v>
      </c>
      <c r="W572" s="1027">
        <f>IF(INPUT!$H$11="SCIENTIFIC DRILLING INC.",VLOOKUP(V572,JARSSHOCKTOOLDDT!$I$15:$M$43,3,FALSE),VLOOKUP(V572,JARSSHOCKTOOLDDT!$I$15:$M$43,5,FALSE))</f>
        <v>338.4</v>
      </c>
      <c r="X572" s="245">
        <f t="shared" si="178"/>
        <v>0</v>
      </c>
      <c r="Y572" s="245">
        <f>IFERROR(($W572*$W539*Y539*FOREX),0)*IF(INPUT!$D$18="YES",0,1)</f>
        <v>0</v>
      </c>
      <c r="Z572" s="245">
        <f>IFERROR(($W572*$W539*Z539*FOREX),0)*IF(INPUT!$D$18="YES",0,1)</f>
        <v>0</v>
      </c>
      <c r="AA572" s="245">
        <f t="shared" ca="1" si="183"/>
        <v>0</v>
      </c>
      <c r="AB572" s="245">
        <f t="shared" ca="1" si="183"/>
        <v>0</v>
      </c>
      <c r="AC572" s="245">
        <f t="shared" ca="1" si="183"/>
        <v>0</v>
      </c>
      <c r="AD572" s="245">
        <f t="shared" ca="1" si="183"/>
        <v>0</v>
      </c>
      <c r="AE572" s="245">
        <f t="shared" ca="1" si="183"/>
        <v>0</v>
      </c>
      <c r="AF572" s="245">
        <f t="shared" si="183"/>
        <v>0</v>
      </c>
      <c r="AG572" s="245">
        <f t="shared" si="183"/>
        <v>0</v>
      </c>
      <c r="AH572" s="245">
        <f t="shared" si="183"/>
        <v>0</v>
      </c>
      <c r="AI572" s="245">
        <f t="shared" si="180"/>
        <v>0</v>
      </c>
      <c r="AJ572" s="245">
        <f t="shared" si="180"/>
        <v>0</v>
      </c>
      <c r="AK572" s="245">
        <f t="shared" si="180"/>
        <v>0</v>
      </c>
      <c r="AL572" s="245"/>
      <c r="AM572" s="246">
        <f t="shared" ca="1" si="181"/>
        <v>0</v>
      </c>
      <c r="AN572" s="257"/>
      <c r="AP572" s="186"/>
      <c r="AQ572" s="186"/>
      <c r="AR572" s="186"/>
      <c r="AS572" s="186"/>
      <c r="AT572" s="186"/>
      <c r="AU572" s="186"/>
      <c r="GS572" s="176"/>
      <c r="GT572" s="176"/>
      <c r="GU572" s="176"/>
      <c r="GV572" s="176"/>
      <c r="GW572" s="176"/>
    </row>
    <row r="573" spans="1:205" ht="12.75" hidden="1" customHeight="1" x14ac:dyDescent="0.2">
      <c r="A573" s="709"/>
      <c r="B573" s="1110"/>
      <c r="C573" s="1110"/>
      <c r="D573" s="257" t="e">
        <f>#REF!=#REF!</f>
        <v>#REF!</v>
      </c>
      <c r="E573" s="614"/>
      <c r="G573" s="186"/>
      <c r="H573" s="186"/>
      <c r="I573" s="186"/>
      <c r="J573" s="186"/>
      <c r="K573" s="186"/>
      <c r="L573" s="186"/>
      <c r="P573" s="179"/>
      <c r="Q573" s="179"/>
      <c r="R573" s="179"/>
      <c r="S573" s="175"/>
      <c r="T573" s="175"/>
      <c r="U573" s="253"/>
      <c r="V573" s="1460" t="str">
        <f t="shared" si="177"/>
        <v>12-1/4" UG Stabilizers</v>
      </c>
      <c r="W573" s="1027">
        <f>IF(INPUT!$H$11="SCIENTIFIC DRILLING INC.",VLOOKUP(V573,JARSSHOCKTOOLDDT!$I$15:$M$43,3,FALSE),VLOOKUP(V573,JARSSHOCKTOOLDDT!$I$15:$M$43,5,FALSE))</f>
        <v>200</v>
      </c>
      <c r="X573" s="245">
        <f t="shared" si="178"/>
        <v>0</v>
      </c>
      <c r="Y573" s="245">
        <f>IFERROR(($W573*$W540*Y540*FOREX),0)*IF(INPUT!$D$18="YES",0,1)</f>
        <v>0</v>
      </c>
      <c r="Z573" s="245">
        <f>IFERROR(($W573*$W540*Z540*FOREX),0)*IF(INPUT!$D$18="YES",0,1)</f>
        <v>0</v>
      </c>
      <c r="AA573" s="245">
        <f t="shared" ca="1" si="183"/>
        <v>0</v>
      </c>
      <c r="AB573" s="245">
        <f t="shared" ca="1" si="183"/>
        <v>0</v>
      </c>
      <c r="AC573" s="245">
        <f t="shared" ca="1" si="183"/>
        <v>0</v>
      </c>
      <c r="AD573" s="245">
        <f t="shared" ca="1" si="183"/>
        <v>0</v>
      </c>
      <c r="AE573" s="245">
        <f t="shared" ca="1" si="183"/>
        <v>0</v>
      </c>
      <c r="AF573" s="245">
        <f t="shared" si="183"/>
        <v>0</v>
      </c>
      <c r="AG573" s="245">
        <f t="shared" si="183"/>
        <v>0</v>
      </c>
      <c r="AH573" s="245">
        <f t="shared" si="183"/>
        <v>0</v>
      </c>
      <c r="AI573" s="245">
        <f t="shared" si="180"/>
        <v>0</v>
      </c>
      <c r="AJ573" s="245">
        <f t="shared" si="180"/>
        <v>0</v>
      </c>
      <c r="AK573" s="245">
        <f t="shared" si="180"/>
        <v>0</v>
      </c>
      <c r="AL573" s="245"/>
      <c r="AM573" s="246">
        <f t="shared" ca="1" si="181"/>
        <v>0</v>
      </c>
      <c r="AN573" s="257"/>
      <c r="AP573" s="186"/>
      <c r="AQ573" s="186"/>
      <c r="AR573" s="186"/>
      <c r="AS573" s="186"/>
      <c r="AT573" s="186"/>
      <c r="AU573" s="186"/>
      <c r="GS573" s="176"/>
      <c r="GT573" s="176"/>
      <c r="GU573" s="176"/>
      <c r="GV573" s="176"/>
      <c r="GW573" s="176"/>
    </row>
    <row r="574" spans="1:205" ht="12.75" hidden="1" customHeight="1" x14ac:dyDescent="0.2">
      <c r="A574" s="709"/>
      <c r="B574" s="1110"/>
      <c r="C574" s="1110"/>
      <c r="D574" s="257" t="e">
        <f>#REF!=#REF!</f>
        <v>#REF!</v>
      </c>
      <c r="E574" s="614"/>
      <c r="G574" s="186"/>
      <c r="H574" s="186"/>
      <c r="I574" s="186"/>
      <c r="J574" s="186"/>
      <c r="K574" s="186"/>
      <c r="L574" s="186"/>
      <c r="P574" s="179"/>
      <c r="Q574" s="179"/>
      <c r="R574" s="179"/>
      <c r="S574" s="175"/>
      <c r="T574" s="175"/>
      <c r="U574" s="253"/>
      <c r="V574" s="1460" t="str">
        <f t="shared" si="177"/>
        <v>8-1/2" UG Stabilizers</v>
      </c>
      <c r="W574" s="1027">
        <f>IF(INPUT!$H$11="SCIENTIFIC DRILLING INC.",VLOOKUP(V574,JARSSHOCKTOOLDDT!$I$15:$M$43,3,FALSE),VLOOKUP(V574,JARSSHOCKTOOLDDT!$I$15:$M$43,5,FALSE))</f>
        <v>200</v>
      </c>
      <c r="X574" s="245">
        <f t="shared" si="178"/>
        <v>0</v>
      </c>
      <c r="Y574" s="245">
        <f>IFERROR(($W574*$W541*Y541*FOREX),0)*IF(INPUT!$D$18="YES",0,1)</f>
        <v>0</v>
      </c>
      <c r="Z574" s="245">
        <f>IFERROR(($W574*$W541*Z541*FOREX),0)*IF(INPUT!$D$18="YES",0,1)</f>
        <v>0</v>
      </c>
      <c r="AA574" s="245">
        <f t="shared" ca="1" si="183"/>
        <v>0</v>
      </c>
      <c r="AB574" s="245">
        <f t="shared" ca="1" si="183"/>
        <v>0</v>
      </c>
      <c r="AC574" s="245">
        <f t="shared" ca="1" si="183"/>
        <v>0</v>
      </c>
      <c r="AD574" s="245">
        <f t="shared" ca="1" si="183"/>
        <v>0</v>
      </c>
      <c r="AE574" s="245">
        <f t="shared" ca="1" si="183"/>
        <v>0</v>
      </c>
      <c r="AF574" s="245">
        <f t="shared" si="183"/>
        <v>0</v>
      </c>
      <c r="AG574" s="245">
        <f t="shared" si="183"/>
        <v>0</v>
      </c>
      <c r="AH574" s="245">
        <f t="shared" si="183"/>
        <v>0</v>
      </c>
      <c r="AI574" s="245">
        <f t="shared" si="180"/>
        <v>0</v>
      </c>
      <c r="AJ574" s="245">
        <f t="shared" si="180"/>
        <v>0</v>
      </c>
      <c r="AK574" s="245">
        <f t="shared" si="180"/>
        <v>0</v>
      </c>
      <c r="AL574" s="245"/>
      <c r="AM574" s="246">
        <f t="shared" ca="1" si="181"/>
        <v>0</v>
      </c>
      <c r="AN574" s="257"/>
      <c r="AP574" s="186"/>
      <c r="AQ574" s="186"/>
      <c r="AR574" s="186"/>
      <c r="AS574" s="186"/>
      <c r="AT574" s="186"/>
      <c r="AU574" s="186"/>
      <c r="GS574" s="176"/>
      <c r="GT574" s="176"/>
      <c r="GU574" s="176"/>
      <c r="GV574" s="176"/>
      <c r="GW574" s="176"/>
    </row>
    <row r="575" spans="1:205" ht="12.75" hidden="1" customHeight="1" thickBot="1" x14ac:dyDescent="0.25">
      <c r="A575" s="709"/>
      <c r="B575" s="1110"/>
      <c r="C575" s="1110"/>
      <c r="D575" s="257" t="e">
        <f>#REF!=#REF!</f>
        <v>#REF!</v>
      </c>
      <c r="E575" s="614"/>
      <c r="G575" s="186"/>
      <c r="H575" s="186"/>
      <c r="I575" s="186"/>
      <c r="J575" s="186"/>
      <c r="K575" s="186"/>
      <c r="L575" s="186"/>
      <c r="P575" s="179"/>
      <c r="Q575" s="179"/>
      <c r="R575" s="179"/>
      <c r="S575" s="175"/>
      <c r="T575" s="175"/>
      <c r="U575" s="287" t="str">
        <f>U542</f>
        <v>OTHER TOOLS</v>
      </c>
      <c r="V575" s="1471"/>
      <c r="W575" s="946"/>
      <c r="X575" s="245"/>
      <c r="Y575" s="245"/>
      <c r="Z575" s="245"/>
      <c r="AA575" s="245"/>
      <c r="AB575" s="245"/>
      <c r="AC575" s="245"/>
      <c r="AD575" s="245"/>
      <c r="AE575" s="245"/>
      <c r="AF575" s="245"/>
      <c r="AG575" s="245"/>
      <c r="AH575" s="245"/>
      <c r="AI575" s="245"/>
      <c r="AJ575" s="245"/>
      <c r="AK575" s="245"/>
      <c r="AL575" s="245"/>
      <c r="AM575" s="246">
        <f t="shared" si="181"/>
        <v>0</v>
      </c>
      <c r="AN575" s="257"/>
      <c r="AP575" s="186"/>
      <c r="AQ575" s="186"/>
      <c r="AR575" s="186"/>
      <c r="AS575" s="186"/>
      <c r="AT575" s="186"/>
      <c r="AU575" s="186"/>
      <c r="GS575" s="176"/>
      <c r="GT575" s="176"/>
      <c r="GU575" s="176"/>
      <c r="GV575" s="176"/>
      <c r="GW575" s="176"/>
    </row>
    <row r="576" spans="1:205" ht="13.5" customHeight="1" x14ac:dyDescent="0.2">
      <c r="A576" s="736"/>
      <c r="B576" s="1137"/>
      <c r="C576" s="1137"/>
      <c r="D576" s="257" t="e">
        <f>#REF!=#REF!</f>
        <v>#REF!</v>
      </c>
      <c r="E576" s="613"/>
      <c r="G576" s="186" t="e">
        <f>#REF!</f>
        <v>#REF!</v>
      </c>
      <c r="H576" s="186" t="e">
        <f>#REF!</f>
        <v>#REF!</v>
      </c>
      <c r="I576" s="186" t="e">
        <f>#REF!</f>
        <v>#REF!</v>
      </c>
      <c r="J576" s="186" t="e">
        <f>#REF!</f>
        <v>#REF!</v>
      </c>
      <c r="K576" s="186" t="e">
        <f>#REF!</f>
        <v>#REF!</v>
      </c>
      <c r="L576" s="186" t="e">
        <f>#REF!</f>
        <v>#REF!</v>
      </c>
      <c r="P576" s="179"/>
      <c r="Q576" s="179"/>
      <c r="R576" s="179"/>
      <c r="S576" s="175"/>
      <c r="T576" s="175"/>
      <c r="U576" s="254"/>
      <c r="V576" s="254"/>
      <c r="W576" s="546">
        <f>SUM(W544:W575)</f>
        <v>9493.1999999999971</v>
      </c>
      <c r="X576" s="1847">
        <f>SUM(X478:X510)</f>
        <v>1983709.26</v>
      </c>
      <c r="Y576" s="1847">
        <f t="shared" ref="Y576:AK576" ca="1" si="184">SUM(Y478:Y510)</f>
        <v>1000612.86</v>
      </c>
      <c r="Z576" s="1847">
        <f t="shared" ca="1" si="184"/>
        <v>1607403.72</v>
      </c>
      <c r="AA576" s="1847">
        <f t="shared" ca="1" si="184"/>
        <v>2152091.37</v>
      </c>
      <c r="AB576" s="1847">
        <f t="shared" ca="1" si="184"/>
        <v>1575924.48</v>
      </c>
      <c r="AC576" s="1847">
        <f t="shared" ca="1" si="184"/>
        <v>3869201.7</v>
      </c>
      <c r="AD576" s="1847">
        <f t="shared" ca="1" si="184"/>
        <v>2051247.0299999998</v>
      </c>
      <c r="AE576" s="1847">
        <f t="shared" ca="1" si="184"/>
        <v>4503727.38</v>
      </c>
      <c r="AF576" s="1847">
        <f t="shared" ca="1" si="184"/>
        <v>1099671.18</v>
      </c>
      <c r="AG576" s="1847">
        <f t="shared" ca="1" si="184"/>
        <v>3151430.25</v>
      </c>
      <c r="AH576" s="1847">
        <f t="shared" ca="1" si="184"/>
        <v>808066.44</v>
      </c>
      <c r="AI576" s="1847">
        <f t="shared" ca="1" si="184"/>
        <v>0</v>
      </c>
      <c r="AJ576" s="1847">
        <f t="shared" ca="1" si="184"/>
        <v>0</v>
      </c>
      <c r="AK576" s="1847">
        <f t="shared" si="184"/>
        <v>0</v>
      </c>
      <c r="AL576" s="245"/>
      <c r="AM576" s="245">
        <f ca="1">SUM(AM478:AM510)</f>
        <v>23803085.669999998</v>
      </c>
      <c r="AN576" s="257"/>
      <c r="AP576" s="186"/>
      <c r="AQ576" s="186"/>
      <c r="AR576" s="186"/>
      <c r="AS576" s="186"/>
      <c r="AT576" s="186"/>
      <c r="AU576" s="186"/>
      <c r="GS576" s="176"/>
      <c r="GT576" s="176"/>
      <c r="GU576" s="176"/>
      <c r="GV576" s="176"/>
      <c r="GW576" s="176"/>
    </row>
    <row r="577" spans="1:205" ht="12.75" customHeight="1" x14ac:dyDescent="0.2">
      <c r="A577" s="712"/>
      <c r="B577" s="1113"/>
      <c r="C577" s="1113"/>
      <c r="D577" s="257" t="e">
        <f>#REF!=#REF!</f>
        <v>#REF!</v>
      </c>
      <c r="G577" s="186" t="e">
        <f>#REF!</f>
        <v>#REF!</v>
      </c>
      <c r="H577" s="186" t="e">
        <f>#REF!</f>
        <v>#REF!</v>
      </c>
      <c r="I577" s="186" t="e">
        <f>#REF!</f>
        <v>#REF!</v>
      </c>
      <c r="J577" s="186" t="e">
        <f>#REF!</f>
        <v>#REF!</v>
      </c>
      <c r="K577" s="186" t="e">
        <f>#REF!</f>
        <v>#REF!</v>
      </c>
      <c r="L577" s="186" t="e">
        <f>#REF!</f>
        <v>#REF!</v>
      </c>
      <c r="P577" s="179"/>
      <c r="Q577" s="179"/>
      <c r="R577" s="179"/>
      <c r="S577" s="175"/>
      <c r="T577" s="175"/>
      <c r="W577" s="202"/>
      <c r="X577" s="257"/>
      <c r="Y577" s="254"/>
      <c r="Z577" s="254"/>
      <c r="AA577" s="254"/>
      <c r="AB577" s="254"/>
      <c r="AC577" s="254"/>
      <c r="AD577" s="254"/>
      <c r="AE577" s="254"/>
      <c r="AF577" s="254"/>
      <c r="AG577" s="254"/>
      <c r="AH577" s="254"/>
      <c r="AI577" s="254"/>
      <c r="AJ577" s="254"/>
      <c r="AK577" s="254"/>
      <c r="AL577" s="254"/>
      <c r="AM577" s="522"/>
      <c r="AN577" s="257"/>
      <c r="AP577" s="186"/>
      <c r="AQ577" s="186"/>
      <c r="AR577" s="186"/>
      <c r="AS577" s="186"/>
      <c r="AT577" s="186"/>
      <c r="AU577" s="186"/>
      <c r="GS577" s="176"/>
      <c r="GT577" s="176"/>
      <c r="GU577" s="176"/>
      <c r="GV577" s="176"/>
      <c r="GW577" s="176"/>
    </row>
    <row r="578" spans="1:205" ht="12.75" customHeight="1" x14ac:dyDescent="0.2">
      <c r="A578" s="732"/>
      <c r="B578" s="1133"/>
      <c r="C578" s="1133"/>
      <c r="D578" s="220"/>
      <c r="G578" s="186" t="e">
        <f>#REF!</f>
        <v>#REF!</v>
      </c>
      <c r="H578" s="186" t="e">
        <f>#REF!</f>
        <v>#REF!</v>
      </c>
      <c r="I578" s="186" t="e">
        <f>#REF!</f>
        <v>#REF!</v>
      </c>
      <c r="J578" s="186" t="e">
        <f>#REF!</f>
        <v>#REF!</v>
      </c>
      <c r="K578" s="186" t="e">
        <f>#REF!</f>
        <v>#REF!</v>
      </c>
      <c r="L578" s="186" t="e">
        <f>#REF!</f>
        <v>#REF!</v>
      </c>
      <c r="P578" s="179"/>
      <c r="Q578" s="179"/>
      <c r="R578" s="179"/>
      <c r="S578" s="175"/>
      <c r="T578" s="175"/>
      <c r="X578" s="240"/>
      <c r="Y578" s="202"/>
      <c r="Z578" s="202"/>
      <c r="AA578" s="202"/>
      <c r="AB578" s="202"/>
      <c r="AC578" s="235"/>
      <c r="AD578" s="235"/>
      <c r="AE578" s="235"/>
      <c r="AF578" s="235"/>
      <c r="AG578" s="235"/>
      <c r="AH578" s="235"/>
      <c r="AI578" s="235"/>
      <c r="AJ578" s="235"/>
      <c r="AK578" s="235"/>
      <c r="AL578" s="235"/>
      <c r="AM578" s="220"/>
      <c r="AN578" s="257"/>
      <c r="AP578" s="186"/>
      <c r="AQ578" s="186"/>
      <c r="AR578" s="186"/>
      <c r="AS578" s="186"/>
      <c r="AT578" s="186"/>
      <c r="AU578" s="186"/>
      <c r="GS578" s="176"/>
      <c r="GT578" s="176"/>
      <c r="GU578" s="176"/>
      <c r="GV578" s="176"/>
      <c r="GW578" s="176"/>
    </row>
    <row r="579" spans="1:205" ht="13.5" customHeight="1" x14ac:dyDescent="0.2">
      <c r="A579" s="702"/>
      <c r="B579" s="1103"/>
      <c r="C579" s="1103"/>
      <c r="D579" s="254"/>
      <c r="G579" s="186" t="e">
        <f>#REF!</f>
        <v>#REF!</v>
      </c>
      <c r="H579" s="186" t="e">
        <f>#REF!</f>
        <v>#REF!</v>
      </c>
      <c r="I579" s="186" t="e">
        <f>#REF!</f>
        <v>#REF!</v>
      </c>
      <c r="J579" s="186" t="e">
        <f>#REF!</f>
        <v>#REF!</v>
      </c>
      <c r="K579" s="186" t="e">
        <f>#REF!</f>
        <v>#REF!</v>
      </c>
      <c r="L579" s="186" t="e">
        <f>#REF!</f>
        <v>#REF!</v>
      </c>
      <c r="P579" s="179"/>
      <c r="Q579" s="179"/>
      <c r="R579" s="179"/>
      <c r="S579" s="179"/>
      <c r="T579" s="179"/>
      <c r="U579" s="254"/>
      <c r="V579" s="665" t="s">
        <v>182</v>
      </c>
      <c r="W579" s="254"/>
      <c r="X579" s="254"/>
      <c r="Y579" s="254"/>
      <c r="Z579" s="254"/>
      <c r="AA579" s="254"/>
      <c r="AB579" s="254"/>
      <c r="AC579" s="254"/>
      <c r="AD579" s="254"/>
      <c r="AE579" s="254"/>
      <c r="AF579" s="254"/>
      <c r="AG579" s="254"/>
      <c r="AH579" s="254"/>
      <c r="AI579" s="254"/>
      <c r="AJ579" s="254"/>
      <c r="AK579" s="254"/>
      <c r="AL579" s="254"/>
      <c r="AM579" s="254"/>
      <c r="AN579" s="257"/>
      <c r="AP579" s="186"/>
      <c r="AQ579" s="186"/>
      <c r="AR579" s="186"/>
      <c r="AS579" s="186"/>
      <c r="AT579" s="186"/>
      <c r="AU579" s="186"/>
      <c r="GS579" s="176"/>
      <c r="GT579" s="176"/>
      <c r="GU579" s="176"/>
      <c r="GV579" s="176"/>
      <c r="GW579" s="176"/>
    </row>
    <row r="580" spans="1:205" ht="13.5" customHeight="1" x14ac:dyDescent="0.2">
      <c r="A580" s="728"/>
      <c r="B580" s="1129"/>
      <c r="C580" s="1129"/>
      <c r="D580" s="531"/>
      <c r="E580" s="599"/>
      <c r="G580" s="174"/>
      <c r="H580" s="174"/>
      <c r="I580" s="174"/>
      <c r="J580" s="174"/>
      <c r="K580" s="174"/>
      <c r="P580" s="179"/>
      <c r="Q580" s="179"/>
      <c r="R580" s="179"/>
      <c r="S580" s="175"/>
      <c r="T580" s="175"/>
      <c r="U580" s="2513" t="s">
        <v>152</v>
      </c>
      <c r="V580" s="2514"/>
      <c r="W580" s="1440" t="s">
        <v>138</v>
      </c>
      <c r="X580" s="1426" t="str">
        <f t="shared" ref="X580:AK580" si="185">X$14</f>
        <v>RIGMOVE</v>
      </c>
      <c r="Y580" s="1426" t="str">
        <f t="shared" si="185"/>
        <v>DSURFACE</v>
      </c>
      <c r="Z580" s="1426" t="str">
        <f t="shared" si="185"/>
        <v>FSURFACE</v>
      </c>
      <c r="AA580" s="1426" t="str">
        <f t="shared" si="185"/>
        <v>DINTERMEDIATE</v>
      </c>
      <c r="AB580" s="1426" t="str">
        <f t="shared" si="185"/>
        <v>FINTERMEDIATE</v>
      </c>
      <c r="AC580" s="1426" t="str">
        <f t="shared" si="185"/>
        <v>DPRODUCTION</v>
      </c>
      <c r="AD580" s="1426" t="str">
        <f t="shared" si="185"/>
        <v>FPRODUCTION</v>
      </c>
      <c r="AE580" s="1426" t="str">
        <f t="shared" si="185"/>
        <v>DLINER1</v>
      </c>
      <c r="AF580" s="1426" t="str">
        <f t="shared" si="185"/>
        <v>FLINER1</v>
      </c>
      <c r="AG580" s="1426" t="str">
        <f t="shared" si="185"/>
        <v>DLINER2</v>
      </c>
      <c r="AH580" s="1426" t="str">
        <f t="shared" si="185"/>
        <v>FLINER2</v>
      </c>
      <c r="AI580" s="1426" t="str">
        <f t="shared" si="185"/>
        <v/>
      </c>
      <c r="AJ580" s="1426" t="str">
        <f t="shared" si="185"/>
        <v/>
      </c>
      <c r="AK580" s="1426" t="str">
        <f t="shared" si="185"/>
        <v/>
      </c>
      <c r="AL580" s="1426"/>
      <c r="AM580" s="1437" t="s">
        <v>101</v>
      </c>
      <c r="AN580" s="257"/>
      <c r="AP580" s="186"/>
      <c r="AQ580" s="186"/>
      <c r="AR580" s="186"/>
      <c r="AS580" s="186"/>
      <c r="AT580" s="186"/>
      <c r="AU580" s="186"/>
      <c r="GS580" s="176"/>
      <c r="GT580" s="176"/>
      <c r="GU580" s="176"/>
      <c r="GV580" s="176"/>
      <c r="GW580" s="176"/>
    </row>
    <row r="581" spans="1:205" ht="13.5" customHeight="1" x14ac:dyDescent="0.2">
      <c r="A581" s="722"/>
      <c r="B581" s="1123"/>
      <c r="C581" s="1123"/>
      <c r="D581" s="525"/>
      <c r="E581" s="599"/>
      <c r="G581" s="174"/>
      <c r="H581" s="174"/>
      <c r="I581" s="174"/>
      <c r="J581" s="174"/>
      <c r="K581" s="174"/>
      <c r="P581" s="179"/>
      <c r="Q581" s="179"/>
      <c r="R581" s="179"/>
      <c r="S581" s="175"/>
      <c r="T581" s="175"/>
      <c r="U581" s="287"/>
      <c r="V581" s="287" t="s">
        <v>183</v>
      </c>
      <c r="W581" s="509">
        <v>2</v>
      </c>
      <c r="X581" s="255">
        <f>IF(RIGMOVE=0,0,3)</f>
        <v>3</v>
      </c>
      <c r="Y581" s="255">
        <f>DSURFACE*IF(INPUT!$D$18="YES",1,0)</f>
        <v>2</v>
      </c>
      <c r="Z581" s="255">
        <f>FSURFACE*IF(INPUT!$D$18="No",0,1)</f>
        <v>4</v>
      </c>
      <c r="AA581" s="255">
        <f>DINTERMEDIATE</f>
        <v>5</v>
      </c>
      <c r="AB581" s="255">
        <f>FINTERMEDIATE</f>
        <v>4</v>
      </c>
      <c r="AC581" s="255">
        <f>DPRODUCTION</f>
        <v>10</v>
      </c>
      <c r="AD581" s="255">
        <f>FPRODUCTION</f>
        <v>3</v>
      </c>
      <c r="AE581" s="255">
        <f>DLINER1</f>
        <v>6</v>
      </c>
      <c r="AF581" s="255">
        <f>IF(INPUT!$D$8="NO",5,FLINER1)</f>
        <v>2</v>
      </c>
      <c r="AG581" s="255">
        <f>IF((INPUT!$D$8="NO"),0,(DLINER2))</f>
        <v>5</v>
      </c>
      <c r="AH581" s="255">
        <f>IF((INPUT!$D$8="NO"),0,5)</f>
        <v>5</v>
      </c>
      <c r="AI581" s="245">
        <f>IF((INPUT!$D$19="NO"),0,(DLINER2))</f>
        <v>0</v>
      </c>
      <c r="AJ581" s="245">
        <f>IF((INPUT!$D$19="NO"),0,5)</f>
        <v>0</v>
      </c>
      <c r="AK581" s="245">
        <f>IF((INPUT!$H$19="NO"),0,5)</f>
        <v>0</v>
      </c>
      <c r="AL581" s="255"/>
      <c r="AM581" s="475">
        <f>SUM(X581:AL581)</f>
        <v>49</v>
      </c>
      <c r="AN581" s="172"/>
      <c r="AP581" s="186"/>
      <c r="AQ581" s="186"/>
      <c r="AR581" s="186"/>
      <c r="AS581" s="186"/>
      <c r="AT581" s="186"/>
      <c r="AU581" s="186"/>
      <c r="GS581" s="176"/>
      <c r="GT581" s="176"/>
      <c r="GU581" s="176"/>
      <c r="GV581" s="176"/>
      <c r="GW581" s="176"/>
    </row>
    <row r="582" spans="1:205" ht="13.5" customHeight="1" x14ac:dyDescent="0.2">
      <c r="A582" s="722"/>
      <c r="B582" s="1123"/>
      <c r="C582" s="1123"/>
      <c r="D582" s="525"/>
      <c r="E582" s="599"/>
      <c r="G582" s="174"/>
      <c r="H582" s="174"/>
      <c r="I582" s="174"/>
      <c r="J582" s="174"/>
      <c r="K582" s="174"/>
      <c r="P582" s="179"/>
      <c r="Q582" s="179"/>
      <c r="R582" s="179"/>
      <c r="S582" s="175"/>
      <c r="T582" s="175"/>
      <c r="U582" s="287"/>
      <c r="V582" s="287"/>
      <c r="W582" s="509"/>
      <c r="X582" s="255"/>
      <c r="Y582" s="255"/>
      <c r="Z582" s="255"/>
      <c r="AA582" s="255"/>
      <c r="AB582" s="255"/>
      <c r="AC582" s="255"/>
      <c r="AD582" s="255"/>
      <c r="AE582" s="255"/>
      <c r="AF582" s="255"/>
      <c r="AG582" s="255"/>
      <c r="AH582" s="255"/>
      <c r="AI582" s="255"/>
      <c r="AJ582" s="255"/>
      <c r="AK582" s="255"/>
      <c r="AL582" s="287"/>
      <c r="AM582" s="475"/>
      <c r="AN582" s="172"/>
      <c r="AP582" s="186"/>
      <c r="AQ582" s="186"/>
      <c r="AR582" s="186"/>
      <c r="AS582" s="186"/>
      <c r="AT582" s="186"/>
      <c r="AU582" s="186"/>
      <c r="GS582" s="176"/>
      <c r="GT582" s="176"/>
      <c r="GU582" s="176"/>
      <c r="GV582" s="176"/>
      <c r="GW582" s="176"/>
    </row>
    <row r="583" spans="1:205" ht="13.5" customHeight="1" x14ac:dyDescent="0.2">
      <c r="A583" s="709"/>
      <c r="B583" s="1110"/>
      <c r="C583" s="1110"/>
      <c r="D583" s="257"/>
      <c r="E583" s="613"/>
      <c r="G583" s="174"/>
      <c r="H583" s="174"/>
      <c r="I583" s="174"/>
      <c r="J583" s="174"/>
      <c r="K583" s="174"/>
      <c r="P583" s="179"/>
      <c r="Q583" s="179"/>
      <c r="R583" s="179"/>
      <c r="S583" s="175"/>
      <c r="T583" s="175"/>
      <c r="U583" s="1461"/>
      <c r="V583" s="1461"/>
      <c r="W583" s="541"/>
      <c r="X583" s="1472"/>
      <c r="Y583" s="1472"/>
      <c r="Z583" s="1472"/>
      <c r="AA583" s="1472"/>
      <c r="AB583" s="1472"/>
      <c r="AC583" s="1472"/>
      <c r="AD583" s="1472"/>
      <c r="AE583" s="1472"/>
      <c r="AF583" s="1472"/>
      <c r="AG583" s="1472"/>
      <c r="AH583" s="1472"/>
      <c r="AI583" s="1472"/>
      <c r="AJ583" s="1472"/>
      <c r="AK583" s="1472"/>
      <c r="AL583" s="1472"/>
      <c r="AM583" s="257"/>
      <c r="AN583" s="254"/>
      <c r="GS583" s="176"/>
      <c r="GT583" s="176"/>
      <c r="GU583" s="176"/>
      <c r="GV583" s="176"/>
      <c r="GW583" s="176"/>
    </row>
    <row r="584" spans="1:205" ht="13.5" customHeight="1" x14ac:dyDescent="0.2">
      <c r="A584" s="733"/>
      <c r="B584" s="1134"/>
      <c r="C584" s="1134"/>
      <c r="D584" s="535"/>
      <c r="E584" s="599"/>
      <c r="G584" s="174"/>
      <c r="H584" s="174"/>
      <c r="I584" s="174"/>
      <c r="J584" s="174"/>
      <c r="K584" s="174"/>
      <c r="P584" s="179"/>
      <c r="Q584" s="179"/>
      <c r="R584" s="179"/>
      <c r="S584" s="175"/>
      <c r="T584" s="175"/>
      <c r="U584" s="2513" t="s">
        <v>152</v>
      </c>
      <c r="V584" s="2514"/>
      <c r="W584" s="1440" t="s">
        <v>153</v>
      </c>
      <c r="X584" s="1426" t="str">
        <f t="shared" ref="X584:AK584" si="186">X$14</f>
        <v>RIGMOVE</v>
      </c>
      <c r="Y584" s="1426" t="str">
        <f t="shared" si="186"/>
        <v>DSURFACE</v>
      </c>
      <c r="Z584" s="1426" t="str">
        <f t="shared" si="186"/>
        <v>FSURFACE</v>
      </c>
      <c r="AA584" s="1426" t="str">
        <f t="shared" si="186"/>
        <v>DINTERMEDIATE</v>
      </c>
      <c r="AB584" s="1426" t="str">
        <f t="shared" si="186"/>
        <v>FINTERMEDIATE</v>
      </c>
      <c r="AC584" s="1426" t="str">
        <f t="shared" si="186"/>
        <v>DPRODUCTION</v>
      </c>
      <c r="AD584" s="1426" t="str">
        <f t="shared" si="186"/>
        <v>FPRODUCTION</v>
      </c>
      <c r="AE584" s="1426" t="str">
        <f t="shared" si="186"/>
        <v>DLINER1</v>
      </c>
      <c r="AF584" s="1426" t="str">
        <f t="shared" si="186"/>
        <v>FLINER1</v>
      </c>
      <c r="AG584" s="1426" t="str">
        <f t="shared" si="186"/>
        <v>DLINER2</v>
      </c>
      <c r="AH584" s="1426" t="str">
        <f t="shared" si="186"/>
        <v>FLINER2</v>
      </c>
      <c r="AI584" s="1426" t="str">
        <f t="shared" si="186"/>
        <v/>
      </c>
      <c r="AJ584" s="1426" t="str">
        <f t="shared" si="186"/>
        <v/>
      </c>
      <c r="AK584" s="1426" t="str">
        <f t="shared" si="186"/>
        <v/>
      </c>
      <c r="AL584" s="1426"/>
      <c r="AM584" s="1449" t="s">
        <v>46</v>
      </c>
      <c r="AN584" s="254"/>
      <c r="GS584" s="176"/>
      <c r="GT584" s="176"/>
      <c r="GU584" s="176"/>
      <c r="GV584" s="176"/>
      <c r="GW584" s="176"/>
    </row>
    <row r="585" spans="1:205" ht="13.5" customHeight="1" x14ac:dyDescent="0.2">
      <c r="A585" s="722"/>
      <c r="B585" s="1123"/>
      <c r="C585" s="1123"/>
      <c r="D585" s="525"/>
      <c r="E585" s="599"/>
      <c r="G585" s="174"/>
      <c r="H585" s="174"/>
      <c r="I585" s="174"/>
      <c r="J585" s="174"/>
      <c r="K585" s="174"/>
      <c r="P585" s="179"/>
      <c r="Q585" s="179"/>
      <c r="R585" s="179"/>
      <c r="S585" s="175"/>
      <c r="T585" s="175"/>
      <c r="U585" s="287" t="s">
        <v>183</v>
      </c>
      <c r="V585" s="287"/>
      <c r="W585" s="508">
        <v>472.5</v>
      </c>
      <c r="X585" s="246">
        <f t="shared" ref="X585:AH585" si="187">((X581*$W585)*FOREX)*$W581</f>
        <v>144585</v>
      </c>
      <c r="Y585" s="246">
        <f t="shared" si="187"/>
        <v>96390</v>
      </c>
      <c r="Z585" s="246">
        <f t="shared" si="187"/>
        <v>192780</v>
      </c>
      <c r="AA585" s="246">
        <f t="shared" si="187"/>
        <v>240975</v>
      </c>
      <c r="AB585" s="246">
        <f t="shared" si="187"/>
        <v>192780</v>
      </c>
      <c r="AC585" s="246">
        <f t="shared" si="187"/>
        <v>481950</v>
      </c>
      <c r="AD585" s="246">
        <f t="shared" si="187"/>
        <v>144585</v>
      </c>
      <c r="AE585" s="246">
        <f t="shared" si="187"/>
        <v>289170</v>
      </c>
      <c r="AF585" s="246">
        <f t="shared" si="187"/>
        <v>96390</v>
      </c>
      <c r="AG585" s="246">
        <f t="shared" si="187"/>
        <v>240975</v>
      </c>
      <c r="AH585" s="246">
        <f t="shared" si="187"/>
        <v>240975</v>
      </c>
      <c r="AI585" s="246">
        <f>((AI581*$W585)*FOREX)*$W581</f>
        <v>0</v>
      </c>
      <c r="AJ585" s="246">
        <f>((AJ581*$W585)*FOREX)*$W581</f>
        <v>0</v>
      </c>
      <c r="AK585" s="246">
        <f>((AK581*$W585)*FOREX)*$W581</f>
        <v>0</v>
      </c>
      <c r="AL585" s="246"/>
      <c r="AM585" s="475">
        <f>SUM(X585:AL585)</f>
        <v>2361555</v>
      </c>
      <c r="AN585" s="254"/>
      <c r="GS585" s="176"/>
      <c r="GT585" s="176"/>
      <c r="GU585" s="176"/>
      <c r="GV585" s="176"/>
      <c r="GW585" s="176"/>
    </row>
    <row r="586" spans="1:205" ht="12.75" customHeight="1" x14ac:dyDescent="0.2">
      <c r="A586" s="722"/>
      <c r="B586" s="1123"/>
      <c r="C586" s="1123"/>
      <c r="D586" s="525"/>
      <c r="E586" s="599"/>
      <c r="G586" s="174"/>
      <c r="H586" s="174"/>
      <c r="I586" s="174"/>
      <c r="J586" s="174"/>
      <c r="K586" s="174"/>
      <c r="P586" s="179"/>
      <c r="Q586" s="179"/>
      <c r="R586" s="179"/>
      <c r="S586" s="175"/>
      <c r="T586" s="175"/>
      <c r="U586" s="287"/>
      <c r="V586" s="287"/>
      <c r="W586" s="508"/>
      <c r="X586" s="246"/>
      <c r="Y586" s="246"/>
      <c r="Z586" s="246"/>
      <c r="AA586" s="246"/>
      <c r="AB586" s="246"/>
      <c r="AC586" s="246"/>
      <c r="AD586" s="246"/>
      <c r="AE586" s="246"/>
      <c r="AF586" s="246"/>
      <c r="AG586" s="246"/>
      <c r="AH586" s="246"/>
      <c r="AI586" s="246"/>
      <c r="AJ586" s="246"/>
      <c r="AK586" s="246"/>
      <c r="AL586" s="246"/>
      <c r="AM586" s="475"/>
      <c r="AN586" s="254"/>
      <c r="GS586" s="176"/>
      <c r="GT586" s="176"/>
      <c r="GU586" s="176"/>
      <c r="GV586" s="176"/>
      <c r="GW586" s="176"/>
    </row>
    <row r="587" spans="1:205" ht="12.75" customHeight="1" x14ac:dyDescent="0.2">
      <c r="A587" s="712"/>
      <c r="B587" s="1113"/>
      <c r="C587" s="1113"/>
      <c r="D587" s="533"/>
      <c r="G587" s="174"/>
      <c r="H587" s="174"/>
      <c r="I587" s="174"/>
      <c r="J587" s="174"/>
      <c r="K587" s="174"/>
      <c r="P587" s="179"/>
      <c r="Q587" s="179"/>
      <c r="R587" s="179"/>
      <c r="S587" s="175"/>
      <c r="T587" s="175"/>
      <c r="U587" s="181"/>
      <c r="V587" s="181"/>
      <c r="W587" s="240"/>
      <c r="X587" s="246">
        <f t="shared" ref="X587:AH587" si="188">SUM(X585:X586)</f>
        <v>144585</v>
      </c>
      <c r="Y587" s="246">
        <f t="shared" si="188"/>
        <v>96390</v>
      </c>
      <c r="Z587" s="246">
        <f t="shared" si="188"/>
        <v>192780</v>
      </c>
      <c r="AA587" s="246">
        <f t="shared" si="188"/>
        <v>240975</v>
      </c>
      <c r="AB587" s="246">
        <f t="shared" si="188"/>
        <v>192780</v>
      </c>
      <c r="AC587" s="246">
        <f t="shared" si="188"/>
        <v>481950</v>
      </c>
      <c r="AD587" s="246">
        <f t="shared" si="188"/>
        <v>144585</v>
      </c>
      <c r="AE587" s="246">
        <f t="shared" si="188"/>
        <v>289170</v>
      </c>
      <c r="AF587" s="246">
        <f t="shared" si="188"/>
        <v>96390</v>
      </c>
      <c r="AG587" s="246">
        <f t="shared" si="188"/>
        <v>240975</v>
      </c>
      <c r="AH587" s="246">
        <f t="shared" si="188"/>
        <v>240975</v>
      </c>
      <c r="AI587" s="246">
        <f>SUM(AI585:AI586)</f>
        <v>0</v>
      </c>
      <c r="AJ587" s="246">
        <f>SUM(AJ585:AJ586)</f>
        <v>0</v>
      </c>
      <c r="AK587" s="246">
        <f>SUM(AK585:AK586)</f>
        <v>0</v>
      </c>
      <c r="AL587" s="246"/>
      <c r="AM587" s="1439">
        <f>SUM(AM585:AM586)</f>
        <v>2361555</v>
      </c>
      <c r="AN587" s="254"/>
      <c r="GS587" s="176"/>
      <c r="GT587" s="176"/>
      <c r="GU587" s="176"/>
      <c r="GV587" s="176"/>
      <c r="GW587" s="176"/>
    </row>
    <row r="588" spans="1:205" ht="12.75" customHeight="1" x14ac:dyDescent="0.2">
      <c r="A588" s="712"/>
      <c r="B588" s="1113"/>
      <c r="C588" s="1113"/>
      <c r="D588" s="340"/>
      <c r="G588" s="174"/>
      <c r="H588" s="174"/>
      <c r="I588" s="174"/>
      <c r="J588" s="174"/>
      <c r="K588" s="174"/>
      <c r="P588" s="179"/>
      <c r="Q588" s="179"/>
      <c r="R588" s="179"/>
      <c r="S588" s="175"/>
      <c r="T588" s="175"/>
      <c r="U588" s="181"/>
      <c r="V588" s="181"/>
      <c r="W588" s="240"/>
      <c r="X588" s="202"/>
      <c r="Y588" s="202"/>
      <c r="Z588" s="202"/>
      <c r="AA588" s="202"/>
      <c r="AB588" s="202"/>
      <c r="AC588" s="202"/>
      <c r="AD588" s="202"/>
      <c r="AE588" s="202"/>
      <c r="AF588" s="202"/>
      <c r="AG588" s="202"/>
      <c r="AH588" s="202"/>
      <c r="AI588" s="202"/>
      <c r="AJ588" s="202"/>
      <c r="AK588" s="202"/>
      <c r="AL588" s="202"/>
      <c r="AM588" s="340"/>
      <c r="AN588" s="254"/>
      <c r="GS588" s="176"/>
      <c r="GT588" s="176"/>
      <c r="GU588" s="176"/>
      <c r="GV588" s="176"/>
      <c r="GW588" s="176"/>
    </row>
    <row r="589" spans="1:205" ht="13.5" customHeight="1" x14ac:dyDescent="0.2">
      <c r="A589" s="737"/>
      <c r="B589" s="1138"/>
      <c r="C589" s="1138"/>
      <c r="D589" s="542"/>
      <c r="G589" s="174"/>
      <c r="H589" s="174"/>
      <c r="I589" s="174"/>
      <c r="J589" s="174"/>
      <c r="K589" s="174"/>
      <c r="P589" s="179"/>
      <c r="Q589" s="179"/>
      <c r="R589" s="179"/>
      <c r="S589" s="175"/>
      <c r="T589" s="175"/>
      <c r="U589" s="254"/>
      <c r="V589" s="1423" t="s">
        <v>184</v>
      </c>
      <c r="W589" s="1474">
        <v>4</v>
      </c>
      <c r="X589" s="1474">
        <v>0</v>
      </c>
      <c r="Y589" s="1474"/>
      <c r="Z589" s="1474"/>
      <c r="AA589" s="1474">
        <v>1</v>
      </c>
      <c r="AB589" s="1474"/>
      <c r="AC589" s="1474">
        <v>1</v>
      </c>
      <c r="AD589" s="1474"/>
      <c r="AE589" s="1474">
        <v>1</v>
      </c>
      <c r="AF589" s="1474"/>
      <c r="AG589" s="1474"/>
      <c r="AH589" s="1474"/>
      <c r="AI589" s="1474"/>
      <c r="AJ589" s="1474"/>
      <c r="AK589" s="1474"/>
      <c r="AL589" s="1474"/>
      <c r="AM589" s="542"/>
      <c r="AN589" s="254"/>
      <c r="GS589" s="176"/>
      <c r="GT589" s="176"/>
      <c r="GU589" s="176"/>
      <c r="GV589" s="176"/>
      <c r="GW589" s="176"/>
    </row>
    <row r="590" spans="1:205" ht="13.5" customHeight="1" x14ac:dyDescent="0.2">
      <c r="A590" s="728"/>
      <c r="B590" s="1129"/>
      <c r="C590" s="1129"/>
      <c r="D590" s="531"/>
      <c r="E590" s="613"/>
      <c r="G590" s="174"/>
      <c r="H590" s="174"/>
      <c r="I590" s="174"/>
      <c r="J590" s="174"/>
      <c r="K590" s="174"/>
      <c r="P590" s="179"/>
      <c r="Q590" s="179"/>
      <c r="R590" s="179"/>
      <c r="S590" s="175"/>
      <c r="T590" s="175"/>
      <c r="U590" s="2513" t="s">
        <v>152</v>
      </c>
      <c r="V590" s="2514"/>
      <c r="W590" s="1440" t="s">
        <v>153</v>
      </c>
      <c r="X590" s="1426" t="str">
        <f>X$14</f>
        <v>RIGMOVE</v>
      </c>
      <c r="Y590" s="1426" t="str">
        <f t="shared" ref="Y590:AK590" si="189">Y$14</f>
        <v>DSURFACE</v>
      </c>
      <c r="Z590" s="1426" t="str">
        <f t="shared" si="189"/>
        <v>FSURFACE</v>
      </c>
      <c r="AA590" s="1426" t="str">
        <f t="shared" si="189"/>
        <v>DINTERMEDIATE</v>
      </c>
      <c r="AB590" s="1426" t="str">
        <f t="shared" si="189"/>
        <v>FINTERMEDIATE</v>
      </c>
      <c r="AC590" s="1426" t="str">
        <f t="shared" si="189"/>
        <v>DPRODUCTION</v>
      </c>
      <c r="AD590" s="1426" t="str">
        <f t="shared" si="189"/>
        <v>FPRODUCTION</v>
      </c>
      <c r="AE590" s="1426" t="str">
        <f t="shared" si="189"/>
        <v>DLINER1</v>
      </c>
      <c r="AF590" s="1426" t="str">
        <f t="shared" si="189"/>
        <v>FLINER1</v>
      </c>
      <c r="AG590" s="1426" t="str">
        <f t="shared" si="189"/>
        <v>DLINER2</v>
      </c>
      <c r="AH590" s="1426" t="str">
        <f t="shared" si="189"/>
        <v>FLINER2</v>
      </c>
      <c r="AI590" s="1426" t="str">
        <f t="shared" si="189"/>
        <v/>
      </c>
      <c r="AJ590" s="1426" t="str">
        <f t="shared" si="189"/>
        <v/>
      </c>
      <c r="AK590" s="1426" t="str">
        <f t="shared" si="189"/>
        <v/>
      </c>
      <c r="AL590" s="1426"/>
      <c r="AM590" s="1437" t="s">
        <v>101</v>
      </c>
      <c r="AN590" s="254"/>
      <c r="GS590" s="176"/>
      <c r="GT590" s="176"/>
      <c r="GU590" s="176"/>
      <c r="GV590" s="176"/>
      <c r="GW590" s="176"/>
    </row>
    <row r="591" spans="1:205" ht="12.75" customHeight="1" x14ac:dyDescent="0.2">
      <c r="A591" s="735"/>
      <c r="B591" s="1136"/>
      <c r="C591" s="1136"/>
      <c r="D591" s="539"/>
      <c r="E591" s="613"/>
      <c r="G591" s="174"/>
      <c r="H591" s="174"/>
      <c r="I591" s="174"/>
      <c r="J591" s="174"/>
      <c r="K591" s="174"/>
      <c r="P591" s="179"/>
      <c r="Q591" s="179"/>
      <c r="R591" s="179"/>
      <c r="S591" s="175"/>
      <c r="T591" s="175"/>
      <c r="U591" s="287"/>
      <c r="V591" s="1460" t="str">
        <f>'ADA COSTS'!A2</f>
        <v>Equipment Operating Rate</v>
      </c>
      <c r="W591" s="255" t="str">
        <f>'ADA COSTS'!B2</f>
        <v>per day</v>
      </c>
      <c r="X591" s="633"/>
      <c r="Y591" s="633">
        <f ca="1">IF(INPUT!$D$9="Yes",INDIRECT($Y$590),0)</f>
        <v>2</v>
      </c>
      <c r="Z591" s="633">
        <f ca="1">IF(INPUT!$D$9="Yes",INDIRECT($Z$590),0)</f>
        <v>4</v>
      </c>
      <c r="AA591" s="633">
        <f ca="1">INDIRECT(AA$590)</f>
        <v>5</v>
      </c>
      <c r="AB591" s="633">
        <f ca="1">INDIRECT(AB$590)-2</f>
        <v>2</v>
      </c>
      <c r="AC591" s="633">
        <f ca="1">INDIRECT(AC$590)</f>
        <v>10</v>
      </c>
      <c r="AD591" s="633">
        <f ca="1">INDIRECT(AD$590)</f>
        <v>3</v>
      </c>
      <c r="AE591" s="633">
        <f ca="1">INDIRECT(AE$590)</f>
        <v>6</v>
      </c>
      <c r="AF591" s="633">
        <f ca="1">INDIRECT(AF$590)</f>
        <v>2</v>
      </c>
      <c r="AG591" s="633">
        <f ca="1">IF(INPUT!$D$8="YES",INDIRECT(AG$590),0)</f>
        <v>5</v>
      </c>
      <c r="AH591" s="633">
        <f ca="1">IF(INPUT!$D$8="YES",INDIRECT(AH$590),0)</f>
        <v>7</v>
      </c>
      <c r="AI591" s="633">
        <f ca="1">IF(INPUT!$D$19="YES",INDIRECT(AI$590),0)</f>
        <v>0</v>
      </c>
      <c r="AJ591" s="633">
        <f ca="1">IF(INPUT!$D$19="YES",INDIRECT(AJ$590),0)</f>
        <v>0</v>
      </c>
      <c r="AK591" s="633">
        <f ca="1">IF(INPUT!$H$19="YES",INDIRECT(AK$590),0)</f>
        <v>0</v>
      </c>
      <c r="AL591" s="283"/>
      <c r="AM591" s="284">
        <f t="shared" ref="AM591:AM596" ca="1" si="190">SUM(X591:AL591)</f>
        <v>46</v>
      </c>
      <c r="AN591" s="172"/>
      <c r="GS591" s="176"/>
      <c r="GT591" s="176"/>
      <c r="GU591" s="176"/>
      <c r="GV591" s="176"/>
      <c r="GW591" s="176"/>
    </row>
    <row r="592" spans="1:205" ht="12.75" customHeight="1" x14ac:dyDescent="0.2">
      <c r="A592" s="735"/>
      <c r="B592" s="1136"/>
      <c r="C592" s="1136"/>
      <c r="D592" s="539"/>
      <c r="E592" s="613"/>
      <c r="G592" s="186" t="e">
        <f>#REF!</f>
        <v>#REF!</v>
      </c>
      <c r="H592" s="186" t="e">
        <f>#REF!</f>
        <v>#REF!</v>
      </c>
      <c r="I592" s="186" t="e">
        <f>#REF!</f>
        <v>#REF!</v>
      </c>
      <c r="J592" s="186" t="e">
        <f>#REF!</f>
        <v>#REF!</v>
      </c>
      <c r="K592" s="186" t="e">
        <f>#REF!</f>
        <v>#REF!</v>
      </c>
      <c r="L592" s="186" t="e">
        <f>#REF!</f>
        <v>#REF!</v>
      </c>
      <c r="P592" s="179"/>
      <c r="Q592" s="179"/>
      <c r="R592" s="179"/>
      <c r="S592" s="175"/>
      <c r="T592" s="175"/>
      <c r="U592" s="287"/>
      <c r="V592" s="1460" t="str">
        <f>'ADA COSTS'!A3</f>
        <v>Equipment Standby Rate</v>
      </c>
      <c r="W592" s="255" t="str">
        <f>'ADA COSTS'!B3</f>
        <v>per day</v>
      </c>
      <c r="X592" s="633">
        <f ca="1">INDIRECT(X590)</f>
        <v>13</v>
      </c>
      <c r="Y592" s="633">
        <f ca="1">IF(INPUT!$D$9="Yes",0,INDIRECT($Y$590))</f>
        <v>0</v>
      </c>
      <c r="Z592" s="633">
        <f ca="1">IF(INPUT!$D$9="Yes",0,INDIRECT($Y$590))</f>
        <v>0</v>
      </c>
      <c r="AA592" s="633"/>
      <c r="AB592" s="633">
        <v>2</v>
      </c>
      <c r="AC592" s="633"/>
      <c r="AD592" s="633"/>
      <c r="AE592" s="633"/>
      <c r="AF592" s="633"/>
      <c r="AG592" s="633"/>
      <c r="AH592" s="633"/>
      <c r="AI592" s="633"/>
      <c r="AJ592" s="633"/>
      <c r="AK592" s="633"/>
      <c r="AL592" s="283"/>
      <c r="AM592" s="284">
        <f t="shared" ca="1" si="190"/>
        <v>15</v>
      </c>
      <c r="AN592" s="172"/>
      <c r="GS592" s="176"/>
      <c r="GT592" s="176"/>
      <c r="GU592" s="176"/>
      <c r="GV592" s="176"/>
      <c r="GW592" s="176"/>
    </row>
    <row r="593" spans="1:205" ht="12.75" customHeight="1" x14ac:dyDescent="0.2">
      <c r="A593" s="735"/>
      <c r="B593" s="1136"/>
      <c r="C593" s="1136"/>
      <c r="D593" s="539"/>
      <c r="E593" s="614"/>
      <c r="G593" s="186"/>
      <c r="H593" s="186"/>
      <c r="I593" s="186"/>
      <c r="J593" s="186"/>
      <c r="K593" s="186"/>
      <c r="L593" s="186"/>
      <c r="P593" s="179"/>
      <c r="Q593" s="179"/>
      <c r="R593" s="179"/>
      <c r="S593" s="175"/>
      <c r="T593" s="175"/>
      <c r="U593" s="287"/>
      <c r="V593" s="1460" t="str">
        <f>'ADA COSTS'!A4</f>
        <v>Equipment Mobilization</v>
      </c>
      <c r="W593" s="255" t="str">
        <f>'ADA COSTS'!B4</f>
        <v>per move</v>
      </c>
      <c r="X593" s="633"/>
      <c r="Y593" s="633"/>
      <c r="Z593" s="633"/>
      <c r="AA593" s="633"/>
      <c r="AB593" s="633"/>
      <c r="AC593" s="634"/>
      <c r="AD593" s="634"/>
      <c r="AE593" s="633"/>
      <c r="AF593" s="633"/>
      <c r="AG593" s="633"/>
      <c r="AH593" s="633"/>
      <c r="AI593" s="633"/>
      <c r="AJ593" s="633"/>
      <c r="AK593" s="633"/>
      <c r="AL593" s="283"/>
      <c r="AM593" s="284">
        <f t="shared" si="190"/>
        <v>0</v>
      </c>
      <c r="AN593" s="172"/>
      <c r="GS593" s="176"/>
      <c r="GT593" s="176"/>
      <c r="GU593" s="176"/>
      <c r="GV593" s="176"/>
      <c r="GW593" s="176"/>
    </row>
    <row r="594" spans="1:205" ht="12.75" customHeight="1" x14ac:dyDescent="0.2">
      <c r="A594" s="735"/>
      <c r="B594" s="1136"/>
      <c r="C594" s="1136"/>
      <c r="D594" s="539"/>
      <c r="E594" s="614"/>
      <c r="G594" s="186"/>
      <c r="H594" s="186"/>
      <c r="I594" s="186"/>
      <c r="J594" s="186"/>
      <c r="K594" s="186"/>
      <c r="L594" s="186"/>
      <c r="P594" s="179"/>
      <c r="Q594" s="179"/>
      <c r="R594" s="179"/>
      <c r="S594" s="175"/>
      <c r="T594" s="175"/>
      <c r="U594" s="287"/>
      <c r="V594" s="1460" t="str">
        <f>'ADA COSTS'!A5</f>
        <v>Equipment Demobilization</v>
      </c>
      <c r="W594" s="255" t="str">
        <f>'ADA COSTS'!B5</f>
        <v>per move</v>
      </c>
      <c r="X594" s="633"/>
      <c r="Y594" s="633"/>
      <c r="Z594" s="633"/>
      <c r="AA594" s="633"/>
      <c r="AB594" s="633"/>
      <c r="AC594" s="634"/>
      <c r="AD594" s="634"/>
      <c r="AE594" s="633"/>
      <c r="AF594" s="633"/>
      <c r="AG594" s="633"/>
      <c r="AH594" s="633"/>
      <c r="AI594" s="633"/>
      <c r="AJ594" s="633"/>
      <c r="AK594" s="633"/>
      <c r="AL594" s="283"/>
      <c r="AM594" s="284">
        <f t="shared" si="190"/>
        <v>0</v>
      </c>
      <c r="AN594" s="254"/>
      <c r="GS594" s="176"/>
      <c r="GT594" s="176"/>
      <c r="GU594" s="176"/>
      <c r="GV594" s="176"/>
      <c r="GW594" s="176"/>
    </row>
    <row r="595" spans="1:205" ht="12.75" customHeight="1" x14ac:dyDescent="0.2">
      <c r="A595" s="735"/>
      <c r="B595" s="1136"/>
      <c r="C595" s="1136"/>
      <c r="D595" s="539"/>
      <c r="E595" s="613" t="s">
        <v>676</v>
      </c>
      <c r="G595" s="174"/>
      <c r="H595" s="174"/>
      <c r="I595" s="174"/>
      <c r="J595" s="174"/>
      <c r="K595" s="174"/>
      <c r="P595" s="179"/>
      <c r="Q595" s="179"/>
      <c r="R595" s="179"/>
      <c r="S595" s="175"/>
      <c r="T595" s="175"/>
      <c r="U595" s="287"/>
      <c r="V595" s="1460" t="str">
        <f>'ADA COSTS'!A6</f>
        <v>Air Drilling Supervisor</v>
      </c>
      <c r="W595" s="255" t="str">
        <f>'ADA COSTS'!B6</f>
        <v>/ day for 2 pax</v>
      </c>
      <c r="X595" s="634">
        <f ca="1">INDIRECT(X$590)-10</f>
        <v>3</v>
      </c>
      <c r="Y595" s="633">
        <f ca="1">IF(INPUT!$D$9="NO",0,INDIRECT(Y$590))</f>
        <v>2</v>
      </c>
      <c r="Z595" s="633">
        <f ca="1">IF(INPUT!$D$9="NO",0,INDIRECT(Z$590))</f>
        <v>4</v>
      </c>
      <c r="AA595" s="633">
        <f ca="1">IF(INPUT!D10="NO",0,INDIRECT(AA$590))</f>
        <v>5</v>
      </c>
      <c r="AB595" s="633">
        <f ca="1">IF(INPUT!D10="NO",0,INDIRECT(AB$590))</f>
        <v>4</v>
      </c>
      <c r="AC595" s="633">
        <f ca="1">IF(INPUT!D11="NO",0,INDIRECT(AC$590))</f>
        <v>10</v>
      </c>
      <c r="AD595" s="633">
        <f ca="1">IF(INPUT!D11="NO",0,INDIRECT(AD$590))</f>
        <v>3</v>
      </c>
      <c r="AE595" s="633">
        <f ca="1">IF(INPUT!D12="NO",0,INDIRECT(AE$590))</f>
        <v>6</v>
      </c>
      <c r="AF595" s="633">
        <f ca="1">IF(INPUT!D12="NO",0,IF(INPUT!D8="NO",3,INDIRECT(AF$590)))</f>
        <v>2</v>
      </c>
      <c r="AG595" s="633">
        <f ca="1">IF(INPUT!$D$8="YES",INDIRECT(AG$590),0)</f>
        <v>5</v>
      </c>
      <c r="AH595" s="633">
        <f ca="1">IF(INPUT!$D$8="YES",INDIRECT(AH$590),0)</f>
        <v>7</v>
      </c>
      <c r="AI595" s="633">
        <f ca="1">IF(INPUT!$D$19="YES",INDIRECT(AI$590),0)</f>
        <v>0</v>
      </c>
      <c r="AJ595" s="633">
        <f ca="1">IF(INPUT!$D$19="YES",INDIRECT(AJ$590),0)</f>
        <v>0</v>
      </c>
      <c r="AK595" s="633">
        <f ca="1">IF(INPUT!$H$19="YES",INDIRECT(AK$590),0)</f>
        <v>0</v>
      </c>
      <c r="AL595" s="284"/>
      <c r="AM595" s="284">
        <f t="shared" ca="1" si="190"/>
        <v>51</v>
      </c>
      <c r="AN595" s="254"/>
      <c r="AP595" s="186"/>
      <c r="AQ595" s="186"/>
      <c r="AR595" s="186"/>
      <c r="AS595" s="186"/>
      <c r="AT595" s="186"/>
      <c r="AU595" s="186"/>
      <c r="GS595" s="176"/>
      <c r="GT595" s="176"/>
      <c r="GU595" s="176"/>
      <c r="GV595" s="176"/>
      <c r="GW595" s="176"/>
    </row>
    <row r="596" spans="1:205" ht="12.75" customHeight="1" x14ac:dyDescent="0.2">
      <c r="A596" s="735"/>
      <c r="B596" s="1136"/>
      <c r="C596" s="1136"/>
      <c r="D596" s="539"/>
      <c r="E596" s="613"/>
      <c r="G596" s="174"/>
      <c r="H596" s="174"/>
      <c r="I596" s="174"/>
      <c r="J596" s="174"/>
      <c r="K596" s="174"/>
      <c r="P596" s="179"/>
      <c r="Q596" s="179"/>
      <c r="R596" s="179"/>
      <c r="S596" s="175"/>
      <c r="T596" s="175"/>
      <c r="U596" s="287"/>
      <c r="V596" s="1460" t="str">
        <f>'ADA COSTS'!A7</f>
        <v>Air Drilling Operator</v>
      </c>
      <c r="W596" s="255" t="str">
        <f>'ADA COSTS'!B7</f>
        <v>/ day for 4 pax</v>
      </c>
      <c r="X596" s="634">
        <f ca="1">INDIRECT(X$590)</f>
        <v>13</v>
      </c>
      <c r="Y596" s="633">
        <f ca="1">IF(INPUT!$D$9="NO",0,INDIRECT(Y$590))</f>
        <v>2</v>
      </c>
      <c r="Z596" s="633">
        <f ca="1">IF(INPUT!$D$9="NO",0,INDIRECT(Z$590))</f>
        <v>4</v>
      </c>
      <c r="AA596" s="633">
        <f ca="1">IF(INPUT!D10="NO",0,INDIRECT(AA$590))</f>
        <v>5</v>
      </c>
      <c r="AB596" s="633">
        <f ca="1">IF(INPUT!D10="NO",0,INDIRECT(AB$590))</f>
        <v>4</v>
      </c>
      <c r="AC596" s="633">
        <f ca="1">IF(INPUT!D11="NO",0,INDIRECT(AC$590))</f>
        <v>10</v>
      </c>
      <c r="AD596" s="633">
        <f ca="1">IF(INPUT!D11="NO",0,INDIRECT(AD$590))</f>
        <v>3</v>
      </c>
      <c r="AE596" s="633">
        <f ca="1">IF(INPUT!D12="NO",0,INDIRECT(AE$590))</f>
        <v>6</v>
      </c>
      <c r="AF596" s="633">
        <f ca="1">IF(INPUT!D12="NO",0,INDIRECT(AF$590))</f>
        <v>2</v>
      </c>
      <c r="AG596" s="633">
        <f ca="1">IF(INPUT!$D$8="YES",INDIRECT(AG$590),0)</f>
        <v>5</v>
      </c>
      <c r="AH596" s="633">
        <f ca="1">IF(INPUT!$D$8="YES",INDIRECT(AH$590),0)</f>
        <v>7</v>
      </c>
      <c r="AI596" s="633">
        <f ca="1">IF(INPUT!$D$19="YES",INDIRECT(AI$590),0)</f>
        <v>0</v>
      </c>
      <c r="AJ596" s="633">
        <f ca="1">IF(INPUT!$D$19="YES",INDIRECT(AJ$590),0)</f>
        <v>0</v>
      </c>
      <c r="AK596" s="633">
        <f ca="1">IF(INPUT!$H$19="YES",INDIRECT(AK$590),0)</f>
        <v>0</v>
      </c>
      <c r="AL596" s="284"/>
      <c r="AM596" s="284">
        <f t="shared" ca="1" si="190"/>
        <v>61</v>
      </c>
      <c r="AN596" s="254"/>
      <c r="AP596" s="186"/>
      <c r="AQ596" s="186"/>
      <c r="AR596" s="186"/>
      <c r="AS596" s="186"/>
      <c r="AT596" s="186"/>
      <c r="AU596" s="186"/>
      <c r="GS596" s="176"/>
      <c r="GT596" s="176"/>
      <c r="GU596" s="176"/>
      <c r="GV596" s="176"/>
      <c r="GW596" s="176"/>
    </row>
    <row r="597" spans="1:205" ht="12.75" customHeight="1" x14ac:dyDescent="0.2">
      <c r="A597" s="735"/>
      <c r="B597" s="1136"/>
      <c r="C597" s="1136"/>
      <c r="D597" s="539"/>
      <c r="E597" s="614"/>
      <c r="G597" s="174"/>
      <c r="H597" s="174"/>
      <c r="I597" s="174"/>
      <c r="J597" s="174"/>
      <c r="K597" s="174"/>
      <c r="P597" s="179"/>
      <c r="Q597" s="179"/>
      <c r="R597" s="179"/>
      <c r="S597" s="175"/>
      <c r="T597" s="175"/>
      <c r="U597" s="287"/>
      <c r="V597" s="1460" t="str">
        <f>'ADA COSTS'!A8</f>
        <v>Supervisor Mobilization</v>
      </c>
      <c r="W597" s="255" t="str">
        <f>'ADA COSTS'!B8</f>
        <v>/ day for 2 pax</v>
      </c>
      <c r="X597" s="633"/>
      <c r="Y597" s="633"/>
      <c r="Z597" s="633">
        <f>1*IF(INPUT!$D$18="No",0,1)</f>
        <v>1</v>
      </c>
      <c r="AA597" s="633"/>
      <c r="AB597" s="633"/>
      <c r="AC597" s="634">
        <v>1</v>
      </c>
      <c r="AD597" s="634"/>
      <c r="AE597" s="633"/>
      <c r="AF597" s="633"/>
      <c r="AG597" s="633"/>
      <c r="AH597" s="633"/>
      <c r="AI597" s="633"/>
      <c r="AJ597" s="633"/>
      <c r="AK597" s="633"/>
      <c r="AL597" s="284"/>
      <c r="AM597" s="284"/>
      <c r="AN597" s="254"/>
      <c r="AP597" s="186"/>
      <c r="AQ597" s="186"/>
      <c r="AR597" s="186"/>
      <c r="AS597" s="186"/>
      <c r="AT597" s="186"/>
      <c r="AU597" s="186"/>
      <c r="GS597" s="176"/>
      <c r="GT597" s="176"/>
      <c r="GU597" s="176"/>
      <c r="GV597" s="176"/>
      <c r="GW597" s="176"/>
    </row>
    <row r="598" spans="1:205" ht="12.75" customHeight="1" x14ac:dyDescent="0.2">
      <c r="A598" s="735"/>
      <c r="B598" s="1136"/>
      <c r="C598" s="1136"/>
      <c r="D598" s="539"/>
      <c r="E598" s="613"/>
      <c r="G598" s="174"/>
      <c r="H598" s="174"/>
      <c r="I598" s="174"/>
      <c r="J598" s="174"/>
      <c r="K598" s="174"/>
      <c r="P598" s="179"/>
      <c r="Q598" s="179"/>
      <c r="R598" s="179"/>
      <c r="S598" s="175"/>
      <c r="T598" s="175"/>
      <c r="U598" s="1475" t="s">
        <v>1103</v>
      </c>
      <c r="V598" s="287"/>
      <c r="W598" s="255"/>
      <c r="X598" s="633"/>
      <c r="Y598" s="633"/>
      <c r="Z598" s="633"/>
      <c r="AA598" s="633"/>
      <c r="AB598" s="633"/>
      <c r="AC598" s="634"/>
      <c r="AD598" s="634"/>
      <c r="AE598" s="633"/>
      <c r="AF598" s="633"/>
      <c r="AG598" s="633"/>
      <c r="AH598" s="633"/>
      <c r="AI598" s="633"/>
      <c r="AJ598" s="633"/>
      <c r="AK598" s="633"/>
      <c r="AL598" s="283"/>
      <c r="AM598" s="284"/>
      <c r="AN598" s="254"/>
      <c r="GS598" s="176"/>
      <c r="GT598" s="176"/>
      <c r="GU598" s="176"/>
      <c r="GV598" s="176"/>
      <c r="GW598" s="176"/>
    </row>
    <row r="599" spans="1:205" ht="12.75" customHeight="1" x14ac:dyDescent="0.2">
      <c r="A599" s="735"/>
      <c r="B599" s="1136"/>
      <c r="C599" s="1136"/>
      <c r="D599" s="539"/>
      <c r="E599" s="613"/>
      <c r="G599" s="174"/>
      <c r="H599" s="174"/>
      <c r="I599" s="174"/>
      <c r="J599" s="174"/>
      <c r="K599" s="174"/>
      <c r="P599" s="179"/>
      <c r="Q599" s="179"/>
      <c r="R599" s="179"/>
      <c r="S599" s="179"/>
      <c r="T599" s="179"/>
      <c r="U599" s="287"/>
      <c r="V599" s="1460" t="str">
        <f>'ADA COSTS'!A10</f>
        <v>Backup Booster Standby</v>
      </c>
      <c r="W599" s="255" t="str">
        <f>'ADA COSTS'!B10</f>
        <v>per day</v>
      </c>
      <c r="X599" s="634">
        <f t="shared" ref="X599:AF599" ca="1" si="191">INDIRECT(X$590)</f>
        <v>13</v>
      </c>
      <c r="Y599" s="633">
        <f ca="1">INDIRECT(Y$590)*IF(INPUT!$D$18="YES",1,0)</f>
        <v>2</v>
      </c>
      <c r="Z599" s="633">
        <f ca="1">INDIRECT(Z$590)*IF(INPUT!$D$18="YES",0,1)</f>
        <v>0</v>
      </c>
      <c r="AA599" s="633">
        <f t="shared" ca="1" si="191"/>
        <v>5</v>
      </c>
      <c r="AB599" s="633">
        <f t="shared" ca="1" si="191"/>
        <v>4</v>
      </c>
      <c r="AC599" s="633">
        <f t="shared" ca="1" si="191"/>
        <v>10</v>
      </c>
      <c r="AD599" s="633">
        <f t="shared" ca="1" si="191"/>
        <v>3</v>
      </c>
      <c r="AE599" s="633">
        <f t="shared" ca="1" si="191"/>
        <v>6</v>
      </c>
      <c r="AF599" s="633">
        <f t="shared" ca="1" si="191"/>
        <v>2</v>
      </c>
      <c r="AG599" s="633">
        <f ca="1">IF(INPUT!$D$8="NO",0,INDIRECT(AG$590))</f>
        <v>5</v>
      </c>
      <c r="AH599" s="633">
        <f ca="1">IF(INPUT!$D$8="NO",0,INDIRECT(AH$590))</f>
        <v>7</v>
      </c>
      <c r="AI599" s="633">
        <f ca="1">IF(INPUT!$D$19="NO",0,INDIRECT(AI$590))</f>
        <v>0</v>
      </c>
      <c r="AJ599" s="633">
        <f ca="1">IF(INPUT!$D$19="NO",0,INDIRECT(AJ$590))</f>
        <v>0</v>
      </c>
      <c r="AK599" s="633">
        <f ca="1">IF(INPUT!$H$19="NO",0,INDIRECT(AK$590))</f>
        <v>0</v>
      </c>
      <c r="AL599" s="283"/>
      <c r="AM599" s="284">
        <f t="shared" ref="AM599:AM604" ca="1" si="192">SUM(X599:AL599)</f>
        <v>57</v>
      </c>
      <c r="AN599" s="254"/>
      <c r="GS599" s="176"/>
      <c r="GT599" s="176"/>
      <c r="GU599" s="176"/>
      <c r="GV599" s="176"/>
      <c r="GW599" s="176"/>
    </row>
    <row r="600" spans="1:205" s="172" customFormat="1" ht="12.75" customHeight="1" x14ac:dyDescent="0.15">
      <c r="A600" s="735"/>
      <c r="B600" s="1136"/>
      <c r="C600" s="1136"/>
      <c r="D600" s="539"/>
      <c r="E600" s="613"/>
      <c r="G600" s="174"/>
      <c r="H600" s="174"/>
      <c r="I600" s="174"/>
      <c r="J600" s="174"/>
      <c r="K600" s="174"/>
      <c r="L600" s="174"/>
      <c r="M600" s="174"/>
      <c r="N600" s="174"/>
      <c r="O600" s="174"/>
      <c r="P600" s="179"/>
      <c r="Q600" s="179"/>
      <c r="R600" s="179"/>
      <c r="S600" s="179"/>
      <c r="T600" s="179"/>
      <c r="U600" s="287"/>
      <c r="V600" s="1460" t="str">
        <f>'ADA COSTS'!A11</f>
        <v>Backup Booster Operating</v>
      </c>
      <c r="W600" s="255" t="str">
        <f>'ADA COSTS'!B11</f>
        <v>per day</v>
      </c>
      <c r="X600" s="633"/>
      <c r="Y600" s="633"/>
      <c r="Z600" s="633"/>
      <c r="AA600" s="634"/>
      <c r="AB600" s="634"/>
      <c r="AC600" s="634"/>
      <c r="AD600" s="634"/>
      <c r="AE600" s="633"/>
      <c r="AF600" s="633"/>
      <c r="AG600" s="633"/>
      <c r="AH600" s="633"/>
      <c r="AI600" s="633"/>
      <c r="AJ600" s="633"/>
      <c r="AK600" s="633"/>
      <c r="AL600" s="283"/>
      <c r="AM600" s="284">
        <f t="shared" si="192"/>
        <v>0</v>
      </c>
      <c r="AN600" s="254"/>
      <c r="AP600" s="174"/>
      <c r="AQ600" s="174"/>
      <c r="AR600" s="174"/>
      <c r="AS600" s="174"/>
      <c r="AT600" s="174"/>
      <c r="AU600" s="174"/>
    </row>
    <row r="601" spans="1:205" ht="12.75" customHeight="1" x14ac:dyDescent="0.2">
      <c r="A601" s="735"/>
      <c r="B601" s="1136"/>
      <c r="C601" s="1136"/>
      <c r="D601" s="539"/>
      <c r="E601" s="613"/>
      <c r="G601" s="174"/>
      <c r="H601" s="174"/>
      <c r="I601" s="174"/>
      <c r="J601" s="174"/>
      <c r="K601" s="174"/>
      <c r="P601" s="179"/>
      <c r="Q601" s="179"/>
      <c r="R601" s="179"/>
      <c r="S601" s="179"/>
      <c r="T601" s="179"/>
      <c r="U601" s="287"/>
      <c r="V601" s="1460" t="str">
        <f>'ADA COSTS'!A12</f>
        <v>Mist Pump Standby</v>
      </c>
      <c r="W601" s="255" t="str">
        <f>'ADA COSTS'!B12</f>
        <v>per day</v>
      </c>
      <c r="X601" s="634">
        <f ca="1">INDIRECT(X$590)</f>
        <v>13</v>
      </c>
      <c r="Y601" s="633">
        <f ca="1">INDIRECT(Y$590)*IF(INPUT!$D$18="YES",1,0)</f>
        <v>2</v>
      </c>
      <c r="Z601" s="633">
        <f ca="1">INDIRECT(Z$590)*IF(INPUT!$D$18="YES",0,1)</f>
        <v>0</v>
      </c>
      <c r="AA601" s="633">
        <f t="shared" ref="AA601:AF601" ca="1" si="193">INDIRECT(AA$590)</f>
        <v>5</v>
      </c>
      <c r="AB601" s="633">
        <f t="shared" ca="1" si="193"/>
        <v>4</v>
      </c>
      <c r="AC601" s="634">
        <f ca="1">INDIRECT(AC$590)/2</f>
        <v>5</v>
      </c>
      <c r="AD601" s="633">
        <f t="shared" ca="1" si="193"/>
        <v>3</v>
      </c>
      <c r="AE601" s="634">
        <f ca="1">INDIRECT(AE$590)/2</f>
        <v>3</v>
      </c>
      <c r="AF601" s="633">
        <f t="shared" ca="1" si="193"/>
        <v>2</v>
      </c>
      <c r="AG601" s="633">
        <f ca="1">IF(INPUT!$D$8="NO",0,INDIRECT(AG$590))</f>
        <v>5</v>
      </c>
      <c r="AH601" s="633">
        <f ca="1">IF(INPUT!$D$8="NO",0,INDIRECT(AH$590))</f>
        <v>7</v>
      </c>
      <c r="AI601" s="633">
        <f ca="1">IF(INPUT!$D$19="NO",0,INDIRECT(AI$590))</f>
        <v>0</v>
      </c>
      <c r="AJ601" s="633">
        <f ca="1">IF(INPUT!$D$19="NO",0,INDIRECT(AJ$590))</f>
        <v>0</v>
      </c>
      <c r="AK601" s="633">
        <f ca="1">IF(INPUT!$H$19="NO",0,INDIRECT(AK$590))</f>
        <v>0</v>
      </c>
      <c r="AL601" s="283"/>
      <c r="AM601" s="284">
        <f t="shared" ca="1" si="192"/>
        <v>49</v>
      </c>
      <c r="AN601" s="254"/>
      <c r="GS601" s="176"/>
      <c r="GT601" s="176"/>
      <c r="GU601" s="176"/>
      <c r="GV601" s="176"/>
      <c r="GW601" s="176"/>
    </row>
    <row r="602" spans="1:205" s="172" customFormat="1" ht="12.75" customHeight="1" x14ac:dyDescent="0.15">
      <c r="A602" s="735"/>
      <c r="B602" s="1136"/>
      <c r="C602" s="1136"/>
      <c r="D602" s="539"/>
      <c r="E602" s="613"/>
      <c r="G602" s="174"/>
      <c r="H602" s="174"/>
      <c r="I602" s="174"/>
      <c r="J602" s="174"/>
      <c r="K602" s="174"/>
      <c r="L602" s="174"/>
      <c r="M602" s="174"/>
      <c r="N602" s="174"/>
      <c r="O602" s="174"/>
      <c r="P602" s="179"/>
      <c r="Q602" s="179"/>
      <c r="R602" s="179"/>
      <c r="S602" s="179"/>
      <c r="T602" s="179"/>
      <c r="U602" s="287"/>
      <c r="V602" s="1460" t="str">
        <f>'ADA COSTS'!A13</f>
        <v>Mist Pump Operating</v>
      </c>
      <c r="W602" s="255" t="str">
        <f>'ADA COSTS'!B13</f>
        <v>per day</v>
      </c>
      <c r="X602" s="633"/>
      <c r="Y602" s="633"/>
      <c r="Z602" s="633"/>
      <c r="AA602" s="634"/>
      <c r="AB602" s="634"/>
      <c r="AC602" s="634">
        <f ca="1">INDIRECT(AC$590)/2</f>
        <v>5</v>
      </c>
      <c r="AD602" s="634"/>
      <c r="AE602" s="634">
        <f ca="1">INDIRECT(AE$590)/2</f>
        <v>3</v>
      </c>
      <c r="AF602" s="633"/>
      <c r="AG602" s="633"/>
      <c r="AH602" s="633"/>
      <c r="AI602" s="633"/>
      <c r="AJ602" s="633"/>
      <c r="AK602" s="633"/>
      <c r="AL602" s="284"/>
      <c r="AM602" s="284">
        <f t="shared" ca="1" si="192"/>
        <v>8</v>
      </c>
      <c r="AN602" s="254"/>
      <c r="AP602" s="174"/>
      <c r="AQ602" s="174"/>
      <c r="AR602" s="174"/>
      <c r="AS602" s="174"/>
      <c r="AT602" s="174"/>
      <c r="AU602" s="174"/>
    </row>
    <row r="603" spans="1:205" ht="12.75" customHeight="1" x14ac:dyDescent="0.2">
      <c r="A603" s="735"/>
      <c r="B603" s="1136"/>
      <c r="C603" s="1136"/>
      <c r="D603" s="539"/>
      <c r="E603" s="613"/>
      <c r="G603" s="174"/>
      <c r="H603" s="174"/>
      <c r="I603" s="174"/>
      <c r="J603" s="174"/>
      <c r="K603" s="174"/>
      <c r="P603" s="179"/>
      <c r="Q603" s="179"/>
      <c r="R603" s="179"/>
      <c r="S603" s="179"/>
      <c r="T603" s="179"/>
      <c r="U603" s="287"/>
      <c r="V603" s="1460" t="str">
        <f>'ADA COSTS'!A14</f>
        <v>20-3/4" / 21-1/4" Rotating Head</v>
      </c>
      <c r="W603" s="255" t="str">
        <f>'ADA COSTS'!B14</f>
        <v>per day</v>
      </c>
      <c r="X603" s="634">
        <f ca="1">INDIRECT(X$590)</f>
        <v>13</v>
      </c>
      <c r="Y603" s="633">
        <f ca="1">INDIRECT(Y$590)*IF(INPUT!$D$18="YES",1,0)</f>
        <v>2</v>
      </c>
      <c r="Z603" s="633">
        <f ca="1">INDIRECT(Z$590)*IF(INPUT!$D$18="YES",0,1)</f>
        <v>0</v>
      </c>
      <c r="AA603" s="633">
        <f t="shared" ref="AA603:AF604" ca="1" si="194">INDIRECT(AA$590)</f>
        <v>5</v>
      </c>
      <c r="AB603" s="633">
        <f t="shared" ca="1" si="194"/>
        <v>4</v>
      </c>
      <c r="AC603" s="633">
        <f t="shared" ca="1" si="194"/>
        <v>10</v>
      </c>
      <c r="AD603" s="633">
        <f t="shared" ca="1" si="194"/>
        <v>3</v>
      </c>
      <c r="AE603" s="633">
        <f t="shared" ca="1" si="194"/>
        <v>6</v>
      </c>
      <c r="AF603" s="633">
        <f t="shared" ca="1" si="194"/>
        <v>2</v>
      </c>
      <c r="AG603" s="633">
        <f ca="1">IF(INPUT!$D$8="NO",0,INDIRECT(AG$590))</f>
        <v>5</v>
      </c>
      <c r="AH603" s="633">
        <f ca="1">IF(INPUT!$D$8="NO",0,INDIRECT(AH$590))</f>
        <v>7</v>
      </c>
      <c r="AI603" s="633">
        <f ca="1">IF(INPUT!$D$19="NO",0,INDIRECT(AI$590))</f>
        <v>0</v>
      </c>
      <c r="AJ603" s="633">
        <f ca="1">IF(INPUT!$D$19="NO",0,INDIRECT(AJ$590))</f>
        <v>0</v>
      </c>
      <c r="AK603" s="633">
        <f ca="1">IF(INPUT!$H$19="NO",0,INDIRECT(AK$590))</f>
        <v>0</v>
      </c>
      <c r="AL603" s="283"/>
      <c r="AM603" s="284">
        <f t="shared" ca="1" si="192"/>
        <v>57</v>
      </c>
      <c r="AN603" s="254"/>
      <c r="GS603" s="176"/>
      <c r="GT603" s="176"/>
      <c r="GU603" s="176"/>
      <c r="GV603" s="176"/>
      <c r="GW603" s="176"/>
    </row>
    <row r="604" spans="1:205" s="172" customFormat="1" ht="12.75" customHeight="1" x14ac:dyDescent="0.15">
      <c r="A604" s="735"/>
      <c r="B604" s="1136"/>
      <c r="C604" s="1136"/>
      <c r="D604" s="539"/>
      <c r="E604" s="613"/>
      <c r="G604" s="174"/>
      <c r="H604" s="174"/>
      <c r="I604" s="174"/>
      <c r="J604" s="174"/>
      <c r="K604" s="174"/>
      <c r="L604" s="174"/>
      <c r="M604" s="174"/>
      <c r="N604" s="174"/>
      <c r="O604" s="174"/>
      <c r="P604" s="179"/>
      <c r="Q604" s="179"/>
      <c r="R604" s="179"/>
      <c r="S604" s="179"/>
      <c r="T604" s="179"/>
      <c r="U604" s="287"/>
      <c r="V604" s="1460" t="str">
        <f>'ADA COSTS'!A15</f>
        <v>21-1/4" Banjo Box (Optional)</v>
      </c>
      <c r="W604" s="255" t="str">
        <f>'ADA COSTS'!B15</f>
        <v>per day</v>
      </c>
      <c r="X604" s="634">
        <f ca="1">INDIRECT(X$590)</f>
        <v>13</v>
      </c>
      <c r="Y604" s="633">
        <f ca="1">INDIRECT(Y$590)*IF(INPUT!$D$18="YES",1,0)</f>
        <v>2</v>
      </c>
      <c r="Z604" s="633">
        <f ca="1">INDIRECT(Z$590)*IF(INPUT!$D$18="YES",0,1)</f>
        <v>0</v>
      </c>
      <c r="AA604" s="633">
        <f t="shared" ca="1" si="194"/>
        <v>5</v>
      </c>
      <c r="AB604" s="633">
        <f t="shared" ca="1" si="194"/>
        <v>4</v>
      </c>
      <c r="AC604" s="633">
        <f t="shared" ca="1" si="194"/>
        <v>10</v>
      </c>
      <c r="AD604" s="633">
        <f t="shared" ca="1" si="194"/>
        <v>3</v>
      </c>
      <c r="AE604" s="633">
        <f t="shared" ca="1" si="194"/>
        <v>6</v>
      </c>
      <c r="AF604" s="633">
        <f t="shared" ca="1" si="194"/>
        <v>2</v>
      </c>
      <c r="AG604" s="633">
        <f ca="1">IF(INPUT!$D$8="NO",0,INDIRECT(AG$590))</f>
        <v>5</v>
      </c>
      <c r="AH604" s="633">
        <f ca="1">IF(INPUT!$D$8="NO",0,INDIRECT(AH$590))</f>
        <v>7</v>
      </c>
      <c r="AI604" s="633">
        <f ca="1">IF(INPUT!$D$19="NO",0,INDIRECT(AI$590))</f>
        <v>0</v>
      </c>
      <c r="AJ604" s="633">
        <f ca="1">IF(INPUT!$D$19="NO",0,INDIRECT(AJ$590))</f>
        <v>0</v>
      </c>
      <c r="AK604" s="633">
        <f ca="1">IF(INPUT!$H$19="NO",0,INDIRECT(AK$590))</f>
        <v>0</v>
      </c>
      <c r="AL604" s="283"/>
      <c r="AM604" s="284">
        <f t="shared" ca="1" si="192"/>
        <v>57</v>
      </c>
      <c r="AN604" s="254"/>
      <c r="AP604" s="174"/>
      <c r="AQ604" s="174"/>
      <c r="AR604" s="174"/>
      <c r="AS604" s="174"/>
      <c r="AT604" s="174"/>
      <c r="AU604" s="174"/>
    </row>
    <row r="605" spans="1:205" s="172" customFormat="1" ht="12.75" customHeight="1" x14ac:dyDescent="0.15">
      <c r="A605" s="735"/>
      <c r="B605" s="1136"/>
      <c r="C605" s="1136"/>
      <c r="D605" s="539"/>
      <c r="E605" s="613"/>
      <c r="G605" s="174"/>
      <c r="H605" s="174"/>
      <c r="I605" s="174"/>
      <c r="J605" s="174"/>
      <c r="K605" s="174"/>
      <c r="L605" s="174"/>
      <c r="M605" s="174"/>
      <c r="N605" s="174"/>
      <c r="O605" s="174"/>
      <c r="P605" s="179"/>
      <c r="Q605" s="179"/>
      <c r="R605" s="179"/>
      <c r="S605" s="179"/>
      <c r="T605" s="179"/>
      <c r="U605" s="1476" t="s">
        <v>189</v>
      </c>
      <c r="V605" s="287"/>
      <c r="W605" s="255"/>
      <c r="X605" s="1477"/>
      <c r="Y605" s="633"/>
      <c r="Z605" s="633"/>
      <c r="AA605" s="634"/>
      <c r="AB605" s="634"/>
      <c r="AC605" s="634"/>
      <c r="AD605" s="634"/>
      <c r="AE605" s="633"/>
      <c r="AF605" s="633"/>
      <c r="AG605" s="633"/>
      <c r="AH605" s="633"/>
      <c r="AI605" s="633"/>
      <c r="AJ605" s="633"/>
      <c r="AK605" s="633"/>
      <c r="AL605" s="284"/>
      <c r="AM605" s="284"/>
      <c r="AN605" s="254"/>
      <c r="AP605" s="174"/>
      <c r="AQ605" s="174"/>
      <c r="AR605" s="174"/>
      <c r="AS605" s="174"/>
      <c r="AT605" s="174"/>
      <c r="AU605" s="174"/>
    </row>
    <row r="606" spans="1:205" s="172" customFormat="1" ht="12.75" customHeight="1" x14ac:dyDescent="0.15">
      <c r="A606" s="735"/>
      <c r="B606" s="1136"/>
      <c r="C606" s="1136"/>
      <c r="D606" s="539"/>
      <c r="E606" s="613"/>
      <c r="G606" s="174"/>
      <c r="H606" s="174"/>
      <c r="I606" s="174"/>
      <c r="J606" s="174"/>
      <c r="K606" s="174"/>
      <c r="L606" s="174"/>
      <c r="M606" s="174"/>
      <c r="N606" s="174"/>
      <c r="O606" s="174"/>
      <c r="P606" s="179"/>
      <c r="Q606" s="179"/>
      <c r="R606" s="179"/>
      <c r="S606" s="179"/>
      <c r="T606" s="179"/>
      <c r="U606" s="287"/>
      <c r="V606" s="1460" t="str">
        <f>'ADA COSTS'!A17</f>
        <v>Rotating Rubber Head</v>
      </c>
      <c r="W606" s="255" t="str">
        <f>'ADA COSTS'!B17</f>
        <v>per piece</v>
      </c>
      <c r="X606" s="1477"/>
      <c r="Y606" s="634">
        <f>IF(INPUT!$D$9="YES",1,0)</f>
        <v>1</v>
      </c>
      <c r="Z606" s="633"/>
      <c r="AA606" s="634">
        <f>IF(INPUT!$D$10="YES",1,0)</f>
        <v>1</v>
      </c>
      <c r="AB606" s="633"/>
      <c r="AC606" s="634">
        <f>IF(INPUT!$D$11="YES",1,0)</f>
        <v>1</v>
      </c>
      <c r="AD606" s="633"/>
      <c r="AE606" s="634">
        <f>IF(INPUT!$D$12="YES",1,0)</f>
        <v>1</v>
      </c>
      <c r="AF606" s="633"/>
      <c r="AG606" s="634"/>
      <c r="AH606" s="633"/>
      <c r="AI606" s="634"/>
      <c r="AJ606" s="633"/>
      <c r="AK606" s="633"/>
      <c r="AL606" s="284"/>
      <c r="AM606" s="284">
        <f t="shared" ref="AM606:AM611" si="195">SUM(X606:AL606)</f>
        <v>4</v>
      </c>
      <c r="AN606" s="254"/>
      <c r="AP606" s="174"/>
      <c r="AQ606" s="174"/>
      <c r="AR606" s="174"/>
      <c r="AS606" s="174"/>
      <c r="AT606" s="174"/>
      <c r="AU606" s="174"/>
    </row>
    <row r="607" spans="1:205" s="172" customFormat="1" ht="12.75" customHeight="1" x14ac:dyDescent="0.15">
      <c r="A607" s="735"/>
      <c r="B607" s="1136"/>
      <c r="C607" s="1136"/>
      <c r="D607" s="539"/>
      <c r="E607" s="613"/>
      <c r="G607" s="174"/>
      <c r="H607" s="174"/>
      <c r="I607" s="174"/>
      <c r="J607" s="174"/>
      <c r="K607" s="174"/>
      <c r="L607" s="174"/>
      <c r="M607" s="174"/>
      <c r="N607" s="174"/>
      <c r="O607" s="174"/>
      <c r="P607" s="179"/>
      <c r="Q607" s="179"/>
      <c r="R607" s="179"/>
      <c r="S607" s="179"/>
      <c r="T607" s="179"/>
      <c r="U607" s="287"/>
      <c r="V607" s="1460" t="str">
        <f>'ADA COSTS'!A18</f>
        <v>Corrosion Inhibitor</v>
      </c>
      <c r="W607" s="255" t="str">
        <f>'ADA COSTS'!B18</f>
        <v>per drum</v>
      </c>
      <c r="X607" s="1477"/>
      <c r="Y607" s="634">
        <f>IF(INPUT!$D9="YES",'ADA COSTS'!$D$18,0)</f>
        <v>9</v>
      </c>
      <c r="Z607" s="633"/>
      <c r="AA607" s="634">
        <f>IF(INPUT!$D10="YES",'ADA COSTS'!$D$18,0)</f>
        <v>9</v>
      </c>
      <c r="AB607" s="633"/>
      <c r="AC607" s="634">
        <f>IF(INPUT!D11="YES",'ADA COSTS'!E18,0)</f>
        <v>9</v>
      </c>
      <c r="AD607" s="633"/>
      <c r="AE607" s="634">
        <f>IF(INPUT!D12="YES",'ADA COSTS'!F18,0)</f>
        <v>9</v>
      </c>
      <c r="AF607" s="633"/>
      <c r="AG607" s="634">
        <f>IF(INPUT!$D$8="NO",0,IF(INPUT!D$13="YES",'ADA COSTS'!G18,0))</f>
        <v>9</v>
      </c>
      <c r="AH607" s="633"/>
      <c r="AI607" s="634">
        <f>IF(INPUT!$D$8="NO",0,IF(INPUT!F$13="YES",'ADA COSTS'!I18,0))</f>
        <v>0</v>
      </c>
      <c r="AJ607" s="633"/>
      <c r="AK607" s="633"/>
      <c r="AL607" s="284"/>
      <c r="AM607" s="284">
        <f t="shared" si="195"/>
        <v>45</v>
      </c>
      <c r="AN607" s="254"/>
      <c r="AP607" s="174"/>
      <c r="AQ607" s="174"/>
      <c r="AR607" s="174"/>
      <c r="AS607" s="174"/>
      <c r="AT607" s="174"/>
      <c r="AU607" s="174"/>
    </row>
    <row r="608" spans="1:205" s="172" customFormat="1" ht="12.75" customHeight="1" x14ac:dyDescent="0.15">
      <c r="A608" s="735"/>
      <c r="B608" s="1136"/>
      <c r="C608" s="1136"/>
      <c r="D608" s="539"/>
      <c r="E608" s="613"/>
      <c r="G608" s="174"/>
      <c r="H608" s="174"/>
      <c r="I608" s="174"/>
      <c r="J608" s="174"/>
      <c r="K608" s="174"/>
      <c r="L608" s="174"/>
      <c r="M608" s="174"/>
      <c r="N608" s="174"/>
      <c r="O608" s="174"/>
      <c r="P608" s="179"/>
      <c r="Q608" s="179"/>
      <c r="R608" s="179"/>
      <c r="S608" s="179"/>
      <c r="T608" s="179"/>
      <c r="U608" s="287"/>
      <c r="V608" s="1460" t="str">
        <f>'ADA COSTS'!A19</f>
        <v>Defoamer</v>
      </c>
      <c r="W608" s="255" t="str">
        <f>'ADA COSTS'!B19</f>
        <v>per drum</v>
      </c>
      <c r="X608" s="633"/>
      <c r="Y608" s="634">
        <f>IF(INPUT!$D9="YES",'ADA COSTS'!$D$19,0)</f>
        <v>10</v>
      </c>
      <c r="Z608" s="633"/>
      <c r="AA608" s="634">
        <f>IF(INPUT!$D10="YES",'ADA COSTS'!$D$19,0)</f>
        <v>10</v>
      </c>
      <c r="AB608" s="633"/>
      <c r="AC608" s="634">
        <f>IF(INPUT!D11="YES",'ADA COSTS'!E19,0)</f>
        <v>5</v>
      </c>
      <c r="AD608" s="633"/>
      <c r="AE608" s="634"/>
      <c r="AF608" s="633"/>
      <c r="AG608" s="634"/>
      <c r="AH608" s="633"/>
      <c r="AI608" s="634"/>
      <c r="AJ608" s="633"/>
      <c r="AK608" s="633"/>
      <c r="AL608" s="284"/>
      <c r="AM608" s="284">
        <f t="shared" si="195"/>
        <v>25</v>
      </c>
      <c r="AN608" s="254"/>
      <c r="AP608" s="174"/>
      <c r="AQ608" s="174"/>
      <c r="AR608" s="174"/>
      <c r="AS608" s="174"/>
      <c r="AT608" s="174"/>
      <c r="AU608" s="174"/>
    </row>
    <row r="609" spans="1:47" s="172" customFormat="1" ht="12.75" customHeight="1" x14ac:dyDescent="0.15">
      <c r="A609" s="735"/>
      <c r="B609" s="1136"/>
      <c r="C609" s="1136"/>
      <c r="D609" s="539"/>
      <c r="E609" s="613"/>
      <c r="G609" s="174"/>
      <c r="H609" s="174"/>
      <c r="I609" s="174"/>
      <c r="J609" s="174"/>
      <c r="K609" s="174"/>
      <c r="L609" s="174"/>
      <c r="M609" s="174"/>
      <c r="N609" s="174"/>
      <c r="O609" s="174"/>
      <c r="P609" s="179"/>
      <c r="Q609" s="179"/>
      <c r="R609" s="179"/>
      <c r="S609" s="179"/>
      <c r="T609" s="179"/>
      <c r="U609" s="287"/>
      <c r="V609" s="1460" t="str">
        <f>'ADA COSTS'!A20</f>
        <v>Surfactant</v>
      </c>
      <c r="W609" s="255" t="str">
        <f>'ADA COSTS'!B20</f>
        <v>per drum</v>
      </c>
      <c r="X609" s="633"/>
      <c r="Y609" s="634"/>
      <c r="Z609" s="633"/>
      <c r="AA609" s="634"/>
      <c r="AB609" s="633"/>
      <c r="AC609" s="634">
        <f>IF(INPUT!D11="YES",'ADA COSTS'!E20,0)</f>
        <v>5</v>
      </c>
      <c r="AD609" s="633"/>
      <c r="AE609" s="634">
        <f>IF(INPUT!D$12="YES",'ADA COSTS'!F20,0)</f>
        <v>10</v>
      </c>
      <c r="AF609" s="633"/>
      <c r="AG609" s="634">
        <f>IF(INPUT!$D$8="NO",0,IF(INPUT!D$13="YES",'ADA COSTS'!G20,0))</f>
        <v>10</v>
      </c>
      <c r="AH609" s="633"/>
      <c r="AI609" s="634">
        <f>IF(INPUT!$D$8="NO",0,IF(INPUT!F$13="YES",'ADA COSTS'!I20,0))</f>
        <v>0</v>
      </c>
      <c r="AJ609" s="633"/>
      <c r="AK609" s="633"/>
      <c r="AL609" s="284"/>
      <c r="AM609" s="284">
        <f t="shared" si="195"/>
        <v>25</v>
      </c>
      <c r="AN609" s="254"/>
      <c r="AP609" s="174"/>
      <c r="AQ609" s="174"/>
      <c r="AR609" s="174"/>
      <c r="AS609" s="174"/>
      <c r="AT609" s="174"/>
      <c r="AU609" s="174"/>
    </row>
    <row r="610" spans="1:47" s="172" customFormat="1" ht="12.75" customHeight="1" x14ac:dyDescent="0.15">
      <c r="A610" s="735"/>
      <c r="B610" s="1136"/>
      <c r="C610" s="1136"/>
      <c r="D610" s="539"/>
      <c r="E610" s="613"/>
      <c r="G610" s="174"/>
      <c r="H610" s="174"/>
      <c r="I610" s="174"/>
      <c r="J610" s="174"/>
      <c r="K610" s="174"/>
      <c r="L610" s="174"/>
      <c r="M610" s="174"/>
      <c r="N610" s="174"/>
      <c r="O610" s="174"/>
      <c r="P610" s="179"/>
      <c r="Q610" s="179"/>
      <c r="R610" s="179"/>
      <c r="S610" s="179"/>
      <c r="T610" s="179"/>
      <c r="U610" s="287"/>
      <c r="V610" s="1460" t="str">
        <f>'ADA COSTS'!A21</f>
        <v>Rotating Head Refurbishment</v>
      </c>
      <c r="W610" s="255" t="str">
        <f>'ADA COSTS'!B21</f>
        <v>each</v>
      </c>
      <c r="X610" s="633"/>
      <c r="Y610" s="633"/>
      <c r="Z610" s="633"/>
      <c r="AA610" s="633"/>
      <c r="AB610" s="633"/>
      <c r="AC610" s="633"/>
      <c r="AD610" s="633"/>
      <c r="AE610" s="633"/>
      <c r="AF610" s="633"/>
      <c r="AG610" s="634">
        <f>IF(INPUT!$D$8="NO",0,IF(INPUT!D$13="YES",1,0))</f>
        <v>1</v>
      </c>
      <c r="AH610" s="633"/>
      <c r="AI610" s="634">
        <f>IF(INPUT!$D$8="NO",0,IF(INPUT!F$13="YES",1,0))</f>
        <v>0</v>
      </c>
      <c r="AJ610" s="633"/>
      <c r="AK610" s="633"/>
      <c r="AL610" s="284"/>
      <c r="AM610" s="284">
        <f t="shared" si="195"/>
        <v>1</v>
      </c>
      <c r="AN610" s="254"/>
      <c r="AP610" s="174"/>
      <c r="AQ610" s="174"/>
      <c r="AR610" s="174"/>
      <c r="AS610" s="174"/>
      <c r="AT610" s="174"/>
      <c r="AU610" s="174"/>
    </row>
    <row r="611" spans="1:47" s="172" customFormat="1" ht="13.5" customHeight="1" x14ac:dyDescent="0.15">
      <c r="A611" s="735"/>
      <c r="B611" s="1136"/>
      <c r="C611" s="1136"/>
      <c r="D611" s="539"/>
      <c r="E611" s="613"/>
      <c r="G611" s="174"/>
      <c r="H611" s="174"/>
      <c r="I611" s="174"/>
      <c r="J611" s="174"/>
      <c r="K611" s="174"/>
      <c r="L611" s="174"/>
      <c r="M611" s="174"/>
      <c r="N611" s="174"/>
      <c r="O611" s="174"/>
      <c r="P611" s="179"/>
      <c r="Q611" s="179"/>
      <c r="R611" s="179"/>
      <c r="S611" s="179"/>
      <c r="T611" s="179"/>
      <c r="U611" s="287"/>
      <c r="V611" s="1460" t="str">
        <f>'ADA COSTS'!A22</f>
        <v>FV and Sub Inspection and Refurbishment</v>
      </c>
      <c r="W611" s="255" t="str">
        <f>'ADA COSTS'!B22</f>
        <v>each</v>
      </c>
      <c r="X611" s="633"/>
      <c r="Y611" s="633"/>
      <c r="Z611" s="633"/>
      <c r="AA611" s="633"/>
      <c r="AB611" s="633"/>
      <c r="AC611" s="633"/>
      <c r="AD611" s="633"/>
      <c r="AE611" s="633"/>
      <c r="AF611" s="633"/>
      <c r="AG611" s="634">
        <f>IF(INPUT!$D$8="NO",0,IF(INPUT!D$13="YES",2,0))</f>
        <v>2</v>
      </c>
      <c r="AH611" s="633"/>
      <c r="AI611" s="634">
        <f>IF(INPUT!$D$8="NO",0,IF(INPUT!F$13="YES",2,0))</f>
        <v>0</v>
      </c>
      <c r="AJ611" s="633"/>
      <c r="AK611" s="633"/>
      <c r="AL611" s="284"/>
      <c r="AM611" s="284">
        <f t="shared" si="195"/>
        <v>2</v>
      </c>
      <c r="AN611" s="254"/>
      <c r="AP611" s="174"/>
      <c r="AQ611" s="174"/>
      <c r="AR611" s="174"/>
      <c r="AS611" s="174"/>
      <c r="AT611" s="174"/>
      <c r="AU611" s="174"/>
    </row>
    <row r="612" spans="1:47" s="172" customFormat="1" ht="13.5" customHeight="1" x14ac:dyDescent="0.15">
      <c r="A612" s="737"/>
      <c r="B612" s="1138"/>
      <c r="C612" s="1138"/>
      <c r="D612" s="542"/>
      <c r="E612" s="596"/>
      <c r="G612" s="174"/>
      <c r="H612" s="174"/>
      <c r="I612" s="174"/>
      <c r="J612" s="174"/>
      <c r="K612" s="174"/>
      <c r="L612" s="174"/>
      <c r="M612" s="174"/>
      <c r="N612" s="174"/>
      <c r="O612" s="174"/>
      <c r="P612" s="179"/>
      <c r="Q612" s="179"/>
      <c r="R612" s="179"/>
      <c r="S612" s="179"/>
      <c r="T612" s="179"/>
      <c r="U612" s="673"/>
      <c r="V612" s="254"/>
      <c r="W612" s="257"/>
      <c r="X612" s="257"/>
      <c r="Y612" s="254"/>
      <c r="Z612" s="254"/>
      <c r="AA612" s="257"/>
      <c r="AB612" s="257"/>
      <c r="AC612" s="257"/>
      <c r="AD612" s="257"/>
      <c r="AE612" s="257"/>
      <c r="AF612" s="257"/>
      <c r="AG612" s="257"/>
      <c r="AH612" s="257"/>
      <c r="AI612" s="257"/>
      <c r="AJ612" s="257"/>
      <c r="AK612" s="257"/>
      <c r="AL612" s="257"/>
      <c r="AM612" s="542"/>
      <c r="AN612" s="254"/>
      <c r="AP612" s="174"/>
      <c r="AQ612" s="174"/>
      <c r="AR612" s="174"/>
      <c r="AS612" s="174"/>
      <c r="AT612" s="174"/>
      <c r="AU612" s="174"/>
    </row>
    <row r="613" spans="1:47" s="172" customFormat="1" ht="13.5" customHeight="1" x14ac:dyDescent="0.15">
      <c r="A613" s="733"/>
      <c r="B613" s="1134"/>
      <c r="C613" s="1134"/>
      <c r="D613" s="535"/>
      <c r="E613" s="613"/>
      <c r="G613" s="174"/>
      <c r="H613" s="174"/>
      <c r="I613" s="174"/>
      <c r="J613" s="174"/>
      <c r="K613" s="174"/>
      <c r="L613" s="174"/>
      <c r="M613" s="174"/>
      <c r="N613" s="174"/>
      <c r="O613" s="174"/>
      <c r="P613" s="179"/>
      <c r="Q613" s="179"/>
      <c r="R613" s="179"/>
      <c r="S613" s="179"/>
      <c r="T613" s="179"/>
      <c r="U613" s="2513" t="s">
        <v>200</v>
      </c>
      <c r="V613" s="2514"/>
      <c r="W613" s="1440" t="s">
        <v>179</v>
      </c>
      <c r="X613" s="1426" t="str">
        <f t="shared" ref="X613:AK613" si="196">X$14</f>
        <v>RIGMOVE</v>
      </c>
      <c r="Y613" s="1426" t="str">
        <f t="shared" si="196"/>
        <v>DSURFACE</v>
      </c>
      <c r="Z613" s="1426" t="str">
        <f t="shared" si="196"/>
        <v>FSURFACE</v>
      </c>
      <c r="AA613" s="1426" t="str">
        <f t="shared" si="196"/>
        <v>DINTERMEDIATE</v>
      </c>
      <c r="AB613" s="1426" t="str">
        <f t="shared" si="196"/>
        <v>FINTERMEDIATE</v>
      </c>
      <c r="AC613" s="1426" t="str">
        <f t="shared" si="196"/>
        <v>DPRODUCTION</v>
      </c>
      <c r="AD613" s="1426" t="str">
        <f t="shared" si="196"/>
        <v>FPRODUCTION</v>
      </c>
      <c r="AE613" s="1426" t="str">
        <f t="shared" si="196"/>
        <v>DLINER1</v>
      </c>
      <c r="AF613" s="1426" t="str">
        <f t="shared" si="196"/>
        <v>FLINER1</v>
      </c>
      <c r="AG613" s="1426" t="str">
        <f t="shared" si="196"/>
        <v>DLINER2</v>
      </c>
      <c r="AH613" s="1426" t="str">
        <f t="shared" si="196"/>
        <v>FLINER2</v>
      </c>
      <c r="AI613" s="1426" t="str">
        <f t="shared" si="196"/>
        <v/>
      </c>
      <c r="AJ613" s="1426" t="str">
        <f t="shared" si="196"/>
        <v/>
      </c>
      <c r="AK613" s="1426" t="str">
        <f t="shared" si="196"/>
        <v/>
      </c>
      <c r="AL613" s="1426"/>
      <c r="AM613" s="1449" t="s">
        <v>46</v>
      </c>
      <c r="AN613" s="254"/>
      <c r="AP613" s="174"/>
      <c r="AQ613" s="174"/>
      <c r="AR613" s="174"/>
      <c r="AS613" s="174"/>
      <c r="AT613" s="174"/>
      <c r="AU613" s="174"/>
    </row>
    <row r="614" spans="1:47" s="172" customFormat="1" ht="12.75" customHeight="1" x14ac:dyDescent="0.15">
      <c r="A614" s="709"/>
      <c r="B614" s="1110"/>
      <c r="C614" s="1110"/>
      <c r="D614" s="257"/>
      <c r="E614" s="613"/>
      <c r="G614" s="174"/>
      <c r="H614" s="174"/>
      <c r="I614" s="174"/>
      <c r="J614" s="174"/>
      <c r="K614" s="174"/>
      <c r="L614" s="174"/>
      <c r="M614" s="174"/>
      <c r="N614" s="174"/>
      <c r="O614" s="174"/>
      <c r="P614" s="179"/>
      <c r="Q614" s="179"/>
      <c r="R614" s="179"/>
      <c r="S614" s="179"/>
      <c r="T614" s="179"/>
      <c r="U614" s="1460" t="str">
        <f t="shared" ref="U614:U620" si="197">V591</f>
        <v>Equipment Operating Rate</v>
      </c>
      <c r="V614" s="287"/>
      <c r="W614" s="341">
        <f>INDEX('ADA COSTS'!$C$2:$C$22,MATCH('Cost Details'!U614,'ADA COSTS'!$A$2:$A$22,0))</f>
        <v>3203.5</v>
      </c>
      <c r="X614" s="246">
        <f>($W614*FOREX)*X591</f>
        <v>0</v>
      </c>
      <c r="Y614" s="246">
        <f t="shared" ref="Y614:AH614" ca="1" si="198">($W614*FOREX)*Y591</f>
        <v>326757</v>
      </c>
      <c r="Z614" s="246">
        <f t="shared" ca="1" si="198"/>
        <v>653514</v>
      </c>
      <c r="AA614" s="246">
        <f ca="1">($W614*FOREX)*AA591</f>
        <v>816892.5</v>
      </c>
      <c r="AB614" s="246">
        <f t="shared" ca="1" si="198"/>
        <v>326757</v>
      </c>
      <c r="AC614" s="246">
        <f t="shared" ca="1" si="198"/>
        <v>1633785</v>
      </c>
      <c r="AD614" s="246">
        <f t="shared" ca="1" si="198"/>
        <v>490135.5</v>
      </c>
      <c r="AE614" s="246">
        <f t="shared" ca="1" si="198"/>
        <v>980271</v>
      </c>
      <c r="AF614" s="246">
        <f t="shared" ca="1" si="198"/>
        <v>326757</v>
      </c>
      <c r="AG614" s="246">
        <f t="shared" ca="1" si="198"/>
        <v>816892.5</v>
      </c>
      <c r="AH614" s="246">
        <f t="shared" ca="1" si="198"/>
        <v>1143649.5</v>
      </c>
      <c r="AI614" s="246">
        <f t="shared" ref="AI614:AK617" ca="1" si="199">($W614*FOREX)*AI591</f>
        <v>0</v>
      </c>
      <c r="AJ614" s="246">
        <f t="shared" ca="1" si="199"/>
        <v>0</v>
      </c>
      <c r="AK614" s="246">
        <f t="shared" ca="1" si="199"/>
        <v>0</v>
      </c>
      <c r="AL614" s="246"/>
      <c r="AM614" s="1726">
        <f t="shared" ref="AM614:AM634" ca="1" si="200">SUM(X614:AL614)</f>
        <v>7515411</v>
      </c>
      <c r="AN614" s="254"/>
      <c r="AP614" s="174"/>
      <c r="AQ614" s="174"/>
      <c r="AR614" s="174"/>
      <c r="AS614" s="174"/>
      <c r="AT614" s="174"/>
      <c r="AU614" s="174"/>
    </row>
    <row r="615" spans="1:47" s="172" customFormat="1" ht="12.75" customHeight="1" x14ac:dyDescent="0.15">
      <c r="A615" s="709"/>
      <c r="B615" s="1110"/>
      <c r="C615" s="1110"/>
      <c r="D615" s="257"/>
      <c r="E615" s="613"/>
      <c r="G615" s="174"/>
      <c r="H615" s="174"/>
      <c r="I615" s="174"/>
      <c r="J615" s="174"/>
      <c r="K615" s="174"/>
      <c r="L615" s="174"/>
      <c r="M615" s="174"/>
      <c r="N615" s="174"/>
      <c r="O615" s="174"/>
      <c r="P615" s="179"/>
      <c r="Q615" s="179"/>
      <c r="R615" s="179"/>
      <c r="S615" s="179"/>
      <c r="T615" s="179"/>
      <c r="U615" s="1460" t="str">
        <f t="shared" si="197"/>
        <v>Equipment Standby Rate</v>
      </c>
      <c r="V615" s="287"/>
      <c r="W615" s="341">
        <f>INDEX('ADA COSTS'!$C$2:$C$22,MATCH('Cost Details'!U615,'ADA COSTS'!$A$2:$A$22,0))</f>
        <v>2214.5</v>
      </c>
      <c r="X615" s="246">
        <f ca="1">($W615*FOREX)*X592</f>
        <v>1468213.5</v>
      </c>
      <c r="Y615" s="246">
        <f ca="1">($W615*FOREX)*Y592</f>
        <v>0</v>
      </c>
      <c r="Z615" s="246">
        <f t="shared" ref="Z615:AH615" ca="1" si="201">($W615*FOREX)*Z592</f>
        <v>0</v>
      </c>
      <c r="AA615" s="246">
        <f t="shared" si="201"/>
        <v>0</v>
      </c>
      <c r="AB615" s="246">
        <f t="shared" si="201"/>
        <v>225879</v>
      </c>
      <c r="AC615" s="246">
        <f t="shared" si="201"/>
        <v>0</v>
      </c>
      <c r="AD615" s="246">
        <f t="shared" si="201"/>
        <v>0</v>
      </c>
      <c r="AE615" s="246">
        <f t="shared" si="201"/>
        <v>0</v>
      </c>
      <c r="AF615" s="246">
        <f t="shared" si="201"/>
        <v>0</v>
      </c>
      <c r="AG615" s="246">
        <f t="shared" si="201"/>
        <v>0</v>
      </c>
      <c r="AH615" s="246">
        <f t="shared" si="201"/>
        <v>0</v>
      </c>
      <c r="AI615" s="246">
        <f t="shared" si="199"/>
        <v>0</v>
      </c>
      <c r="AJ615" s="246">
        <f t="shared" si="199"/>
        <v>0</v>
      </c>
      <c r="AK615" s="246">
        <f t="shared" si="199"/>
        <v>0</v>
      </c>
      <c r="AL615" s="246"/>
      <c r="AM615" s="1726">
        <f t="shared" ca="1" si="200"/>
        <v>1694092.5</v>
      </c>
      <c r="AN615" s="254"/>
      <c r="AP615" s="174"/>
      <c r="AQ615" s="174"/>
      <c r="AR615" s="174"/>
      <c r="AS615" s="174"/>
      <c r="AT615" s="174"/>
      <c r="AU615" s="174"/>
    </row>
    <row r="616" spans="1:47" s="172" customFormat="1" ht="12.75" customHeight="1" x14ac:dyDescent="0.15">
      <c r="A616" s="709"/>
      <c r="B616" s="1110"/>
      <c r="C616" s="1110"/>
      <c r="D616" s="257"/>
      <c r="E616" s="614"/>
      <c r="G616" s="174"/>
      <c r="H616" s="174"/>
      <c r="I616" s="174"/>
      <c r="J616" s="174"/>
      <c r="K616" s="174"/>
      <c r="L616" s="174"/>
      <c r="M616" s="174"/>
      <c r="N616" s="174"/>
      <c r="O616" s="174"/>
      <c r="P616" s="179"/>
      <c r="Q616" s="179"/>
      <c r="R616" s="179"/>
      <c r="S616" s="179"/>
      <c r="T616" s="179"/>
      <c r="U616" s="1460" t="str">
        <f t="shared" si="197"/>
        <v>Equipment Mobilization</v>
      </c>
      <c r="V616" s="287"/>
      <c r="W616" s="341">
        <f>INDEX('ADA COSTS'!$C$2:$C$22,MATCH('Cost Details'!U616,'ADA COSTS'!$A$2:$A$22,0))</f>
        <v>67000</v>
      </c>
      <c r="X616" s="246">
        <f t="shared" ref="X616:AH616" si="202">($W616*FOREX)*X593</f>
        <v>0</v>
      </c>
      <c r="Y616" s="246">
        <f t="shared" si="202"/>
        <v>0</v>
      </c>
      <c r="Z616" s="246">
        <f t="shared" si="202"/>
        <v>0</v>
      </c>
      <c r="AA616" s="246">
        <f t="shared" si="202"/>
        <v>0</v>
      </c>
      <c r="AB616" s="246">
        <f t="shared" si="202"/>
        <v>0</v>
      </c>
      <c r="AC616" s="246">
        <f t="shared" si="202"/>
        <v>0</v>
      </c>
      <c r="AD616" s="246">
        <f t="shared" si="202"/>
        <v>0</v>
      </c>
      <c r="AE616" s="246">
        <f t="shared" si="202"/>
        <v>0</v>
      </c>
      <c r="AF616" s="246">
        <f t="shared" si="202"/>
        <v>0</v>
      </c>
      <c r="AG616" s="246">
        <f t="shared" si="202"/>
        <v>0</v>
      </c>
      <c r="AH616" s="246">
        <f t="shared" si="202"/>
        <v>0</v>
      </c>
      <c r="AI616" s="246">
        <f t="shared" si="199"/>
        <v>0</v>
      </c>
      <c r="AJ616" s="246">
        <f t="shared" si="199"/>
        <v>0</v>
      </c>
      <c r="AK616" s="246">
        <f t="shared" si="199"/>
        <v>0</v>
      </c>
      <c r="AL616" s="246"/>
      <c r="AM616" s="246">
        <f>SUM(X616:AL616)</f>
        <v>0</v>
      </c>
      <c r="AP616" s="174"/>
      <c r="AQ616" s="174"/>
      <c r="AR616" s="174"/>
      <c r="AS616" s="174"/>
      <c r="AT616" s="174"/>
      <c r="AU616" s="174"/>
    </row>
    <row r="617" spans="1:47" s="172" customFormat="1" ht="12.75" customHeight="1" x14ac:dyDescent="0.15">
      <c r="A617" s="709"/>
      <c r="B617" s="1110"/>
      <c r="C617" s="1110"/>
      <c r="D617" s="257"/>
      <c r="E617" s="614"/>
      <c r="G617" s="174"/>
      <c r="H617" s="174"/>
      <c r="I617" s="174"/>
      <c r="J617" s="174"/>
      <c r="K617" s="174"/>
      <c r="L617" s="174"/>
      <c r="M617" s="174"/>
      <c r="N617" s="174"/>
      <c r="O617" s="174"/>
      <c r="P617" s="179"/>
      <c r="Q617" s="179"/>
      <c r="R617" s="179"/>
      <c r="S617" s="179"/>
      <c r="T617" s="179"/>
      <c r="U617" s="1460" t="str">
        <f t="shared" si="197"/>
        <v>Equipment Demobilization</v>
      </c>
      <c r="V617" s="287"/>
      <c r="W617" s="341">
        <f>INDEX('ADA COSTS'!$C$2:$C$22,MATCH('Cost Details'!U617,'ADA COSTS'!$A$2:$A$22,0))</f>
        <v>67000</v>
      </c>
      <c r="X617" s="246">
        <f t="shared" ref="X617:AH617" si="203">($W617*FOREX)*X594</f>
        <v>0</v>
      </c>
      <c r="Y617" s="246">
        <f t="shared" si="203"/>
        <v>0</v>
      </c>
      <c r="Z617" s="246">
        <f t="shared" si="203"/>
        <v>0</v>
      </c>
      <c r="AA617" s="246">
        <f t="shared" si="203"/>
        <v>0</v>
      </c>
      <c r="AB617" s="246">
        <f t="shared" si="203"/>
        <v>0</v>
      </c>
      <c r="AC617" s="246">
        <f t="shared" si="203"/>
        <v>0</v>
      </c>
      <c r="AD617" s="246">
        <f t="shared" si="203"/>
        <v>0</v>
      </c>
      <c r="AE617" s="246">
        <f t="shared" si="203"/>
        <v>0</v>
      </c>
      <c r="AF617" s="246">
        <f t="shared" si="203"/>
        <v>0</v>
      </c>
      <c r="AG617" s="246">
        <f t="shared" si="203"/>
        <v>0</v>
      </c>
      <c r="AH617" s="246">
        <f t="shared" si="203"/>
        <v>0</v>
      </c>
      <c r="AI617" s="246">
        <f t="shared" si="199"/>
        <v>0</v>
      </c>
      <c r="AJ617" s="246">
        <f t="shared" si="199"/>
        <v>0</v>
      </c>
      <c r="AK617" s="246">
        <f t="shared" si="199"/>
        <v>0</v>
      </c>
      <c r="AL617" s="246"/>
      <c r="AM617" s="246">
        <f>SUM(X617:AL617)</f>
        <v>0</v>
      </c>
      <c r="AN617" s="254"/>
      <c r="AP617" s="174"/>
      <c r="AQ617" s="174"/>
      <c r="AR617" s="174"/>
      <c r="AS617" s="174"/>
      <c r="AT617" s="174"/>
      <c r="AU617" s="174"/>
    </row>
    <row r="618" spans="1:47" s="172" customFormat="1" ht="12.75" customHeight="1" x14ac:dyDescent="0.15">
      <c r="A618" s="709"/>
      <c r="B618" s="1110"/>
      <c r="C618" s="1110"/>
      <c r="D618" s="257"/>
      <c r="E618" s="613"/>
      <c r="G618" s="174"/>
      <c r="H618" s="174"/>
      <c r="I618" s="174"/>
      <c r="J618" s="174"/>
      <c r="K618" s="174"/>
      <c r="L618" s="174"/>
      <c r="M618" s="174"/>
      <c r="N618" s="174"/>
      <c r="O618" s="174"/>
      <c r="P618" s="179"/>
      <c r="Q618" s="179"/>
      <c r="R618" s="179"/>
      <c r="S618" s="179"/>
      <c r="T618" s="179"/>
      <c r="U618" s="1460" t="str">
        <f t="shared" si="197"/>
        <v>Air Drilling Supervisor</v>
      </c>
      <c r="V618" s="287"/>
      <c r="W618" s="341">
        <f>INDEX('ADA COSTS'!$C$2:$C$22,MATCH('Cost Details'!U618,'ADA COSTS'!$A$2:$A$22,0))</f>
        <v>1097.5</v>
      </c>
      <c r="X618" s="246">
        <f ca="1">($W618*FOREX)*X595*2</f>
        <v>335835</v>
      </c>
      <c r="Y618" s="246">
        <f t="shared" ref="Y618:AH618" ca="1" si="204">($W618*FOREX)*Y595*2</f>
        <v>223890</v>
      </c>
      <c r="Z618" s="246">
        <f t="shared" ca="1" si="204"/>
        <v>447780</v>
      </c>
      <c r="AA618" s="246">
        <f t="shared" ca="1" si="204"/>
        <v>559725</v>
      </c>
      <c r="AB618" s="246">
        <f t="shared" ca="1" si="204"/>
        <v>447780</v>
      </c>
      <c r="AC618" s="246">
        <f t="shared" ca="1" si="204"/>
        <v>1119450</v>
      </c>
      <c r="AD618" s="246">
        <f t="shared" ca="1" si="204"/>
        <v>335835</v>
      </c>
      <c r="AE618" s="246">
        <f t="shared" ca="1" si="204"/>
        <v>671670</v>
      </c>
      <c r="AF618" s="246">
        <f t="shared" ca="1" si="204"/>
        <v>223890</v>
      </c>
      <c r="AG618" s="246">
        <f t="shared" ca="1" si="204"/>
        <v>559725</v>
      </c>
      <c r="AH618" s="246">
        <f t="shared" ca="1" si="204"/>
        <v>783615</v>
      </c>
      <c r="AI618" s="246">
        <f ca="1">($W618*FOREX)*AI595*2</f>
        <v>0</v>
      </c>
      <c r="AJ618" s="246">
        <f ca="1">($W618*FOREX)*AJ595*2</f>
        <v>0</v>
      </c>
      <c r="AK618" s="246">
        <f ca="1">($W618*FOREX)*AK595*2</f>
        <v>0</v>
      </c>
      <c r="AL618" s="246"/>
      <c r="AM618" s="246">
        <f t="shared" ca="1" si="200"/>
        <v>5709195</v>
      </c>
      <c r="AN618" s="254"/>
      <c r="AP618" s="174"/>
      <c r="AQ618" s="174"/>
      <c r="AR618" s="174"/>
      <c r="AS618" s="174"/>
      <c r="AT618" s="174"/>
      <c r="AU618" s="174"/>
    </row>
    <row r="619" spans="1:47" s="172" customFormat="1" ht="12.75" customHeight="1" x14ac:dyDescent="0.15">
      <c r="A619" s="709"/>
      <c r="B619" s="1110"/>
      <c r="C619" s="1110"/>
      <c r="D619" s="257"/>
      <c r="E619" s="613"/>
      <c r="G619" s="174"/>
      <c r="H619" s="174"/>
      <c r="I619" s="174"/>
      <c r="J619" s="174"/>
      <c r="K619" s="174"/>
      <c r="L619" s="174"/>
      <c r="M619" s="174"/>
      <c r="N619" s="174"/>
      <c r="O619" s="174"/>
      <c r="P619" s="179"/>
      <c r="Q619" s="179"/>
      <c r="R619" s="179"/>
      <c r="S619" s="179"/>
      <c r="T619" s="179"/>
      <c r="U619" s="1460" t="str">
        <f t="shared" si="197"/>
        <v>Air Drilling Operator</v>
      </c>
      <c r="V619" s="287"/>
      <c r="W619" s="341">
        <f>INDEX('ADA COSTS'!$C$2:$C$22,MATCH('Cost Details'!U619,'ADA COSTS'!$A$2:$A$22,0))</f>
        <v>351.25</v>
      </c>
      <c r="X619" s="246">
        <f t="shared" ref="X619:AH619" ca="1" si="205">($W619*FOREX)*X596*4</f>
        <v>931515</v>
      </c>
      <c r="Y619" s="246">
        <f ca="1">($W619*FOREX)*Y596*4</f>
        <v>143310</v>
      </c>
      <c r="Z619" s="246">
        <f t="shared" ca="1" si="205"/>
        <v>286620</v>
      </c>
      <c r="AA619" s="246">
        <f t="shared" ca="1" si="205"/>
        <v>358275</v>
      </c>
      <c r="AB619" s="246">
        <f t="shared" ca="1" si="205"/>
        <v>286620</v>
      </c>
      <c r="AC619" s="246">
        <f t="shared" ca="1" si="205"/>
        <v>716550</v>
      </c>
      <c r="AD619" s="246">
        <f t="shared" ca="1" si="205"/>
        <v>214965</v>
      </c>
      <c r="AE619" s="246">
        <f t="shared" ca="1" si="205"/>
        <v>429930</v>
      </c>
      <c r="AF619" s="246">
        <f t="shared" ca="1" si="205"/>
        <v>143310</v>
      </c>
      <c r="AG619" s="246">
        <f t="shared" ca="1" si="205"/>
        <v>358275</v>
      </c>
      <c r="AH619" s="246">
        <f t="shared" ca="1" si="205"/>
        <v>501585</v>
      </c>
      <c r="AI619" s="246">
        <f ca="1">($W619*FOREX)*AI596*4</f>
        <v>0</v>
      </c>
      <c r="AJ619" s="246">
        <f ca="1">($W619*FOREX)*AJ596*4</f>
        <v>0</v>
      </c>
      <c r="AK619" s="246">
        <f ca="1">($W619*FOREX)*AK596*4</f>
        <v>0</v>
      </c>
      <c r="AL619" s="246"/>
      <c r="AM619" s="246">
        <f t="shared" ca="1" si="200"/>
        <v>4370955</v>
      </c>
      <c r="AN619" s="254"/>
      <c r="AP619" s="174"/>
      <c r="AQ619" s="174"/>
      <c r="AR619" s="174"/>
      <c r="AS619" s="174"/>
      <c r="AT619" s="174"/>
      <c r="AU619" s="174"/>
    </row>
    <row r="620" spans="1:47" s="172" customFormat="1" ht="12.75" customHeight="1" x14ac:dyDescent="0.15">
      <c r="A620" s="709"/>
      <c r="B620" s="1110"/>
      <c r="C620" s="1110"/>
      <c r="D620" s="257"/>
      <c r="E620" s="614"/>
      <c r="G620" s="174"/>
      <c r="H620" s="174"/>
      <c r="I620" s="174"/>
      <c r="J620" s="174"/>
      <c r="K620" s="174"/>
      <c r="L620" s="174"/>
      <c r="M620" s="174"/>
      <c r="N620" s="174"/>
      <c r="O620" s="174"/>
      <c r="P620" s="179"/>
      <c r="Q620" s="179"/>
      <c r="R620" s="179"/>
      <c r="S620" s="179"/>
      <c r="T620" s="179"/>
      <c r="U620" s="1460" t="str">
        <f t="shared" si="197"/>
        <v>Supervisor Mobilization</v>
      </c>
      <c r="V620" s="287"/>
      <c r="W620" s="341">
        <f>INDEX('ADA COSTS'!$C$2:$C$22,MATCH('Cost Details'!U620,'ADA COSTS'!$A$2:$A$22,0))</f>
        <v>2900</v>
      </c>
      <c r="X620" s="246">
        <f t="shared" ref="X620:AH620" si="206">($W620*FOREX)*X597*2</f>
        <v>0</v>
      </c>
      <c r="Y620" s="246">
        <f t="shared" si="206"/>
        <v>0</v>
      </c>
      <c r="Z620" s="246">
        <f t="shared" si="206"/>
        <v>295800</v>
      </c>
      <c r="AA620" s="246">
        <f t="shared" si="206"/>
        <v>0</v>
      </c>
      <c r="AB620" s="246">
        <f t="shared" si="206"/>
        <v>0</v>
      </c>
      <c r="AC620" s="246">
        <f t="shared" si="206"/>
        <v>295800</v>
      </c>
      <c r="AD620" s="246">
        <f t="shared" si="206"/>
        <v>0</v>
      </c>
      <c r="AE620" s="246">
        <f t="shared" si="206"/>
        <v>0</v>
      </c>
      <c r="AF620" s="246">
        <f t="shared" si="206"/>
        <v>0</v>
      </c>
      <c r="AG620" s="246">
        <f t="shared" si="206"/>
        <v>0</v>
      </c>
      <c r="AH620" s="246">
        <f t="shared" si="206"/>
        <v>0</v>
      </c>
      <c r="AI620" s="246">
        <f>($W620*FOREX)*AI597*2</f>
        <v>0</v>
      </c>
      <c r="AJ620" s="246">
        <f>($W620*FOREX)*AJ597*2</f>
        <v>0</v>
      </c>
      <c r="AK620" s="246">
        <f>($W620*FOREX)*AK597*2</f>
        <v>0</v>
      </c>
      <c r="AL620" s="246"/>
      <c r="AM620" s="246">
        <f>SUM(X620:AL620)</f>
        <v>591600</v>
      </c>
      <c r="AN620" s="254"/>
      <c r="AP620" s="174"/>
      <c r="AQ620" s="174"/>
      <c r="AR620" s="174"/>
      <c r="AS620" s="174"/>
      <c r="AT620" s="174"/>
      <c r="AU620" s="174"/>
    </row>
    <row r="621" spans="1:47" s="172" customFormat="1" ht="12.75" customHeight="1" x14ac:dyDescent="0.15">
      <c r="A621" s="709"/>
      <c r="B621" s="1110"/>
      <c r="C621" s="1110"/>
      <c r="D621" s="257"/>
      <c r="E621" s="613"/>
      <c r="G621" s="174"/>
      <c r="H621" s="174"/>
      <c r="I621" s="174"/>
      <c r="J621" s="174"/>
      <c r="K621" s="174"/>
      <c r="L621" s="174"/>
      <c r="M621" s="174"/>
      <c r="N621" s="174"/>
      <c r="O621" s="174"/>
      <c r="P621" s="179"/>
      <c r="Q621" s="179"/>
      <c r="R621" s="179"/>
      <c r="S621" s="179"/>
      <c r="T621" s="179"/>
      <c r="U621" s="1475" t="str">
        <f>U598</f>
        <v>ANCILLARIES</v>
      </c>
      <c r="V621" s="287"/>
      <c r="W621" s="341"/>
      <c r="X621" s="246">
        <f t="shared" ref="X621:AH621" si="207">($W621*FOREX)*X598</f>
        <v>0</v>
      </c>
      <c r="Y621" s="246">
        <f t="shared" si="207"/>
        <v>0</v>
      </c>
      <c r="Z621" s="246">
        <f t="shared" si="207"/>
        <v>0</v>
      </c>
      <c r="AA621" s="246">
        <f t="shared" si="207"/>
        <v>0</v>
      </c>
      <c r="AB621" s="246">
        <f t="shared" si="207"/>
        <v>0</v>
      </c>
      <c r="AC621" s="246">
        <f t="shared" si="207"/>
        <v>0</v>
      </c>
      <c r="AD621" s="246">
        <f t="shared" si="207"/>
        <v>0</v>
      </c>
      <c r="AE621" s="246">
        <f t="shared" si="207"/>
        <v>0</v>
      </c>
      <c r="AF621" s="246">
        <f t="shared" si="207"/>
        <v>0</v>
      </c>
      <c r="AG621" s="246">
        <f t="shared" si="207"/>
        <v>0</v>
      </c>
      <c r="AH621" s="246">
        <f t="shared" si="207"/>
        <v>0</v>
      </c>
      <c r="AI621" s="246">
        <f t="shared" ref="AI621:AK634" si="208">($W621*FOREX)*AI598</f>
        <v>0</v>
      </c>
      <c r="AJ621" s="246">
        <f t="shared" si="208"/>
        <v>0</v>
      </c>
      <c r="AK621" s="246">
        <f t="shared" si="208"/>
        <v>0</v>
      </c>
      <c r="AL621" s="246"/>
      <c r="AM621" s="246">
        <f t="shared" si="200"/>
        <v>0</v>
      </c>
      <c r="AN621" s="254"/>
      <c r="AP621" s="174"/>
      <c r="AQ621" s="174"/>
      <c r="AR621" s="174"/>
      <c r="AS621" s="174"/>
      <c r="AT621" s="174"/>
      <c r="AU621" s="174"/>
    </row>
    <row r="622" spans="1:47" s="172" customFormat="1" ht="12.75" customHeight="1" x14ac:dyDescent="0.15">
      <c r="A622" s="709"/>
      <c r="B622" s="1110"/>
      <c r="C622" s="1110"/>
      <c r="D622" s="257"/>
      <c r="E622" s="613"/>
      <c r="G622" s="186" t="e">
        <f>#REF!</f>
        <v>#REF!</v>
      </c>
      <c r="H622" s="186" t="e">
        <f>#REF!</f>
        <v>#REF!</v>
      </c>
      <c r="I622" s="186" t="e">
        <f>#REF!</f>
        <v>#REF!</v>
      </c>
      <c r="J622" s="186" t="e">
        <f>#REF!</f>
        <v>#REF!</v>
      </c>
      <c r="K622" s="186" t="e">
        <f>#REF!</f>
        <v>#REF!</v>
      </c>
      <c r="L622" s="186" t="e">
        <f>#REF!</f>
        <v>#REF!</v>
      </c>
      <c r="M622" s="174"/>
      <c r="N622" s="174"/>
      <c r="O622" s="174"/>
      <c r="P622" s="179"/>
      <c r="Q622" s="179"/>
      <c r="R622" s="179"/>
      <c r="S622" s="179"/>
      <c r="T622" s="179"/>
      <c r="U622" s="1460" t="str">
        <f t="shared" ref="U622:U627" si="209">V599</f>
        <v>Backup Booster Standby</v>
      </c>
      <c r="V622" s="287"/>
      <c r="W622" s="341">
        <f>INDEX('ADA COSTS'!$C$2:$C$22,MATCH('Cost Details'!U622,'ADA COSTS'!$A$2:$A$22,0))</f>
        <v>879.78</v>
      </c>
      <c r="X622" s="246">
        <f t="shared" ref="X622:AH622" ca="1" si="210">($W622*FOREX)*X599</f>
        <v>583294.14</v>
      </c>
      <c r="Y622" s="246">
        <f t="shared" ca="1" si="210"/>
        <v>89737.56</v>
      </c>
      <c r="Z622" s="246">
        <f t="shared" ca="1" si="210"/>
        <v>0</v>
      </c>
      <c r="AA622" s="246">
        <f t="shared" ca="1" si="210"/>
        <v>224343.9</v>
      </c>
      <c r="AB622" s="246">
        <f t="shared" ca="1" si="210"/>
        <v>179475.12</v>
      </c>
      <c r="AC622" s="246">
        <f t="shared" ca="1" si="210"/>
        <v>448687.8</v>
      </c>
      <c r="AD622" s="246">
        <f t="shared" ca="1" si="210"/>
        <v>134606.34</v>
      </c>
      <c r="AE622" s="246">
        <f t="shared" ca="1" si="210"/>
        <v>269212.68</v>
      </c>
      <c r="AF622" s="246">
        <f t="shared" ca="1" si="210"/>
        <v>89737.56</v>
      </c>
      <c r="AG622" s="246">
        <f t="shared" ca="1" si="210"/>
        <v>224343.9</v>
      </c>
      <c r="AH622" s="246">
        <f t="shared" ca="1" si="210"/>
        <v>314081.45999999996</v>
      </c>
      <c r="AI622" s="246">
        <f t="shared" ca="1" si="208"/>
        <v>0</v>
      </c>
      <c r="AJ622" s="246">
        <f t="shared" ca="1" si="208"/>
        <v>0</v>
      </c>
      <c r="AK622" s="246">
        <f t="shared" ca="1" si="208"/>
        <v>0</v>
      </c>
      <c r="AL622" s="246"/>
      <c r="AM622" s="1726">
        <f t="shared" ca="1" si="200"/>
        <v>2557520.46</v>
      </c>
      <c r="AN622" s="254"/>
      <c r="AP622" s="174"/>
      <c r="AQ622" s="174"/>
      <c r="AR622" s="174"/>
      <c r="AS622" s="174"/>
      <c r="AT622" s="174"/>
      <c r="AU622" s="174"/>
    </row>
    <row r="623" spans="1:47" s="172" customFormat="1" ht="12.75" customHeight="1" x14ac:dyDescent="0.15">
      <c r="A623" s="709"/>
      <c r="B623" s="1110"/>
      <c r="C623" s="1110"/>
      <c r="D623" s="257"/>
      <c r="E623" s="613"/>
      <c r="G623" s="186" t="e">
        <f>#REF!</f>
        <v>#REF!</v>
      </c>
      <c r="H623" s="186" t="e">
        <f>#REF!</f>
        <v>#REF!</v>
      </c>
      <c r="I623" s="186" t="e">
        <f>#REF!</f>
        <v>#REF!</v>
      </c>
      <c r="J623" s="186" t="e">
        <f>#REF!</f>
        <v>#REF!</v>
      </c>
      <c r="K623" s="186" t="e">
        <f>#REF!</f>
        <v>#REF!</v>
      </c>
      <c r="L623" s="186" t="e">
        <f>#REF!</f>
        <v>#REF!</v>
      </c>
      <c r="M623" s="174"/>
      <c r="N623" s="174"/>
      <c r="O623" s="174"/>
      <c r="P623" s="179"/>
      <c r="Q623" s="179"/>
      <c r="R623" s="179"/>
      <c r="S623" s="179"/>
      <c r="T623" s="179"/>
      <c r="U623" s="1460" t="str">
        <f t="shared" si="209"/>
        <v>Backup Booster Operating</v>
      </c>
      <c r="V623" s="287"/>
      <c r="W623" s="341">
        <f>INDEX('ADA COSTS'!$C$2:$C$22,MATCH('Cost Details'!U623,'ADA COSTS'!$A$2:$A$22,0))</f>
        <v>1173.04</v>
      </c>
      <c r="X623" s="246">
        <f t="shared" ref="X623:AH623" si="211">($W623*FOREX)*X600</f>
        <v>0</v>
      </c>
      <c r="Y623" s="246">
        <f t="shared" si="211"/>
        <v>0</v>
      </c>
      <c r="Z623" s="246">
        <f t="shared" si="211"/>
        <v>0</v>
      </c>
      <c r="AA623" s="246">
        <f t="shared" si="211"/>
        <v>0</v>
      </c>
      <c r="AB623" s="246">
        <f t="shared" si="211"/>
        <v>0</v>
      </c>
      <c r="AC623" s="246">
        <f t="shared" si="211"/>
        <v>0</v>
      </c>
      <c r="AD623" s="246">
        <f t="shared" si="211"/>
        <v>0</v>
      </c>
      <c r="AE623" s="246">
        <f t="shared" si="211"/>
        <v>0</v>
      </c>
      <c r="AF623" s="246">
        <f t="shared" si="211"/>
        <v>0</v>
      </c>
      <c r="AG623" s="246">
        <f t="shared" si="211"/>
        <v>0</v>
      </c>
      <c r="AH623" s="246">
        <f t="shared" si="211"/>
        <v>0</v>
      </c>
      <c r="AI623" s="246">
        <f t="shared" si="208"/>
        <v>0</v>
      </c>
      <c r="AJ623" s="246">
        <f t="shared" si="208"/>
        <v>0</v>
      </c>
      <c r="AK623" s="246">
        <f t="shared" si="208"/>
        <v>0</v>
      </c>
      <c r="AL623" s="246"/>
      <c r="AM623" s="1726">
        <f>SUM(X623:AL623)</f>
        <v>0</v>
      </c>
      <c r="AN623" s="254"/>
      <c r="AP623" s="174"/>
      <c r="AQ623" s="174"/>
      <c r="AR623" s="174"/>
      <c r="AS623" s="174"/>
      <c r="AT623" s="174"/>
      <c r="AU623" s="174"/>
    </row>
    <row r="624" spans="1:47" s="172" customFormat="1" ht="12.75" customHeight="1" x14ac:dyDescent="0.15">
      <c r="A624" s="709"/>
      <c r="B624" s="1110"/>
      <c r="C624" s="1110"/>
      <c r="D624" s="257"/>
      <c r="E624" s="613"/>
      <c r="G624" s="186" t="e">
        <f>#REF!</f>
        <v>#REF!</v>
      </c>
      <c r="H624" s="186" t="e">
        <f>#REF!</f>
        <v>#REF!</v>
      </c>
      <c r="I624" s="186" t="e">
        <f>#REF!</f>
        <v>#REF!</v>
      </c>
      <c r="J624" s="186" t="e">
        <f>#REF!</f>
        <v>#REF!</v>
      </c>
      <c r="K624" s="186" t="e">
        <f>#REF!</f>
        <v>#REF!</v>
      </c>
      <c r="L624" s="186" t="e">
        <f>#REF!</f>
        <v>#REF!</v>
      </c>
      <c r="M624" s="174"/>
      <c r="N624" s="174"/>
      <c r="O624" s="174"/>
      <c r="P624" s="179"/>
      <c r="Q624" s="179"/>
      <c r="R624" s="179"/>
      <c r="S624" s="179"/>
      <c r="T624" s="179"/>
      <c r="U624" s="1460" t="str">
        <f t="shared" si="209"/>
        <v>Mist Pump Standby</v>
      </c>
      <c r="V624" s="287"/>
      <c r="W624" s="341">
        <f>INDEX('ADA COSTS'!$C$2:$C$22,MATCH('Cost Details'!U624,'ADA COSTS'!$A$2:$A$22,0))</f>
        <v>244.24</v>
      </c>
      <c r="X624" s="246">
        <f t="shared" ref="X624:AH624" ca="1" si="212">($W624*FOREX)*X601</f>
        <v>161931.12</v>
      </c>
      <c r="Y624" s="246">
        <f t="shared" ca="1" si="212"/>
        <v>24912.48</v>
      </c>
      <c r="Z624" s="246">
        <f t="shared" ca="1" si="212"/>
        <v>0</v>
      </c>
      <c r="AA624" s="246">
        <f t="shared" ca="1" si="212"/>
        <v>62281.2</v>
      </c>
      <c r="AB624" s="246">
        <f t="shared" ca="1" si="212"/>
        <v>49824.959999999999</v>
      </c>
      <c r="AC624" s="246">
        <f t="shared" ca="1" si="212"/>
        <v>62281.2</v>
      </c>
      <c r="AD624" s="246">
        <f t="shared" ca="1" si="212"/>
        <v>37368.720000000001</v>
      </c>
      <c r="AE624" s="246">
        <f t="shared" ca="1" si="212"/>
        <v>37368.720000000001</v>
      </c>
      <c r="AF624" s="246">
        <f t="shared" ca="1" si="212"/>
        <v>24912.48</v>
      </c>
      <c r="AG624" s="246">
        <f t="shared" ca="1" si="212"/>
        <v>62281.2</v>
      </c>
      <c r="AH624" s="246">
        <f t="shared" ca="1" si="212"/>
        <v>87193.68</v>
      </c>
      <c r="AI624" s="246">
        <f t="shared" ca="1" si="208"/>
        <v>0</v>
      </c>
      <c r="AJ624" s="246">
        <f t="shared" ca="1" si="208"/>
        <v>0</v>
      </c>
      <c r="AK624" s="246">
        <f t="shared" ca="1" si="208"/>
        <v>0</v>
      </c>
      <c r="AL624" s="246"/>
      <c r="AM624" s="1726">
        <f ca="1">SUM(X624:AL624)</f>
        <v>610355.76</v>
      </c>
      <c r="AN624" s="254"/>
      <c r="AP624" s="174"/>
      <c r="AQ624" s="174"/>
      <c r="AR624" s="174"/>
      <c r="AS624" s="174"/>
      <c r="AT624" s="174"/>
      <c r="AU624" s="174"/>
    </row>
    <row r="625" spans="1:205" s="172" customFormat="1" ht="12.75" customHeight="1" x14ac:dyDescent="0.15">
      <c r="A625" s="709"/>
      <c r="B625" s="1110"/>
      <c r="C625" s="1110"/>
      <c r="D625" s="257"/>
      <c r="E625" s="613"/>
      <c r="G625" s="186" t="e">
        <f>#REF!</f>
        <v>#REF!</v>
      </c>
      <c r="H625" s="186" t="e">
        <f>#REF!</f>
        <v>#REF!</v>
      </c>
      <c r="I625" s="186" t="e">
        <f>#REF!</f>
        <v>#REF!</v>
      </c>
      <c r="J625" s="186" t="e">
        <f>#REF!</f>
        <v>#REF!</v>
      </c>
      <c r="K625" s="186" t="e">
        <f>#REF!</f>
        <v>#REF!</v>
      </c>
      <c r="L625" s="186" t="e">
        <f>#REF!</f>
        <v>#REF!</v>
      </c>
      <c r="M625" s="174"/>
      <c r="N625" s="174"/>
      <c r="O625" s="174"/>
      <c r="P625" s="179"/>
      <c r="Q625" s="179"/>
      <c r="R625" s="179"/>
      <c r="S625" s="179"/>
      <c r="T625" s="179"/>
      <c r="U625" s="1460" t="str">
        <f t="shared" si="209"/>
        <v>Mist Pump Operating</v>
      </c>
      <c r="V625" s="287"/>
      <c r="W625" s="341">
        <f>INDEX('ADA COSTS'!$C$2:$C$22,MATCH('Cost Details'!U625,'ADA COSTS'!$A$2:$A$22,0))</f>
        <v>391.3</v>
      </c>
      <c r="X625" s="246">
        <f t="shared" ref="X625:AH625" si="213">($W625*FOREX)*X602</f>
        <v>0</v>
      </c>
      <c r="Y625" s="246">
        <f t="shared" si="213"/>
        <v>0</v>
      </c>
      <c r="Z625" s="246">
        <f t="shared" si="213"/>
        <v>0</v>
      </c>
      <c r="AA625" s="246">
        <f t="shared" si="213"/>
        <v>0</v>
      </c>
      <c r="AB625" s="246">
        <f t="shared" si="213"/>
        <v>0</v>
      </c>
      <c r="AC625" s="246">
        <f t="shared" ca="1" si="213"/>
        <v>99781.5</v>
      </c>
      <c r="AD625" s="246">
        <f t="shared" si="213"/>
        <v>0</v>
      </c>
      <c r="AE625" s="246">
        <f t="shared" ca="1" si="213"/>
        <v>59868.899999999994</v>
      </c>
      <c r="AF625" s="246">
        <f t="shared" si="213"/>
        <v>0</v>
      </c>
      <c r="AG625" s="246">
        <f t="shared" si="213"/>
        <v>0</v>
      </c>
      <c r="AH625" s="246">
        <f t="shared" si="213"/>
        <v>0</v>
      </c>
      <c r="AI625" s="246">
        <f t="shared" si="208"/>
        <v>0</v>
      </c>
      <c r="AJ625" s="246">
        <f t="shared" si="208"/>
        <v>0</v>
      </c>
      <c r="AK625" s="246">
        <f t="shared" si="208"/>
        <v>0</v>
      </c>
      <c r="AL625" s="246"/>
      <c r="AM625" s="1726">
        <f ca="1">SUM(X625:AL625)</f>
        <v>159650.4</v>
      </c>
      <c r="AN625" s="254"/>
      <c r="AP625" s="186"/>
      <c r="AQ625" s="186"/>
      <c r="AR625" s="186"/>
      <c r="AS625" s="186"/>
      <c r="AT625" s="186"/>
      <c r="AU625" s="186"/>
    </row>
    <row r="626" spans="1:205" s="172" customFormat="1" ht="12.75" customHeight="1" x14ac:dyDescent="0.15">
      <c r="A626" s="709"/>
      <c r="B626" s="1110"/>
      <c r="C626" s="1110"/>
      <c r="D626" s="257"/>
      <c r="E626" s="613"/>
      <c r="G626" s="186"/>
      <c r="H626" s="186"/>
      <c r="I626" s="186"/>
      <c r="J626" s="186"/>
      <c r="K626" s="186"/>
      <c r="L626" s="186"/>
      <c r="M626" s="174"/>
      <c r="N626" s="174"/>
      <c r="O626" s="174"/>
      <c r="P626" s="179"/>
      <c r="Q626" s="179"/>
      <c r="R626" s="179"/>
      <c r="S626" s="179"/>
      <c r="T626" s="179"/>
      <c r="U626" s="1460" t="str">
        <f t="shared" si="209"/>
        <v>20-3/4" / 21-1/4" Rotating Head</v>
      </c>
      <c r="V626" s="287"/>
      <c r="W626" s="341">
        <f>INDEX('ADA COSTS'!$C$2:$C$22,MATCH('Cost Details'!U626,'ADA COSTS'!$A$2:$A$22,0))</f>
        <v>236.5</v>
      </c>
      <c r="X626" s="246">
        <f t="shared" ref="X626:AH626" ca="1" si="214">($W626*FOREX)*X603</f>
        <v>156799.5</v>
      </c>
      <c r="Y626" s="246">
        <f t="shared" ca="1" si="214"/>
        <v>24123</v>
      </c>
      <c r="Z626" s="246">
        <f t="shared" ca="1" si="214"/>
        <v>0</v>
      </c>
      <c r="AA626" s="246">
        <f t="shared" ca="1" si="214"/>
        <v>60307.5</v>
      </c>
      <c r="AB626" s="246">
        <f t="shared" ca="1" si="214"/>
        <v>48246</v>
      </c>
      <c r="AC626" s="246">
        <f t="shared" ca="1" si="214"/>
        <v>120615</v>
      </c>
      <c r="AD626" s="246">
        <f t="shared" ca="1" si="214"/>
        <v>36184.5</v>
      </c>
      <c r="AE626" s="246">
        <f t="shared" ca="1" si="214"/>
        <v>72369</v>
      </c>
      <c r="AF626" s="246">
        <f t="shared" ca="1" si="214"/>
        <v>24123</v>
      </c>
      <c r="AG626" s="246">
        <f t="shared" ca="1" si="214"/>
        <v>60307.5</v>
      </c>
      <c r="AH626" s="246">
        <f t="shared" ca="1" si="214"/>
        <v>84430.5</v>
      </c>
      <c r="AI626" s="246">
        <f t="shared" ca="1" si="208"/>
        <v>0</v>
      </c>
      <c r="AJ626" s="246">
        <f t="shared" ca="1" si="208"/>
        <v>0</v>
      </c>
      <c r="AK626" s="246">
        <f t="shared" ca="1" si="208"/>
        <v>0</v>
      </c>
      <c r="AL626" s="246"/>
      <c r="AM626" s="1726">
        <f ca="1">SUM(X626:AL626)</f>
        <v>687505.5</v>
      </c>
      <c r="AN626" s="254"/>
      <c r="AP626" s="186"/>
      <c r="AQ626" s="186"/>
      <c r="AR626" s="186"/>
      <c r="AS626" s="186"/>
      <c r="AT626" s="186"/>
      <c r="AU626" s="186"/>
    </row>
    <row r="627" spans="1:205" s="172" customFormat="1" ht="12.75" customHeight="1" x14ac:dyDescent="0.15">
      <c r="A627" s="709"/>
      <c r="B627" s="1110"/>
      <c r="C627" s="1110"/>
      <c r="D627" s="257"/>
      <c r="E627" s="613"/>
      <c r="G627" s="186"/>
      <c r="H627" s="186"/>
      <c r="I627" s="186"/>
      <c r="J627" s="186"/>
      <c r="K627" s="186"/>
      <c r="L627" s="186"/>
      <c r="M627" s="174"/>
      <c r="N627" s="174"/>
      <c r="O627" s="174"/>
      <c r="P627" s="179"/>
      <c r="Q627" s="179"/>
      <c r="R627" s="179"/>
      <c r="S627" s="179"/>
      <c r="T627" s="179"/>
      <c r="U627" s="1460" t="str">
        <f t="shared" si="209"/>
        <v>21-1/4" Banjo Box (Optional)</v>
      </c>
      <c r="V627" s="287"/>
      <c r="W627" s="341">
        <f>INDEX('ADA COSTS'!$C$2:$C$22,MATCH('Cost Details'!U627,'ADA COSTS'!$A$2:$A$22,0))</f>
        <v>258</v>
      </c>
      <c r="X627" s="246">
        <f t="shared" ref="X627:AH627" ca="1" si="215">($W627*FOREX)*X604</f>
        <v>171054</v>
      </c>
      <c r="Y627" s="246">
        <f t="shared" ca="1" si="215"/>
        <v>26316</v>
      </c>
      <c r="Z627" s="246">
        <f t="shared" ca="1" si="215"/>
        <v>0</v>
      </c>
      <c r="AA627" s="246">
        <f t="shared" ca="1" si="215"/>
        <v>65790</v>
      </c>
      <c r="AB627" s="246">
        <f t="shared" ca="1" si="215"/>
        <v>52632</v>
      </c>
      <c r="AC627" s="246">
        <f t="shared" ca="1" si="215"/>
        <v>131580</v>
      </c>
      <c r="AD627" s="246">
        <f t="shared" ca="1" si="215"/>
        <v>39474</v>
      </c>
      <c r="AE627" s="246">
        <f t="shared" ca="1" si="215"/>
        <v>78948</v>
      </c>
      <c r="AF627" s="246">
        <f t="shared" ca="1" si="215"/>
        <v>26316</v>
      </c>
      <c r="AG627" s="246">
        <f t="shared" ca="1" si="215"/>
        <v>65790</v>
      </c>
      <c r="AH627" s="246">
        <f t="shared" ca="1" si="215"/>
        <v>92106</v>
      </c>
      <c r="AI627" s="246">
        <f t="shared" ca="1" si="208"/>
        <v>0</v>
      </c>
      <c r="AJ627" s="246">
        <f t="shared" ca="1" si="208"/>
        <v>0</v>
      </c>
      <c r="AK627" s="246">
        <f t="shared" ca="1" si="208"/>
        <v>0</v>
      </c>
      <c r="AL627" s="246"/>
      <c r="AM627" s="246">
        <f ca="1">SUM(X627:AL627)</f>
        <v>750006</v>
      </c>
      <c r="AN627" s="254"/>
      <c r="AP627" s="186"/>
      <c r="AQ627" s="186"/>
      <c r="AR627" s="186"/>
      <c r="AS627" s="186"/>
      <c r="AT627" s="186"/>
      <c r="AU627" s="186"/>
    </row>
    <row r="628" spans="1:205" s="172" customFormat="1" ht="12.75" customHeight="1" x14ac:dyDescent="0.15">
      <c r="A628" s="709"/>
      <c r="B628" s="1110"/>
      <c r="C628" s="1110"/>
      <c r="D628" s="257"/>
      <c r="E628" s="613"/>
      <c r="G628" s="186"/>
      <c r="H628" s="186"/>
      <c r="I628" s="186"/>
      <c r="J628" s="186"/>
      <c r="K628" s="186"/>
      <c r="L628" s="186"/>
      <c r="M628" s="174"/>
      <c r="N628" s="174"/>
      <c r="O628" s="174"/>
      <c r="P628" s="179"/>
      <c r="Q628" s="179"/>
      <c r="R628" s="179"/>
      <c r="S628" s="179"/>
      <c r="T628" s="179"/>
      <c r="U628" s="1475" t="str">
        <f>U605</f>
        <v>CONSUMABLES</v>
      </c>
      <c r="V628" s="287"/>
      <c r="W628" s="341"/>
      <c r="X628" s="246">
        <f t="shared" ref="X628:AH628" si="216">($W628*FOREX)*X605</f>
        <v>0</v>
      </c>
      <c r="Y628" s="246">
        <f t="shared" si="216"/>
        <v>0</v>
      </c>
      <c r="Z628" s="246">
        <f t="shared" si="216"/>
        <v>0</v>
      </c>
      <c r="AA628" s="246">
        <f t="shared" si="216"/>
        <v>0</v>
      </c>
      <c r="AB628" s="246">
        <f t="shared" si="216"/>
        <v>0</v>
      </c>
      <c r="AC628" s="246">
        <f t="shared" si="216"/>
        <v>0</v>
      </c>
      <c r="AD628" s="246">
        <f t="shared" si="216"/>
        <v>0</v>
      </c>
      <c r="AE628" s="246">
        <f t="shared" si="216"/>
        <v>0</v>
      </c>
      <c r="AF628" s="246">
        <f t="shared" si="216"/>
        <v>0</v>
      </c>
      <c r="AG628" s="246">
        <f t="shared" si="216"/>
        <v>0</v>
      </c>
      <c r="AH628" s="246">
        <f t="shared" si="216"/>
        <v>0</v>
      </c>
      <c r="AI628" s="246">
        <f t="shared" si="208"/>
        <v>0</v>
      </c>
      <c r="AJ628" s="246">
        <f t="shared" si="208"/>
        <v>0</v>
      </c>
      <c r="AK628" s="246">
        <f t="shared" si="208"/>
        <v>0</v>
      </c>
      <c r="AL628" s="246"/>
      <c r="AM628" s="246">
        <f t="shared" si="200"/>
        <v>0</v>
      </c>
      <c r="AN628" s="254"/>
      <c r="AP628" s="186"/>
      <c r="AQ628" s="186"/>
      <c r="AR628" s="186"/>
      <c r="AS628" s="186"/>
      <c r="AT628" s="186"/>
      <c r="AU628" s="186"/>
    </row>
    <row r="629" spans="1:205" s="172" customFormat="1" ht="12.75" customHeight="1" x14ac:dyDescent="0.15">
      <c r="A629" s="709"/>
      <c r="B629" s="1110"/>
      <c r="C629" s="1110"/>
      <c r="D629" s="257"/>
      <c r="E629" s="613"/>
      <c r="G629" s="186"/>
      <c r="H629" s="186"/>
      <c r="I629" s="186"/>
      <c r="J629" s="186"/>
      <c r="K629" s="186"/>
      <c r="L629" s="186"/>
      <c r="M629" s="174"/>
      <c r="N629" s="174"/>
      <c r="O629" s="174"/>
      <c r="P629" s="179"/>
      <c r="Q629" s="179"/>
      <c r="R629" s="179"/>
      <c r="S629" s="179"/>
      <c r="T629" s="179"/>
      <c r="U629" s="1460" t="str">
        <f t="shared" ref="U629:U634" si="217">V606</f>
        <v>Rotating Rubber Head</v>
      </c>
      <c r="V629" s="287"/>
      <c r="W629" s="341">
        <f>INDEX('ADA COSTS'!$C$2:$C$22,MATCH('Cost Details'!U629,'ADA COSTS'!$A$2:$A$22,0))</f>
        <v>1450</v>
      </c>
      <c r="X629" s="246">
        <f t="shared" ref="X629:AH629" si="218">($W629*FOREX)*X606</f>
        <v>0</v>
      </c>
      <c r="Y629" s="246">
        <f t="shared" si="218"/>
        <v>73950</v>
      </c>
      <c r="Z629" s="246">
        <f t="shared" si="218"/>
        <v>0</v>
      </c>
      <c r="AA629" s="246">
        <f t="shared" si="218"/>
        <v>73950</v>
      </c>
      <c r="AB629" s="246">
        <f t="shared" si="218"/>
        <v>0</v>
      </c>
      <c r="AC629" s="246">
        <f t="shared" si="218"/>
        <v>73950</v>
      </c>
      <c r="AD629" s="246">
        <f t="shared" si="218"/>
        <v>0</v>
      </c>
      <c r="AE629" s="246">
        <f t="shared" si="218"/>
        <v>73950</v>
      </c>
      <c r="AF629" s="246">
        <f t="shared" si="218"/>
        <v>0</v>
      </c>
      <c r="AG629" s="246">
        <f t="shared" si="218"/>
        <v>0</v>
      </c>
      <c r="AH629" s="246">
        <f t="shared" si="218"/>
        <v>0</v>
      </c>
      <c r="AI629" s="246">
        <f t="shared" si="208"/>
        <v>0</v>
      </c>
      <c r="AJ629" s="246">
        <f t="shared" si="208"/>
        <v>0</v>
      </c>
      <c r="AK629" s="246">
        <f t="shared" si="208"/>
        <v>0</v>
      </c>
      <c r="AL629" s="246"/>
      <c r="AM629" s="246">
        <f t="shared" si="200"/>
        <v>295800</v>
      </c>
      <c r="AN629" s="254"/>
      <c r="AP629" s="186"/>
      <c r="AQ629" s="186"/>
      <c r="AR629" s="186"/>
      <c r="AS629" s="186"/>
      <c r="AT629" s="186"/>
      <c r="AU629" s="186"/>
    </row>
    <row r="630" spans="1:205" s="172" customFormat="1" ht="12.75" customHeight="1" x14ac:dyDescent="0.15">
      <c r="A630" s="709"/>
      <c r="B630" s="1110"/>
      <c r="C630" s="1110"/>
      <c r="D630" s="257"/>
      <c r="E630" s="613"/>
      <c r="G630" s="186"/>
      <c r="H630" s="186"/>
      <c r="I630" s="186"/>
      <c r="J630" s="186"/>
      <c r="K630" s="186"/>
      <c r="L630" s="186"/>
      <c r="M630" s="174"/>
      <c r="N630" s="174"/>
      <c r="O630" s="174"/>
      <c r="P630" s="179"/>
      <c r="Q630" s="179"/>
      <c r="R630" s="179"/>
      <c r="S630" s="179"/>
      <c r="T630" s="179"/>
      <c r="U630" s="1460" t="str">
        <f t="shared" si="217"/>
        <v>Corrosion Inhibitor</v>
      </c>
      <c r="V630" s="287"/>
      <c r="W630" s="341">
        <f>INDEX('ADA COSTS'!$C$2:$C$22,MATCH('Cost Details'!U630,'ADA COSTS'!$A$2:$A$22,0))</f>
        <v>1050</v>
      </c>
      <c r="X630" s="246">
        <f t="shared" ref="X630:AH630" si="219">($W630*FOREX)*X607</f>
        <v>0</v>
      </c>
      <c r="Y630" s="246">
        <f t="shared" si="219"/>
        <v>481950</v>
      </c>
      <c r="Z630" s="246">
        <f t="shared" si="219"/>
        <v>0</v>
      </c>
      <c r="AA630" s="246">
        <f t="shared" si="219"/>
        <v>481950</v>
      </c>
      <c r="AB630" s="246">
        <f t="shared" si="219"/>
        <v>0</v>
      </c>
      <c r="AC630" s="246">
        <f t="shared" si="219"/>
        <v>481950</v>
      </c>
      <c r="AD630" s="246">
        <f t="shared" si="219"/>
        <v>0</v>
      </c>
      <c r="AE630" s="246">
        <f t="shared" si="219"/>
        <v>481950</v>
      </c>
      <c r="AF630" s="246">
        <f t="shared" si="219"/>
        <v>0</v>
      </c>
      <c r="AG630" s="246">
        <f t="shared" si="219"/>
        <v>481950</v>
      </c>
      <c r="AH630" s="246">
        <f t="shared" si="219"/>
        <v>0</v>
      </c>
      <c r="AI630" s="246">
        <f t="shared" si="208"/>
        <v>0</v>
      </c>
      <c r="AJ630" s="246">
        <f t="shared" si="208"/>
        <v>0</v>
      </c>
      <c r="AK630" s="246">
        <f t="shared" si="208"/>
        <v>0</v>
      </c>
      <c r="AL630" s="246"/>
      <c r="AM630" s="246">
        <f t="shared" si="200"/>
        <v>2409750</v>
      </c>
      <c r="AN630" s="254"/>
      <c r="AP630" s="186"/>
      <c r="AQ630" s="186"/>
      <c r="AR630" s="186"/>
      <c r="AS630" s="186"/>
      <c r="AT630" s="186"/>
      <c r="AU630" s="186"/>
    </row>
    <row r="631" spans="1:205" s="172" customFormat="1" ht="12.75" customHeight="1" x14ac:dyDescent="0.15">
      <c r="A631" s="709"/>
      <c r="B631" s="1110"/>
      <c r="C631" s="1110"/>
      <c r="D631" s="257"/>
      <c r="E631" s="613"/>
      <c r="G631" s="186"/>
      <c r="H631" s="186"/>
      <c r="I631" s="186"/>
      <c r="J631" s="186"/>
      <c r="K631" s="186"/>
      <c r="L631" s="186"/>
      <c r="M631" s="174"/>
      <c r="N631" s="174"/>
      <c r="O631" s="174"/>
      <c r="P631" s="179"/>
      <c r="Q631" s="179"/>
      <c r="R631" s="179"/>
      <c r="S631" s="179"/>
      <c r="T631" s="179"/>
      <c r="U631" s="1460" t="str">
        <f t="shared" si="217"/>
        <v>Defoamer</v>
      </c>
      <c r="V631" s="287"/>
      <c r="W631" s="341">
        <f>INDEX('ADA COSTS'!$C$2:$C$22,MATCH('Cost Details'!U631,'ADA COSTS'!$A$2:$A$22,0))</f>
        <v>950</v>
      </c>
      <c r="X631" s="246">
        <f t="shared" ref="X631:AH631" si="220">($W631*FOREX)*X608</f>
        <v>0</v>
      </c>
      <c r="Y631" s="246">
        <f t="shared" si="220"/>
        <v>484500</v>
      </c>
      <c r="Z631" s="246">
        <f t="shared" si="220"/>
        <v>0</v>
      </c>
      <c r="AA631" s="246">
        <f t="shared" si="220"/>
        <v>484500</v>
      </c>
      <c r="AB631" s="246">
        <f t="shared" si="220"/>
        <v>0</v>
      </c>
      <c r="AC631" s="246">
        <f t="shared" si="220"/>
        <v>242250</v>
      </c>
      <c r="AD631" s="246">
        <f t="shared" si="220"/>
        <v>0</v>
      </c>
      <c r="AE631" s="246">
        <f t="shared" si="220"/>
        <v>0</v>
      </c>
      <c r="AF631" s="246">
        <f t="shared" si="220"/>
        <v>0</v>
      </c>
      <c r="AG631" s="246">
        <f t="shared" si="220"/>
        <v>0</v>
      </c>
      <c r="AH631" s="246">
        <f t="shared" si="220"/>
        <v>0</v>
      </c>
      <c r="AI631" s="246">
        <f t="shared" si="208"/>
        <v>0</v>
      </c>
      <c r="AJ631" s="246">
        <f t="shared" si="208"/>
        <v>0</v>
      </c>
      <c r="AK631" s="246">
        <f t="shared" si="208"/>
        <v>0</v>
      </c>
      <c r="AL631" s="246"/>
      <c r="AM631" s="246">
        <f t="shared" si="200"/>
        <v>1211250</v>
      </c>
      <c r="AN631" s="254"/>
      <c r="AP631" s="186"/>
      <c r="AQ631" s="186"/>
      <c r="AR631" s="186"/>
      <c r="AS631" s="186"/>
      <c r="AT631" s="186"/>
      <c r="AU631" s="186"/>
    </row>
    <row r="632" spans="1:205" s="172" customFormat="1" ht="12.75" customHeight="1" x14ac:dyDescent="0.15">
      <c r="A632" s="709"/>
      <c r="B632" s="1110"/>
      <c r="C632" s="1110"/>
      <c r="D632" s="257"/>
      <c r="E632" s="613"/>
      <c r="G632" s="186" t="e">
        <f>#REF!</f>
        <v>#REF!</v>
      </c>
      <c r="H632" s="186" t="e">
        <f>#REF!</f>
        <v>#REF!</v>
      </c>
      <c r="I632" s="186" t="e">
        <f>#REF!</f>
        <v>#REF!</v>
      </c>
      <c r="J632" s="186" t="e">
        <f>#REF!</f>
        <v>#REF!</v>
      </c>
      <c r="K632" s="186" t="e">
        <f>#REF!</f>
        <v>#REF!</v>
      </c>
      <c r="L632" s="186" t="e">
        <f>#REF!</f>
        <v>#REF!</v>
      </c>
      <c r="M632" s="174"/>
      <c r="N632" s="174"/>
      <c r="O632" s="174"/>
      <c r="P632" s="179"/>
      <c r="Q632" s="179"/>
      <c r="R632" s="179"/>
      <c r="S632" s="179"/>
      <c r="T632" s="179"/>
      <c r="U632" s="1460" t="str">
        <f t="shared" si="217"/>
        <v>Surfactant</v>
      </c>
      <c r="V632" s="287"/>
      <c r="W632" s="341">
        <f>INDEX('ADA COSTS'!$C$2:$C$22,MATCH('Cost Details'!U632,'ADA COSTS'!$A$2:$A$22,0))</f>
        <v>950</v>
      </c>
      <c r="X632" s="246">
        <f t="shared" ref="X632:AH632" si="221">($W632*FOREX)*X609</f>
        <v>0</v>
      </c>
      <c r="Y632" s="246">
        <f t="shared" si="221"/>
        <v>0</v>
      </c>
      <c r="Z632" s="246">
        <f t="shared" si="221"/>
        <v>0</v>
      </c>
      <c r="AA632" s="246">
        <f t="shared" si="221"/>
        <v>0</v>
      </c>
      <c r="AB632" s="246">
        <f t="shared" si="221"/>
        <v>0</v>
      </c>
      <c r="AC632" s="246">
        <f t="shared" si="221"/>
        <v>242250</v>
      </c>
      <c r="AD632" s="246">
        <f t="shared" si="221"/>
        <v>0</v>
      </c>
      <c r="AE632" s="246">
        <f t="shared" si="221"/>
        <v>484500</v>
      </c>
      <c r="AF632" s="246">
        <f t="shared" si="221"/>
        <v>0</v>
      </c>
      <c r="AG632" s="246">
        <f t="shared" si="221"/>
        <v>484500</v>
      </c>
      <c r="AH632" s="246">
        <f t="shared" si="221"/>
        <v>0</v>
      </c>
      <c r="AI632" s="246">
        <f t="shared" si="208"/>
        <v>0</v>
      </c>
      <c r="AJ632" s="246">
        <f t="shared" si="208"/>
        <v>0</v>
      </c>
      <c r="AK632" s="246">
        <f t="shared" si="208"/>
        <v>0</v>
      </c>
      <c r="AL632" s="246"/>
      <c r="AM632" s="246">
        <f t="shared" si="200"/>
        <v>1211250</v>
      </c>
      <c r="AN632" s="254"/>
      <c r="AP632" s="186"/>
      <c r="AQ632" s="186"/>
      <c r="AR632" s="186"/>
      <c r="AS632" s="186"/>
      <c r="AT632" s="186"/>
      <c r="AU632" s="186"/>
    </row>
    <row r="633" spans="1:205" s="172" customFormat="1" ht="12.75" customHeight="1" x14ac:dyDescent="0.15">
      <c r="A633" s="709"/>
      <c r="B633" s="1110"/>
      <c r="C633" s="1110"/>
      <c r="D633" s="257"/>
      <c r="E633" s="613"/>
      <c r="G633" s="186" t="e">
        <f>#REF!</f>
        <v>#REF!</v>
      </c>
      <c r="H633" s="186" t="e">
        <f>#REF!</f>
        <v>#REF!</v>
      </c>
      <c r="I633" s="186" t="e">
        <f>#REF!</f>
        <v>#REF!</v>
      </c>
      <c r="J633" s="186" t="e">
        <f>#REF!</f>
        <v>#REF!</v>
      </c>
      <c r="K633" s="186" t="e">
        <f>#REF!</f>
        <v>#REF!</v>
      </c>
      <c r="L633" s="186" t="e">
        <f>#REF!</f>
        <v>#REF!</v>
      </c>
      <c r="M633" s="174"/>
      <c r="N633" s="174"/>
      <c r="O633" s="174"/>
      <c r="P633" s="179"/>
      <c r="Q633" s="179"/>
      <c r="R633" s="179"/>
      <c r="S633" s="179"/>
      <c r="T633" s="179"/>
      <c r="U633" s="1460" t="str">
        <f t="shared" si="217"/>
        <v>Rotating Head Refurbishment</v>
      </c>
      <c r="V633" s="287"/>
      <c r="W633" s="341">
        <f>INDEX('ADA COSTS'!$C$2:$C$22,MATCH('Cost Details'!U633,'ADA COSTS'!$A$2:$A$22,0))</f>
        <v>7500</v>
      </c>
      <c r="X633" s="246">
        <f t="shared" ref="X633:AH633" si="222">($W633*FOREX)*X610</f>
        <v>0</v>
      </c>
      <c r="Y633" s="246">
        <f t="shared" si="222"/>
        <v>0</v>
      </c>
      <c r="Z633" s="246">
        <f t="shared" si="222"/>
        <v>0</v>
      </c>
      <c r="AA633" s="246">
        <f t="shared" si="222"/>
        <v>0</v>
      </c>
      <c r="AB633" s="246">
        <f t="shared" si="222"/>
        <v>0</v>
      </c>
      <c r="AC633" s="246">
        <f t="shared" si="222"/>
        <v>0</v>
      </c>
      <c r="AD633" s="246">
        <f t="shared" si="222"/>
        <v>0</v>
      </c>
      <c r="AE633" s="246">
        <f t="shared" si="222"/>
        <v>0</v>
      </c>
      <c r="AF633" s="246">
        <f t="shared" si="222"/>
        <v>0</v>
      </c>
      <c r="AG633" s="246">
        <f t="shared" si="222"/>
        <v>382500</v>
      </c>
      <c r="AH633" s="246">
        <f t="shared" si="222"/>
        <v>0</v>
      </c>
      <c r="AI633" s="246">
        <f t="shared" si="208"/>
        <v>0</v>
      </c>
      <c r="AJ633" s="246">
        <f t="shared" si="208"/>
        <v>0</v>
      </c>
      <c r="AK633" s="246">
        <f t="shared" si="208"/>
        <v>0</v>
      </c>
      <c r="AL633" s="246"/>
      <c r="AM633" s="246">
        <f t="shared" si="200"/>
        <v>382500</v>
      </c>
      <c r="AN633" s="254"/>
      <c r="AP633" s="186"/>
      <c r="AQ633" s="186"/>
      <c r="AR633" s="186"/>
      <c r="AS633" s="186"/>
      <c r="AT633" s="186"/>
      <c r="AU633" s="186"/>
    </row>
    <row r="634" spans="1:205" ht="13.5" customHeight="1" x14ac:dyDescent="0.2">
      <c r="A634" s="709"/>
      <c r="B634" s="1110"/>
      <c r="C634" s="1110"/>
      <c r="D634" s="257"/>
      <c r="E634" s="621"/>
      <c r="G634" s="186" t="e">
        <f>#REF!</f>
        <v>#REF!</v>
      </c>
      <c r="H634" s="186" t="e">
        <f>#REF!</f>
        <v>#REF!</v>
      </c>
      <c r="I634" s="186" t="e">
        <f>#REF!</f>
        <v>#REF!</v>
      </c>
      <c r="J634" s="186" t="e">
        <f>#REF!</f>
        <v>#REF!</v>
      </c>
      <c r="K634" s="186" t="e">
        <f>#REF!</f>
        <v>#REF!</v>
      </c>
      <c r="L634" s="186" t="e">
        <f>#REF!</f>
        <v>#REF!</v>
      </c>
      <c r="P634" s="179"/>
      <c r="Q634" s="179"/>
      <c r="R634" s="179"/>
      <c r="S634" s="175"/>
      <c r="T634" s="175"/>
      <c r="U634" s="1460" t="str">
        <f t="shared" si="217"/>
        <v>FV and Sub Inspection and Refurbishment</v>
      </c>
      <c r="V634" s="287"/>
      <c r="W634" s="341">
        <f>INDEX('ADA COSTS'!$C$2:$C$22,MATCH('Cost Details'!U634,'ADA COSTS'!$A$2:$A$22,0))</f>
        <v>800</v>
      </c>
      <c r="X634" s="246">
        <f t="shared" ref="X634:AH634" si="223">($W634*FOREX)*X611</f>
        <v>0</v>
      </c>
      <c r="Y634" s="246">
        <f t="shared" si="223"/>
        <v>0</v>
      </c>
      <c r="Z634" s="246">
        <f t="shared" si="223"/>
        <v>0</v>
      </c>
      <c r="AA634" s="246">
        <f t="shared" si="223"/>
        <v>0</v>
      </c>
      <c r="AB634" s="246">
        <f t="shared" si="223"/>
        <v>0</v>
      </c>
      <c r="AC634" s="246">
        <f t="shared" si="223"/>
        <v>0</v>
      </c>
      <c r="AD634" s="246">
        <f t="shared" si="223"/>
        <v>0</v>
      </c>
      <c r="AE634" s="246">
        <f t="shared" si="223"/>
        <v>0</v>
      </c>
      <c r="AF634" s="246">
        <f t="shared" si="223"/>
        <v>0</v>
      </c>
      <c r="AG634" s="246">
        <f t="shared" si="223"/>
        <v>81600</v>
      </c>
      <c r="AH634" s="246">
        <f t="shared" si="223"/>
        <v>0</v>
      </c>
      <c r="AI634" s="246">
        <f t="shared" si="208"/>
        <v>0</v>
      </c>
      <c r="AJ634" s="246">
        <f t="shared" si="208"/>
        <v>0</v>
      </c>
      <c r="AK634" s="246">
        <f t="shared" si="208"/>
        <v>0</v>
      </c>
      <c r="AL634" s="246"/>
      <c r="AM634" s="246">
        <f t="shared" si="200"/>
        <v>81600</v>
      </c>
      <c r="AN634" s="254"/>
      <c r="AP634" s="186"/>
      <c r="AQ634" s="186"/>
      <c r="AR634" s="186"/>
      <c r="AS634" s="186"/>
      <c r="AT634" s="186"/>
      <c r="AU634" s="186"/>
      <c r="GS634" s="176"/>
      <c r="GT634" s="176"/>
      <c r="GU634" s="176"/>
      <c r="GV634" s="176"/>
      <c r="GW634" s="176"/>
    </row>
    <row r="635" spans="1:205" ht="13.5" customHeight="1" x14ac:dyDescent="0.2">
      <c r="A635" s="712"/>
      <c r="B635" s="1113"/>
      <c r="C635" s="1113"/>
      <c r="D635" s="536"/>
      <c r="E635" s="613"/>
      <c r="G635" s="186" t="e">
        <f>#REF!</f>
        <v>#REF!</v>
      </c>
      <c r="H635" s="186" t="e">
        <f>#REF!</f>
        <v>#REF!</v>
      </c>
      <c r="I635" s="186" t="e">
        <f>#REF!</f>
        <v>#REF!</v>
      </c>
      <c r="J635" s="186" t="e">
        <f>#REF!</f>
        <v>#REF!</v>
      </c>
      <c r="K635" s="186" t="e">
        <f>#REF!</f>
        <v>#REF!</v>
      </c>
      <c r="L635" s="186" t="e">
        <f>#REF!</f>
        <v>#REF!</v>
      </c>
      <c r="P635" s="179"/>
      <c r="Q635" s="179"/>
      <c r="R635" s="179"/>
      <c r="S635" s="175"/>
      <c r="T635" s="175"/>
      <c r="U635" s="1423"/>
      <c r="V635" s="1461"/>
      <c r="W635" s="1461"/>
      <c r="X635" s="1431">
        <f t="shared" ref="X635:AM635" ca="1" si="224">SUM(X614:X634)</f>
        <v>3808642.2600000002</v>
      </c>
      <c r="Y635" s="1431">
        <f t="shared" ca="1" si="224"/>
        <v>1899446.04</v>
      </c>
      <c r="Z635" s="1431">
        <f ca="1">SUM(Z614:Z634)</f>
        <v>1683714</v>
      </c>
      <c r="AA635" s="1431">
        <f t="shared" ca="1" si="224"/>
        <v>3188015.0999999996</v>
      </c>
      <c r="AB635" s="1431">
        <f ca="1">SUM(AB614:AB634)</f>
        <v>1617214.08</v>
      </c>
      <c r="AC635" s="1431">
        <f t="shared" ca="1" si="224"/>
        <v>5668930.5</v>
      </c>
      <c r="AD635" s="1431">
        <f ca="1">SUM(AD614:AD634)</f>
        <v>1288569.06</v>
      </c>
      <c r="AE635" s="1431">
        <f t="shared" ca="1" si="224"/>
        <v>3640038.3000000003</v>
      </c>
      <c r="AF635" s="1431">
        <f ca="1">SUM(AF614:AF634)</f>
        <v>859046.04</v>
      </c>
      <c r="AG635" s="1431">
        <f t="shared" ca="1" si="224"/>
        <v>3578165.0999999996</v>
      </c>
      <c r="AH635" s="1431">
        <f ca="1">SUM(AH614:AH634)</f>
        <v>3006661.14</v>
      </c>
      <c r="AI635" s="246">
        <f ca="1">SUM(AI614:AI634)</f>
        <v>0</v>
      </c>
      <c r="AJ635" s="246">
        <f ca="1">SUM(AJ614:AJ634)</f>
        <v>0</v>
      </c>
      <c r="AK635" s="246">
        <f ca="1">SUM(AK614:AK634)</f>
        <v>0</v>
      </c>
      <c r="AL635" s="246">
        <f t="shared" si="224"/>
        <v>0</v>
      </c>
      <c r="AM635" s="1450">
        <f t="shared" ca="1" si="224"/>
        <v>30238441.620000001</v>
      </c>
      <c r="AN635" s="254"/>
      <c r="AP635" s="186"/>
      <c r="AQ635" s="186"/>
      <c r="AR635" s="186"/>
      <c r="AS635" s="186"/>
      <c r="AT635" s="186"/>
      <c r="AU635" s="186"/>
      <c r="GS635" s="176"/>
      <c r="GT635" s="176"/>
      <c r="GU635" s="176"/>
      <c r="GV635" s="176"/>
      <c r="GW635" s="176"/>
    </row>
    <row r="636" spans="1:205" ht="12.75" customHeight="1" x14ac:dyDescent="0.2">
      <c r="A636" s="709"/>
      <c r="B636" s="1110"/>
      <c r="C636" s="1110"/>
      <c r="D636" s="257"/>
      <c r="E636" s="603"/>
      <c r="G636" s="186" t="e">
        <f>#REF!</f>
        <v>#REF!</v>
      </c>
      <c r="H636" s="186" t="e">
        <f>#REF!</f>
        <v>#REF!</v>
      </c>
      <c r="I636" s="186" t="e">
        <f>#REF!</f>
        <v>#REF!</v>
      </c>
      <c r="J636" s="186" t="e">
        <f>#REF!</f>
        <v>#REF!</v>
      </c>
      <c r="K636" s="186" t="e">
        <f>#REF!</f>
        <v>#REF!</v>
      </c>
      <c r="L636" s="186" t="e">
        <f>#REF!</f>
        <v>#REF!</v>
      </c>
      <c r="P636" s="179"/>
      <c r="Q636" s="179"/>
      <c r="R636" s="179"/>
      <c r="S636" s="175"/>
      <c r="T636" s="175"/>
      <c r="U636" s="181"/>
      <c r="V636" s="181"/>
      <c r="W636" s="181"/>
      <c r="X636" s="257"/>
      <c r="Y636" s="257"/>
      <c r="Z636" s="257"/>
      <c r="AA636" s="257"/>
      <c r="AB636" s="257"/>
      <c r="AC636" s="257"/>
      <c r="AD636" s="257"/>
      <c r="AE636" s="257"/>
      <c r="AF636" s="257"/>
      <c r="AG636" s="257"/>
      <c r="AH636" s="257"/>
      <c r="AI636" s="257"/>
      <c r="AJ636" s="257"/>
      <c r="AK636" s="257"/>
      <c r="AL636" s="257"/>
      <c r="AM636" s="257"/>
      <c r="AN636" s="254"/>
      <c r="AP636" s="186"/>
      <c r="AQ636" s="186"/>
      <c r="AR636" s="186"/>
      <c r="AS636" s="186"/>
      <c r="AT636" s="186"/>
      <c r="AU636" s="186"/>
      <c r="GS636" s="176"/>
      <c r="GT636" s="176"/>
      <c r="GU636" s="176"/>
      <c r="GV636" s="176"/>
      <c r="GW636" s="176"/>
    </row>
    <row r="637" spans="1:205" ht="12.75" customHeight="1" x14ac:dyDescent="0.2">
      <c r="A637" s="732"/>
      <c r="B637" s="1133"/>
      <c r="C637" s="1133"/>
      <c r="D637" s="220"/>
      <c r="G637" s="186" t="e">
        <f>#REF!</f>
        <v>#REF!</v>
      </c>
      <c r="H637" s="186" t="e">
        <f>#REF!</f>
        <v>#REF!</v>
      </c>
      <c r="I637" s="186" t="e">
        <f>#REF!</f>
        <v>#REF!</v>
      </c>
      <c r="J637" s="186" t="e">
        <f>#REF!</f>
        <v>#REF!</v>
      </c>
      <c r="K637" s="186" t="e">
        <f>#REF!</f>
        <v>#REF!</v>
      </c>
      <c r="L637" s="186" t="e">
        <f>#REF!</f>
        <v>#REF!</v>
      </c>
      <c r="P637" s="179"/>
      <c r="Q637" s="179"/>
      <c r="R637" s="179"/>
      <c r="S637" s="175"/>
      <c r="T637" s="175"/>
      <c r="X637" s="240"/>
      <c r="Y637" s="202"/>
      <c r="Z637" s="202"/>
      <c r="AA637" s="202"/>
      <c r="AB637" s="202"/>
      <c r="AC637" s="235"/>
      <c r="AD637" s="235"/>
      <c r="AE637" s="235"/>
      <c r="AF637" s="235"/>
      <c r="AG637" s="235"/>
      <c r="AH637" s="235"/>
      <c r="AI637" s="235"/>
      <c r="AJ637" s="235"/>
      <c r="AK637" s="235"/>
      <c r="AL637" s="235"/>
      <c r="AM637" s="220"/>
      <c r="AN637" s="254"/>
      <c r="AP637" s="186"/>
      <c r="AQ637" s="186"/>
      <c r="AR637" s="186"/>
      <c r="AS637" s="186"/>
      <c r="AT637" s="186"/>
      <c r="AU637" s="186"/>
      <c r="GS637" s="176"/>
      <c r="GT637" s="176"/>
      <c r="GU637" s="176"/>
      <c r="GV637" s="176"/>
      <c r="GW637" s="176"/>
    </row>
    <row r="638" spans="1:205" ht="13.5" customHeight="1" x14ac:dyDescent="0.2">
      <c r="A638" s="712"/>
      <c r="B638" s="1113"/>
      <c r="C638" s="1113"/>
      <c r="D638" s="522"/>
      <c r="G638" s="186" t="e">
        <f>#REF!</f>
        <v>#REF!</v>
      </c>
      <c r="H638" s="186" t="e">
        <f>#REF!</f>
        <v>#REF!</v>
      </c>
      <c r="I638" s="186" t="e">
        <f>#REF!</f>
        <v>#REF!</v>
      </c>
      <c r="J638" s="186" t="e">
        <f>#REF!</f>
        <v>#REF!</v>
      </c>
      <c r="K638" s="186" t="e">
        <f>#REF!</f>
        <v>#REF!</v>
      </c>
      <c r="L638" s="186" t="e">
        <f>#REF!</f>
        <v>#REF!</v>
      </c>
      <c r="P638" s="179"/>
      <c r="Q638" s="179"/>
      <c r="R638" s="179"/>
      <c r="S638" s="175"/>
      <c r="T638" s="175"/>
      <c r="U638" s="254"/>
      <c r="V638" s="665" t="s">
        <v>201</v>
      </c>
      <c r="W638" s="257"/>
      <c r="X638" s="257"/>
      <c r="Y638" s="254">
        <f>INPUT!$D$40</f>
        <v>0</v>
      </c>
      <c r="Z638" s="254">
        <f>INPUT!$D$40</f>
        <v>0</v>
      </c>
      <c r="AA638" s="254">
        <f>INPUT!$D$40</f>
        <v>0</v>
      </c>
      <c r="AB638" s="254">
        <f>IF(AC638=AA638,AA638,"")</f>
        <v>0</v>
      </c>
      <c r="AC638" s="254">
        <f>IF(INPUT!AQ7="REGULAR HOLE",INPUT!AQ42,INPUT!AQ40)</f>
        <v>0</v>
      </c>
      <c r="AD638" s="254">
        <f>IF(AE638=AC638,AC638,"")</f>
        <v>0</v>
      </c>
      <c r="AE638" s="254">
        <f>IF(INPUT!AQ7="BIG HOLE",INPUT!AQ44,INPUT!AQ42)</f>
        <v>0</v>
      </c>
      <c r="AF638" s="254">
        <f>IF(AG638=AE638,AE638,"")</f>
        <v>0</v>
      </c>
      <c r="AG638" s="254">
        <f>IF(INPUT!AQ8="NO","",IF(INPUT!AQ7="BIG HOLE",INPUT!AQ44,INPUT!AQ42))</f>
        <v>0</v>
      </c>
      <c r="AH638" s="254"/>
      <c r="AI638" s="254"/>
      <c r="AJ638" s="254"/>
      <c r="AK638" s="254"/>
      <c r="AL638" s="254"/>
      <c r="AM638" s="522"/>
      <c r="AN638" s="254"/>
      <c r="AP638" s="186"/>
      <c r="AQ638" s="186"/>
      <c r="AR638" s="186"/>
      <c r="AS638" s="186"/>
      <c r="AT638" s="186"/>
      <c r="AU638" s="186"/>
      <c r="GS638" s="176"/>
      <c r="GT638" s="176"/>
      <c r="GU638" s="176"/>
      <c r="GV638" s="176"/>
      <c r="GW638" s="176"/>
    </row>
    <row r="639" spans="1:205" ht="13.5" customHeight="1" x14ac:dyDescent="0.2">
      <c r="A639" s="728"/>
      <c r="B639" s="1129"/>
      <c r="C639" s="1129"/>
      <c r="D639" s="531"/>
      <c r="E639" s="613"/>
      <c r="F639" s="172" t="s">
        <v>88</v>
      </c>
      <c r="G639" s="186" t="s">
        <v>357</v>
      </c>
      <c r="H639" s="186" t="e">
        <f>#REF!</f>
        <v>#REF!</v>
      </c>
      <c r="I639" s="186" t="e">
        <f>#REF!</f>
        <v>#REF!</v>
      </c>
      <c r="J639" s="186" t="e">
        <f>#REF!</f>
        <v>#REF!</v>
      </c>
      <c r="K639" s="186" t="e">
        <f>#REF!</f>
        <v>#REF!</v>
      </c>
      <c r="L639" s="186" t="e">
        <f>#REF!</f>
        <v>#REF!</v>
      </c>
      <c r="P639" s="179"/>
      <c r="Q639" s="179"/>
      <c r="R639" s="179"/>
      <c r="S639" s="175"/>
      <c r="T639" s="175"/>
      <c r="U639" s="1462" t="s">
        <v>138</v>
      </c>
      <c r="V639" s="1463" t="s">
        <v>181</v>
      </c>
      <c r="W639" s="1440"/>
      <c r="X639" s="1426" t="str">
        <f t="shared" ref="X639:AK639" si="225">X$14</f>
        <v>RIGMOVE</v>
      </c>
      <c r="Y639" s="1426" t="str">
        <f t="shared" si="225"/>
        <v>DSURFACE</v>
      </c>
      <c r="Z639" s="1426" t="str">
        <f t="shared" si="225"/>
        <v>FSURFACE</v>
      </c>
      <c r="AA639" s="1426" t="str">
        <f t="shared" si="225"/>
        <v>DINTERMEDIATE</v>
      </c>
      <c r="AB639" s="1426" t="str">
        <f t="shared" si="225"/>
        <v>FINTERMEDIATE</v>
      </c>
      <c r="AC639" s="1426" t="str">
        <f t="shared" si="225"/>
        <v>DPRODUCTION</v>
      </c>
      <c r="AD639" s="1426" t="str">
        <f t="shared" si="225"/>
        <v>FPRODUCTION</v>
      </c>
      <c r="AE639" s="1426" t="str">
        <f t="shared" si="225"/>
        <v>DLINER1</v>
      </c>
      <c r="AF639" s="1426" t="str">
        <f t="shared" si="225"/>
        <v>FLINER1</v>
      </c>
      <c r="AG639" s="1426" t="str">
        <f t="shared" si="225"/>
        <v>DLINER2</v>
      </c>
      <c r="AH639" s="1426" t="str">
        <f t="shared" si="225"/>
        <v>FLINER2</v>
      </c>
      <c r="AI639" s="1426" t="str">
        <f t="shared" si="225"/>
        <v/>
      </c>
      <c r="AJ639" s="1426" t="str">
        <f t="shared" si="225"/>
        <v/>
      </c>
      <c r="AK639" s="1426" t="str">
        <f t="shared" si="225"/>
        <v/>
      </c>
      <c r="AL639" s="1426"/>
      <c r="AM639" s="1437" t="s">
        <v>101</v>
      </c>
      <c r="AN639" s="254"/>
      <c r="AP639" s="186"/>
      <c r="AQ639" s="186"/>
      <c r="AR639" s="186"/>
      <c r="AS639" s="186"/>
      <c r="AT639" s="186"/>
      <c r="AU639" s="186"/>
      <c r="GS639" s="176"/>
      <c r="GT639" s="176"/>
      <c r="GU639" s="176"/>
      <c r="GV639" s="176"/>
      <c r="GW639" s="176"/>
    </row>
    <row r="640" spans="1:205" ht="12.75" customHeight="1" x14ac:dyDescent="0.2">
      <c r="A640" s="735"/>
      <c r="B640" s="1136"/>
      <c r="C640" s="1136"/>
      <c r="D640" s="539" t="s">
        <v>777</v>
      </c>
      <c r="E640" s="599" t="s">
        <v>645</v>
      </c>
      <c r="F640" s="172" t="s">
        <v>411</v>
      </c>
      <c r="G640" s="174" t="s">
        <v>411</v>
      </c>
      <c r="H640" s="174"/>
      <c r="I640" s="174"/>
      <c r="J640" s="174"/>
      <c r="K640" s="174"/>
      <c r="P640" s="179"/>
      <c r="Q640" s="179"/>
      <c r="R640" s="179"/>
      <c r="S640" s="175"/>
      <c r="T640" s="175"/>
      <c r="U640" s="255">
        <f>IF(INPUT!$D$7="Big Hole",JARSSHOCKTOOLDDT!D5,JARSSHOCKTOOLDDT!B5)</f>
        <v>1</v>
      </c>
      <c r="V640" s="1464" t="str">
        <f>JARSSHOCKTOOLDDT!A5</f>
        <v>SHOCKTOOL</v>
      </c>
      <c r="W640" s="245" t="s">
        <v>177</v>
      </c>
      <c r="X640" s="753">
        <f>RIGMOVE</f>
        <v>13</v>
      </c>
      <c r="Y640" s="633">
        <f t="shared" ref="Y640:AE644" ca="1" si="226">INDIRECT(Y$639)</f>
        <v>2</v>
      </c>
      <c r="Z640" s="633">
        <f t="shared" ca="1" si="226"/>
        <v>4</v>
      </c>
      <c r="AA640" s="640">
        <f t="shared" ca="1" si="226"/>
        <v>5</v>
      </c>
      <c r="AB640" s="640">
        <f t="shared" ca="1" si="226"/>
        <v>4</v>
      </c>
      <c r="AC640" s="641">
        <f t="shared" ca="1" si="226"/>
        <v>10</v>
      </c>
      <c r="AD640" s="641">
        <f t="shared" ca="1" si="226"/>
        <v>3</v>
      </c>
      <c r="AE640" s="633">
        <f t="shared" ca="1" si="226"/>
        <v>6</v>
      </c>
      <c r="AF640" s="633">
        <f ca="1">IF(INPUT!$D$7="Regular Hole",INDEX(INPUT!$AJ$12:$AJ$15,MATCH(INPUT!$H$8,INPUT!$AH$12:$AH$15,0)),INDIRECT(AF$639))</f>
        <v>2</v>
      </c>
      <c r="AG640" s="633">
        <f ca="1">IF(INPUT!$D$8="NO",0,INDIRECT(AG$639))</f>
        <v>5</v>
      </c>
      <c r="AH640" s="633">
        <f>IF(INPUT!$D$8="YES",INDEX(INPUT!$AJ$12:$AJ$15,MATCH(INPUT!$H$8,INPUT!$AH$12:$AH$15,0)),0)*IF($AJ$639="",1,0)</f>
        <v>7</v>
      </c>
      <c r="AI640" s="633">
        <f ca="1">IF(INPUT!$D$19="NO",0,INDIRECT(AI$639))</f>
        <v>0</v>
      </c>
      <c r="AJ640" s="633">
        <f ca="1">IF(INPUT!$D$19="NO",0,INDIRECT(AJ$639))</f>
        <v>0</v>
      </c>
      <c r="AK640" s="633">
        <f>IF(INPUT!$H$19="YES",INDEX(INPUT!$AJ$12:$AJ$15,MATCH(INPUT!$H$8,INPUT!$AH$12:$AH$15,0)),0)</f>
        <v>0</v>
      </c>
      <c r="AL640" s="283"/>
      <c r="AM640" s="284">
        <f t="shared" ref="AM640:AM646" ca="1" si="227">SUM(X640:AL640)</f>
        <v>61</v>
      </c>
      <c r="AN640" s="202"/>
      <c r="AP640" s="186"/>
      <c r="AQ640" s="186"/>
      <c r="AR640" s="186"/>
      <c r="AS640" s="186"/>
      <c r="AT640" s="186"/>
      <c r="AU640" s="186"/>
      <c r="GS640" s="176"/>
      <c r="GT640" s="176"/>
      <c r="GU640" s="176"/>
      <c r="GV640" s="176"/>
      <c r="GW640" s="176"/>
    </row>
    <row r="641" spans="1:205" ht="12.75" customHeight="1" x14ac:dyDescent="0.2">
      <c r="A641" s="735"/>
      <c r="B641" s="1136"/>
      <c r="C641" s="1136"/>
      <c r="D641" s="539"/>
      <c r="E641" s="599" t="s">
        <v>645</v>
      </c>
      <c r="F641" s="172" t="s">
        <v>725</v>
      </c>
      <c r="G641" s="174" t="s">
        <v>726</v>
      </c>
      <c r="H641" s="174"/>
      <c r="I641" s="174"/>
      <c r="J641" s="174"/>
      <c r="K641" s="174"/>
      <c r="P641" s="179"/>
      <c r="Q641" s="179"/>
      <c r="R641" s="179"/>
      <c r="S641" s="175"/>
      <c r="T641" s="175"/>
      <c r="U641" s="255">
        <f>IF(INPUT!$D$7="Big Hole",JARSSHOCKTOOLDDT!D6,JARSSHOCKTOOLDDT!B6)</f>
        <v>3</v>
      </c>
      <c r="V641" s="1464" t="str">
        <f>JARSSHOCKTOOLDDT!A6</f>
        <v>8" MDJ JAR</v>
      </c>
      <c r="W641" s="245" t="s">
        <v>177</v>
      </c>
      <c r="X641" s="753">
        <f>RIGMOVE</f>
        <v>13</v>
      </c>
      <c r="Y641" s="633">
        <f t="shared" ca="1" si="226"/>
        <v>2</v>
      </c>
      <c r="Z641" s="633">
        <f t="shared" ca="1" si="226"/>
        <v>4</v>
      </c>
      <c r="AA641" s="633">
        <f t="shared" ca="1" si="226"/>
        <v>5</v>
      </c>
      <c r="AB641" s="640">
        <f t="shared" ca="1" si="226"/>
        <v>4</v>
      </c>
      <c r="AC641" s="641">
        <f t="shared" ca="1" si="226"/>
        <v>10</v>
      </c>
      <c r="AD641" s="641">
        <f t="shared" ca="1" si="226"/>
        <v>3</v>
      </c>
      <c r="AE641" s="633">
        <f t="shared" ca="1" si="226"/>
        <v>6</v>
      </c>
      <c r="AF641" s="633">
        <f ca="1">IF(INPUT!$D$7="Regular Hole",INDEX(INPUT!$AJ$12:$AJ$15,MATCH(INPUT!$H$8,INPUT!$AH$12:$AH$15,0)),INDIRECT(AF$639))</f>
        <v>2</v>
      </c>
      <c r="AG641" s="633">
        <f ca="1">IF(INPUT!$D$8="NO",0,INDIRECT(AG$639))</f>
        <v>5</v>
      </c>
      <c r="AH641" s="633">
        <f>IF(INPUT!$D$8="YES",INDEX(INPUT!$AJ$12:$AJ$15,MATCH(INPUT!$H$8,INPUT!$AH$12:$AH$15,0)),0)*IF($AJ$639="",1,0)</f>
        <v>7</v>
      </c>
      <c r="AI641" s="633">
        <f ca="1">IF(INPUT!$D$19="NO",0,INDIRECT(AI$639))</f>
        <v>0</v>
      </c>
      <c r="AJ641" s="633">
        <f ca="1">IF(INPUT!$D$19="NO",0,INDIRECT(AJ$639))</f>
        <v>0</v>
      </c>
      <c r="AK641" s="633">
        <f>IF(INPUT!$H$19="YES",INDEX(INPUT!$AJ$12:$AJ$15,MATCH(INPUT!$H$8,INPUT!$AH$12:$AH$15,0)),0)</f>
        <v>0</v>
      </c>
      <c r="AL641" s="283"/>
      <c r="AM641" s="284">
        <f t="shared" ca="1" si="227"/>
        <v>61</v>
      </c>
      <c r="AN641" s="172"/>
      <c r="AP641" s="186"/>
      <c r="AQ641" s="186"/>
      <c r="AR641" s="186"/>
      <c r="AS641" s="186"/>
      <c r="AT641" s="186"/>
      <c r="AU641" s="186"/>
      <c r="GS641" s="176"/>
      <c r="GT641" s="176"/>
      <c r="GU641" s="176"/>
      <c r="GV641" s="176"/>
      <c r="GW641" s="176"/>
    </row>
    <row r="642" spans="1:205" ht="12.75" customHeight="1" x14ac:dyDescent="0.2">
      <c r="A642" s="735"/>
      <c r="B642" s="1136"/>
      <c r="C642" s="1136"/>
      <c r="D642" s="539"/>
      <c r="E642" s="599" t="s">
        <v>662</v>
      </c>
      <c r="F642" s="172" t="s">
        <v>728</v>
      </c>
      <c r="G642" s="174" t="s">
        <v>727</v>
      </c>
      <c r="H642" s="174"/>
      <c r="I642" s="174"/>
      <c r="J642" s="174"/>
      <c r="K642" s="174"/>
      <c r="P642" s="179"/>
      <c r="Q642" s="179"/>
      <c r="R642" s="179"/>
      <c r="S642" s="175"/>
      <c r="T642" s="175"/>
      <c r="U642" s="255">
        <f>IF(INPUT!$D$7="Big Hole",JARSSHOCKTOOLDDT!D7,JARSSHOCKTOOLDDT!B7)</f>
        <v>3</v>
      </c>
      <c r="V642" s="1464" t="str">
        <f>JARSSHOCKTOOLDDT!A7</f>
        <v>62" MDJ JAR</v>
      </c>
      <c r="W642" s="245" t="s">
        <v>177</v>
      </c>
      <c r="X642" s="753">
        <f>RIGMOVE</f>
        <v>13</v>
      </c>
      <c r="Y642" s="633">
        <f t="shared" ca="1" si="226"/>
        <v>2</v>
      </c>
      <c r="Z642" s="633">
        <f t="shared" ca="1" si="226"/>
        <v>4</v>
      </c>
      <c r="AA642" s="633">
        <f t="shared" ca="1" si="226"/>
        <v>5</v>
      </c>
      <c r="AB642" s="633">
        <f t="shared" ca="1" si="226"/>
        <v>4</v>
      </c>
      <c r="AC642" s="633">
        <f t="shared" ca="1" si="226"/>
        <v>10</v>
      </c>
      <c r="AD642" s="633">
        <f t="shared" ca="1" si="226"/>
        <v>3</v>
      </c>
      <c r="AE642" s="633">
        <f ca="1">INDIRECT(AE$639)</f>
        <v>6</v>
      </c>
      <c r="AF642" s="633">
        <f ca="1">IF(INPUT!$D$7="Regular Hole",INDEX(INPUT!$AJ$12:$AJ$15,MATCH(INPUT!$H$8,INPUT!$AH$12:$AH$15,0)),INDIRECT(AF$639))</f>
        <v>2</v>
      </c>
      <c r="AG642" s="633">
        <f ca="1">IF(INPUT!$D$8="NO",0,INDIRECT(AG$639))</f>
        <v>5</v>
      </c>
      <c r="AH642" s="633">
        <f>IF(INPUT!$D$8="YES",INDEX(INPUT!$AJ$12:$AJ$15,MATCH(INPUT!$H$8,INPUT!$AH$12:$AH$15,0)),0)*IF($AJ$639="",1,0)</f>
        <v>7</v>
      </c>
      <c r="AI642" s="633">
        <f ca="1">IF(INPUT!$D$19="NO",0,INDIRECT(AI$639))</f>
        <v>0</v>
      </c>
      <c r="AJ642" s="633">
        <f ca="1">IF(INPUT!$D$19="NO",0,INDIRECT(AJ$639))</f>
        <v>0</v>
      </c>
      <c r="AK642" s="633">
        <f>IF(INPUT!$H$19="YES",INDEX(INPUT!$AJ$12:$AJ$15,MATCH(INPUT!$H$8,INPUT!$AH$12:$AH$15,0)),0)</f>
        <v>0</v>
      </c>
      <c r="AL642" s="283"/>
      <c r="AM642" s="284">
        <f t="shared" ca="1" si="227"/>
        <v>61</v>
      </c>
      <c r="AN642" s="172"/>
      <c r="AP642" s="186"/>
      <c r="AQ642" s="186"/>
      <c r="AR642" s="186"/>
      <c r="AS642" s="669"/>
      <c r="AT642" s="669"/>
      <c r="AU642" s="186"/>
      <c r="GS642" s="176"/>
      <c r="GT642" s="176"/>
      <c r="GU642" s="176"/>
      <c r="GV642" s="176"/>
      <c r="GW642" s="176"/>
    </row>
    <row r="643" spans="1:205" ht="12.75" customHeight="1" x14ac:dyDescent="0.2">
      <c r="A643" s="735"/>
      <c r="B643" s="1136"/>
      <c r="C643" s="1136"/>
      <c r="D643" s="539"/>
      <c r="E643" s="613"/>
      <c r="G643" s="174"/>
      <c r="H643" s="174"/>
      <c r="I643" s="174"/>
      <c r="J643" s="174"/>
      <c r="K643" s="174"/>
      <c r="P643" s="179"/>
      <c r="Q643" s="179"/>
      <c r="R643" s="179"/>
      <c r="S643" s="175"/>
      <c r="T643" s="175"/>
      <c r="U643" s="255">
        <f>IF(INPUT!$D$7="Big Hole",JARSSHOCKTOOLDDT!D8,JARSSHOCKTOOLDDT!B8)</f>
        <v>0</v>
      </c>
      <c r="V643" s="1464" t="str">
        <f>JARSSHOCKTOOLDDT!A8</f>
        <v>4¾" DNT JAR</v>
      </c>
      <c r="W643" s="245" t="s">
        <v>177</v>
      </c>
      <c r="X643" s="753">
        <f>RIGMOVE</f>
        <v>13</v>
      </c>
      <c r="Y643" s="633">
        <f t="shared" ca="1" si="226"/>
        <v>2</v>
      </c>
      <c r="Z643" s="633">
        <f t="shared" ca="1" si="226"/>
        <v>4</v>
      </c>
      <c r="AA643" s="640">
        <f t="shared" ca="1" si="226"/>
        <v>5</v>
      </c>
      <c r="AB643" s="640">
        <f t="shared" ca="1" si="226"/>
        <v>4</v>
      </c>
      <c r="AC643" s="641">
        <f t="shared" ca="1" si="226"/>
        <v>10</v>
      </c>
      <c r="AD643" s="641">
        <f t="shared" ca="1" si="226"/>
        <v>3</v>
      </c>
      <c r="AE643" s="633">
        <f ca="1">INDIRECT(AE$639)</f>
        <v>6</v>
      </c>
      <c r="AF643" s="633">
        <f ca="1">IF(INPUT!$D$7="Regular Hole",INDEX(INPUT!$AJ$12:$AJ$15,MATCH(INPUT!$H$8,INPUT!$AH$12:$AH$15,0)),INDIRECT(AF$639))</f>
        <v>2</v>
      </c>
      <c r="AG643" s="633">
        <f ca="1">IF(INPUT!$D$8="NO",0,INDIRECT(AG$639))</f>
        <v>5</v>
      </c>
      <c r="AH643" s="633">
        <f>IF(INPUT!$D$8="YES",INDEX(INPUT!$AJ$12:$AJ$15,MATCH(INPUT!$H$8,INPUT!$AH$12:$AH$15,0)),0)*IF($AJ$639="",1,0)</f>
        <v>7</v>
      </c>
      <c r="AI643" s="633">
        <f ca="1">IF(INPUT!$D$19="NO",0,INDIRECT(AI$639))</f>
        <v>0</v>
      </c>
      <c r="AJ643" s="633">
        <f ca="1">IF(INPUT!$D$19="NO",0,INDIRECT(AJ$639))</f>
        <v>0</v>
      </c>
      <c r="AK643" s="633">
        <f>IF(INPUT!$H$19="YES",INDEX(INPUT!$AJ$12:$AJ$15,MATCH(INPUT!$H$8,INPUT!$AH$12:$AH$15,0)),0)</f>
        <v>0</v>
      </c>
      <c r="AL643" s="283"/>
      <c r="AM643" s="284">
        <f t="shared" ca="1" si="227"/>
        <v>61</v>
      </c>
      <c r="AN643" s="254"/>
      <c r="AR643" s="250"/>
      <c r="AS643" s="669"/>
      <c r="AT643" s="669"/>
      <c r="GS643" s="176"/>
      <c r="GT643" s="176"/>
      <c r="GU643" s="176"/>
      <c r="GV643" s="176"/>
      <c r="GW643" s="176"/>
    </row>
    <row r="644" spans="1:205" ht="12.75" customHeight="1" x14ac:dyDescent="0.2">
      <c r="A644" s="735"/>
      <c r="B644" s="1136"/>
      <c r="C644" s="1136"/>
      <c r="D644" s="539"/>
      <c r="E644" s="614"/>
      <c r="G644" s="174"/>
      <c r="H644" s="174"/>
      <c r="I644" s="174"/>
      <c r="J644" s="174"/>
      <c r="K644" s="174"/>
      <c r="P644" s="179"/>
      <c r="Q644" s="179"/>
      <c r="R644" s="179"/>
      <c r="S644" s="175"/>
      <c r="T644" s="175"/>
      <c r="U644" s="1508">
        <v>0</v>
      </c>
      <c r="V644" s="1509" t="s">
        <v>1110</v>
      </c>
      <c r="W644" s="1510" t="s">
        <v>177</v>
      </c>
      <c r="X644" s="753">
        <f>RIGMOVE</f>
        <v>13</v>
      </c>
      <c r="Y644" s="633">
        <f t="shared" ca="1" si="226"/>
        <v>2</v>
      </c>
      <c r="Z644" s="633">
        <f t="shared" ca="1" si="226"/>
        <v>4</v>
      </c>
      <c r="AA644" s="640">
        <f t="shared" ca="1" si="226"/>
        <v>5</v>
      </c>
      <c r="AB644" s="640">
        <f t="shared" ca="1" si="226"/>
        <v>4</v>
      </c>
      <c r="AC644" s="641">
        <f t="shared" ca="1" si="226"/>
        <v>10</v>
      </c>
      <c r="AD644" s="641">
        <f t="shared" ca="1" si="226"/>
        <v>3</v>
      </c>
      <c r="AE644" s="633">
        <f ca="1">INDIRECT(AE$639)</f>
        <v>6</v>
      </c>
      <c r="AF644" s="633">
        <f ca="1">IF(INPUT!$D$7="Regular Hole",INDEX(INPUT!$AJ$12:$AJ$15,MATCH(INPUT!$H$8,INPUT!$AH$12:$AH$15,0)),INDIRECT(AF$639))</f>
        <v>2</v>
      </c>
      <c r="AG644" s="633">
        <f ca="1">IF(INPUT!$D$8="NO",0,INDIRECT(AG$639))</f>
        <v>5</v>
      </c>
      <c r="AH644" s="633">
        <f>IF(INPUT!$D$8="YES",INDEX(INPUT!$AJ$12:$AJ$15,MATCH(INPUT!$H$8,INPUT!$AH$12:$AH$15,0)),0)*IF($AJ$639="",1,0)</f>
        <v>7</v>
      </c>
      <c r="AI644" s="633">
        <f ca="1">IF(INPUT!$D$19="NO",0,INDIRECT(AI$639))</f>
        <v>0</v>
      </c>
      <c r="AJ644" s="633">
        <f ca="1">IF(INPUT!$D$19="NO",0,INDIRECT(AJ$639))</f>
        <v>0</v>
      </c>
      <c r="AK644" s="633">
        <f>IF(INPUT!$H$19="YES",INDEX(INPUT!$AJ$12:$AJ$15,MATCH(INPUT!$H$8,INPUT!$AH$12:$AH$15,0)),0)</f>
        <v>0</v>
      </c>
      <c r="AL644" s="283"/>
      <c r="AM644" s="284">
        <f t="shared" ca="1" si="227"/>
        <v>61</v>
      </c>
      <c r="AN644" s="254"/>
      <c r="AR644" s="250"/>
      <c r="AS644" s="669"/>
      <c r="AT644" s="669"/>
      <c r="GS644" s="176"/>
      <c r="GT644" s="176"/>
      <c r="GU644" s="176"/>
      <c r="GV644" s="176"/>
      <c r="GW644" s="176"/>
    </row>
    <row r="645" spans="1:205" ht="12.75" customHeight="1" x14ac:dyDescent="0.2">
      <c r="A645" s="735"/>
      <c r="B645" s="1136"/>
      <c r="C645" s="1136"/>
      <c r="D645" s="539"/>
      <c r="E645" s="613" t="s">
        <v>664</v>
      </c>
      <c r="G645" s="174"/>
      <c r="H645" s="174"/>
      <c r="I645" s="174"/>
      <c r="J645" s="174"/>
      <c r="K645" s="174"/>
      <c r="P645" s="179"/>
      <c r="Q645" s="179"/>
      <c r="R645" s="179"/>
      <c r="S645" s="175"/>
      <c r="T645" s="175"/>
      <c r="U645" s="255">
        <f>IF(INPUT!$D$7="Big Hole",JARSSHOCKTOOLDDT!D9,JARSSHOCKTOOLDDT!B9)</f>
        <v>7</v>
      </c>
      <c r="V645" s="1464" t="str">
        <f>JARSSHOCKTOOLDDT!A9</f>
        <v>REDRESS</v>
      </c>
      <c r="W645" s="245" t="s">
        <v>174</v>
      </c>
      <c r="X645" s="283"/>
      <c r="Y645" s="283"/>
      <c r="Z645" s="283"/>
      <c r="AA645" s="283"/>
      <c r="AB645" s="283"/>
      <c r="AC645" s="283"/>
      <c r="AD645" s="283"/>
      <c r="AE645" s="633">
        <f>IF(DOUBLE_LINER="Yes",0,3)</f>
        <v>0</v>
      </c>
      <c r="AF645" s="283"/>
      <c r="AG645" s="633">
        <f>IF(DOUBLE_LINER="Yes",3,0)</f>
        <v>3</v>
      </c>
      <c r="AH645" s="283"/>
      <c r="AI645" s="633"/>
      <c r="AJ645" s="283"/>
      <c r="AK645" s="283"/>
      <c r="AL645" s="283"/>
      <c r="AM645" s="284">
        <f t="shared" si="227"/>
        <v>3</v>
      </c>
      <c r="AN645" s="254"/>
      <c r="AR645" s="250"/>
      <c r="AS645" s="669"/>
      <c r="AT645" s="669"/>
      <c r="GS645" s="176"/>
      <c r="GT645" s="176"/>
      <c r="GU645" s="176"/>
      <c r="GV645" s="176"/>
      <c r="GW645" s="176"/>
    </row>
    <row r="646" spans="1:205" ht="13.5" customHeight="1" x14ac:dyDescent="0.2">
      <c r="A646" s="735"/>
      <c r="B646" s="1136"/>
      <c r="C646" s="1136"/>
      <c r="D646" s="539"/>
      <c r="E646" s="613"/>
      <c r="G646" s="174"/>
      <c r="H646" s="174"/>
      <c r="I646" s="174"/>
      <c r="J646" s="174"/>
      <c r="K646" s="174"/>
      <c r="P646" s="179"/>
      <c r="Q646" s="179"/>
      <c r="R646" s="179"/>
      <c r="S646" s="175"/>
      <c r="T646" s="175"/>
      <c r="U646" s="1464"/>
      <c r="V646" s="1464"/>
      <c r="W646" s="245"/>
      <c r="X646" s="283"/>
      <c r="Y646" s="283"/>
      <c r="Z646" s="283"/>
      <c r="AA646" s="283"/>
      <c r="AB646" s="283"/>
      <c r="AC646" s="283"/>
      <c r="AD646" s="283"/>
      <c r="AE646" s="283"/>
      <c r="AF646" s="283"/>
      <c r="AG646" s="283"/>
      <c r="AH646" s="283"/>
      <c r="AI646" s="283"/>
      <c r="AJ646" s="283"/>
      <c r="AK646" s="283"/>
      <c r="AL646" s="283"/>
      <c r="AM646" s="284">
        <f t="shared" si="227"/>
        <v>0</v>
      </c>
      <c r="AN646" s="254"/>
      <c r="AR646" s="250"/>
      <c r="AS646" s="669"/>
      <c r="AT646" s="669"/>
      <c r="GS646" s="176"/>
      <c r="GT646" s="176"/>
      <c r="GU646" s="176"/>
      <c r="GV646" s="176"/>
      <c r="GW646" s="176"/>
    </row>
    <row r="647" spans="1:205" ht="13.5" customHeight="1" x14ac:dyDescent="0.2">
      <c r="A647" s="712"/>
      <c r="B647" s="1113"/>
      <c r="C647" s="1113"/>
      <c r="D647" s="522"/>
      <c r="G647" s="174"/>
      <c r="H647" s="174"/>
      <c r="I647" s="174"/>
      <c r="J647" s="174"/>
      <c r="K647" s="174"/>
      <c r="P647" s="179"/>
      <c r="Q647" s="179"/>
      <c r="R647" s="179"/>
      <c r="S647" s="175"/>
      <c r="T647" s="175"/>
      <c r="U647" s="254"/>
      <c r="V647" s="254"/>
      <c r="W647" s="257"/>
      <c r="X647" s="257"/>
      <c r="Y647" s="254"/>
      <c r="Z647" s="254"/>
      <c r="AA647" s="254"/>
      <c r="AB647" s="254"/>
      <c r="AC647" s="254"/>
      <c r="AD647" s="254"/>
      <c r="AE647" s="254"/>
      <c r="AF647" s="254"/>
      <c r="AG647" s="254"/>
      <c r="AH647" s="254"/>
      <c r="AI647" s="254"/>
      <c r="AJ647" s="254"/>
      <c r="AK647" s="254"/>
      <c r="AL647" s="254"/>
      <c r="AM647" s="522"/>
      <c r="AN647" s="254"/>
      <c r="AR647" s="250"/>
      <c r="GS647" s="176"/>
      <c r="GT647" s="176"/>
      <c r="GU647" s="176"/>
      <c r="GV647" s="176"/>
      <c r="GW647" s="176"/>
    </row>
    <row r="648" spans="1:205" ht="13.5" customHeight="1" x14ac:dyDescent="0.2">
      <c r="A648" s="733"/>
      <c r="B648" s="1134"/>
      <c r="C648" s="1134"/>
      <c r="D648" s="535"/>
      <c r="E648" s="613"/>
      <c r="G648" s="174"/>
      <c r="H648" s="174"/>
      <c r="I648" s="174"/>
      <c r="J648" s="174"/>
      <c r="K648" s="174"/>
      <c r="P648" s="179"/>
      <c r="Q648" s="179"/>
      <c r="R648" s="179"/>
      <c r="S648" s="175"/>
      <c r="T648" s="175"/>
      <c r="U648" s="2513" t="s">
        <v>181</v>
      </c>
      <c r="V648" s="2514"/>
      <c r="W648" s="1440" t="s">
        <v>179</v>
      </c>
      <c r="X648" s="1426" t="str">
        <f t="shared" ref="X648:AK648" si="228">X$14</f>
        <v>RIGMOVE</v>
      </c>
      <c r="Y648" s="1426" t="str">
        <f t="shared" si="228"/>
        <v>DSURFACE</v>
      </c>
      <c r="Z648" s="1426" t="str">
        <f t="shared" si="228"/>
        <v>FSURFACE</v>
      </c>
      <c r="AA648" s="1426" t="str">
        <f t="shared" si="228"/>
        <v>DINTERMEDIATE</v>
      </c>
      <c r="AB648" s="1426" t="str">
        <f t="shared" si="228"/>
        <v>FINTERMEDIATE</v>
      </c>
      <c r="AC648" s="1426" t="str">
        <f t="shared" si="228"/>
        <v>DPRODUCTION</v>
      </c>
      <c r="AD648" s="1426" t="str">
        <f t="shared" si="228"/>
        <v>FPRODUCTION</v>
      </c>
      <c r="AE648" s="1426" t="str">
        <f t="shared" si="228"/>
        <v>DLINER1</v>
      </c>
      <c r="AF648" s="1426" t="str">
        <f t="shared" si="228"/>
        <v>FLINER1</v>
      </c>
      <c r="AG648" s="1426" t="str">
        <f t="shared" si="228"/>
        <v>DLINER2</v>
      </c>
      <c r="AH648" s="1426" t="str">
        <f t="shared" si="228"/>
        <v>FLINER2</v>
      </c>
      <c r="AI648" s="1426" t="str">
        <f t="shared" si="228"/>
        <v/>
      </c>
      <c r="AJ648" s="1426" t="str">
        <f t="shared" si="228"/>
        <v/>
      </c>
      <c r="AK648" s="1426" t="str">
        <f t="shared" si="228"/>
        <v/>
      </c>
      <c r="AL648" s="1426"/>
      <c r="AM648" s="1449" t="s">
        <v>46</v>
      </c>
      <c r="AN648" s="254"/>
      <c r="AR648" s="250"/>
      <c r="GS648" s="176"/>
      <c r="GT648" s="176"/>
      <c r="GU648" s="176"/>
      <c r="GV648" s="176"/>
      <c r="GW648" s="176"/>
    </row>
    <row r="649" spans="1:205" ht="12.75" customHeight="1" x14ac:dyDescent="0.2">
      <c r="A649" s="709"/>
      <c r="B649" s="1110"/>
      <c r="C649" s="1110"/>
      <c r="D649" s="257"/>
      <c r="E649" s="599"/>
      <c r="G649" s="174"/>
      <c r="H649" s="174"/>
      <c r="I649" s="174"/>
      <c r="J649" s="174"/>
      <c r="K649" s="174"/>
      <c r="P649" s="179"/>
      <c r="Q649" s="179"/>
      <c r="R649" s="179"/>
      <c r="S649" s="175"/>
      <c r="T649" s="175"/>
      <c r="U649" s="1464" t="str">
        <f>V640</f>
        <v>SHOCKTOOL</v>
      </c>
      <c r="V649" s="1464"/>
      <c r="W649" s="245">
        <f>INDEX(JARSSHOCKTOOLDDT!$C$5:$C$9,MATCH('Cost Details'!U649,JARSSHOCKTOOLDDT!$A$5:$A$9,0))</f>
        <v>145</v>
      </c>
      <c r="X649" s="246">
        <f t="shared" ref="X649:AA653" si="229">((X640*$U640)*$W649)*FOREX</f>
        <v>96135</v>
      </c>
      <c r="Y649" s="246">
        <f ca="1">((Y640*$U640)*$W649)*FOREX*IF(INPUT!$D$18="No",0,1)</f>
        <v>14790</v>
      </c>
      <c r="Z649" s="246">
        <f ca="1">((Z640*$U640)*$W649)*FOREX*IF(INPUT!$D$18="No",0,1)</f>
        <v>29580</v>
      </c>
      <c r="AA649" s="246">
        <f t="shared" ref="AA649:AH653" ca="1" si="230">((AA640*$U640)*$W649)*FOREX</f>
        <v>36975</v>
      </c>
      <c r="AB649" s="246">
        <f t="shared" ca="1" si="230"/>
        <v>29580</v>
      </c>
      <c r="AC649" s="246">
        <f t="shared" ca="1" si="230"/>
        <v>73950</v>
      </c>
      <c r="AD649" s="246">
        <f t="shared" ca="1" si="230"/>
        <v>22185</v>
      </c>
      <c r="AE649" s="246">
        <f t="shared" ca="1" si="230"/>
        <v>44370</v>
      </c>
      <c r="AF649" s="246">
        <f t="shared" ca="1" si="230"/>
        <v>14790</v>
      </c>
      <c r="AG649" s="246">
        <f t="shared" ca="1" si="230"/>
        <v>36975</v>
      </c>
      <c r="AH649" s="246">
        <f t="shared" si="230"/>
        <v>51765</v>
      </c>
      <c r="AI649" s="246">
        <f t="shared" ref="AI649:AK654" ca="1" si="231">((AI640*$U640)*$W649)*FOREX</f>
        <v>0</v>
      </c>
      <c r="AJ649" s="246">
        <f t="shared" ca="1" si="231"/>
        <v>0</v>
      </c>
      <c r="AK649" s="246">
        <f t="shared" si="231"/>
        <v>0</v>
      </c>
      <c r="AL649" s="246"/>
      <c r="AM649" s="246">
        <f t="shared" ref="AM649:AM655" ca="1" si="232">SUM(X649:AL649)</f>
        <v>451095</v>
      </c>
      <c r="AN649" s="254"/>
      <c r="AR649" s="250"/>
      <c r="GS649" s="176"/>
      <c r="GT649" s="176"/>
      <c r="GU649" s="176"/>
      <c r="GV649" s="176"/>
      <c r="GW649" s="176"/>
    </row>
    <row r="650" spans="1:205" ht="12.75" customHeight="1" x14ac:dyDescent="0.2">
      <c r="A650" s="709"/>
      <c r="B650" s="1110"/>
      <c r="C650" s="1110"/>
      <c r="D650" s="257"/>
      <c r="E650" s="599"/>
      <c r="G650" s="174"/>
      <c r="H650" s="174"/>
      <c r="I650" s="174"/>
      <c r="J650" s="174"/>
      <c r="K650" s="174"/>
      <c r="P650" s="179"/>
      <c r="Q650" s="179"/>
      <c r="R650" s="179"/>
      <c r="S650" s="175"/>
      <c r="T650" s="175"/>
      <c r="U650" s="1464" t="str">
        <f>V641</f>
        <v>8" MDJ JAR</v>
      </c>
      <c r="V650" s="1464"/>
      <c r="W650" s="245">
        <f>INDEX(JARSSHOCKTOOLDDT!$C$5:$C$9,MATCH('Cost Details'!U650,JARSSHOCKTOOLDDT!$A$5:$A$9,0))</f>
        <v>135</v>
      </c>
      <c r="X650" s="246">
        <f t="shared" si="229"/>
        <v>268515</v>
      </c>
      <c r="Y650" s="246">
        <f t="shared" ca="1" si="229"/>
        <v>41310</v>
      </c>
      <c r="Z650" s="246">
        <f t="shared" ca="1" si="229"/>
        <v>82620</v>
      </c>
      <c r="AA650" s="246">
        <f t="shared" ca="1" si="229"/>
        <v>103275</v>
      </c>
      <c r="AB650" s="246">
        <f t="shared" ca="1" si="230"/>
        <v>82620</v>
      </c>
      <c r="AC650" s="246">
        <f t="shared" ca="1" si="230"/>
        <v>206550</v>
      </c>
      <c r="AD650" s="246">
        <f t="shared" ca="1" si="230"/>
        <v>61965</v>
      </c>
      <c r="AE650" s="246">
        <f t="shared" ca="1" si="230"/>
        <v>123930</v>
      </c>
      <c r="AF650" s="246">
        <f t="shared" ca="1" si="230"/>
        <v>41310</v>
      </c>
      <c r="AG650" s="246">
        <f t="shared" ca="1" si="230"/>
        <v>103275</v>
      </c>
      <c r="AH650" s="246">
        <f t="shared" si="230"/>
        <v>144585</v>
      </c>
      <c r="AI650" s="246">
        <f t="shared" ca="1" si="231"/>
        <v>0</v>
      </c>
      <c r="AJ650" s="246">
        <f t="shared" ca="1" si="231"/>
        <v>0</v>
      </c>
      <c r="AK650" s="246">
        <f t="shared" si="231"/>
        <v>0</v>
      </c>
      <c r="AL650" s="246"/>
      <c r="AM650" s="246">
        <f t="shared" ca="1" si="232"/>
        <v>1259955</v>
      </c>
      <c r="AN650" s="254"/>
      <c r="GS650" s="176"/>
      <c r="GT650" s="176"/>
      <c r="GU650" s="176"/>
      <c r="GV650" s="176"/>
      <c r="GW650" s="176"/>
    </row>
    <row r="651" spans="1:205" ht="12.75" customHeight="1" x14ac:dyDescent="0.2">
      <c r="A651" s="709"/>
      <c r="B651" s="1110"/>
      <c r="C651" s="1110"/>
      <c r="D651" s="257"/>
      <c r="E651" s="599"/>
      <c r="G651" s="174"/>
      <c r="H651" s="174"/>
      <c r="I651" s="174"/>
      <c r="J651" s="174"/>
      <c r="K651" s="174"/>
      <c r="P651" s="179"/>
      <c r="Q651" s="179"/>
      <c r="R651" s="179"/>
      <c r="S651" s="175"/>
      <c r="T651" s="175"/>
      <c r="U651" s="1464" t="str">
        <f>V642</f>
        <v>62" MDJ JAR</v>
      </c>
      <c r="V651" s="1464"/>
      <c r="W651" s="245">
        <f>INDEX(JARSSHOCKTOOLDDT!$C$5:$C$9,MATCH('Cost Details'!U651,JARSSHOCKTOOLDDT!$A$5:$A$9,0))</f>
        <v>135</v>
      </c>
      <c r="X651" s="246">
        <f t="shared" si="229"/>
        <v>268515</v>
      </c>
      <c r="Y651" s="246">
        <f ca="1">((Y642*$U642)*$W651)*FOREX*IF(INPUT!$D$18="No",0,1)</f>
        <v>41310</v>
      </c>
      <c r="Z651" s="246">
        <f t="shared" ref="Z651:AG651" ca="1" si="233">((Z642*$U642)*$W651)*FOREX</f>
        <v>82620</v>
      </c>
      <c r="AA651" s="246">
        <f t="shared" ca="1" si="233"/>
        <v>103275</v>
      </c>
      <c r="AB651" s="246">
        <f t="shared" ca="1" si="233"/>
        <v>82620</v>
      </c>
      <c r="AC651" s="246">
        <f t="shared" ca="1" si="233"/>
        <v>206550</v>
      </c>
      <c r="AD651" s="246">
        <f t="shared" ca="1" si="233"/>
        <v>61965</v>
      </c>
      <c r="AE651" s="246">
        <f t="shared" ca="1" si="233"/>
        <v>123930</v>
      </c>
      <c r="AF651" s="246">
        <f t="shared" ca="1" si="233"/>
        <v>41310</v>
      </c>
      <c r="AG651" s="246">
        <f t="shared" ca="1" si="233"/>
        <v>103275</v>
      </c>
      <c r="AH651" s="246">
        <f t="shared" si="230"/>
        <v>144585</v>
      </c>
      <c r="AI651" s="246">
        <f t="shared" ca="1" si="231"/>
        <v>0</v>
      </c>
      <c r="AJ651" s="246">
        <f t="shared" ca="1" si="231"/>
        <v>0</v>
      </c>
      <c r="AK651" s="246">
        <f t="shared" si="231"/>
        <v>0</v>
      </c>
      <c r="AL651" s="246"/>
      <c r="AM651" s="246">
        <f t="shared" ca="1" si="232"/>
        <v>1259955</v>
      </c>
      <c r="AN651" s="172"/>
      <c r="GS651" s="176"/>
      <c r="GT651" s="176"/>
      <c r="GU651" s="176"/>
      <c r="GV651" s="176"/>
      <c r="GW651" s="176"/>
    </row>
    <row r="652" spans="1:205" ht="12.75" customHeight="1" x14ac:dyDescent="0.2">
      <c r="A652" s="709"/>
      <c r="B652" s="1110"/>
      <c r="C652" s="1110"/>
      <c r="D652" s="257"/>
      <c r="E652" s="599"/>
      <c r="G652" s="174"/>
      <c r="H652" s="174"/>
      <c r="I652" s="174"/>
      <c r="J652" s="174"/>
      <c r="K652" s="174"/>
      <c r="P652" s="179"/>
      <c r="Q652" s="179"/>
      <c r="R652" s="179"/>
      <c r="S652" s="175"/>
      <c r="T652" s="175"/>
      <c r="U652" s="1464" t="str">
        <f>V643</f>
        <v>4¾" DNT JAR</v>
      </c>
      <c r="V652" s="1464"/>
      <c r="W652" s="245">
        <f>INDEX(JARSSHOCKTOOLDDT!$C$5:$C$9,MATCH('Cost Details'!U652,JARSSHOCKTOOLDDT!$A$5:$A$9,0))</f>
        <v>135</v>
      </c>
      <c r="X652" s="246">
        <f t="shared" si="229"/>
        <v>0</v>
      </c>
      <c r="Y652" s="246">
        <f ca="1">((Y643*$U643)*$W652)*FOREX*IF(INPUT!$D$18="No",0,1)</f>
        <v>0</v>
      </c>
      <c r="Z652" s="246">
        <f ca="1">((Z643*$U643)*$W652)*FOREX*IF(INPUT!$D$18="No",0,1)</f>
        <v>0</v>
      </c>
      <c r="AA652" s="246">
        <f t="shared" ca="1" si="230"/>
        <v>0</v>
      </c>
      <c r="AB652" s="246">
        <f t="shared" ca="1" si="230"/>
        <v>0</v>
      </c>
      <c r="AC652" s="246">
        <f t="shared" ca="1" si="230"/>
        <v>0</v>
      </c>
      <c r="AD652" s="246">
        <f t="shared" ca="1" si="230"/>
        <v>0</v>
      </c>
      <c r="AE652" s="246">
        <f t="shared" ca="1" si="230"/>
        <v>0</v>
      </c>
      <c r="AF652" s="246">
        <f t="shared" ca="1" si="230"/>
        <v>0</v>
      </c>
      <c r="AG652" s="246">
        <f t="shared" ca="1" si="230"/>
        <v>0</v>
      </c>
      <c r="AH652" s="246">
        <f t="shared" si="230"/>
        <v>0</v>
      </c>
      <c r="AI652" s="246">
        <f t="shared" ca="1" si="231"/>
        <v>0</v>
      </c>
      <c r="AJ652" s="246">
        <f t="shared" ca="1" si="231"/>
        <v>0</v>
      </c>
      <c r="AK652" s="246">
        <f t="shared" si="231"/>
        <v>0</v>
      </c>
      <c r="AL652" s="246"/>
      <c r="AM652" s="246">
        <f t="shared" ca="1" si="232"/>
        <v>0</v>
      </c>
      <c r="AN652" s="254"/>
      <c r="GS652" s="176"/>
      <c r="GT652" s="176"/>
      <c r="GU652" s="176"/>
      <c r="GV652" s="176"/>
      <c r="GW652" s="176"/>
    </row>
    <row r="653" spans="1:205" ht="12.75" customHeight="1" x14ac:dyDescent="0.2">
      <c r="A653" s="709"/>
      <c r="B653" s="1110"/>
      <c r="C653" s="1110"/>
      <c r="D653" s="257"/>
      <c r="E653" s="599"/>
      <c r="G653" s="174"/>
      <c r="H653" s="174"/>
      <c r="I653" s="174"/>
      <c r="J653" s="174"/>
      <c r="K653" s="174"/>
      <c r="P653" s="179"/>
      <c r="Q653" s="179"/>
      <c r="R653" s="179"/>
      <c r="S653" s="175"/>
      <c r="T653" s="175"/>
      <c r="U653" s="1509" t="s">
        <v>1110</v>
      </c>
      <c r="V653" s="1511"/>
      <c r="W653" s="1512">
        <v>65</v>
      </c>
      <c r="X653" s="246">
        <f t="shared" si="229"/>
        <v>0</v>
      </c>
      <c r="Y653" s="246">
        <f ca="1">((Y644*$U644)*$W653)*FOREX*IF(INPUT!$D$18="No",0,1)</f>
        <v>0</v>
      </c>
      <c r="Z653" s="246">
        <f ca="1">((Z644*$U644)*$W653)*FOREX*IF(INPUT!$D$18="No",0,1)</f>
        <v>0</v>
      </c>
      <c r="AA653" s="246">
        <f t="shared" ca="1" si="230"/>
        <v>0</v>
      </c>
      <c r="AB653" s="246">
        <f t="shared" ca="1" si="230"/>
        <v>0</v>
      </c>
      <c r="AC653" s="246">
        <f t="shared" ca="1" si="230"/>
        <v>0</v>
      </c>
      <c r="AD653" s="246">
        <f t="shared" ca="1" si="230"/>
        <v>0</v>
      </c>
      <c r="AE653" s="246">
        <f t="shared" ca="1" si="230"/>
        <v>0</v>
      </c>
      <c r="AF653" s="246">
        <f t="shared" ca="1" si="230"/>
        <v>0</v>
      </c>
      <c r="AG653" s="246">
        <f t="shared" ca="1" si="230"/>
        <v>0</v>
      </c>
      <c r="AH653" s="246">
        <f t="shared" si="230"/>
        <v>0</v>
      </c>
      <c r="AI653" s="246">
        <f t="shared" ca="1" si="231"/>
        <v>0</v>
      </c>
      <c r="AJ653" s="246">
        <f t="shared" ca="1" si="231"/>
        <v>0</v>
      </c>
      <c r="AK653" s="246">
        <f t="shared" si="231"/>
        <v>0</v>
      </c>
      <c r="AL653" s="246"/>
      <c r="AM653" s="246">
        <f t="shared" ca="1" si="232"/>
        <v>0</v>
      </c>
      <c r="AN653" s="254"/>
      <c r="GS653" s="176"/>
      <c r="GT653" s="176"/>
      <c r="GU653" s="176"/>
      <c r="GV653" s="176"/>
      <c r="GW653" s="176"/>
    </row>
    <row r="654" spans="1:205" ht="12.75" customHeight="1" x14ac:dyDescent="0.2">
      <c r="A654" s="709"/>
      <c r="B654" s="1110"/>
      <c r="C654" s="1110"/>
      <c r="D654" s="257"/>
      <c r="E654" s="599"/>
      <c r="G654" s="174"/>
      <c r="H654" s="174"/>
      <c r="I654" s="174"/>
      <c r="J654" s="174"/>
      <c r="K654" s="174"/>
      <c r="P654" s="179"/>
      <c r="Q654" s="179"/>
      <c r="R654" s="179"/>
      <c r="S654" s="175"/>
      <c r="T654" s="175"/>
      <c r="U654" s="1464" t="str">
        <f>V645</f>
        <v>REDRESS</v>
      </c>
      <c r="V654" s="1464"/>
      <c r="W654" s="245">
        <f>INDEX(JARSSHOCKTOOLDDT!$C$5:$C$9,MATCH('Cost Details'!U654,JARSSHOCKTOOLDDT!$A$5:$A$9,0))</f>
        <v>3100</v>
      </c>
      <c r="X654" s="246">
        <f>((X645*$U645)*$W654)*FOREX</f>
        <v>0</v>
      </c>
      <c r="Y654" s="246">
        <f>((Y645*$U645)*$W654)*FOREX*IF(INPUT!$D$18="No",0,1)</f>
        <v>0</v>
      </c>
      <c r="Z654" s="246">
        <f>((Z645*$U645)*$W654)*FOREX*IF(INPUT!$D$18="No",0,1)</f>
        <v>0</v>
      </c>
      <c r="AA654" s="246">
        <f t="shared" ref="AA654:AH654" si="234">((AA645*$U645)*$W654)*FOREX</f>
        <v>0</v>
      </c>
      <c r="AB654" s="246">
        <f t="shared" si="234"/>
        <v>0</v>
      </c>
      <c r="AC654" s="246">
        <f t="shared" si="234"/>
        <v>0</v>
      </c>
      <c r="AD654" s="246">
        <f t="shared" si="234"/>
        <v>0</v>
      </c>
      <c r="AE654" s="246">
        <f t="shared" si="234"/>
        <v>0</v>
      </c>
      <c r="AF654" s="246">
        <f t="shared" si="234"/>
        <v>0</v>
      </c>
      <c r="AG654" s="246">
        <f>((AG645*$U645)*$W654)*FOREX</f>
        <v>3320100</v>
      </c>
      <c r="AH654" s="246">
        <f t="shared" si="234"/>
        <v>0</v>
      </c>
      <c r="AI654" s="246">
        <f t="shared" si="231"/>
        <v>0</v>
      </c>
      <c r="AJ654" s="246">
        <f t="shared" si="231"/>
        <v>0</v>
      </c>
      <c r="AK654" s="246">
        <f t="shared" si="231"/>
        <v>0</v>
      </c>
      <c r="AL654" s="246"/>
      <c r="AM654" s="246">
        <f t="shared" si="232"/>
        <v>3320100</v>
      </c>
      <c r="AN654" s="254"/>
      <c r="GS654" s="176"/>
      <c r="GT654" s="176"/>
      <c r="GU654" s="176"/>
      <c r="GV654" s="176"/>
      <c r="GW654" s="176"/>
    </row>
    <row r="655" spans="1:205" ht="13.5" customHeight="1" x14ac:dyDescent="0.2">
      <c r="A655" s="709"/>
      <c r="B655" s="1110"/>
      <c r="C655" s="1110"/>
      <c r="D655" s="257"/>
      <c r="E655" s="613"/>
      <c r="G655" s="174"/>
      <c r="H655" s="174"/>
      <c r="I655" s="174"/>
      <c r="J655" s="174"/>
      <c r="K655" s="174"/>
      <c r="P655" s="179"/>
      <c r="Q655" s="179"/>
      <c r="R655" s="179"/>
      <c r="S655" s="175"/>
      <c r="T655" s="175"/>
      <c r="U655" s="255"/>
      <c r="V655" s="1464"/>
      <c r="W655" s="245"/>
      <c r="X655" s="246"/>
      <c r="Y655" s="246"/>
      <c r="Z655" s="246"/>
      <c r="AA655" s="246"/>
      <c r="AB655" s="246"/>
      <c r="AC655" s="246"/>
      <c r="AD655" s="246"/>
      <c r="AE655" s="246"/>
      <c r="AF655" s="246"/>
      <c r="AG655" s="246"/>
      <c r="AH655" s="246"/>
      <c r="AI655" s="246"/>
      <c r="AJ655" s="246"/>
      <c r="AK655" s="246"/>
      <c r="AL655" s="246"/>
      <c r="AM655" s="246">
        <f t="shared" si="232"/>
        <v>0</v>
      </c>
      <c r="AN655" s="254"/>
      <c r="GS655" s="176"/>
      <c r="GT655" s="176"/>
      <c r="GU655" s="176"/>
      <c r="GV655" s="176"/>
      <c r="GW655" s="176"/>
    </row>
    <row r="656" spans="1:205" ht="13.5" customHeight="1" x14ac:dyDescent="0.2">
      <c r="A656" s="712"/>
      <c r="B656" s="1113"/>
      <c r="C656" s="1113"/>
      <c r="D656" s="533"/>
      <c r="E656" s="613"/>
      <c r="G656" s="174"/>
      <c r="H656" s="174"/>
      <c r="I656" s="174"/>
      <c r="J656" s="174"/>
      <c r="K656" s="174"/>
      <c r="P656" s="179"/>
      <c r="Q656" s="179"/>
      <c r="R656" s="179"/>
      <c r="S656" s="175"/>
      <c r="T656" s="175"/>
      <c r="U656" s="254"/>
      <c r="V656" s="254"/>
      <c r="W656" s="546">
        <f>(W649+W654)+W651</f>
        <v>3380</v>
      </c>
      <c r="X656" s="246">
        <f t="shared" ref="X656:AL656" si="235">SUM(X649:X655)</f>
        <v>633165</v>
      </c>
      <c r="Y656" s="246">
        <f t="shared" ca="1" si="235"/>
        <v>97410</v>
      </c>
      <c r="Z656" s="246">
        <f ca="1">SUM(Z649:Z655)</f>
        <v>194820</v>
      </c>
      <c r="AA656" s="246">
        <f t="shared" ca="1" si="235"/>
        <v>243525</v>
      </c>
      <c r="AB656" s="246">
        <f ca="1">SUM(AB649:AB655)</f>
        <v>194820</v>
      </c>
      <c r="AC656" s="246">
        <f t="shared" ca="1" si="235"/>
        <v>487050</v>
      </c>
      <c r="AD656" s="246">
        <f ca="1">SUM(AD649:AD655)</f>
        <v>146115</v>
      </c>
      <c r="AE656" s="246">
        <f t="shared" ca="1" si="235"/>
        <v>292230</v>
      </c>
      <c r="AF656" s="246">
        <f ca="1">SUM(AF649:AF655)</f>
        <v>97410</v>
      </c>
      <c r="AG656" s="246">
        <f t="shared" ca="1" si="235"/>
        <v>3563625</v>
      </c>
      <c r="AH656" s="246">
        <f>SUM(AH649:AH655)</f>
        <v>340935</v>
      </c>
      <c r="AI656" s="246">
        <f ca="1">SUM(AI649:AI655)</f>
        <v>0</v>
      </c>
      <c r="AJ656" s="246">
        <f ca="1">SUM(AJ649:AJ655)</f>
        <v>0</v>
      </c>
      <c r="AK656" s="246">
        <f>SUM(AK649:AK655)</f>
        <v>0</v>
      </c>
      <c r="AL656" s="246">
        <f t="shared" si="235"/>
        <v>0</v>
      </c>
      <c r="AM656" s="1439">
        <f ca="1">SUM(AM649:AM655)</f>
        <v>6291105</v>
      </c>
      <c r="AN656" s="254"/>
      <c r="GS656" s="176"/>
      <c r="GT656" s="176"/>
      <c r="GU656" s="176"/>
      <c r="GV656" s="176"/>
      <c r="GW656" s="176"/>
    </row>
    <row r="657" spans="1:205" s="172" customFormat="1" ht="12.75" customHeight="1" x14ac:dyDescent="0.15">
      <c r="A657" s="712"/>
      <c r="B657" s="1113"/>
      <c r="C657" s="1113"/>
      <c r="D657" s="340"/>
      <c r="E657" s="596"/>
      <c r="F657" s="249"/>
      <c r="G657" s="174"/>
      <c r="H657" s="174"/>
      <c r="I657" s="174"/>
      <c r="J657" s="174"/>
      <c r="K657" s="174"/>
      <c r="L657" s="174"/>
      <c r="M657" s="174"/>
      <c r="N657" s="174"/>
      <c r="O657" s="174"/>
      <c r="P657" s="179"/>
      <c r="Q657" s="179"/>
      <c r="R657" s="179"/>
      <c r="S657" s="179"/>
      <c r="T657" s="179"/>
      <c r="W657" s="202"/>
      <c r="X657" s="257"/>
      <c r="Y657" s="254"/>
      <c r="Z657" s="254"/>
      <c r="AA657" s="254"/>
      <c r="AB657" s="254"/>
      <c r="AC657" s="254"/>
      <c r="AD657" s="254"/>
      <c r="AE657" s="254"/>
      <c r="AF657" s="254"/>
      <c r="AG657" s="254"/>
      <c r="AH657" s="294"/>
      <c r="AI657" s="254"/>
      <c r="AJ657" s="294"/>
      <c r="AK657" s="294"/>
      <c r="AL657" s="294"/>
      <c r="AM657" s="340"/>
      <c r="AN657" s="254"/>
      <c r="AP657" s="174"/>
      <c r="AQ657" s="174"/>
      <c r="AR657" s="174"/>
      <c r="AS657" s="174"/>
      <c r="AT657" s="174"/>
      <c r="AU657" s="174"/>
    </row>
    <row r="658" spans="1:205" ht="12.75" customHeight="1" x14ac:dyDescent="0.2">
      <c r="A658" s="732"/>
      <c r="B658" s="1133"/>
      <c r="C658" s="1133"/>
      <c r="D658" s="220"/>
      <c r="G658" s="250"/>
      <c r="H658" s="250"/>
      <c r="I658" s="250"/>
      <c r="J658" s="250"/>
      <c r="K658" s="250"/>
      <c r="P658" s="179"/>
      <c r="Q658" s="179"/>
      <c r="R658" s="179"/>
      <c r="S658" s="179"/>
      <c r="T658" s="179"/>
      <c r="X658" s="240"/>
      <c r="Y658" s="240"/>
      <c r="Z658" s="202"/>
      <c r="AA658" s="202"/>
      <c r="AB658" s="202"/>
      <c r="AC658" s="202"/>
      <c r="AD658" s="235"/>
      <c r="AE658" s="235"/>
      <c r="AF658" s="235"/>
      <c r="AG658" s="235"/>
      <c r="AH658" s="235"/>
      <c r="AI658" s="235"/>
      <c r="AJ658" s="235"/>
      <c r="AK658" s="235"/>
      <c r="AL658" s="235"/>
      <c r="AM658" s="220"/>
      <c r="AN658" s="254"/>
      <c r="GS658" s="176"/>
      <c r="GT658" s="176"/>
      <c r="GU658" s="176"/>
      <c r="GV658" s="176"/>
      <c r="GW658" s="176"/>
    </row>
    <row r="659" spans="1:205" ht="13.5" customHeight="1" x14ac:dyDescent="0.2">
      <c r="A659" s="702"/>
      <c r="B659" s="1103"/>
      <c r="C659" s="1103"/>
      <c r="D659" s="254"/>
      <c r="G659" s="250"/>
      <c r="H659" s="250"/>
      <c r="I659" s="250"/>
      <c r="J659" s="250"/>
      <c r="K659" s="250"/>
      <c r="P659" s="179"/>
      <c r="Q659" s="179"/>
      <c r="R659" s="179"/>
      <c r="S659" s="179"/>
      <c r="T659" s="179"/>
      <c r="U659" s="254"/>
      <c r="V659" s="665" t="s">
        <v>358</v>
      </c>
      <c r="W659" s="254"/>
      <c r="X659" s="254"/>
      <c r="Y659" s="254"/>
      <c r="Z659" s="254"/>
      <c r="AA659" s="254"/>
      <c r="AB659" s="254"/>
      <c r="AC659" s="254"/>
      <c r="AD659" s="254"/>
      <c r="AE659" s="254"/>
      <c r="AF659" s="254"/>
      <c r="AG659" s="254"/>
      <c r="AH659" s="254"/>
      <c r="AI659" s="254"/>
      <c r="AJ659" s="254"/>
      <c r="AK659" s="254"/>
      <c r="AL659" s="254"/>
      <c r="AM659" s="254"/>
      <c r="AN659" s="254"/>
      <c r="GS659" s="176"/>
      <c r="GT659" s="176"/>
      <c r="GU659" s="176"/>
      <c r="GV659" s="176"/>
      <c r="GW659" s="176"/>
    </row>
    <row r="660" spans="1:205" ht="13.5" customHeight="1" x14ac:dyDescent="0.2">
      <c r="A660" s="728"/>
      <c r="B660" s="1129"/>
      <c r="C660" s="1129"/>
      <c r="D660" s="531"/>
      <c r="E660" s="613"/>
      <c r="G660" s="250"/>
      <c r="H660" s="250"/>
      <c r="I660" s="250"/>
      <c r="J660" s="250"/>
      <c r="K660" s="250"/>
      <c r="P660" s="179"/>
      <c r="Q660" s="179"/>
      <c r="R660" s="179"/>
      <c r="S660" s="179"/>
      <c r="T660" s="179"/>
      <c r="U660" s="2513" t="s">
        <v>152</v>
      </c>
      <c r="V660" s="2514"/>
      <c r="W660" s="1440" t="s">
        <v>153</v>
      </c>
      <c r="X660" s="1426" t="str">
        <f t="shared" ref="X660:AK660" si="236">X$14</f>
        <v>RIGMOVE</v>
      </c>
      <c r="Y660" s="1426" t="str">
        <f t="shared" si="236"/>
        <v>DSURFACE</v>
      </c>
      <c r="Z660" s="1426" t="str">
        <f t="shared" si="236"/>
        <v>FSURFACE</v>
      </c>
      <c r="AA660" s="1426" t="str">
        <f t="shared" si="236"/>
        <v>DINTERMEDIATE</v>
      </c>
      <c r="AB660" s="1426" t="str">
        <f t="shared" si="236"/>
        <v>FINTERMEDIATE</v>
      </c>
      <c r="AC660" s="1426" t="str">
        <f t="shared" si="236"/>
        <v>DPRODUCTION</v>
      </c>
      <c r="AD660" s="1426" t="str">
        <f t="shared" si="236"/>
        <v>FPRODUCTION</v>
      </c>
      <c r="AE660" s="1426" t="str">
        <f t="shared" si="236"/>
        <v>DLINER1</v>
      </c>
      <c r="AF660" s="1426" t="str">
        <f t="shared" si="236"/>
        <v>FLINER1</v>
      </c>
      <c r="AG660" s="1426" t="str">
        <f t="shared" si="236"/>
        <v>DLINER2</v>
      </c>
      <c r="AH660" s="1426" t="str">
        <f t="shared" si="236"/>
        <v>FLINER2</v>
      </c>
      <c r="AI660" s="1426" t="str">
        <f t="shared" si="236"/>
        <v/>
      </c>
      <c r="AJ660" s="1426" t="str">
        <f t="shared" si="236"/>
        <v/>
      </c>
      <c r="AK660" s="1426" t="str">
        <f t="shared" si="236"/>
        <v/>
      </c>
      <c r="AL660" s="1426"/>
      <c r="AM660" s="1437" t="s">
        <v>101</v>
      </c>
      <c r="AN660" s="254"/>
      <c r="AO660" s="249"/>
      <c r="GS660" s="176"/>
      <c r="GT660" s="176"/>
      <c r="GU660" s="176"/>
      <c r="GV660" s="176"/>
      <c r="GW660" s="176"/>
    </row>
    <row r="661" spans="1:205" ht="12.75" customHeight="1" x14ac:dyDescent="0.2">
      <c r="A661" s="735"/>
      <c r="B661" s="1136"/>
      <c r="C661" s="1136"/>
      <c r="D661" s="539"/>
      <c r="E661" s="613"/>
      <c r="G661" s="250"/>
      <c r="H661" s="250"/>
      <c r="I661" s="250"/>
      <c r="J661" s="250"/>
      <c r="K661" s="250"/>
      <c r="P661" s="179"/>
      <c r="Q661" s="179"/>
      <c r="R661" s="179"/>
      <c r="S661" s="179"/>
      <c r="T661" s="179"/>
      <c r="U661" s="287"/>
      <c r="V661" s="287" t="s">
        <v>768</v>
      </c>
      <c r="W661" s="245" t="s">
        <v>202</v>
      </c>
      <c r="X661" s="683"/>
      <c r="Y661" s="683"/>
      <c r="Z661" s="683"/>
      <c r="AA661" s="683"/>
      <c r="AB661" s="683">
        <v>1</v>
      </c>
      <c r="AC661" s="683"/>
      <c r="AD661" s="683"/>
      <c r="AE661" s="683"/>
      <c r="AF661" s="683"/>
      <c r="AG661" s="683"/>
      <c r="AH661" s="246"/>
      <c r="AI661" s="683"/>
      <c r="AJ661" s="246"/>
      <c r="AK661" s="246"/>
      <c r="AL661" s="246"/>
      <c r="AM661" s="284">
        <f t="shared" ref="AM661:AM669" si="237">SUM(X661:AL661)</f>
        <v>1</v>
      </c>
      <c r="AN661" s="249"/>
      <c r="AP661" s="250"/>
      <c r="AQ661" s="250"/>
      <c r="AR661" s="250"/>
      <c r="AS661" s="250"/>
      <c r="AT661" s="250"/>
      <c r="GS661" s="176"/>
      <c r="GT661" s="176"/>
      <c r="GU661" s="176"/>
      <c r="GV661" s="176"/>
      <c r="GW661" s="176"/>
    </row>
    <row r="662" spans="1:205" ht="12.75" customHeight="1" x14ac:dyDescent="0.2">
      <c r="A662" s="735"/>
      <c r="B662" s="1136"/>
      <c r="C662" s="1136"/>
      <c r="D662" s="539"/>
      <c r="E662" s="614"/>
      <c r="G662" s="250"/>
      <c r="H662" s="250"/>
      <c r="I662" s="250"/>
      <c r="J662" s="250"/>
      <c r="K662" s="250"/>
      <c r="P662" s="179"/>
      <c r="Q662" s="179"/>
      <c r="R662" s="179"/>
      <c r="S662" s="179"/>
      <c r="T662" s="179"/>
      <c r="U662" s="287"/>
      <c r="V662" s="287" t="s">
        <v>765</v>
      </c>
      <c r="W662" s="245" t="s">
        <v>202</v>
      </c>
      <c r="X662" s="683"/>
      <c r="Y662" s="683"/>
      <c r="Z662" s="683"/>
      <c r="AA662" s="683"/>
      <c r="AB662" s="683">
        <v>1</v>
      </c>
      <c r="AC662" s="683"/>
      <c r="AD662" s="683"/>
      <c r="AE662" s="683"/>
      <c r="AF662" s="683"/>
      <c r="AG662" s="683"/>
      <c r="AH662" s="246"/>
      <c r="AI662" s="683"/>
      <c r="AJ662" s="246"/>
      <c r="AK662" s="246"/>
      <c r="AL662" s="246"/>
      <c r="AM662" s="284">
        <f t="shared" si="237"/>
        <v>1</v>
      </c>
      <c r="AN662" s="172"/>
      <c r="AP662" s="250"/>
      <c r="AQ662" s="250"/>
      <c r="AR662" s="250"/>
      <c r="AS662" s="250"/>
      <c r="AT662" s="250"/>
      <c r="GS662" s="176"/>
      <c r="GT662" s="176"/>
      <c r="GU662" s="176"/>
      <c r="GV662" s="176"/>
      <c r="GW662" s="176"/>
    </row>
    <row r="663" spans="1:205" ht="12.75" customHeight="1" x14ac:dyDescent="0.2">
      <c r="A663" s="735"/>
      <c r="B663" s="1136"/>
      <c r="C663" s="1136"/>
      <c r="D663" s="539"/>
      <c r="E663" s="614"/>
      <c r="G663" s="250"/>
      <c r="H663" s="250"/>
      <c r="I663" s="250"/>
      <c r="J663" s="250"/>
      <c r="K663" s="250"/>
      <c r="P663" s="179"/>
      <c r="Q663" s="179"/>
      <c r="R663" s="179"/>
      <c r="S663" s="179"/>
      <c r="T663" s="179"/>
      <c r="U663" s="287"/>
      <c r="V663" s="287" t="s">
        <v>766</v>
      </c>
      <c r="W663" s="245" t="s">
        <v>202</v>
      </c>
      <c r="X663" s="683"/>
      <c r="Y663" s="683"/>
      <c r="Z663" s="683"/>
      <c r="AA663" s="683"/>
      <c r="AB663" s="683">
        <v>1</v>
      </c>
      <c r="AC663" s="683"/>
      <c r="AD663" s="683"/>
      <c r="AE663" s="683"/>
      <c r="AF663" s="683"/>
      <c r="AG663" s="683"/>
      <c r="AH663" s="246"/>
      <c r="AI663" s="683"/>
      <c r="AJ663" s="246"/>
      <c r="AK663" s="246"/>
      <c r="AL663" s="246"/>
      <c r="AM663" s="284">
        <f t="shared" si="237"/>
        <v>1</v>
      </c>
      <c r="AN663" s="172"/>
      <c r="AP663" s="250"/>
      <c r="AQ663" s="250"/>
      <c r="AR663" s="250"/>
      <c r="AS663" s="250"/>
      <c r="AT663" s="250"/>
      <c r="GS663" s="176"/>
      <c r="GT663" s="176"/>
      <c r="GU663" s="176"/>
      <c r="GV663" s="176"/>
      <c r="GW663" s="176"/>
    </row>
    <row r="664" spans="1:205" ht="13.5" customHeight="1" x14ac:dyDescent="0.2">
      <c r="A664" s="735"/>
      <c r="B664" s="1136"/>
      <c r="C664" s="1136"/>
      <c r="D664" s="539"/>
      <c r="E664" s="613"/>
      <c r="G664" s="250"/>
      <c r="H664" s="250"/>
      <c r="I664" s="250"/>
      <c r="J664" s="250"/>
      <c r="K664" s="250"/>
      <c r="P664" s="179"/>
      <c r="Q664" s="179"/>
      <c r="R664" s="179"/>
      <c r="S664" s="179"/>
      <c r="T664" s="179"/>
      <c r="U664" s="287"/>
      <c r="V664" s="287" t="s">
        <v>829</v>
      </c>
      <c r="W664" s="245" t="s">
        <v>177</v>
      </c>
      <c r="X664" s="683"/>
      <c r="Y664" s="683"/>
      <c r="Z664" s="683"/>
      <c r="AA664" s="683"/>
      <c r="AB664" s="683">
        <v>7</v>
      </c>
      <c r="AC664" s="683"/>
      <c r="AD664" s="683"/>
      <c r="AE664" s="683"/>
      <c r="AF664" s="683"/>
      <c r="AG664" s="683"/>
      <c r="AH664" s="246"/>
      <c r="AI664" s="683"/>
      <c r="AJ664" s="246"/>
      <c r="AK664" s="246"/>
      <c r="AL664" s="246"/>
      <c r="AM664" s="284">
        <f t="shared" si="237"/>
        <v>7</v>
      </c>
      <c r="AN664" s="254"/>
      <c r="AP664" s="250"/>
      <c r="AQ664" s="250"/>
      <c r="AR664" s="250"/>
      <c r="AS664" s="250"/>
      <c r="AT664" s="250"/>
      <c r="GS664" s="176"/>
      <c r="GT664" s="176"/>
      <c r="GU664" s="176"/>
      <c r="GV664" s="176"/>
      <c r="GW664" s="176"/>
    </row>
    <row r="665" spans="1:205" ht="13.5" customHeight="1" x14ac:dyDescent="0.2">
      <c r="A665" s="735"/>
      <c r="B665" s="1136"/>
      <c r="C665" s="1136"/>
      <c r="D665" s="539"/>
      <c r="E665" s="599"/>
      <c r="G665" s="250"/>
      <c r="H665" s="250"/>
      <c r="I665" s="250"/>
      <c r="J665" s="250"/>
      <c r="K665" s="250"/>
      <c r="P665" s="179"/>
      <c r="Q665" s="179"/>
      <c r="R665" s="179"/>
      <c r="S665" s="179"/>
      <c r="T665" s="179"/>
      <c r="U665" s="287"/>
      <c r="V665" s="287" t="s">
        <v>876</v>
      </c>
      <c r="W665" s="245" t="s">
        <v>177</v>
      </c>
      <c r="X665" s="683"/>
      <c r="Y665" s="683"/>
      <c r="Z665" s="683"/>
      <c r="AA665" s="683">
        <v>7</v>
      </c>
      <c r="AB665" s="683"/>
      <c r="AC665" s="683"/>
      <c r="AD665" s="683"/>
      <c r="AE665" s="683"/>
      <c r="AF665" s="683"/>
      <c r="AG665" s="683"/>
      <c r="AH665" s="246"/>
      <c r="AI665" s="683"/>
      <c r="AJ665" s="246"/>
      <c r="AK665" s="246"/>
      <c r="AL665" s="246"/>
      <c r="AM665" s="284">
        <f t="shared" si="237"/>
        <v>7</v>
      </c>
      <c r="AN665" s="254"/>
      <c r="AP665" s="250"/>
      <c r="AQ665" s="250"/>
      <c r="AR665" s="250"/>
      <c r="AS665" s="250"/>
      <c r="AT665" s="250"/>
      <c r="GS665" s="176"/>
      <c r="GT665" s="176"/>
      <c r="GU665" s="176"/>
      <c r="GV665" s="176"/>
      <c r="GW665" s="176"/>
    </row>
    <row r="666" spans="1:205" ht="13.5" customHeight="1" x14ac:dyDescent="0.2">
      <c r="A666" s="735"/>
      <c r="B666" s="1136"/>
      <c r="C666" s="1136"/>
      <c r="D666" s="539"/>
      <c r="E666" s="599"/>
      <c r="G666" s="250"/>
      <c r="H666" s="250"/>
      <c r="I666" s="250"/>
      <c r="J666" s="250"/>
      <c r="K666" s="250"/>
      <c r="P666" s="179"/>
      <c r="Q666" s="179"/>
      <c r="R666" s="179"/>
      <c r="S666" s="179"/>
      <c r="T666" s="179"/>
      <c r="U666" s="287"/>
      <c r="V666" s="287" t="s">
        <v>875</v>
      </c>
      <c r="W666" s="245" t="s">
        <v>177</v>
      </c>
      <c r="X666" s="683"/>
      <c r="Y666" s="683"/>
      <c r="Z666" s="683"/>
      <c r="AA666" s="683">
        <v>7</v>
      </c>
      <c r="AB666" s="683"/>
      <c r="AC666" s="683"/>
      <c r="AD666" s="683"/>
      <c r="AE666" s="683"/>
      <c r="AF666" s="683"/>
      <c r="AG666" s="683"/>
      <c r="AH666" s="246"/>
      <c r="AI666" s="683"/>
      <c r="AJ666" s="246"/>
      <c r="AK666" s="246"/>
      <c r="AL666" s="246"/>
      <c r="AM666" s="284">
        <f t="shared" si="237"/>
        <v>7</v>
      </c>
      <c r="AN666" s="254"/>
      <c r="AP666" s="250"/>
      <c r="AQ666" s="250"/>
      <c r="AR666" s="250"/>
      <c r="AS666" s="250"/>
      <c r="AT666" s="250"/>
      <c r="GS666" s="176"/>
      <c r="GT666" s="176"/>
      <c r="GU666" s="176"/>
      <c r="GV666" s="176"/>
      <c r="GW666" s="176"/>
    </row>
    <row r="667" spans="1:205" ht="13.5" customHeight="1" x14ac:dyDescent="0.2">
      <c r="A667" s="735"/>
      <c r="B667" s="1136"/>
      <c r="C667" s="1136"/>
      <c r="D667" s="539"/>
      <c r="E667" s="599"/>
      <c r="G667" s="250"/>
      <c r="H667" s="250"/>
      <c r="I667" s="250"/>
      <c r="J667" s="250"/>
      <c r="K667" s="250"/>
      <c r="P667" s="179"/>
      <c r="Q667" s="179"/>
      <c r="R667" s="179"/>
      <c r="S667" s="179"/>
      <c r="T667" s="179"/>
      <c r="U667" s="287"/>
      <c r="V667" s="287" t="s">
        <v>880</v>
      </c>
      <c r="W667" s="245" t="s">
        <v>177</v>
      </c>
      <c r="X667" s="683"/>
      <c r="Y667" s="683"/>
      <c r="Z667" s="683"/>
      <c r="AA667" s="683"/>
      <c r="AB667" s="683"/>
      <c r="AC667" s="683"/>
      <c r="AD667" s="683"/>
      <c r="AE667" s="683"/>
      <c r="AF667" s="683"/>
      <c r="AG667" s="683"/>
      <c r="AH667" s="246"/>
      <c r="AI667" s="683"/>
      <c r="AJ667" s="246"/>
      <c r="AK667" s="246"/>
      <c r="AL667" s="246"/>
      <c r="AM667" s="284">
        <f t="shared" si="237"/>
        <v>0</v>
      </c>
      <c r="AN667" s="254"/>
      <c r="AP667" s="250"/>
      <c r="AQ667" s="250"/>
      <c r="AR667" s="250"/>
      <c r="AS667" s="250"/>
      <c r="AT667" s="250"/>
      <c r="GS667" s="176"/>
      <c r="GT667" s="176"/>
      <c r="GU667" s="176"/>
      <c r="GV667" s="176"/>
      <c r="GW667" s="176"/>
    </row>
    <row r="668" spans="1:205" ht="13.5" customHeight="1" x14ac:dyDescent="0.2">
      <c r="A668" s="735"/>
      <c r="B668" s="1136"/>
      <c r="C668" s="1136"/>
      <c r="D668" s="539"/>
      <c r="E668" s="599"/>
      <c r="G668" s="250"/>
      <c r="H668" s="250"/>
      <c r="I668" s="250"/>
      <c r="J668" s="250"/>
      <c r="K668" s="250"/>
      <c r="P668" s="179"/>
      <c r="Q668" s="179"/>
      <c r="R668" s="179"/>
      <c r="S668" s="179"/>
      <c r="T668" s="179"/>
      <c r="U668" s="287"/>
      <c r="V668" s="287" t="s">
        <v>830</v>
      </c>
      <c r="W668" s="245" t="s">
        <v>177</v>
      </c>
      <c r="X668" s="683"/>
      <c r="Y668" s="683"/>
      <c r="Z668" s="683"/>
      <c r="AA668" s="683">
        <v>7</v>
      </c>
      <c r="AB668" s="683"/>
      <c r="AC668" s="683"/>
      <c r="AD668" s="683"/>
      <c r="AE668" s="683"/>
      <c r="AF668" s="683"/>
      <c r="AG668" s="683"/>
      <c r="AH668" s="246"/>
      <c r="AI668" s="683"/>
      <c r="AJ668" s="246"/>
      <c r="AK668" s="246"/>
      <c r="AL668" s="246"/>
      <c r="AM668" s="284">
        <f t="shared" si="237"/>
        <v>7</v>
      </c>
      <c r="AN668" s="254"/>
      <c r="AP668" s="250"/>
      <c r="AQ668" s="250"/>
      <c r="AR668" s="250"/>
      <c r="AS668" s="250"/>
      <c r="AT668" s="250"/>
      <c r="GS668" s="176"/>
      <c r="GT668" s="176"/>
      <c r="GU668" s="176"/>
      <c r="GV668" s="176"/>
      <c r="GW668" s="176"/>
    </row>
    <row r="669" spans="1:205" ht="13.5" customHeight="1" x14ac:dyDescent="0.2">
      <c r="A669" s="735"/>
      <c r="B669" s="1136"/>
      <c r="C669" s="1136"/>
      <c r="D669" s="539"/>
      <c r="E669" s="599"/>
      <c r="G669" s="250"/>
      <c r="H669" s="250"/>
      <c r="I669" s="250"/>
      <c r="J669" s="250"/>
      <c r="K669" s="250"/>
      <c r="P669" s="179"/>
      <c r="Q669" s="179"/>
      <c r="R669" s="179"/>
      <c r="S669" s="179"/>
      <c r="T669" s="179"/>
      <c r="U669" s="287"/>
      <c r="V669" s="287" t="s">
        <v>891</v>
      </c>
      <c r="W669" s="245" t="s">
        <v>202</v>
      </c>
      <c r="X669" s="683"/>
      <c r="Y669" s="683"/>
      <c r="Z669" s="683"/>
      <c r="AA669" s="683"/>
      <c r="AB669" s="683">
        <v>1</v>
      </c>
      <c r="AC669" s="683"/>
      <c r="AD669" s="683"/>
      <c r="AE669" s="683"/>
      <c r="AF669" s="683"/>
      <c r="AG669" s="683"/>
      <c r="AH669" s="246"/>
      <c r="AI669" s="683"/>
      <c r="AJ669" s="246"/>
      <c r="AK669" s="246"/>
      <c r="AL669" s="246"/>
      <c r="AM669" s="284">
        <f t="shared" si="237"/>
        <v>1</v>
      </c>
      <c r="AN669" s="254"/>
      <c r="AP669" s="250"/>
      <c r="AQ669" s="250"/>
      <c r="AR669" s="250"/>
      <c r="AS669" s="250"/>
      <c r="AT669" s="250"/>
      <c r="GS669" s="176"/>
      <c r="GT669" s="176"/>
      <c r="GU669" s="176"/>
      <c r="GV669" s="176"/>
      <c r="GW669" s="176"/>
    </row>
    <row r="670" spans="1:205" ht="13.5" customHeight="1" x14ac:dyDescent="0.2">
      <c r="A670" s="709"/>
      <c r="B670" s="1110"/>
      <c r="C670" s="1110"/>
      <c r="D670" s="257"/>
      <c r="G670" s="295"/>
      <c r="H670" s="295"/>
      <c r="I670" s="295"/>
      <c r="J670" s="295"/>
      <c r="K670" s="295"/>
      <c r="L670" s="186" t="e">
        <f>#REF!</f>
        <v>#REF!</v>
      </c>
      <c r="P670" s="179"/>
      <c r="Q670" s="179"/>
      <c r="R670" s="179"/>
      <c r="S670" s="179"/>
      <c r="T670" s="179"/>
      <c r="U670" s="1478"/>
      <c r="V670" s="1478"/>
      <c r="W670" s="541"/>
      <c r="X670" s="1472"/>
      <c r="Y670" s="1472"/>
      <c r="Z670" s="1472"/>
      <c r="AA670" s="1472"/>
      <c r="AB670" s="1472"/>
      <c r="AC670" s="1472"/>
      <c r="AD670" s="1472"/>
      <c r="AE670" s="1472"/>
      <c r="AF670" s="1472"/>
      <c r="AG670" s="1472"/>
      <c r="AH670" s="1472"/>
      <c r="AI670" s="1472"/>
      <c r="AJ670" s="1472"/>
      <c r="AK670" s="1472"/>
      <c r="AL670" s="1472"/>
      <c r="AM670" s="257"/>
      <c r="AN670" s="254"/>
      <c r="AP670" s="250"/>
      <c r="AQ670" s="250"/>
      <c r="AR670" s="250"/>
      <c r="AS670" s="250"/>
      <c r="AT670" s="250"/>
      <c r="GS670" s="176"/>
      <c r="GT670" s="176"/>
      <c r="GU670" s="176"/>
      <c r="GV670" s="176"/>
      <c r="GW670" s="176"/>
    </row>
    <row r="671" spans="1:205" ht="13.5" customHeight="1" x14ac:dyDescent="0.2">
      <c r="A671" s="733"/>
      <c r="B671" s="1134"/>
      <c r="C671" s="1134"/>
      <c r="D671" s="535"/>
      <c r="E671" s="613"/>
      <c r="G671" s="250"/>
      <c r="H671" s="250"/>
      <c r="I671" s="250"/>
      <c r="J671" s="250"/>
      <c r="K671" s="250"/>
      <c r="P671" s="179"/>
      <c r="Q671" s="179"/>
      <c r="R671" s="179"/>
      <c r="S671" s="179"/>
      <c r="T671" s="179"/>
      <c r="U671" s="2513" t="s">
        <v>147</v>
      </c>
      <c r="V671" s="2514"/>
      <c r="W671" s="1440" t="s">
        <v>203</v>
      </c>
      <c r="X671" s="1426" t="str">
        <f t="shared" ref="X671:AK671" si="238">X$14</f>
        <v>RIGMOVE</v>
      </c>
      <c r="Y671" s="1426" t="str">
        <f t="shared" si="238"/>
        <v>DSURFACE</v>
      </c>
      <c r="Z671" s="1426" t="str">
        <f t="shared" si="238"/>
        <v>FSURFACE</v>
      </c>
      <c r="AA671" s="1426" t="str">
        <f t="shared" si="238"/>
        <v>DINTERMEDIATE</v>
      </c>
      <c r="AB671" s="1426" t="str">
        <f t="shared" si="238"/>
        <v>FINTERMEDIATE</v>
      </c>
      <c r="AC671" s="1426" t="str">
        <f t="shared" si="238"/>
        <v>DPRODUCTION</v>
      </c>
      <c r="AD671" s="1426" t="str">
        <f t="shared" si="238"/>
        <v>FPRODUCTION</v>
      </c>
      <c r="AE671" s="1426" t="str">
        <f t="shared" si="238"/>
        <v>DLINER1</v>
      </c>
      <c r="AF671" s="1426" t="str">
        <f t="shared" si="238"/>
        <v>FLINER1</v>
      </c>
      <c r="AG671" s="1426" t="str">
        <f t="shared" si="238"/>
        <v>DLINER2</v>
      </c>
      <c r="AH671" s="1426" t="str">
        <f t="shared" si="238"/>
        <v>FLINER2</v>
      </c>
      <c r="AI671" s="1426" t="str">
        <f t="shared" si="238"/>
        <v/>
      </c>
      <c r="AJ671" s="1426" t="str">
        <f t="shared" si="238"/>
        <v/>
      </c>
      <c r="AK671" s="1426" t="str">
        <f t="shared" si="238"/>
        <v/>
      </c>
      <c r="AL671" s="1426"/>
      <c r="AM671" s="1449" t="s">
        <v>46</v>
      </c>
      <c r="AN671" s="254"/>
      <c r="AP671" s="250"/>
      <c r="AQ671" s="250"/>
      <c r="AR671" s="250"/>
      <c r="AS671" s="250"/>
      <c r="AT671" s="250"/>
      <c r="GS671" s="176"/>
      <c r="GT671" s="176"/>
      <c r="GU671" s="176"/>
      <c r="GV671" s="176"/>
      <c r="GW671" s="176"/>
    </row>
    <row r="672" spans="1:205" ht="12.75" customHeight="1" x14ac:dyDescent="0.2">
      <c r="A672" s="709"/>
      <c r="B672" s="1110"/>
      <c r="C672" s="1110"/>
      <c r="D672" s="292" t="s">
        <v>776</v>
      </c>
      <c r="E672" s="613"/>
      <c r="G672" s="250"/>
      <c r="H672" s="250"/>
      <c r="I672" s="250"/>
      <c r="J672" s="250"/>
      <c r="K672" s="250"/>
      <c r="P672" s="179"/>
      <c r="Q672" s="179"/>
      <c r="R672" s="179"/>
      <c r="S672" s="179"/>
      <c r="T672" s="179"/>
      <c r="U672" s="287" t="str">
        <f t="shared" ref="U672:U680" si="239">V661</f>
        <v>CHF Casing</v>
      </c>
      <c r="V672" s="287"/>
      <c r="W672" s="508">
        <f>SUMIFS(IF(INPUT!$D$7="Regular Hole",CHF!$F$8:$M$8,CHF!$F$9:$M$9),CHF!$F$3:$M$3,INPUT!$H$8,CHF!$F$4:$M$4,INPUT!$H$15)</f>
        <v>441946</v>
      </c>
      <c r="X672" s="246"/>
      <c r="Y672" s="246"/>
      <c r="Z672" s="246"/>
      <c r="AA672" s="246"/>
      <c r="AB672" s="246">
        <f>$W672*AB661</f>
        <v>441946</v>
      </c>
      <c r="AC672" s="246"/>
      <c r="AD672" s="246"/>
      <c r="AE672" s="246"/>
      <c r="AF672" s="246"/>
      <c r="AG672" s="246"/>
      <c r="AH672" s="246"/>
      <c r="AI672" s="246"/>
      <c r="AJ672" s="246"/>
      <c r="AK672" s="246"/>
      <c r="AL672" s="246"/>
      <c r="AM672" s="246">
        <f t="shared" ref="AM672:AM680" si="240">SUM(X672:AL672)</f>
        <v>441946</v>
      </c>
      <c r="AN672" s="254"/>
      <c r="AP672" s="250"/>
      <c r="AQ672" s="250"/>
      <c r="AR672" s="250"/>
      <c r="AS672" s="250"/>
      <c r="AT672" s="250"/>
      <c r="GS672" s="176"/>
      <c r="GT672" s="176"/>
      <c r="GU672" s="176"/>
      <c r="GV672" s="176"/>
      <c r="GW672" s="176"/>
    </row>
    <row r="673" spans="1:205" ht="12.75" customHeight="1" x14ac:dyDescent="0.2">
      <c r="A673" s="709"/>
      <c r="B673" s="1110"/>
      <c r="C673" s="1110"/>
      <c r="D673" s="292"/>
      <c r="E673" s="614"/>
      <c r="G673" s="250"/>
      <c r="H673" s="250"/>
      <c r="I673" s="250"/>
      <c r="J673" s="250"/>
      <c r="K673" s="250"/>
      <c r="P673" s="179"/>
      <c r="Q673" s="179"/>
      <c r="R673" s="179"/>
      <c r="S673" s="179"/>
      <c r="T673" s="179"/>
      <c r="U673" s="287" t="str">
        <f t="shared" si="239"/>
        <v>Mob/Demob of Equipment</v>
      </c>
      <c r="V673" s="287"/>
      <c r="W673" s="508">
        <f>SUMIFS(CHF!$F12:$M12,CHF!$F$4:$M$4,INPUT!$H$15,CHF!$F$3:$M$3,INPUT!$H$8)</f>
        <v>330500</v>
      </c>
      <c r="X673" s="246"/>
      <c r="Y673" s="246"/>
      <c r="Z673" s="246"/>
      <c r="AA673" s="246"/>
      <c r="AB673" s="246">
        <f>$W673*AB662</f>
        <v>330500</v>
      </c>
      <c r="AC673" s="246"/>
      <c r="AD673" s="246"/>
      <c r="AE673" s="246"/>
      <c r="AF673" s="246"/>
      <c r="AG673" s="246"/>
      <c r="AH673" s="246"/>
      <c r="AI673" s="246"/>
      <c r="AJ673" s="246"/>
      <c r="AK673" s="246"/>
      <c r="AL673" s="246"/>
      <c r="AM673" s="246">
        <f t="shared" si="240"/>
        <v>330500</v>
      </c>
      <c r="AN673" s="254"/>
      <c r="AP673" s="295"/>
      <c r="AQ673" s="295"/>
      <c r="AR673" s="295"/>
      <c r="AS673" s="295"/>
      <c r="AT673" s="295"/>
      <c r="AU673" s="186"/>
      <c r="GS673" s="176"/>
      <c r="GT673" s="176"/>
      <c r="GU673" s="176"/>
      <c r="GV673" s="176"/>
      <c r="GW673" s="176"/>
    </row>
    <row r="674" spans="1:205" ht="12.75" customHeight="1" x14ac:dyDescent="0.2">
      <c r="A674" s="709"/>
      <c r="B674" s="1110"/>
      <c r="C674" s="1110"/>
      <c r="D674" s="292"/>
      <c r="E674" s="614"/>
      <c r="G674" s="250"/>
      <c r="H674" s="250"/>
      <c r="I674" s="250"/>
      <c r="J674" s="250"/>
      <c r="K674" s="250"/>
      <c r="P674" s="179"/>
      <c r="Q674" s="179"/>
      <c r="R674" s="179"/>
      <c r="S674" s="179"/>
      <c r="T674" s="179"/>
      <c r="U674" s="287" t="str">
        <f t="shared" si="239"/>
        <v>Mob/Demob of Personnel</v>
      </c>
      <c r="V674" s="287"/>
      <c r="W674" s="508">
        <f>SUMIFS(CHF!$F13:$M13,CHF!$F$4:$M$4,INPUT!$H$15,CHF!$F$3:$M$3,INPUT!$H$8)</f>
        <v>80357</v>
      </c>
      <c r="X674" s="246"/>
      <c r="Y674" s="246"/>
      <c r="Z674" s="246"/>
      <c r="AA674" s="246"/>
      <c r="AB674" s="246">
        <f>$W674*AB663</f>
        <v>80357</v>
      </c>
      <c r="AC674" s="246"/>
      <c r="AD674" s="246"/>
      <c r="AE674" s="246"/>
      <c r="AF674" s="246"/>
      <c r="AG674" s="246"/>
      <c r="AH674" s="246"/>
      <c r="AI674" s="246"/>
      <c r="AJ674" s="246"/>
      <c r="AK674" s="246"/>
      <c r="AL674" s="246"/>
      <c r="AM674" s="246">
        <f t="shared" si="240"/>
        <v>80357</v>
      </c>
      <c r="AN674" s="172"/>
      <c r="AP674" s="250"/>
      <c r="AQ674" s="250"/>
      <c r="AR674" s="250"/>
      <c r="AS674" s="250"/>
      <c r="AT674" s="250"/>
      <c r="GS674" s="176"/>
      <c r="GT674" s="176"/>
      <c r="GU674" s="176"/>
      <c r="GV674" s="176"/>
      <c r="GW674" s="176"/>
    </row>
    <row r="675" spans="1:205" ht="13.5" customHeight="1" x14ac:dyDescent="0.2">
      <c r="A675" s="709"/>
      <c r="B675" s="1110"/>
      <c r="C675" s="1110"/>
      <c r="D675" s="292"/>
      <c r="E675" s="613"/>
      <c r="G675" s="250"/>
      <c r="H675" s="250"/>
      <c r="I675" s="250"/>
      <c r="J675" s="250"/>
      <c r="K675" s="250"/>
      <c r="P675" s="179"/>
      <c r="Q675" s="179"/>
      <c r="R675" s="179"/>
      <c r="S675" s="179"/>
      <c r="T675" s="179"/>
      <c r="U675" s="287" t="str">
        <f t="shared" si="239"/>
        <v>Service Vehicle; Daily</v>
      </c>
      <c r="V675" s="287"/>
      <c r="W675" s="508">
        <f>SUMIFS(CHF!$F14:$M14,CHF!$F$4:$M$4,INPUT!$H$15,CHF!$F$3:$M$3,INPUT!$H$8)</f>
        <v>5130</v>
      </c>
      <c r="X675" s="246"/>
      <c r="Y675" s="246"/>
      <c r="Z675" s="246"/>
      <c r="AA675" s="246"/>
      <c r="AB675" s="246">
        <f>$W675*AB664</f>
        <v>35910</v>
      </c>
      <c r="AC675" s="246"/>
      <c r="AD675" s="246"/>
      <c r="AE675" s="246"/>
      <c r="AF675" s="246"/>
      <c r="AG675" s="246"/>
      <c r="AH675" s="246"/>
      <c r="AI675" s="246"/>
      <c r="AJ675" s="246"/>
      <c r="AK675" s="246"/>
      <c r="AL675" s="246"/>
      <c r="AM675" s="246">
        <f t="shared" si="240"/>
        <v>35910</v>
      </c>
      <c r="AN675" s="254"/>
      <c r="AP675" s="250"/>
      <c r="AQ675" s="250"/>
      <c r="AR675" s="250"/>
      <c r="AS675" s="250"/>
      <c r="AT675" s="250"/>
      <c r="GS675" s="176"/>
      <c r="GT675" s="176"/>
      <c r="GU675" s="176"/>
      <c r="GV675" s="176"/>
      <c r="GW675" s="176"/>
    </row>
    <row r="676" spans="1:205" ht="13.5" customHeight="1" x14ac:dyDescent="0.2">
      <c r="A676" s="709"/>
      <c r="B676" s="1110"/>
      <c r="C676" s="1110"/>
      <c r="D676" s="292"/>
      <c r="E676" s="614"/>
      <c r="G676" s="250"/>
      <c r="H676" s="250"/>
      <c r="I676" s="250"/>
      <c r="J676" s="250"/>
      <c r="K676" s="250"/>
      <c r="P676" s="179"/>
      <c r="Q676" s="179"/>
      <c r="R676" s="179"/>
      <c r="S676" s="179"/>
      <c r="T676" s="179"/>
      <c r="U676" s="287" t="str">
        <f t="shared" si="239"/>
        <v>Standby Rate; Daily, Equipment</v>
      </c>
      <c r="V676" s="287"/>
      <c r="W676" s="508">
        <f>SUMIFS(CHF!$F16:$M16,CHF!$F$4:$M$4,INPUT!$H$15,CHF!$F$3:$M$3,INPUT!$H$8)</f>
        <v>31250</v>
      </c>
      <c r="X676" s="246"/>
      <c r="Y676" s="246"/>
      <c r="Z676" s="246"/>
      <c r="AA676" s="246">
        <f>$W676*AA665</f>
        <v>218750</v>
      </c>
      <c r="AB676" s="246"/>
      <c r="AC676" s="246"/>
      <c r="AD676" s="246"/>
      <c r="AE676" s="246"/>
      <c r="AF676" s="246"/>
      <c r="AG676" s="246"/>
      <c r="AH676" s="246"/>
      <c r="AI676" s="246"/>
      <c r="AJ676" s="246"/>
      <c r="AK676" s="246"/>
      <c r="AL676" s="246"/>
      <c r="AM676" s="246">
        <f t="shared" si="240"/>
        <v>218750</v>
      </c>
      <c r="AN676" s="254"/>
      <c r="AP676" s="250"/>
      <c r="AQ676" s="250"/>
      <c r="AR676" s="250"/>
      <c r="AS676" s="250"/>
      <c r="AT676" s="250"/>
      <c r="GS676" s="176"/>
      <c r="GT676" s="176"/>
      <c r="GU676" s="176"/>
      <c r="GV676" s="176"/>
      <c r="GW676" s="176"/>
    </row>
    <row r="677" spans="1:205" ht="13.5" customHeight="1" x14ac:dyDescent="0.2">
      <c r="A677" s="709"/>
      <c r="B677" s="1110"/>
      <c r="C677" s="1110"/>
      <c r="D677" s="292"/>
      <c r="E677" s="614"/>
      <c r="G677" s="250"/>
      <c r="H677" s="250"/>
      <c r="I677" s="250"/>
      <c r="J677" s="250"/>
      <c r="K677" s="250"/>
      <c r="P677" s="179"/>
      <c r="Q677" s="179"/>
      <c r="R677" s="179"/>
      <c r="S677" s="179"/>
      <c r="T677" s="179"/>
      <c r="U677" s="287" t="str">
        <f t="shared" si="239"/>
        <v>Standby Rate; Daily, Personnel</v>
      </c>
      <c r="V677" s="287"/>
      <c r="W677" s="508">
        <f>SUMIFS(CHF!$F17:$M17,CHF!$F$4:$M$4,INPUT!$H$15,CHF!$F$3:$M$3,INPUT!$H$8)</f>
        <v>31250</v>
      </c>
      <c r="X677" s="246"/>
      <c r="Y677" s="246"/>
      <c r="Z677" s="246"/>
      <c r="AA677" s="246">
        <f>$W677*AA666</f>
        <v>218750</v>
      </c>
      <c r="AB677" s="246"/>
      <c r="AC677" s="246"/>
      <c r="AD677" s="246"/>
      <c r="AE677" s="246"/>
      <c r="AF677" s="246"/>
      <c r="AG677" s="246"/>
      <c r="AH677" s="246"/>
      <c r="AI677" s="246"/>
      <c r="AJ677" s="246"/>
      <c r="AK677" s="246"/>
      <c r="AL677" s="246"/>
      <c r="AM677" s="246">
        <f t="shared" si="240"/>
        <v>218750</v>
      </c>
      <c r="AN677" s="254"/>
      <c r="AP677" s="250"/>
      <c r="AQ677" s="250"/>
      <c r="AR677" s="250"/>
      <c r="AS677" s="250"/>
      <c r="AT677" s="250"/>
      <c r="GS677" s="176"/>
      <c r="GT677" s="176"/>
      <c r="GU677" s="176"/>
      <c r="GV677" s="176"/>
      <c r="GW677" s="176"/>
    </row>
    <row r="678" spans="1:205" ht="13.5" customHeight="1" x14ac:dyDescent="0.2">
      <c r="A678" s="709"/>
      <c r="B678" s="1110"/>
      <c r="C678" s="1110"/>
      <c r="D678" s="292"/>
      <c r="E678" s="614"/>
      <c r="G678" s="250"/>
      <c r="H678" s="250"/>
      <c r="I678" s="250"/>
      <c r="J678" s="250"/>
      <c r="K678" s="250"/>
      <c r="P678" s="179"/>
      <c r="Q678" s="179"/>
      <c r="R678" s="179"/>
      <c r="S678" s="179"/>
      <c r="T678" s="179"/>
      <c r="U678" s="287" t="str">
        <f t="shared" si="239"/>
        <v>Standby Rate; Daily, Boom Truck</v>
      </c>
      <c r="V678" s="287"/>
      <c r="W678" s="508">
        <f>SUMIFS(CHF!$F18:$M18,CHF!$F$4:$M$4,INPUT!$H$15,CHF!$F$3:$M$3,INPUT!$H$8)</f>
        <v>10000</v>
      </c>
      <c r="X678" s="246"/>
      <c r="Y678" s="246"/>
      <c r="Z678" s="246"/>
      <c r="AA678" s="246">
        <f>$W678*AA667</f>
        <v>0</v>
      </c>
      <c r="AB678" s="246"/>
      <c r="AC678" s="246"/>
      <c r="AD678" s="246"/>
      <c r="AE678" s="246"/>
      <c r="AF678" s="246"/>
      <c r="AG678" s="246"/>
      <c r="AH678" s="246"/>
      <c r="AI678" s="246"/>
      <c r="AJ678" s="246"/>
      <c r="AK678" s="246"/>
      <c r="AL678" s="246"/>
      <c r="AM678" s="246">
        <f t="shared" si="240"/>
        <v>0</v>
      </c>
      <c r="AN678" s="254"/>
      <c r="AP678" s="250"/>
      <c r="AQ678" s="250"/>
      <c r="AR678" s="250"/>
      <c r="AS678" s="250"/>
      <c r="AT678" s="250"/>
      <c r="GS678" s="176"/>
      <c r="GT678" s="176"/>
      <c r="GU678" s="176"/>
      <c r="GV678" s="176"/>
      <c r="GW678" s="176"/>
    </row>
    <row r="679" spans="1:205" ht="13.5" customHeight="1" x14ac:dyDescent="0.2">
      <c r="A679" s="709"/>
      <c r="B679" s="1110"/>
      <c r="C679" s="1110"/>
      <c r="D679" s="292"/>
      <c r="E679" s="614"/>
      <c r="G679" s="250"/>
      <c r="H679" s="250"/>
      <c r="I679" s="250"/>
      <c r="J679" s="250"/>
      <c r="K679" s="250"/>
      <c r="P679" s="179"/>
      <c r="Q679" s="179"/>
      <c r="R679" s="179"/>
      <c r="S679" s="179"/>
      <c r="T679" s="179"/>
      <c r="U679" s="287" t="str">
        <f t="shared" si="239"/>
        <v>Standby Rate; Daily</v>
      </c>
      <c r="V679" s="287"/>
      <c r="W679" s="508">
        <f>SUMIFS(CHF!$F15:$M15,CHF!$F$4:$M$4,INPUT!$H$15,CHF!$F$3:$M$3,INPUT!$H$8)</f>
        <v>0</v>
      </c>
      <c r="X679" s="246"/>
      <c r="Y679" s="246"/>
      <c r="Z679" s="246"/>
      <c r="AA679" s="246">
        <f>$W679*AA668</f>
        <v>0</v>
      </c>
      <c r="AB679" s="246">
        <f>$W679*AB668</f>
        <v>0</v>
      </c>
      <c r="AC679" s="246"/>
      <c r="AD679" s="246"/>
      <c r="AE679" s="246"/>
      <c r="AF679" s="246"/>
      <c r="AG679" s="246"/>
      <c r="AH679" s="246"/>
      <c r="AI679" s="246"/>
      <c r="AJ679" s="246"/>
      <c r="AK679" s="246"/>
      <c r="AL679" s="246"/>
      <c r="AM679" s="246">
        <f t="shared" si="240"/>
        <v>0</v>
      </c>
      <c r="AN679" s="254"/>
      <c r="AP679" s="250"/>
      <c r="AQ679" s="250"/>
      <c r="AR679" s="250"/>
      <c r="AS679" s="250"/>
      <c r="AT679" s="250"/>
      <c r="GS679" s="176"/>
      <c r="GT679" s="176"/>
      <c r="GU679" s="176"/>
      <c r="GV679" s="176"/>
      <c r="GW679" s="176"/>
    </row>
    <row r="680" spans="1:205" ht="13.5" customHeight="1" x14ac:dyDescent="0.2">
      <c r="A680" s="709"/>
      <c r="B680" s="1110"/>
      <c r="C680" s="1110"/>
      <c r="D680" s="292"/>
      <c r="E680" s="614"/>
      <c r="G680" s="250"/>
      <c r="H680" s="250"/>
      <c r="I680" s="250"/>
      <c r="J680" s="250"/>
      <c r="K680" s="250"/>
      <c r="P680" s="179"/>
      <c r="Q680" s="179"/>
      <c r="R680" s="179"/>
      <c r="S680" s="179"/>
      <c r="T680" s="179"/>
      <c r="U680" s="287" t="str">
        <f t="shared" si="239"/>
        <v>WTL</v>
      </c>
      <c r="V680" s="287"/>
      <c r="W680" s="508">
        <v>50000</v>
      </c>
      <c r="X680" s="246"/>
      <c r="Y680" s="246"/>
      <c r="Z680" s="246"/>
      <c r="AA680" s="246"/>
      <c r="AB680" s="246">
        <f>$W680*AB669</f>
        <v>50000</v>
      </c>
      <c r="AC680" s="246"/>
      <c r="AD680" s="246"/>
      <c r="AE680" s="246"/>
      <c r="AF680" s="246"/>
      <c r="AG680" s="246"/>
      <c r="AH680" s="246"/>
      <c r="AI680" s="246"/>
      <c r="AJ680" s="246"/>
      <c r="AK680" s="246"/>
      <c r="AL680" s="246"/>
      <c r="AM680" s="246">
        <f t="shared" si="240"/>
        <v>50000</v>
      </c>
      <c r="AN680" s="254"/>
      <c r="AO680" s="202"/>
      <c r="AP680" s="250"/>
      <c r="AQ680" s="250"/>
      <c r="AR680" s="250"/>
      <c r="AS680" s="250"/>
      <c r="AT680" s="250"/>
      <c r="GS680" s="176"/>
      <c r="GT680" s="176"/>
      <c r="GU680" s="176"/>
      <c r="GV680" s="176"/>
      <c r="GW680" s="176"/>
    </row>
    <row r="681" spans="1:205" ht="13.5" customHeight="1" x14ac:dyDescent="0.2">
      <c r="A681" s="712"/>
      <c r="B681" s="1113"/>
      <c r="C681" s="1113"/>
      <c r="D681" s="536"/>
      <c r="E681" s="613"/>
      <c r="G681" s="250"/>
      <c r="H681" s="250"/>
      <c r="I681" s="250"/>
      <c r="J681" s="250"/>
      <c r="K681" s="250"/>
      <c r="P681" s="179"/>
      <c r="Q681" s="179"/>
      <c r="R681" s="179"/>
      <c r="S681" s="179"/>
      <c r="T681" s="179"/>
      <c r="U681" s="256"/>
      <c r="V681" s="256"/>
      <c r="W681" s="541"/>
      <c r="X681" s="246"/>
      <c r="Y681" s="246"/>
      <c r="Z681" s="246"/>
      <c r="AA681" s="246">
        <f>SUM(AA672:AA680)</f>
        <v>437500</v>
      </c>
      <c r="AB681" s="246">
        <f>SUM(AB672:AB680)</f>
        <v>938713</v>
      </c>
      <c r="AC681" s="246"/>
      <c r="AD681" s="246"/>
      <c r="AE681" s="246"/>
      <c r="AF681" s="246"/>
      <c r="AG681" s="246"/>
      <c r="AH681" s="246"/>
      <c r="AI681" s="246"/>
      <c r="AJ681" s="246"/>
      <c r="AK681" s="246"/>
      <c r="AL681" s="246"/>
      <c r="AM681" s="1450">
        <f>SUM(AM672:AM680)</f>
        <v>1376213</v>
      </c>
      <c r="AN681" s="254"/>
      <c r="AO681" s="202"/>
      <c r="AP681" s="250"/>
      <c r="AQ681" s="250"/>
      <c r="AR681" s="250"/>
      <c r="AS681" s="250"/>
      <c r="AT681" s="250"/>
      <c r="GS681" s="176"/>
      <c r="GT681" s="176"/>
      <c r="GU681" s="176"/>
      <c r="GV681" s="176"/>
      <c r="GW681" s="176"/>
    </row>
    <row r="682" spans="1:205" ht="12.75" customHeight="1" x14ac:dyDescent="0.2">
      <c r="A682" s="709"/>
      <c r="B682" s="1110"/>
      <c r="C682" s="1110"/>
      <c r="D682" s="257"/>
      <c r="G682" s="250"/>
      <c r="H682" s="250"/>
      <c r="I682" s="250"/>
      <c r="J682" s="250"/>
      <c r="K682" s="250"/>
      <c r="P682" s="179"/>
      <c r="Q682" s="179"/>
      <c r="R682" s="179"/>
      <c r="S682" s="179"/>
      <c r="T682" s="179"/>
      <c r="U682" s="181"/>
      <c r="V682" s="181"/>
      <c r="W682" s="181"/>
      <c r="X682" s="257"/>
      <c r="Y682" s="257"/>
      <c r="Z682" s="257"/>
      <c r="AA682" s="257"/>
      <c r="AB682" s="257"/>
      <c r="AC682" s="257"/>
      <c r="AD682" s="257"/>
      <c r="AE682" s="257"/>
      <c r="AF682" s="257"/>
      <c r="AG682" s="257"/>
      <c r="AH682" s="257"/>
      <c r="AI682" s="257"/>
      <c r="AJ682" s="257"/>
      <c r="AK682" s="257"/>
      <c r="AL682" s="257"/>
      <c r="AM682" s="257"/>
      <c r="AN682" s="254"/>
      <c r="AO682" s="202"/>
      <c r="AP682" s="250"/>
      <c r="AQ682" s="250"/>
      <c r="AR682" s="250"/>
      <c r="AS682" s="250"/>
      <c r="AT682" s="250"/>
      <c r="GS682" s="176"/>
      <c r="GT682" s="176"/>
      <c r="GU682" s="176"/>
      <c r="GV682" s="176"/>
      <c r="GW682" s="176"/>
    </row>
    <row r="683" spans="1:205" s="252" customFormat="1" ht="12.75" customHeight="1" x14ac:dyDescent="0.2">
      <c r="A683" s="708"/>
      <c r="B683" s="1109"/>
      <c r="C683" s="1109"/>
      <c r="D683" s="296"/>
      <c r="E683" s="662"/>
      <c r="F683" s="249"/>
      <c r="G683" s="250"/>
      <c r="H683" s="250"/>
      <c r="I683" s="250"/>
      <c r="J683" s="250"/>
      <c r="K683" s="250"/>
      <c r="L683" s="250"/>
      <c r="M683" s="250"/>
      <c r="N683" s="250"/>
      <c r="O683" s="250"/>
      <c r="P683" s="251"/>
      <c r="Q683" s="251"/>
      <c r="R683" s="251"/>
      <c r="S683" s="251"/>
      <c r="T683" s="251"/>
      <c r="U683" s="247"/>
      <c r="V683" s="247"/>
      <c r="W683" s="247"/>
      <c r="X683" s="296"/>
      <c r="Y683" s="296"/>
      <c r="Z683" s="296"/>
      <c r="AA683" s="296"/>
      <c r="AB683" s="296"/>
      <c r="AC683" s="296"/>
      <c r="AD683" s="296"/>
      <c r="AE683" s="296"/>
      <c r="AF683" s="296"/>
      <c r="AG683" s="296"/>
      <c r="AH683" s="296"/>
      <c r="AI683" s="296"/>
      <c r="AJ683" s="296"/>
      <c r="AK683" s="296"/>
      <c r="AL683" s="296"/>
      <c r="AM683" s="296"/>
      <c r="AN683" s="254"/>
      <c r="AO683" s="202"/>
      <c r="AP683" s="250"/>
      <c r="AQ683" s="250"/>
      <c r="AR683" s="250"/>
      <c r="AS683" s="250"/>
      <c r="AT683" s="250"/>
      <c r="AU683" s="174"/>
      <c r="AV683" s="249"/>
      <c r="AW683" s="249"/>
      <c r="AX683" s="249"/>
      <c r="AY683" s="249"/>
      <c r="AZ683" s="249"/>
      <c r="BA683" s="249"/>
      <c r="BB683" s="249"/>
      <c r="BC683" s="249"/>
      <c r="BD683" s="249"/>
      <c r="BE683" s="249"/>
      <c r="BF683" s="249"/>
      <c r="BG683" s="249"/>
      <c r="BH683" s="249"/>
      <c r="BI683" s="249"/>
      <c r="BJ683" s="249"/>
      <c r="BK683" s="249"/>
      <c r="BL683" s="249"/>
      <c r="BM683" s="249"/>
      <c r="BN683" s="249"/>
      <c r="BO683" s="249"/>
      <c r="BP683" s="249"/>
      <c r="BQ683" s="249"/>
      <c r="BR683" s="249"/>
      <c r="BS683" s="249"/>
      <c r="BT683" s="249"/>
      <c r="BU683" s="249"/>
      <c r="BV683" s="249"/>
      <c r="BW683" s="249"/>
      <c r="BX683" s="249"/>
      <c r="BY683" s="249"/>
      <c r="BZ683" s="249"/>
      <c r="CA683" s="249"/>
      <c r="CB683" s="249"/>
      <c r="CC683" s="249"/>
      <c r="CD683" s="249"/>
      <c r="CE683" s="249"/>
      <c r="CF683" s="249"/>
      <c r="CG683" s="249"/>
      <c r="CH683" s="249"/>
      <c r="CI683" s="249"/>
      <c r="CJ683" s="249"/>
      <c r="CK683" s="249"/>
      <c r="CL683" s="249"/>
      <c r="CM683" s="249"/>
      <c r="CN683" s="249"/>
      <c r="CO683" s="249"/>
      <c r="CP683" s="249"/>
      <c r="CQ683" s="249"/>
      <c r="CR683" s="249"/>
      <c r="CS683" s="249"/>
      <c r="CT683" s="249"/>
      <c r="CU683" s="249"/>
      <c r="CV683" s="249"/>
      <c r="CW683" s="249"/>
      <c r="CX683" s="249"/>
      <c r="CY683" s="249"/>
      <c r="CZ683" s="249"/>
      <c r="DA683" s="249"/>
      <c r="DB683" s="249"/>
      <c r="DC683" s="249"/>
      <c r="DD683" s="249"/>
      <c r="DE683" s="249"/>
      <c r="DF683" s="249"/>
      <c r="DG683" s="249"/>
      <c r="DH683" s="249"/>
      <c r="DI683" s="249"/>
      <c r="DJ683" s="249"/>
      <c r="DK683" s="249"/>
      <c r="DL683" s="249"/>
      <c r="DM683" s="249"/>
      <c r="DN683" s="249"/>
      <c r="DO683" s="249"/>
      <c r="DP683" s="249"/>
      <c r="DQ683" s="249"/>
      <c r="DR683" s="249"/>
      <c r="DS683" s="249"/>
      <c r="DT683" s="249"/>
      <c r="DU683" s="249"/>
      <c r="DV683" s="249"/>
      <c r="DW683" s="249"/>
      <c r="DX683" s="249"/>
      <c r="DY683" s="249"/>
      <c r="DZ683" s="249"/>
      <c r="EA683" s="249"/>
      <c r="EB683" s="249"/>
      <c r="EC683" s="249"/>
      <c r="ED683" s="249"/>
      <c r="EE683" s="249"/>
      <c r="EF683" s="249"/>
      <c r="EG683" s="249"/>
      <c r="EH683" s="249"/>
      <c r="EI683" s="249"/>
      <c r="EJ683" s="249"/>
      <c r="EK683" s="249"/>
      <c r="EL683" s="249"/>
      <c r="EM683" s="249"/>
      <c r="EN683" s="249"/>
      <c r="EO683" s="249"/>
      <c r="EP683" s="249"/>
      <c r="EQ683" s="249"/>
      <c r="ER683" s="249"/>
      <c r="ES683" s="249"/>
      <c r="ET683" s="249"/>
      <c r="EU683" s="249"/>
      <c r="EV683" s="249"/>
      <c r="EW683" s="249"/>
      <c r="EX683" s="249"/>
      <c r="EY683" s="249"/>
      <c r="EZ683" s="249"/>
      <c r="FA683" s="249"/>
      <c r="FB683" s="249"/>
      <c r="FC683" s="249"/>
      <c r="FD683" s="249"/>
      <c r="FE683" s="249"/>
      <c r="FF683" s="249"/>
      <c r="FG683" s="249"/>
      <c r="FH683" s="249"/>
      <c r="FI683" s="249"/>
      <c r="FJ683" s="249"/>
      <c r="FK683" s="249"/>
      <c r="FL683" s="249"/>
      <c r="FM683" s="249"/>
      <c r="FN683" s="249"/>
      <c r="FO683" s="249"/>
      <c r="FP683" s="249"/>
      <c r="FQ683" s="249"/>
      <c r="FR683" s="249"/>
      <c r="FS683" s="249"/>
      <c r="FT683" s="249"/>
      <c r="FU683" s="249"/>
      <c r="FV683" s="249"/>
      <c r="FW683" s="249"/>
      <c r="FX683" s="249"/>
      <c r="FY683" s="249"/>
      <c r="FZ683" s="249"/>
      <c r="GA683" s="249"/>
      <c r="GB683" s="249"/>
      <c r="GC683" s="249"/>
      <c r="GD683" s="249"/>
      <c r="GE683" s="249"/>
      <c r="GF683" s="249"/>
      <c r="GG683" s="249"/>
      <c r="GH683" s="249"/>
      <c r="GI683" s="249"/>
      <c r="GJ683" s="249"/>
      <c r="GK683" s="249"/>
      <c r="GL683" s="249"/>
      <c r="GM683" s="249"/>
      <c r="GN683" s="249"/>
      <c r="GO683" s="249"/>
      <c r="GP683" s="249"/>
      <c r="GQ683" s="249"/>
      <c r="GR683" s="249"/>
    </row>
    <row r="684" spans="1:205" s="252" customFormat="1" ht="13.5" customHeight="1" x14ac:dyDescent="0.2">
      <c r="A684" s="702"/>
      <c r="B684" s="1103"/>
      <c r="C684" s="1103"/>
      <c r="D684" s="294"/>
      <c r="E684" s="662"/>
      <c r="F684" s="249"/>
      <c r="G684" s="250"/>
      <c r="H684" s="250"/>
      <c r="I684" s="250"/>
      <c r="J684" s="250"/>
      <c r="K684" s="250"/>
      <c r="L684" s="250"/>
      <c r="M684" s="250"/>
      <c r="N684" s="250"/>
      <c r="O684" s="250"/>
      <c r="P684" s="251"/>
      <c r="Q684" s="251"/>
      <c r="R684" s="251"/>
      <c r="S684" s="251"/>
      <c r="T684" s="251"/>
      <c r="U684" s="294"/>
      <c r="V684" s="1480" t="s">
        <v>363</v>
      </c>
      <c r="W684" s="294"/>
      <c r="X684" s="294"/>
      <c r="Y684" s="294"/>
      <c r="Z684" s="294"/>
      <c r="AA684" s="294"/>
      <c r="AB684" s="294"/>
      <c r="AC684" s="294"/>
      <c r="AD684" s="294"/>
      <c r="AE684" s="294"/>
      <c r="AF684" s="294"/>
      <c r="AG684" s="294"/>
      <c r="AH684" s="294"/>
      <c r="AI684" s="294"/>
      <c r="AJ684" s="294"/>
      <c r="AK684" s="294"/>
      <c r="AL684" s="294"/>
      <c r="AM684" s="294"/>
      <c r="AN684" s="254"/>
      <c r="AO684" s="172"/>
      <c r="AP684" s="250"/>
      <c r="AQ684" s="250"/>
      <c r="AR684" s="250"/>
      <c r="AS684" s="250"/>
      <c r="AT684" s="250"/>
      <c r="AU684" s="174"/>
      <c r="AV684" s="249"/>
      <c r="AW684" s="249"/>
      <c r="AX684" s="249"/>
      <c r="AY684" s="249"/>
      <c r="AZ684" s="249"/>
      <c r="BA684" s="249"/>
      <c r="BB684" s="249"/>
      <c r="BC684" s="249"/>
      <c r="BD684" s="249"/>
      <c r="BE684" s="249"/>
      <c r="BF684" s="249"/>
      <c r="BG684" s="249"/>
      <c r="BH684" s="249"/>
      <c r="BI684" s="249"/>
      <c r="BJ684" s="249"/>
      <c r="BK684" s="249"/>
      <c r="BL684" s="249"/>
      <c r="BM684" s="249"/>
      <c r="BN684" s="249"/>
      <c r="BO684" s="249"/>
      <c r="BP684" s="249"/>
      <c r="BQ684" s="249"/>
      <c r="BR684" s="249"/>
      <c r="BS684" s="249"/>
      <c r="BT684" s="249"/>
      <c r="BU684" s="249"/>
      <c r="BV684" s="249"/>
      <c r="BW684" s="249"/>
      <c r="BX684" s="249"/>
      <c r="BY684" s="249"/>
      <c r="BZ684" s="249"/>
      <c r="CA684" s="249"/>
      <c r="CB684" s="249"/>
      <c r="CC684" s="249"/>
      <c r="CD684" s="249"/>
      <c r="CE684" s="249"/>
      <c r="CF684" s="249"/>
      <c r="CG684" s="249"/>
      <c r="CH684" s="249"/>
      <c r="CI684" s="249"/>
      <c r="CJ684" s="249"/>
      <c r="CK684" s="249"/>
      <c r="CL684" s="249"/>
      <c r="CM684" s="249"/>
      <c r="CN684" s="249"/>
      <c r="CO684" s="249"/>
      <c r="CP684" s="249"/>
      <c r="CQ684" s="249"/>
      <c r="CR684" s="249"/>
      <c r="CS684" s="249"/>
      <c r="CT684" s="249"/>
      <c r="CU684" s="249"/>
      <c r="CV684" s="249"/>
      <c r="CW684" s="249"/>
      <c r="CX684" s="249"/>
      <c r="CY684" s="249"/>
      <c r="CZ684" s="249"/>
      <c r="DA684" s="249"/>
      <c r="DB684" s="249"/>
      <c r="DC684" s="249"/>
      <c r="DD684" s="249"/>
      <c r="DE684" s="249"/>
      <c r="DF684" s="249"/>
      <c r="DG684" s="249"/>
      <c r="DH684" s="249"/>
      <c r="DI684" s="249"/>
      <c r="DJ684" s="249"/>
      <c r="DK684" s="249"/>
      <c r="DL684" s="249"/>
      <c r="DM684" s="249"/>
      <c r="DN684" s="249"/>
      <c r="DO684" s="249"/>
      <c r="DP684" s="249"/>
      <c r="DQ684" s="249"/>
      <c r="DR684" s="249"/>
      <c r="DS684" s="249"/>
      <c r="DT684" s="249"/>
      <c r="DU684" s="249"/>
      <c r="DV684" s="249"/>
      <c r="DW684" s="249"/>
      <c r="DX684" s="249"/>
      <c r="DY684" s="249"/>
      <c r="DZ684" s="249"/>
      <c r="EA684" s="249"/>
      <c r="EB684" s="249"/>
      <c r="EC684" s="249"/>
      <c r="ED684" s="249"/>
      <c r="EE684" s="249"/>
      <c r="EF684" s="249"/>
      <c r="EG684" s="249"/>
      <c r="EH684" s="249"/>
      <c r="EI684" s="249"/>
      <c r="EJ684" s="249"/>
      <c r="EK684" s="249"/>
      <c r="EL684" s="249"/>
      <c r="EM684" s="249"/>
      <c r="EN684" s="249"/>
      <c r="EO684" s="249"/>
      <c r="EP684" s="249"/>
      <c r="EQ684" s="249"/>
      <c r="ER684" s="249"/>
      <c r="ES684" s="249"/>
      <c r="ET684" s="249"/>
      <c r="EU684" s="249"/>
      <c r="EV684" s="249"/>
      <c r="EW684" s="249"/>
      <c r="EX684" s="249"/>
      <c r="EY684" s="249"/>
      <c r="EZ684" s="249"/>
      <c r="FA684" s="249"/>
      <c r="FB684" s="249"/>
      <c r="FC684" s="249"/>
      <c r="FD684" s="249"/>
      <c r="FE684" s="249"/>
      <c r="FF684" s="249"/>
      <c r="FG684" s="249"/>
      <c r="FH684" s="249"/>
      <c r="FI684" s="249"/>
      <c r="FJ684" s="249"/>
      <c r="FK684" s="249"/>
      <c r="FL684" s="249"/>
      <c r="FM684" s="249"/>
      <c r="FN684" s="249"/>
      <c r="FO684" s="249"/>
      <c r="FP684" s="249"/>
      <c r="FQ684" s="249"/>
      <c r="FR684" s="249"/>
      <c r="FS684" s="249"/>
      <c r="FT684" s="249"/>
      <c r="FU684" s="249"/>
      <c r="FV684" s="249"/>
      <c r="FW684" s="249"/>
      <c r="FX684" s="249"/>
      <c r="FY684" s="249"/>
      <c r="FZ684" s="249"/>
      <c r="GA684" s="249"/>
      <c r="GB684" s="249"/>
      <c r="GC684" s="249"/>
      <c r="GD684" s="249"/>
      <c r="GE684" s="249"/>
      <c r="GF684" s="249"/>
      <c r="GG684" s="249"/>
      <c r="GH684" s="249"/>
      <c r="GI684" s="249"/>
      <c r="GJ684" s="249"/>
      <c r="GK684" s="249"/>
      <c r="GL684" s="249"/>
      <c r="GM684" s="249"/>
      <c r="GN684" s="249"/>
      <c r="GO684" s="249"/>
      <c r="GP684" s="249"/>
      <c r="GQ684" s="249"/>
      <c r="GR684" s="249"/>
    </row>
    <row r="685" spans="1:205" s="252" customFormat="1" ht="13.5" customHeight="1" x14ac:dyDescent="0.2">
      <c r="A685" s="728"/>
      <c r="B685" s="1129"/>
      <c r="C685" s="1129"/>
      <c r="D685" s="592"/>
      <c r="E685" s="663"/>
      <c r="F685" s="249"/>
      <c r="G685" s="250"/>
      <c r="H685" s="250"/>
      <c r="I685" s="250"/>
      <c r="J685" s="250"/>
      <c r="K685" s="250"/>
      <c r="L685" s="250"/>
      <c r="M685" s="250"/>
      <c r="N685" s="250"/>
      <c r="O685" s="250"/>
      <c r="P685" s="251"/>
      <c r="Q685" s="251"/>
      <c r="R685" s="251"/>
      <c r="S685" s="251"/>
      <c r="T685" s="251"/>
      <c r="U685" s="2518" t="s">
        <v>152</v>
      </c>
      <c r="V685" s="2518"/>
      <c r="W685" s="1481" t="s">
        <v>153</v>
      </c>
      <c r="X685" s="1482" t="str">
        <f t="shared" ref="X685:AK685" si="241">X$14</f>
        <v>RIGMOVE</v>
      </c>
      <c r="Y685" s="1482" t="str">
        <f t="shared" si="241"/>
        <v>DSURFACE</v>
      </c>
      <c r="Z685" s="1482" t="str">
        <f t="shared" si="241"/>
        <v>FSURFACE</v>
      </c>
      <c r="AA685" s="1482" t="str">
        <f t="shared" si="241"/>
        <v>DINTERMEDIATE</v>
      </c>
      <c r="AB685" s="1482" t="str">
        <f t="shared" si="241"/>
        <v>FINTERMEDIATE</v>
      </c>
      <c r="AC685" s="1482" t="str">
        <f t="shared" si="241"/>
        <v>DPRODUCTION</v>
      </c>
      <c r="AD685" s="1482" t="str">
        <f t="shared" si="241"/>
        <v>FPRODUCTION</v>
      </c>
      <c r="AE685" s="1482" t="str">
        <f t="shared" si="241"/>
        <v>DLINER1</v>
      </c>
      <c r="AF685" s="1482" t="str">
        <f t="shared" si="241"/>
        <v>FLINER1</v>
      </c>
      <c r="AG685" s="1482" t="str">
        <f t="shared" si="241"/>
        <v>DLINER2</v>
      </c>
      <c r="AH685" s="1482" t="str">
        <f t="shared" si="241"/>
        <v>FLINER2</v>
      </c>
      <c r="AI685" s="1482" t="str">
        <f t="shared" si="241"/>
        <v/>
      </c>
      <c r="AJ685" s="1482" t="str">
        <f t="shared" si="241"/>
        <v/>
      </c>
      <c r="AK685" s="1482" t="str">
        <f t="shared" si="241"/>
        <v/>
      </c>
      <c r="AL685" s="1482"/>
      <c r="AM685" s="1483" t="s">
        <v>101</v>
      </c>
      <c r="AO685" s="172"/>
      <c r="AP685" s="250"/>
      <c r="AQ685" s="250"/>
      <c r="AR685" s="250"/>
      <c r="AS685" s="250"/>
      <c r="AT685" s="250"/>
      <c r="AU685" s="174"/>
      <c r="AV685" s="249"/>
      <c r="AW685" s="249"/>
      <c r="AX685" s="249"/>
      <c r="AY685" s="249"/>
      <c r="AZ685" s="249"/>
      <c r="BA685" s="249"/>
      <c r="BB685" s="249"/>
      <c r="BC685" s="249"/>
      <c r="BD685" s="249"/>
      <c r="BE685" s="249"/>
      <c r="BF685" s="249"/>
      <c r="BG685" s="249"/>
      <c r="BH685" s="249"/>
      <c r="BI685" s="249"/>
      <c r="BJ685" s="249"/>
      <c r="BK685" s="249"/>
      <c r="BL685" s="249"/>
      <c r="BM685" s="249"/>
      <c r="BN685" s="249"/>
      <c r="BO685" s="249"/>
      <c r="BP685" s="249"/>
      <c r="BQ685" s="249"/>
      <c r="BR685" s="249"/>
      <c r="BS685" s="249"/>
      <c r="BT685" s="249"/>
      <c r="BU685" s="249"/>
      <c r="BV685" s="249"/>
      <c r="BW685" s="249"/>
      <c r="BX685" s="249"/>
      <c r="BY685" s="249"/>
      <c r="BZ685" s="249"/>
      <c r="CA685" s="249"/>
      <c r="CB685" s="249"/>
      <c r="CC685" s="249"/>
      <c r="CD685" s="249"/>
      <c r="CE685" s="249"/>
      <c r="CF685" s="249"/>
      <c r="CG685" s="249"/>
      <c r="CH685" s="249"/>
      <c r="CI685" s="249"/>
      <c r="CJ685" s="249"/>
      <c r="CK685" s="249"/>
      <c r="CL685" s="249"/>
      <c r="CM685" s="249"/>
      <c r="CN685" s="249"/>
      <c r="CO685" s="249"/>
      <c r="CP685" s="249"/>
      <c r="CQ685" s="249"/>
      <c r="CR685" s="249"/>
      <c r="CS685" s="249"/>
      <c r="CT685" s="249"/>
      <c r="CU685" s="249"/>
      <c r="CV685" s="249"/>
      <c r="CW685" s="249"/>
      <c r="CX685" s="249"/>
      <c r="CY685" s="249"/>
      <c r="CZ685" s="249"/>
      <c r="DA685" s="249"/>
      <c r="DB685" s="249"/>
      <c r="DC685" s="249"/>
      <c r="DD685" s="249"/>
      <c r="DE685" s="249"/>
      <c r="DF685" s="249"/>
      <c r="DG685" s="249"/>
      <c r="DH685" s="249"/>
      <c r="DI685" s="249"/>
      <c r="DJ685" s="249"/>
      <c r="DK685" s="249"/>
      <c r="DL685" s="249"/>
      <c r="DM685" s="249"/>
      <c r="DN685" s="249"/>
      <c r="DO685" s="249"/>
      <c r="DP685" s="249"/>
      <c r="DQ685" s="249"/>
      <c r="DR685" s="249"/>
      <c r="DS685" s="249"/>
      <c r="DT685" s="249"/>
      <c r="DU685" s="249"/>
      <c r="DV685" s="249"/>
      <c r="DW685" s="249"/>
      <c r="DX685" s="249"/>
      <c r="DY685" s="249"/>
      <c r="DZ685" s="249"/>
      <c r="EA685" s="249"/>
      <c r="EB685" s="249"/>
      <c r="EC685" s="249"/>
      <c r="ED685" s="249"/>
      <c r="EE685" s="249"/>
      <c r="EF685" s="249"/>
      <c r="EG685" s="249"/>
      <c r="EH685" s="249"/>
      <c r="EI685" s="249"/>
      <c r="EJ685" s="249"/>
      <c r="EK685" s="249"/>
      <c r="EL685" s="249"/>
      <c r="EM685" s="249"/>
      <c r="EN685" s="249"/>
      <c r="EO685" s="249"/>
      <c r="EP685" s="249"/>
      <c r="EQ685" s="249"/>
      <c r="ER685" s="249"/>
      <c r="ES685" s="249"/>
      <c r="ET685" s="249"/>
      <c r="EU685" s="249"/>
      <c r="EV685" s="249"/>
      <c r="EW685" s="249"/>
      <c r="EX685" s="249"/>
      <c r="EY685" s="249"/>
      <c r="EZ685" s="249"/>
      <c r="FA685" s="249"/>
      <c r="FB685" s="249"/>
      <c r="FC685" s="249"/>
      <c r="FD685" s="249"/>
      <c r="FE685" s="249"/>
      <c r="FF685" s="249"/>
      <c r="FG685" s="249"/>
      <c r="FH685" s="249"/>
      <c r="FI685" s="249"/>
      <c r="FJ685" s="249"/>
      <c r="FK685" s="249"/>
      <c r="FL685" s="249"/>
      <c r="FM685" s="249"/>
      <c r="FN685" s="249"/>
      <c r="FO685" s="249"/>
      <c r="FP685" s="249"/>
      <c r="FQ685" s="249"/>
      <c r="FR685" s="249"/>
      <c r="FS685" s="249"/>
      <c r="FT685" s="249"/>
      <c r="FU685" s="249"/>
      <c r="FV685" s="249"/>
      <c r="FW685" s="249"/>
      <c r="FX685" s="249"/>
      <c r="FY685" s="249"/>
      <c r="FZ685" s="249"/>
      <c r="GA685" s="249"/>
      <c r="GB685" s="249"/>
      <c r="GC685" s="249"/>
      <c r="GD685" s="249"/>
      <c r="GE685" s="249"/>
      <c r="GF685" s="249"/>
      <c r="GG685" s="249"/>
      <c r="GH685" s="249"/>
      <c r="GI685" s="249"/>
      <c r="GJ685" s="249"/>
      <c r="GK685" s="249"/>
      <c r="GL685" s="249"/>
      <c r="GM685" s="249"/>
      <c r="GN685" s="249"/>
      <c r="GO685" s="249"/>
      <c r="GP685" s="249"/>
      <c r="GQ685" s="249"/>
      <c r="GR685" s="249"/>
    </row>
    <row r="686" spans="1:205" s="252" customFormat="1" ht="12.75" customHeight="1" x14ac:dyDescent="0.2">
      <c r="A686" s="735"/>
      <c r="B686" s="1136"/>
      <c r="C686" s="1136"/>
      <c r="D686" s="293"/>
      <c r="E686" s="663"/>
      <c r="F686" s="249"/>
      <c r="G686" s="250"/>
      <c r="H686" s="250"/>
      <c r="I686" s="250"/>
      <c r="J686" s="250"/>
      <c r="K686" s="250"/>
      <c r="L686" s="250"/>
      <c r="M686" s="250"/>
      <c r="N686" s="250"/>
      <c r="O686" s="250"/>
      <c r="P686" s="251"/>
      <c r="Q686" s="251"/>
      <c r="R686" s="251"/>
      <c r="S686" s="251"/>
      <c r="T686" s="251"/>
      <c r="U686" s="328"/>
      <c r="V686" s="328" t="s">
        <v>723</v>
      </c>
      <c r="W686" s="327" t="s">
        <v>202</v>
      </c>
      <c r="X686" s="1484">
        <f>IF(INPUT!$H$16="NO",0,2)*IF(RIGMOVE=0,0,1)</f>
        <v>2</v>
      </c>
      <c r="Y686" s="1484">
        <f ca="1">IF(INPUT!$H$16="NO",0,INDIRECT(Y685))*IF(INPUT!$D$18="No",0,1)</f>
        <v>2</v>
      </c>
      <c r="Z686" s="1484">
        <f ca="1">IF(INPUT!$H$16="NO",0,INDIRECT(Z685))*IF(INPUT!$D$18="No",0,1)</f>
        <v>4</v>
      </c>
      <c r="AA686" s="1484">
        <f ca="1">IF(INPUT!$H$16="NO",0,INDIRECT(AA685))</f>
        <v>5</v>
      </c>
      <c r="AB686" s="1484">
        <f ca="1">IF(INPUT!$H$16="NO",0,INDIRECT(AB685))</f>
        <v>4</v>
      </c>
      <c r="AC686" s="1484">
        <f ca="1">IF(INPUT!$H$16="NO",0,INDIRECT(AC685))</f>
        <v>10</v>
      </c>
      <c r="AD686" s="1484">
        <f ca="1">IF(INPUT!$H$16="NO",0,INDIRECT(AD685))</f>
        <v>3</v>
      </c>
      <c r="AE686" s="1484">
        <f ca="1">IF(INPUT!$H$16="NO",0,INDIRECT(AE685))</f>
        <v>6</v>
      </c>
      <c r="AF686" s="285">
        <f ca="1">IF(INPUT!$H$16="NO",0,INDIRECT(AF685))</f>
        <v>2</v>
      </c>
      <c r="AG686" s="1484">
        <f ca="1">IF(INPUT!$H$16="NO",0,IF(INPUT!$D$8="NO",0,INDIRECT(AG685)))</f>
        <v>5</v>
      </c>
      <c r="AH686" s="1484">
        <f>IF(INPUT!$H$16="NO",0,IF(INPUT!$D$8="YES",FLINER2,0))</f>
        <v>7</v>
      </c>
      <c r="AI686" s="1484">
        <f ca="1">IF(INPUT!$D$19="NO",0,INDIRECT(AI685))</f>
        <v>0</v>
      </c>
      <c r="AJ686" s="1484">
        <f ca="1">IF(INPUT!$D$19="NO",0,INDIRECT(AJ685))</f>
        <v>0</v>
      </c>
      <c r="AK686" s="1484">
        <f ca="1">IF(INPUT!$H$19="NO",0,INDIRECT(AK685))</f>
        <v>0</v>
      </c>
      <c r="AL686" s="348"/>
      <c r="AM686" s="1459">
        <f ca="1">SUM(X686:AH686)</f>
        <v>50</v>
      </c>
      <c r="AN686" s="172"/>
      <c r="AO686" s="249"/>
      <c r="AP686" s="250"/>
      <c r="AQ686" s="250"/>
      <c r="AR686" s="250"/>
      <c r="AS686" s="250"/>
      <c r="AT686" s="250"/>
      <c r="AU686" s="250"/>
      <c r="AV686" s="249"/>
      <c r="AW686" s="249"/>
      <c r="AX686" s="249"/>
      <c r="AY686" s="249"/>
      <c r="AZ686" s="249"/>
      <c r="BA686" s="249"/>
      <c r="BB686" s="249"/>
      <c r="BC686" s="249"/>
      <c r="BD686" s="249"/>
      <c r="BE686" s="249"/>
      <c r="BF686" s="249"/>
      <c r="BG686" s="249"/>
      <c r="BH686" s="249"/>
      <c r="BI686" s="249"/>
      <c r="BJ686" s="249"/>
      <c r="BK686" s="249"/>
      <c r="BL686" s="249"/>
      <c r="BM686" s="249"/>
      <c r="BN686" s="249"/>
      <c r="BO686" s="249"/>
      <c r="BP686" s="249"/>
      <c r="BQ686" s="249"/>
      <c r="BR686" s="249"/>
      <c r="BS686" s="249"/>
      <c r="BT686" s="249"/>
      <c r="BU686" s="249"/>
      <c r="BV686" s="249"/>
      <c r="BW686" s="249"/>
      <c r="BX686" s="249"/>
      <c r="BY686" s="249"/>
      <c r="BZ686" s="249"/>
      <c r="CA686" s="249"/>
      <c r="CB686" s="249"/>
      <c r="CC686" s="249"/>
      <c r="CD686" s="249"/>
      <c r="CE686" s="249"/>
      <c r="CF686" s="249"/>
      <c r="CG686" s="249"/>
      <c r="CH686" s="249"/>
      <c r="CI686" s="249"/>
      <c r="CJ686" s="249"/>
      <c r="CK686" s="249"/>
      <c r="CL686" s="249"/>
      <c r="CM686" s="249"/>
      <c r="CN686" s="249"/>
      <c r="CO686" s="249"/>
      <c r="CP686" s="249"/>
      <c r="CQ686" s="249"/>
      <c r="CR686" s="249"/>
      <c r="CS686" s="249"/>
      <c r="CT686" s="249"/>
      <c r="CU686" s="249"/>
      <c r="CV686" s="249"/>
      <c r="CW686" s="249"/>
      <c r="CX686" s="249"/>
      <c r="CY686" s="249"/>
      <c r="CZ686" s="249"/>
      <c r="DA686" s="249"/>
      <c r="DB686" s="249"/>
      <c r="DC686" s="249"/>
      <c r="DD686" s="249"/>
      <c r="DE686" s="249"/>
      <c r="DF686" s="249"/>
      <c r="DG686" s="249"/>
      <c r="DH686" s="249"/>
      <c r="DI686" s="249"/>
      <c r="DJ686" s="249"/>
      <c r="DK686" s="249"/>
      <c r="DL686" s="249"/>
      <c r="DM686" s="249"/>
      <c r="DN686" s="249"/>
      <c r="DO686" s="249"/>
      <c r="DP686" s="249"/>
      <c r="DQ686" s="249"/>
      <c r="DR686" s="249"/>
      <c r="DS686" s="249"/>
      <c r="DT686" s="249"/>
      <c r="DU686" s="249"/>
      <c r="DV686" s="249"/>
      <c r="DW686" s="249"/>
      <c r="DX686" s="249"/>
      <c r="DY686" s="249"/>
      <c r="DZ686" s="249"/>
      <c r="EA686" s="249"/>
      <c r="EB686" s="249"/>
      <c r="EC686" s="249"/>
      <c r="ED686" s="249"/>
      <c r="EE686" s="249"/>
      <c r="EF686" s="249"/>
      <c r="EG686" s="249"/>
      <c r="EH686" s="249"/>
      <c r="EI686" s="249"/>
      <c r="EJ686" s="249"/>
      <c r="EK686" s="249"/>
      <c r="EL686" s="249"/>
      <c r="EM686" s="249"/>
      <c r="EN686" s="249"/>
      <c r="EO686" s="249"/>
      <c r="EP686" s="249"/>
      <c r="EQ686" s="249"/>
      <c r="ER686" s="249"/>
      <c r="ES686" s="249"/>
      <c r="ET686" s="249"/>
      <c r="EU686" s="249"/>
      <c r="EV686" s="249"/>
      <c r="EW686" s="249"/>
      <c r="EX686" s="249"/>
      <c r="EY686" s="249"/>
      <c r="EZ686" s="249"/>
      <c r="FA686" s="249"/>
      <c r="FB686" s="249"/>
      <c r="FC686" s="249"/>
      <c r="FD686" s="249"/>
      <c r="FE686" s="249"/>
      <c r="FF686" s="249"/>
      <c r="FG686" s="249"/>
      <c r="FH686" s="249"/>
      <c r="FI686" s="249"/>
      <c r="FJ686" s="249"/>
      <c r="FK686" s="249"/>
      <c r="FL686" s="249"/>
      <c r="FM686" s="249"/>
      <c r="FN686" s="249"/>
      <c r="FO686" s="249"/>
      <c r="FP686" s="249"/>
      <c r="FQ686" s="249"/>
      <c r="FR686" s="249"/>
      <c r="FS686" s="249"/>
      <c r="FT686" s="249"/>
      <c r="FU686" s="249"/>
      <c r="FV686" s="249"/>
      <c r="FW686" s="249"/>
      <c r="FX686" s="249"/>
      <c r="FY686" s="249"/>
      <c r="FZ686" s="249"/>
      <c r="GA686" s="249"/>
      <c r="GB686" s="249"/>
      <c r="GC686" s="249"/>
      <c r="GD686" s="249"/>
      <c r="GE686" s="249"/>
      <c r="GF686" s="249"/>
      <c r="GG686" s="249"/>
      <c r="GH686" s="249"/>
      <c r="GI686" s="249"/>
      <c r="GJ686" s="249"/>
      <c r="GK686" s="249"/>
      <c r="GL686" s="249"/>
      <c r="GM686" s="249"/>
      <c r="GN686" s="249"/>
      <c r="GO686" s="249"/>
      <c r="GP686" s="249"/>
      <c r="GQ686" s="249"/>
      <c r="GR686" s="249"/>
    </row>
    <row r="687" spans="1:205" s="252" customFormat="1" ht="13.5" customHeight="1" x14ac:dyDescent="0.2">
      <c r="A687" s="735"/>
      <c r="B687" s="1136"/>
      <c r="C687" s="1136"/>
      <c r="D687" s="293"/>
      <c r="E687" s="663"/>
      <c r="F687" s="249"/>
      <c r="G687" s="250"/>
      <c r="H687" s="250"/>
      <c r="I687" s="250"/>
      <c r="J687" s="250"/>
      <c r="K687" s="250"/>
      <c r="L687" s="250"/>
      <c r="M687" s="250"/>
      <c r="N687" s="250"/>
      <c r="O687" s="250"/>
      <c r="P687" s="251"/>
      <c r="Q687" s="251"/>
      <c r="R687" s="251"/>
      <c r="S687" s="251"/>
      <c r="T687" s="251"/>
      <c r="U687" s="328"/>
      <c r="V687" s="328" t="s">
        <v>724</v>
      </c>
      <c r="W687" s="327" t="s">
        <v>202</v>
      </c>
      <c r="X687" s="348">
        <f>IF(INPUT!$H$16="NO",0,RIGMOVE-X686)</f>
        <v>11</v>
      </c>
      <c r="Y687" s="348"/>
      <c r="Z687" s="348"/>
      <c r="AA687" s="348"/>
      <c r="AB687" s="348"/>
      <c r="AC687" s="348"/>
      <c r="AD687" s="348"/>
      <c r="AE687" s="348"/>
      <c r="AF687" s="348"/>
      <c r="AG687" s="348"/>
      <c r="AH687" s="348"/>
      <c r="AI687" s="348"/>
      <c r="AJ687" s="348"/>
      <c r="AK687" s="348"/>
      <c r="AL687" s="348"/>
      <c r="AM687" s="1459">
        <f>SUM(X687:AL687)</f>
        <v>11</v>
      </c>
      <c r="AN687" s="249"/>
      <c r="AO687" s="249"/>
      <c r="AP687" s="250"/>
      <c r="AQ687" s="250"/>
      <c r="AR687" s="250"/>
      <c r="AS687" s="250"/>
      <c r="AT687" s="250"/>
      <c r="AU687" s="250"/>
      <c r="AV687" s="249"/>
      <c r="AW687" s="249"/>
      <c r="AX687" s="249"/>
      <c r="AY687" s="249"/>
      <c r="AZ687" s="249"/>
      <c r="BA687" s="249"/>
      <c r="BB687" s="249"/>
      <c r="BC687" s="249"/>
      <c r="BD687" s="249"/>
      <c r="BE687" s="249"/>
      <c r="BF687" s="249"/>
      <c r="BG687" s="249"/>
      <c r="BH687" s="249"/>
      <c r="BI687" s="249"/>
      <c r="BJ687" s="249"/>
      <c r="BK687" s="249"/>
      <c r="BL687" s="249"/>
      <c r="BM687" s="249"/>
      <c r="BN687" s="249"/>
      <c r="BO687" s="249"/>
      <c r="BP687" s="249"/>
      <c r="BQ687" s="249"/>
      <c r="BR687" s="249"/>
      <c r="BS687" s="249"/>
      <c r="BT687" s="249"/>
      <c r="BU687" s="249"/>
      <c r="BV687" s="249"/>
      <c r="BW687" s="249"/>
      <c r="BX687" s="249"/>
      <c r="BY687" s="249"/>
      <c r="BZ687" s="249"/>
      <c r="CA687" s="249"/>
      <c r="CB687" s="249"/>
      <c r="CC687" s="249"/>
      <c r="CD687" s="249"/>
      <c r="CE687" s="249"/>
      <c r="CF687" s="249"/>
      <c r="CG687" s="249"/>
      <c r="CH687" s="249"/>
      <c r="CI687" s="249"/>
      <c r="CJ687" s="249"/>
      <c r="CK687" s="249"/>
      <c r="CL687" s="249"/>
      <c r="CM687" s="249"/>
      <c r="CN687" s="249"/>
      <c r="CO687" s="249"/>
      <c r="CP687" s="249"/>
      <c r="CQ687" s="249"/>
      <c r="CR687" s="249"/>
      <c r="CS687" s="249"/>
      <c r="CT687" s="249"/>
      <c r="CU687" s="249"/>
      <c r="CV687" s="249"/>
      <c r="CW687" s="249"/>
      <c r="CX687" s="249"/>
      <c r="CY687" s="249"/>
      <c r="CZ687" s="249"/>
      <c r="DA687" s="249"/>
      <c r="DB687" s="249"/>
      <c r="DC687" s="249"/>
      <c r="DD687" s="249"/>
      <c r="DE687" s="249"/>
      <c r="DF687" s="249"/>
      <c r="DG687" s="249"/>
      <c r="DH687" s="249"/>
      <c r="DI687" s="249"/>
      <c r="DJ687" s="249"/>
      <c r="DK687" s="249"/>
      <c r="DL687" s="249"/>
      <c r="DM687" s="249"/>
      <c r="DN687" s="249"/>
      <c r="DO687" s="249"/>
      <c r="DP687" s="249"/>
      <c r="DQ687" s="249"/>
      <c r="DR687" s="249"/>
      <c r="DS687" s="249"/>
      <c r="DT687" s="249"/>
      <c r="DU687" s="249"/>
      <c r="DV687" s="249"/>
      <c r="DW687" s="249"/>
      <c r="DX687" s="249"/>
      <c r="DY687" s="249"/>
      <c r="DZ687" s="249"/>
      <c r="EA687" s="249"/>
      <c r="EB687" s="249"/>
      <c r="EC687" s="249"/>
      <c r="ED687" s="249"/>
      <c r="EE687" s="249"/>
      <c r="EF687" s="249"/>
      <c r="EG687" s="249"/>
      <c r="EH687" s="249"/>
      <c r="EI687" s="249"/>
      <c r="EJ687" s="249"/>
      <c r="EK687" s="249"/>
      <c r="EL687" s="249"/>
      <c r="EM687" s="249"/>
      <c r="EN687" s="249"/>
      <c r="EO687" s="249"/>
      <c r="EP687" s="249"/>
      <c r="EQ687" s="249"/>
      <c r="ER687" s="249"/>
      <c r="ES687" s="249"/>
      <c r="ET687" s="249"/>
      <c r="EU687" s="249"/>
      <c r="EV687" s="249"/>
      <c r="EW687" s="249"/>
      <c r="EX687" s="249"/>
      <c r="EY687" s="249"/>
      <c r="EZ687" s="249"/>
      <c r="FA687" s="249"/>
      <c r="FB687" s="249"/>
      <c r="FC687" s="249"/>
      <c r="FD687" s="249"/>
      <c r="FE687" s="249"/>
      <c r="FF687" s="249"/>
      <c r="FG687" s="249"/>
      <c r="FH687" s="249"/>
      <c r="FI687" s="249"/>
      <c r="FJ687" s="249"/>
      <c r="FK687" s="249"/>
      <c r="FL687" s="249"/>
      <c r="FM687" s="249"/>
      <c r="FN687" s="249"/>
      <c r="FO687" s="249"/>
      <c r="FP687" s="249"/>
      <c r="FQ687" s="249"/>
      <c r="FR687" s="249"/>
      <c r="FS687" s="249"/>
      <c r="FT687" s="249"/>
      <c r="FU687" s="249"/>
      <c r="FV687" s="249"/>
      <c r="FW687" s="249"/>
      <c r="FX687" s="249"/>
      <c r="FY687" s="249"/>
      <c r="FZ687" s="249"/>
      <c r="GA687" s="249"/>
      <c r="GB687" s="249"/>
      <c r="GC687" s="249"/>
      <c r="GD687" s="249"/>
      <c r="GE687" s="249"/>
      <c r="GF687" s="249"/>
      <c r="GG687" s="249"/>
      <c r="GH687" s="249"/>
      <c r="GI687" s="249"/>
      <c r="GJ687" s="249"/>
      <c r="GK687" s="249"/>
      <c r="GL687" s="249"/>
      <c r="GM687" s="249"/>
      <c r="GN687" s="249"/>
      <c r="GO687" s="249"/>
      <c r="GP687" s="249"/>
      <c r="GQ687" s="249"/>
      <c r="GR687" s="249"/>
    </row>
    <row r="688" spans="1:205" s="252" customFormat="1" ht="13.5" customHeight="1" x14ac:dyDescent="0.2">
      <c r="A688" s="709"/>
      <c r="B688" s="1110"/>
      <c r="C688" s="1110"/>
      <c r="D688" s="292"/>
      <c r="E688" s="662"/>
      <c r="F688" s="249"/>
      <c r="G688" s="250"/>
      <c r="H688" s="250"/>
      <c r="I688" s="250"/>
      <c r="J688" s="250"/>
      <c r="K688" s="250"/>
      <c r="L688" s="250"/>
      <c r="M688" s="250"/>
      <c r="N688" s="250"/>
      <c r="O688" s="250"/>
      <c r="P688" s="251"/>
      <c r="Q688" s="251"/>
      <c r="R688" s="251"/>
      <c r="S688" s="249"/>
      <c r="T688" s="249"/>
      <c r="U688" s="1456"/>
      <c r="V688" s="1456"/>
      <c r="W688" s="1485"/>
      <c r="X688" s="1486"/>
      <c r="Y688" s="1486"/>
      <c r="Z688" s="1486"/>
      <c r="AA688" s="1486"/>
      <c r="AB688" s="1486"/>
      <c r="AC688" s="1486"/>
      <c r="AD688" s="1486"/>
      <c r="AE688" s="1486"/>
      <c r="AF688" s="1486"/>
      <c r="AG688" s="1486"/>
      <c r="AH688" s="1486"/>
      <c r="AI688" s="1486"/>
      <c r="AJ688" s="1486"/>
      <c r="AK688" s="1486"/>
      <c r="AL688" s="1486"/>
      <c r="AM688" s="292"/>
      <c r="AN688" s="249"/>
      <c r="AO688" s="249"/>
      <c r="AP688" s="250"/>
      <c r="AQ688" s="250"/>
      <c r="AR688" s="250"/>
      <c r="AS688" s="250"/>
      <c r="AT688" s="250"/>
      <c r="AU688" s="250"/>
      <c r="AV688" s="249"/>
      <c r="AW688" s="249"/>
      <c r="AX688" s="249"/>
      <c r="AY688" s="249"/>
      <c r="AZ688" s="249"/>
      <c r="BA688" s="249"/>
      <c r="BB688" s="249"/>
      <c r="BC688" s="249"/>
      <c r="BD688" s="249"/>
      <c r="BE688" s="249"/>
      <c r="BF688" s="249"/>
      <c r="BG688" s="249"/>
      <c r="BH688" s="249"/>
      <c r="BI688" s="249"/>
      <c r="BJ688" s="249"/>
      <c r="BK688" s="249"/>
      <c r="BL688" s="249"/>
      <c r="BM688" s="249"/>
      <c r="BN688" s="249"/>
      <c r="BO688" s="249"/>
      <c r="BP688" s="249"/>
      <c r="BQ688" s="249"/>
      <c r="BR688" s="249"/>
      <c r="BS688" s="249"/>
      <c r="BT688" s="249"/>
      <c r="BU688" s="249"/>
      <c r="BV688" s="249"/>
      <c r="BW688" s="249"/>
      <c r="BX688" s="249"/>
      <c r="BY688" s="249"/>
      <c r="BZ688" s="249"/>
      <c r="CA688" s="249"/>
      <c r="CB688" s="249"/>
      <c r="CC688" s="249"/>
      <c r="CD688" s="249"/>
      <c r="CE688" s="249"/>
      <c r="CF688" s="249"/>
      <c r="CG688" s="249"/>
      <c r="CH688" s="249"/>
      <c r="CI688" s="249"/>
      <c r="CJ688" s="249"/>
      <c r="CK688" s="249"/>
      <c r="CL688" s="249"/>
      <c r="CM688" s="249"/>
      <c r="CN688" s="249"/>
      <c r="CO688" s="249"/>
      <c r="CP688" s="249"/>
      <c r="CQ688" s="249"/>
      <c r="CR688" s="249"/>
      <c r="CS688" s="249"/>
      <c r="CT688" s="249"/>
      <c r="CU688" s="249"/>
      <c r="CV688" s="249"/>
      <c r="CW688" s="249"/>
      <c r="CX688" s="249"/>
      <c r="CY688" s="249"/>
      <c r="CZ688" s="249"/>
      <c r="DA688" s="249"/>
      <c r="DB688" s="249"/>
      <c r="DC688" s="249"/>
      <c r="DD688" s="249"/>
      <c r="DE688" s="249"/>
      <c r="DF688" s="249"/>
      <c r="DG688" s="249"/>
      <c r="DH688" s="249"/>
      <c r="DI688" s="249"/>
      <c r="DJ688" s="249"/>
      <c r="DK688" s="249"/>
      <c r="DL688" s="249"/>
      <c r="DM688" s="249"/>
      <c r="DN688" s="249"/>
      <c r="DO688" s="249"/>
      <c r="DP688" s="249"/>
      <c r="DQ688" s="249"/>
      <c r="DR688" s="249"/>
      <c r="DS688" s="249"/>
      <c r="DT688" s="249"/>
      <c r="DU688" s="249"/>
      <c r="DV688" s="249"/>
      <c r="DW688" s="249"/>
      <c r="DX688" s="249"/>
      <c r="DY688" s="249"/>
      <c r="DZ688" s="249"/>
      <c r="EA688" s="249"/>
      <c r="EB688" s="249"/>
      <c r="EC688" s="249"/>
      <c r="ED688" s="249"/>
      <c r="EE688" s="249"/>
      <c r="EF688" s="249"/>
      <c r="EG688" s="249"/>
      <c r="EH688" s="249"/>
      <c r="EI688" s="249"/>
      <c r="EJ688" s="249"/>
      <c r="EK688" s="249"/>
      <c r="EL688" s="249"/>
      <c r="EM688" s="249"/>
      <c r="EN688" s="249"/>
      <c r="EO688" s="249"/>
      <c r="EP688" s="249"/>
      <c r="EQ688" s="249"/>
      <c r="ER688" s="249"/>
      <c r="ES688" s="249"/>
      <c r="ET688" s="249"/>
      <c r="EU688" s="249"/>
      <c r="EV688" s="249"/>
      <c r="EW688" s="249"/>
      <c r="EX688" s="249"/>
      <c r="EY688" s="249"/>
      <c r="EZ688" s="249"/>
      <c r="FA688" s="249"/>
      <c r="FB688" s="249"/>
      <c r="FC688" s="249"/>
      <c r="FD688" s="249"/>
      <c r="FE688" s="249"/>
      <c r="FF688" s="249"/>
      <c r="FG688" s="249"/>
      <c r="FH688" s="249"/>
      <c r="FI688" s="249"/>
      <c r="FJ688" s="249"/>
      <c r="FK688" s="249"/>
      <c r="FL688" s="249"/>
      <c r="FM688" s="249"/>
      <c r="FN688" s="249"/>
      <c r="FO688" s="249"/>
      <c r="FP688" s="249"/>
      <c r="FQ688" s="249"/>
      <c r="FR688" s="249"/>
      <c r="FS688" s="249"/>
      <c r="FT688" s="249"/>
      <c r="FU688" s="249"/>
      <c r="FV688" s="249"/>
      <c r="FW688" s="249"/>
      <c r="FX688" s="249"/>
      <c r="FY688" s="249"/>
      <c r="FZ688" s="249"/>
      <c r="GA688" s="249"/>
      <c r="GB688" s="249"/>
      <c r="GC688" s="249"/>
      <c r="GD688" s="249"/>
      <c r="GE688" s="249"/>
      <c r="GF688" s="249"/>
      <c r="GG688" s="249"/>
      <c r="GH688" s="249"/>
      <c r="GI688" s="249"/>
      <c r="GJ688" s="249"/>
      <c r="GK688" s="249"/>
      <c r="GL688" s="249"/>
      <c r="GM688" s="249"/>
      <c r="GN688" s="249"/>
      <c r="GO688" s="249"/>
      <c r="GP688" s="249"/>
      <c r="GQ688" s="249"/>
      <c r="GR688" s="249"/>
    </row>
    <row r="689" spans="1:205" s="252" customFormat="1" ht="13.5" customHeight="1" x14ac:dyDescent="0.2">
      <c r="A689" s="733"/>
      <c r="B689" s="1134"/>
      <c r="C689" s="1134"/>
      <c r="D689" s="593"/>
      <c r="E689" s="663"/>
      <c r="F689" s="249"/>
      <c r="G689" s="250"/>
      <c r="H689" s="250"/>
      <c r="I689" s="250"/>
      <c r="J689" s="250"/>
      <c r="K689" s="250"/>
      <c r="L689" s="250"/>
      <c r="M689" s="250"/>
      <c r="N689" s="250"/>
      <c r="O689" s="250"/>
      <c r="P689" s="251"/>
      <c r="Q689" s="251"/>
      <c r="R689" s="251"/>
      <c r="S689" s="249"/>
      <c r="T689" s="249"/>
      <c r="U689" s="2518" t="s">
        <v>147</v>
      </c>
      <c r="V689" s="2518"/>
      <c r="W689" s="1481" t="s">
        <v>364</v>
      </c>
      <c r="X689" s="1482" t="str">
        <f t="shared" ref="X689:AK689" si="242">X$14</f>
        <v>RIGMOVE</v>
      </c>
      <c r="Y689" s="1482" t="str">
        <f t="shared" si="242"/>
        <v>DSURFACE</v>
      </c>
      <c r="Z689" s="1482" t="str">
        <f t="shared" si="242"/>
        <v>FSURFACE</v>
      </c>
      <c r="AA689" s="1482" t="str">
        <f t="shared" si="242"/>
        <v>DINTERMEDIATE</v>
      </c>
      <c r="AB689" s="1482" t="str">
        <f t="shared" si="242"/>
        <v>FINTERMEDIATE</v>
      </c>
      <c r="AC689" s="1482" t="str">
        <f t="shared" si="242"/>
        <v>DPRODUCTION</v>
      </c>
      <c r="AD689" s="1482" t="str">
        <f t="shared" si="242"/>
        <v>FPRODUCTION</v>
      </c>
      <c r="AE689" s="1482" t="str">
        <f t="shared" si="242"/>
        <v>DLINER1</v>
      </c>
      <c r="AF689" s="1482" t="str">
        <f t="shared" si="242"/>
        <v>FLINER1</v>
      </c>
      <c r="AG689" s="1482" t="str">
        <f t="shared" si="242"/>
        <v>DLINER2</v>
      </c>
      <c r="AH689" s="1482" t="str">
        <f t="shared" si="242"/>
        <v>FLINER2</v>
      </c>
      <c r="AI689" s="1482" t="str">
        <f t="shared" si="242"/>
        <v/>
      </c>
      <c r="AJ689" s="1482" t="str">
        <f t="shared" si="242"/>
        <v/>
      </c>
      <c r="AK689" s="1482" t="str">
        <f t="shared" si="242"/>
        <v/>
      </c>
      <c r="AL689" s="1482"/>
      <c r="AM689" s="1481" t="s">
        <v>46</v>
      </c>
      <c r="AN689" s="294"/>
      <c r="AO689" s="249"/>
      <c r="AP689" s="250"/>
      <c r="AQ689" s="250"/>
      <c r="AR689" s="250"/>
      <c r="AS689" s="250"/>
      <c r="AT689" s="250"/>
      <c r="AU689" s="250"/>
      <c r="AV689" s="249"/>
      <c r="AW689" s="249"/>
      <c r="AX689" s="249"/>
      <c r="AY689" s="249"/>
      <c r="AZ689" s="249"/>
      <c r="BA689" s="249"/>
      <c r="BB689" s="249"/>
      <c r="BC689" s="249"/>
      <c r="BD689" s="249"/>
      <c r="BE689" s="249"/>
      <c r="BF689" s="249"/>
      <c r="BG689" s="249"/>
      <c r="BH689" s="249"/>
      <c r="BI689" s="249"/>
      <c r="BJ689" s="249"/>
      <c r="BK689" s="249"/>
      <c r="BL689" s="249"/>
      <c r="BM689" s="249"/>
      <c r="BN689" s="249"/>
      <c r="BO689" s="249"/>
      <c r="BP689" s="249"/>
      <c r="BQ689" s="249"/>
      <c r="BR689" s="249"/>
      <c r="BS689" s="249"/>
      <c r="BT689" s="249"/>
      <c r="BU689" s="249"/>
      <c r="BV689" s="249"/>
      <c r="BW689" s="249"/>
      <c r="BX689" s="249"/>
      <c r="BY689" s="249"/>
      <c r="BZ689" s="249"/>
      <c r="CA689" s="249"/>
      <c r="CB689" s="249"/>
      <c r="CC689" s="249"/>
      <c r="CD689" s="249"/>
      <c r="CE689" s="249"/>
      <c r="CF689" s="249"/>
      <c r="CG689" s="249"/>
      <c r="CH689" s="249"/>
      <c r="CI689" s="249"/>
      <c r="CJ689" s="249"/>
      <c r="CK689" s="249"/>
      <c r="CL689" s="249"/>
      <c r="CM689" s="249"/>
      <c r="CN689" s="249"/>
      <c r="CO689" s="249"/>
      <c r="CP689" s="249"/>
      <c r="CQ689" s="249"/>
      <c r="CR689" s="249"/>
      <c r="CS689" s="249"/>
      <c r="CT689" s="249"/>
      <c r="CU689" s="249"/>
      <c r="CV689" s="249"/>
      <c r="CW689" s="249"/>
      <c r="CX689" s="249"/>
      <c r="CY689" s="249"/>
      <c r="CZ689" s="249"/>
      <c r="DA689" s="249"/>
      <c r="DB689" s="249"/>
      <c r="DC689" s="249"/>
      <c r="DD689" s="249"/>
      <c r="DE689" s="249"/>
      <c r="DF689" s="249"/>
      <c r="DG689" s="249"/>
      <c r="DH689" s="249"/>
      <c r="DI689" s="249"/>
      <c r="DJ689" s="249"/>
      <c r="DK689" s="249"/>
      <c r="DL689" s="249"/>
      <c r="DM689" s="249"/>
      <c r="DN689" s="249"/>
      <c r="DO689" s="249"/>
      <c r="DP689" s="249"/>
      <c r="DQ689" s="249"/>
      <c r="DR689" s="249"/>
      <c r="DS689" s="249"/>
      <c r="DT689" s="249"/>
      <c r="DU689" s="249"/>
      <c r="DV689" s="249"/>
      <c r="DW689" s="249"/>
      <c r="DX689" s="249"/>
      <c r="DY689" s="249"/>
      <c r="DZ689" s="249"/>
      <c r="EA689" s="249"/>
      <c r="EB689" s="249"/>
      <c r="EC689" s="249"/>
      <c r="ED689" s="249"/>
      <c r="EE689" s="249"/>
      <c r="EF689" s="249"/>
      <c r="EG689" s="249"/>
      <c r="EH689" s="249"/>
      <c r="EI689" s="249"/>
      <c r="EJ689" s="249"/>
      <c r="EK689" s="249"/>
      <c r="EL689" s="249"/>
      <c r="EM689" s="249"/>
      <c r="EN689" s="249"/>
      <c r="EO689" s="249"/>
      <c r="EP689" s="249"/>
      <c r="EQ689" s="249"/>
      <c r="ER689" s="249"/>
      <c r="ES689" s="249"/>
      <c r="ET689" s="249"/>
      <c r="EU689" s="249"/>
      <c r="EV689" s="249"/>
      <c r="EW689" s="249"/>
      <c r="EX689" s="249"/>
      <c r="EY689" s="249"/>
      <c r="EZ689" s="249"/>
      <c r="FA689" s="249"/>
      <c r="FB689" s="249"/>
      <c r="FC689" s="249"/>
      <c r="FD689" s="249"/>
      <c r="FE689" s="249"/>
      <c r="FF689" s="249"/>
      <c r="FG689" s="249"/>
      <c r="FH689" s="249"/>
      <c r="FI689" s="249"/>
      <c r="FJ689" s="249"/>
      <c r="FK689" s="249"/>
      <c r="FL689" s="249"/>
      <c r="FM689" s="249"/>
      <c r="FN689" s="249"/>
      <c r="FO689" s="249"/>
      <c r="FP689" s="249"/>
      <c r="FQ689" s="249"/>
      <c r="FR689" s="249"/>
      <c r="FS689" s="249"/>
      <c r="FT689" s="249"/>
      <c r="FU689" s="249"/>
      <c r="FV689" s="249"/>
      <c r="FW689" s="249"/>
      <c r="FX689" s="249"/>
      <c r="FY689" s="249"/>
      <c r="FZ689" s="249"/>
      <c r="GA689" s="249"/>
      <c r="GB689" s="249"/>
      <c r="GC689" s="249"/>
      <c r="GD689" s="249"/>
      <c r="GE689" s="249"/>
      <c r="GF689" s="249"/>
      <c r="GG689" s="249"/>
      <c r="GH689" s="249"/>
      <c r="GI689" s="249"/>
      <c r="GJ689" s="249"/>
      <c r="GK689" s="249"/>
      <c r="GL689" s="249"/>
      <c r="GM689" s="249"/>
      <c r="GN689" s="249"/>
      <c r="GO689" s="249"/>
      <c r="GP689" s="249"/>
      <c r="GQ689" s="249"/>
      <c r="GR689" s="249"/>
    </row>
    <row r="690" spans="1:205" s="252" customFormat="1" ht="12.75" customHeight="1" x14ac:dyDescent="0.2">
      <c r="A690" s="709"/>
      <c r="B690" s="1110"/>
      <c r="C690" s="1110"/>
      <c r="D690" s="292"/>
      <c r="E690" s="663"/>
      <c r="F690" s="249"/>
      <c r="G690" s="295" t="e">
        <f>#REF!</f>
        <v>#REF!</v>
      </c>
      <c r="H690" s="295" t="e">
        <f>#REF!</f>
        <v>#REF!</v>
      </c>
      <c r="I690" s="295" t="e">
        <f>#REF!</f>
        <v>#REF!</v>
      </c>
      <c r="J690" s="295" t="e">
        <f>#REF!</f>
        <v>#REF!</v>
      </c>
      <c r="K690" s="295" t="e">
        <f>#REF!</f>
        <v>#REF!</v>
      </c>
      <c r="L690" s="295" t="e">
        <f>#REF!</f>
        <v>#REF!</v>
      </c>
      <c r="M690" s="250"/>
      <c r="N690" s="250"/>
      <c r="O690" s="250"/>
      <c r="P690" s="251"/>
      <c r="Q690" s="251"/>
      <c r="R690" s="251"/>
      <c r="S690" s="249"/>
      <c r="T690" s="249"/>
      <c r="U690" s="328" t="str">
        <f>V686</f>
        <v>Mud Logging Service - Operating</v>
      </c>
      <c r="V690" s="328"/>
      <c r="W690" s="508">
        <f>JARSSHOCKTOOLDDT!I117</f>
        <v>931.2</v>
      </c>
      <c r="X690" s="348">
        <f>$W$690*X686*FOREX</f>
        <v>94982.400000000009</v>
      </c>
      <c r="Y690" s="348">
        <f ca="1">$W$690*Y686*FOREX*IF(INPUT!$D$18="No",0,1)</f>
        <v>94982.400000000009</v>
      </c>
      <c r="Z690" s="348">
        <f ca="1">$W$690*Z686*FOREX*IF(INPUT!$D$18="No",0,1)</f>
        <v>189964.80000000002</v>
      </c>
      <c r="AA690" s="348">
        <f t="shared" ref="AA690:AH690" ca="1" si="243">$W$690*AA686*FOREX</f>
        <v>237456</v>
      </c>
      <c r="AB690" s="348">
        <f t="shared" ca="1" si="243"/>
        <v>189964.80000000002</v>
      </c>
      <c r="AC690" s="348">
        <f t="shared" ca="1" si="243"/>
        <v>474912</v>
      </c>
      <c r="AD690" s="348">
        <f t="shared" ca="1" si="243"/>
        <v>142473.60000000001</v>
      </c>
      <c r="AE690" s="348">
        <f t="shared" ca="1" si="243"/>
        <v>284947.20000000001</v>
      </c>
      <c r="AF690" s="348">
        <f t="shared" ca="1" si="243"/>
        <v>94982.400000000009</v>
      </c>
      <c r="AG690" s="348">
        <f t="shared" ca="1" si="243"/>
        <v>237456</v>
      </c>
      <c r="AH690" s="348">
        <f t="shared" si="243"/>
        <v>332438.40000000002</v>
      </c>
      <c r="AI690" s="348">
        <f ca="1">$W$690*AI686*FOREX</f>
        <v>0</v>
      </c>
      <c r="AJ690" s="348">
        <f ca="1">$W$690*AJ686*FOREX</f>
        <v>0</v>
      </c>
      <c r="AK690" s="348">
        <f ca="1">$W$690*AK686*FOREX</f>
        <v>0</v>
      </c>
      <c r="AL690" s="348"/>
      <c r="AM690" s="348">
        <f ca="1">SUM(X690:AH690)</f>
        <v>2374560</v>
      </c>
      <c r="AN690" s="294"/>
      <c r="AO690" s="249"/>
      <c r="AP690" s="250"/>
      <c r="AQ690" s="250"/>
      <c r="AR690" s="250"/>
      <c r="AS690" s="250"/>
      <c r="AT690" s="250"/>
      <c r="AU690" s="250"/>
      <c r="AV690" s="249"/>
      <c r="AW690" s="249"/>
      <c r="AX690" s="249"/>
      <c r="AY690" s="249"/>
      <c r="AZ690" s="249"/>
      <c r="BA690" s="249"/>
      <c r="BB690" s="249"/>
      <c r="BC690" s="249"/>
      <c r="BD690" s="249"/>
      <c r="BE690" s="249"/>
      <c r="BF690" s="249"/>
      <c r="BG690" s="249"/>
      <c r="BH690" s="249"/>
      <c r="BI690" s="249"/>
      <c r="BJ690" s="249"/>
      <c r="BK690" s="249"/>
      <c r="BL690" s="249"/>
      <c r="BM690" s="249"/>
      <c r="BN690" s="249"/>
      <c r="BO690" s="249"/>
      <c r="BP690" s="249"/>
      <c r="BQ690" s="249"/>
      <c r="BR690" s="249"/>
      <c r="BS690" s="249"/>
      <c r="BT690" s="249"/>
      <c r="BU690" s="249"/>
      <c r="BV690" s="249"/>
      <c r="BW690" s="249"/>
      <c r="BX690" s="249"/>
      <c r="BY690" s="249"/>
      <c r="BZ690" s="249"/>
      <c r="CA690" s="249"/>
      <c r="CB690" s="249"/>
      <c r="CC690" s="249"/>
      <c r="CD690" s="249"/>
      <c r="CE690" s="249"/>
      <c r="CF690" s="249"/>
      <c r="CG690" s="249"/>
      <c r="CH690" s="249"/>
      <c r="CI690" s="249"/>
      <c r="CJ690" s="249"/>
      <c r="CK690" s="249"/>
      <c r="CL690" s="249"/>
      <c r="CM690" s="249"/>
      <c r="CN690" s="249"/>
      <c r="CO690" s="249"/>
      <c r="CP690" s="249"/>
      <c r="CQ690" s="249"/>
      <c r="CR690" s="249"/>
      <c r="CS690" s="249"/>
      <c r="CT690" s="249"/>
      <c r="CU690" s="249"/>
      <c r="CV690" s="249"/>
      <c r="CW690" s="249"/>
      <c r="CX690" s="249"/>
      <c r="CY690" s="249"/>
      <c r="CZ690" s="249"/>
      <c r="DA690" s="249"/>
      <c r="DB690" s="249"/>
      <c r="DC690" s="249"/>
      <c r="DD690" s="249"/>
      <c r="DE690" s="249"/>
      <c r="DF690" s="249"/>
      <c r="DG690" s="249"/>
      <c r="DH690" s="249"/>
      <c r="DI690" s="249"/>
      <c r="DJ690" s="249"/>
      <c r="DK690" s="249"/>
      <c r="DL690" s="249"/>
      <c r="DM690" s="249"/>
      <c r="DN690" s="249"/>
      <c r="DO690" s="249"/>
      <c r="DP690" s="249"/>
      <c r="DQ690" s="249"/>
      <c r="DR690" s="249"/>
      <c r="DS690" s="249"/>
      <c r="DT690" s="249"/>
      <c r="DU690" s="249"/>
      <c r="DV690" s="249"/>
      <c r="DW690" s="249"/>
      <c r="DX690" s="249"/>
      <c r="DY690" s="249"/>
      <c r="DZ690" s="249"/>
      <c r="EA690" s="249"/>
      <c r="EB690" s="249"/>
      <c r="EC690" s="249"/>
      <c r="ED690" s="249"/>
      <c r="EE690" s="249"/>
      <c r="EF690" s="249"/>
      <c r="EG690" s="249"/>
      <c r="EH690" s="249"/>
      <c r="EI690" s="249"/>
      <c r="EJ690" s="249"/>
      <c r="EK690" s="249"/>
      <c r="EL690" s="249"/>
      <c r="EM690" s="249"/>
      <c r="EN690" s="249"/>
      <c r="EO690" s="249"/>
      <c r="EP690" s="249"/>
      <c r="EQ690" s="249"/>
      <c r="ER690" s="249"/>
      <c r="ES690" s="249"/>
      <c r="ET690" s="249"/>
      <c r="EU690" s="249"/>
      <c r="EV690" s="249"/>
      <c r="EW690" s="249"/>
      <c r="EX690" s="249"/>
      <c r="EY690" s="249"/>
      <c r="EZ690" s="249"/>
      <c r="FA690" s="249"/>
      <c r="FB690" s="249"/>
      <c r="FC690" s="249"/>
      <c r="FD690" s="249"/>
      <c r="FE690" s="249"/>
      <c r="FF690" s="249"/>
      <c r="FG690" s="249"/>
      <c r="FH690" s="249"/>
      <c r="FI690" s="249"/>
      <c r="FJ690" s="249"/>
      <c r="FK690" s="249"/>
      <c r="FL690" s="249"/>
      <c r="FM690" s="249"/>
      <c r="FN690" s="249"/>
      <c r="FO690" s="249"/>
      <c r="FP690" s="249"/>
      <c r="FQ690" s="249"/>
      <c r="FR690" s="249"/>
      <c r="FS690" s="249"/>
      <c r="FT690" s="249"/>
      <c r="FU690" s="249"/>
      <c r="FV690" s="249"/>
      <c r="FW690" s="249"/>
      <c r="FX690" s="249"/>
      <c r="FY690" s="249"/>
      <c r="FZ690" s="249"/>
      <c r="GA690" s="249"/>
      <c r="GB690" s="249"/>
      <c r="GC690" s="249"/>
      <c r="GD690" s="249"/>
      <c r="GE690" s="249"/>
      <c r="GF690" s="249"/>
      <c r="GG690" s="249"/>
      <c r="GH690" s="249"/>
      <c r="GI690" s="249"/>
      <c r="GJ690" s="249"/>
      <c r="GK690" s="249"/>
      <c r="GL690" s="249"/>
      <c r="GM690" s="249"/>
      <c r="GN690" s="249"/>
      <c r="GO690" s="249"/>
      <c r="GP690" s="249"/>
      <c r="GQ690" s="249"/>
      <c r="GR690" s="249"/>
    </row>
    <row r="691" spans="1:205" s="252" customFormat="1" ht="13.5" customHeight="1" x14ac:dyDescent="0.2">
      <c r="A691" s="709"/>
      <c r="B691" s="1110"/>
      <c r="C691" s="1110"/>
      <c r="D691" s="292"/>
      <c r="E691" s="663"/>
      <c r="F691" s="249"/>
      <c r="G691" s="250"/>
      <c r="H691" s="250"/>
      <c r="I691" s="250"/>
      <c r="J691" s="250"/>
      <c r="K691" s="250"/>
      <c r="L691" s="250"/>
      <c r="M691" s="250"/>
      <c r="N691" s="250"/>
      <c r="O691" s="250"/>
      <c r="P691" s="251"/>
      <c r="Q691" s="251"/>
      <c r="R691" s="251"/>
      <c r="S691" s="249"/>
      <c r="T691" s="249"/>
      <c r="U691" s="328" t="str">
        <f>V687</f>
        <v>Mud Logging Service - Standby</v>
      </c>
      <c r="V691" s="328"/>
      <c r="W691" s="508">
        <f>JARSSHOCKTOOLDDT!H117</f>
        <v>820.8</v>
      </c>
      <c r="X691" s="348">
        <f>$W$691*X687*FOREX</f>
        <v>460468.8</v>
      </c>
      <c r="Y691" s="348">
        <f>$W$691*Y687*FOREX*IF(INPUT!$D$18="YES",0,1)</f>
        <v>0</v>
      </c>
      <c r="Z691" s="348">
        <f>$W$691*Z687*FOREX*IF(INPUT!$D$18="YES",0,1)</f>
        <v>0</v>
      </c>
      <c r="AA691" s="348">
        <f>$W$690*AA687*FOREX</f>
        <v>0</v>
      </c>
      <c r="AB691" s="348">
        <f t="shared" ref="AB691:AH691" si="244">$W$691*AB687*FOREX</f>
        <v>0</v>
      </c>
      <c r="AC691" s="348">
        <f t="shared" si="244"/>
        <v>0</v>
      </c>
      <c r="AD691" s="348">
        <f t="shared" si="244"/>
        <v>0</v>
      </c>
      <c r="AE691" s="348">
        <f t="shared" si="244"/>
        <v>0</v>
      </c>
      <c r="AF691" s="348">
        <f t="shared" si="244"/>
        <v>0</v>
      </c>
      <c r="AG691" s="348">
        <f t="shared" si="244"/>
        <v>0</v>
      </c>
      <c r="AH691" s="348">
        <f t="shared" si="244"/>
        <v>0</v>
      </c>
      <c r="AI691" s="348">
        <f>$W$691*AI687*FOREX</f>
        <v>0</v>
      </c>
      <c r="AJ691" s="348">
        <f>$W$691*AJ687*FOREX</f>
        <v>0</v>
      </c>
      <c r="AK691" s="348">
        <f>$W$691*AK687*FOREX</f>
        <v>0</v>
      </c>
      <c r="AL691" s="348"/>
      <c r="AM691" s="348">
        <f>SUM(X691:AL691)</f>
        <v>460468.8</v>
      </c>
      <c r="AN691" s="294"/>
      <c r="AO691" s="249"/>
      <c r="AP691" s="250"/>
      <c r="AQ691" s="250"/>
      <c r="AR691" s="250"/>
      <c r="AS691" s="250"/>
      <c r="AT691" s="250"/>
      <c r="AU691" s="250"/>
      <c r="AV691" s="249"/>
      <c r="AW691" s="249"/>
      <c r="AX691" s="249"/>
      <c r="AY691" s="249"/>
      <c r="AZ691" s="249"/>
      <c r="BA691" s="249"/>
      <c r="BB691" s="249"/>
      <c r="BC691" s="249"/>
      <c r="BD691" s="249"/>
      <c r="BE691" s="249"/>
      <c r="BF691" s="249"/>
      <c r="BG691" s="249"/>
      <c r="BH691" s="249"/>
      <c r="BI691" s="249"/>
      <c r="BJ691" s="249"/>
      <c r="BK691" s="249"/>
      <c r="BL691" s="249"/>
      <c r="BM691" s="249"/>
      <c r="BN691" s="249"/>
      <c r="BO691" s="249"/>
      <c r="BP691" s="249"/>
      <c r="BQ691" s="249"/>
      <c r="BR691" s="249"/>
      <c r="BS691" s="249"/>
      <c r="BT691" s="249"/>
      <c r="BU691" s="249"/>
      <c r="BV691" s="249"/>
      <c r="BW691" s="249"/>
      <c r="BX691" s="249"/>
      <c r="BY691" s="249"/>
      <c r="BZ691" s="249"/>
      <c r="CA691" s="249"/>
      <c r="CB691" s="249"/>
      <c r="CC691" s="249"/>
      <c r="CD691" s="249"/>
      <c r="CE691" s="249"/>
      <c r="CF691" s="249"/>
      <c r="CG691" s="249"/>
      <c r="CH691" s="249"/>
      <c r="CI691" s="249"/>
      <c r="CJ691" s="249"/>
      <c r="CK691" s="249"/>
      <c r="CL691" s="249"/>
      <c r="CM691" s="249"/>
      <c r="CN691" s="249"/>
      <c r="CO691" s="249"/>
      <c r="CP691" s="249"/>
      <c r="CQ691" s="249"/>
      <c r="CR691" s="249"/>
      <c r="CS691" s="249"/>
      <c r="CT691" s="249"/>
      <c r="CU691" s="249"/>
      <c r="CV691" s="249"/>
      <c r="CW691" s="249"/>
      <c r="CX691" s="249"/>
      <c r="CY691" s="249"/>
      <c r="CZ691" s="249"/>
      <c r="DA691" s="249"/>
      <c r="DB691" s="249"/>
      <c r="DC691" s="249"/>
      <c r="DD691" s="249"/>
      <c r="DE691" s="249"/>
      <c r="DF691" s="249"/>
      <c r="DG691" s="249"/>
      <c r="DH691" s="249"/>
      <c r="DI691" s="249"/>
      <c r="DJ691" s="249"/>
      <c r="DK691" s="249"/>
      <c r="DL691" s="249"/>
      <c r="DM691" s="249"/>
      <c r="DN691" s="249"/>
      <c r="DO691" s="249"/>
      <c r="DP691" s="249"/>
      <c r="DQ691" s="249"/>
      <c r="DR691" s="249"/>
      <c r="DS691" s="249"/>
      <c r="DT691" s="249"/>
      <c r="DU691" s="249"/>
      <c r="DV691" s="249"/>
      <c r="DW691" s="249"/>
      <c r="DX691" s="249"/>
      <c r="DY691" s="249"/>
      <c r="DZ691" s="249"/>
      <c r="EA691" s="249"/>
      <c r="EB691" s="249"/>
      <c r="EC691" s="249"/>
      <c r="ED691" s="249"/>
      <c r="EE691" s="249"/>
      <c r="EF691" s="249"/>
      <c r="EG691" s="249"/>
      <c r="EH691" s="249"/>
      <c r="EI691" s="249"/>
      <c r="EJ691" s="249"/>
      <c r="EK691" s="249"/>
      <c r="EL691" s="249"/>
      <c r="EM691" s="249"/>
      <c r="EN691" s="249"/>
      <c r="EO691" s="249"/>
      <c r="EP691" s="249"/>
      <c r="EQ691" s="249"/>
      <c r="ER691" s="249"/>
      <c r="ES691" s="249"/>
      <c r="ET691" s="249"/>
      <c r="EU691" s="249"/>
      <c r="EV691" s="249"/>
      <c r="EW691" s="249"/>
      <c r="EX691" s="249"/>
      <c r="EY691" s="249"/>
      <c r="EZ691" s="249"/>
      <c r="FA691" s="249"/>
      <c r="FB691" s="249"/>
      <c r="FC691" s="249"/>
      <c r="FD691" s="249"/>
      <c r="FE691" s="249"/>
      <c r="FF691" s="249"/>
      <c r="FG691" s="249"/>
      <c r="FH691" s="249"/>
      <c r="FI691" s="249"/>
      <c r="FJ691" s="249"/>
      <c r="FK691" s="249"/>
      <c r="FL691" s="249"/>
      <c r="FM691" s="249"/>
      <c r="FN691" s="249"/>
      <c r="FO691" s="249"/>
      <c r="FP691" s="249"/>
      <c r="FQ691" s="249"/>
      <c r="FR691" s="249"/>
      <c r="FS691" s="249"/>
      <c r="FT691" s="249"/>
      <c r="FU691" s="249"/>
      <c r="FV691" s="249"/>
      <c r="FW691" s="249"/>
      <c r="FX691" s="249"/>
      <c r="FY691" s="249"/>
      <c r="FZ691" s="249"/>
      <c r="GA691" s="249"/>
      <c r="GB691" s="249"/>
      <c r="GC691" s="249"/>
      <c r="GD691" s="249"/>
      <c r="GE691" s="249"/>
      <c r="GF691" s="249"/>
      <c r="GG691" s="249"/>
      <c r="GH691" s="249"/>
      <c r="GI691" s="249"/>
      <c r="GJ691" s="249"/>
      <c r="GK691" s="249"/>
      <c r="GL691" s="249"/>
      <c r="GM691" s="249"/>
      <c r="GN691" s="249"/>
      <c r="GO691" s="249"/>
      <c r="GP691" s="249"/>
      <c r="GQ691" s="249"/>
      <c r="GR691" s="249"/>
    </row>
    <row r="692" spans="1:205" s="252" customFormat="1" ht="13.5" customHeight="1" x14ac:dyDescent="0.2">
      <c r="A692" s="712"/>
      <c r="B692" s="1113"/>
      <c r="C692" s="1113"/>
      <c r="D692" s="340"/>
      <c r="E692" s="663"/>
      <c r="F692" s="249"/>
      <c r="G692" s="250"/>
      <c r="H692" s="250"/>
      <c r="I692" s="250"/>
      <c r="J692" s="250"/>
      <c r="K692" s="250"/>
      <c r="L692" s="250"/>
      <c r="M692" s="250"/>
      <c r="N692" s="250"/>
      <c r="O692" s="250"/>
      <c r="P692" s="251"/>
      <c r="Q692" s="251"/>
      <c r="R692" s="251"/>
      <c r="S692" s="249"/>
      <c r="T692" s="249"/>
      <c r="U692" s="1456"/>
      <c r="V692" s="1456"/>
      <c r="W692" s="1515"/>
      <c r="X692" s="348">
        <f t="shared" ref="X692:AK692" si="245">SUM(X690:X691)</f>
        <v>555451.19999999995</v>
      </c>
      <c r="Y692" s="348">
        <f t="shared" ca="1" si="245"/>
        <v>94982.400000000009</v>
      </c>
      <c r="Z692" s="348">
        <f t="shared" ca="1" si="245"/>
        <v>189964.80000000002</v>
      </c>
      <c r="AA692" s="348">
        <f t="shared" ca="1" si="245"/>
        <v>237456</v>
      </c>
      <c r="AB692" s="348">
        <f t="shared" ca="1" si="245"/>
        <v>189964.80000000002</v>
      </c>
      <c r="AC692" s="348">
        <f t="shared" ca="1" si="245"/>
        <v>474912</v>
      </c>
      <c r="AD692" s="348">
        <f t="shared" ca="1" si="245"/>
        <v>142473.60000000001</v>
      </c>
      <c r="AE692" s="348">
        <f t="shared" ca="1" si="245"/>
        <v>284947.20000000001</v>
      </c>
      <c r="AF692" s="348">
        <f t="shared" ca="1" si="245"/>
        <v>94982.400000000009</v>
      </c>
      <c r="AG692" s="348">
        <f t="shared" ca="1" si="245"/>
        <v>237456</v>
      </c>
      <c r="AH692" s="348">
        <f t="shared" si="245"/>
        <v>332438.40000000002</v>
      </c>
      <c r="AI692" s="348">
        <f t="shared" ca="1" si="245"/>
        <v>0</v>
      </c>
      <c r="AJ692" s="348">
        <f t="shared" ca="1" si="245"/>
        <v>0</v>
      </c>
      <c r="AK692" s="348">
        <f t="shared" ca="1" si="245"/>
        <v>0</v>
      </c>
      <c r="AL692" s="348"/>
      <c r="AM692" s="1487">
        <f ca="1">SUM(AM690:AM691)</f>
        <v>2835028.8</v>
      </c>
      <c r="AN692" s="249"/>
      <c r="AO692" s="249"/>
      <c r="AP692" s="250"/>
      <c r="AQ692" s="250"/>
      <c r="AR692" s="250"/>
      <c r="AS692" s="250"/>
      <c r="AT692" s="250"/>
      <c r="AU692" s="250"/>
      <c r="AV692" s="249"/>
      <c r="AW692" s="249"/>
      <c r="AX692" s="249"/>
      <c r="AY692" s="249"/>
      <c r="AZ692" s="249"/>
      <c r="BA692" s="249"/>
      <c r="BB692" s="249"/>
      <c r="BC692" s="249"/>
      <c r="BD692" s="249"/>
      <c r="BE692" s="249"/>
      <c r="BF692" s="249"/>
      <c r="BG692" s="249"/>
      <c r="BH692" s="249"/>
      <c r="BI692" s="249"/>
      <c r="BJ692" s="249"/>
      <c r="BK692" s="249"/>
      <c r="BL692" s="249"/>
      <c r="BM692" s="249"/>
      <c r="BN692" s="249"/>
      <c r="BO692" s="249"/>
      <c r="BP692" s="249"/>
      <c r="BQ692" s="249"/>
      <c r="BR692" s="249"/>
      <c r="BS692" s="249"/>
      <c r="BT692" s="249"/>
      <c r="BU692" s="249"/>
      <c r="BV692" s="249"/>
      <c r="BW692" s="249"/>
      <c r="BX692" s="249"/>
      <c r="BY692" s="249"/>
      <c r="BZ692" s="249"/>
      <c r="CA692" s="249"/>
      <c r="CB692" s="249"/>
      <c r="CC692" s="249"/>
      <c r="CD692" s="249"/>
      <c r="CE692" s="249"/>
      <c r="CF692" s="249"/>
      <c r="CG692" s="249"/>
      <c r="CH692" s="249"/>
      <c r="CI692" s="249"/>
      <c r="CJ692" s="249"/>
      <c r="CK692" s="249"/>
      <c r="CL692" s="249"/>
      <c r="CM692" s="249"/>
      <c r="CN692" s="249"/>
      <c r="CO692" s="249"/>
      <c r="CP692" s="249"/>
      <c r="CQ692" s="249"/>
      <c r="CR692" s="249"/>
      <c r="CS692" s="249"/>
      <c r="CT692" s="249"/>
      <c r="CU692" s="249"/>
      <c r="CV692" s="249"/>
      <c r="CW692" s="249"/>
      <c r="CX692" s="249"/>
      <c r="CY692" s="249"/>
      <c r="CZ692" s="249"/>
      <c r="DA692" s="249"/>
      <c r="DB692" s="249"/>
      <c r="DC692" s="249"/>
      <c r="DD692" s="249"/>
      <c r="DE692" s="249"/>
      <c r="DF692" s="249"/>
      <c r="DG692" s="249"/>
      <c r="DH692" s="249"/>
      <c r="DI692" s="249"/>
      <c r="DJ692" s="249"/>
      <c r="DK692" s="249"/>
      <c r="DL692" s="249"/>
      <c r="DM692" s="249"/>
      <c r="DN692" s="249"/>
      <c r="DO692" s="249"/>
      <c r="DP692" s="249"/>
      <c r="DQ692" s="249"/>
      <c r="DR692" s="249"/>
      <c r="DS692" s="249"/>
      <c r="DT692" s="249"/>
      <c r="DU692" s="249"/>
      <c r="DV692" s="249"/>
      <c r="DW692" s="249"/>
      <c r="DX692" s="249"/>
      <c r="DY692" s="249"/>
      <c r="DZ692" s="249"/>
      <c r="EA692" s="249"/>
      <c r="EB692" s="249"/>
      <c r="EC692" s="249"/>
      <c r="ED692" s="249"/>
      <c r="EE692" s="249"/>
      <c r="EF692" s="249"/>
      <c r="EG692" s="249"/>
      <c r="EH692" s="249"/>
      <c r="EI692" s="249"/>
      <c r="EJ692" s="249"/>
      <c r="EK692" s="249"/>
      <c r="EL692" s="249"/>
      <c r="EM692" s="249"/>
      <c r="EN692" s="249"/>
      <c r="EO692" s="249"/>
      <c r="EP692" s="249"/>
      <c r="EQ692" s="249"/>
      <c r="ER692" s="249"/>
      <c r="ES692" s="249"/>
      <c r="ET692" s="249"/>
      <c r="EU692" s="249"/>
      <c r="EV692" s="249"/>
      <c r="EW692" s="249"/>
      <c r="EX692" s="249"/>
      <c r="EY692" s="249"/>
      <c r="EZ692" s="249"/>
      <c r="FA692" s="249"/>
      <c r="FB692" s="249"/>
      <c r="FC692" s="249"/>
      <c r="FD692" s="249"/>
      <c r="FE692" s="249"/>
      <c r="FF692" s="249"/>
      <c r="FG692" s="249"/>
      <c r="FH692" s="249"/>
      <c r="FI692" s="249"/>
      <c r="FJ692" s="249"/>
      <c r="FK692" s="249"/>
      <c r="FL692" s="249"/>
      <c r="FM692" s="249"/>
      <c r="FN692" s="249"/>
      <c r="FO692" s="249"/>
      <c r="FP692" s="249"/>
      <c r="FQ692" s="249"/>
      <c r="FR692" s="249"/>
      <c r="FS692" s="249"/>
      <c r="FT692" s="249"/>
      <c r="FU692" s="249"/>
      <c r="FV692" s="249"/>
      <c r="FW692" s="249"/>
      <c r="FX692" s="249"/>
      <c r="FY692" s="249"/>
      <c r="FZ692" s="249"/>
      <c r="GA692" s="249"/>
      <c r="GB692" s="249"/>
      <c r="GC692" s="249"/>
      <c r="GD692" s="249"/>
      <c r="GE692" s="249"/>
      <c r="GF692" s="249"/>
      <c r="GG692" s="249"/>
      <c r="GH692" s="249"/>
      <c r="GI692" s="249"/>
      <c r="GJ692" s="249"/>
      <c r="GK692" s="249"/>
      <c r="GL692" s="249"/>
      <c r="GM692" s="249"/>
      <c r="GN692" s="249"/>
      <c r="GO692" s="249"/>
      <c r="GP692" s="249"/>
      <c r="GQ692" s="249"/>
      <c r="GR692" s="249"/>
    </row>
    <row r="693" spans="1:205" s="252" customFormat="1" ht="12.75" customHeight="1" x14ac:dyDescent="0.2">
      <c r="A693" s="709"/>
      <c r="B693" s="1110"/>
      <c r="C693" s="1110"/>
      <c r="D693" s="292"/>
      <c r="E693" s="662"/>
      <c r="F693" s="249"/>
      <c r="G693" s="250"/>
      <c r="H693" s="250"/>
      <c r="I693" s="250"/>
      <c r="J693" s="250"/>
      <c r="K693" s="250"/>
      <c r="L693" s="250"/>
      <c r="M693" s="250"/>
      <c r="N693" s="250"/>
      <c r="O693" s="250"/>
      <c r="P693" s="251"/>
      <c r="Q693" s="251"/>
      <c r="R693" s="251"/>
      <c r="S693" s="249"/>
      <c r="T693" s="249"/>
      <c r="U693" s="247"/>
      <c r="V693" s="247"/>
      <c r="W693" s="1516"/>
      <c r="X693" s="292"/>
      <c r="Y693" s="292"/>
      <c r="Z693" s="292"/>
      <c r="AA693" s="292"/>
      <c r="AB693" s="292"/>
      <c r="AC693" s="292"/>
      <c r="AD693" s="292"/>
      <c r="AE693" s="292"/>
      <c r="AF693" s="292"/>
      <c r="AG693" s="292"/>
      <c r="AH693" s="292"/>
      <c r="AI693" s="292"/>
      <c r="AJ693" s="292"/>
      <c r="AK693" s="292"/>
      <c r="AL693" s="292"/>
      <c r="AM693" s="292"/>
      <c r="AN693" s="294"/>
      <c r="AO693" s="249"/>
      <c r="AP693" s="295"/>
      <c r="AQ693" s="295"/>
      <c r="AR693" s="295"/>
      <c r="AS693" s="295"/>
      <c r="AT693" s="295"/>
      <c r="AU693" s="295"/>
      <c r="AV693" s="249"/>
      <c r="AW693" s="249"/>
      <c r="AX693" s="249"/>
      <c r="AY693" s="249"/>
      <c r="AZ693" s="249"/>
      <c r="BA693" s="249"/>
      <c r="BB693" s="249"/>
      <c r="BC693" s="249"/>
      <c r="BD693" s="249"/>
      <c r="BE693" s="249"/>
      <c r="BF693" s="249"/>
      <c r="BG693" s="249"/>
      <c r="BH693" s="249"/>
      <c r="BI693" s="249"/>
      <c r="BJ693" s="249"/>
      <c r="BK693" s="249"/>
      <c r="BL693" s="249"/>
      <c r="BM693" s="249"/>
      <c r="BN693" s="249"/>
      <c r="BO693" s="249"/>
      <c r="BP693" s="249"/>
      <c r="BQ693" s="249"/>
      <c r="BR693" s="249"/>
      <c r="BS693" s="249"/>
      <c r="BT693" s="249"/>
      <c r="BU693" s="249"/>
      <c r="BV693" s="249"/>
      <c r="BW693" s="249"/>
      <c r="BX693" s="249"/>
      <c r="BY693" s="249"/>
      <c r="BZ693" s="249"/>
      <c r="CA693" s="249"/>
      <c r="CB693" s="249"/>
      <c r="CC693" s="249"/>
      <c r="CD693" s="249"/>
      <c r="CE693" s="249"/>
      <c r="CF693" s="249"/>
      <c r="CG693" s="249"/>
      <c r="CH693" s="249"/>
      <c r="CI693" s="249"/>
      <c r="CJ693" s="249"/>
      <c r="CK693" s="249"/>
      <c r="CL693" s="249"/>
      <c r="CM693" s="249"/>
      <c r="CN693" s="249"/>
      <c r="CO693" s="249"/>
      <c r="CP693" s="249"/>
      <c r="CQ693" s="249"/>
      <c r="CR693" s="249"/>
      <c r="CS693" s="249"/>
      <c r="CT693" s="249"/>
      <c r="CU693" s="249"/>
      <c r="CV693" s="249"/>
      <c r="CW693" s="249"/>
      <c r="CX693" s="249"/>
      <c r="CY693" s="249"/>
      <c r="CZ693" s="249"/>
      <c r="DA693" s="249"/>
      <c r="DB693" s="249"/>
      <c r="DC693" s="249"/>
      <c r="DD693" s="249"/>
      <c r="DE693" s="249"/>
      <c r="DF693" s="249"/>
      <c r="DG693" s="249"/>
      <c r="DH693" s="249"/>
      <c r="DI693" s="249"/>
      <c r="DJ693" s="249"/>
      <c r="DK693" s="249"/>
      <c r="DL693" s="249"/>
      <c r="DM693" s="249"/>
      <c r="DN693" s="249"/>
      <c r="DO693" s="249"/>
      <c r="DP693" s="249"/>
      <c r="DQ693" s="249"/>
      <c r="DR693" s="249"/>
      <c r="DS693" s="249"/>
      <c r="DT693" s="249"/>
      <c r="DU693" s="249"/>
      <c r="DV693" s="249"/>
      <c r="DW693" s="249"/>
      <c r="DX693" s="249"/>
      <c r="DY693" s="249"/>
      <c r="DZ693" s="249"/>
      <c r="EA693" s="249"/>
      <c r="EB693" s="249"/>
      <c r="EC693" s="249"/>
      <c r="ED693" s="249"/>
      <c r="EE693" s="249"/>
      <c r="EF693" s="249"/>
      <c r="EG693" s="249"/>
      <c r="EH693" s="249"/>
      <c r="EI693" s="249"/>
      <c r="EJ693" s="249"/>
      <c r="EK693" s="249"/>
      <c r="EL693" s="249"/>
      <c r="EM693" s="249"/>
      <c r="EN693" s="249"/>
      <c r="EO693" s="249"/>
      <c r="EP693" s="249"/>
      <c r="EQ693" s="249"/>
      <c r="ER693" s="249"/>
      <c r="ES693" s="249"/>
      <c r="ET693" s="249"/>
      <c r="EU693" s="249"/>
      <c r="EV693" s="249"/>
      <c r="EW693" s="249"/>
      <c r="EX693" s="249"/>
      <c r="EY693" s="249"/>
      <c r="EZ693" s="249"/>
      <c r="FA693" s="249"/>
      <c r="FB693" s="249"/>
      <c r="FC693" s="249"/>
      <c r="FD693" s="249"/>
      <c r="FE693" s="249"/>
      <c r="FF693" s="249"/>
      <c r="FG693" s="249"/>
      <c r="FH693" s="249"/>
      <c r="FI693" s="249"/>
      <c r="FJ693" s="249"/>
      <c r="FK693" s="249"/>
      <c r="FL693" s="249"/>
      <c r="FM693" s="249"/>
      <c r="FN693" s="249"/>
      <c r="FO693" s="249"/>
      <c r="FP693" s="249"/>
      <c r="FQ693" s="249"/>
      <c r="FR693" s="249"/>
      <c r="FS693" s="249"/>
      <c r="FT693" s="249"/>
      <c r="FU693" s="249"/>
      <c r="FV693" s="249"/>
      <c r="FW693" s="249"/>
      <c r="FX693" s="249"/>
      <c r="FY693" s="249"/>
      <c r="FZ693" s="249"/>
      <c r="GA693" s="249"/>
      <c r="GB693" s="249"/>
      <c r="GC693" s="249"/>
      <c r="GD693" s="249"/>
      <c r="GE693" s="249"/>
      <c r="GF693" s="249"/>
      <c r="GG693" s="249"/>
      <c r="GH693" s="249"/>
      <c r="GI693" s="249"/>
      <c r="GJ693" s="249"/>
      <c r="GK693" s="249"/>
      <c r="GL693" s="249"/>
      <c r="GM693" s="249"/>
      <c r="GN693" s="249"/>
      <c r="GO693" s="249"/>
      <c r="GP693" s="249"/>
      <c r="GQ693" s="249"/>
      <c r="GR693" s="249"/>
    </row>
    <row r="694" spans="1:205" ht="12.75" customHeight="1" x14ac:dyDescent="0.2">
      <c r="A694" s="708"/>
      <c r="B694" s="1109"/>
      <c r="C694" s="1109"/>
      <c r="D694" s="202"/>
      <c r="G694" s="174"/>
      <c r="H694" s="174"/>
      <c r="I694" s="174"/>
      <c r="J694" s="174"/>
      <c r="K694" s="174"/>
      <c r="P694" s="179"/>
      <c r="Q694" s="179"/>
      <c r="R694" s="179"/>
      <c r="S694" s="175"/>
      <c r="T694" s="175"/>
      <c r="U694" s="181"/>
      <c r="V694" s="181"/>
      <c r="W694" s="181"/>
      <c r="X694" s="202"/>
      <c r="Y694" s="202"/>
      <c r="Z694" s="202"/>
      <c r="AA694" s="202"/>
      <c r="AB694" s="202"/>
      <c r="AC694" s="202"/>
      <c r="AD694" s="202"/>
      <c r="AE694" s="202"/>
      <c r="AF694" s="202"/>
      <c r="AG694" s="202"/>
      <c r="AH694" s="202"/>
      <c r="AI694" s="202"/>
      <c r="AJ694" s="202"/>
      <c r="AK694" s="202"/>
      <c r="AL694" s="202"/>
      <c r="AM694" s="202"/>
      <c r="AN694" s="294"/>
      <c r="AO694" s="249"/>
      <c r="AP694" s="250"/>
      <c r="AQ694" s="250"/>
      <c r="AR694" s="250"/>
      <c r="AS694" s="250"/>
      <c r="AT694" s="250"/>
      <c r="AU694" s="250"/>
      <c r="GS694" s="176"/>
      <c r="GT694" s="176"/>
      <c r="GU694" s="176"/>
      <c r="GV694" s="176"/>
      <c r="GW694" s="176"/>
    </row>
    <row r="695" spans="1:205" ht="13.5" customHeight="1" x14ac:dyDescent="0.2">
      <c r="A695" s="702"/>
      <c r="B695" s="1103"/>
      <c r="C695" s="1103"/>
      <c r="D695" s="254"/>
      <c r="G695" s="174"/>
      <c r="H695" s="174"/>
      <c r="I695" s="174"/>
      <c r="J695" s="174"/>
      <c r="K695" s="174"/>
      <c r="P695" s="179"/>
      <c r="Q695" s="179"/>
      <c r="R695" s="179"/>
      <c r="S695" s="175"/>
      <c r="T695" s="175"/>
      <c r="U695" s="254"/>
      <c r="V695" s="665" t="s">
        <v>205</v>
      </c>
      <c r="W695" s="254"/>
      <c r="X695" s="254"/>
      <c r="Y695" s="254"/>
      <c r="Z695" s="254"/>
      <c r="AA695" s="254"/>
      <c r="AB695" s="254"/>
      <c r="AC695" s="254"/>
      <c r="AD695" s="254"/>
      <c r="AE695" s="254"/>
      <c r="AF695" s="254"/>
      <c r="AG695" s="254"/>
      <c r="AH695" s="254"/>
      <c r="AI695" s="254"/>
      <c r="AJ695" s="254"/>
      <c r="AK695" s="254"/>
      <c r="AL695" s="254"/>
      <c r="AM695" s="254"/>
      <c r="AN695" s="294"/>
      <c r="AO695" s="249"/>
      <c r="AP695" s="250"/>
      <c r="AQ695" s="250"/>
      <c r="AR695" s="250"/>
      <c r="AS695" s="250"/>
      <c r="AT695" s="250"/>
      <c r="AU695" s="250"/>
      <c r="GS695" s="176"/>
      <c r="GT695" s="176"/>
      <c r="GU695" s="176"/>
      <c r="GV695" s="176"/>
      <c r="GW695" s="176"/>
    </row>
    <row r="696" spans="1:205" ht="13.5" customHeight="1" x14ac:dyDescent="0.2">
      <c r="A696" s="728"/>
      <c r="B696" s="1129"/>
      <c r="C696" s="1129"/>
      <c r="D696" s="531"/>
      <c r="E696" s="613"/>
      <c r="G696" s="174"/>
      <c r="H696" s="174"/>
      <c r="I696" s="174"/>
      <c r="J696" s="174"/>
      <c r="K696" s="174"/>
      <c r="P696" s="179"/>
      <c r="Q696" s="179"/>
      <c r="R696" s="179"/>
      <c r="S696" s="175"/>
      <c r="T696" s="175"/>
      <c r="U696" s="2513" t="s">
        <v>152</v>
      </c>
      <c r="V696" s="2514"/>
      <c r="W696" s="1440" t="s">
        <v>153</v>
      </c>
      <c r="X696" s="1426" t="str">
        <f t="shared" ref="X696:AK696" si="246">X$14</f>
        <v>RIGMOVE</v>
      </c>
      <c r="Y696" s="1426" t="str">
        <f t="shared" si="246"/>
        <v>DSURFACE</v>
      </c>
      <c r="Z696" s="1426" t="str">
        <f t="shared" si="246"/>
        <v>FSURFACE</v>
      </c>
      <c r="AA696" s="1426" t="str">
        <f t="shared" si="246"/>
        <v>DINTERMEDIATE</v>
      </c>
      <c r="AB696" s="1426" t="str">
        <f t="shared" si="246"/>
        <v>FINTERMEDIATE</v>
      </c>
      <c r="AC696" s="1426" t="str">
        <f t="shared" si="246"/>
        <v>DPRODUCTION</v>
      </c>
      <c r="AD696" s="1426" t="str">
        <f t="shared" si="246"/>
        <v>FPRODUCTION</v>
      </c>
      <c r="AE696" s="1426" t="str">
        <f t="shared" si="246"/>
        <v>DLINER1</v>
      </c>
      <c r="AF696" s="1426" t="str">
        <f t="shared" si="246"/>
        <v>FLINER1</v>
      </c>
      <c r="AG696" s="1426" t="str">
        <f t="shared" si="246"/>
        <v>DLINER2</v>
      </c>
      <c r="AH696" s="1426" t="str">
        <f t="shared" si="246"/>
        <v>FLINER2</v>
      </c>
      <c r="AI696" s="1426" t="str">
        <f t="shared" si="246"/>
        <v/>
      </c>
      <c r="AJ696" s="1426" t="str">
        <f t="shared" si="246"/>
        <v/>
      </c>
      <c r="AK696" s="1426" t="str">
        <f t="shared" si="246"/>
        <v/>
      </c>
      <c r="AL696" s="1426"/>
      <c r="AM696" s="1437" t="s">
        <v>101</v>
      </c>
      <c r="AN696" s="294"/>
      <c r="AO696" s="249"/>
      <c r="AP696" s="250"/>
      <c r="AQ696" s="250"/>
      <c r="AR696" s="250"/>
      <c r="AS696" s="250"/>
      <c r="AT696" s="250"/>
      <c r="AU696" s="250"/>
      <c r="GS696" s="176"/>
      <c r="GT696" s="176"/>
      <c r="GU696" s="176"/>
      <c r="GV696" s="176"/>
      <c r="GW696" s="176"/>
    </row>
    <row r="697" spans="1:205" ht="13.5" customHeight="1" x14ac:dyDescent="0.2">
      <c r="A697" s="735"/>
      <c r="B697" s="1136"/>
      <c r="C697" s="1136"/>
      <c r="D697" s="539"/>
      <c r="E697" s="613"/>
      <c r="G697" s="174"/>
      <c r="H697" s="174"/>
      <c r="I697" s="174"/>
      <c r="J697" s="174"/>
      <c r="K697" s="174"/>
      <c r="P697" s="179"/>
      <c r="Q697" s="179"/>
      <c r="R697" s="179"/>
      <c r="S697" s="175"/>
      <c r="T697" s="175"/>
      <c r="U697" s="287"/>
      <c r="V697" s="287" t="s">
        <v>206</v>
      </c>
      <c r="W697" s="286" t="s">
        <v>207</v>
      </c>
      <c r="X697" s="243">
        <f>RIGMOVE</f>
        <v>13</v>
      </c>
      <c r="Y697" s="243">
        <f>DSURFACE*IF(INPUT!$D$18="No",0,1)</f>
        <v>2</v>
      </c>
      <c r="Z697" s="243">
        <f>FSURFACE*IF(INPUT!$D$18="No",0,1)</f>
        <v>4</v>
      </c>
      <c r="AA697" s="243">
        <f>DINTERMEDIATE</f>
        <v>5</v>
      </c>
      <c r="AB697" s="243">
        <f>FINTERMEDIATE</f>
        <v>4</v>
      </c>
      <c r="AC697" s="243">
        <f>DPRODUCTION</f>
        <v>10</v>
      </c>
      <c r="AD697" s="243">
        <f>FPRODUCTION</f>
        <v>3</v>
      </c>
      <c r="AE697" s="243">
        <f>DLINER1</f>
        <v>6</v>
      </c>
      <c r="AF697" s="243">
        <f>FLINER1</f>
        <v>2</v>
      </c>
      <c r="AG697" s="243">
        <f>IF((INPUT!D8="YES"),(DLINER2),0)</f>
        <v>5</v>
      </c>
      <c r="AH697" s="243">
        <f>IF((INPUT!D8="YES"),(FLINER2),0)</f>
        <v>7</v>
      </c>
      <c r="AI697" s="243">
        <f>IF((INPUT!F8="YES"),(DLINER2),0)</f>
        <v>0</v>
      </c>
      <c r="AJ697" s="243">
        <f>IF((INPUT!F8="YES"),(FLINER2),0)</f>
        <v>0</v>
      </c>
      <c r="AK697" s="243">
        <f>IF((INPUT!G8="YES"),(FLINER2),0)</f>
        <v>0</v>
      </c>
      <c r="AL697" s="243">
        <f>IF((W589&gt;0),AL$19,0)</f>
        <v>0</v>
      </c>
      <c r="AM697" s="284">
        <f>SUM(X697:AL697)</f>
        <v>61</v>
      </c>
      <c r="AN697" s="249"/>
      <c r="GS697" s="176"/>
      <c r="GT697" s="176"/>
      <c r="GU697" s="176"/>
      <c r="GV697" s="176"/>
      <c r="GW697" s="176"/>
    </row>
    <row r="698" spans="1:205" ht="13.5" customHeight="1" x14ac:dyDescent="0.2">
      <c r="A698" s="709"/>
      <c r="B698" s="1110"/>
      <c r="C698" s="1110"/>
      <c r="D698" s="257"/>
      <c r="G698" s="174"/>
      <c r="H698" s="174"/>
      <c r="I698" s="174"/>
      <c r="J698" s="174"/>
      <c r="K698" s="174"/>
      <c r="P698" s="179"/>
      <c r="Q698" s="179"/>
      <c r="R698" s="179"/>
      <c r="S698" s="179"/>
      <c r="T698" s="179"/>
      <c r="U698" s="1479"/>
      <c r="V698" s="1479"/>
      <c r="W698" s="541"/>
      <c r="X698" s="1472"/>
      <c r="Y698" s="1472"/>
      <c r="Z698" s="1472"/>
      <c r="AA698" s="1472"/>
      <c r="AB698" s="1472"/>
      <c r="AC698" s="1472"/>
      <c r="AD698" s="1472"/>
      <c r="AE698" s="1472"/>
      <c r="AF698" s="1472"/>
      <c r="AG698" s="1472"/>
      <c r="AH698" s="1472"/>
      <c r="AI698" s="1472"/>
      <c r="AJ698" s="1472"/>
      <c r="AK698" s="1472"/>
      <c r="AL698" s="1472"/>
      <c r="AM698" s="257"/>
      <c r="AN698" s="172"/>
      <c r="GS698" s="176"/>
      <c r="GT698" s="176"/>
      <c r="GU698" s="176"/>
      <c r="GV698" s="176"/>
      <c r="GW698" s="176"/>
    </row>
    <row r="699" spans="1:205" ht="13.5" customHeight="1" x14ac:dyDescent="0.2">
      <c r="A699" s="733"/>
      <c r="B699" s="1134"/>
      <c r="C699" s="1134"/>
      <c r="D699" s="535"/>
      <c r="E699" s="613"/>
      <c r="G699" s="174"/>
      <c r="H699" s="174"/>
      <c r="I699" s="174"/>
      <c r="J699" s="174"/>
      <c r="K699" s="174"/>
      <c r="P699" s="179"/>
      <c r="Q699" s="179"/>
      <c r="R699" s="179"/>
      <c r="S699" s="175"/>
      <c r="T699" s="175"/>
      <c r="U699" s="2513" t="s">
        <v>147</v>
      </c>
      <c r="V699" s="2514"/>
      <c r="W699" s="1440" t="s">
        <v>179</v>
      </c>
      <c r="X699" s="1426" t="str">
        <f t="shared" ref="X699:AK699" si="247">X$14</f>
        <v>RIGMOVE</v>
      </c>
      <c r="Y699" s="1426" t="str">
        <f t="shared" si="247"/>
        <v>DSURFACE</v>
      </c>
      <c r="Z699" s="1426" t="str">
        <f t="shared" si="247"/>
        <v>FSURFACE</v>
      </c>
      <c r="AA699" s="1426" t="str">
        <f t="shared" si="247"/>
        <v>DINTERMEDIATE</v>
      </c>
      <c r="AB699" s="1426" t="str">
        <f t="shared" si="247"/>
        <v>FINTERMEDIATE</v>
      </c>
      <c r="AC699" s="1426" t="str">
        <f t="shared" si="247"/>
        <v>DPRODUCTION</v>
      </c>
      <c r="AD699" s="1426" t="str">
        <f t="shared" si="247"/>
        <v>FPRODUCTION</v>
      </c>
      <c r="AE699" s="1426" t="str">
        <f t="shared" si="247"/>
        <v>DLINER1</v>
      </c>
      <c r="AF699" s="1426" t="str">
        <f t="shared" si="247"/>
        <v>FLINER1</v>
      </c>
      <c r="AG699" s="1426" t="str">
        <f t="shared" si="247"/>
        <v>DLINER2</v>
      </c>
      <c r="AH699" s="1426" t="str">
        <f t="shared" si="247"/>
        <v>FLINER2</v>
      </c>
      <c r="AI699" s="1426" t="str">
        <f t="shared" si="247"/>
        <v/>
      </c>
      <c r="AJ699" s="1426" t="str">
        <f t="shared" si="247"/>
        <v/>
      </c>
      <c r="AK699" s="1426" t="str">
        <f t="shared" si="247"/>
        <v/>
      </c>
      <c r="AL699" s="1426"/>
      <c r="AM699" s="1449" t="s">
        <v>46</v>
      </c>
      <c r="AN699" s="172"/>
      <c r="GS699" s="176"/>
      <c r="GT699" s="176"/>
      <c r="GU699" s="176"/>
      <c r="GV699" s="176"/>
      <c r="GW699" s="176"/>
    </row>
    <row r="700" spans="1:205" ht="13.5" customHeight="1" x14ac:dyDescent="0.2">
      <c r="A700" s="712"/>
      <c r="B700" s="1113"/>
      <c r="C700" s="1113"/>
      <c r="D700" s="536"/>
      <c r="E700" s="613"/>
      <c r="G700" s="186" t="e">
        <f>#REF!</f>
        <v>#REF!</v>
      </c>
      <c r="H700" s="186" t="e">
        <f>#REF!</f>
        <v>#REF!</v>
      </c>
      <c r="I700" s="186" t="e">
        <f>#REF!</f>
        <v>#REF!</v>
      </c>
      <c r="J700" s="186" t="e">
        <f>#REF!</f>
        <v>#REF!</v>
      </c>
      <c r="K700" s="186" t="e">
        <f>#REF!</f>
        <v>#REF!</v>
      </c>
      <c r="L700" s="186" t="e">
        <f>#REF!</f>
        <v>#REF!</v>
      </c>
      <c r="P700" s="179"/>
      <c r="Q700" s="179"/>
      <c r="R700" s="179"/>
      <c r="S700" s="175"/>
      <c r="T700" s="175"/>
      <c r="U700" s="287" t="s">
        <v>206</v>
      </c>
      <c r="V700" s="287"/>
      <c r="W700" s="1488">
        <f>VLOOKUP(INPUT!D7,'Casing Running'!C2:D3,2,FALSE)</f>
        <v>2235.483870967742</v>
      </c>
      <c r="X700" s="246">
        <f t="shared" ref="X700:AH700" si="248">(X697*$W700)*FOREX</f>
        <v>1482125.8064516129</v>
      </c>
      <c r="Y700" s="246">
        <f t="shared" si="248"/>
        <v>228019.35483870967</v>
      </c>
      <c r="Z700" s="246">
        <f t="shared" si="248"/>
        <v>456038.70967741933</v>
      </c>
      <c r="AA700" s="246">
        <f t="shared" si="248"/>
        <v>570048.38709677418</v>
      </c>
      <c r="AB700" s="246">
        <f t="shared" si="248"/>
        <v>456038.70967741933</v>
      </c>
      <c r="AC700" s="246">
        <f t="shared" si="248"/>
        <v>1140096.7741935484</v>
      </c>
      <c r="AD700" s="246">
        <f t="shared" si="248"/>
        <v>342029.03225806449</v>
      </c>
      <c r="AE700" s="246">
        <f t="shared" si="248"/>
        <v>684058.06451612897</v>
      </c>
      <c r="AF700" s="246">
        <f t="shared" si="248"/>
        <v>228019.35483870967</v>
      </c>
      <c r="AG700" s="246">
        <f t="shared" si="248"/>
        <v>570048.38709677418</v>
      </c>
      <c r="AH700" s="246">
        <f t="shared" si="248"/>
        <v>798067.74193548388</v>
      </c>
      <c r="AI700" s="246">
        <f>(AI697*$W700)*FOREX</f>
        <v>0</v>
      </c>
      <c r="AJ700" s="246">
        <f>(AJ697*$W700)*FOREX</f>
        <v>0</v>
      </c>
      <c r="AK700" s="246">
        <f>(AK697*$W700)*FOREX</f>
        <v>0</v>
      </c>
      <c r="AL700" s="246" t="e">
        <f>(AL697*#REF!)*FOREX</f>
        <v>#REF!</v>
      </c>
      <c r="AM700" s="1450" t="e">
        <f>SUM(X700:AL700)</f>
        <v>#REF!</v>
      </c>
      <c r="AN700" s="254"/>
      <c r="GS700" s="176"/>
      <c r="GT700" s="176"/>
      <c r="GU700" s="176"/>
      <c r="GV700" s="176"/>
      <c r="GW700" s="176"/>
    </row>
    <row r="701" spans="1:205" s="226" customFormat="1" ht="12.75" customHeight="1" x14ac:dyDescent="0.15">
      <c r="A701" s="709"/>
      <c r="B701" s="1110"/>
      <c r="C701" s="1110"/>
      <c r="D701" s="257"/>
      <c r="E701" s="596"/>
      <c r="F701" s="172"/>
      <c r="G701" s="174"/>
      <c r="H701" s="174"/>
      <c r="I701" s="174"/>
      <c r="J701" s="174"/>
      <c r="K701" s="174"/>
      <c r="L701" s="174"/>
      <c r="M701" s="174"/>
      <c r="N701" s="174"/>
      <c r="O701" s="174"/>
      <c r="P701" s="179"/>
      <c r="Q701" s="179"/>
      <c r="R701" s="179"/>
      <c r="S701" s="179"/>
      <c r="T701" s="179"/>
      <c r="U701" s="1479"/>
      <c r="V701" s="1479"/>
      <c r="W701" s="1479"/>
      <c r="X701" s="257"/>
      <c r="Y701" s="257"/>
      <c r="Z701" s="257"/>
      <c r="AA701" s="257"/>
      <c r="AB701" s="257"/>
      <c r="AC701" s="257"/>
      <c r="AD701" s="257"/>
      <c r="AE701" s="257"/>
      <c r="AF701" s="257"/>
      <c r="AG701" s="257"/>
      <c r="AH701" s="257"/>
      <c r="AI701" s="257"/>
      <c r="AJ701" s="257"/>
      <c r="AK701" s="257"/>
      <c r="AL701" s="257"/>
      <c r="AM701" s="257"/>
      <c r="AN701" s="254"/>
      <c r="AO701" s="172"/>
      <c r="AP701" s="174"/>
      <c r="AQ701" s="174"/>
      <c r="AR701" s="174"/>
      <c r="AS701" s="174"/>
      <c r="AT701" s="174"/>
      <c r="AU701" s="174"/>
      <c r="AV701" s="172"/>
      <c r="AW701" s="172"/>
      <c r="AX701" s="172"/>
      <c r="AY701" s="172"/>
      <c r="AZ701" s="172"/>
      <c r="BA701" s="172"/>
      <c r="BB701" s="172"/>
      <c r="BC701" s="172"/>
      <c r="BD701" s="172"/>
      <c r="BE701" s="172"/>
      <c r="BF701" s="172"/>
      <c r="BG701" s="172"/>
      <c r="BH701" s="172"/>
      <c r="BI701" s="172"/>
      <c r="BJ701" s="172"/>
      <c r="BK701" s="172"/>
      <c r="BL701" s="172"/>
      <c r="BM701" s="172"/>
      <c r="BN701" s="172"/>
      <c r="BO701" s="172"/>
      <c r="BP701" s="172"/>
      <c r="BQ701" s="172"/>
      <c r="BR701" s="172"/>
      <c r="BS701" s="172"/>
      <c r="BT701" s="172"/>
      <c r="BU701" s="172"/>
      <c r="BV701" s="172"/>
      <c r="BW701" s="172"/>
      <c r="BX701" s="172"/>
      <c r="BY701" s="172"/>
      <c r="BZ701" s="172"/>
      <c r="CA701" s="172"/>
      <c r="CB701" s="172"/>
      <c r="CC701" s="172"/>
      <c r="CD701" s="172"/>
      <c r="CE701" s="172"/>
      <c r="CF701" s="172"/>
      <c r="CG701" s="172"/>
      <c r="CH701" s="172"/>
      <c r="CI701" s="172"/>
      <c r="CJ701" s="172"/>
      <c r="CK701" s="172"/>
      <c r="CL701" s="172"/>
      <c r="CM701" s="172"/>
      <c r="CN701" s="172"/>
      <c r="CO701" s="172"/>
      <c r="CP701" s="172"/>
      <c r="CQ701" s="172"/>
      <c r="CR701" s="172"/>
      <c r="CS701" s="172"/>
      <c r="CT701" s="172"/>
      <c r="CU701" s="172"/>
      <c r="CV701" s="172"/>
      <c r="CW701" s="172"/>
      <c r="CX701" s="172"/>
      <c r="CY701" s="172"/>
      <c r="CZ701" s="172"/>
      <c r="DA701" s="172"/>
      <c r="DB701" s="172"/>
      <c r="DC701" s="172"/>
      <c r="DD701" s="172"/>
      <c r="DE701" s="172"/>
      <c r="DF701" s="172"/>
      <c r="DG701" s="172"/>
      <c r="DH701" s="172"/>
      <c r="DI701" s="172"/>
      <c r="DJ701" s="172"/>
      <c r="DK701" s="172"/>
      <c r="DL701" s="172"/>
      <c r="DM701" s="172"/>
      <c r="DN701" s="172"/>
      <c r="DO701" s="172"/>
      <c r="DP701" s="172"/>
      <c r="DQ701" s="172"/>
      <c r="DR701" s="172"/>
      <c r="DS701" s="172"/>
      <c r="DT701" s="172"/>
      <c r="DU701" s="172"/>
      <c r="DV701" s="172"/>
      <c r="DW701" s="172"/>
      <c r="DX701" s="172"/>
      <c r="DY701" s="172"/>
      <c r="DZ701" s="172"/>
      <c r="EA701" s="172"/>
      <c r="EB701" s="172"/>
      <c r="EC701" s="172"/>
      <c r="ED701" s="172"/>
      <c r="EE701" s="172"/>
      <c r="EF701" s="172"/>
      <c r="EG701" s="172"/>
      <c r="EH701" s="172"/>
      <c r="EI701" s="172"/>
      <c r="EJ701" s="172"/>
      <c r="EK701" s="172"/>
      <c r="EL701" s="172"/>
      <c r="EM701" s="172"/>
      <c r="EN701" s="172"/>
      <c r="EO701" s="172"/>
      <c r="EP701" s="172"/>
      <c r="EQ701" s="172"/>
      <c r="ER701" s="172"/>
      <c r="ES701" s="172"/>
      <c r="ET701" s="172"/>
      <c r="EU701" s="172"/>
      <c r="EV701" s="172"/>
      <c r="EW701" s="172"/>
      <c r="EX701" s="172"/>
      <c r="EY701" s="172"/>
      <c r="EZ701" s="172"/>
      <c r="FA701" s="172"/>
      <c r="FB701" s="172"/>
      <c r="FC701" s="172"/>
      <c r="FD701" s="172"/>
      <c r="FE701" s="172"/>
      <c r="FF701" s="172"/>
      <c r="FG701" s="172"/>
      <c r="FH701" s="172"/>
      <c r="FI701" s="172"/>
      <c r="FJ701" s="172"/>
      <c r="FK701" s="172"/>
      <c r="FL701" s="172"/>
      <c r="FM701" s="172"/>
      <c r="FN701" s="172"/>
      <c r="FO701" s="172"/>
      <c r="FP701" s="172"/>
      <c r="FQ701" s="172"/>
      <c r="FR701" s="172"/>
      <c r="FS701" s="172"/>
      <c r="FT701" s="172"/>
      <c r="FU701" s="172"/>
      <c r="FV701" s="172"/>
      <c r="FW701" s="172"/>
      <c r="FX701" s="172"/>
      <c r="FY701" s="172"/>
      <c r="FZ701" s="172"/>
      <c r="GA701" s="172"/>
      <c r="GB701" s="172"/>
      <c r="GC701" s="172"/>
      <c r="GD701" s="172"/>
      <c r="GE701" s="172"/>
      <c r="GF701" s="172"/>
      <c r="GG701" s="172"/>
      <c r="GH701" s="172"/>
      <c r="GI701" s="172"/>
      <c r="GJ701" s="172"/>
      <c r="GK701" s="172"/>
      <c r="GL701" s="172"/>
      <c r="GM701" s="172"/>
      <c r="GN701" s="172"/>
      <c r="GO701" s="172"/>
      <c r="GP701" s="172"/>
      <c r="GQ701" s="172"/>
      <c r="GR701" s="172"/>
    </row>
    <row r="702" spans="1:205" ht="12.75" customHeight="1" x14ac:dyDescent="0.2">
      <c r="A702" s="708"/>
      <c r="B702" s="1109"/>
      <c r="C702" s="1109"/>
      <c r="D702" s="202"/>
      <c r="G702" s="174"/>
      <c r="H702" s="174"/>
      <c r="I702" s="174"/>
      <c r="J702" s="174"/>
      <c r="K702" s="174"/>
      <c r="P702" s="179"/>
      <c r="Q702" s="179"/>
      <c r="R702" s="179"/>
      <c r="S702" s="175"/>
      <c r="T702" s="175"/>
      <c r="U702" s="181"/>
      <c r="V702" s="181"/>
      <c r="W702" s="181"/>
      <c r="X702" s="202"/>
      <c r="Y702" s="202"/>
      <c r="Z702" s="202"/>
      <c r="AA702" s="202"/>
      <c r="AB702" s="202"/>
      <c r="AC702" s="202"/>
      <c r="AD702" s="202"/>
      <c r="AE702" s="202"/>
      <c r="AF702" s="202"/>
      <c r="AG702" s="202"/>
      <c r="AH702" s="202"/>
      <c r="AI702" s="202"/>
      <c r="AJ702" s="202"/>
      <c r="AK702" s="202"/>
      <c r="AL702" s="202"/>
      <c r="AM702" s="202"/>
      <c r="AN702" s="254"/>
      <c r="GS702" s="176"/>
      <c r="GT702" s="176"/>
      <c r="GU702" s="176"/>
      <c r="GV702" s="176"/>
      <c r="GW702" s="176"/>
    </row>
    <row r="703" spans="1:205" ht="12.75" customHeight="1" x14ac:dyDescent="0.2">
      <c r="A703" s="702"/>
      <c r="B703" s="1103"/>
      <c r="C703" s="1103"/>
      <c r="D703" s="254"/>
      <c r="E703" s="622"/>
      <c r="G703" s="174"/>
      <c r="H703" s="174"/>
      <c r="I703" s="174"/>
      <c r="J703" s="174"/>
      <c r="K703" s="174"/>
      <c r="P703" s="179"/>
      <c r="Q703" s="179"/>
      <c r="R703" s="179"/>
      <c r="S703" s="179"/>
      <c r="T703" s="179"/>
      <c r="U703" s="173"/>
      <c r="V703" s="173"/>
      <c r="X703" s="254"/>
      <c r="Y703" s="254"/>
      <c r="Z703" s="254"/>
      <c r="AA703" s="254"/>
      <c r="AB703" s="254"/>
      <c r="AC703" s="642"/>
      <c r="AD703" s="642"/>
      <c r="AE703" s="642"/>
      <c r="AF703" s="642"/>
      <c r="AG703" s="642"/>
      <c r="AH703" s="642"/>
      <c r="AI703" s="642"/>
      <c r="AJ703" s="642"/>
      <c r="AK703" s="642"/>
      <c r="AL703" s="642"/>
      <c r="AM703" s="254"/>
      <c r="AN703" s="259"/>
      <c r="GS703" s="176"/>
      <c r="GT703" s="176"/>
      <c r="GU703" s="176"/>
      <c r="GV703" s="176"/>
      <c r="GW703" s="176"/>
    </row>
    <row r="704" spans="1:205" ht="12.75" customHeight="1" x14ac:dyDescent="0.2">
      <c r="A704" s="702"/>
      <c r="B704" s="1103"/>
      <c r="C704" s="1103"/>
      <c r="D704" s="254"/>
      <c r="E704" s="622"/>
      <c r="G704" s="174"/>
      <c r="H704" s="174"/>
      <c r="I704" s="174"/>
      <c r="J704" s="174"/>
      <c r="K704" s="174"/>
      <c r="P704" s="179"/>
      <c r="Q704" s="179"/>
      <c r="R704" s="179"/>
      <c r="S704" s="179"/>
      <c r="T704" s="179"/>
      <c r="U704" s="173"/>
      <c r="V704" s="173"/>
      <c r="W704" s="202"/>
      <c r="X704" s="202"/>
      <c r="Y704" s="202">
        <f>$W709*DSURFACE</f>
        <v>3192000</v>
      </c>
      <c r="AC704" s="239"/>
      <c r="AD704" s="239"/>
      <c r="AE704" s="239"/>
      <c r="AF704" s="239"/>
      <c r="AG704" s="239"/>
      <c r="AH704" s="239"/>
      <c r="AI704" s="239"/>
      <c r="AJ704" s="239"/>
      <c r="AK704" s="239"/>
      <c r="AL704" s="239"/>
      <c r="AM704" s="172"/>
      <c r="AN704" s="1183"/>
      <c r="GS704" s="176"/>
      <c r="GT704" s="176"/>
      <c r="GU704" s="176"/>
      <c r="GV704" s="176"/>
      <c r="GW704" s="176"/>
    </row>
    <row r="705" spans="1:205" ht="12.75" customHeight="1" x14ac:dyDescent="0.2">
      <c r="A705" s="702"/>
      <c r="B705" s="1103"/>
      <c r="C705" s="1103"/>
      <c r="D705" s="254"/>
      <c r="E705" s="622"/>
      <c r="G705" s="174"/>
      <c r="H705" s="174"/>
      <c r="I705" s="174"/>
      <c r="J705" s="174"/>
      <c r="K705" s="174"/>
      <c r="P705" s="179"/>
      <c r="Q705" s="179"/>
      <c r="R705" s="179"/>
      <c r="S705" s="179"/>
      <c r="T705" s="179"/>
      <c r="U705" s="942"/>
      <c r="V705" s="942" t="s">
        <v>2155</v>
      </c>
      <c r="W705" s="749"/>
      <c r="X705" s="943"/>
      <c r="Y705" s="943" t="str">
        <f>Y$14</f>
        <v>DSURFACE</v>
      </c>
      <c r="Z705" s="943"/>
      <c r="AA705" s="944"/>
      <c r="AB705" s="944"/>
      <c r="AC705" s="944"/>
      <c r="AD705" s="944"/>
      <c r="AE705" s="943"/>
      <c r="AF705" s="945"/>
      <c r="AG705" s="945"/>
      <c r="AH705" s="945"/>
      <c r="AI705" s="945"/>
      <c r="AJ705" s="945"/>
      <c r="AK705" s="945"/>
      <c r="AL705" s="945"/>
      <c r="AM705" s="749"/>
      <c r="AN705" s="1183"/>
      <c r="GS705" s="176"/>
      <c r="GT705" s="176"/>
      <c r="GU705" s="176"/>
      <c r="GV705" s="176"/>
      <c r="GW705" s="176"/>
    </row>
    <row r="706" spans="1:205" ht="12.75" customHeight="1" x14ac:dyDescent="0.2">
      <c r="A706" s="733"/>
      <c r="B706" s="1103"/>
      <c r="C706" s="1103"/>
      <c r="D706" s="254"/>
      <c r="E706" s="622"/>
      <c r="G706" s="174"/>
      <c r="H706" s="174"/>
      <c r="I706" s="174"/>
      <c r="J706" s="174"/>
      <c r="K706" s="174"/>
      <c r="P706" s="179"/>
      <c r="Q706" s="179"/>
      <c r="R706" s="179"/>
      <c r="S706" s="179"/>
      <c r="T706" s="179"/>
      <c r="U706" s="1496" t="s">
        <v>138</v>
      </c>
      <c r="V706" s="1497" t="s">
        <v>181</v>
      </c>
      <c r="W706" s="1497" t="s">
        <v>209</v>
      </c>
      <c r="X706" s="1498" t="str">
        <f t="shared" ref="X706:AK706" si="249">X$14</f>
        <v>RIGMOVE</v>
      </c>
      <c r="Y706" s="1498" t="str">
        <f t="shared" si="249"/>
        <v>DSURFACE</v>
      </c>
      <c r="Z706" s="1498" t="str">
        <f t="shared" si="249"/>
        <v>FSURFACE</v>
      </c>
      <c r="AA706" s="1498" t="str">
        <f t="shared" si="249"/>
        <v>DINTERMEDIATE</v>
      </c>
      <c r="AB706" s="1498" t="str">
        <f t="shared" si="249"/>
        <v>FINTERMEDIATE</v>
      </c>
      <c r="AC706" s="1498" t="str">
        <f t="shared" si="249"/>
        <v>DPRODUCTION</v>
      </c>
      <c r="AD706" s="1498" t="str">
        <f t="shared" si="249"/>
        <v>FPRODUCTION</v>
      </c>
      <c r="AE706" s="1498" t="str">
        <f t="shared" si="249"/>
        <v>DLINER1</v>
      </c>
      <c r="AF706" s="1498" t="str">
        <f t="shared" si="249"/>
        <v>FLINER1</v>
      </c>
      <c r="AG706" s="1498" t="str">
        <f t="shared" si="249"/>
        <v>DLINER2</v>
      </c>
      <c r="AH706" s="1498" t="str">
        <f t="shared" si="249"/>
        <v>FLINER2</v>
      </c>
      <c r="AI706" s="1498" t="str">
        <f t="shared" si="249"/>
        <v/>
      </c>
      <c r="AJ706" s="1498" t="str">
        <f t="shared" si="249"/>
        <v/>
      </c>
      <c r="AK706" s="1498" t="str">
        <f t="shared" si="249"/>
        <v/>
      </c>
      <c r="AL706" s="1498"/>
      <c r="AM706" s="1499" t="s">
        <v>46</v>
      </c>
      <c r="AN706" s="1183"/>
      <c r="GS706" s="176"/>
      <c r="GT706" s="176"/>
      <c r="GU706" s="176"/>
      <c r="GV706" s="176"/>
      <c r="GW706" s="176"/>
    </row>
    <row r="707" spans="1:205" ht="12.75" customHeight="1" x14ac:dyDescent="0.2">
      <c r="A707" s="733"/>
      <c r="B707" s="1103"/>
      <c r="C707" s="1103"/>
      <c r="D707" s="254"/>
      <c r="E707" s="622"/>
      <c r="G707" s="174"/>
      <c r="H707" s="174"/>
      <c r="I707" s="174"/>
      <c r="J707" s="174"/>
      <c r="K707" s="174"/>
      <c r="P707" s="179"/>
      <c r="Q707" s="179"/>
      <c r="R707" s="179"/>
      <c r="S707" s="179"/>
      <c r="T707" s="179"/>
      <c r="U707" s="800"/>
      <c r="V707" s="1500" t="s">
        <v>1128</v>
      </c>
      <c r="W707" s="511">
        <f>INDEX('TPWSI RR'!B32:E35,MATCH(INPUT!D5,'TPWSI RR'!A32:A35,0),MATCH(INPUT!$H$8,'TPWSI RR'!B31:E31,0))</f>
        <v>16721000</v>
      </c>
      <c r="X707" s="1543">
        <f>W707</f>
        <v>16721000</v>
      </c>
      <c r="Y707" s="1848"/>
      <c r="Z707" s="1848"/>
      <c r="AA707" s="1849"/>
      <c r="AB707" s="1849"/>
      <c r="AC707" s="1849"/>
      <c r="AD707" s="1849"/>
      <c r="AE707" s="1849"/>
      <c r="AF707" s="1849"/>
      <c r="AG707" s="1849"/>
      <c r="AH707" s="1311"/>
      <c r="AI707" s="1311"/>
      <c r="AJ707" s="1311"/>
      <c r="AK707" s="1311"/>
      <c r="AL707" s="1311"/>
      <c r="AM707" s="1312">
        <f>SUM(X707:AH707)</f>
        <v>16721000</v>
      </c>
      <c r="AN707" s="1183"/>
      <c r="GS707" s="176"/>
      <c r="GT707" s="176"/>
      <c r="GU707" s="176"/>
      <c r="GV707" s="176"/>
      <c r="GW707" s="176"/>
    </row>
    <row r="708" spans="1:205" ht="12.75" customHeight="1" x14ac:dyDescent="0.2">
      <c r="A708" s="733"/>
      <c r="B708" s="1103"/>
      <c r="C708" s="1103"/>
      <c r="D708" s="254"/>
      <c r="E708" s="622"/>
      <c r="G708" s="174"/>
      <c r="H708" s="174"/>
      <c r="I708" s="174"/>
      <c r="J708" s="174"/>
      <c r="K708" s="174"/>
      <c r="P708" s="179"/>
      <c r="Q708" s="179"/>
      <c r="R708" s="179"/>
      <c r="S708" s="179"/>
      <c r="T708" s="179"/>
      <c r="U708" s="800"/>
      <c r="V708" s="1500" t="s">
        <v>1041</v>
      </c>
      <c r="W708" s="511">
        <f>IF(OR(INPUT!D5="RIG 1",INPUT!D5="RIG 2"),'TPWSI RR'!F23,0)</f>
        <v>1596000</v>
      </c>
      <c r="X708" s="1543">
        <f>IF(OR(INPUT!D5="RIG 1",INPUT!D5="RIG 2"),13*'TPWSI RR'!F23,0)</f>
        <v>20748000</v>
      </c>
      <c r="Y708" s="1848"/>
      <c r="Z708" s="1848"/>
      <c r="AA708" s="1849"/>
      <c r="AB708" s="1849"/>
      <c r="AC708" s="1849"/>
      <c r="AD708" s="1849"/>
      <c r="AE708" s="1849"/>
      <c r="AF708" s="1849"/>
      <c r="AG708" s="1849"/>
      <c r="AH708" s="1311"/>
      <c r="AI708" s="1311"/>
      <c r="AJ708" s="1311"/>
      <c r="AK708" s="1311"/>
      <c r="AL708" s="1311"/>
      <c r="AM708" s="1312">
        <f>SUM(X708:AH708)</f>
        <v>20748000</v>
      </c>
      <c r="AN708" s="1183"/>
      <c r="GS708" s="176"/>
      <c r="GT708" s="176"/>
      <c r="GU708" s="176"/>
      <c r="GV708" s="176"/>
      <c r="GW708" s="176"/>
    </row>
    <row r="709" spans="1:205" ht="12.75" customHeight="1" x14ac:dyDescent="0.2">
      <c r="A709" s="736"/>
      <c r="B709" s="1103"/>
      <c r="C709" s="1103"/>
      <c r="D709" s="254"/>
      <c r="E709" s="622"/>
      <c r="G709" s="174"/>
      <c r="H709" s="174"/>
      <c r="I709" s="174"/>
      <c r="J709" s="174"/>
      <c r="K709" s="174"/>
      <c r="P709" s="179"/>
      <c r="Q709" s="179"/>
      <c r="R709" s="179"/>
      <c r="S709" s="179"/>
      <c r="T709" s="179"/>
      <c r="U709" s="800"/>
      <c r="V709" s="1500" t="str">
        <f>CONCATENATE("DRILLING RIG SERVICES - Base Rate ","@ ",ROP," ","ROP")</f>
        <v>DRILLING RIG SERVICES - Base Rate @ 61 ROP</v>
      </c>
      <c r="W709" s="511">
        <f>IF(OR(INPUT!D5="RIG 1",INPUT!D5="RIG 2"),'TPWSI RR'!$M$35,0)</f>
        <v>1596000</v>
      </c>
      <c r="X709" s="287"/>
      <c r="Y709" s="1311">
        <f ca="1">INDIRECT(Y706)*$W709*IF(INPUT!$D$18="No",0,1)</f>
        <v>3192000</v>
      </c>
      <c r="Z709" s="1311">
        <f ca="1">INDIRECT(Z706)*$W709*IF(INPUT!$D$18="No",0,1)</f>
        <v>6384000</v>
      </c>
      <c r="AA709" s="1311">
        <f ca="1">INDIRECT(AA706)*$W709</f>
        <v>7980000</v>
      </c>
      <c r="AB709" s="1311">
        <f ca="1">INDIRECT(AB$706)*$W709</f>
        <v>6384000</v>
      </c>
      <c r="AC709" s="1311">
        <f ca="1">INDIRECT(AC$706)*$W709</f>
        <v>15960000</v>
      </c>
      <c r="AD709" s="1311">
        <f ca="1">INDIRECT(AD$706)*$W709</f>
        <v>4788000</v>
      </c>
      <c r="AE709" s="1311">
        <f ca="1">INDIRECT(AE$706)*$W709</f>
        <v>9576000</v>
      </c>
      <c r="AF709" s="1311">
        <f ca="1">IF(AG706="",INDIRECT(AF706)*W709,(INDIRECT(AF706)-IF(INPUT!$D$8="YES",0,4))*$W709)</f>
        <v>3192000</v>
      </c>
      <c r="AG709" s="1311">
        <f ca="1">IF(INPUT!$D$8="YES",INDIRECT(AG$706)*$W709,0)</f>
        <v>7980000</v>
      </c>
      <c r="AH709" s="1311">
        <f ca="1">IF(INPUT!$D$8="YES",(INDIRECT(AH$706)-3)*$W709,0)</f>
        <v>6384000</v>
      </c>
      <c r="AI709" s="1311">
        <f ca="1">IF(INPUT!$D$19="YES",INDIRECT(AI$706)*$W709,0)</f>
        <v>0</v>
      </c>
      <c r="AJ709" s="1311">
        <f ca="1">IF(INPUT!$D$19="YES",(INDIRECT(AJ$706)-3)*$W709,0)</f>
        <v>0</v>
      </c>
      <c r="AK709" s="1311"/>
      <c r="AL709" s="1311"/>
      <c r="AM709" s="1312">
        <f ca="1">SUM(X709:AH709)</f>
        <v>71820000</v>
      </c>
      <c r="AN709" s="1183"/>
      <c r="GS709" s="176"/>
      <c r="GT709" s="176"/>
      <c r="GU709" s="176"/>
      <c r="GV709" s="176"/>
      <c r="GW709" s="176"/>
    </row>
    <row r="710" spans="1:205" ht="12.75" customHeight="1" x14ac:dyDescent="0.2">
      <c r="A710" s="736"/>
      <c r="B710" s="1103"/>
      <c r="C710" s="1103"/>
      <c r="D710" s="254"/>
      <c r="E710" s="622"/>
      <c r="G710" s="174"/>
      <c r="H710" s="174"/>
      <c r="I710" s="174"/>
      <c r="J710" s="174"/>
      <c r="K710" s="174"/>
      <c r="P710" s="179"/>
      <c r="Q710" s="179"/>
      <c r="R710" s="179"/>
      <c r="S710" s="179"/>
      <c r="T710" s="179"/>
      <c r="U710" s="1313"/>
      <c r="V710" s="1500" t="s">
        <v>1098</v>
      </c>
      <c r="W710" s="511">
        <f>IF(OR(INPUT!$D$5="RIG 1",INPUT!$D$5="RIG 2"),'TPWSI RR'!$M$35,0)</f>
        <v>1596000</v>
      </c>
      <c r="X710" s="1315"/>
      <c r="Y710" s="1848"/>
      <c r="Z710" s="1848"/>
      <c r="AA710" s="1849"/>
      <c r="AB710" s="1849"/>
      <c r="AC710" s="1849"/>
      <c r="AD710" s="1849"/>
      <c r="AE710" s="1849"/>
      <c r="AF710" s="1849"/>
      <c r="AG710" s="1849"/>
      <c r="AH710" s="1311">
        <f>IF(INPUT!$D$8="YES",4,0)*$W710</f>
        <v>6384000</v>
      </c>
      <c r="AI710" s="1311"/>
      <c r="AJ710" s="1311">
        <f>IF(INPUT!$D$19="YES",3,0)*$W710</f>
        <v>0</v>
      </c>
      <c r="AK710" s="1311">
        <f ca="1">IF(INPUT!$H$19="YES",(INDIRECT(AK$706))*$W710,0)</f>
        <v>0</v>
      </c>
      <c r="AL710" s="1311"/>
      <c r="AM710" s="1312">
        <f t="shared" ref="AM710:AM716" si="250">SUM(X710:AH710)</f>
        <v>6384000</v>
      </c>
      <c r="AN710" s="258"/>
      <c r="GS710" s="176"/>
      <c r="GT710" s="176"/>
      <c r="GU710" s="176"/>
      <c r="GV710" s="176"/>
      <c r="GW710" s="176"/>
    </row>
    <row r="711" spans="1:205" ht="12.75" customHeight="1" x14ac:dyDescent="0.2">
      <c r="A711" s="736"/>
      <c r="B711" s="1103"/>
      <c r="C711" s="1103"/>
      <c r="D711" s="254"/>
      <c r="E711" s="622"/>
      <c r="G711" s="174"/>
      <c r="H711" s="174"/>
      <c r="I711" s="174"/>
      <c r="J711" s="174"/>
      <c r="K711" s="174"/>
      <c r="P711" s="179"/>
      <c r="Q711" s="179"/>
      <c r="R711" s="179"/>
      <c r="S711" s="179"/>
      <c r="T711" s="179"/>
      <c r="U711" s="1313"/>
      <c r="V711" s="1500" t="s">
        <v>703</v>
      </c>
      <c r="W711" s="1314">
        <f>IF(OR(INPUT!D5="RIG 1",INPUT!D5="RIG 2"),'TPWSI RR'!F24,0)</f>
        <v>44125.714191780819</v>
      </c>
      <c r="X711" s="1544">
        <f ca="1">INDIRECT(X$706)*$W711</f>
        <v>573634.28449315066</v>
      </c>
      <c r="Y711" s="1315">
        <f ca="1">INDIRECT(Y$706)*$W711*IF(INPUT!$D$18="No",0,1)</f>
        <v>88251.428383561637</v>
      </c>
      <c r="Z711" s="1315">
        <f ca="1">INDIRECT(Z$706)*$W711*IF(INPUT!$D$18="No",0,1)</f>
        <v>176502.85676712327</v>
      </c>
      <c r="AA711" s="1311">
        <f t="shared" ref="AA711:AF711" ca="1" si="251">INDIRECT(AA$706)*$W711</f>
        <v>220628.57095890411</v>
      </c>
      <c r="AB711" s="1311">
        <f t="shared" ca="1" si="251"/>
        <v>176502.85676712327</v>
      </c>
      <c r="AC711" s="1311">
        <f t="shared" ca="1" si="251"/>
        <v>441257.14191780821</v>
      </c>
      <c r="AD711" s="1311">
        <f t="shared" ca="1" si="251"/>
        <v>132377.14257534244</v>
      </c>
      <c r="AE711" s="1311">
        <f t="shared" ca="1" si="251"/>
        <v>264754.28515068488</v>
      </c>
      <c r="AF711" s="1311">
        <f t="shared" ca="1" si="251"/>
        <v>88251.428383561637</v>
      </c>
      <c r="AG711" s="1311">
        <f ca="1">IF(INPUT!$D$8="YES",INDIRECT(AG$706)*$W711,0)</f>
        <v>220628.57095890411</v>
      </c>
      <c r="AH711" s="1311">
        <f ca="1">IF(INPUT!$D$8="YES",INDIRECT(AH$706)*$W711,0)</f>
        <v>308879.99934246572</v>
      </c>
      <c r="AI711" s="1311">
        <f ca="1">IF(INPUT!$D$19="YES",INDIRECT(AI$706)*$W711,0)</f>
        <v>0</v>
      </c>
      <c r="AJ711" s="1311">
        <f ca="1">IF(INPUT!$D$19="YES",INDIRECT(AJ$706)*$W711,0)</f>
        <v>0</v>
      </c>
      <c r="AK711" s="1311">
        <f ca="1">IF(INPUT!$H$19="YES",INDIRECT(AK$706)*$W711,0)</f>
        <v>0</v>
      </c>
      <c r="AL711" s="1311"/>
      <c r="AM711" s="1312">
        <f t="shared" ca="1" si="250"/>
        <v>2691668.5656986297</v>
      </c>
      <c r="AN711" s="258"/>
      <c r="GS711" s="176"/>
      <c r="GT711" s="176"/>
      <c r="GU711" s="176"/>
      <c r="GV711" s="176"/>
      <c r="GW711" s="176"/>
    </row>
    <row r="712" spans="1:205" ht="12.75" customHeight="1" x14ac:dyDescent="0.2">
      <c r="A712" s="736"/>
      <c r="B712" s="1103"/>
      <c r="C712" s="1103"/>
      <c r="D712" s="254"/>
      <c r="E712" s="622"/>
      <c r="G712" s="174"/>
      <c r="H712" s="174"/>
      <c r="I712" s="174"/>
      <c r="J712" s="174"/>
      <c r="K712" s="174"/>
      <c r="P712" s="179"/>
      <c r="Q712" s="179"/>
      <c r="R712" s="179"/>
      <c r="S712" s="179"/>
      <c r="T712" s="179"/>
      <c r="U712" s="1313"/>
      <c r="V712" s="1500" t="s">
        <v>821</v>
      </c>
      <c r="W712" s="1314">
        <f>IF(OR(INPUT!D5="RIG 1",INPUT!D5="RIG 2"),'TPWSI RR'!F11,0)</f>
        <v>2000000</v>
      </c>
      <c r="X712" s="1315"/>
      <c r="Y712" s="1848"/>
      <c r="Z712" s="1848"/>
      <c r="AA712" s="1849"/>
      <c r="AB712" s="1849"/>
      <c r="AC712" s="1849"/>
      <c r="AD712" s="1849"/>
      <c r="AE712" s="1849"/>
      <c r="AF712" s="1311">
        <f>IF(INPUT!$D$8="YES",0,$W712)</f>
        <v>0</v>
      </c>
      <c r="AG712" s="1849"/>
      <c r="AH712" s="1311">
        <f>IF(INPUT!$D$8="YES",$W712,0)</f>
        <v>2000000</v>
      </c>
      <c r="AI712" s="1311"/>
      <c r="AJ712" s="1311">
        <f>IF(INPUT!$D$19="YES",$W712,0)*IF($AH$712="",2000000,0)</f>
        <v>0</v>
      </c>
      <c r="AK712" s="1311"/>
      <c r="AL712" s="1311"/>
      <c r="AM712" s="1312">
        <f t="shared" si="250"/>
        <v>2000000</v>
      </c>
      <c r="AN712" s="258"/>
      <c r="GS712" s="176"/>
      <c r="GT712" s="176"/>
      <c r="GU712" s="176"/>
      <c r="GV712" s="176"/>
      <c r="GW712" s="176"/>
    </row>
    <row r="713" spans="1:205" ht="12.75" customHeight="1" x14ac:dyDescent="0.2">
      <c r="A713" s="736"/>
      <c r="B713" s="1103"/>
      <c r="C713" s="1103"/>
      <c r="D713" s="254"/>
      <c r="E713" s="622"/>
      <c r="G713" s="174"/>
      <c r="H713" s="174"/>
      <c r="I713" s="174"/>
      <c r="J713" s="174"/>
      <c r="K713" s="174"/>
      <c r="P713" s="179"/>
      <c r="Q713" s="179"/>
      <c r="R713" s="179"/>
      <c r="S713" s="179"/>
      <c r="T713" s="179"/>
      <c r="U713" s="1313"/>
      <c r="V713" s="1500" t="s">
        <v>818</v>
      </c>
      <c r="W713" s="1314">
        <f>IF(OR(INPUT!D5="RIG 1",INPUT!D5="RIG 2"),VLOOKUP(INPUT!$H$7,'TPWSI RR'!$L$20:$S$65,2,FALSE),0)</f>
        <v>1729350</v>
      </c>
      <c r="X713" s="1315"/>
      <c r="Y713" s="1848"/>
      <c r="Z713" s="1848"/>
      <c r="AA713" s="1849"/>
      <c r="AB713" s="1849"/>
      <c r="AC713" s="1849"/>
      <c r="AD713" s="1849"/>
      <c r="AE713" s="1849"/>
      <c r="AF713" s="1311">
        <f>IF(INPUT!$D$8="YES",0,(SUM(INPUT!$S$7:$S$9)+3)*($W$713-$W709))</f>
        <v>0</v>
      </c>
      <c r="AG713" s="1849"/>
      <c r="AH713" s="1311">
        <f>IF(INPUT!$D$8="YES",(SUM(INPUT!$S$7:$S$11)-3)*($W$713-$W709),0)</f>
        <v>6000750</v>
      </c>
      <c r="AI713" s="1311">
        <f ca="1">IF(INPUT!$D$19="YES",INDIRECT(AI$706)*($W$713-$W709),0)</f>
        <v>0</v>
      </c>
      <c r="AJ713" s="1311">
        <f ca="1">IF(INPUT!$D$19="YES",(INDIRECT(AJ$706)-3)*($W$713-$W709),0)</f>
        <v>0</v>
      </c>
      <c r="AK713" s="1311"/>
      <c r="AL713" s="1311"/>
      <c r="AM713" s="1312">
        <f t="shared" si="250"/>
        <v>6000750</v>
      </c>
      <c r="AN713" s="258"/>
      <c r="GS713" s="176"/>
      <c r="GT713" s="176"/>
      <c r="GU713" s="176"/>
      <c r="GV713" s="176"/>
      <c r="GW713" s="176"/>
    </row>
    <row r="714" spans="1:205" s="1024" customFormat="1" ht="12.75" customHeight="1" x14ac:dyDescent="0.2">
      <c r="A714" s="1019"/>
      <c r="B714" s="1139"/>
      <c r="C714" s="1139"/>
      <c r="D714" s="1020"/>
      <c r="E714" s="1021"/>
      <c r="F714" s="226"/>
      <c r="G714" s="1022"/>
      <c r="H714" s="1022"/>
      <c r="I714" s="1022"/>
      <c r="J714" s="1022"/>
      <c r="K714" s="1022"/>
      <c r="L714" s="1022"/>
      <c r="M714" s="1022"/>
      <c r="N714" s="1022"/>
      <c r="O714" s="1022"/>
      <c r="P714" s="1023"/>
      <c r="Q714" s="1023"/>
      <c r="R714" s="1023"/>
      <c r="S714" s="1023"/>
      <c r="T714" s="1023"/>
      <c r="U714" s="1313"/>
      <c r="V714" s="1500" t="s">
        <v>975</v>
      </c>
      <c r="W714" s="1316"/>
      <c r="X714" s="1315"/>
      <c r="Y714" s="1848"/>
      <c r="Z714" s="1848"/>
      <c r="AA714" s="1849"/>
      <c r="AB714" s="1849"/>
      <c r="AC714" s="1849"/>
      <c r="AD714" s="1849"/>
      <c r="AE714" s="1849"/>
      <c r="AF714" s="1849"/>
      <c r="AG714" s="1849"/>
      <c r="AH714" s="1311"/>
      <c r="AI714" s="1311"/>
      <c r="AJ714" s="1311"/>
      <c r="AK714" s="1311"/>
      <c r="AL714" s="1311"/>
      <c r="AM714" s="1312">
        <f t="shared" si="250"/>
        <v>0</v>
      </c>
      <c r="AN714" s="258"/>
      <c r="AO714" s="172"/>
      <c r="AP714" s="174"/>
      <c r="AQ714" s="174"/>
      <c r="AR714" s="174"/>
      <c r="AS714" s="174"/>
      <c r="AT714" s="174"/>
      <c r="AU714" s="174"/>
      <c r="AV714" s="226"/>
      <c r="AW714" s="226"/>
      <c r="AX714" s="226"/>
      <c r="AY714" s="226"/>
      <c r="AZ714" s="226"/>
      <c r="BA714" s="226"/>
      <c r="BB714" s="226"/>
      <c r="BC714" s="226"/>
      <c r="BD714" s="226"/>
      <c r="BE714" s="226"/>
      <c r="BF714" s="226"/>
      <c r="BG714" s="226"/>
      <c r="BH714" s="226"/>
      <c r="BI714" s="226"/>
      <c r="BJ714" s="226"/>
      <c r="BK714" s="226"/>
      <c r="BL714" s="226"/>
      <c r="BM714" s="226"/>
      <c r="BN714" s="226"/>
      <c r="BO714" s="226"/>
      <c r="BP714" s="226"/>
      <c r="BQ714" s="226"/>
      <c r="BR714" s="226"/>
      <c r="BS714" s="226"/>
      <c r="BT714" s="226"/>
      <c r="BU714" s="226"/>
      <c r="BV714" s="226"/>
      <c r="BW714" s="226"/>
      <c r="BX714" s="226"/>
      <c r="BY714" s="226"/>
      <c r="BZ714" s="226"/>
      <c r="CA714" s="226"/>
      <c r="CB714" s="226"/>
      <c r="CC714" s="226"/>
      <c r="CD714" s="226"/>
      <c r="CE714" s="226"/>
      <c r="CF714" s="226"/>
      <c r="CG714" s="226"/>
      <c r="CH714" s="226"/>
      <c r="CI714" s="226"/>
      <c r="CJ714" s="226"/>
      <c r="CK714" s="226"/>
      <c r="CL714" s="226"/>
      <c r="CM714" s="226"/>
      <c r="CN714" s="226"/>
      <c r="CO714" s="226"/>
      <c r="CP714" s="226"/>
      <c r="CQ714" s="226"/>
      <c r="CR714" s="226"/>
      <c r="CS714" s="226"/>
      <c r="CT714" s="226"/>
      <c r="CU714" s="226"/>
      <c r="CV714" s="226"/>
      <c r="CW714" s="226"/>
      <c r="CX714" s="226"/>
      <c r="CY714" s="226"/>
      <c r="CZ714" s="226"/>
      <c r="DA714" s="226"/>
      <c r="DB714" s="226"/>
      <c r="DC714" s="226"/>
      <c r="DD714" s="226"/>
      <c r="DE714" s="226"/>
      <c r="DF714" s="226"/>
      <c r="DG714" s="226"/>
      <c r="DH714" s="226"/>
      <c r="DI714" s="226"/>
      <c r="DJ714" s="226"/>
      <c r="DK714" s="226"/>
      <c r="DL714" s="226"/>
      <c r="DM714" s="226"/>
      <c r="DN714" s="226"/>
      <c r="DO714" s="226"/>
      <c r="DP714" s="226"/>
      <c r="DQ714" s="226"/>
      <c r="DR714" s="226"/>
      <c r="DS714" s="226"/>
      <c r="DT714" s="226"/>
      <c r="DU714" s="226"/>
      <c r="DV714" s="226"/>
      <c r="DW714" s="226"/>
      <c r="DX714" s="226"/>
      <c r="DY714" s="226"/>
      <c r="DZ714" s="226"/>
      <c r="EA714" s="226"/>
      <c r="EB714" s="226"/>
      <c r="EC714" s="226"/>
      <c r="ED714" s="226"/>
      <c r="EE714" s="226"/>
      <c r="EF714" s="226"/>
      <c r="EG714" s="226"/>
      <c r="EH714" s="226"/>
      <c r="EI714" s="226"/>
      <c r="EJ714" s="226"/>
      <c r="EK714" s="226"/>
      <c r="EL714" s="226"/>
      <c r="EM714" s="226"/>
      <c r="EN714" s="226"/>
      <c r="EO714" s="226"/>
      <c r="EP714" s="226"/>
      <c r="EQ714" s="226"/>
      <c r="ER714" s="226"/>
      <c r="ES714" s="226"/>
      <c r="ET714" s="226"/>
      <c r="EU714" s="226"/>
      <c r="EV714" s="226"/>
      <c r="EW714" s="226"/>
      <c r="EX714" s="226"/>
      <c r="EY714" s="226"/>
      <c r="EZ714" s="226"/>
      <c r="FA714" s="226"/>
      <c r="FB714" s="226"/>
      <c r="FC714" s="226"/>
      <c r="FD714" s="226"/>
      <c r="FE714" s="226"/>
      <c r="FF714" s="226"/>
      <c r="FG714" s="226"/>
      <c r="FH714" s="226"/>
      <c r="FI714" s="226"/>
      <c r="FJ714" s="226"/>
      <c r="FK714" s="226"/>
      <c r="FL714" s="226"/>
      <c r="FM714" s="226"/>
      <c r="FN714" s="226"/>
      <c r="FO714" s="226"/>
      <c r="FP714" s="226"/>
      <c r="FQ714" s="226"/>
      <c r="FR714" s="226"/>
      <c r="FS714" s="226"/>
      <c r="FT714" s="226"/>
      <c r="FU714" s="226"/>
      <c r="FV714" s="226"/>
      <c r="FW714" s="226"/>
      <c r="FX714" s="226"/>
      <c r="FY714" s="226"/>
      <c r="FZ714" s="226"/>
      <c r="GA714" s="226"/>
      <c r="GB714" s="226"/>
      <c r="GC714" s="226"/>
      <c r="GD714" s="226"/>
      <c r="GE714" s="226"/>
      <c r="GF714" s="226"/>
      <c r="GG714" s="226"/>
      <c r="GH714" s="226"/>
      <c r="GI714" s="226"/>
      <c r="GJ714" s="226"/>
      <c r="GK714" s="226"/>
      <c r="GL714" s="226"/>
      <c r="GM714" s="226"/>
      <c r="GN714" s="226"/>
      <c r="GO714" s="226"/>
      <c r="GP714" s="226"/>
      <c r="GQ714" s="226"/>
      <c r="GR714" s="226"/>
    </row>
    <row r="715" spans="1:205" s="1024" customFormat="1" ht="12.75" customHeight="1" x14ac:dyDescent="0.2">
      <c r="A715" s="1019"/>
      <c r="B715" s="1139"/>
      <c r="C715" s="1139"/>
      <c r="D715" s="1020"/>
      <c r="E715" s="1021"/>
      <c r="F715" s="226"/>
      <c r="G715" s="1022"/>
      <c r="H715" s="1022"/>
      <c r="I715" s="1022"/>
      <c r="J715" s="1022"/>
      <c r="K715" s="1022"/>
      <c r="L715" s="1022"/>
      <c r="M715" s="1022"/>
      <c r="N715" s="1022"/>
      <c r="O715" s="1022"/>
      <c r="P715" s="1023"/>
      <c r="Q715" s="1023"/>
      <c r="R715" s="1023"/>
      <c r="S715" s="1023"/>
      <c r="T715" s="1023"/>
      <c r="U715" s="1313"/>
      <c r="V715" s="1861" t="s">
        <v>976</v>
      </c>
      <c r="W715" s="1314">
        <f>IF(OR(INPUT!$D$5="RIG 1",INPUT!$D$5="RIG 2"),Rig1Peripherals!E23,0)</f>
        <v>48116.180327868853</v>
      </c>
      <c r="X715" s="1544">
        <f ca="1">INDIRECT(X$706)*$W715</f>
        <v>625510.34426229505</v>
      </c>
      <c r="Y715" s="1315">
        <f ca="1">INDIRECT(Y$706)*$W715*IF(INPUT!$D$18="No",0,1)</f>
        <v>96232.360655737706</v>
      </c>
      <c r="Z715" s="1315">
        <f ca="1">INDIRECT(Z$706)*$W715*IF(INPUT!$D$18="No",0,1)</f>
        <v>192464.72131147541</v>
      </c>
      <c r="AA715" s="1311">
        <f t="shared" ref="AA715:AF715" ca="1" si="252">INDIRECT(AA$706)*$W715</f>
        <v>240580.90163934426</v>
      </c>
      <c r="AB715" s="1311">
        <f t="shared" ca="1" si="252"/>
        <v>192464.72131147541</v>
      </c>
      <c r="AC715" s="1311">
        <f t="shared" ca="1" si="252"/>
        <v>481161.80327868852</v>
      </c>
      <c r="AD715" s="1311">
        <f t="shared" ca="1" si="252"/>
        <v>144348.54098360657</v>
      </c>
      <c r="AE715" s="1311">
        <f t="shared" ca="1" si="252"/>
        <v>288697.08196721313</v>
      </c>
      <c r="AF715" s="1311">
        <f t="shared" ca="1" si="252"/>
        <v>96232.360655737706</v>
      </c>
      <c r="AG715" s="1311">
        <f ca="1">IF(INPUT!$D$8="YES",INDIRECT(AG$706)*$W715,0)</f>
        <v>240580.90163934426</v>
      </c>
      <c r="AH715" s="1311">
        <f ca="1">IF(INPUT!$D$8="YES",INDIRECT(AH$706)*$W715,0)</f>
        <v>336813.26229508198</v>
      </c>
      <c r="AI715" s="1311">
        <f ca="1">IF(INPUT!$D$19="YES",INDIRECT(AI$706)*$W715,0)</f>
        <v>0</v>
      </c>
      <c r="AJ715" s="1311">
        <f ca="1">IF(INPUT!$D$19="YES",INDIRECT(AJ$706)*$W715,0)</f>
        <v>0</v>
      </c>
      <c r="AK715" s="1311">
        <f ca="1">IF(INPUT!$H$19="YES",INDIRECT(AK$706)*$W715,0)</f>
        <v>0</v>
      </c>
      <c r="AL715" s="1311"/>
      <c r="AM715" s="1312">
        <f t="shared" ca="1" si="250"/>
        <v>2935087</v>
      </c>
      <c r="AN715" s="258"/>
      <c r="AO715" s="172"/>
      <c r="AP715" s="174"/>
      <c r="AQ715" s="174"/>
      <c r="AR715" s="174"/>
      <c r="AS715" s="174"/>
      <c r="AT715" s="174"/>
      <c r="AU715" s="174"/>
      <c r="AV715" s="226"/>
      <c r="AW715" s="226"/>
      <c r="AX715" s="226"/>
      <c r="AY715" s="226"/>
      <c r="AZ715" s="226"/>
      <c r="BA715" s="226"/>
      <c r="BB715" s="226"/>
      <c r="BC715" s="226"/>
      <c r="BD715" s="226"/>
      <c r="BE715" s="226"/>
      <c r="BF715" s="226"/>
      <c r="BG715" s="226"/>
      <c r="BH715" s="226"/>
      <c r="BI715" s="226"/>
      <c r="BJ715" s="226"/>
      <c r="BK715" s="226"/>
      <c r="BL715" s="226"/>
      <c r="BM715" s="226"/>
      <c r="BN715" s="226"/>
      <c r="BO715" s="226"/>
      <c r="BP715" s="226"/>
      <c r="BQ715" s="226"/>
      <c r="BR715" s="226"/>
      <c r="BS715" s="226"/>
      <c r="BT715" s="226"/>
      <c r="BU715" s="226"/>
      <c r="BV715" s="226"/>
      <c r="BW715" s="226"/>
      <c r="BX715" s="226"/>
      <c r="BY715" s="226"/>
      <c r="BZ715" s="226"/>
      <c r="CA715" s="226"/>
      <c r="CB715" s="226"/>
      <c r="CC715" s="226"/>
      <c r="CD715" s="226"/>
      <c r="CE715" s="226"/>
      <c r="CF715" s="226"/>
      <c r="CG715" s="226"/>
      <c r="CH715" s="226"/>
      <c r="CI715" s="226"/>
      <c r="CJ715" s="226"/>
      <c r="CK715" s="226"/>
      <c r="CL715" s="226"/>
      <c r="CM715" s="226"/>
      <c r="CN715" s="226"/>
      <c r="CO715" s="226"/>
      <c r="CP715" s="226"/>
      <c r="CQ715" s="226"/>
      <c r="CR715" s="226"/>
      <c r="CS715" s="226"/>
      <c r="CT715" s="226"/>
      <c r="CU715" s="226"/>
      <c r="CV715" s="226"/>
      <c r="CW715" s="226"/>
      <c r="CX715" s="226"/>
      <c r="CY715" s="226"/>
      <c r="CZ715" s="226"/>
      <c r="DA715" s="226"/>
      <c r="DB715" s="226"/>
      <c r="DC715" s="226"/>
      <c r="DD715" s="226"/>
      <c r="DE715" s="226"/>
      <c r="DF715" s="226"/>
      <c r="DG715" s="226"/>
      <c r="DH715" s="226"/>
      <c r="DI715" s="226"/>
      <c r="DJ715" s="226"/>
      <c r="DK715" s="226"/>
      <c r="DL715" s="226"/>
      <c r="DM715" s="226"/>
      <c r="DN715" s="226"/>
      <c r="DO715" s="226"/>
      <c r="DP715" s="226"/>
      <c r="DQ715" s="226"/>
      <c r="DR715" s="226"/>
      <c r="DS715" s="226"/>
      <c r="DT715" s="226"/>
      <c r="DU715" s="226"/>
      <c r="DV715" s="226"/>
      <c r="DW715" s="226"/>
      <c r="DX715" s="226"/>
      <c r="DY715" s="226"/>
      <c r="DZ715" s="226"/>
      <c r="EA715" s="226"/>
      <c r="EB715" s="226"/>
      <c r="EC715" s="226"/>
      <c r="ED715" s="226"/>
      <c r="EE715" s="226"/>
      <c r="EF715" s="226"/>
      <c r="EG715" s="226"/>
      <c r="EH715" s="226"/>
      <c r="EI715" s="226"/>
      <c r="EJ715" s="226"/>
      <c r="EK715" s="226"/>
      <c r="EL715" s="226"/>
      <c r="EM715" s="226"/>
      <c r="EN715" s="226"/>
      <c r="EO715" s="226"/>
      <c r="EP715" s="226"/>
      <c r="EQ715" s="226"/>
      <c r="ER715" s="226"/>
      <c r="ES715" s="226"/>
      <c r="ET715" s="226"/>
      <c r="EU715" s="226"/>
      <c r="EV715" s="226"/>
      <c r="EW715" s="226"/>
      <c r="EX715" s="226"/>
      <c r="EY715" s="226"/>
      <c r="EZ715" s="226"/>
      <c r="FA715" s="226"/>
      <c r="FB715" s="226"/>
      <c r="FC715" s="226"/>
      <c r="FD715" s="226"/>
      <c r="FE715" s="226"/>
      <c r="FF715" s="226"/>
      <c r="FG715" s="226"/>
      <c r="FH715" s="226"/>
      <c r="FI715" s="226"/>
      <c r="FJ715" s="226"/>
      <c r="FK715" s="226"/>
      <c r="FL715" s="226"/>
      <c r="FM715" s="226"/>
      <c r="FN715" s="226"/>
      <c r="FO715" s="226"/>
      <c r="FP715" s="226"/>
      <c r="FQ715" s="226"/>
      <c r="FR715" s="226"/>
      <c r="FS715" s="226"/>
      <c r="FT715" s="226"/>
      <c r="FU715" s="226"/>
      <c r="FV715" s="226"/>
      <c r="FW715" s="226"/>
      <c r="FX715" s="226"/>
      <c r="FY715" s="226"/>
      <c r="FZ715" s="226"/>
      <c r="GA715" s="226"/>
      <c r="GB715" s="226"/>
      <c r="GC715" s="226"/>
      <c r="GD715" s="226"/>
      <c r="GE715" s="226"/>
      <c r="GF715" s="226"/>
      <c r="GG715" s="226"/>
      <c r="GH715" s="226"/>
      <c r="GI715" s="226"/>
      <c r="GJ715" s="226"/>
      <c r="GK715" s="226"/>
      <c r="GL715" s="226"/>
      <c r="GM715" s="226"/>
      <c r="GN715" s="226"/>
      <c r="GO715" s="226"/>
      <c r="GP715" s="226"/>
      <c r="GQ715" s="226"/>
      <c r="GR715" s="226"/>
    </row>
    <row r="716" spans="1:205" s="1024" customFormat="1" ht="12.75" customHeight="1" x14ac:dyDescent="0.2">
      <c r="A716" s="1019"/>
      <c r="B716" s="1139"/>
      <c r="C716" s="1139"/>
      <c r="D716" s="1020"/>
      <c r="E716" s="1021"/>
      <c r="F716" s="226"/>
      <c r="G716" s="1022"/>
      <c r="H716" s="1022"/>
      <c r="I716" s="1022"/>
      <c r="J716" s="1022"/>
      <c r="K716" s="1022"/>
      <c r="L716" s="1022"/>
      <c r="M716" s="1022"/>
      <c r="N716" s="1022"/>
      <c r="O716" s="1022"/>
      <c r="P716" s="1023"/>
      <c r="Q716" s="1023"/>
      <c r="R716" s="1023"/>
      <c r="S716" s="1023"/>
      <c r="T716" s="1023"/>
      <c r="U716" s="1313"/>
      <c r="V716" s="1861" t="s">
        <v>990</v>
      </c>
      <c r="W716" s="1314">
        <f>IF(OR(INPUT!$D$5="RIG 1",INPUT!$D$5="RIG 2"),Rig1Peripherals!B43,0)</f>
        <v>3403000</v>
      </c>
      <c r="X716" s="1315"/>
      <c r="Y716" s="1315"/>
      <c r="Z716" s="1315"/>
      <c r="AA716" s="1311"/>
      <c r="AB716" s="1315"/>
      <c r="AC716" s="1311"/>
      <c r="AD716" s="1315"/>
      <c r="AE716" s="1311"/>
      <c r="AF716" s="1311">
        <f>IF(INPUT!$D$8="YES",0,W$716)</f>
        <v>0</v>
      </c>
      <c r="AG716" s="1311"/>
      <c r="AH716" s="1311">
        <f>IF(INPUT!$D$8="YES",$W716,0)</f>
        <v>3403000</v>
      </c>
      <c r="AI716" s="1311"/>
      <c r="AJ716" s="1311">
        <f>IF(INPUT!$D$19="YES",$W716,0)</f>
        <v>0</v>
      </c>
      <c r="AK716" s="1311"/>
      <c r="AL716" s="1311"/>
      <c r="AM716" s="1312">
        <f t="shared" si="250"/>
        <v>3403000</v>
      </c>
      <c r="AN716" s="258"/>
      <c r="AO716" s="172"/>
      <c r="AP716" s="174"/>
      <c r="AQ716" s="174"/>
      <c r="AR716" s="174"/>
      <c r="AS716" s="174"/>
      <c r="AT716" s="174"/>
      <c r="AU716" s="174"/>
      <c r="AV716" s="226"/>
      <c r="AW716" s="226"/>
      <c r="AX716" s="226"/>
      <c r="AY716" s="226"/>
      <c r="AZ716" s="226"/>
      <c r="BA716" s="226"/>
      <c r="BB716" s="226"/>
      <c r="BC716" s="226"/>
      <c r="BD716" s="226"/>
      <c r="BE716" s="226"/>
      <c r="BF716" s="226"/>
      <c r="BG716" s="226"/>
      <c r="BH716" s="226"/>
      <c r="BI716" s="226"/>
      <c r="BJ716" s="226"/>
      <c r="BK716" s="226"/>
      <c r="BL716" s="226"/>
      <c r="BM716" s="226"/>
      <c r="BN716" s="226"/>
      <c r="BO716" s="226"/>
      <c r="BP716" s="226"/>
      <c r="BQ716" s="226"/>
      <c r="BR716" s="226"/>
      <c r="BS716" s="226"/>
      <c r="BT716" s="226"/>
      <c r="BU716" s="226"/>
      <c r="BV716" s="226"/>
      <c r="BW716" s="226"/>
      <c r="BX716" s="226"/>
      <c r="BY716" s="226"/>
      <c r="BZ716" s="226"/>
      <c r="CA716" s="226"/>
      <c r="CB716" s="226"/>
      <c r="CC716" s="226"/>
      <c r="CD716" s="226"/>
      <c r="CE716" s="226"/>
      <c r="CF716" s="226"/>
      <c r="CG716" s="226"/>
      <c r="CH716" s="226"/>
      <c r="CI716" s="226"/>
      <c r="CJ716" s="226"/>
      <c r="CK716" s="226"/>
      <c r="CL716" s="226"/>
      <c r="CM716" s="226"/>
      <c r="CN716" s="226"/>
      <c r="CO716" s="226"/>
      <c r="CP716" s="226"/>
      <c r="CQ716" s="226"/>
      <c r="CR716" s="226"/>
      <c r="CS716" s="226"/>
      <c r="CT716" s="226"/>
      <c r="CU716" s="226"/>
      <c r="CV716" s="226"/>
      <c r="CW716" s="226"/>
      <c r="CX716" s="226"/>
      <c r="CY716" s="226"/>
      <c r="CZ716" s="226"/>
      <c r="DA716" s="226"/>
      <c r="DB716" s="226"/>
      <c r="DC716" s="226"/>
      <c r="DD716" s="226"/>
      <c r="DE716" s="226"/>
      <c r="DF716" s="226"/>
      <c r="DG716" s="226"/>
      <c r="DH716" s="226"/>
      <c r="DI716" s="226"/>
      <c r="DJ716" s="226"/>
      <c r="DK716" s="226"/>
      <c r="DL716" s="226"/>
      <c r="DM716" s="226"/>
      <c r="DN716" s="226"/>
      <c r="DO716" s="226"/>
      <c r="DP716" s="226"/>
      <c r="DQ716" s="226"/>
      <c r="DR716" s="226"/>
      <c r="DS716" s="226"/>
      <c r="DT716" s="226"/>
      <c r="DU716" s="226"/>
      <c r="DV716" s="226"/>
      <c r="DW716" s="226"/>
      <c r="DX716" s="226"/>
      <c r="DY716" s="226"/>
      <c r="DZ716" s="226"/>
      <c r="EA716" s="226"/>
      <c r="EB716" s="226"/>
      <c r="EC716" s="226"/>
      <c r="ED716" s="226"/>
      <c r="EE716" s="226"/>
      <c r="EF716" s="226"/>
      <c r="EG716" s="226"/>
      <c r="EH716" s="226"/>
      <c r="EI716" s="226"/>
      <c r="EJ716" s="226"/>
      <c r="EK716" s="226"/>
      <c r="EL716" s="226"/>
      <c r="EM716" s="226"/>
      <c r="EN716" s="226"/>
      <c r="EO716" s="226"/>
      <c r="EP716" s="226"/>
      <c r="EQ716" s="226"/>
      <c r="ER716" s="226"/>
      <c r="ES716" s="226"/>
      <c r="ET716" s="226"/>
      <c r="EU716" s="226"/>
      <c r="EV716" s="226"/>
      <c r="EW716" s="226"/>
      <c r="EX716" s="226"/>
      <c r="EY716" s="226"/>
      <c r="EZ716" s="226"/>
      <c r="FA716" s="226"/>
      <c r="FB716" s="226"/>
      <c r="FC716" s="226"/>
      <c r="FD716" s="226"/>
      <c r="FE716" s="226"/>
      <c r="FF716" s="226"/>
      <c r="FG716" s="226"/>
      <c r="FH716" s="226"/>
      <c r="FI716" s="226"/>
      <c r="FJ716" s="226"/>
      <c r="FK716" s="226"/>
      <c r="FL716" s="226"/>
      <c r="FM716" s="226"/>
      <c r="FN716" s="226"/>
      <c r="FO716" s="226"/>
      <c r="FP716" s="226"/>
      <c r="FQ716" s="226"/>
      <c r="FR716" s="226"/>
      <c r="FS716" s="226"/>
      <c r="FT716" s="226"/>
      <c r="FU716" s="226"/>
      <c r="FV716" s="226"/>
      <c r="FW716" s="226"/>
      <c r="FX716" s="226"/>
      <c r="FY716" s="226"/>
      <c r="FZ716" s="226"/>
      <c r="GA716" s="226"/>
      <c r="GB716" s="226"/>
      <c r="GC716" s="226"/>
      <c r="GD716" s="226"/>
      <c r="GE716" s="226"/>
      <c r="GF716" s="226"/>
      <c r="GG716" s="226"/>
      <c r="GH716" s="226"/>
      <c r="GI716" s="226"/>
      <c r="GJ716" s="226"/>
      <c r="GK716" s="226"/>
      <c r="GL716" s="226"/>
      <c r="GM716" s="226"/>
      <c r="GN716" s="226"/>
      <c r="GO716" s="226"/>
      <c r="GP716" s="226"/>
      <c r="GQ716" s="226"/>
      <c r="GR716" s="226"/>
    </row>
    <row r="717" spans="1:205" ht="12.75" customHeight="1" x14ac:dyDescent="0.2">
      <c r="A717" s="735"/>
      <c r="B717" s="1103"/>
      <c r="C717" s="1103"/>
      <c r="D717" s="254"/>
      <c r="E717" s="622"/>
      <c r="G717" s="174"/>
      <c r="H717" s="174"/>
      <c r="I717" s="174"/>
      <c r="J717" s="174"/>
      <c r="K717" s="174"/>
      <c r="P717" s="179"/>
      <c r="Q717" s="179"/>
      <c r="R717" s="179"/>
      <c r="S717" s="179"/>
      <c r="T717" s="179"/>
      <c r="U717" s="1494"/>
      <c r="V717" s="1495"/>
      <c r="W717" s="943"/>
      <c r="X717" s="1850"/>
      <c r="Y717" s="1850">
        <f ca="1">SUM(Y709:Y716)</f>
        <v>3376483.7890392994</v>
      </c>
      <c r="Z717" s="1850">
        <f ca="1">SUM(Z709:Z716)</f>
        <v>6752967.5780785987</v>
      </c>
      <c r="AA717" s="1850">
        <f t="shared" ref="AA717:AH717" ca="1" si="253">SUM(AA709:AA716)</f>
        <v>8441209.4725982491</v>
      </c>
      <c r="AB717" s="1850">
        <f t="shared" ca="1" si="253"/>
        <v>6752967.5780785987</v>
      </c>
      <c r="AC717" s="1850">
        <f t="shared" ca="1" si="253"/>
        <v>16882418.945196498</v>
      </c>
      <c r="AD717" s="1850">
        <f t="shared" ca="1" si="253"/>
        <v>5064725.6835589483</v>
      </c>
      <c r="AE717" s="1850">
        <f t="shared" ca="1" si="253"/>
        <v>10129451.367117897</v>
      </c>
      <c r="AF717" s="1850">
        <f ca="1">SUM(AF709:AF716)</f>
        <v>3376483.7890392994</v>
      </c>
      <c r="AG717" s="1850">
        <f t="shared" ca="1" si="253"/>
        <v>8441209.4725982491</v>
      </c>
      <c r="AH717" s="1850">
        <f t="shared" ca="1" si="253"/>
        <v>24817443.261637546</v>
      </c>
      <c r="AI717" s="1315">
        <f ca="1">SUM(AI709:AI716)</f>
        <v>0</v>
      </c>
      <c r="AJ717" s="1315">
        <f ca="1">SUM(AJ709:AJ716)</f>
        <v>0</v>
      </c>
      <c r="AK717" s="1315">
        <f ca="1">SUM(AK709:AK716)</f>
        <v>0</v>
      </c>
      <c r="AL717" s="1315"/>
      <c r="AM717" s="1851">
        <f ca="1">SUM(AM707:AM716)</f>
        <v>132703505.56569862</v>
      </c>
      <c r="AN717" s="258"/>
      <c r="GS717" s="176"/>
      <c r="GT717" s="176"/>
      <c r="GU717" s="176"/>
      <c r="GV717" s="176"/>
      <c r="GW717" s="176"/>
    </row>
    <row r="718" spans="1:205" ht="12.75" customHeight="1" x14ac:dyDescent="0.2">
      <c r="A718" s="702"/>
      <c r="B718" s="1103"/>
      <c r="C718" s="1103"/>
      <c r="D718" s="254"/>
      <c r="E718" s="622"/>
      <c r="G718" s="174"/>
      <c r="H718" s="174"/>
      <c r="I718" s="174"/>
      <c r="J718" s="174"/>
      <c r="K718" s="174"/>
      <c r="P718" s="179"/>
      <c r="Q718" s="179"/>
      <c r="R718" s="179"/>
      <c r="S718" s="179"/>
      <c r="T718" s="179"/>
      <c r="U718" s="173"/>
      <c r="V718" s="173"/>
      <c r="AC718" s="239"/>
      <c r="AD718" s="239"/>
      <c r="AE718" s="239"/>
      <c r="AF718" s="239"/>
      <c r="AG718" s="239"/>
      <c r="AH718" s="239"/>
      <c r="AI718" s="239"/>
      <c r="AJ718" s="239"/>
      <c r="AK718" s="239"/>
      <c r="AL718" s="239"/>
      <c r="AM718" s="172"/>
      <c r="AN718" s="258"/>
      <c r="GS718" s="176"/>
      <c r="GT718" s="176"/>
      <c r="GU718" s="176"/>
      <c r="GV718" s="176"/>
      <c r="GW718" s="176"/>
    </row>
    <row r="719" spans="1:205" ht="12.75" customHeight="1" x14ac:dyDescent="0.2">
      <c r="A719" s="702"/>
      <c r="B719" s="1103"/>
      <c r="C719" s="1103"/>
      <c r="D719" s="254"/>
      <c r="E719" s="622"/>
      <c r="G719" s="174"/>
      <c r="H719" s="174"/>
      <c r="I719" s="174"/>
      <c r="J719" s="174"/>
      <c r="K719" s="174"/>
      <c r="P719" s="179"/>
      <c r="Q719" s="179"/>
      <c r="R719" s="179"/>
      <c r="S719" s="179"/>
      <c r="T719" s="179"/>
      <c r="U719" s="173"/>
      <c r="V719" s="173"/>
      <c r="Z719" s="202"/>
      <c r="AC719" s="239"/>
      <c r="AD719" s="239"/>
      <c r="AE719" s="239"/>
      <c r="AF719" s="239"/>
      <c r="AG719" s="239"/>
      <c r="AH719" s="239"/>
      <c r="AI719" s="239"/>
      <c r="AJ719" s="239"/>
      <c r="AK719" s="239"/>
      <c r="AL719" s="239"/>
      <c r="AM719" s="172"/>
      <c r="AN719" s="258"/>
      <c r="GS719" s="176"/>
      <c r="GT719" s="176"/>
      <c r="GU719" s="176"/>
      <c r="GV719" s="176"/>
      <c r="GW719" s="176"/>
    </row>
    <row r="720" spans="1:205" ht="12.75" customHeight="1" x14ac:dyDescent="0.2">
      <c r="A720" s="702"/>
      <c r="B720" s="1103"/>
      <c r="C720" s="1103"/>
      <c r="D720" s="254"/>
      <c r="E720" s="622"/>
      <c r="G720" s="174"/>
      <c r="H720" s="174"/>
      <c r="I720" s="174"/>
      <c r="J720" s="174"/>
      <c r="K720" s="174"/>
      <c r="P720" s="179"/>
      <c r="Q720" s="179"/>
      <c r="R720" s="179"/>
      <c r="S720" s="179"/>
      <c r="T720" s="179"/>
      <c r="U720" s="173"/>
      <c r="V720" s="1391" t="s">
        <v>825</v>
      </c>
      <c r="X720" s="254"/>
      <c r="Y720" s="254"/>
      <c r="Z720" s="254"/>
      <c r="AA720" s="642"/>
      <c r="AB720" s="642"/>
      <c r="AC720" s="642"/>
      <c r="AD720" s="642"/>
      <c r="AE720" s="257"/>
      <c r="AF720" s="257"/>
      <c r="AG720" s="257"/>
      <c r="AH720" s="257"/>
      <c r="AI720" s="257"/>
      <c r="AJ720" s="257"/>
      <c r="AK720" s="257"/>
      <c r="AL720" s="239"/>
      <c r="AM720" s="172"/>
      <c r="AN720" s="258"/>
      <c r="GS720" s="176"/>
      <c r="GT720" s="176"/>
      <c r="GU720" s="176"/>
      <c r="GV720" s="176"/>
      <c r="GW720" s="176"/>
    </row>
    <row r="721" spans="1:205" ht="12.75" customHeight="1" x14ac:dyDescent="0.2">
      <c r="A721" s="702"/>
      <c r="B721" s="1103"/>
      <c r="C721" s="1103"/>
      <c r="D721" s="254"/>
      <c r="E721" s="622"/>
      <c r="G721" s="174"/>
      <c r="H721" s="174"/>
      <c r="I721" s="174"/>
      <c r="J721" s="174"/>
      <c r="K721" s="174"/>
      <c r="P721" s="179"/>
      <c r="Q721" s="179"/>
      <c r="R721" s="179"/>
      <c r="S721" s="179"/>
      <c r="T721" s="179"/>
      <c r="U721" s="173"/>
      <c r="V721" s="173"/>
      <c r="X721" s="254"/>
      <c r="Y721" s="254"/>
      <c r="Z721" s="254"/>
      <c r="AA721" s="642"/>
      <c r="AB721" s="642"/>
      <c r="AC721" s="642"/>
      <c r="AD721" s="642"/>
      <c r="AE721" s="254"/>
      <c r="AF721" s="239"/>
      <c r="AG721" s="239"/>
      <c r="AH721" s="239"/>
      <c r="AI721" s="239"/>
      <c r="AJ721" s="239"/>
      <c r="AK721" s="239"/>
      <c r="AL721" s="239"/>
      <c r="AM721" s="172"/>
      <c r="AN721" s="258"/>
      <c r="GS721" s="176"/>
      <c r="GT721" s="176"/>
      <c r="GU721" s="176"/>
      <c r="GV721" s="176"/>
      <c r="GW721" s="176"/>
    </row>
    <row r="722" spans="1:205" ht="12.75" customHeight="1" x14ac:dyDescent="0.2">
      <c r="A722" s="702"/>
      <c r="B722" s="1103"/>
      <c r="C722" s="1103"/>
      <c r="D722" s="254"/>
      <c r="E722" s="622"/>
      <c r="G722" s="174"/>
      <c r="H722" s="174"/>
      <c r="I722" s="174"/>
      <c r="J722" s="174"/>
      <c r="K722" s="174"/>
      <c r="P722" s="179"/>
      <c r="Q722" s="179"/>
      <c r="R722" s="179"/>
      <c r="S722" s="179"/>
      <c r="T722" s="179"/>
      <c r="U722" s="1522" t="s">
        <v>138</v>
      </c>
      <c r="V722" s="1523" t="s">
        <v>181</v>
      </c>
      <c r="W722" s="1523" t="s">
        <v>209</v>
      </c>
      <c r="X722" s="1426" t="str">
        <f t="shared" ref="X722:AK722" si="254">X$14</f>
        <v>RIGMOVE</v>
      </c>
      <c r="Y722" s="1426" t="str">
        <f t="shared" si="254"/>
        <v>DSURFACE</v>
      </c>
      <c r="Z722" s="1426" t="str">
        <f t="shared" si="254"/>
        <v>FSURFACE</v>
      </c>
      <c r="AA722" s="1426" t="str">
        <f t="shared" si="254"/>
        <v>DINTERMEDIATE</v>
      </c>
      <c r="AB722" s="1426" t="str">
        <f>AB$14</f>
        <v>FINTERMEDIATE</v>
      </c>
      <c r="AC722" s="1426" t="str">
        <f>AC$14</f>
        <v>DPRODUCTION</v>
      </c>
      <c r="AD722" s="1426" t="str">
        <f t="shared" si="254"/>
        <v>FPRODUCTION</v>
      </c>
      <c r="AE722" s="1426" t="str">
        <f>AE$14</f>
        <v>DLINER1</v>
      </c>
      <c r="AF722" s="1426" t="str">
        <f t="shared" si="254"/>
        <v>FLINER1</v>
      </c>
      <c r="AG722" s="1426" t="str">
        <f>AG$14</f>
        <v>DLINER2</v>
      </c>
      <c r="AH722" s="1426" t="str">
        <f t="shared" si="254"/>
        <v>FLINER2</v>
      </c>
      <c r="AI722" s="1426" t="str">
        <f>AI$14</f>
        <v/>
      </c>
      <c r="AJ722" s="1426" t="str">
        <f t="shared" si="254"/>
        <v/>
      </c>
      <c r="AK722" s="1426" t="str">
        <f t="shared" si="254"/>
        <v/>
      </c>
      <c r="AL722" s="1426"/>
      <c r="AM722" s="1449" t="s">
        <v>101</v>
      </c>
      <c r="AN722" s="258"/>
      <c r="GS722" s="176"/>
      <c r="GT722" s="176"/>
      <c r="GU722" s="176"/>
      <c r="GV722" s="176"/>
      <c r="GW722" s="176"/>
    </row>
    <row r="723" spans="1:205" ht="12.75" customHeight="1" x14ac:dyDescent="0.2">
      <c r="A723" s="702"/>
      <c r="B723" s="1103"/>
      <c r="C723" s="1103"/>
      <c r="D723" s="254"/>
      <c r="E723" s="622"/>
      <c r="G723" s="174"/>
      <c r="H723" s="174"/>
      <c r="I723" s="174"/>
      <c r="J723" s="174"/>
      <c r="K723" s="174"/>
      <c r="P723" s="179"/>
      <c r="Q723" s="179"/>
      <c r="R723" s="179"/>
      <c r="S723" s="179"/>
      <c r="T723" s="179"/>
      <c r="U723" s="797">
        <f>IF(INPUT!$D$15="NO",0,INPUT!D17)</f>
        <v>0</v>
      </c>
      <c r="V723" s="326" t="s">
        <v>826</v>
      </c>
      <c r="W723" s="329" t="s">
        <v>828</v>
      </c>
      <c r="X723" s="286">
        <f ca="1">INDIRECT(X722)</f>
        <v>13</v>
      </c>
      <c r="Y723" s="286">
        <f t="shared" ref="Y723:AF723" ca="1" si="255">INDIRECT(Y722)</f>
        <v>2</v>
      </c>
      <c r="Z723" s="286">
        <f t="shared" ca="1" si="255"/>
        <v>4</v>
      </c>
      <c r="AA723" s="286">
        <f t="shared" ca="1" si="255"/>
        <v>5</v>
      </c>
      <c r="AB723" s="286">
        <f t="shared" ca="1" si="255"/>
        <v>4</v>
      </c>
      <c r="AC723" s="286">
        <f t="shared" ca="1" si="255"/>
        <v>10</v>
      </c>
      <c r="AD723" s="286">
        <f t="shared" ca="1" si="255"/>
        <v>3</v>
      </c>
      <c r="AE723" s="286">
        <f t="shared" ca="1" si="255"/>
        <v>6</v>
      </c>
      <c r="AF723" s="286">
        <f t="shared" ca="1" si="255"/>
        <v>2</v>
      </c>
      <c r="AG723" s="286">
        <f ca="1">IFERROR(INDIRECT(AG722), "")</f>
        <v>5</v>
      </c>
      <c r="AH723" s="286">
        <f ca="1">IFERROR(INDIRECT(AH722), "")</f>
        <v>7</v>
      </c>
      <c r="AI723" s="286" t="str">
        <f ca="1">IFERROR(INDIRECT(AI722), "")</f>
        <v/>
      </c>
      <c r="AJ723" s="286" t="str">
        <f ca="1">IFERROR(INDIRECT(AJ722), "")</f>
        <v/>
      </c>
      <c r="AK723" s="286" t="str">
        <f ca="1">IFERROR(INDIRECT(AK722), "")</f>
        <v/>
      </c>
      <c r="AL723" s="953"/>
      <c r="AM723" s="245">
        <f ca="1">SUM(AC723:AL723)</f>
        <v>33</v>
      </c>
      <c r="AN723" s="258"/>
      <c r="GS723" s="176"/>
      <c r="GT723" s="176"/>
      <c r="GU723" s="176"/>
      <c r="GV723" s="176"/>
      <c r="GW723" s="176"/>
    </row>
    <row r="724" spans="1:205" ht="12.75" customHeight="1" x14ac:dyDescent="0.2">
      <c r="A724" s="702"/>
      <c r="B724" s="1103"/>
      <c r="C724" s="1103"/>
      <c r="D724" s="254"/>
      <c r="E724" s="622"/>
      <c r="G724" s="174"/>
      <c r="H724" s="174"/>
      <c r="I724" s="174"/>
      <c r="J724" s="174"/>
      <c r="K724" s="174"/>
      <c r="P724" s="179"/>
      <c r="Q724" s="179"/>
      <c r="R724" s="179"/>
      <c r="S724" s="179"/>
      <c r="T724" s="179"/>
      <c r="U724" s="797">
        <f>IF(INPUT!$D$15="NO",0,U723)</f>
        <v>0</v>
      </c>
      <c r="V724" s="326" t="s">
        <v>827</v>
      </c>
      <c r="W724" s="329" t="s">
        <v>944</v>
      </c>
      <c r="X724" s="286"/>
      <c r="Y724" s="286"/>
      <c r="Z724" s="286"/>
      <c r="AA724" s="286"/>
      <c r="AB724" s="953"/>
      <c r="AC724" s="953"/>
      <c r="AD724" s="953"/>
      <c r="AE724" s="953"/>
      <c r="AF724" s="953">
        <f>IF(INPUT!$D$8="NO",$U$724,0)</f>
        <v>0</v>
      </c>
      <c r="AG724" s="953"/>
      <c r="AH724" s="953">
        <f>IF(INPUT!$D$8="YES",$U$724,0)</f>
        <v>0</v>
      </c>
      <c r="AI724" s="953"/>
      <c r="AJ724" s="953"/>
      <c r="AK724" s="953"/>
      <c r="AL724" s="953"/>
      <c r="AM724" s="245">
        <f>SUM(AC724:AL724)</f>
        <v>0</v>
      </c>
      <c r="AN724" s="258"/>
      <c r="GS724" s="176"/>
      <c r="GT724" s="176"/>
      <c r="GU724" s="176"/>
      <c r="GV724" s="176"/>
      <c r="GW724" s="176"/>
    </row>
    <row r="725" spans="1:205" ht="12.75" customHeight="1" x14ac:dyDescent="0.2">
      <c r="A725" s="702"/>
      <c r="B725" s="1103"/>
      <c r="C725" s="1103"/>
      <c r="D725" s="254"/>
      <c r="E725" s="622"/>
      <c r="G725" s="174"/>
      <c r="H725" s="174"/>
      <c r="I725" s="174"/>
      <c r="J725" s="174"/>
      <c r="K725" s="174"/>
      <c r="P725" s="179"/>
      <c r="Q725" s="179"/>
      <c r="R725" s="179"/>
      <c r="S725" s="179"/>
      <c r="T725" s="179"/>
      <c r="U725" s="797">
        <f>IF(INPUT!$D$15="NO",0,50)</f>
        <v>0</v>
      </c>
      <c r="V725" s="326" t="s">
        <v>1087</v>
      </c>
      <c r="W725" s="326" t="s">
        <v>1090</v>
      </c>
      <c r="X725" s="286"/>
      <c r="Y725" s="286"/>
      <c r="Z725" s="286"/>
      <c r="AA725" s="286"/>
      <c r="AB725" s="953"/>
      <c r="AC725" s="953">
        <f>U725</f>
        <v>0</v>
      </c>
      <c r="AD725" s="953"/>
      <c r="AE725" s="953"/>
      <c r="AF725" s="953"/>
      <c r="AG725" s="953"/>
      <c r="AH725" s="953"/>
      <c r="AI725" s="953"/>
      <c r="AJ725" s="953"/>
      <c r="AK725" s="953"/>
      <c r="AL725" s="953"/>
      <c r="AM725" s="245"/>
      <c r="AN725" s="258"/>
      <c r="GS725" s="176"/>
      <c r="GT725" s="176"/>
      <c r="GU725" s="176"/>
      <c r="GV725" s="176"/>
      <c r="GW725" s="176"/>
    </row>
    <row r="726" spans="1:205" ht="12.75" customHeight="1" x14ac:dyDescent="0.2">
      <c r="A726" s="702"/>
      <c r="B726" s="1103"/>
      <c r="C726" s="1103"/>
      <c r="D726" s="254"/>
      <c r="E726" s="622"/>
      <c r="G726" s="174"/>
      <c r="H726" s="174"/>
      <c r="I726" s="174"/>
      <c r="J726" s="174"/>
      <c r="K726" s="174"/>
      <c r="P726" s="179"/>
      <c r="Q726" s="179"/>
      <c r="R726" s="179"/>
      <c r="S726" s="179"/>
      <c r="T726" s="179"/>
      <c r="U726" s="797">
        <f>IF(INPUT!$D$15="NO",0,50)</f>
        <v>0</v>
      </c>
      <c r="V726" s="326" t="s">
        <v>1088</v>
      </c>
      <c r="W726" s="326" t="s">
        <v>1089</v>
      </c>
      <c r="X726" s="287"/>
      <c r="Y726" s="287"/>
      <c r="Z726" s="255"/>
      <c r="AA726" s="288"/>
      <c r="AB726" s="953"/>
      <c r="AC726" s="953">
        <f>U726</f>
        <v>0</v>
      </c>
      <c r="AD726" s="953"/>
      <c r="AE726" s="953"/>
      <c r="AF726" s="953"/>
      <c r="AG726" s="953"/>
      <c r="AH726" s="953"/>
      <c r="AI726" s="953"/>
      <c r="AJ726" s="953"/>
      <c r="AK726" s="953"/>
      <c r="AL726" s="953"/>
      <c r="AM726" s="245"/>
      <c r="AN726" s="258"/>
      <c r="GS726" s="176"/>
      <c r="GT726" s="176"/>
      <c r="GU726" s="176"/>
      <c r="GV726" s="176"/>
      <c r="GW726" s="176"/>
    </row>
    <row r="727" spans="1:205" ht="12.75" customHeight="1" x14ac:dyDescent="0.2">
      <c r="A727" s="702"/>
      <c r="B727" s="1103"/>
      <c r="C727" s="1103"/>
      <c r="D727" s="254"/>
      <c r="E727" s="622"/>
      <c r="G727" s="174"/>
      <c r="H727" s="174"/>
      <c r="I727" s="174"/>
      <c r="J727" s="174"/>
      <c r="K727" s="174"/>
      <c r="P727" s="179"/>
      <c r="Q727" s="179"/>
      <c r="R727" s="179"/>
      <c r="S727" s="179"/>
      <c r="T727" s="179"/>
      <c r="U727" s="173"/>
      <c r="V727" s="173"/>
      <c r="X727" s="254"/>
      <c r="Y727" s="254"/>
      <c r="Z727" s="254"/>
      <c r="AA727" s="642"/>
      <c r="AB727" s="642"/>
      <c r="AC727" s="642"/>
      <c r="AD727" s="642"/>
      <c r="AE727" s="642"/>
      <c r="AF727" s="642"/>
      <c r="AG727" s="642"/>
      <c r="AH727" s="642"/>
      <c r="AI727" s="642"/>
      <c r="AJ727" s="642"/>
      <c r="AK727" s="642"/>
      <c r="AL727" s="642"/>
      <c r="AM727" s="254"/>
      <c r="AN727" s="258"/>
      <c r="GS727" s="176"/>
      <c r="GT727" s="176"/>
      <c r="GU727" s="176"/>
      <c r="GV727" s="176"/>
      <c r="GW727" s="176"/>
    </row>
    <row r="728" spans="1:205" ht="12.75" customHeight="1" x14ac:dyDescent="0.2">
      <c r="A728" s="702"/>
      <c r="B728" s="1103"/>
      <c r="C728" s="1103"/>
      <c r="D728" s="254"/>
      <c r="E728" s="622"/>
      <c r="G728" s="174"/>
      <c r="H728" s="174"/>
      <c r="I728" s="174"/>
      <c r="J728" s="174"/>
      <c r="K728" s="174"/>
      <c r="P728" s="179"/>
      <c r="Q728" s="179"/>
      <c r="R728" s="179"/>
      <c r="S728" s="179"/>
      <c r="T728" s="179"/>
      <c r="U728" s="2513" t="s">
        <v>147</v>
      </c>
      <c r="V728" s="2514"/>
      <c r="W728" s="1440" t="s">
        <v>179</v>
      </c>
      <c r="X728" s="1426" t="str">
        <f t="shared" ref="X728:AK728" si="256">X$14</f>
        <v>RIGMOVE</v>
      </c>
      <c r="Y728" s="1426" t="str">
        <f t="shared" si="256"/>
        <v>DSURFACE</v>
      </c>
      <c r="Z728" s="1426" t="str">
        <f t="shared" si="256"/>
        <v>FSURFACE</v>
      </c>
      <c r="AA728" s="1426" t="str">
        <f t="shared" si="256"/>
        <v>DINTERMEDIATE</v>
      </c>
      <c r="AB728" s="1426" t="str">
        <f t="shared" si="256"/>
        <v>FINTERMEDIATE</v>
      </c>
      <c r="AC728" s="1426" t="str">
        <f t="shared" si="256"/>
        <v>DPRODUCTION</v>
      </c>
      <c r="AD728" s="1426" t="str">
        <f t="shared" si="256"/>
        <v>FPRODUCTION</v>
      </c>
      <c r="AE728" s="1426" t="str">
        <f t="shared" si="256"/>
        <v>DLINER1</v>
      </c>
      <c r="AF728" s="1426" t="str">
        <f t="shared" si="256"/>
        <v>FLINER1</v>
      </c>
      <c r="AG728" s="1426" t="str">
        <f t="shared" si="256"/>
        <v>DLINER2</v>
      </c>
      <c r="AH728" s="1426" t="str">
        <f t="shared" si="256"/>
        <v>FLINER2</v>
      </c>
      <c r="AI728" s="1426" t="str">
        <f t="shared" si="256"/>
        <v/>
      </c>
      <c r="AJ728" s="1426" t="str">
        <f t="shared" si="256"/>
        <v/>
      </c>
      <c r="AK728" s="1426" t="str">
        <f t="shared" si="256"/>
        <v/>
      </c>
      <c r="AL728" s="1426"/>
      <c r="AM728" s="1449" t="s">
        <v>46</v>
      </c>
      <c r="AN728" s="258"/>
      <c r="GS728" s="176"/>
      <c r="GT728" s="176"/>
      <c r="GU728" s="176"/>
      <c r="GV728" s="176"/>
      <c r="GW728" s="176"/>
    </row>
    <row r="729" spans="1:205" ht="12.75" customHeight="1" x14ac:dyDescent="0.2">
      <c r="A729" s="702"/>
      <c r="B729" s="1103"/>
      <c r="C729" s="1103"/>
      <c r="D729" s="254"/>
      <c r="E729" s="622"/>
      <c r="G729" s="174"/>
      <c r="H729" s="174"/>
      <c r="I729" s="174"/>
      <c r="J729" s="174"/>
      <c r="K729" s="174"/>
      <c r="P729" s="179"/>
      <c r="Q729" s="179"/>
      <c r="R729" s="179"/>
      <c r="S729" s="179"/>
      <c r="T729" s="179"/>
      <c r="U729" s="2516" t="str">
        <f>V723</f>
        <v>Rental of S-135 Pipes</v>
      </c>
      <c r="V729" s="2516"/>
      <c r="W729" s="798">
        <v>1.5</v>
      </c>
      <c r="X729" s="946">
        <f t="shared" ref="X729:AF729" ca="1" si="257">X723*$W729*FOREX*$U$723</f>
        <v>0</v>
      </c>
      <c r="Y729" s="946">
        <f t="shared" ca="1" si="257"/>
        <v>0</v>
      </c>
      <c r="Z729" s="946">
        <f t="shared" ca="1" si="257"/>
        <v>0</v>
      </c>
      <c r="AA729" s="946">
        <f t="shared" ca="1" si="257"/>
        <v>0</v>
      </c>
      <c r="AB729" s="946">
        <f ca="1">AB723*$W729*FOREX*$U$723</f>
        <v>0</v>
      </c>
      <c r="AC729" s="946">
        <f t="shared" ca="1" si="257"/>
        <v>0</v>
      </c>
      <c r="AD729" s="946">
        <f t="shared" ca="1" si="257"/>
        <v>0</v>
      </c>
      <c r="AE729" s="946">
        <f t="shared" ca="1" si="257"/>
        <v>0</v>
      </c>
      <c r="AF729" s="946">
        <f t="shared" ca="1" si="257"/>
        <v>0</v>
      </c>
      <c r="AG729" s="946">
        <f ca="1">IFERROR((AG723*$W729*FOREX*$U$723), "")</f>
        <v>0</v>
      </c>
      <c r="AH729" s="946">
        <f ca="1">IFERROR((AH723*$W729*FOREX*$U$723), "")</f>
        <v>0</v>
      </c>
      <c r="AI729" s="946" t="str">
        <f ca="1">IFERROR((AI723*$W729*FOREX*$U$723), "")</f>
        <v/>
      </c>
      <c r="AJ729" s="946" t="str">
        <f ca="1">IFERROR((AJ723*$W729*FOREX*$U$723), "")</f>
        <v/>
      </c>
      <c r="AK729" s="946" t="str">
        <f ca="1">IFERROR((AK723*$W729*FOREX*$U$723), "")</f>
        <v/>
      </c>
      <c r="AL729" s="946"/>
      <c r="AM729" s="341">
        <f ca="1">SUM(AC729:AL729)</f>
        <v>0</v>
      </c>
      <c r="AN729" s="258"/>
      <c r="GS729" s="176"/>
      <c r="GT729" s="176"/>
      <c r="GU729" s="176"/>
      <c r="GV729" s="176"/>
      <c r="GW729" s="176"/>
    </row>
    <row r="730" spans="1:205" ht="12.75" customHeight="1" x14ac:dyDescent="0.2">
      <c r="A730" s="702"/>
      <c r="B730" s="1103"/>
      <c r="C730" s="1103"/>
      <c r="D730" s="254"/>
      <c r="E730" s="622"/>
      <c r="G730" s="174"/>
      <c r="H730" s="174"/>
      <c r="I730" s="174"/>
      <c r="J730" s="174"/>
      <c r="K730" s="174"/>
      <c r="P730" s="179"/>
      <c r="Q730" s="179"/>
      <c r="R730" s="179"/>
      <c r="S730" s="179"/>
      <c r="T730" s="179"/>
      <c r="U730" s="2516" t="str">
        <f>V724</f>
        <v>Post rental inspection</v>
      </c>
      <c r="V730" s="2516"/>
      <c r="W730" s="798">
        <v>47.02</v>
      </c>
      <c r="X730" s="946"/>
      <c r="Y730" s="946"/>
      <c r="Z730" s="946"/>
      <c r="AA730" s="946"/>
      <c r="AB730" s="946"/>
      <c r="AC730" s="946"/>
      <c r="AD730" s="946"/>
      <c r="AE730" s="946"/>
      <c r="AF730" s="946">
        <f>AF724*$W730*FOREX</f>
        <v>0</v>
      </c>
      <c r="AG730" s="946"/>
      <c r="AH730" s="946">
        <f>AH724*$W730*FOREX</f>
        <v>0</v>
      </c>
      <c r="AI730" s="946"/>
      <c r="AJ730" s="946"/>
      <c r="AK730" s="946"/>
      <c r="AL730" s="946"/>
      <c r="AM730" s="341">
        <f>SUM(AC730:AL730)</f>
        <v>0</v>
      </c>
      <c r="AN730" s="258"/>
      <c r="GS730" s="176"/>
      <c r="GT730" s="176"/>
      <c r="GU730" s="176"/>
      <c r="GV730" s="176"/>
      <c r="GW730" s="176"/>
    </row>
    <row r="731" spans="1:205" ht="12.75" customHeight="1" x14ac:dyDescent="0.2">
      <c r="A731" s="702"/>
      <c r="B731" s="1103"/>
      <c r="C731" s="1103"/>
      <c r="D731" s="254"/>
      <c r="E731" s="622"/>
      <c r="G731" s="174"/>
      <c r="H731" s="174"/>
      <c r="I731" s="174"/>
      <c r="J731" s="174"/>
      <c r="K731" s="174"/>
      <c r="P731" s="179"/>
      <c r="Q731" s="179"/>
      <c r="R731" s="179"/>
      <c r="S731" s="179"/>
      <c r="T731" s="179"/>
      <c r="U731" s="2516" t="str">
        <f>V725</f>
        <v>Transhipment Cost (Fixed Rate - Import)</v>
      </c>
      <c r="V731" s="2516"/>
      <c r="W731" s="798">
        <f>3250*0.05</f>
        <v>162.5</v>
      </c>
      <c r="X731" s="946"/>
      <c r="Y731" s="946"/>
      <c r="Z731" s="946"/>
      <c r="AA731" s="946"/>
      <c r="AB731" s="946"/>
      <c r="AC731" s="946">
        <f>AC725*$W731*FOREX</f>
        <v>0</v>
      </c>
      <c r="AD731" s="946"/>
      <c r="AE731" s="946"/>
      <c r="AF731" s="946"/>
      <c r="AG731" s="946"/>
      <c r="AH731" s="946"/>
      <c r="AI731" s="946"/>
      <c r="AJ731" s="946"/>
      <c r="AK731" s="946"/>
      <c r="AL731" s="946"/>
      <c r="AM731" s="341"/>
      <c r="AN731" s="258"/>
      <c r="GS731" s="176"/>
      <c r="GT731" s="176"/>
      <c r="GU731" s="176"/>
      <c r="GV731" s="176"/>
      <c r="GW731" s="176"/>
    </row>
    <row r="732" spans="1:205" ht="12.75" customHeight="1" x14ac:dyDescent="0.2">
      <c r="A732" s="702"/>
      <c r="B732" s="1103"/>
      <c r="C732" s="1103"/>
      <c r="D732" s="254"/>
      <c r="E732" s="622"/>
      <c r="G732" s="174"/>
      <c r="H732" s="174"/>
      <c r="I732" s="174"/>
      <c r="J732" s="174"/>
      <c r="K732" s="174"/>
      <c r="P732" s="179"/>
      <c r="Q732" s="179"/>
      <c r="R732" s="179"/>
      <c r="S732" s="179"/>
      <c r="T732" s="179"/>
      <c r="U732" s="2516" t="str">
        <f>V726</f>
        <v>Transhipment Cost (Truck Rate - Import)</v>
      </c>
      <c r="V732" s="2516"/>
      <c r="W732" s="798">
        <f>3250*0.02</f>
        <v>65</v>
      </c>
      <c r="X732" s="946" t="str">
        <f>IFERROR(SUM(((#REF!*#REF!)*X48)),"")</f>
        <v/>
      </c>
      <c r="Y732" s="946"/>
      <c r="Z732" s="946" t="str">
        <f>IFERROR(SUM(((#REF!*#REF!)*AA48)),"")</f>
        <v/>
      </c>
      <c r="AA732" s="946" t="str">
        <f>IFERROR(SUM((#REF!*#REF!)),"")</f>
        <v/>
      </c>
      <c r="AB732" s="946" t="str">
        <f>IFERROR(SUM(((#REF!*#REF!)*AE48)),"")</f>
        <v/>
      </c>
      <c r="AC732" s="946">
        <f>AC726*$W732*FOREX</f>
        <v>0</v>
      </c>
      <c r="AD732" s="946" t="str">
        <f>IFERROR(SUM(((#REF!*#REF!)*AO47)),"")</f>
        <v/>
      </c>
      <c r="AE732" s="946" t="str">
        <f>IFERROR(SUM(((#REF!*#REF!)*AP47)),"")</f>
        <v/>
      </c>
      <c r="AF732" s="946" t="str">
        <f>IFERROR(SUM(((#REF!*#REF!)*AQ47)),"")</f>
        <v/>
      </c>
      <c r="AG732" s="946" t="str">
        <f>IFERROR(SUM(((#REF!*#REF!)*AR47)),"")</f>
        <v/>
      </c>
      <c r="AH732" s="946" t="str">
        <f>IFERROR(SUM(((#REF!*#REF!)*AS47)),"")</f>
        <v/>
      </c>
      <c r="AI732" s="946" t="str">
        <f>IFERROR(SUM(((#REF!*#REF!)*AT47)),"")</f>
        <v/>
      </c>
      <c r="AJ732" s="946" t="str">
        <f>IFERROR(SUM(((#REF!*#REF!)*AU47)),"")</f>
        <v/>
      </c>
      <c r="AK732" s="946" t="str">
        <f>IFERROR(SUM(((#REF!*#REF!)*AV47)),"")</f>
        <v/>
      </c>
      <c r="AL732" s="946"/>
      <c r="AM732" s="341">
        <f>SUM(AC732:AL732)</f>
        <v>0</v>
      </c>
      <c r="AN732" s="258"/>
      <c r="GS732" s="176"/>
      <c r="GT732" s="176"/>
      <c r="GU732" s="176"/>
      <c r="GV732" s="176"/>
      <c r="GW732" s="176"/>
    </row>
    <row r="733" spans="1:205" ht="12.75" customHeight="1" x14ac:dyDescent="0.2">
      <c r="A733" s="702"/>
      <c r="B733" s="1103"/>
      <c r="C733" s="1103"/>
      <c r="D733" s="254"/>
      <c r="E733" s="622"/>
      <c r="G733" s="174"/>
      <c r="H733" s="174"/>
      <c r="I733" s="174"/>
      <c r="J733" s="174"/>
      <c r="K733" s="174"/>
      <c r="P733" s="179"/>
      <c r="Q733" s="179"/>
      <c r="R733" s="179"/>
      <c r="S733" s="179"/>
      <c r="T733" s="179"/>
      <c r="U733" s="664"/>
      <c r="V733" s="665"/>
      <c r="W733" s="254"/>
      <c r="X733" s="341">
        <f t="shared" ref="X733:AH733" ca="1" si="258">SUM(X729:X732)</f>
        <v>0</v>
      </c>
      <c r="Y733" s="341">
        <f t="shared" ca="1" si="258"/>
        <v>0</v>
      </c>
      <c r="Z733" s="341">
        <f t="shared" ca="1" si="258"/>
        <v>0</v>
      </c>
      <c r="AA733" s="341">
        <f t="shared" ca="1" si="258"/>
        <v>0</v>
      </c>
      <c r="AB733" s="341">
        <f t="shared" ca="1" si="258"/>
        <v>0</v>
      </c>
      <c r="AC733" s="341">
        <f t="shared" ca="1" si="258"/>
        <v>0</v>
      </c>
      <c r="AD733" s="341">
        <f t="shared" ca="1" si="258"/>
        <v>0</v>
      </c>
      <c r="AE733" s="341">
        <f t="shared" ca="1" si="258"/>
        <v>0</v>
      </c>
      <c r="AF733" s="341">
        <f t="shared" ca="1" si="258"/>
        <v>0</v>
      </c>
      <c r="AG733" s="341">
        <f t="shared" ca="1" si="258"/>
        <v>0</v>
      </c>
      <c r="AH733" s="341">
        <f t="shared" ca="1" si="258"/>
        <v>0</v>
      </c>
      <c r="AI733" s="341">
        <f ca="1">SUM(AI729:AI732)</f>
        <v>0</v>
      </c>
      <c r="AJ733" s="341">
        <f ca="1">SUM(AJ729:AJ732)</f>
        <v>0</v>
      </c>
      <c r="AK733" s="341">
        <f ca="1">SUM(AK729:AK732)</f>
        <v>0</v>
      </c>
      <c r="AL733" s="341"/>
      <c r="AM733" s="1533">
        <f ca="1">SUM(AM729:AM732)</f>
        <v>0</v>
      </c>
      <c r="AN733" s="258"/>
      <c r="GS733" s="176"/>
      <c r="GT733" s="176"/>
      <c r="GU733" s="176"/>
      <c r="GV733" s="176"/>
      <c r="GW733" s="176"/>
    </row>
    <row r="734" spans="1:205" ht="12.75" customHeight="1" x14ac:dyDescent="0.2">
      <c r="A734" s="702"/>
      <c r="B734" s="1103"/>
      <c r="C734" s="1103"/>
      <c r="D734" s="254"/>
      <c r="E734" s="622"/>
      <c r="G734" s="174"/>
      <c r="H734" s="174"/>
      <c r="I734" s="174"/>
      <c r="J734" s="174"/>
      <c r="K734" s="174"/>
      <c r="P734" s="179"/>
      <c r="Q734" s="179"/>
      <c r="R734" s="179"/>
      <c r="S734" s="179"/>
      <c r="T734" s="179"/>
      <c r="U734" s="173"/>
      <c r="V734" s="173"/>
      <c r="AC734" s="239"/>
      <c r="AD734" s="239"/>
      <c r="AE734" s="239"/>
      <c r="AF734" s="239"/>
      <c r="AG734" s="239"/>
      <c r="AH734" s="239"/>
      <c r="AI734" s="239"/>
      <c r="AJ734" s="239"/>
      <c r="AK734" s="239"/>
      <c r="AL734" s="239"/>
      <c r="AM734" s="172"/>
      <c r="AN734" s="258"/>
      <c r="GS734" s="176"/>
      <c r="GT734" s="176"/>
      <c r="GU734" s="176"/>
      <c r="GV734" s="176"/>
      <c r="GW734" s="176"/>
    </row>
    <row r="735" spans="1:205" ht="12.75" customHeight="1" x14ac:dyDescent="0.2">
      <c r="A735" s="739"/>
      <c r="B735" s="1140"/>
      <c r="C735" s="1140"/>
      <c r="D735" s="240"/>
      <c r="G735" s="174"/>
      <c r="H735" s="174"/>
      <c r="I735" s="174"/>
      <c r="J735" s="174"/>
      <c r="K735" s="174"/>
      <c r="P735" s="179"/>
      <c r="Q735" s="179"/>
      <c r="R735" s="179"/>
      <c r="S735" s="179"/>
      <c r="T735" s="179"/>
      <c r="U735" s="1841"/>
      <c r="V735" s="1842" t="s">
        <v>2168</v>
      </c>
      <c r="AC735" s="239"/>
      <c r="AD735" s="239"/>
      <c r="AE735" s="239"/>
      <c r="AF735" s="239"/>
      <c r="AG735" s="239"/>
      <c r="AH735" s="239"/>
      <c r="AI735" s="239"/>
      <c r="AJ735" s="239"/>
      <c r="AK735" s="239"/>
      <c r="AL735" s="239"/>
      <c r="AM735" s="240"/>
      <c r="AN735" s="258"/>
      <c r="GS735" s="176"/>
      <c r="GT735" s="176"/>
      <c r="GU735" s="176"/>
      <c r="GV735" s="176"/>
      <c r="GW735" s="176"/>
    </row>
    <row r="736" spans="1:205" ht="12.75" customHeight="1" x14ac:dyDescent="0.2">
      <c r="A736" s="739"/>
      <c r="B736" s="1140"/>
      <c r="C736" s="1140"/>
      <c r="D736" s="240"/>
      <c r="G736" s="174"/>
      <c r="H736" s="174"/>
      <c r="I736" s="174"/>
      <c r="J736" s="174"/>
      <c r="K736" s="174"/>
      <c r="P736" s="179"/>
      <c r="Q736" s="179"/>
      <c r="R736" s="179"/>
      <c r="S736" s="179"/>
      <c r="T736" s="179"/>
      <c r="U736" s="1843" t="s">
        <v>138</v>
      </c>
      <c r="V736" s="1844" t="s">
        <v>181</v>
      </c>
      <c r="W736" s="1844" t="s">
        <v>153</v>
      </c>
      <c r="X736" s="1426" t="str">
        <f t="shared" ref="X736:AK736" si="259">X$14</f>
        <v>RIGMOVE</v>
      </c>
      <c r="Y736" s="1426" t="str">
        <f t="shared" si="259"/>
        <v>DSURFACE</v>
      </c>
      <c r="Z736" s="1426" t="str">
        <f>Z$14</f>
        <v>FSURFACE</v>
      </c>
      <c r="AA736" s="1426" t="str">
        <f t="shared" si="259"/>
        <v>DINTERMEDIATE</v>
      </c>
      <c r="AB736" s="1426" t="str">
        <f t="shared" si="259"/>
        <v>FINTERMEDIATE</v>
      </c>
      <c r="AC736" s="1426" t="str">
        <f t="shared" si="259"/>
        <v>DPRODUCTION</v>
      </c>
      <c r="AD736" s="1426" t="str">
        <f t="shared" si="259"/>
        <v>FPRODUCTION</v>
      </c>
      <c r="AE736" s="1426" t="str">
        <f t="shared" si="259"/>
        <v>DLINER1</v>
      </c>
      <c r="AF736" s="1426" t="str">
        <f t="shared" si="259"/>
        <v>FLINER1</v>
      </c>
      <c r="AG736" s="1426" t="str">
        <f t="shared" si="259"/>
        <v>DLINER2</v>
      </c>
      <c r="AH736" s="1426" t="str">
        <f t="shared" si="259"/>
        <v>FLINER2</v>
      </c>
      <c r="AI736" s="1426" t="str">
        <f t="shared" si="259"/>
        <v/>
      </c>
      <c r="AJ736" s="1426" t="str">
        <f t="shared" si="259"/>
        <v/>
      </c>
      <c r="AK736" s="1426" t="str">
        <f t="shared" si="259"/>
        <v/>
      </c>
      <c r="AL736" s="1426"/>
      <c r="AM736" s="1449" t="s">
        <v>46</v>
      </c>
      <c r="AN736" s="258"/>
      <c r="GS736" s="176"/>
      <c r="GT736" s="176"/>
      <c r="GU736" s="176"/>
      <c r="GV736" s="176"/>
      <c r="GW736" s="176"/>
    </row>
    <row r="737" spans="1:205" ht="12.75" customHeight="1" x14ac:dyDescent="0.2">
      <c r="A737" s="739"/>
      <c r="B737" s="1140"/>
      <c r="C737" s="1140"/>
      <c r="D737" s="240"/>
      <c r="G737" s="174"/>
      <c r="H737" s="174"/>
      <c r="I737" s="174"/>
      <c r="J737" s="174"/>
      <c r="K737" s="174"/>
      <c r="P737" s="179"/>
      <c r="Q737" s="179"/>
      <c r="R737" s="179"/>
      <c r="S737" s="179"/>
      <c r="T737" s="179"/>
      <c r="U737" s="1501"/>
      <c r="V737" s="1840" t="s">
        <v>2169</v>
      </c>
      <c r="W737" s="329" t="s">
        <v>170</v>
      </c>
      <c r="X737" s="286"/>
      <c r="Y737" s="286"/>
      <c r="Z737" s="286"/>
      <c r="AA737" s="286"/>
      <c r="AB737" s="286"/>
      <c r="AC737" s="286"/>
      <c r="AD737" s="286"/>
      <c r="AE737" s="286"/>
      <c r="AF737" s="286">
        <f>IF(INPUT!$D$8="No",1,0)</f>
        <v>0</v>
      </c>
      <c r="AG737" s="286"/>
      <c r="AH737" s="286">
        <f>IF(INPUT!$D$8="No",0,1)</f>
        <v>1</v>
      </c>
      <c r="AI737" s="286"/>
      <c r="AJ737" s="286">
        <f>IF(INPUT!$D$19="No",0,1)</f>
        <v>0</v>
      </c>
      <c r="AK737" s="286"/>
      <c r="AL737" s="288"/>
      <c r="AM737" s="245">
        <f>SUM(X737:AL737)</f>
        <v>1</v>
      </c>
      <c r="AN737" s="258"/>
      <c r="GS737" s="176"/>
      <c r="GT737" s="176"/>
      <c r="GU737" s="176"/>
      <c r="GV737" s="176"/>
      <c r="GW737" s="176"/>
    </row>
    <row r="738" spans="1:205" ht="12.75" customHeight="1" x14ac:dyDescent="0.2">
      <c r="A738" s="739"/>
      <c r="B738" s="1140"/>
      <c r="C738" s="1140"/>
      <c r="D738" s="240"/>
      <c r="G738" s="174"/>
      <c r="H738" s="174"/>
      <c r="I738" s="174"/>
      <c r="J738" s="174"/>
      <c r="K738" s="174"/>
      <c r="P738" s="179"/>
      <c r="Q738" s="179"/>
      <c r="R738" s="179"/>
      <c r="S738" s="179"/>
      <c r="T738" s="179"/>
      <c r="U738" s="1501"/>
      <c r="V738" s="1475" t="s">
        <v>2170</v>
      </c>
      <c r="W738" s="255" t="s">
        <v>170</v>
      </c>
      <c r="X738" s="287"/>
      <c r="Y738" s="287"/>
      <c r="Z738" s="287"/>
      <c r="AA738" s="255"/>
      <c r="AB738" s="255"/>
      <c r="AC738" s="288"/>
      <c r="AD738" s="288"/>
      <c r="AE738" s="288"/>
      <c r="AF738" s="286">
        <f>IF(INPUT!$D$8="No",1,0)*IF(INPUT!$H$11="Yes",INPUT!$I$11,0)*IF(INPUT!H19="Yes",0,1)</f>
        <v>0</v>
      </c>
      <c r="AG738" s="286"/>
      <c r="AH738" s="286">
        <f>IF(INPUT!$D$8="No",0,1)*IF(INPUT!$H$11="Yes",INPUT!$I$11,0)</f>
        <v>0</v>
      </c>
      <c r="AI738" s="288"/>
      <c r="AJ738" s="286">
        <f>IF(INPUT!$D$19="No",0,1)*IF(INPUT!$H$11="Yes",INPUT!$I$11,0)</f>
        <v>0</v>
      </c>
      <c r="AK738" s="286">
        <f>IF(INPUT!$H$19="No",0,1)*IF(INPUT!$H$11="Yes",INPUT!$I$11,0)</f>
        <v>0</v>
      </c>
      <c r="AL738" s="288"/>
      <c r="AM738" s="245"/>
      <c r="AN738" s="258"/>
      <c r="GS738" s="176"/>
      <c r="GT738" s="176"/>
      <c r="GU738" s="176"/>
      <c r="GV738" s="176"/>
      <c r="GW738" s="176"/>
    </row>
    <row r="739" spans="1:205" ht="12.75" customHeight="1" x14ac:dyDescent="0.2">
      <c r="A739" s="739"/>
      <c r="B739" s="1140"/>
      <c r="C739" s="1140"/>
      <c r="D739" s="240"/>
      <c r="G739" s="174"/>
      <c r="H739" s="174"/>
      <c r="I739" s="174"/>
      <c r="J739" s="174"/>
      <c r="K739" s="174"/>
      <c r="P739" s="179"/>
      <c r="Q739" s="179"/>
      <c r="R739" s="179"/>
      <c r="S739" s="179"/>
      <c r="T739" s="179"/>
      <c r="U739" s="664"/>
      <c r="V739" s="665"/>
      <c r="W739" s="254"/>
      <c r="X739" s="284"/>
      <c r="Y739" s="284"/>
      <c r="Z739" s="284"/>
      <c r="AA739" s="284"/>
      <c r="AB739" s="284"/>
      <c r="AC739" s="284"/>
      <c r="AD739" s="284"/>
      <c r="AE739" s="284"/>
      <c r="AF739" s="284"/>
      <c r="AG739" s="284"/>
      <c r="AH739" s="284"/>
      <c r="AI739" s="284"/>
      <c r="AJ739" s="284"/>
      <c r="AK739" s="284"/>
      <c r="AL739" s="284"/>
      <c r="AM739" s="1502">
        <f>SUM(AM737:AM738)</f>
        <v>1</v>
      </c>
      <c r="AN739" s="226"/>
      <c r="GS739" s="176"/>
      <c r="GT739" s="176"/>
      <c r="GU739" s="176"/>
      <c r="GV739" s="176"/>
      <c r="GW739" s="176"/>
    </row>
    <row r="740" spans="1:205" ht="12.75" customHeight="1" x14ac:dyDescent="0.2">
      <c r="A740" s="739"/>
      <c r="B740" s="1140"/>
      <c r="C740" s="1140"/>
      <c r="D740" s="240"/>
      <c r="G740" s="174"/>
      <c r="H740" s="174"/>
      <c r="I740" s="174"/>
      <c r="J740" s="174"/>
      <c r="K740" s="174"/>
      <c r="P740" s="179"/>
      <c r="Q740" s="179"/>
      <c r="R740" s="179"/>
      <c r="S740" s="179"/>
      <c r="T740" s="179"/>
      <c r="U740" s="664"/>
      <c r="V740" s="665"/>
      <c r="W740" s="254"/>
      <c r="X740" s="539"/>
      <c r="Y740" s="539"/>
      <c r="Z740" s="539"/>
      <c r="AA740" s="539"/>
      <c r="AB740" s="539"/>
      <c r="AC740" s="539"/>
      <c r="AD740" s="539"/>
      <c r="AE740" s="539"/>
      <c r="AF740" s="539"/>
      <c r="AG740" s="539"/>
      <c r="AH740" s="539"/>
      <c r="AI740" s="539"/>
      <c r="AJ740" s="539"/>
      <c r="AK740" s="539"/>
      <c r="AL740" s="539"/>
      <c r="AM740" s="293"/>
      <c r="AN740" s="226"/>
      <c r="GS740" s="176"/>
      <c r="GT740" s="176"/>
      <c r="GU740" s="176"/>
      <c r="GV740" s="176"/>
      <c r="GW740" s="176"/>
    </row>
    <row r="741" spans="1:205" ht="12.75" customHeight="1" x14ac:dyDescent="0.2">
      <c r="A741" s="739"/>
      <c r="B741" s="1140"/>
      <c r="C741" s="1140"/>
      <c r="D741" s="240"/>
      <c r="G741" s="174"/>
      <c r="H741" s="174"/>
      <c r="I741" s="174"/>
      <c r="J741" s="174"/>
      <c r="K741" s="174"/>
      <c r="P741" s="179"/>
      <c r="Q741" s="179"/>
      <c r="R741" s="179"/>
      <c r="S741" s="179"/>
      <c r="T741" s="179"/>
      <c r="U741" s="664"/>
      <c r="V741" s="665"/>
      <c r="W741" s="254"/>
      <c r="X741" s="539"/>
      <c r="Y741" s="539"/>
      <c r="Z741" s="539"/>
      <c r="AA741" s="539"/>
      <c r="AB741" s="539"/>
      <c r="AC741" s="539"/>
      <c r="AD741" s="539"/>
      <c r="AE741" s="539"/>
      <c r="AF741" s="539"/>
      <c r="AG741" s="539"/>
      <c r="AH741" s="539"/>
      <c r="AI741" s="539"/>
      <c r="AJ741" s="539"/>
      <c r="AK741" s="539"/>
      <c r="AL741" s="539"/>
      <c r="AM741" s="293"/>
      <c r="AN741" s="226"/>
      <c r="GS741" s="176"/>
      <c r="GT741" s="176"/>
      <c r="GU741" s="176"/>
      <c r="GV741" s="176"/>
      <c r="GW741" s="176"/>
    </row>
    <row r="742" spans="1:205" ht="13.5" customHeight="1" x14ac:dyDescent="0.2">
      <c r="A742" s="736"/>
      <c r="B742" s="1137"/>
      <c r="C742" s="1137"/>
      <c r="D742" s="541"/>
      <c r="G742" s="174"/>
      <c r="H742" s="174"/>
      <c r="I742" s="174"/>
      <c r="J742" s="174"/>
      <c r="K742" s="174"/>
      <c r="P742" s="179"/>
      <c r="Q742" s="179"/>
      <c r="R742" s="179"/>
      <c r="S742" s="179"/>
      <c r="T742" s="179"/>
      <c r="U742" s="1839"/>
      <c r="V742" s="1423"/>
      <c r="W742" s="254"/>
      <c r="X742" s="254"/>
      <c r="Y742" s="254"/>
      <c r="Z742" s="254"/>
      <c r="AA742" s="254"/>
      <c r="AB742" s="254"/>
      <c r="AC742" s="642"/>
      <c r="AD742" s="642"/>
      <c r="AE742" s="642"/>
      <c r="AF742" s="642"/>
      <c r="AG742" s="642"/>
      <c r="AH742" s="642"/>
      <c r="AI742" s="642"/>
      <c r="AJ742" s="642"/>
      <c r="AK742" s="642"/>
      <c r="AL742" s="642"/>
      <c r="AM742" s="541"/>
      <c r="AN742" s="226"/>
      <c r="GS742" s="176"/>
      <c r="GT742" s="176"/>
      <c r="GU742" s="176"/>
      <c r="GV742" s="176"/>
      <c r="GW742" s="176"/>
    </row>
    <row r="743" spans="1:205" ht="13.5" customHeight="1" x14ac:dyDescent="0.2">
      <c r="A743" s="733"/>
      <c r="B743" s="1134"/>
      <c r="C743" s="1134"/>
      <c r="D743" s="535"/>
      <c r="E743" s="623"/>
      <c r="G743" s="174"/>
      <c r="H743" s="174"/>
      <c r="I743" s="174"/>
      <c r="J743" s="174"/>
      <c r="K743" s="174"/>
      <c r="P743" s="179"/>
      <c r="Q743" s="179"/>
      <c r="R743" s="179"/>
      <c r="S743" s="179"/>
      <c r="T743" s="179"/>
      <c r="U743" s="1843" t="s">
        <v>138</v>
      </c>
      <c r="V743" s="1844" t="s">
        <v>181</v>
      </c>
      <c r="W743" s="1844" t="s">
        <v>209</v>
      </c>
      <c r="X743" s="1426" t="str">
        <f t="shared" ref="X743:AK743" si="260">X$14</f>
        <v>RIGMOVE</v>
      </c>
      <c r="Y743" s="1426" t="str">
        <f t="shared" si="260"/>
        <v>DSURFACE</v>
      </c>
      <c r="Z743" s="1426" t="str">
        <f t="shared" si="260"/>
        <v>FSURFACE</v>
      </c>
      <c r="AA743" s="1426" t="str">
        <f t="shared" si="260"/>
        <v>DINTERMEDIATE</v>
      </c>
      <c r="AB743" s="1426" t="str">
        <f t="shared" si="260"/>
        <v>FINTERMEDIATE</v>
      </c>
      <c r="AC743" s="1426" t="str">
        <f t="shared" si="260"/>
        <v>DPRODUCTION</v>
      </c>
      <c r="AD743" s="1426" t="str">
        <f t="shared" si="260"/>
        <v>FPRODUCTION</v>
      </c>
      <c r="AE743" s="1426" t="str">
        <f t="shared" si="260"/>
        <v>DLINER1</v>
      </c>
      <c r="AF743" s="1426" t="str">
        <f t="shared" si="260"/>
        <v>FLINER1</v>
      </c>
      <c r="AG743" s="1426" t="str">
        <f t="shared" si="260"/>
        <v>DLINER2</v>
      </c>
      <c r="AH743" s="1426" t="str">
        <f t="shared" si="260"/>
        <v>FLINER2</v>
      </c>
      <c r="AI743" s="1426" t="str">
        <f t="shared" si="260"/>
        <v/>
      </c>
      <c r="AJ743" s="1426" t="str">
        <f t="shared" si="260"/>
        <v/>
      </c>
      <c r="AK743" s="1426" t="str">
        <f t="shared" si="260"/>
        <v/>
      </c>
      <c r="AL743" s="1426"/>
      <c r="AM743" s="1449" t="s">
        <v>46</v>
      </c>
      <c r="AN743" s="226"/>
      <c r="GS743" s="176"/>
      <c r="GT743" s="176"/>
      <c r="GU743" s="176"/>
      <c r="GV743" s="176"/>
      <c r="GW743" s="176"/>
    </row>
    <row r="744" spans="1:205" ht="12.75" customHeight="1" x14ac:dyDescent="0.2">
      <c r="A744" s="738"/>
      <c r="B744" s="1141"/>
      <c r="C744" s="1141"/>
      <c r="D744" s="544"/>
      <c r="E744" s="624"/>
      <c r="G744" s="174"/>
      <c r="H744" s="174"/>
      <c r="I744" s="174"/>
      <c r="J744" s="174"/>
      <c r="K744" s="174"/>
      <c r="M744" s="201" t="e">
        <f>#REF!</f>
        <v>#REF!</v>
      </c>
      <c r="P744" s="179"/>
      <c r="Q744" s="179"/>
      <c r="R744" s="179"/>
      <c r="S744" s="179"/>
      <c r="T744" s="179"/>
      <c r="U744" s="1501"/>
      <c r="V744" s="1840" t="str">
        <f>V737</f>
        <v>Wireline + Survey</v>
      </c>
      <c r="W744" s="329">
        <v>2500000</v>
      </c>
      <c r="X744" s="286"/>
      <c r="Y744" s="286"/>
      <c r="Z744" s="286"/>
      <c r="AA744" s="286"/>
      <c r="AB744" s="286"/>
      <c r="AC744" s="286"/>
      <c r="AD744" s="286"/>
      <c r="AE744" s="286"/>
      <c r="AF744" s="286">
        <f>AF737*$W$744</f>
        <v>0</v>
      </c>
      <c r="AG744" s="286"/>
      <c r="AH744" s="286">
        <f>AH737*$W$744</f>
        <v>2500000</v>
      </c>
      <c r="AI744" s="286"/>
      <c r="AJ744" s="286">
        <f>AJ737*$W$744</f>
        <v>0</v>
      </c>
      <c r="AK744" s="286"/>
      <c r="AL744" s="288"/>
      <c r="AM744" s="245">
        <f>SUM(X744:AL744)</f>
        <v>2500000</v>
      </c>
      <c r="AN744" s="226"/>
      <c r="GS744" s="176"/>
      <c r="GT744" s="176"/>
      <c r="GU744" s="176"/>
      <c r="GV744" s="176"/>
      <c r="GW744" s="176"/>
    </row>
    <row r="745" spans="1:205" ht="13.5" customHeight="1" x14ac:dyDescent="0.2">
      <c r="A745" s="738"/>
      <c r="B745" s="1141"/>
      <c r="C745" s="1141"/>
      <c r="D745" s="544"/>
      <c r="E745" s="624"/>
      <c r="G745" s="174"/>
      <c r="H745" s="174"/>
      <c r="I745" s="174"/>
      <c r="J745" s="174"/>
      <c r="K745" s="174"/>
      <c r="P745" s="179"/>
      <c r="Q745" s="179"/>
      <c r="R745" s="179"/>
      <c r="S745" s="179"/>
      <c r="T745" s="179"/>
      <c r="U745" s="1501"/>
      <c r="V745" s="1475" t="str">
        <f>V738</f>
        <v>DHV</v>
      </c>
      <c r="W745" s="341">
        <v>1100000</v>
      </c>
      <c r="X745" s="287"/>
      <c r="Y745" s="287"/>
      <c r="Z745" s="287"/>
      <c r="AA745" s="255"/>
      <c r="AB745" s="255"/>
      <c r="AC745" s="288"/>
      <c r="AD745" s="288"/>
      <c r="AE745" s="288"/>
      <c r="AF745" s="286">
        <f>AF738*$W$745</f>
        <v>0</v>
      </c>
      <c r="AG745" s="288"/>
      <c r="AH745" s="286">
        <f>AH738*$W$745</f>
        <v>0</v>
      </c>
      <c r="AI745" s="288"/>
      <c r="AJ745" s="286">
        <f>AJ738*$W$745</f>
        <v>0</v>
      </c>
      <c r="AK745" s="286">
        <f>AK738*$W$745</f>
        <v>0</v>
      </c>
      <c r="AL745" s="288"/>
      <c r="AM745" s="245">
        <f>SUM(X745:AL745)</f>
        <v>0</v>
      </c>
      <c r="AN745" s="226"/>
      <c r="GS745" s="176"/>
      <c r="GT745" s="176"/>
      <c r="GU745" s="176"/>
      <c r="GV745" s="176"/>
      <c r="GW745" s="176"/>
    </row>
    <row r="746" spans="1:205" ht="13.5" customHeight="1" x14ac:dyDescent="0.2">
      <c r="A746" s="735"/>
      <c r="B746" s="1136"/>
      <c r="C746" s="1136"/>
      <c r="D746" s="545"/>
      <c r="E746" s="623"/>
      <c r="F746" s="226"/>
      <c r="G746" s="174"/>
      <c r="H746" s="174"/>
      <c r="I746" s="174"/>
      <c r="J746" s="174"/>
      <c r="K746" s="174"/>
      <c r="P746" s="179"/>
      <c r="Q746" s="179"/>
      <c r="R746" s="179"/>
      <c r="S746" s="179"/>
      <c r="T746" s="179"/>
      <c r="U746" s="664"/>
      <c r="V746" s="665"/>
      <c r="W746" s="254"/>
      <c r="X746" s="284"/>
      <c r="Y746" s="284"/>
      <c r="Z746" s="284"/>
      <c r="AA746" s="284"/>
      <c r="AB746" s="284"/>
      <c r="AC746" s="284"/>
      <c r="AD746" s="284"/>
      <c r="AE746" s="284"/>
      <c r="AF746" s="341">
        <f t="shared" ref="AF746:AK746" si="261">SUM(AF744:AF745)</f>
        <v>0</v>
      </c>
      <c r="AG746" s="284"/>
      <c r="AH746" s="284">
        <f t="shared" si="261"/>
        <v>2500000</v>
      </c>
      <c r="AI746" s="284"/>
      <c r="AJ746" s="341">
        <f t="shared" ref="AJ746" si="262">SUM(AJ744:AJ745)</f>
        <v>0</v>
      </c>
      <c r="AK746" s="341">
        <f t="shared" si="261"/>
        <v>0</v>
      </c>
      <c r="AL746" s="284"/>
      <c r="AM746" s="1856">
        <f>SUM(AM744:AM745)</f>
        <v>2500000</v>
      </c>
      <c r="AN746" s="1020"/>
      <c r="GS746" s="176"/>
      <c r="GT746" s="176"/>
      <c r="GU746" s="176"/>
      <c r="GV746" s="176"/>
      <c r="GW746" s="176"/>
    </row>
    <row r="747" spans="1:205" ht="12.75" customHeight="1" x14ac:dyDescent="0.2">
      <c r="E747" s="622"/>
      <c r="G747" s="174"/>
      <c r="H747" s="174"/>
      <c r="I747" s="174"/>
      <c r="J747" s="174"/>
      <c r="K747" s="174"/>
      <c r="P747" s="179"/>
      <c r="Q747" s="179"/>
      <c r="R747" s="179"/>
      <c r="S747" s="179"/>
      <c r="T747" s="179"/>
      <c r="U747" s="173"/>
      <c r="V747" s="173"/>
      <c r="AC747" s="239"/>
      <c r="AD747" s="239"/>
      <c r="AE747" s="239"/>
      <c r="AF747" s="239"/>
      <c r="AG747" s="239"/>
      <c r="AH747" s="239"/>
      <c r="AI747" s="239"/>
      <c r="AJ747" s="239"/>
      <c r="AK747" s="239"/>
      <c r="AL747" s="239"/>
      <c r="AM747" s="172"/>
      <c r="AN747" s="258"/>
      <c r="GS747" s="176"/>
      <c r="GT747" s="176"/>
      <c r="GU747" s="176"/>
      <c r="GV747" s="176"/>
      <c r="GW747" s="176"/>
    </row>
    <row r="748" spans="1:205" ht="12.75" customHeight="1" x14ac:dyDescent="0.2">
      <c r="A748" s="739"/>
      <c r="B748" s="1140"/>
      <c r="C748" s="1140"/>
      <c r="D748" s="240"/>
      <c r="G748" s="174"/>
      <c r="H748" s="174"/>
      <c r="I748" s="174"/>
      <c r="J748" s="174"/>
      <c r="K748" s="174"/>
      <c r="P748" s="179"/>
      <c r="Q748" s="179"/>
      <c r="R748" s="179"/>
      <c r="S748" s="179"/>
      <c r="T748" s="179"/>
      <c r="U748" s="173"/>
      <c r="V748" s="173"/>
      <c r="AC748" s="239"/>
      <c r="AD748" s="239"/>
      <c r="AE748" s="239"/>
      <c r="AF748" s="239"/>
      <c r="AG748" s="239"/>
      <c r="AH748" s="239"/>
      <c r="AI748" s="239"/>
      <c r="AJ748" s="239"/>
      <c r="AK748" s="239"/>
      <c r="AL748" s="239"/>
      <c r="AM748" s="172"/>
      <c r="AN748" s="258"/>
      <c r="GS748" s="176"/>
      <c r="GT748" s="176"/>
      <c r="GU748" s="176"/>
      <c r="GV748" s="176"/>
      <c r="GW748" s="176"/>
    </row>
    <row r="749" spans="1:205" ht="12.75" customHeight="1" x14ac:dyDescent="0.2">
      <c r="A749" s="739"/>
      <c r="B749" s="1140"/>
      <c r="C749" s="1140"/>
      <c r="D749" s="240"/>
      <c r="G749" s="174"/>
      <c r="H749" s="174"/>
      <c r="I749" s="174"/>
      <c r="J749" s="174"/>
      <c r="K749" s="174"/>
      <c r="P749" s="179"/>
      <c r="Q749" s="179"/>
      <c r="R749" s="179"/>
      <c r="S749" s="179"/>
      <c r="T749" s="179"/>
      <c r="U749" s="1390"/>
      <c r="V749" s="1391" t="s">
        <v>1019</v>
      </c>
      <c r="AC749" s="239"/>
      <c r="AD749" s="239"/>
      <c r="AE749" s="239"/>
      <c r="AF749" s="239"/>
      <c r="AG749" s="239"/>
      <c r="AH749" s="239"/>
      <c r="AI749" s="239"/>
      <c r="AJ749" s="239"/>
      <c r="AK749" s="239"/>
      <c r="AL749" s="239"/>
      <c r="AM749" s="240"/>
      <c r="AN749" s="258"/>
      <c r="GS749" s="176"/>
      <c r="GT749" s="176"/>
      <c r="GU749" s="176"/>
      <c r="GV749" s="176"/>
      <c r="GW749" s="176"/>
    </row>
    <row r="750" spans="1:205" ht="12.75" customHeight="1" x14ac:dyDescent="0.2">
      <c r="A750" s="739"/>
      <c r="B750" s="1140"/>
      <c r="C750" s="1140"/>
      <c r="D750" s="240"/>
      <c r="G750" s="174"/>
      <c r="H750" s="174"/>
      <c r="I750" s="174"/>
      <c r="J750" s="174"/>
      <c r="K750" s="174"/>
      <c r="P750" s="179"/>
      <c r="Q750" s="179"/>
      <c r="R750" s="179"/>
      <c r="S750" s="179"/>
      <c r="T750" s="179"/>
      <c r="U750" s="1492" t="s">
        <v>138</v>
      </c>
      <c r="V750" s="1493" t="s">
        <v>181</v>
      </c>
      <c r="W750" s="1493" t="s">
        <v>153</v>
      </c>
      <c r="X750" s="1426" t="str">
        <f t="shared" ref="X750:AK750" si="263">X$14</f>
        <v>RIGMOVE</v>
      </c>
      <c r="Y750" s="1426" t="str">
        <f t="shared" si="263"/>
        <v>DSURFACE</v>
      </c>
      <c r="Z750" s="1426" t="str">
        <f>Z$14</f>
        <v>FSURFACE</v>
      </c>
      <c r="AA750" s="1426" t="str">
        <f t="shared" si="263"/>
        <v>DINTERMEDIATE</v>
      </c>
      <c r="AB750" s="1426" t="str">
        <f t="shared" si="263"/>
        <v>FINTERMEDIATE</v>
      </c>
      <c r="AC750" s="1426" t="str">
        <f t="shared" si="263"/>
        <v>DPRODUCTION</v>
      </c>
      <c r="AD750" s="1426" t="str">
        <f t="shared" si="263"/>
        <v>FPRODUCTION</v>
      </c>
      <c r="AE750" s="1426" t="str">
        <f t="shared" si="263"/>
        <v>DLINER1</v>
      </c>
      <c r="AF750" s="1426" t="str">
        <f t="shared" si="263"/>
        <v>FLINER1</v>
      </c>
      <c r="AG750" s="1426" t="str">
        <f t="shared" si="263"/>
        <v>DLINER2</v>
      </c>
      <c r="AH750" s="1426" t="str">
        <f t="shared" si="263"/>
        <v>FLINER2</v>
      </c>
      <c r="AI750" s="1426" t="str">
        <f t="shared" si="263"/>
        <v/>
      </c>
      <c r="AJ750" s="1426" t="str">
        <f t="shared" si="263"/>
        <v/>
      </c>
      <c r="AK750" s="1426" t="str">
        <f t="shared" si="263"/>
        <v/>
      </c>
      <c r="AL750" s="1426"/>
      <c r="AM750" s="1449" t="s">
        <v>46</v>
      </c>
      <c r="AN750" s="258"/>
      <c r="GS750" s="176"/>
      <c r="GT750" s="176"/>
      <c r="GU750" s="176"/>
      <c r="GV750" s="176"/>
      <c r="GW750" s="176"/>
    </row>
    <row r="751" spans="1:205" ht="12.75" customHeight="1" x14ac:dyDescent="0.2">
      <c r="A751" s="739"/>
      <c r="B751" s="1140"/>
      <c r="C751" s="1140"/>
      <c r="D751" s="240"/>
      <c r="G751" s="174"/>
      <c r="H751" s="174"/>
      <c r="I751" s="174"/>
      <c r="J751" s="174"/>
      <c r="K751" s="174"/>
      <c r="P751" s="179"/>
      <c r="Q751" s="179"/>
      <c r="R751" s="179"/>
      <c r="S751" s="179"/>
      <c r="T751" s="179"/>
      <c r="U751" s="1501"/>
      <c r="V751" s="1491" t="s">
        <v>1016</v>
      </c>
      <c r="W751" s="329" t="s">
        <v>1018</v>
      </c>
      <c r="X751" s="286"/>
      <c r="Y751" s="1909">
        <f>ROUNDUP(Y176*1.2,0)*IF(INPUT!$D$18="Yes",1,0)</f>
        <v>107</v>
      </c>
      <c r="Z751" s="1909">
        <f>ROUNDUP(Z176*1.2,0)*IF(INPUT!$D$18="Yes",1,0)</f>
        <v>860</v>
      </c>
      <c r="AA751" s="1909">
        <f t="shared" ref="AA751:AG751" si="264">ROUNDUP(AA176*1.2,0)</f>
        <v>107</v>
      </c>
      <c r="AB751" s="1909">
        <f t="shared" si="264"/>
        <v>2147</v>
      </c>
      <c r="AC751" s="1909">
        <f t="shared" si="264"/>
        <v>107</v>
      </c>
      <c r="AD751" s="1909">
        <f t="shared" si="264"/>
        <v>1764</v>
      </c>
      <c r="AE751" s="1909">
        <f t="shared" si="264"/>
        <v>0</v>
      </c>
      <c r="AF751" s="1909">
        <f t="shared" si="264"/>
        <v>120</v>
      </c>
      <c r="AG751" s="1909">
        <f t="shared" si="264"/>
        <v>0</v>
      </c>
      <c r="AH751" s="1909">
        <f>ROUNDUP(AH176*1.2,0)</f>
        <v>1008</v>
      </c>
      <c r="AI751" s="286"/>
      <c r="AJ751" s="286"/>
      <c r="AK751" s="1909">
        <f>ROUNDUP(AJ176*1.2,0)</f>
        <v>0</v>
      </c>
      <c r="AL751" s="288"/>
      <c r="AM751" s="245">
        <f>SUM(X751:AL751)</f>
        <v>6220</v>
      </c>
      <c r="AN751" s="258"/>
      <c r="GS751" s="176"/>
      <c r="GT751" s="176"/>
      <c r="GU751" s="176"/>
      <c r="GV751" s="176"/>
      <c r="GW751" s="176"/>
    </row>
    <row r="752" spans="1:205" ht="12.75" customHeight="1" x14ac:dyDescent="0.2">
      <c r="A752" s="739"/>
      <c r="B752" s="1140"/>
      <c r="C752" s="1140"/>
      <c r="D752" s="240"/>
      <c r="G752" s="174"/>
      <c r="H752" s="174"/>
      <c r="I752" s="174"/>
      <c r="J752" s="174"/>
      <c r="K752" s="174"/>
      <c r="P752" s="179"/>
      <c r="Q752" s="179"/>
      <c r="R752" s="179"/>
      <c r="S752" s="179"/>
      <c r="T752" s="179"/>
      <c r="U752" s="1501"/>
      <c r="V752" s="1475"/>
      <c r="W752" s="287"/>
      <c r="X752" s="287"/>
      <c r="Y752" s="287"/>
      <c r="Z752" s="287"/>
      <c r="AA752" s="255"/>
      <c r="AB752" s="255"/>
      <c r="AC752" s="288"/>
      <c r="AD752" s="288"/>
      <c r="AE752" s="288"/>
      <c r="AF752" s="288"/>
      <c r="AG752" s="288"/>
      <c r="AH752" s="288"/>
      <c r="AI752" s="288"/>
      <c r="AJ752" s="288"/>
      <c r="AK752" s="288"/>
      <c r="AL752" s="288"/>
      <c r="AM752" s="245"/>
      <c r="AN752" s="258"/>
      <c r="GS752" s="176"/>
      <c r="GT752" s="176"/>
      <c r="GU752" s="176"/>
      <c r="GV752" s="176"/>
      <c r="GW752" s="176"/>
    </row>
    <row r="753" spans="1:205" ht="12.75" customHeight="1" x14ac:dyDescent="0.2">
      <c r="A753" s="739"/>
      <c r="B753" s="1140"/>
      <c r="C753" s="1140"/>
      <c r="D753" s="240"/>
      <c r="G753" s="174"/>
      <c r="H753" s="174"/>
      <c r="I753" s="174"/>
      <c r="J753" s="174"/>
      <c r="K753" s="174"/>
      <c r="P753" s="179"/>
      <c r="Q753" s="179"/>
      <c r="R753" s="179"/>
      <c r="S753" s="179"/>
      <c r="T753" s="179"/>
      <c r="U753" s="664"/>
      <c r="V753" s="665"/>
      <c r="W753" s="254"/>
      <c r="X753" s="284"/>
      <c r="Y753" s="284">
        <f>SUM(Y751:Y752)</f>
        <v>107</v>
      </c>
      <c r="Z753" s="284">
        <f t="shared" ref="Z753:AH753" si="265">SUM(Z751:Z752)</f>
        <v>860</v>
      </c>
      <c r="AA753" s="284">
        <f t="shared" si="265"/>
        <v>107</v>
      </c>
      <c r="AB753" s="284">
        <f t="shared" si="265"/>
        <v>2147</v>
      </c>
      <c r="AC753" s="284">
        <f t="shared" si="265"/>
        <v>107</v>
      </c>
      <c r="AD753" s="284">
        <f t="shared" si="265"/>
        <v>1764</v>
      </c>
      <c r="AE753" s="284">
        <f t="shared" si="265"/>
        <v>0</v>
      </c>
      <c r="AF753" s="284">
        <f t="shared" si="265"/>
        <v>120</v>
      </c>
      <c r="AG753" s="284">
        <f t="shared" si="265"/>
        <v>0</v>
      </c>
      <c r="AH753" s="284">
        <f t="shared" si="265"/>
        <v>1008</v>
      </c>
      <c r="AI753" s="284"/>
      <c r="AJ753" s="284"/>
      <c r="AK753" s="284"/>
      <c r="AL753" s="284"/>
      <c r="AM753" s="1502">
        <f>SUM(AM751:AM752)</f>
        <v>6220</v>
      </c>
      <c r="AN753" s="226"/>
      <c r="GS753" s="176"/>
      <c r="GT753" s="176"/>
      <c r="GU753" s="176"/>
      <c r="GV753" s="176"/>
      <c r="GW753" s="176"/>
    </row>
    <row r="754" spans="1:205" ht="12.75" customHeight="1" x14ac:dyDescent="0.2">
      <c r="A754" s="739"/>
      <c r="B754" s="1140"/>
      <c r="C754" s="1140"/>
      <c r="D754" s="240"/>
      <c r="G754" s="174"/>
      <c r="H754" s="174"/>
      <c r="I754" s="174"/>
      <c r="J754" s="174"/>
      <c r="K754" s="174"/>
      <c r="P754" s="179"/>
      <c r="Q754" s="179"/>
      <c r="R754" s="179"/>
      <c r="S754" s="179"/>
      <c r="T754" s="179"/>
      <c r="U754" s="664"/>
      <c r="V754" s="665"/>
      <c r="W754" s="254"/>
      <c r="X754" s="539"/>
      <c r="Y754" s="539"/>
      <c r="Z754" s="539"/>
      <c r="AA754" s="539"/>
      <c r="AB754" s="539"/>
      <c r="AC754" s="539"/>
      <c r="AD754" s="539"/>
      <c r="AE754" s="539"/>
      <c r="AF754" s="539"/>
      <c r="AG754" s="539"/>
      <c r="AH754" s="539"/>
      <c r="AI754" s="539"/>
      <c r="AJ754" s="539"/>
      <c r="AK754" s="539"/>
      <c r="AL754" s="539"/>
      <c r="AM754" s="293"/>
      <c r="AN754" s="226"/>
      <c r="GS754" s="176"/>
      <c r="GT754" s="176"/>
      <c r="GU754" s="176"/>
      <c r="GV754" s="176"/>
      <c r="GW754" s="176"/>
    </row>
    <row r="755" spans="1:205" ht="12.75" customHeight="1" x14ac:dyDescent="0.2">
      <c r="A755" s="739"/>
      <c r="B755" s="1140"/>
      <c r="C755" s="1140"/>
      <c r="D755" s="240"/>
      <c r="G755" s="174"/>
      <c r="H755" s="174"/>
      <c r="I755" s="174"/>
      <c r="J755" s="174"/>
      <c r="K755" s="174"/>
      <c r="P755" s="179"/>
      <c r="Q755" s="179"/>
      <c r="R755" s="179"/>
      <c r="S755" s="179"/>
      <c r="T755" s="179"/>
      <c r="U755" s="664"/>
      <c r="V755" s="665"/>
      <c r="W755" s="254"/>
      <c r="X755" s="539"/>
      <c r="Y755" s="539"/>
      <c r="Z755" s="539"/>
      <c r="AA755" s="539"/>
      <c r="AB755" s="539"/>
      <c r="AC755" s="539"/>
      <c r="AD755" s="539"/>
      <c r="AE755" s="539"/>
      <c r="AF755" s="539"/>
      <c r="AG755" s="539"/>
      <c r="AH755" s="539"/>
      <c r="AI755" s="539"/>
      <c r="AJ755" s="539"/>
      <c r="AK755" s="539"/>
      <c r="AL755" s="539"/>
      <c r="AM755" s="293"/>
      <c r="AN755" s="226"/>
      <c r="GS755" s="176"/>
      <c r="GT755" s="176"/>
      <c r="GU755" s="176"/>
      <c r="GV755" s="176"/>
      <c r="GW755" s="176"/>
    </row>
    <row r="756" spans="1:205" ht="13.5" customHeight="1" x14ac:dyDescent="0.2">
      <c r="A756" s="736"/>
      <c r="B756" s="1137"/>
      <c r="C756" s="1137"/>
      <c r="D756" s="541"/>
      <c r="G756" s="174"/>
      <c r="H756" s="174"/>
      <c r="I756" s="174"/>
      <c r="J756" s="174"/>
      <c r="K756" s="174"/>
      <c r="P756" s="179"/>
      <c r="Q756" s="179"/>
      <c r="R756" s="179"/>
      <c r="S756" s="179"/>
      <c r="T756" s="179"/>
      <c r="U756" s="1490"/>
      <c r="V756" s="1423"/>
      <c r="W756" s="254"/>
      <c r="X756" s="254"/>
      <c r="Y756" s="254"/>
      <c r="Z756" s="254"/>
      <c r="AA756" s="254"/>
      <c r="AB756" s="254"/>
      <c r="AC756" s="642"/>
      <c r="AD756" s="642"/>
      <c r="AE756" s="642"/>
      <c r="AF756" s="642"/>
      <c r="AG756" s="642"/>
      <c r="AH756" s="642"/>
      <c r="AI756" s="642"/>
      <c r="AJ756" s="642"/>
      <c r="AK756" s="642"/>
      <c r="AL756" s="642"/>
      <c r="AM756" s="541"/>
      <c r="AN756" s="226"/>
      <c r="GS756" s="176"/>
      <c r="GT756" s="176"/>
      <c r="GU756" s="176"/>
      <c r="GV756" s="176"/>
      <c r="GW756" s="176"/>
    </row>
    <row r="757" spans="1:205" ht="13.5" customHeight="1" x14ac:dyDescent="0.2">
      <c r="A757" s="733"/>
      <c r="B757" s="1134"/>
      <c r="C757" s="1134"/>
      <c r="D757" s="535"/>
      <c r="E757" s="623"/>
      <c r="G757" s="174"/>
      <c r="H757" s="174"/>
      <c r="I757" s="174"/>
      <c r="J757" s="174"/>
      <c r="K757" s="174"/>
      <c r="P757" s="179"/>
      <c r="Q757" s="179"/>
      <c r="R757" s="179"/>
      <c r="S757" s="179"/>
      <c r="T757" s="179"/>
      <c r="U757" s="1492" t="s">
        <v>138</v>
      </c>
      <c r="V757" s="1493" t="s">
        <v>181</v>
      </c>
      <c r="W757" s="1493" t="s">
        <v>209</v>
      </c>
      <c r="X757" s="1426" t="str">
        <f t="shared" ref="X757:AK757" si="266">X$14</f>
        <v>RIGMOVE</v>
      </c>
      <c r="Y757" s="1426" t="str">
        <f t="shared" si="266"/>
        <v>DSURFACE</v>
      </c>
      <c r="Z757" s="1426" t="str">
        <f t="shared" si="266"/>
        <v>FSURFACE</v>
      </c>
      <c r="AA757" s="1426" t="str">
        <f t="shared" si="266"/>
        <v>DINTERMEDIATE</v>
      </c>
      <c r="AB757" s="1426" t="str">
        <f t="shared" si="266"/>
        <v>FINTERMEDIATE</v>
      </c>
      <c r="AC757" s="1426" t="str">
        <f t="shared" si="266"/>
        <v>DPRODUCTION</v>
      </c>
      <c r="AD757" s="1426" t="str">
        <f t="shared" si="266"/>
        <v>FPRODUCTION</v>
      </c>
      <c r="AE757" s="1426" t="str">
        <f t="shared" si="266"/>
        <v>DLINER1</v>
      </c>
      <c r="AF757" s="1426" t="str">
        <f t="shared" si="266"/>
        <v>FLINER1</v>
      </c>
      <c r="AG757" s="1426" t="str">
        <f t="shared" si="266"/>
        <v>DLINER2</v>
      </c>
      <c r="AH757" s="1426" t="str">
        <f t="shared" si="266"/>
        <v>FLINER2</v>
      </c>
      <c r="AI757" s="1426" t="str">
        <f t="shared" si="266"/>
        <v/>
      </c>
      <c r="AJ757" s="1426" t="str">
        <f t="shared" si="266"/>
        <v/>
      </c>
      <c r="AK757" s="1426" t="str">
        <f t="shared" si="266"/>
        <v/>
      </c>
      <c r="AL757" s="1426"/>
      <c r="AM757" s="1449" t="s">
        <v>46</v>
      </c>
      <c r="AN757" s="226"/>
      <c r="GS757" s="176"/>
      <c r="GT757" s="176"/>
      <c r="GU757" s="176"/>
      <c r="GV757" s="176"/>
      <c r="GW757" s="176"/>
    </row>
    <row r="758" spans="1:205" ht="12.75" customHeight="1" x14ac:dyDescent="0.2">
      <c r="A758" s="738"/>
      <c r="B758" s="1141"/>
      <c r="C758" s="1141"/>
      <c r="D758" s="544"/>
      <c r="E758" s="624"/>
      <c r="G758" s="174"/>
      <c r="H758" s="174"/>
      <c r="I758" s="174"/>
      <c r="J758" s="174"/>
      <c r="K758" s="174"/>
      <c r="M758" s="201" t="e">
        <f>#REF!</f>
        <v>#REF!</v>
      </c>
      <c r="P758" s="179"/>
      <c r="Q758" s="179"/>
      <c r="R758" s="179"/>
      <c r="S758" s="179"/>
      <c r="T758" s="179"/>
      <c r="U758" s="1501"/>
      <c r="V758" s="1491" t="s">
        <v>1017</v>
      </c>
      <c r="W758" s="329">
        <f>VLOOKUP(INPUT!$H$8,'Cement SLB Rev'!$B$54:$C$57,2,FALSE)</f>
        <v>13</v>
      </c>
      <c r="X758" s="286"/>
      <c r="Y758" s="286">
        <f>Y751*$W$758*IF(INPUT!$D$18="No",0,1)</f>
        <v>1391</v>
      </c>
      <c r="Z758" s="286">
        <f>Z751*$W$758*IF(INPUT!$D$18="No",0,1)</f>
        <v>11180</v>
      </c>
      <c r="AA758" s="286"/>
      <c r="AB758" s="286">
        <f>AB751*$W$758</f>
        <v>27911</v>
      </c>
      <c r="AC758" s="286"/>
      <c r="AD758" s="286">
        <f>AD751*$W$758</f>
        <v>22932</v>
      </c>
      <c r="AE758" s="286"/>
      <c r="AF758" s="286">
        <f>AF751*$W$758</f>
        <v>1560</v>
      </c>
      <c r="AG758" s="286"/>
      <c r="AH758" s="286"/>
      <c r="AI758" s="286"/>
      <c r="AJ758" s="286"/>
      <c r="AK758" s="286"/>
      <c r="AL758" s="288"/>
      <c r="AM758" s="245">
        <f>SUM(X758:AL758)</f>
        <v>64974</v>
      </c>
      <c r="AN758" s="226"/>
      <c r="GS758" s="176"/>
      <c r="GT758" s="176"/>
      <c r="GU758" s="176"/>
      <c r="GV758" s="176"/>
      <c r="GW758" s="176"/>
    </row>
    <row r="759" spans="1:205" ht="13.5" customHeight="1" x14ac:dyDescent="0.2">
      <c r="A759" s="738"/>
      <c r="B759" s="1141"/>
      <c r="C759" s="1141"/>
      <c r="D759" s="544"/>
      <c r="E759" s="624"/>
      <c r="G759" s="174"/>
      <c r="H759" s="174"/>
      <c r="I759" s="174"/>
      <c r="J759" s="174"/>
      <c r="K759" s="174"/>
      <c r="P759" s="179"/>
      <c r="Q759" s="179"/>
      <c r="R759" s="179"/>
      <c r="S759" s="179"/>
      <c r="T759" s="179"/>
      <c r="U759" s="1501" t="s">
        <v>2252</v>
      </c>
      <c r="V759" s="1965" t="s">
        <v>2271</v>
      </c>
      <c r="W759" s="341">
        <v>3397750</v>
      </c>
      <c r="X759" s="341">
        <f>IF(INPUT!D4='Cost Details'!U759,'Cost Details'!W759,0)</f>
        <v>0</v>
      </c>
      <c r="Y759" s="287"/>
      <c r="Z759" s="287"/>
      <c r="AA759" s="255"/>
      <c r="AB759" s="255"/>
      <c r="AC759" s="288"/>
      <c r="AD759" s="288"/>
      <c r="AE759" s="288"/>
      <c r="AF759" s="288"/>
      <c r="AG759" s="288"/>
      <c r="AH759" s="288"/>
      <c r="AI759" s="288"/>
      <c r="AJ759" s="288"/>
      <c r="AK759" s="288"/>
      <c r="AL759" s="288"/>
      <c r="AM759" s="245"/>
      <c r="AN759" s="226"/>
      <c r="GS759" s="176"/>
      <c r="GT759" s="176"/>
      <c r="GU759" s="176"/>
      <c r="GV759" s="176"/>
      <c r="GW759" s="176"/>
    </row>
    <row r="760" spans="1:205" ht="13.5" customHeight="1" x14ac:dyDescent="0.2">
      <c r="A760" s="735"/>
      <c r="B760" s="1136"/>
      <c r="C760" s="1136"/>
      <c r="D760" s="545"/>
      <c r="E760" s="623"/>
      <c r="F760" s="226"/>
      <c r="G760" s="174"/>
      <c r="H760" s="174"/>
      <c r="I760" s="174"/>
      <c r="J760" s="174"/>
      <c r="K760" s="174"/>
      <c r="P760" s="179"/>
      <c r="Q760" s="179"/>
      <c r="R760" s="179"/>
      <c r="S760" s="179"/>
      <c r="T760" s="179"/>
      <c r="U760" s="664"/>
      <c r="V760" s="665"/>
      <c r="W760" s="254"/>
      <c r="X760" s="284">
        <f>SUM(X759)</f>
        <v>0</v>
      </c>
      <c r="Y760" s="284">
        <f>SUM(Y758:Y759)</f>
        <v>1391</v>
      </c>
      <c r="Z760" s="284">
        <f t="shared" ref="Z760:AH760" si="267">SUM(Z758:Z759)</f>
        <v>11180</v>
      </c>
      <c r="AA760" s="284">
        <f t="shared" si="267"/>
        <v>0</v>
      </c>
      <c r="AB760" s="284">
        <f t="shared" si="267"/>
        <v>27911</v>
      </c>
      <c r="AC760" s="284">
        <f t="shared" si="267"/>
        <v>0</v>
      </c>
      <c r="AD760" s="284">
        <f t="shared" si="267"/>
        <v>22932</v>
      </c>
      <c r="AE760" s="284">
        <f t="shared" si="267"/>
        <v>0</v>
      </c>
      <c r="AF760" s="284">
        <f t="shared" si="267"/>
        <v>1560</v>
      </c>
      <c r="AG760" s="284">
        <f t="shared" si="267"/>
        <v>0</v>
      </c>
      <c r="AH760" s="284">
        <f t="shared" si="267"/>
        <v>0</v>
      </c>
      <c r="AI760" s="284"/>
      <c r="AJ760" s="284"/>
      <c r="AK760" s="284"/>
      <c r="AL760" s="284"/>
      <c r="AM760" s="1502">
        <f>SUM(AM758:AM759)</f>
        <v>64974</v>
      </c>
      <c r="AN760" s="1020"/>
      <c r="GS760" s="176"/>
      <c r="GT760" s="176"/>
      <c r="GU760" s="176"/>
      <c r="GV760" s="176"/>
      <c r="GW760" s="176"/>
    </row>
    <row r="761" spans="1:205" ht="12.75" customHeight="1" x14ac:dyDescent="0.2">
      <c r="A761" s="736"/>
      <c r="B761" s="1137"/>
      <c r="C761" s="1137"/>
      <c r="D761" s="541"/>
      <c r="G761" s="186" t="e">
        <f>(#REF!/#REF!)*SURFACE</f>
        <v>#REF!</v>
      </c>
      <c r="H761" s="186" t="e">
        <f>(#REF!/#REF!)*anchor</f>
        <v>#REF!</v>
      </c>
      <c r="I761" s="186" t="e">
        <f>(#REF!/#REF!)*casing</f>
        <v>#REF!</v>
      </c>
      <c r="J761" s="186" t="e">
        <f>(#REF!/#REF!)*liner</f>
        <v>#REF!</v>
      </c>
      <c r="K761" s="186" t="e">
        <f>(#REF!/#REF!)*#REF!</f>
        <v>#REF!</v>
      </c>
      <c r="L761" s="186" t="e">
        <f>(#REF!/#REF!)*#REF!</f>
        <v>#REF!</v>
      </c>
      <c r="P761" s="179"/>
      <c r="Q761" s="179"/>
      <c r="R761" s="179"/>
      <c r="S761" s="179"/>
      <c r="T761" s="179"/>
      <c r="U761" s="260"/>
      <c r="V761" s="1391"/>
      <c r="X761" s="254"/>
      <c r="Y761" s="254"/>
      <c r="Z761" s="254"/>
      <c r="AA761" s="254"/>
      <c r="AB761" s="254"/>
      <c r="AC761" s="642"/>
      <c r="AD761" s="642"/>
      <c r="AE761" s="642"/>
      <c r="AF761" s="642"/>
      <c r="AG761" s="642"/>
      <c r="AH761" s="642"/>
      <c r="AI761" s="642"/>
      <c r="AJ761" s="642"/>
      <c r="AK761" s="642"/>
      <c r="AL761" s="642"/>
      <c r="AM761" s="541"/>
      <c r="AN761" s="1020"/>
      <c r="GS761" s="176"/>
      <c r="GT761" s="176"/>
      <c r="GU761" s="176"/>
      <c r="GV761" s="176"/>
      <c r="GW761" s="176"/>
    </row>
    <row r="762" spans="1:205" ht="12.75" customHeight="1" x14ac:dyDescent="0.2">
      <c r="E762" s="622"/>
      <c r="G762" s="186"/>
      <c r="H762" s="186"/>
      <c r="I762" s="186"/>
      <c r="J762" s="186"/>
      <c r="K762" s="186"/>
      <c r="L762" s="186"/>
      <c r="P762" s="179"/>
      <c r="Q762" s="179"/>
      <c r="R762" s="179"/>
      <c r="S762" s="179"/>
      <c r="T762" s="179"/>
      <c r="U762" s="1390"/>
      <c r="V762" s="1391"/>
      <c r="X762" s="254"/>
      <c r="Y762" s="254"/>
      <c r="Z762" s="254"/>
      <c r="AA762" s="254"/>
      <c r="AB762" s="254"/>
      <c r="AC762" s="642"/>
      <c r="AD762" s="642"/>
      <c r="AE762" s="642"/>
      <c r="AF762" s="642"/>
      <c r="AG762" s="642"/>
      <c r="AH762" s="642"/>
      <c r="AI762" s="642"/>
      <c r="AJ762" s="642"/>
      <c r="AK762" s="642"/>
      <c r="AL762" s="642"/>
      <c r="AM762" s="541"/>
      <c r="AN762" s="1020"/>
      <c r="AO762" s="226"/>
      <c r="GS762" s="176"/>
      <c r="GT762" s="176"/>
      <c r="GU762" s="176"/>
      <c r="GV762" s="176"/>
      <c r="GW762" s="176"/>
    </row>
    <row r="763" spans="1:205" ht="12.75" customHeight="1" x14ac:dyDescent="0.2">
      <c r="A763" s="736"/>
      <c r="B763" s="1137"/>
      <c r="C763" s="1137"/>
      <c r="D763" s="541"/>
      <c r="G763" s="186" t="e">
        <f>(#REF!/#REF!)*SURFACE</f>
        <v>#REF!</v>
      </c>
      <c r="H763" s="186" t="e">
        <f>(#REF!/#REF!)*anchor</f>
        <v>#REF!</v>
      </c>
      <c r="I763" s="186" t="e">
        <f>(#REF!/#REF!)*casing</f>
        <v>#REF!</v>
      </c>
      <c r="J763" s="186" t="e">
        <f>(#REF!/#REF!)*liner</f>
        <v>#REF!</v>
      </c>
      <c r="K763" s="186" t="e">
        <f>(#REF!/#REF!)*#REF!</f>
        <v>#REF!</v>
      </c>
      <c r="L763" s="186" t="e">
        <f>(#REF!/#REF!)*#REF!</f>
        <v>#REF!</v>
      </c>
      <c r="P763" s="179"/>
      <c r="Q763" s="179"/>
      <c r="R763" s="179"/>
      <c r="S763" s="179"/>
      <c r="T763" s="179"/>
      <c r="U763" s="1394"/>
      <c r="V763" s="1395"/>
      <c r="X763" s="254"/>
      <c r="Y763" s="254"/>
      <c r="Z763" s="254"/>
      <c r="AA763" s="254"/>
      <c r="AB763" s="254"/>
      <c r="AC763" s="642"/>
      <c r="AD763" s="642"/>
      <c r="AE763" s="642"/>
      <c r="AF763" s="642"/>
      <c r="AG763" s="642"/>
      <c r="AH763" s="642"/>
      <c r="AI763" s="642"/>
      <c r="AJ763" s="642"/>
      <c r="AK763" s="642"/>
      <c r="AL763" s="642"/>
      <c r="AM763" s="541"/>
      <c r="AN763" s="1020"/>
      <c r="AP763" s="186"/>
      <c r="AQ763" s="186"/>
      <c r="AR763" s="186"/>
      <c r="AS763" s="186"/>
      <c r="AT763" s="186"/>
      <c r="AU763" s="186"/>
      <c r="GS763" s="176"/>
      <c r="GT763" s="176"/>
      <c r="GU763" s="176"/>
      <c r="GV763" s="176"/>
      <c r="GW763" s="176"/>
    </row>
    <row r="764" spans="1:205" ht="12.75" customHeight="1" x14ac:dyDescent="0.2">
      <c r="A764" s="708"/>
      <c r="B764" s="1109"/>
      <c r="C764" s="1109"/>
      <c r="D764" s="202"/>
      <c r="E764" s="603"/>
      <c r="F764" s="202"/>
      <c r="G764" s="202"/>
      <c r="H764" s="202"/>
      <c r="I764" s="172"/>
      <c r="J764" s="240"/>
      <c r="U764" s="1392"/>
      <c r="AC764" s="202"/>
      <c r="AD764" s="202"/>
      <c r="AE764" s="202"/>
      <c r="AF764" s="202"/>
      <c r="AG764" s="202"/>
      <c r="AH764" s="202"/>
      <c r="AI764" s="202"/>
      <c r="AJ764" s="202"/>
      <c r="AK764" s="202"/>
      <c r="AL764" s="202"/>
      <c r="AM764" s="172"/>
      <c r="AN764" s="226"/>
      <c r="AP764" s="186"/>
      <c r="AQ764" s="186"/>
      <c r="AR764" s="186"/>
      <c r="AS764" s="186"/>
      <c r="AT764" s="186"/>
      <c r="AU764" s="186"/>
    </row>
    <row r="765" spans="1:205" ht="12.75" customHeight="1" x14ac:dyDescent="0.2">
      <c r="A765" s="708"/>
      <c r="B765" s="1109"/>
      <c r="C765" s="1109"/>
      <c r="D765" s="202"/>
      <c r="E765" s="603"/>
      <c r="F765" s="202"/>
      <c r="G765" s="202"/>
      <c r="H765" s="202"/>
      <c r="J765" s="226"/>
      <c r="L765" s="186"/>
      <c r="M765" s="186"/>
      <c r="N765" s="186"/>
      <c r="O765" s="186"/>
      <c r="P765" s="186"/>
      <c r="Q765" s="186"/>
      <c r="U765" s="1390"/>
      <c r="V765" s="1391" t="s">
        <v>951</v>
      </c>
      <c r="W765" s="226"/>
      <c r="Z765" s="342">
        <f>Z777</f>
        <v>2205478</v>
      </c>
      <c r="AC765" s="202"/>
      <c r="AD765" s="202"/>
      <c r="AE765" s="202"/>
      <c r="AF765" s="202"/>
      <c r="AG765" s="202"/>
      <c r="AH765" s="202"/>
      <c r="AI765" s="202"/>
      <c r="AJ765" s="202"/>
      <c r="AK765" s="202"/>
      <c r="AL765" s="202"/>
      <c r="AN765" s="226"/>
    </row>
    <row r="766" spans="1:205" ht="13.5" customHeight="1" x14ac:dyDescent="0.2">
      <c r="A766" s="708"/>
      <c r="B766" s="1109"/>
      <c r="C766" s="1109"/>
      <c r="D766" s="202"/>
      <c r="E766" s="603"/>
      <c r="F766" s="202"/>
      <c r="G766" s="202"/>
      <c r="H766" s="202"/>
      <c r="I766" s="172"/>
      <c r="J766" s="240"/>
      <c r="L766" s="186"/>
      <c r="M766" s="186"/>
      <c r="N766" s="186"/>
      <c r="O766" s="186"/>
      <c r="P766" s="186"/>
      <c r="Q766" s="186"/>
      <c r="V766" s="1519"/>
      <c r="W766" s="257"/>
      <c r="X766" s="254"/>
      <c r="Y766" s="254"/>
      <c r="Z766" s="254"/>
      <c r="AA766" s="254"/>
      <c r="AB766" s="254"/>
      <c r="AC766" s="173" t="s">
        <v>1050</v>
      </c>
      <c r="AD766" s="202"/>
      <c r="AE766" s="202"/>
      <c r="AF766" s="202"/>
      <c r="AG766" s="202"/>
      <c r="AH766" s="202"/>
      <c r="AI766" s="202"/>
      <c r="AJ766" s="202"/>
      <c r="AK766" s="202"/>
      <c r="AL766" s="202"/>
      <c r="AM766" s="172"/>
      <c r="AN766" s="240"/>
      <c r="AP766" s="186"/>
      <c r="AQ766" s="186"/>
      <c r="AR766" s="186"/>
      <c r="AS766" s="186"/>
      <c r="AT766" s="186"/>
      <c r="AU766" s="186"/>
    </row>
    <row r="767" spans="1:205" ht="50.25" customHeight="1" x14ac:dyDescent="0.2">
      <c r="A767" s="708"/>
      <c r="B767" s="1109"/>
      <c r="C767" s="1109"/>
      <c r="D767" s="202"/>
      <c r="E767" s="603"/>
      <c r="F767" s="202"/>
      <c r="G767" s="202"/>
      <c r="H767" s="202"/>
      <c r="I767" s="172"/>
      <c r="J767" s="240"/>
      <c r="L767" s="186"/>
      <c r="M767" s="186"/>
      <c r="N767" s="186"/>
      <c r="O767" s="186"/>
      <c r="P767" s="186"/>
      <c r="Q767" s="186"/>
      <c r="U767" s="254"/>
      <c r="V767" s="1528" t="s">
        <v>181</v>
      </c>
      <c r="W767" s="1529" t="s">
        <v>210</v>
      </c>
      <c r="X767" s="1530" t="s">
        <v>2157</v>
      </c>
      <c r="Y767" s="1530" t="s">
        <v>148</v>
      </c>
      <c r="Z767" s="1531" t="s">
        <v>101</v>
      </c>
      <c r="AA767" s="294"/>
      <c r="AB767" s="291"/>
      <c r="AC767" s="254"/>
      <c r="AD767" s="202"/>
      <c r="AE767" s="202"/>
      <c r="AF767" s="202"/>
      <c r="AG767" s="202"/>
      <c r="AH767" s="202"/>
      <c r="AI767" s="202"/>
      <c r="AJ767" s="202"/>
      <c r="AK767" s="202"/>
      <c r="AL767" s="202"/>
      <c r="AM767" s="172"/>
      <c r="AN767" s="226"/>
      <c r="AP767" s="186"/>
      <c r="AQ767" s="186"/>
      <c r="AR767" s="186"/>
      <c r="AS767" s="186"/>
      <c r="AT767" s="186"/>
      <c r="AU767" s="186"/>
    </row>
    <row r="768" spans="1:205" ht="21" customHeight="1" x14ac:dyDescent="0.2">
      <c r="A768" s="708"/>
      <c r="B768" s="1109"/>
      <c r="C768" s="1109"/>
      <c r="D768" s="202"/>
      <c r="E768" s="603" t="s">
        <v>730</v>
      </c>
      <c r="F768" s="202"/>
      <c r="G768" s="202"/>
      <c r="H768" s="202"/>
      <c r="I768" s="172"/>
      <c r="J768" s="240"/>
      <c r="L768" s="186"/>
      <c r="M768" s="186"/>
      <c r="N768" s="186"/>
      <c r="O768" s="186"/>
      <c r="P768" s="186"/>
      <c r="Q768" s="186"/>
      <c r="U768" s="254"/>
      <c r="V768" s="1532" t="s">
        <v>770</v>
      </c>
      <c r="W768" s="1376">
        <v>11</v>
      </c>
      <c r="X768" s="246"/>
      <c r="Y768" s="511">
        <v>135000</v>
      </c>
      <c r="Z768" s="246">
        <f>W768*Y768</f>
        <v>1485000</v>
      </c>
      <c r="AA768" s="294"/>
      <c r="AB768" s="292"/>
      <c r="AC768" s="1324" t="s">
        <v>344</v>
      </c>
      <c r="AD768" s="1325" t="s">
        <v>1051</v>
      </c>
      <c r="AE768" s="1325" t="s">
        <v>1052</v>
      </c>
      <c r="AF768" s="202"/>
      <c r="AG768" s="202"/>
      <c r="AH768" s="202"/>
      <c r="AI768" s="202"/>
      <c r="AJ768" s="202"/>
      <c r="AK768" s="202"/>
      <c r="AL768" s="202"/>
      <c r="AM768" s="172"/>
      <c r="AN768" s="240"/>
      <c r="AP768" s="186"/>
      <c r="AQ768" s="186"/>
      <c r="AR768" s="186"/>
      <c r="AS768" s="186"/>
      <c r="AT768" s="186"/>
      <c r="AU768" s="186"/>
    </row>
    <row r="769" spans="1:205" ht="21" customHeight="1" x14ac:dyDescent="0.2">
      <c r="A769" s="708"/>
      <c r="B769" s="1109"/>
      <c r="C769" s="1109"/>
      <c r="D769" s="202"/>
      <c r="E769" s="603"/>
      <c r="F769" s="202"/>
      <c r="G769" s="202"/>
      <c r="H769" s="202"/>
      <c r="I769" s="172"/>
      <c r="J769" s="240"/>
      <c r="L769" s="186"/>
      <c r="M769" s="186"/>
      <c r="N769" s="186"/>
      <c r="O769" s="186"/>
      <c r="P769" s="186"/>
      <c r="Q769" s="186"/>
      <c r="U769" s="254"/>
      <c r="V769" s="1532" t="s">
        <v>1100</v>
      </c>
      <c r="W769" s="510">
        <v>11</v>
      </c>
      <c r="X769" s="246"/>
      <c r="Y769" s="246">
        <v>4000</v>
      </c>
      <c r="Z769" s="246">
        <f t="shared" ref="Z769:Z773" si="268">W769*Y769</f>
        <v>44000</v>
      </c>
      <c r="AA769" s="294"/>
      <c r="AB769" s="292"/>
      <c r="AC769" s="348" t="s">
        <v>1046</v>
      </c>
      <c r="AD769" s="246">
        <v>20000</v>
      </c>
      <c r="AE769" s="246"/>
      <c r="AF769" s="202"/>
      <c r="AG769" s="202"/>
      <c r="AH769" s="202"/>
      <c r="AI769" s="202"/>
      <c r="AJ769" s="202"/>
      <c r="AK769" s="202"/>
      <c r="AL769" s="202"/>
      <c r="AM769" s="172"/>
      <c r="AN769" s="240"/>
      <c r="AP769" s="186"/>
      <c r="AQ769" s="186"/>
      <c r="AR769" s="186"/>
      <c r="AS769" s="186"/>
      <c r="AT769" s="186"/>
      <c r="AU769" s="186"/>
    </row>
    <row r="770" spans="1:205" ht="23.25" customHeight="1" x14ac:dyDescent="0.2">
      <c r="A770" s="708"/>
      <c r="B770" s="1109"/>
      <c r="C770" s="1109"/>
      <c r="D770" s="202"/>
      <c r="E770" s="603"/>
      <c r="F770" s="202"/>
      <c r="G770" s="202"/>
      <c r="H770" s="202"/>
      <c r="I770" s="172"/>
      <c r="J770" s="240"/>
      <c r="L770" s="186"/>
      <c r="M770" s="186"/>
      <c r="N770" s="186"/>
      <c r="O770" s="186"/>
      <c r="P770" s="186"/>
      <c r="Q770" s="186"/>
      <c r="U770" s="254"/>
      <c r="V770" s="1532" t="s">
        <v>2156</v>
      </c>
      <c r="W770" s="1376">
        <v>11</v>
      </c>
      <c r="X770" s="246"/>
      <c r="Y770" s="511">
        <f>VLOOKUP(INPUT!$H$8,EQUIPMENT!$B$37:$H$40,6,FALSE)</f>
        <v>16650</v>
      </c>
      <c r="Z770" s="246">
        <f>W770*Y770</f>
        <v>183150</v>
      </c>
      <c r="AA770" s="294"/>
      <c r="AB770" s="292"/>
      <c r="AC770" s="348" t="s">
        <v>1047</v>
      </c>
      <c r="AD770" s="246">
        <f>5050*FOREX</f>
        <v>257550</v>
      </c>
      <c r="AE770" s="246">
        <f>7200*FOREX</f>
        <v>367200</v>
      </c>
      <c r="AF770" s="202"/>
      <c r="AG770" s="202"/>
      <c r="AH770" s="202"/>
      <c r="AI770" s="202"/>
      <c r="AJ770" s="202"/>
      <c r="AK770" s="202"/>
      <c r="AL770" s="202"/>
      <c r="AM770" s="172"/>
      <c r="AN770" s="240"/>
      <c r="AP770" s="186"/>
      <c r="AQ770" s="186"/>
      <c r="AR770" s="186"/>
      <c r="AS770" s="186"/>
      <c r="AT770" s="186"/>
      <c r="AU770" s="186"/>
    </row>
    <row r="771" spans="1:205" ht="23.25" customHeight="1" x14ac:dyDescent="0.2">
      <c r="A771" s="708"/>
      <c r="B771" s="1109"/>
      <c r="C771" s="1109"/>
      <c r="D771" s="202"/>
      <c r="E771" s="603"/>
      <c r="F771" s="202"/>
      <c r="G771" s="202"/>
      <c r="H771" s="202"/>
      <c r="I771" s="172"/>
      <c r="J771" s="240"/>
      <c r="L771" s="186"/>
      <c r="M771" s="186"/>
      <c r="N771" s="186"/>
      <c r="O771" s="186"/>
      <c r="P771" s="186"/>
      <c r="Q771" s="186"/>
      <c r="U771" s="254"/>
      <c r="V771" s="1532" t="s">
        <v>1101</v>
      </c>
      <c r="W771" s="1852">
        <f>W776</f>
        <v>61</v>
      </c>
      <c r="X771" s="246">
        <v>8</v>
      </c>
      <c r="Y771" s="799">
        <v>750</v>
      </c>
      <c r="Z771" s="246">
        <f>W771*X771*Y771</f>
        <v>366000</v>
      </c>
      <c r="AA771" s="294"/>
      <c r="AB771" s="292"/>
      <c r="AC771" s="292"/>
      <c r="AD771" s="257"/>
      <c r="AE771" s="257"/>
      <c r="AF771" s="202"/>
      <c r="AG771" s="202"/>
      <c r="AH771" s="202"/>
      <c r="AI771" s="202"/>
      <c r="AJ771" s="202"/>
      <c r="AK771" s="202"/>
      <c r="AL771" s="202"/>
      <c r="AM771" s="172"/>
      <c r="AN771" s="240"/>
      <c r="AP771" s="186"/>
      <c r="AQ771" s="186"/>
      <c r="AR771" s="186"/>
      <c r="AS771" s="186"/>
      <c r="AT771" s="186"/>
      <c r="AU771" s="186"/>
    </row>
    <row r="772" spans="1:205" ht="19" x14ac:dyDescent="0.2">
      <c r="A772" s="708"/>
      <c r="B772" s="1109"/>
      <c r="C772" s="1109"/>
      <c r="D772" s="748" t="s">
        <v>752</v>
      </c>
      <c r="E772" s="603"/>
      <c r="F772" s="202"/>
      <c r="G772" s="202"/>
      <c r="H772" s="202"/>
      <c r="I772" s="172"/>
      <c r="J772" s="240"/>
      <c r="L772" s="186"/>
      <c r="M772" s="186"/>
      <c r="N772" s="186"/>
      <c r="O772" s="186"/>
      <c r="P772" s="186"/>
      <c r="Q772" s="186"/>
      <c r="U772" s="254"/>
      <c r="V772" s="1532" t="s">
        <v>2158</v>
      </c>
      <c r="W772" s="1852">
        <f>W776</f>
        <v>61</v>
      </c>
      <c r="X772" s="246">
        <v>8</v>
      </c>
      <c r="Y772" s="246">
        <v>448</v>
      </c>
      <c r="Z772" s="246">
        <f>W772*Y772</f>
        <v>27328</v>
      </c>
      <c r="AA772" s="294"/>
      <c r="AB772" s="292"/>
      <c r="AC772" s="257"/>
      <c r="AD772" s="257"/>
      <c r="AE772" s="202"/>
      <c r="AF772" s="202"/>
      <c r="AG772" s="202"/>
      <c r="AH772" s="202"/>
      <c r="AI772" s="202"/>
      <c r="AJ772" s="202"/>
      <c r="AK772" s="202"/>
      <c r="AL772" s="202"/>
      <c r="AM772" s="172"/>
      <c r="AN772" s="240"/>
      <c r="AP772" s="186"/>
      <c r="AQ772" s="186"/>
      <c r="AR772" s="186"/>
      <c r="AS772" s="186"/>
      <c r="AT772" s="186"/>
      <c r="AU772" s="186"/>
    </row>
    <row r="773" spans="1:205" ht="19" x14ac:dyDescent="0.2">
      <c r="A773" s="708"/>
      <c r="B773" s="1109"/>
      <c r="C773" s="1109"/>
      <c r="D773" s="202"/>
      <c r="E773" s="603"/>
      <c r="F773" s="202"/>
      <c r="G773" s="202"/>
      <c r="H773" s="202"/>
      <c r="I773" s="172"/>
      <c r="J773" s="240"/>
      <c r="L773" s="186"/>
      <c r="M773" s="186"/>
      <c r="N773" s="186"/>
      <c r="O773" s="186"/>
      <c r="P773" s="186"/>
      <c r="Q773" s="186"/>
      <c r="U773" s="254"/>
      <c r="V773" s="1532" t="s">
        <v>1138</v>
      </c>
      <c r="W773" s="510">
        <v>1</v>
      </c>
      <c r="X773" s="246"/>
      <c r="Y773" s="511">
        <v>0</v>
      </c>
      <c r="Z773" s="246">
        <f t="shared" si="268"/>
        <v>0</v>
      </c>
      <c r="AA773" s="292"/>
      <c r="AB773" s="292"/>
      <c r="AC773" s="257"/>
      <c r="AD773" s="257"/>
      <c r="AE773" s="202"/>
      <c r="AF773" s="202"/>
      <c r="AG773" s="202"/>
      <c r="AH773" s="202"/>
      <c r="AI773" s="202"/>
      <c r="AJ773" s="202"/>
      <c r="AK773" s="202"/>
      <c r="AL773" s="202"/>
      <c r="AM773" s="172"/>
      <c r="AN773" s="240"/>
      <c r="AP773" s="186"/>
      <c r="AQ773" s="186"/>
      <c r="AR773" s="186"/>
      <c r="AS773" s="186"/>
      <c r="AT773" s="186"/>
      <c r="AU773" s="186"/>
    </row>
    <row r="774" spans="1:205" ht="19" x14ac:dyDescent="0.2">
      <c r="A774" s="708"/>
      <c r="B774" s="1109"/>
      <c r="C774" s="1109"/>
      <c r="D774" s="202"/>
      <c r="E774" s="603"/>
      <c r="F774" s="202"/>
      <c r="G774" s="202"/>
      <c r="H774" s="202"/>
      <c r="I774" s="172"/>
      <c r="J774" s="240"/>
      <c r="L774" s="186"/>
      <c r="M774" s="186"/>
      <c r="N774" s="186"/>
      <c r="O774" s="186"/>
      <c r="P774" s="186"/>
      <c r="Q774" s="186"/>
      <c r="U774" s="254"/>
      <c r="V774" s="1532" t="s">
        <v>1099</v>
      </c>
      <c r="W774" s="797">
        <v>1</v>
      </c>
      <c r="X774" s="246"/>
      <c r="Y774" s="246">
        <v>100000</v>
      </c>
      <c r="Z774" s="246">
        <f>W774*Y774</f>
        <v>100000</v>
      </c>
      <c r="AA774" s="294"/>
      <c r="AB774" s="292"/>
      <c r="AC774" s="257"/>
      <c r="AD774" s="257"/>
      <c r="AE774" s="202"/>
      <c r="AF774" s="202"/>
      <c r="AG774" s="202"/>
      <c r="AH774" s="202"/>
      <c r="AI774" s="202"/>
      <c r="AJ774" s="202"/>
      <c r="AK774" s="202"/>
      <c r="AL774" s="202"/>
      <c r="AM774" s="172"/>
      <c r="AN774" s="240"/>
      <c r="AP774" s="186"/>
      <c r="AQ774" s="186"/>
      <c r="AR774" s="186"/>
      <c r="AS774" s="186"/>
      <c r="AT774" s="186"/>
      <c r="AU774" s="186"/>
    </row>
    <row r="775" spans="1:205" ht="19" x14ac:dyDescent="0.2">
      <c r="A775" s="708"/>
      <c r="B775" s="1109"/>
      <c r="C775" s="1109"/>
      <c r="D775" s="202"/>
      <c r="E775" s="603"/>
      <c r="F775" s="202"/>
      <c r="G775" s="202"/>
      <c r="H775" s="202"/>
      <c r="I775" s="172"/>
      <c r="J775" s="240"/>
      <c r="L775" s="186"/>
      <c r="M775" s="186"/>
      <c r="N775" s="186"/>
      <c r="O775" s="186"/>
      <c r="P775" s="186"/>
      <c r="Q775" s="186"/>
      <c r="U775" s="254"/>
      <c r="V775" s="1532" t="s">
        <v>1049</v>
      </c>
      <c r="W775" s="510">
        <f>IF(INPUT!$D$15="NO",0,IF(INPUT!$D$16="WITHIN SITE",ROUNDUP(INPUT!$D$17/70,0)*2,0))</f>
        <v>0</v>
      </c>
      <c r="X775" s="246"/>
      <c r="Y775" s="511">
        <f>IF(INPUT!$D$16="WITHIN SITE",$AD$769,0)*IF(INPUT!$D$15="Yes",1,0)</f>
        <v>0</v>
      </c>
      <c r="Z775" s="246">
        <f>(W775*Y775)</f>
        <v>0</v>
      </c>
      <c r="AA775" s="294"/>
      <c r="AB775" s="292"/>
      <c r="AC775" s="257"/>
      <c r="AD775" s="257"/>
      <c r="AE775" s="202"/>
      <c r="AF775" s="202"/>
      <c r="AG775" s="202"/>
      <c r="AH775" s="202"/>
      <c r="AI775" s="202"/>
      <c r="AJ775" s="202"/>
      <c r="AK775" s="202"/>
      <c r="AL775" s="202"/>
      <c r="AM775" s="172"/>
      <c r="AN775" s="240"/>
      <c r="AP775" s="186"/>
      <c r="AQ775" s="186"/>
      <c r="AR775" s="186"/>
      <c r="AS775" s="186"/>
      <c r="AT775" s="186"/>
      <c r="AU775" s="186"/>
    </row>
    <row r="776" spans="1:205" ht="19" x14ac:dyDescent="0.2">
      <c r="A776" s="708"/>
      <c r="B776" s="1109"/>
      <c r="C776" s="1109"/>
      <c r="D776" s="202"/>
      <c r="E776" s="603"/>
      <c r="F776" s="202"/>
      <c r="G776" s="202"/>
      <c r="H776" s="202"/>
      <c r="I776" s="172"/>
      <c r="J776" s="240"/>
      <c r="L776" s="186"/>
      <c r="M776" s="186"/>
      <c r="N776" s="186"/>
      <c r="O776" s="186"/>
      <c r="P776" s="186"/>
      <c r="Q776" s="186"/>
      <c r="U776" s="254"/>
      <c r="V776" s="1532" t="s">
        <v>1129</v>
      </c>
      <c r="W776" s="1852">
        <f>INPUT!$H$5</f>
        <v>61</v>
      </c>
      <c r="X776" s="246"/>
      <c r="Y776" s="511"/>
      <c r="Z776" s="246">
        <f>Y776*W776</f>
        <v>0</v>
      </c>
      <c r="AA776" s="294"/>
      <c r="AB776" s="292"/>
      <c r="AC776" s="257"/>
      <c r="AD776" s="257"/>
      <c r="AE776" s="202"/>
      <c r="AF776" s="202"/>
      <c r="AG776" s="202"/>
      <c r="AH776" s="202"/>
      <c r="AI776" s="202"/>
      <c r="AJ776" s="202"/>
      <c r="AK776" s="202"/>
      <c r="AL776" s="202"/>
      <c r="AM776" s="172"/>
      <c r="AN776" s="240"/>
      <c r="AP776" s="186"/>
      <c r="AQ776" s="186"/>
      <c r="AR776" s="186"/>
      <c r="AS776" s="186"/>
      <c r="AT776" s="186"/>
      <c r="AU776" s="186"/>
    </row>
    <row r="777" spans="1:205" ht="19" x14ac:dyDescent="0.2">
      <c r="A777" s="708"/>
      <c r="B777" s="1109"/>
      <c r="C777" s="1109"/>
      <c r="D777" s="202"/>
      <c r="E777" s="603"/>
      <c r="F777" s="202"/>
      <c r="G777" s="202"/>
      <c r="H777" s="202"/>
      <c r="I777" s="172"/>
      <c r="J777" s="240"/>
      <c r="L777" s="186"/>
      <c r="M777" s="186"/>
      <c r="N777" s="186"/>
      <c r="O777" s="186"/>
      <c r="P777" s="186"/>
      <c r="Q777" s="186"/>
      <c r="V777" s="672"/>
      <c r="W777" s="673"/>
      <c r="X777" s="257"/>
      <c r="Y777" s="257"/>
      <c r="Z777" s="681">
        <f>SUM(Z768:Z776)</f>
        <v>2205478</v>
      </c>
      <c r="AA777" s="294"/>
      <c r="AB777" s="293"/>
      <c r="AC777" s="257"/>
      <c r="AD777" s="257"/>
      <c r="AE777" s="202"/>
      <c r="AF777" s="202"/>
      <c r="AG777" s="202"/>
      <c r="AH777" s="202"/>
      <c r="AI777" s="202"/>
      <c r="AJ777" s="202"/>
      <c r="AK777" s="202"/>
      <c r="AL777" s="202"/>
      <c r="AM777" s="172"/>
      <c r="AN777" s="240"/>
      <c r="AP777" s="186"/>
      <c r="AQ777" s="186"/>
      <c r="AR777" s="186"/>
      <c r="AS777" s="186"/>
      <c r="AT777" s="186"/>
      <c r="AU777" s="186"/>
    </row>
    <row r="778" spans="1:205" ht="12.75" customHeight="1" x14ac:dyDescent="0.2">
      <c r="A778" s="708"/>
      <c r="B778" s="1109"/>
      <c r="C778" s="1109"/>
      <c r="D778" s="202"/>
      <c r="E778" s="603"/>
      <c r="F778" s="202"/>
      <c r="G778" s="296"/>
      <c r="H778" s="296"/>
      <c r="I778" s="249"/>
      <c r="J778" s="297"/>
      <c r="V778" s="261"/>
      <c r="W778" s="1392"/>
      <c r="X778" s="202"/>
      <c r="Y778" s="202"/>
      <c r="Z778" s="202"/>
      <c r="AA778" s="257"/>
      <c r="AB778" s="257"/>
      <c r="AC778" s="202"/>
      <c r="AD778" s="202"/>
      <c r="AE778" s="202"/>
      <c r="AF778" s="202"/>
      <c r="AG778" s="202"/>
      <c r="AH778" s="296"/>
      <c r="AI778" s="202"/>
      <c r="AJ778" s="296"/>
      <c r="AK778" s="296"/>
      <c r="AL778" s="296"/>
      <c r="AM778" s="249"/>
      <c r="AN778" s="240"/>
      <c r="AP778" s="186"/>
      <c r="AQ778" s="186"/>
      <c r="AR778" s="186"/>
      <c r="AS778" s="186"/>
      <c r="AT778" s="186"/>
      <c r="AU778" s="186"/>
    </row>
    <row r="779" spans="1:205" ht="12.75" customHeight="1" x14ac:dyDescent="0.2">
      <c r="G779" s="249"/>
      <c r="H779" s="249"/>
      <c r="I779" s="296"/>
      <c r="J779" s="298"/>
      <c r="K779" s="249"/>
      <c r="L779" s="186" t="e">
        <f>(#REF!/#REF!)*SURFACE</f>
        <v>#REF!</v>
      </c>
      <c r="M779" s="186" t="e">
        <f>(#REF!/#REF!)*anchor</f>
        <v>#REF!</v>
      </c>
      <c r="N779" s="186" t="e">
        <f>(#REF!/#REF!)*casing</f>
        <v>#REF!</v>
      </c>
      <c r="O779" s="186" t="e">
        <f>(#REF!/#REF!)*liner</f>
        <v>#REF!</v>
      </c>
      <c r="P779" s="186" t="e">
        <f>(#REF!/#REF!)*#REF!</f>
        <v>#REF!</v>
      </c>
      <c r="Q779" s="186" t="e">
        <f>(#REF!/#REF!)*#REF!</f>
        <v>#REF!</v>
      </c>
      <c r="U779" s="1392"/>
      <c r="AA779" s="202"/>
      <c r="AB779" s="202"/>
      <c r="AH779" s="249"/>
      <c r="AJ779" s="249"/>
      <c r="AK779" s="249"/>
      <c r="AL779" s="249"/>
      <c r="AM779" s="296"/>
      <c r="AN779" s="240"/>
    </row>
    <row r="780" spans="1:205" ht="12.75" customHeight="1" x14ac:dyDescent="0.2">
      <c r="A780" s="708"/>
      <c r="B780" s="1109"/>
      <c r="C780" s="1109"/>
      <c r="D780" s="202"/>
      <c r="E780" s="622"/>
      <c r="G780" s="250"/>
      <c r="H780" s="250"/>
      <c r="I780" s="250"/>
      <c r="J780" s="250"/>
      <c r="K780" s="250"/>
      <c r="P780" s="179"/>
      <c r="Q780" s="179"/>
      <c r="R780" s="179"/>
      <c r="S780" s="179"/>
      <c r="T780" s="179"/>
      <c r="U780" s="1390"/>
      <c r="V780" s="1391" t="s">
        <v>43</v>
      </c>
      <c r="W780" s="172" t="s">
        <v>62</v>
      </c>
      <c r="X780" s="187">
        <f>RIGMOVE</f>
        <v>13</v>
      </c>
      <c r="AA780" s="202"/>
      <c r="AB780" s="202"/>
      <c r="AM780" s="202"/>
      <c r="AN780" s="297"/>
      <c r="AO780" s="249"/>
      <c r="AP780" s="186"/>
      <c r="AQ780" s="186"/>
      <c r="AR780" s="186"/>
      <c r="AS780" s="186"/>
      <c r="AT780" s="186"/>
      <c r="AU780" s="186"/>
      <c r="GS780" s="176"/>
      <c r="GT780" s="176"/>
      <c r="GU780" s="176"/>
      <c r="GV780" s="176"/>
      <c r="GW780" s="176"/>
    </row>
    <row r="781" spans="1:205" ht="13.5" customHeight="1" x14ac:dyDescent="0.2">
      <c r="A781" s="740"/>
      <c r="B781" s="1142"/>
      <c r="C781" s="1142"/>
      <c r="D781" s="546"/>
      <c r="E781" s="622"/>
      <c r="G781" s="250"/>
      <c r="H781" s="250"/>
      <c r="I781" s="250"/>
      <c r="J781" s="250"/>
      <c r="K781" s="295"/>
      <c r="L781" s="301"/>
      <c r="P781" s="179"/>
      <c r="Q781" s="179"/>
      <c r="R781" s="179"/>
      <c r="S781" s="179"/>
      <c r="T781" s="179"/>
      <c r="U781" s="1517"/>
      <c r="V781" s="1423"/>
      <c r="W781" s="1423"/>
      <c r="X781" s="1423"/>
      <c r="Y781" s="1423"/>
      <c r="Z781" s="1423"/>
      <c r="AA781" s="1423"/>
      <c r="AB781" s="1423"/>
      <c r="AC781" s="1423"/>
      <c r="AD781" s="1423"/>
      <c r="AE781" s="1423"/>
      <c r="AF781" s="1423"/>
      <c r="AG781" s="1423"/>
      <c r="AH781" s="1423"/>
      <c r="AI781" s="1423"/>
      <c r="AJ781" s="1423"/>
      <c r="AK781" s="1423"/>
      <c r="AL781" s="1423"/>
      <c r="AM781" s="546">
        <v>6184091</v>
      </c>
      <c r="AN781" s="298"/>
      <c r="AP781" s="250"/>
      <c r="AQ781" s="250"/>
      <c r="AR781" s="250"/>
      <c r="AS781" s="250"/>
      <c r="AT781" s="250"/>
      <c r="GS781" s="176"/>
      <c r="GT781" s="176"/>
      <c r="GU781" s="176"/>
      <c r="GV781" s="176"/>
      <c r="GW781" s="176"/>
    </row>
    <row r="782" spans="1:205" ht="13.5" customHeight="1" x14ac:dyDescent="0.2">
      <c r="A782" s="703"/>
      <c r="B782" s="1104"/>
      <c r="C782" s="1104"/>
      <c r="D782" s="524"/>
      <c r="E782" s="623"/>
      <c r="G782" s="250"/>
      <c r="H782" s="250"/>
      <c r="I782" s="250"/>
      <c r="J782" s="250"/>
      <c r="K782" s="250"/>
      <c r="P782" s="179"/>
      <c r="Q782" s="179"/>
      <c r="R782" s="179"/>
      <c r="S782" s="179"/>
      <c r="T782" s="179"/>
      <c r="U782" s="1520" t="s">
        <v>138</v>
      </c>
      <c r="V782" s="1521" t="s">
        <v>139</v>
      </c>
      <c r="W782" s="1521" t="s">
        <v>211</v>
      </c>
      <c r="X782" s="1426" t="str">
        <f t="shared" ref="X782:AK782" si="269">X$14</f>
        <v>RIGMOVE</v>
      </c>
      <c r="Y782" s="1426" t="str">
        <f t="shared" si="269"/>
        <v>DSURFACE</v>
      </c>
      <c r="Z782" s="1426" t="str">
        <f t="shared" si="269"/>
        <v>FSURFACE</v>
      </c>
      <c r="AA782" s="1426" t="str">
        <f t="shared" si="269"/>
        <v>DINTERMEDIATE</v>
      </c>
      <c r="AB782" s="1426" t="str">
        <f t="shared" si="269"/>
        <v>FINTERMEDIATE</v>
      </c>
      <c r="AC782" s="1426" t="str">
        <f t="shared" si="269"/>
        <v>DPRODUCTION</v>
      </c>
      <c r="AD782" s="1426" t="str">
        <f t="shared" si="269"/>
        <v>FPRODUCTION</v>
      </c>
      <c r="AE782" s="1426" t="str">
        <f t="shared" si="269"/>
        <v>DLINER1</v>
      </c>
      <c r="AF782" s="1426" t="str">
        <f t="shared" si="269"/>
        <v>FLINER1</v>
      </c>
      <c r="AG782" s="1426" t="str">
        <f t="shared" si="269"/>
        <v>DLINER2</v>
      </c>
      <c r="AH782" s="1426" t="str">
        <f t="shared" si="269"/>
        <v>FLINER2</v>
      </c>
      <c r="AI782" s="1426" t="str">
        <f t="shared" si="269"/>
        <v/>
      </c>
      <c r="AJ782" s="1426" t="str">
        <f t="shared" si="269"/>
        <v/>
      </c>
      <c r="AK782" s="1426" t="str">
        <f t="shared" si="269"/>
        <v/>
      </c>
      <c r="AL782" s="1426"/>
      <c r="AM782" s="1427" t="s">
        <v>101</v>
      </c>
      <c r="AN782" s="258"/>
      <c r="AP782" s="250"/>
      <c r="AQ782" s="250"/>
      <c r="AR782" s="250"/>
      <c r="AS782" s="250"/>
      <c r="AT782" s="295"/>
      <c r="AU782" s="301"/>
      <c r="GS782" s="176"/>
      <c r="GT782" s="176"/>
      <c r="GU782" s="176"/>
      <c r="GV782" s="176"/>
      <c r="GW782" s="176"/>
    </row>
    <row r="783" spans="1:205" s="226" customFormat="1" ht="12.75" customHeight="1" x14ac:dyDescent="0.15">
      <c r="A783" s="736"/>
      <c r="B783" s="1137"/>
      <c r="C783" s="1137"/>
      <c r="D783" s="541"/>
      <c r="E783" s="623"/>
      <c r="F783" s="172"/>
      <c r="G783" s="250"/>
      <c r="H783" s="250"/>
      <c r="I783" s="250"/>
      <c r="J783" s="250"/>
      <c r="K783" s="250"/>
      <c r="L783" s="174"/>
      <c r="M783" s="174"/>
      <c r="N783" s="174"/>
      <c r="O783" s="174"/>
      <c r="P783" s="179"/>
      <c r="Q783" s="179"/>
      <c r="R783" s="179"/>
      <c r="S783" s="179"/>
      <c r="T783" s="179"/>
      <c r="U783" s="255"/>
      <c r="V783" s="1400" t="s">
        <v>212</v>
      </c>
      <c r="W783" s="1212">
        <f>(HLOOKUP(INPUT!$D$5,'Rig Move'!$C$3:$I$15,2,FALSE)+IF((INPUT!D9="YES"),9,0))+IF((INPUT!H14="YES"),6,0)</f>
        <v>45</v>
      </c>
      <c r="X783" s="1213">
        <f>IF(OR(INPUT!$D$5="RIG 1",INPUT!$D$5="RIG 2"),0,1)*IF($X$780=0,0,1)</f>
        <v>0</v>
      </c>
      <c r="Y783" s="287"/>
      <c r="Z783" s="287"/>
      <c r="AA783" s="287"/>
      <c r="AB783" s="287"/>
      <c r="AC783" s="289"/>
      <c r="AD783" s="289"/>
      <c r="AE783" s="289"/>
      <c r="AF783" s="289"/>
      <c r="AG783" s="289"/>
      <c r="AH783" s="289"/>
      <c r="AI783" s="289"/>
      <c r="AJ783" s="289"/>
      <c r="AK783" s="289"/>
      <c r="AL783" s="289"/>
      <c r="AM783" s="245"/>
      <c r="AN783" s="258"/>
      <c r="AO783" s="172"/>
      <c r="AP783" s="250"/>
      <c r="AQ783" s="250"/>
      <c r="AR783" s="250"/>
      <c r="AS783" s="250"/>
      <c r="AT783" s="250"/>
      <c r="AU783" s="174"/>
      <c r="AV783" s="172"/>
      <c r="AW783" s="172"/>
      <c r="AX783" s="172"/>
      <c r="AY783" s="172"/>
      <c r="AZ783" s="172"/>
      <c r="BA783" s="172"/>
      <c r="BB783" s="172"/>
      <c r="BC783" s="172"/>
      <c r="BD783" s="172"/>
      <c r="BE783" s="172"/>
      <c r="BF783" s="172"/>
      <c r="BG783" s="172"/>
      <c r="BH783" s="172"/>
      <c r="BI783" s="172"/>
      <c r="BJ783" s="172"/>
      <c r="BK783" s="172"/>
      <c r="BL783" s="172"/>
      <c r="BM783" s="172"/>
      <c r="BN783" s="172"/>
      <c r="BO783" s="172"/>
      <c r="BP783" s="172"/>
      <c r="BQ783" s="172"/>
      <c r="BR783" s="172"/>
      <c r="BS783" s="172"/>
      <c r="BT783" s="172"/>
      <c r="BU783" s="172"/>
      <c r="BV783" s="172"/>
      <c r="BW783" s="172"/>
      <c r="BX783" s="172"/>
      <c r="BY783" s="172"/>
      <c r="BZ783" s="172"/>
      <c r="CA783" s="172"/>
      <c r="CB783" s="172"/>
      <c r="CC783" s="172"/>
      <c r="CD783" s="172"/>
      <c r="CE783" s="172"/>
      <c r="CF783" s="172"/>
      <c r="CG783" s="172"/>
      <c r="CH783" s="172"/>
      <c r="CI783" s="172"/>
      <c r="CJ783" s="172"/>
      <c r="CK783" s="172"/>
      <c r="CL783" s="172"/>
      <c r="CM783" s="172"/>
      <c r="CN783" s="172"/>
      <c r="CO783" s="172"/>
      <c r="CP783" s="172"/>
      <c r="CQ783" s="172"/>
      <c r="CR783" s="172"/>
      <c r="CS783" s="172"/>
      <c r="CT783" s="172"/>
      <c r="CU783" s="172"/>
      <c r="CV783" s="172"/>
      <c r="CW783" s="172"/>
      <c r="CX783" s="172"/>
      <c r="CY783" s="172"/>
      <c r="CZ783" s="172"/>
      <c r="DA783" s="172"/>
      <c r="DB783" s="172"/>
      <c r="DC783" s="172"/>
      <c r="DD783" s="172"/>
      <c r="DE783" s="172"/>
      <c r="DF783" s="172"/>
      <c r="DG783" s="172"/>
      <c r="DH783" s="172"/>
      <c r="DI783" s="172"/>
      <c r="DJ783" s="172"/>
      <c r="DK783" s="172"/>
      <c r="DL783" s="172"/>
      <c r="DM783" s="172"/>
      <c r="DN783" s="172"/>
      <c r="DO783" s="172"/>
      <c r="DP783" s="172"/>
      <c r="DQ783" s="172"/>
      <c r="DR783" s="172"/>
      <c r="DS783" s="172"/>
      <c r="DT783" s="172"/>
      <c r="DU783" s="172"/>
      <c r="DV783" s="172"/>
      <c r="DW783" s="172"/>
      <c r="DX783" s="172"/>
      <c r="DY783" s="172"/>
      <c r="DZ783" s="172"/>
      <c r="EA783" s="172"/>
      <c r="EB783" s="172"/>
      <c r="EC783" s="172"/>
      <c r="ED783" s="172"/>
      <c r="EE783" s="172"/>
      <c r="EF783" s="172"/>
      <c r="EG783" s="172"/>
      <c r="EH783" s="172"/>
      <c r="EI783" s="172"/>
      <c r="EJ783" s="172"/>
      <c r="EK783" s="172"/>
      <c r="EL783" s="172"/>
      <c r="EM783" s="172"/>
      <c r="EN783" s="172"/>
      <c r="EO783" s="172"/>
      <c r="EP783" s="172"/>
      <c r="EQ783" s="172"/>
      <c r="ER783" s="172"/>
      <c r="ES783" s="172"/>
      <c r="ET783" s="172"/>
      <c r="EU783" s="172"/>
      <c r="EV783" s="172"/>
      <c r="EW783" s="172"/>
      <c r="EX783" s="172"/>
      <c r="EY783" s="172"/>
      <c r="EZ783" s="172"/>
      <c r="FA783" s="172"/>
      <c r="FB783" s="172"/>
      <c r="FC783" s="172"/>
      <c r="FD783" s="172"/>
      <c r="FE783" s="172"/>
      <c r="FF783" s="172"/>
      <c r="FG783" s="172"/>
      <c r="FH783" s="172"/>
      <c r="FI783" s="172"/>
      <c r="FJ783" s="172"/>
      <c r="FK783" s="172"/>
      <c r="FL783" s="172"/>
      <c r="FM783" s="172"/>
      <c r="FN783" s="172"/>
      <c r="FO783" s="172"/>
      <c r="FP783" s="172"/>
      <c r="FQ783" s="172"/>
      <c r="FR783" s="172"/>
      <c r="FS783" s="172"/>
      <c r="FT783" s="172"/>
      <c r="FU783" s="172"/>
      <c r="FV783" s="172"/>
      <c r="FW783" s="172"/>
      <c r="FX783" s="172"/>
      <c r="FY783" s="172"/>
      <c r="FZ783" s="172"/>
      <c r="GA783" s="172"/>
      <c r="GB783" s="172"/>
      <c r="GC783" s="172"/>
      <c r="GD783" s="172"/>
      <c r="GE783" s="172"/>
      <c r="GF783" s="172"/>
      <c r="GG783" s="172"/>
      <c r="GH783" s="172"/>
      <c r="GI783" s="172"/>
      <c r="GJ783" s="172"/>
      <c r="GK783" s="172"/>
      <c r="GL783" s="172"/>
      <c r="GM783" s="172"/>
      <c r="GN783" s="172"/>
      <c r="GO783" s="172"/>
      <c r="GP783" s="172"/>
      <c r="GQ783" s="172"/>
      <c r="GR783" s="172"/>
    </row>
    <row r="784" spans="1:205" s="226" customFormat="1" ht="12.75" customHeight="1" x14ac:dyDescent="0.15">
      <c r="A784" s="736"/>
      <c r="B784" s="1137"/>
      <c r="C784" s="1137"/>
      <c r="D784" s="541"/>
      <c r="E784" s="623"/>
      <c r="F784" s="172"/>
      <c r="G784" s="250"/>
      <c r="H784" s="250"/>
      <c r="I784" s="250"/>
      <c r="J784" s="250"/>
      <c r="K784" s="250"/>
      <c r="L784" s="174"/>
      <c r="M784" s="174"/>
      <c r="N784" s="174"/>
      <c r="O784" s="174"/>
      <c r="P784" s="179"/>
      <c r="Q784" s="179"/>
      <c r="R784" s="179"/>
      <c r="S784" s="179"/>
      <c r="T784" s="179"/>
      <c r="U784" s="255"/>
      <c r="V784" s="1400" t="s">
        <v>213</v>
      </c>
      <c r="W784" s="1212">
        <f>HLOOKUP(INPUT!$D$5,'Rig Move'!$C$3:$I$15,3,FALSE)+IF((INPUT!H14="YES"),5,0)</f>
        <v>17</v>
      </c>
      <c r="X784" s="1213">
        <f>IF(OR(INPUT!$D$5="RIG 1",INPUT!$D$5="RIG 2"),0,1)*IF(X780=0,0,1)</f>
        <v>0</v>
      </c>
      <c r="Y784" s="287"/>
      <c r="Z784" s="287"/>
      <c r="AA784" s="287"/>
      <c r="AB784" s="287"/>
      <c r="AC784" s="289"/>
      <c r="AD784" s="289"/>
      <c r="AE784" s="289"/>
      <c r="AF784" s="289"/>
      <c r="AG784" s="289"/>
      <c r="AH784" s="289"/>
      <c r="AI784" s="289"/>
      <c r="AJ784" s="289"/>
      <c r="AK784" s="289"/>
      <c r="AL784" s="289"/>
      <c r="AM784" s="245"/>
      <c r="AN784" s="1020"/>
      <c r="AO784" s="172"/>
      <c r="AP784" s="250"/>
      <c r="AQ784" s="250"/>
      <c r="AR784" s="250"/>
      <c r="AS784" s="250"/>
      <c r="AT784" s="250"/>
      <c r="AU784" s="174"/>
      <c r="AV784" s="172"/>
      <c r="AW784" s="172"/>
      <c r="AX784" s="172"/>
      <c r="AY784" s="172"/>
      <c r="AZ784" s="172"/>
      <c r="BA784" s="172"/>
      <c r="BB784" s="172"/>
      <c r="BC784" s="172"/>
      <c r="BD784" s="172"/>
      <c r="BE784" s="172"/>
      <c r="BF784" s="172"/>
      <c r="BG784" s="172"/>
      <c r="BH784" s="172"/>
      <c r="BI784" s="172"/>
      <c r="BJ784" s="172"/>
      <c r="BK784" s="172"/>
      <c r="BL784" s="172"/>
      <c r="BM784" s="172"/>
      <c r="BN784" s="172"/>
      <c r="BO784" s="172"/>
      <c r="BP784" s="172"/>
      <c r="BQ784" s="172"/>
      <c r="BR784" s="172"/>
      <c r="BS784" s="172"/>
      <c r="BT784" s="172"/>
      <c r="BU784" s="172"/>
      <c r="BV784" s="172"/>
      <c r="BW784" s="172"/>
      <c r="BX784" s="172"/>
      <c r="BY784" s="172"/>
      <c r="BZ784" s="172"/>
      <c r="CA784" s="172"/>
      <c r="CB784" s="172"/>
      <c r="CC784" s="172"/>
      <c r="CD784" s="172"/>
      <c r="CE784" s="172"/>
      <c r="CF784" s="172"/>
      <c r="CG784" s="172"/>
      <c r="CH784" s="172"/>
      <c r="CI784" s="172"/>
      <c r="CJ784" s="172"/>
      <c r="CK784" s="172"/>
      <c r="CL784" s="172"/>
      <c r="CM784" s="172"/>
      <c r="CN784" s="172"/>
      <c r="CO784" s="172"/>
      <c r="CP784" s="172"/>
      <c r="CQ784" s="172"/>
      <c r="CR784" s="172"/>
      <c r="CS784" s="172"/>
      <c r="CT784" s="172"/>
      <c r="CU784" s="172"/>
      <c r="CV784" s="172"/>
      <c r="CW784" s="172"/>
      <c r="CX784" s="172"/>
      <c r="CY784" s="172"/>
      <c r="CZ784" s="172"/>
      <c r="DA784" s="172"/>
      <c r="DB784" s="172"/>
      <c r="DC784" s="172"/>
      <c r="DD784" s="172"/>
      <c r="DE784" s="172"/>
      <c r="DF784" s="172"/>
      <c r="DG784" s="172"/>
      <c r="DH784" s="172"/>
      <c r="DI784" s="172"/>
      <c r="DJ784" s="172"/>
      <c r="DK784" s="172"/>
      <c r="DL784" s="172"/>
      <c r="DM784" s="172"/>
      <c r="DN784" s="172"/>
      <c r="DO784" s="172"/>
      <c r="DP784" s="172"/>
      <c r="DQ784" s="172"/>
      <c r="DR784" s="172"/>
      <c r="DS784" s="172"/>
      <c r="DT784" s="172"/>
      <c r="DU784" s="172"/>
      <c r="DV784" s="172"/>
      <c r="DW784" s="172"/>
      <c r="DX784" s="172"/>
      <c r="DY784" s="172"/>
      <c r="DZ784" s="172"/>
      <c r="EA784" s="172"/>
      <c r="EB784" s="172"/>
      <c r="EC784" s="172"/>
      <c r="ED784" s="172"/>
      <c r="EE784" s="172"/>
      <c r="EF784" s="172"/>
      <c r="EG784" s="172"/>
      <c r="EH784" s="172"/>
      <c r="EI784" s="172"/>
      <c r="EJ784" s="172"/>
      <c r="EK784" s="172"/>
      <c r="EL784" s="172"/>
      <c r="EM784" s="172"/>
      <c r="EN784" s="172"/>
      <c r="EO784" s="172"/>
      <c r="EP784" s="172"/>
      <c r="EQ784" s="172"/>
      <c r="ER784" s="172"/>
      <c r="ES784" s="172"/>
      <c r="ET784" s="172"/>
      <c r="EU784" s="172"/>
      <c r="EV784" s="172"/>
      <c r="EW784" s="172"/>
      <c r="EX784" s="172"/>
      <c r="EY784" s="172"/>
      <c r="EZ784" s="172"/>
      <c r="FA784" s="172"/>
      <c r="FB784" s="172"/>
      <c r="FC784" s="172"/>
      <c r="FD784" s="172"/>
      <c r="FE784" s="172"/>
      <c r="FF784" s="172"/>
      <c r="FG784" s="172"/>
      <c r="FH784" s="172"/>
      <c r="FI784" s="172"/>
      <c r="FJ784" s="172"/>
      <c r="FK784" s="172"/>
      <c r="FL784" s="172"/>
      <c r="FM784" s="172"/>
      <c r="FN784" s="172"/>
      <c r="FO784" s="172"/>
      <c r="FP784" s="172"/>
      <c r="FQ784" s="172"/>
      <c r="FR784" s="172"/>
      <c r="FS784" s="172"/>
      <c r="FT784" s="172"/>
      <c r="FU784" s="172"/>
      <c r="FV784" s="172"/>
      <c r="FW784" s="172"/>
      <c r="FX784" s="172"/>
      <c r="FY784" s="172"/>
      <c r="FZ784" s="172"/>
      <c r="GA784" s="172"/>
      <c r="GB784" s="172"/>
      <c r="GC784" s="172"/>
      <c r="GD784" s="172"/>
      <c r="GE784" s="172"/>
      <c r="GF784" s="172"/>
      <c r="GG784" s="172"/>
      <c r="GH784" s="172"/>
      <c r="GI784" s="172"/>
      <c r="GJ784" s="172"/>
      <c r="GK784" s="172"/>
      <c r="GL784" s="172"/>
      <c r="GM784" s="172"/>
      <c r="GN784" s="172"/>
      <c r="GO784" s="172"/>
      <c r="GP784" s="172"/>
      <c r="GQ784" s="172"/>
      <c r="GR784" s="172"/>
    </row>
    <row r="785" spans="1:205" s="226" customFormat="1" ht="12.75" customHeight="1" x14ac:dyDescent="0.15">
      <c r="A785" s="736"/>
      <c r="B785" s="1137"/>
      <c r="C785" s="1137"/>
      <c r="D785" s="541"/>
      <c r="E785" s="613"/>
      <c r="F785" s="172"/>
      <c r="G785" s="250"/>
      <c r="H785" s="250"/>
      <c r="I785" s="250"/>
      <c r="J785" s="250"/>
      <c r="K785" s="250"/>
      <c r="L785" s="174"/>
      <c r="M785" s="174"/>
      <c r="N785" s="174"/>
      <c r="O785" s="174"/>
      <c r="P785" s="179"/>
      <c r="Q785" s="179"/>
      <c r="R785" s="179"/>
      <c r="S785" s="179"/>
      <c r="T785" s="179"/>
      <c r="U785" s="255"/>
      <c r="V785" s="1400" t="s">
        <v>214</v>
      </c>
      <c r="W785" s="1212">
        <f>(HLOOKUP(INPUT!$D$5,'Rig Move'!$C$3:$I$15,4,FALSE)+IF((INPUT!H14="YES"),1,0))+5</f>
        <v>21</v>
      </c>
      <c r="X785" s="1213">
        <f>IF(OR(INPUT!$D$5="RIG 1",INPUT!$D$5="RIG 2"),0,1)*IF(X781=0,0,1)</f>
        <v>0</v>
      </c>
      <c r="Y785" s="287"/>
      <c r="Z785" s="287"/>
      <c r="AA785" s="287"/>
      <c r="AB785" s="287"/>
      <c r="AC785" s="289"/>
      <c r="AD785" s="289"/>
      <c r="AE785" s="289"/>
      <c r="AF785" s="289"/>
      <c r="AG785" s="289"/>
      <c r="AH785" s="289"/>
      <c r="AI785" s="289"/>
      <c r="AJ785" s="289"/>
      <c r="AK785" s="289"/>
      <c r="AL785" s="289"/>
      <c r="AM785" s="245"/>
      <c r="AN785" s="1020"/>
      <c r="AO785" s="172"/>
      <c r="AP785" s="250"/>
      <c r="AQ785" s="250"/>
      <c r="AR785" s="250"/>
      <c r="AS785" s="250"/>
      <c r="AT785" s="250"/>
      <c r="AU785" s="174"/>
      <c r="AV785" s="172"/>
      <c r="AW785" s="172"/>
      <c r="AX785" s="172"/>
      <c r="AY785" s="172"/>
      <c r="AZ785" s="172"/>
      <c r="BA785" s="172"/>
      <c r="BB785" s="172"/>
      <c r="BC785" s="172"/>
      <c r="BD785" s="172"/>
      <c r="BE785" s="172"/>
      <c r="BF785" s="172"/>
      <c r="BG785" s="172"/>
      <c r="BH785" s="172"/>
      <c r="BI785" s="172"/>
      <c r="BJ785" s="172"/>
      <c r="BK785" s="172"/>
      <c r="BL785" s="172"/>
      <c r="BM785" s="172"/>
      <c r="BN785" s="172"/>
      <c r="BO785" s="172"/>
      <c r="BP785" s="172"/>
      <c r="BQ785" s="172"/>
      <c r="BR785" s="172"/>
      <c r="BS785" s="172"/>
      <c r="BT785" s="172"/>
      <c r="BU785" s="172"/>
      <c r="BV785" s="172"/>
      <c r="BW785" s="172"/>
      <c r="BX785" s="172"/>
      <c r="BY785" s="172"/>
      <c r="BZ785" s="172"/>
      <c r="CA785" s="172"/>
      <c r="CB785" s="172"/>
      <c r="CC785" s="172"/>
      <c r="CD785" s="172"/>
      <c r="CE785" s="172"/>
      <c r="CF785" s="172"/>
      <c r="CG785" s="172"/>
      <c r="CH785" s="172"/>
      <c r="CI785" s="172"/>
      <c r="CJ785" s="172"/>
      <c r="CK785" s="172"/>
      <c r="CL785" s="172"/>
      <c r="CM785" s="172"/>
      <c r="CN785" s="172"/>
      <c r="CO785" s="172"/>
      <c r="CP785" s="172"/>
      <c r="CQ785" s="172"/>
      <c r="CR785" s="172"/>
      <c r="CS785" s="172"/>
      <c r="CT785" s="172"/>
      <c r="CU785" s="172"/>
      <c r="CV785" s="172"/>
      <c r="CW785" s="172"/>
      <c r="CX785" s="172"/>
      <c r="CY785" s="172"/>
      <c r="CZ785" s="172"/>
      <c r="DA785" s="172"/>
      <c r="DB785" s="172"/>
      <c r="DC785" s="172"/>
      <c r="DD785" s="172"/>
      <c r="DE785" s="172"/>
      <c r="DF785" s="172"/>
      <c r="DG785" s="172"/>
      <c r="DH785" s="172"/>
      <c r="DI785" s="172"/>
      <c r="DJ785" s="172"/>
      <c r="DK785" s="172"/>
      <c r="DL785" s="172"/>
      <c r="DM785" s="172"/>
      <c r="DN785" s="172"/>
      <c r="DO785" s="172"/>
      <c r="DP785" s="172"/>
      <c r="DQ785" s="172"/>
      <c r="DR785" s="172"/>
      <c r="DS785" s="172"/>
      <c r="DT785" s="172"/>
      <c r="DU785" s="172"/>
      <c r="DV785" s="172"/>
      <c r="DW785" s="172"/>
      <c r="DX785" s="172"/>
      <c r="DY785" s="172"/>
      <c r="DZ785" s="172"/>
      <c r="EA785" s="172"/>
      <c r="EB785" s="172"/>
      <c r="EC785" s="172"/>
      <c r="ED785" s="172"/>
      <c r="EE785" s="172"/>
      <c r="EF785" s="172"/>
      <c r="EG785" s="172"/>
      <c r="EH785" s="172"/>
      <c r="EI785" s="172"/>
      <c r="EJ785" s="172"/>
      <c r="EK785" s="172"/>
      <c r="EL785" s="172"/>
      <c r="EM785" s="172"/>
      <c r="EN785" s="172"/>
      <c r="EO785" s="172"/>
      <c r="EP785" s="172"/>
      <c r="EQ785" s="172"/>
      <c r="ER785" s="172"/>
      <c r="ES785" s="172"/>
      <c r="ET785" s="172"/>
      <c r="EU785" s="172"/>
      <c r="EV785" s="172"/>
      <c r="EW785" s="172"/>
      <c r="EX785" s="172"/>
      <c r="EY785" s="172"/>
      <c r="EZ785" s="172"/>
      <c r="FA785" s="172"/>
      <c r="FB785" s="172"/>
      <c r="FC785" s="172"/>
      <c r="FD785" s="172"/>
      <c r="FE785" s="172"/>
      <c r="FF785" s="172"/>
      <c r="FG785" s="172"/>
      <c r="FH785" s="172"/>
      <c r="FI785" s="172"/>
      <c r="FJ785" s="172"/>
      <c r="FK785" s="172"/>
      <c r="FL785" s="172"/>
      <c r="FM785" s="172"/>
      <c r="FN785" s="172"/>
      <c r="FO785" s="172"/>
      <c r="FP785" s="172"/>
      <c r="FQ785" s="172"/>
      <c r="FR785" s="172"/>
      <c r="FS785" s="172"/>
      <c r="FT785" s="172"/>
      <c r="FU785" s="172"/>
      <c r="FV785" s="172"/>
      <c r="FW785" s="172"/>
      <c r="FX785" s="172"/>
      <c r="FY785" s="172"/>
      <c r="FZ785" s="172"/>
      <c r="GA785" s="172"/>
      <c r="GB785" s="172"/>
      <c r="GC785" s="172"/>
      <c r="GD785" s="172"/>
      <c r="GE785" s="172"/>
      <c r="GF785" s="172"/>
      <c r="GG785" s="172"/>
      <c r="GH785" s="172"/>
      <c r="GI785" s="172"/>
      <c r="GJ785" s="172"/>
      <c r="GK785" s="172"/>
      <c r="GL785" s="172"/>
      <c r="GM785" s="172"/>
      <c r="GN785" s="172"/>
      <c r="GO785" s="172"/>
      <c r="GP785" s="172"/>
      <c r="GQ785" s="172"/>
      <c r="GR785" s="172"/>
    </row>
    <row r="786" spans="1:205" s="226" customFormat="1" ht="12.75" customHeight="1" x14ac:dyDescent="0.15">
      <c r="A786" s="736"/>
      <c r="B786" s="1137"/>
      <c r="C786" s="1137"/>
      <c r="D786" s="541"/>
      <c r="E786" s="623"/>
      <c r="F786" s="262"/>
      <c r="G786" s="250"/>
      <c r="H786" s="250"/>
      <c r="I786" s="250"/>
      <c r="J786" s="250"/>
      <c r="K786" s="250"/>
      <c r="L786" s="174"/>
      <c r="M786" s="174"/>
      <c r="N786" s="174"/>
      <c r="O786" s="174"/>
      <c r="P786" s="179"/>
      <c r="Q786" s="179"/>
      <c r="R786" s="179"/>
      <c r="S786" s="179"/>
      <c r="T786" s="179"/>
      <c r="U786" s="255"/>
      <c r="V786" s="1400" t="s">
        <v>223</v>
      </c>
      <c r="W786" s="1212">
        <f>VLOOKUP(V786,EQUIPMENT!$B$3:$G$18,6,FALSE)</f>
        <v>11</v>
      </c>
      <c r="X786" s="1213">
        <f>IF(OR(INPUT!$D$5="RIG 1",INPUT!$D$5="RIG 2"),0,RIGMOVE)</f>
        <v>0</v>
      </c>
      <c r="Y786" s="287"/>
      <c r="Z786" s="287"/>
      <c r="AA786" s="287"/>
      <c r="AB786" s="287"/>
      <c r="AC786" s="289"/>
      <c r="AD786" s="289"/>
      <c r="AE786" s="289"/>
      <c r="AF786" s="289"/>
      <c r="AG786" s="289"/>
      <c r="AH786" s="289"/>
      <c r="AI786" s="289"/>
      <c r="AJ786" s="289"/>
      <c r="AK786" s="289"/>
      <c r="AL786" s="289"/>
      <c r="AM786" s="245"/>
      <c r="AN786" s="1020"/>
      <c r="AO786" s="172"/>
      <c r="AP786" s="250"/>
      <c r="AQ786" s="250"/>
      <c r="AR786" s="250"/>
      <c r="AS786" s="250"/>
      <c r="AT786" s="250"/>
      <c r="AU786" s="174"/>
      <c r="AV786" s="172"/>
      <c r="AW786" s="172"/>
      <c r="AX786" s="172"/>
      <c r="AY786" s="172"/>
      <c r="AZ786" s="172"/>
      <c r="BA786" s="172"/>
      <c r="BB786" s="172"/>
      <c r="BC786" s="172"/>
      <c r="BD786" s="172"/>
      <c r="BE786" s="172"/>
      <c r="BF786" s="172"/>
      <c r="BG786" s="172"/>
      <c r="BH786" s="172"/>
      <c r="BI786" s="172"/>
      <c r="BJ786" s="172"/>
      <c r="BK786" s="172"/>
      <c r="BL786" s="172"/>
      <c r="BM786" s="172"/>
      <c r="BN786" s="172"/>
      <c r="BO786" s="172"/>
      <c r="BP786" s="172"/>
      <c r="BQ786" s="172"/>
      <c r="BR786" s="172"/>
      <c r="BS786" s="172"/>
      <c r="BT786" s="172"/>
      <c r="BU786" s="172"/>
      <c r="BV786" s="172"/>
      <c r="BW786" s="172"/>
      <c r="BX786" s="172"/>
      <c r="BY786" s="172"/>
      <c r="BZ786" s="172"/>
      <c r="CA786" s="172"/>
      <c r="CB786" s="172"/>
      <c r="CC786" s="172"/>
      <c r="CD786" s="172"/>
      <c r="CE786" s="172"/>
      <c r="CF786" s="172"/>
      <c r="CG786" s="172"/>
      <c r="CH786" s="172"/>
      <c r="CI786" s="172"/>
      <c r="CJ786" s="172"/>
      <c r="CK786" s="172"/>
      <c r="CL786" s="172"/>
      <c r="CM786" s="172"/>
      <c r="CN786" s="172"/>
      <c r="CO786" s="172"/>
      <c r="CP786" s="172"/>
      <c r="CQ786" s="172"/>
      <c r="CR786" s="172"/>
      <c r="CS786" s="172"/>
      <c r="CT786" s="172"/>
      <c r="CU786" s="172"/>
      <c r="CV786" s="172"/>
      <c r="CW786" s="172"/>
      <c r="CX786" s="172"/>
      <c r="CY786" s="172"/>
      <c r="CZ786" s="172"/>
      <c r="DA786" s="172"/>
      <c r="DB786" s="172"/>
      <c r="DC786" s="172"/>
      <c r="DD786" s="172"/>
      <c r="DE786" s="172"/>
      <c r="DF786" s="172"/>
      <c r="DG786" s="172"/>
      <c r="DH786" s="172"/>
      <c r="DI786" s="172"/>
      <c r="DJ786" s="172"/>
      <c r="DK786" s="172"/>
      <c r="DL786" s="172"/>
      <c r="DM786" s="172"/>
      <c r="DN786" s="172"/>
      <c r="DO786" s="172"/>
      <c r="DP786" s="172"/>
      <c r="DQ786" s="172"/>
      <c r="DR786" s="172"/>
      <c r="DS786" s="172"/>
      <c r="DT786" s="172"/>
      <c r="DU786" s="172"/>
      <c r="DV786" s="172"/>
      <c r="DW786" s="172"/>
      <c r="DX786" s="172"/>
      <c r="DY786" s="172"/>
      <c r="DZ786" s="172"/>
      <c r="EA786" s="172"/>
      <c r="EB786" s="172"/>
      <c r="EC786" s="172"/>
      <c r="ED786" s="172"/>
      <c r="EE786" s="172"/>
      <c r="EF786" s="172"/>
      <c r="EG786" s="172"/>
      <c r="EH786" s="172"/>
      <c r="EI786" s="172"/>
      <c r="EJ786" s="172"/>
      <c r="EK786" s="172"/>
      <c r="EL786" s="172"/>
      <c r="EM786" s="172"/>
      <c r="EN786" s="172"/>
      <c r="EO786" s="172"/>
      <c r="EP786" s="172"/>
      <c r="EQ786" s="172"/>
      <c r="ER786" s="172"/>
      <c r="ES786" s="172"/>
      <c r="ET786" s="172"/>
      <c r="EU786" s="172"/>
      <c r="EV786" s="172"/>
      <c r="EW786" s="172"/>
      <c r="EX786" s="172"/>
      <c r="EY786" s="172"/>
      <c r="EZ786" s="172"/>
      <c r="FA786" s="172"/>
      <c r="FB786" s="172"/>
      <c r="FC786" s="172"/>
      <c r="FD786" s="172"/>
      <c r="FE786" s="172"/>
      <c r="FF786" s="172"/>
      <c r="FG786" s="172"/>
      <c r="FH786" s="172"/>
      <c r="FI786" s="172"/>
      <c r="FJ786" s="172"/>
      <c r="FK786" s="172"/>
      <c r="FL786" s="172"/>
      <c r="FM786" s="172"/>
      <c r="FN786" s="172"/>
      <c r="FO786" s="172"/>
      <c r="FP786" s="172"/>
      <c r="FQ786" s="172"/>
      <c r="FR786" s="172"/>
      <c r="FS786" s="172"/>
      <c r="FT786" s="172"/>
      <c r="FU786" s="172"/>
      <c r="FV786" s="172"/>
      <c r="FW786" s="172"/>
      <c r="FX786" s="172"/>
      <c r="FY786" s="172"/>
      <c r="FZ786" s="172"/>
      <c r="GA786" s="172"/>
      <c r="GB786" s="172"/>
      <c r="GC786" s="172"/>
      <c r="GD786" s="172"/>
      <c r="GE786" s="172"/>
      <c r="GF786" s="172"/>
      <c r="GG786" s="172"/>
      <c r="GH786" s="172"/>
      <c r="GI786" s="172"/>
      <c r="GJ786" s="172"/>
      <c r="GK786" s="172"/>
      <c r="GL786" s="172"/>
      <c r="GM786" s="172"/>
      <c r="GN786" s="172"/>
      <c r="GO786" s="172"/>
      <c r="GP786" s="172"/>
      <c r="GQ786" s="172"/>
      <c r="GR786" s="172"/>
    </row>
    <row r="787" spans="1:205" s="226" customFormat="1" ht="12.75" customHeight="1" x14ac:dyDescent="0.15">
      <c r="A787" s="736"/>
      <c r="B787" s="1137"/>
      <c r="C787" s="1137"/>
      <c r="D787" s="541"/>
      <c r="E787" s="623"/>
      <c r="G787" s="250"/>
      <c r="H787" s="250"/>
      <c r="I787" s="250"/>
      <c r="J787" s="250"/>
      <c r="K787" s="250"/>
      <c r="L787" s="174"/>
      <c r="M787" s="174"/>
      <c r="N787" s="174"/>
      <c r="O787" s="174"/>
      <c r="P787" s="179"/>
      <c r="Q787" s="179"/>
      <c r="R787" s="179"/>
      <c r="S787" s="179"/>
      <c r="T787" s="179"/>
      <c r="U787" s="255"/>
      <c r="V787" s="1400" t="s">
        <v>224</v>
      </c>
      <c r="W787" s="1212">
        <f>VLOOKUP(V787,EQUIPMENT!$B$3:$G$18,6,FALSE)</f>
        <v>11</v>
      </c>
      <c r="X787" s="1213">
        <f>IF(OR(INPUT!$D$5="RIG 1",INPUT!$D$5="RIG 2"),0,RIGMOVE)</f>
        <v>0</v>
      </c>
      <c r="Y787" s="287"/>
      <c r="Z787" s="287"/>
      <c r="AA787" s="287"/>
      <c r="AB787" s="287"/>
      <c r="AC787" s="289"/>
      <c r="AD787" s="289"/>
      <c r="AE787" s="289"/>
      <c r="AF787" s="289"/>
      <c r="AG787" s="289"/>
      <c r="AH787" s="289"/>
      <c r="AI787" s="289"/>
      <c r="AJ787" s="289"/>
      <c r="AK787" s="289"/>
      <c r="AL787" s="289"/>
      <c r="AM787" s="245"/>
      <c r="AN787" s="254"/>
      <c r="AP787" s="250"/>
      <c r="AQ787" s="250"/>
      <c r="AR787" s="250"/>
      <c r="AS787" s="250"/>
      <c r="AT787" s="250"/>
      <c r="AU787" s="174"/>
      <c r="AV787" s="172"/>
      <c r="AW787" s="172"/>
      <c r="AX787" s="172"/>
      <c r="AY787" s="172"/>
      <c r="AZ787" s="172"/>
      <c r="BA787" s="172"/>
      <c r="BB787" s="172"/>
      <c r="BC787" s="172"/>
      <c r="BD787" s="172"/>
      <c r="BE787" s="172"/>
      <c r="BF787" s="172"/>
      <c r="BG787" s="172"/>
      <c r="BH787" s="172"/>
      <c r="BI787" s="172"/>
      <c r="BJ787" s="172"/>
      <c r="BK787" s="172"/>
      <c r="BL787" s="172"/>
      <c r="BM787" s="172"/>
      <c r="BN787" s="172"/>
      <c r="BO787" s="172"/>
      <c r="BP787" s="172"/>
      <c r="BQ787" s="172"/>
      <c r="BR787" s="172"/>
      <c r="BS787" s="172"/>
      <c r="BT787" s="172"/>
      <c r="BU787" s="172"/>
      <c r="BV787" s="172"/>
      <c r="BW787" s="172"/>
      <c r="BX787" s="172"/>
      <c r="BY787" s="172"/>
      <c r="BZ787" s="172"/>
      <c r="CA787" s="172"/>
      <c r="CB787" s="172"/>
      <c r="CC787" s="172"/>
      <c r="CD787" s="172"/>
      <c r="CE787" s="172"/>
      <c r="CF787" s="172"/>
      <c r="CG787" s="172"/>
      <c r="CH787" s="172"/>
      <c r="CI787" s="172"/>
      <c r="CJ787" s="172"/>
      <c r="CK787" s="172"/>
      <c r="CL787" s="172"/>
      <c r="CM787" s="172"/>
      <c r="CN787" s="172"/>
      <c r="CO787" s="172"/>
      <c r="CP787" s="172"/>
      <c r="CQ787" s="172"/>
      <c r="CR787" s="172"/>
      <c r="CS787" s="172"/>
      <c r="CT787" s="172"/>
      <c r="CU787" s="172"/>
      <c r="CV787" s="172"/>
      <c r="CW787" s="172"/>
      <c r="CX787" s="172"/>
      <c r="CY787" s="172"/>
      <c r="CZ787" s="172"/>
      <c r="DA787" s="172"/>
      <c r="DB787" s="172"/>
      <c r="DC787" s="172"/>
      <c r="DD787" s="172"/>
      <c r="DE787" s="172"/>
      <c r="DF787" s="172"/>
      <c r="DG787" s="172"/>
      <c r="DH787" s="172"/>
      <c r="DI787" s="172"/>
      <c r="DJ787" s="172"/>
      <c r="DK787" s="172"/>
      <c r="DL787" s="172"/>
      <c r="DM787" s="172"/>
      <c r="DN787" s="172"/>
      <c r="DO787" s="172"/>
      <c r="DP787" s="172"/>
      <c r="DQ787" s="172"/>
      <c r="DR787" s="172"/>
      <c r="DS787" s="172"/>
      <c r="DT787" s="172"/>
      <c r="DU787" s="172"/>
      <c r="DV787" s="172"/>
      <c r="DW787" s="172"/>
      <c r="DX787" s="172"/>
      <c r="DY787" s="172"/>
      <c r="DZ787" s="172"/>
      <c r="EA787" s="172"/>
      <c r="EB787" s="172"/>
      <c r="EC787" s="172"/>
      <c r="ED787" s="172"/>
      <c r="EE787" s="172"/>
      <c r="EF787" s="172"/>
      <c r="EG787" s="172"/>
      <c r="EH787" s="172"/>
      <c r="EI787" s="172"/>
      <c r="EJ787" s="172"/>
      <c r="EK787" s="172"/>
      <c r="EL787" s="172"/>
      <c r="EM787" s="172"/>
      <c r="EN787" s="172"/>
      <c r="EO787" s="172"/>
      <c r="EP787" s="172"/>
      <c r="EQ787" s="172"/>
      <c r="ER787" s="172"/>
      <c r="ES787" s="172"/>
      <c r="ET787" s="172"/>
      <c r="EU787" s="172"/>
      <c r="EV787" s="172"/>
      <c r="EW787" s="172"/>
      <c r="EX787" s="172"/>
      <c r="EY787" s="172"/>
      <c r="EZ787" s="172"/>
      <c r="FA787" s="172"/>
      <c r="FB787" s="172"/>
      <c r="FC787" s="172"/>
      <c r="FD787" s="172"/>
      <c r="FE787" s="172"/>
      <c r="FF787" s="172"/>
      <c r="FG787" s="172"/>
      <c r="FH787" s="172"/>
      <c r="FI787" s="172"/>
      <c r="FJ787" s="172"/>
      <c r="FK787" s="172"/>
      <c r="FL787" s="172"/>
      <c r="FM787" s="172"/>
      <c r="FN787" s="172"/>
      <c r="FO787" s="172"/>
      <c r="FP787" s="172"/>
      <c r="FQ787" s="172"/>
      <c r="FR787" s="172"/>
      <c r="FS787" s="172"/>
      <c r="FT787" s="172"/>
      <c r="FU787" s="172"/>
      <c r="FV787" s="172"/>
      <c r="FW787" s="172"/>
      <c r="FX787" s="172"/>
      <c r="FY787" s="172"/>
      <c r="FZ787" s="172"/>
      <c r="GA787" s="172"/>
      <c r="GB787" s="172"/>
      <c r="GC787" s="172"/>
      <c r="GD787" s="172"/>
      <c r="GE787" s="172"/>
      <c r="GF787" s="172"/>
      <c r="GG787" s="172"/>
      <c r="GH787" s="172"/>
      <c r="GI787" s="172"/>
      <c r="GJ787" s="172"/>
      <c r="GK787" s="172"/>
      <c r="GL787" s="172"/>
      <c r="GM787" s="172"/>
      <c r="GN787" s="172"/>
      <c r="GO787" s="172"/>
      <c r="GP787" s="172"/>
      <c r="GQ787" s="172"/>
      <c r="GR787" s="172"/>
    </row>
    <row r="788" spans="1:205" s="226" customFormat="1" ht="12.75" customHeight="1" x14ac:dyDescent="0.15">
      <c r="A788" s="736"/>
      <c r="B788" s="1137"/>
      <c r="C788" s="1137"/>
      <c r="D788" s="541"/>
      <c r="E788" s="623"/>
      <c r="G788" s="250"/>
      <c r="H788" s="250"/>
      <c r="I788" s="250"/>
      <c r="J788" s="250"/>
      <c r="K788" s="250"/>
      <c r="L788" s="174"/>
      <c r="M788" s="174"/>
      <c r="N788" s="174"/>
      <c r="O788" s="174"/>
      <c r="P788" s="179"/>
      <c r="Q788" s="179"/>
      <c r="R788" s="179"/>
      <c r="S788" s="179"/>
      <c r="T788" s="179"/>
      <c r="U788" s="255"/>
      <c r="V788" s="1400" t="s">
        <v>778</v>
      </c>
      <c r="W788" s="1212">
        <f>VLOOKUP(V788,EQUIPMENT!$B$3:$G$18,6,FALSE)</f>
        <v>11</v>
      </c>
      <c r="X788" s="1213">
        <f>IF(OR(INPUT!$D$5="RIG 1",INPUT!$D$5="RIG 2"),0,RIGMOVE)</f>
        <v>0</v>
      </c>
      <c r="Y788" s="287"/>
      <c r="Z788" s="287"/>
      <c r="AA788" s="287"/>
      <c r="AB788" s="287"/>
      <c r="AC788" s="289"/>
      <c r="AD788" s="289"/>
      <c r="AE788" s="289"/>
      <c r="AF788" s="289"/>
      <c r="AG788" s="289"/>
      <c r="AH788" s="289"/>
      <c r="AI788" s="289"/>
      <c r="AJ788" s="289"/>
      <c r="AK788" s="289"/>
      <c r="AL788" s="289"/>
      <c r="AM788" s="245"/>
      <c r="AN788" s="1020"/>
      <c r="AP788" s="250"/>
      <c r="AQ788" s="250"/>
      <c r="AR788" s="250"/>
      <c r="AS788" s="250"/>
      <c r="AT788" s="250"/>
      <c r="AU788" s="174"/>
      <c r="AV788" s="172"/>
      <c r="AW788" s="172"/>
      <c r="AX788" s="172"/>
      <c r="AY788" s="172"/>
      <c r="AZ788" s="172"/>
      <c r="BA788" s="172"/>
      <c r="BB788" s="172"/>
      <c r="BC788" s="172"/>
      <c r="BD788" s="172"/>
      <c r="BE788" s="172"/>
      <c r="BF788" s="172"/>
      <c r="BG788" s="172"/>
      <c r="BH788" s="172"/>
      <c r="BI788" s="172"/>
      <c r="BJ788" s="172"/>
      <c r="BK788" s="172"/>
      <c r="BL788" s="172"/>
      <c r="BM788" s="172"/>
      <c r="BN788" s="172"/>
      <c r="BO788" s="172"/>
      <c r="BP788" s="172"/>
      <c r="BQ788" s="172"/>
      <c r="BR788" s="172"/>
      <c r="BS788" s="172"/>
      <c r="BT788" s="172"/>
      <c r="BU788" s="172"/>
      <c r="BV788" s="172"/>
      <c r="BW788" s="172"/>
      <c r="BX788" s="172"/>
      <c r="BY788" s="172"/>
      <c r="BZ788" s="172"/>
      <c r="CA788" s="172"/>
      <c r="CB788" s="172"/>
      <c r="CC788" s="172"/>
      <c r="CD788" s="172"/>
      <c r="CE788" s="172"/>
      <c r="CF788" s="172"/>
      <c r="CG788" s="172"/>
      <c r="CH788" s="172"/>
      <c r="CI788" s="172"/>
      <c r="CJ788" s="172"/>
      <c r="CK788" s="172"/>
      <c r="CL788" s="172"/>
      <c r="CM788" s="172"/>
      <c r="CN788" s="172"/>
      <c r="CO788" s="172"/>
      <c r="CP788" s="172"/>
      <c r="CQ788" s="172"/>
      <c r="CR788" s="172"/>
      <c r="CS788" s="172"/>
      <c r="CT788" s="172"/>
      <c r="CU788" s="172"/>
      <c r="CV788" s="172"/>
      <c r="CW788" s="172"/>
      <c r="CX788" s="172"/>
      <c r="CY788" s="172"/>
      <c r="CZ788" s="172"/>
      <c r="DA788" s="172"/>
      <c r="DB788" s="172"/>
      <c r="DC788" s="172"/>
      <c r="DD788" s="172"/>
      <c r="DE788" s="172"/>
      <c r="DF788" s="172"/>
      <c r="DG788" s="172"/>
      <c r="DH788" s="172"/>
      <c r="DI788" s="172"/>
      <c r="DJ788" s="172"/>
      <c r="DK788" s="172"/>
      <c r="DL788" s="172"/>
      <c r="DM788" s="172"/>
      <c r="DN788" s="172"/>
      <c r="DO788" s="172"/>
      <c r="DP788" s="172"/>
      <c r="DQ788" s="172"/>
      <c r="DR788" s="172"/>
      <c r="DS788" s="172"/>
      <c r="DT788" s="172"/>
      <c r="DU788" s="172"/>
      <c r="DV788" s="172"/>
      <c r="DW788" s="172"/>
      <c r="DX788" s="172"/>
      <c r="DY788" s="172"/>
      <c r="DZ788" s="172"/>
      <c r="EA788" s="172"/>
      <c r="EB788" s="172"/>
      <c r="EC788" s="172"/>
      <c r="ED788" s="172"/>
      <c r="EE788" s="172"/>
      <c r="EF788" s="172"/>
      <c r="EG788" s="172"/>
      <c r="EH788" s="172"/>
      <c r="EI788" s="172"/>
      <c r="EJ788" s="172"/>
      <c r="EK788" s="172"/>
      <c r="EL788" s="172"/>
      <c r="EM788" s="172"/>
      <c r="EN788" s="172"/>
      <c r="EO788" s="172"/>
      <c r="EP788" s="172"/>
      <c r="EQ788" s="172"/>
      <c r="ER788" s="172"/>
      <c r="ES788" s="172"/>
      <c r="ET788" s="172"/>
      <c r="EU788" s="172"/>
      <c r="EV788" s="172"/>
      <c r="EW788" s="172"/>
      <c r="EX788" s="172"/>
      <c r="EY788" s="172"/>
      <c r="EZ788" s="172"/>
      <c r="FA788" s="172"/>
      <c r="FB788" s="172"/>
      <c r="FC788" s="172"/>
      <c r="FD788" s="172"/>
      <c r="FE788" s="172"/>
      <c r="FF788" s="172"/>
      <c r="FG788" s="172"/>
      <c r="FH788" s="172"/>
      <c r="FI788" s="172"/>
      <c r="FJ788" s="172"/>
      <c r="FK788" s="172"/>
      <c r="FL788" s="172"/>
      <c r="FM788" s="172"/>
      <c r="FN788" s="172"/>
      <c r="FO788" s="172"/>
      <c r="FP788" s="172"/>
      <c r="FQ788" s="172"/>
      <c r="FR788" s="172"/>
      <c r="FS788" s="172"/>
      <c r="FT788" s="172"/>
      <c r="FU788" s="172"/>
      <c r="FV788" s="172"/>
      <c r="FW788" s="172"/>
      <c r="FX788" s="172"/>
      <c r="FY788" s="172"/>
      <c r="FZ788" s="172"/>
      <c r="GA788" s="172"/>
      <c r="GB788" s="172"/>
      <c r="GC788" s="172"/>
      <c r="GD788" s="172"/>
      <c r="GE788" s="172"/>
      <c r="GF788" s="172"/>
      <c r="GG788" s="172"/>
      <c r="GH788" s="172"/>
      <c r="GI788" s="172"/>
      <c r="GJ788" s="172"/>
      <c r="GK788" s="172"/>
      <c r="GL788" s="172"/>
      <c r="GM788" s="172"/>
      <c r="GN788" s="172"/>
      <c r="GO788" s="172"/>
      <c r="GP788" s="172"/>
      <c r="GQ788" s="172"/>
      <c r="GR788" s="172"/>
    </row>
    <row r="789" spans="1:205" ht="12.75" customHeight="1" x14ac:dyDescent="0.2">
      <c r="A789" s="736"/>
      <c r="B789" s="1137"/>
      <c r="C789" s="1137"/>
      <c r="D789" s="541"/>
      <c r="E789" s="623"/>
      <c r="G789" s="295"/>
      <c r="H789" s="295"/>
      <c r="I789" s="295"/>
      <c r="J789" s="295"/>
      <c r="K789" s="295"/>
      <c r="L789" s="186"/>
      <c r="P789" s="179"/>
      <c r="Q789" s="179"/>
      <c r="R789" s="179"/>
      <c r="S789" s="179"/>
      <c r="T789" s="179"/>
      <c r="U789" s="255"/>
      <c r="V789" s="1400" t="s">
        <v>218</v>
      </c>
      <c r="W789" s="1212">
        <f>HLOOKUP(INPUT!$D$5,'Rig Move'!$C$3:$I$15,8,FALSE)</f>
        <v>1</v>
      </c>
      <c r="X789" s="1213">
        <f>IF(OR(INPUT!$D$5="RIG 1",INPUT!$D$5="RIG 2"),0,RIGMOVE)</f>
        <v>0</v>
      </c>
      <c r="Y789" s="287"/>
      <c r="Z789" s="287"/>
      <c r="AA789" s="287"/>
      <c r="AB789" s="287"/>
      <c r="AC789" s="289"/>
      <c r="AD789" s="289"/>
      <c r="AE789" s="289"/>
      <c r="AF789" s="289"/>
      <c r="AG789" s="289"/>
      <c r="AH789" s="289"/>
      <c r="AI789" s="289"/>
      <c r="AJ789" s="289"/>
      <c r="AK789" s="289"/>
      <c r="AL789" s="289"/>
      <c r="AM789" s="245"/>
      <c r="AN789" s="1020"/>
      <c r="AO789" s="262"/>
      <c r="AP789" s="250"/>
      <c r="AQ789" s="250"/>
      <c r="AR789" s="250"/>
      <c r="AS789" s="250"/>
      <c r="AT789" s="250"/>
      <c r="GS789" s="176"/>
      <c r="GT789" s="176"/>
      <c r="GU789" s="176"/>
      <c r="GV789" s="176"/>
      <c r="GW789" s="176"/>
    </row>
    <row r="790" spans="1:205" ht="12.75" customHeight="1" x14ac:dyDescent="0.2">
      <c r="A790" s="736"/>
      <c r="B790" s="1137"/>
      <c r="C790" s="1137"/>
      <c r="D790" s="541"/>
      <c r="E790" s="623"/>
      <c r="G790" s="295"/>
      <c r="H790" s="295"/>
      <c r="I790" s="295"/>
      <c r="J790" s="295"/>
      <c r="K790" s="295"/>
      <c r="L790" s="186"/>
      <c r="P790" s="179"/>
      <c r="Q790" s="179"/>
      <c r="R790" s="179"/>
      <c r="S790" s="179"/>
      <c r="T790" s="179"/>
      <c r="U790" s="255"/>
      <c r="V790" s="1400" t="s">
        <v>219</v>
      </c>
      <c r="W790" s="1212">
        <f>HLOOKUP(INPUT!$D$5,'Rig Move'!$C$3:$I$15,9,FALSE)</f>
        <v>0</v>
      </c>
      <c r="X790" s="1213">
        <f>IF(OR(INPUT!$D$5="RIG 1",INPUT!$D$5="RIG 2"),0,1)*IF(X780=0,0,1)</f>
        <v>0</v>
      </c>
      <c r="Y790" s="287"/>
      <c r="Z790" s="287"/>
      <c r="AA790" s="287"/>
      <c r="AB790" s="287"/>
      <c r="AC790" s="289"/>
      <c r="AD790" s="289"/>
      <c r="AE790" s="289"/>
      <c r="AF790" s="289"/>
      <c r="AG790" s="289"/>
      <c r="AH790" s="289"/>
      <c r="AI790" s="289"/>
      <c r="AJ790" s="289"/>
      <c r="AK790" s="289"/>
      <c r="AL790" s="289"/>
      <c r="AM790" s="245"/>
      <c r="AN790" s="1020"/>
      <c r="AP790" s="295"/>
      <c r="AQ790" s="295"/>
      <c r="AR790" s="295"/>
      <c r="AS790" s="295"/>
      <c r="AT790" s="295"/>
      <c r="AU790" s="186"/>
      <c r="GS790" s="176"/>
      <c r="GT790" s="176"/>
      <c r="GU790" s="176"/>
      <c r="GV790" s="176"/>
      <c r="GW790" s="176"/>
    </row>
    <row r="791" spans="1:205" ht="12.75" customHeight="1" x14ac:dyDescent="0.2">
      <c r="A791" s="736"/>
      <c r="B791" s="1137"/>
      <c r="C791" s="1137"/>
      <c r="D791" s="541"/>
      <c r="E791" s="623"/>
      <c r="G791" s="295"/>
      <c r="H791" s="295"/>
      <c r="I791" s="295"/>
      <c r="J791" s="295"/>
      <c r="K791" s="295"/>
      <c r="L791" s="186"/>
      <c r="P791" s="179"/>
      <c r="Q791" s="179"/>
      <c r="R791" s="179"/>
      <c r="S791" s="179"/>
      <c r="T791" s="179"/>
      <c r="U791" s="255"/>
      <c r="V791" s="1400" t="s">
        <v>220</v>
      </c>
      <c r="W791" s="1212">
        <f>HLOOKUP(INPUT!$D$5,'Rig Move'!$C$3:$I$15,10,FALSE)</f>
        <v>0</v>
      </c>
      <c r="X791" s="1213">
        <f>IF(OR(INPUT!$D$5="RIG 1",INPUT!$D$5="RIG 2"),0,1)*IF(X780=0,0,1)</f>
        <v>0</v>
      </c>
      <c r="Y791" s="287"/>
      <c r="Z791" s="287"/>
      <c r="AA791" s="287"/>
      <c r="AB791" s="287"/>
      <c r="AC791" s="289"/>
      <c r="AD791" s="289"/>
      <c r="AE791" s="289"/>
      <c r="AF791" s="289"/>
      <c r="AG791" s="289"/>
      <c r="AH791" s="289"/>
      <c r="AI791" s="289"/>
      <c r="AJ791" s="289"/>
      <c r="AK791" s="289"/>
      <c r="AL791" s="289"/>
      <c r="AM791" s="245"/>
      <c r="AN791" s="1020"/>
      <c r="AP791" s="295"/>
      <c r="AQ791" s="295"/>
      <c r="AR791" s="295"/>
      <c r="AS791" s="295"/>
      <c r="AT791" s="295"/>
      <c r="AU791" s="186"/>
      <c r="GS791" s="176"/>
      <c r="GT791" s="176"/>
      <c r="GU791" s="176"/>
      <c r="GV791" s="176"/>
      <c r="GW791" s="176"/>
    </row>
    <row r="792" spans="1:205" ht="13.5" customHeight="1" x14ac:dyDescent="0.2">
      <c r="A792" s="736"/>
      <c r="B792" s="1137"/>
      <c r="C792" s="1137"/>
      <c r="D792" s="541"/>
      <c r="E792" s="623"/>
      <c r="G792" s="295"/>
      <c r="H792" s="295"/>
      <c r="I792" s="295"/>
      <c r="J792" s="295"/>
      <c r="K792" s="295"/>
      <c r="L792" s="186"/>
      <c r="P792" s="179"/>
      <c r="Q792" s="179"/>
      <c r="R792" s="179"/>
      <c r="S792" s="179"/>
      <c r="T792" s="179"/>
      <c r="U792" s="255"/>
      <c r="V792" s="1400" t="s">
        <v>221</v>
      </c>
      <c r="W792" s="1212">
        <f>HLOOKUP(INPUT!$D$5,'Rig Move'!$C$3:$I$15,11,FALSE)</f>
        <v>2</v>
      </c>
      <c r="X792" s="1213">
        <f>IF(OR(INPUT!$D$5="RIG 1",INPUT!$D$5="RIG 2"),0,1)*IF(X780=0,0,1)</f>
        <v>0</v>
      </c>
      <c r="Y792" s="287"/>
      <c r="Z792" s="287"/>
      <c r="AA792" s="287"/>
      <c r="AB792" s="287"/>
      <c r="AC792" s="289"/>
      <c r="AD792" s="289"/>
      <c r="AE792" s="289"/>
      <c r="AF792" s="289"/>
      <c r="AG792" s="289"/>
      <c r="AH792" s="289"/>
      <c r="AI792" s="289"/>
      <c r="AJ792" s="289"/>
      <c r="AK792" s="289"/>
      <c r="AL792" s="289"/>
      <c r="AM792" s="245"/>
      <c r="AN792" s="1020"/>
      <c r="AP792" s="295"/>
      <c r="AQ792" s="295"/>
      <c r="AR792" s="295"/>
      <c r="AS792" s="295"/>
      <c r="AT792" s="295"/>
      <c r="AU792" s="186"/>
      <c r="GS792" s="176"/>
      <c r="GT792" s="176"/>
      <c r="GU792" s="176"/>
      <c r="GV792" s="176"/>
      <c r="GW792" s="176"/>
    </row>
    <row r="793" spans="1:205" ht="12.75" customHeight="1" x14ac:dyDescent="0.2">
      <c r="A793" s="736"/>
      <c r="B793" s="1141"/>
      <c r="C793" s="1141"/>
      <c r="D793" s="544"/>
      <c r="E793" s="624"/>
      <c r="G793" s="295"/>
      <c r="H793" s="295"/>
      <c r="I793" s="295"/>
      <c r="J793" s="295"/>
      <c r="K793" s="295"/>
      <c r="L793" s="186"/>
      <c r="P793" s="179"/>
      <c r="Q793" s="179"/>
      <c r="R793" s="179"/>
      <c r="S793" s="179"/>
      <c r="T793" s="179"/>
      <c r="U793" s="255"/>
      <c r="V793" s="1211" t="s">
        <v>225</v>
      </c>
      <c r="W793" s="1212">
        <f>IF(INPUT!$H$8="BGBU",0,11)</f>
        <v>11</v>
      </c>
      <c r="X793" s="1213">
        <f>IF(OR(INPUT!$D$5="RIG 1",INPUT!$D$5="RIG 2"),0,1)*IF(X780=0,0,1)</f>
        <v>0</v>
      </c>
      <c r="Y793" s="287"/>
      <c r="Z793" s="287"/>
      <c r="AA793" s="287"/>
      <c r="AB793" s="287"/>
      <c r="AC793" s="289"/>
      <c r="AD793" s="289"/>
      <c r="AE793" s="289"/>
      <c r="AF793" s="289"/>
      <c r="AG793" s="289"/>
      <c r="AH793" s="289"/>
      <c r="AI793" s="289"/>
      <c r="AJ793" s="289"/>
      <c r="AK793" s="289"/>
      <c r="AL793" s="289"/>
      <c r="AM793" s="245"/>
      <c r="AN793" s="1020"/>
      <c r="AP793" s="295"/>
      <c r="AQ793" s="295"/>
      <c r="AR793" s="295"/>
      <c r="AS793" s="295"/>
      <c r="AT793" s="295"/>
      <c r="AU793" s="186"/>
      <c r="GS793" s="176"/>
      <c r="GT793" s="176"/>
      <c r="GU793" s="176"/>
      <c r="GV793" s="176"/>
      <c r="GW793" s="176"/>
    </row>
    <row r="794" spans="1:205" ht="12.75" customHeight="1" x14ac:dyDescent="0.2">
      <c r="A794" s="738"/>
      <c r="B794" s="1141"/>
      <c r="C794" s="1141"/>
      <c r="D794" s="544"/>
      <c r="E794" s="624"/>
      <c r="G794" s="295"/>
      <c r="H794" s="295"/>
      <c r="I794" s="295"/>
      <c r="J794" s="295"/>
      <c r="K794" s="295"/>
      <c r="L794" s="186"/>
      <c r="P794" s="179"/>
      <c r="Q794" s="179"/>
      <c r="R794" s="179"/>
      <c r="S794" s="179"/>
      <c r="T794" s="179"/>
      <c r="U794" s="255"/>
      <c r="V794" s="287" t="s">
        <v>1134</v>
      </c>
      <c r="W794" s="287"/>
      <c r="X794" s="246">
        <f>INDEX('Rig Move'!D57:D60,MATCH(INPUT!H8,'Rig Move'!A57:A60,0))*IF(X780=0,0,1)</f>
        <v>0</v>
      </c>
      <c r="Y794" s="287"/>
      <c r="Z794" s="287"/>
      <c r="AA794" s="287"/>
      <c r="AB794" s="287"/>
      <c r="AC794" s="289"/>
      <c r="AD794" s="289"/>
      <c r="AE794" s="289"/>
      <c r="AF794" s="289"/>
      <c r="AG794" s="289"/>
      <c r="AH794" s="289"/>
      <c r="AI794" s="289"/>
      <c r="AJ794" s="289"/>
      <c r="AK794" s="289"/>
      <c r="AL794" s="289"/>
      <c r="AM794" s="245"/>
      <c r="AN794" s="1020"/>
      <c r="AP794" s="295"/>
      <c r="AQ794" s="295"/>
      <c r="AR794" s="295"/>
      <c r="AS794" s="295"/>
      <c r="AT794" s="295"/>
      <c r="AU794" s="186"/>
      <c r="GS794" s="176"/>
      <c r="GT794" s="176"/>
      <c r="GU794" s="176"/>
      <c r="GV794" s="176"/>
      <c r="GW794" s="176"/>
    </row>
    <row r="795" spans="1:205" ht="12.75" customHeight="1" x14ac:dyDescent="0.2">
      <c r="A795" s="738"/>
      <c r="B795" s="1141"/>
      <c r="C795" s="1141"/>
      <c r="D795" s="544"/>
      <c r="E795" s="624"/>
      <c r="G795" s="295"/>
      <c r="H795" s="295"/>
      <c r="I795" s="295"/>
      <c r="J795" s="295"/>
      <c r="K795" s="295"/>
      <c r="L795" s="186"/>
      <c r="P795" s="179"/>
      <c r="Q795" s="179"/>
      <c r="R795" s="179"/>
      <c r="S795" s="179"/>
      <c r="T795" s="179"/>
      <c r="U795" s="255"/>
      <c r="V795" s="287"/>
      <c r="W795" s="287"/>
      <c r="X795" s="287"/>
      <c r="Y795" s="287"/>
      <c r="Z795" s="287"/>
      <c r="AA795" s="287"/>
      <c r="AB795" s="287"/>
      <c r="AC795" s="289"/>
      <c r="AD795" s="289"/>
      <c r="AE795" s="289"/>
      <c r="AF795" s="289"/>
      <c r="AG795" s="289"/>
      <c r="AH795" s="289"/>
      <c r="AI795" s="289"/>
      <c r="AJ795" s="289"/>
      <c r="AK795" s="289"/>
      <c r="AL795" s="289"/>
      <c r="AM795" s="245"/>
      <c r="AN795" s="1020"/>
      <c r="AP795" s="295"/>
      <c r="AQ795" s="295"/>
      <c r="AR795" s="295"/>
      <c r="AS795" s="295"/>
      <c r="AT795" s="295"/>
      <c r="AU795" s="186"/>
      <c r="GS795" s="176"/>
      <c r="GT795" s="176"/>
      <c r="GU795" s="176"/>
      <c r="GV795" s="176"/>
      <c r="GW795" s="176"/>
    </row>
    <row r="796" spans="1:205" ht="12.75" customHeight="1" x14ac:dyDescent="0.2">
      <c r="A796" s="740"/>
      <c r="B796" s="1142"/>
      <c r="C796" s="1142"/>
      <c r="D796" s="546"/>
      <c r="E796" s="622"/>
      <c r="G796" s="295"/>
      <c r="H796" s="295"/>
      <c r="I796" s="295"/>
      <c r="J796" s="295"/>
      <c r="K796" s="295"/>
      <c r="L796" s="186"/>
      <c r="P796" s="179"/>
      <c r="Q796" s="179"/>
      <c r="R796" s="179"/>
      <c r="S796" s="179"/>
      <c r="T796" s="179"/>
      <c r="U796" s="1389"/>
      <c r="V796" s="193"/>
      <c r="W796" s="193"/>
      <c r="X796" s="193"/>
      <c r="Y796" s="193"/>
      <c r="Z796" s="476"/>
      <c r="AA796" s="193"/>
      <c r="AB796" s="476"/>
      <c r="AC796" s="193"/>
      <c r="AD796" s="476"/>
      <c r="AE796" s="193"/>
      <c r="AF796" s="476"/>
      <c r="AG796" s="193"/>
      <c r="AH796" s="476"/>
      <c r="AI796" s="193"/>
      <c r="AJ796" s="476"/>
      <c r="AK796" s="476"/>
      <c r="AL796" s="193"/>
      <c r="AM796" s="263"/>
      <c r="AN796" s="1020"/>
      <c r="AP796" s="295"/>
      <c r="AQ796" s="295"/>
      <c r="AR796" s="295"/>
      <c r="AS796" s="295"/>
      <c r="AT796" s="295"/>
      <c r="AU796" s="186"/>
      <c r="GS796" s="176"/>
      <c r="GT796" s="176"/>
      <c r="GU796" s="176"/>
      <c r="GV796" s="176"/>
      <c r="GW796" s="176"/>
    </row>
    <row r="797" spans="1:205" ht="13.5" customHeight="1" x14ac:dyDescent="0.2">
      <c r="A797" s="740"/>
      <c r="B797" s="1142"/>
      <c r="C797" s="1142"/>
      <c r="D797" s="546"/>
      <c r="E797" s="622"/>
      <c r="G797" s="295"/>
      <c r="H797" s="295"/>
      <c r="I797" s="295"/>
      <c r="J797" s="295"/>
      <c r="K797" s="295"/>
      <c r="L797" s="186"/>
      <c r="P797" s="179"/>
      <c r="Q797" s="179"/>
      <c r="R797" s="179"/>
      <c r="S797" s="179"/>
      <c r="T797" s="179"/>
      <c r="U797" s="1517"/>
      <c r="V797" s="1527" t="s">
        <v>949</v>
      </c>
      <c r="W797" s="1423"/>
      <c r="X797" s="1423"/>
      <c r="Y797" s="1423"/>
      <c r="Z797" s="1423"/>
      <c r="AA797" s="1423"/>
      <c r="AB797" s="1423"/>
      <c r="AC797" s="1423"/>
      <c r="AD797" s="1423"/>
      <c r="AE797" s="1423"/>
      <c r="AF797" s="1423"/>
      <c r="AG797" s="1423"/>
      <c r="AH797" s="1423"/>
      <c r="AI797" s="1423"/>
      <c r="AJ797" s="1423"/>
      <c r="AK797" s="1423"/>
      <c r="AL797" s="1423"/>
      <c r="AM797" s="546">
        <v>6184091</v>
      </c>
      <c r="AN797" s="1020"/>
      <c r="AP797" s="295"/>
      <c r="AQ797" s="295"/>
      <c r="AR797" s="295"/>
      <c r="AS797" s="295"/>
      <c r="AT797" s="295"/>
      <c r="AU797" s="186"/>
      <c r="GS797" s="176"/>
      <c r="GT797" s="176"/>
      <c r="GU797" s="176"/>
      <c r="GV797" s="176"/>
      <c r="GW797" s="176"/>
    </row>
    <row r="798" spans="1:205" ht="13.5" customHeight="1" x14ac:dyDescent="0.2">
      <c r="A798" s="733"/>
      <c r="B798" s="1134"/>
      <c r="C798" s="1134"/>
      <c r="D798" s="535"/>
      <c r="E798" s="623"/>
      <c r="G798" s="295"/>
      <c r="H798" s="295"/>
      <c r="I798" s="295"/>
      <c r="J798" s="295"/>
      <c r="K798" s="295"/>
      <c r="L798" s="186"/>
      <c r="P798" s="179"/>
      <c r="Q798" s="179"/>
      <c r="R798" s="179"/>
      <c r="S798" s="179"/>
      <c r="T798" s="179"/>
      <c r="U798" s="1520" t="s">
        <v>138</v>
      </c>
      <c r="V798" s="1521" t="s">
        <v>139</v>
      </c>
      <c r="W798" s="1521" t="s">
        <v>209</v>
      </c>
      <c r="X798" s="1426" t="str">
        <f t="shared" ref="X798:AK798" si="270">X$14</f>
        <v>RIGMOVE</v>
      </c>
      <c r="Y798" s="1426" t="str">
        <f t="shared" si="270"/>
        <v>DSURFACE</v>
      </c>
      <c r="Z798" s="1426" t="str">
        <f t="shared" si="270"/>
        <v>FSURFACE</v>
      </c>
      <c r="AA798" s="1426" t="str">
        <f t="shared" si="270"/>
        <v>DINTERMEDIATE</v>
      </c>
      <c r="AB798" s="1426" t="str">
        <f t="shared" si="270"/>
        <v>FINTERMEDIATE</v>
      </c>
      <c r="AC798" s="1426" t="str">
        <f t="shared" si="270"/>
        <v>DPRODUCTION</v>
      </c>
      <c r="AD798" s="1426" t="str">
        <f t="shared" si="270"/>
        <v>FPRODUCTION</v>
      </c>
      <c r="AE798" s="1426" t="str">
        <f t="shared" si="270"/>
        <v>DLINER1</v>
      </c>
      <c r="AF798" s="1426" t="str">
        <f t="shared" si="270"/>
        <v>FLINER1</v>
      </c>
      <c r="AG798" s="1426" t="str">
        <f t="shared" si="270"/>
        <v>DLINER2</v>
      </c>
      <c r="AH798" s="1426" t="str">
        <f t="shared" si="270"/>
        <v>FLINER2</v>
      </c>
      <c r="AI798" s="1426" t="str">
        <f t="shared" si="270"/>
        <v/>
      </c>
      <c r="AJ798" s="1426" t="str">
        <f t="shared" si="270"/>
        <v/>
      </c>
      <c r="AK798" s="1426" t="str">
        <f t="shared" si="270"/>
        <v/>
      </c>
      <c r="AL798" s="1426"/>
      <c r="AM798" s="1449" t="s">
        <v>46</v>
      </c>
      <c r="AN798" s="258"/>
      <c r="AP798" s="295"/>
      <c r="AQ798" s="295"/>
      <c r="AR798" s="295"/>
      <c r="AS798" s="295"/>
      <c r="AT798" s="295"/>
      <c r="AU798" s="186"/>
      <c r="GS798" s="176"/>
      <c r="GT798" s="176"/>
      <c r="GU798" s="176"/>
      <c r="GV798" s="176"/>
      <c r="GW798" s="176"/>
    </row>
    <row r="799" spans="1:205" ht="12.75" customHeight="1" x14ac:dyDescent="0.2">
      <c r="A799" s="736"/>
      <c r="B799" s="1137"/>
      <c r="C799" s="1137"/>
      <c r="D799" s="541"/>
      <c r="E799" s="623"/>
      <c r="G799" s="295"/>
      <c r="H799" s="295"/>
      <c r="I799" s="295"/>
      <c r="J799" s="295"/>
      <c r="K799" s="295"/>
      <c r="L799" s="186"/>
      <c r="P799" s="179"/>
      <c r="Q799" s="179"/>
      <c r="R799" s="179"/>
      <c r="S799" s="179"/>
      <c r="T799" s="179"/>
      <c r="U799" s="509">
        <v>1</v>
      </c>
      <c r="V799" s="287" t="str">
        <f t="shared" ref="V799:V809" si="271">V783</f>
        <v>40 FT HI-BED TRAILER</v>
      </c>
      <c r="W799" s="1420">
        <f>VLOOKUP(INPUT!H8,EQUIPMENT!$B$37:$H$40,6,FALSE)</f>
        <v>16650</v>
      </c>
      <c r="X799" s="246">
        <f>((X783*W783)*W799)*U799</f>
        <v>0</v>
      </c>
      <c r="Y799" s="287"/>
      <c r="Z799" s="287"/>
      <c r="AA799" s="287"/>
      <c r="AB799" s="287"/>
      <c r="AC799" s="289"/>
      <c r="AD799" s="289"/>
      <c r="AE799" s="289"/>
      <c r="AF799" s="289"/>
      <c r="AG799" s="289"/>
      <c r="AH799" s="289"/>
      <c r="AI799" s="289"/>
      <c r="AJ799" s="289"/>
      <c r="AK799" s="289"/>
      <c r="AL799" s="289"/>
      <c r="AM799" s="245">
        <f t="shared" ref="AM799:AM811" si="272">SUM(X799:AL799)</f>
        <v>0</v>
      </c>
      <c r="AN799" s="258"/>
      <c r="AP799" s="295"/>
      <c r="AQ799" s="295"/>
      <c r="AR799" s="295"/>
      <c r="AS799" s="295"/>
      <c r="AT799" s="295"/>
      <c r="AU799" s="186"/>
      <c r="GS799" s="176"/>
      <c r="GT799" s="176"/>
      <c r="GU799" s="176"/>
      <c r="GV799" s="176"/>
      <c r="GW799" s="176"/>
    </row>
    <row r="800" spans="1:205" ht="12.75" customHeight="1" x14ac:dyDescent="0.2">
      <c r="A800" s="736"/>
      <c r="B800" s="1137"/>
      <c r="C800" s="1137"/>
      <c r="D800" s="541"/>
      <c r="E800" s="623"/>
      <c r="G800" s="295"/>
      <c r="H800" s="295"/>
      <c r="I800" s="295"/>
      <c r="J800" s="295"/>
      <c r="K800" s="295"/>
      <c r="L800" s="186"/>
      <c r="P800" s="179"/>
      <c r="Q800" s="179"/>
      <c r="R800" s="179"/>
      <c r="S800" s="179"/>
      <c r="T800" s="179"/>
      <c r="U800" s="509">
        <v>1</v>
      </c>
      <c r="V800" s="287" t="str">
        <f t="shared" si="271"/>
        <v>40 FT SEMI-LOW BED TRAILER (35T)</v>
      </c>
      <c r="W800" s="1420">
        <f>VLOOKUP(V800,'Rig Move'!$A$4:$B$15,2,FALSE)</f>
        <v>16000</v>
      </c>
      <c r="X800" s="246">
        <f t="shared" ref="X800:X809" si="273">((X784*W784)*W800)*U800</f>
        <v>0</v>
      </c>
      <c r="Y800" s="287"/>
      <c r="Z800" s="287"/>
      <c r="AA800" s="287"/>
      <c r="AB800" s="287"/>
      <c r="AC800" s="289"/>
      <c r="AD800" s="289"/>
      <c r="AE800" s="289"/>
      <c r="AF800" s="289"/>
      <c r="AG800" s="289"/>
      <c r="AH800" s="289"/>
      <c r="AI800" s="289"/>
      <c r="AJ800" s="289"/>
      <c r="AK800" s="289"/>
      <c r="AL800" s="289"/>
      <c r="AM800" s="245">
        <f t="shared" si="272"/>
        <v>0</v>
      </c>
      <c r="AN800" s="1020"/>
      <c r="AP800" s="295"/>
      <c r="AQ800" s="295"/>
      <c r="AR800" s="295"/>
      <c r="AS800" s="295"/>
      <c r="AT800" s="295"/>
      <c r="AU800" s="186"/>
      <c r="GS800" s="176"/>
      <c r="GT800" s="176"/>
      <c r="GU800" s="176"/>
      <c r="GV800" s="176"/>
      <c r="GW800" s="176"/>
    </row>
    <row r="801" spans="1:205" ht="12.75" customHeight="1" x14ac:dyDescent="0.2">
      <c r="A801" s="736"/>
      <c r="B801" s="1137"/>
      <c r="C801" s="1137"/>
      <c r="D801" s="541"/>
      <c r="E801" s="623"/>
      <c r="G801" s="295"/>
      <c r="H801" s="295"/>
      <c r="I801" s="295"/>
      <c r="J801" s="295"/>
      <c r="K801" s="295"/>
      <c r="L801" s="186"/>
      <c r="P801" s="179"/>
      <c r="Q801" s="179"/>
      <c r="R801" s="179"/>
      <c r="S801" s="179"/>
      <c r="T801" s="179"/>
      <c r="U801" s="509">
        <v>1</v>
      </c>
      <c r="V801" s="287" t="str">
        <f t="shared" si="271"/>
        <v>35 FT LOW BED TRAILER (60T)</v>
      </c>
      <c r="W801" s="1420">
        <f>VLOOKUP(V801,'Rig Move'!$A$4:$B$15,2,FALSE)</f>
        <v>25000</v>
      </c>
      <c r="X801" s="246">
        <f t="shared" si="273"/>
        <v>0</v>
      </c>
      <c r="Y801" s="287"/>
      <c r="Z801" s="287"/>
      <c r="AA801" s="287"/>
      <c r="AB801" s="287"/>
      <c r="AC801" s="289"/>
      <c r="AD801" s="289"/>
      <c r="AE801" s="289"/>
      <c r="AF801" s="289"/>
      <c r="AG801" s="289"/>
      <c r="AH801" s="289"/>
      <c r="AI801" s="289"/>
      <c r="AJ801" s="289"/>
      <c r="AK801" s="289"/>
      <c r="AL801" s="289"/>
      <c r="AM801" s="245">
        <f t="shared" si="272"/>
        <v>0</v>
      </c>
      <c r="AN801" s="1020"/>
      <c r="AP801" s="295"/>
      <c r="AQ801" s="295"/>
      <c r="AR801" s="295"/>
      <c r="AS801" s="295"/>
      <c r="AT801" s="295"/>
      <c r="AU801" s="186"/>
      <c r="GS801" s="176"/>
      <c r="GT801" s="176"/>
      <c r="GU801" s="176"/>
      <c r="GV801" s="176"/>
      <c r="GW801" s="176"/>
    </row>
    <row r="802" spans="1:205" ht="12.75" customHeight="1" x14ac:dyDescent="0.2">
      <c r="A802" s="736"/>
      <c r="B802" s="1137"/>
      <c r="C802" s="1137"/>
      <c r="D802" s="541"/>
      <c r="E802" s="623"/>
      <c r="G802" s="295"/>
      <c r="H802" s="295"/>
      <c r="I802" s="295"/>
      <c r="J802" s="295"/>
      <c r="K802" s="295"/>
      <c r="L802" s="186"/>
      <c r="P802" s="179"/>
      <c r="Q802" s="179"/>
      <c r="R802" s="179"/>
      <c r="S802" s="179"/>
      <c r="T802" s="179"/>
      <c r="U802" s="509">
        <v>1</v>
      </c>
      <c r="V802" s="287" t="str">
        <f t="shared" si="271"/>
        <v>50T CRANE</v>
      </c>
      <c r="W802" s="1420">
        <f>W829</f>
        <v>3328</v>
      </c>
      <c r="X802" s="246">
        <f t="shared" si="273"/>
        <v>0</v>
      </c>
      <c r="Y802" s="287"/>
      <c r="Z802" s="287"/>
      <c r="AA802" s="287"/>
      <c r="AB802" s="287"/>
      <c r="AC802" s="289"/>
      <c r="AD802" s="289"/>
      <c r="AE802" s="289"/>
      <c r="AF802" s="289"/>
      <c r="AG802" s="289"/>
      <c r="AH802" s="289"/>
      <c r="AI802" s="289"/>
      <c r="AJ802" s="289"/>
      <c r="AK802" s="289"/>
      <c r="AL802" s="289"/>
      <c r="AM802" s="245">
        <f t="shared" si="272"/>
        <v>0</v>
      </c>
      <c r="AN802" s="1020"/>
      <c r="AP802" s="295"/>
      <c r="AQ802" s="295"/>
      <c r="AR802" s="295"/>
      <c r="AS802" s="295"/>
      <c r="AT802" s="295"/>
      <c r="AU802" s="186"/>
      <c r="GS802" s="176"/>
      <c r="GT802" s="176"/>
      <c r="GU802" s="176"/>
      <c r="GV802" s="176"/>
      <c r="GW802" s="176"/>
    </row>
    <row r="803" spans="1:205" ht="12.75" customHeight="1" x14ac:dyDescent="0.2">
      <c r="A803" s="736"/>
      <c r="B803" s="1137"/>
      <c r="C803" s="1137"/>
      <c r="D803" s="541"/>
      <c r="E803" s="623"/>
      <c r="G803" s="295"/>
      <c r="H803" s="295"/>
      <c r="I803" s="295"/>
      <c r="J803" s="295"/>
      <c r="K803" s="295"/>
      <c r="L803" s="186"/>
      <c r="P803" s="179"/>
      <c r="Q803" s="179"/>
      <c r="R803" s="179"/>
      <c r="S803" s="179"/>
      <c r="T803" s="179"/>
      <c r="U803" s="509">
        <v>1</v>
      </c>
      <c r="V803" s="287" t="str">
        <f t="shared" si="271"/>
        <v>70T CRANE</v>
      </c>
      <c r="W803" s="1420">
        <f>W830</f>
        <v>7738</v>
      </c>
      <c r="X803" s="246">
        <f t="shared" si="273"/>
        <v>0</v>
      </c>
      <c r="Y803" s="287"/>
      <c r="Z803" s="287"/>
      <c r="AA803" s="287"/>
      <c r="AB803" s="287"/>
      <c r="AC803" s="289"/>
      <c r="AD803" s="289"/>
      <c r="AE803" s="289"/>
      <c r="AF803" s="289"/>
      <c r="AG803" s="289"/>
      <c r="AH803" s="289"/>
      <c r="AI803" s="289"/>
      <c r="AJ803" s="289"/>
      <c r="AK803" s="289"/>
      <c r="AL803" s="289"/>
      <c r="AM803" s="245">
        <f t="shared" si="272"/>
        <v>0</v>
      </c>
      <c r="AN803" s="1020"/>
      <c r="AP803" s="295"/>
      <c r="AQ803" s="295"/>
      <c r="AR803" s="295"/>
      <c r="AS803" s="295"/>
      <c r="AT803" s="295"/>
      <c r="AU803" s="186"/>
      <c r="GS803" s="176"/>
      <c r="GT803" s="176"/>
      <c r="GU803" s="176"/>
      <c r="GV803" s="176"/>
      <c r="GW803" s="176"/>
    </row>
    <row r="804" spans="1:205" s="226" customFormat="1" ht="12.75" customHeight="1" x14ac:dyDescent="0.15">
      <c r="A804" s="736"/>
      <c r="B804" s="1137"/>
      <c r="C804" s="1137"/>
      <c r="D804" s="541"/>
      <c r="E804" s="623"/>
      <c r="F804" s="262"/>
      <c r="G804" s="250"/>
      <c r="H804" s="250"/>
      <c r="I804" s="250"/>
      <c r="J804" s="250"/>
      <c r="K804" s="250"/>
      <c r="L804" s="174"/>
      <c r="M804" s="174"/>
      <c r="N804" s="174"/>
      <c r="O804" s="174"/>
      <c r="P804" s="179"/>
      <c r="Q804" s="179"/>
      <c r="R804" s="179"/>
      <c r="S804" s="179"/>
      <c r="T804" s="179"/>
      <c r="U804" s="509">
        <v>1</v>
      </c>
      <c r="V804" s="287" t="str">
        <f t="shared" si="271"/>
        <v>180T CRANE</v>
      </c>
      <c r="W804" s="1420">
        <f>W831</f>
        <v>15800</v>
      </c>
      <c r="X804" s="246">
        <f t="shared" si="273"/>
        <v>0</v>
      </c>
      <c r="Y804" s="287"/>
      <c r="Z804" s="287"/>
      <c r="AA804" s="287"/>
      <c r="AB804" s="287"/>
      <c r="AC804" s="289"/>
      <c r="AD804" s="289"/>
      <c r="AE804" s="289"/>
      <c r="AF804" s="289"/>
      <c r="AG804" s="289"/>
      <c r="AH804" s="289"/>
      <c r="AI804" s="289"/>
      <c r="AJ804" s="289"/>
      <c r="AK804" s="289"/>
      <c r="AL804" s="289"/>
      <c r="AM804" s="245">
        <f t="shared" si="272"/>
        <v>0</v>
      </c>
      <c r="AN804" s="1020"/>
      <c r="AO804" s="172"/>
      <c r="AP804" s="295"/>
      <c r="AQ804" s="295"/>
      <c r="AR804" s="295"/>
      <c r="AS804" s="295"/>
      <c r="AT804" s="295"/>
      <c r="AU804" s="186"/>
      <c r="AV804" s="172"/>
      <c r="AW804" s="172"/>
      <c r="AX804" s="172"/>
      <c r="AY804" s="172"/>
      <c r="AZ804" s="172"/>
      <c r="BA804" s="172"/>
      <c r="BB804" s="172"/>
      <c r="BC804" s="172"/>
      <c r="BD804" s="172"/>
      <c r="BE804" s="172"/>
      <c r="BF804" s="172"/>
      <c r="BG804" s="172"/>
      <c r="BH804" s="172"/>
      <c r="BI804" s="172"/>
      <c r="BJ804" s="172"/>
      <c r="BK804" s="172"/>
      <c r="BL804" s="172"/>
      <c r="BM804" s="172"/>
      <c r="BN804" s="172"/>
      <c r="BO804" s="172"/>
      <c r="BP804" s="172"/>
      <c r="BQ804" s="172"/>
      <c r="BR804" s="172"/>
      <c r="BS804" s="172"/>
      <c r="BT804" s="172"/>
      <c r="BU804" s="172"/>
      <c r="BV804" s="172"/>
      <c r="BW804" s="172"/>
      <c r="BX804" s="172"/>
      <c r="BY804" s="172"/>
      <c r="BZ804" s="172"/>
      <c r="CA804" s="172"/>
      <c r="CB804" s="172"/>
      <c r="CC804" s="172"/>
      <c r="CD804" s="172"/>
      <c r="CE804" s="172"/>
      <c r="CF804" s="172"/>
      <c r="CG804" s="172"/>
      <c r="CH804" s="172"/>
      <c r="CI804" s="172"/>
      <c r="CJ804" s="172"/>
      <c r="CK804" s="172"/>
      <c r="CL804" s="172"/>
      <c r="CM804" s="172"/>
      <c r="CN804" s="172"/>
      <c r="CO804" s="172"/>
      <c r="CP804" s="172"/>
      <c r="CQ804" s="172"/>
      <c r="CR804" s="172"/>
      <c r="CS804" s="172"/>
      <c r="CT804" s="172"/>
      <c r="CU804" s="172"/>
      <c r="CV804" s="172"/>
      <c r="CW804" s="172"/>
      <c r="CX804" s="172"/>
      <c r="CY804" s="172"/>
      <c r="CZ804" s="172"/>
      <c r="DA804" s="172"/>
      <c r="DB804" s="172"/>
      <c r="DC804" s="172"/>
      <c r="DD804" s="172"/>
      <c r="DE804" s="172"/>
      <c r="DF804" s="172"/>
      <c r="DG804" s="172"/>
      <c r="DH804" s="172"/>
      <c r="DI804" s="172"/>
      <c r="DJ804" s="172"/>
      <c r="DK804" s="172"/>
      <c r="DL804" s="172"/>
      <c r="DM804" s="172"/>
      <c r="DN804" s="172"/>
      <c r="DO804" s="172"/>
      <c r="DP804" s="172"/>
      <c r="DQ804" s="172"/>
      <c r="DR804" s="172"/>
      <c r="DS804" s="172"/>
      <c r="DT804" s="172"/>
      <c r="DU804" s="172"/>
      <c r="DV804" s="172"/>
      <c r="DW804" s="172"/>
      <c r="DX804" s="172"/>
      <c r="DY804" s="172"/>
      <c r="DZ804" s="172"/>
      <c r="EA804" s="172"/>
      <c r="EB804" s="172"/>
      <c r="EC804" s="172"/>
      <c r="ED804" s="172"/>
      <c r="EE804" s="172"/>
      <c r="EF804" s="172"/>
      <c r="EG804" s="172"/>
      <c r="EH804" s="172"/>
      <c r="EI804" s="172"/>
      <c r="EJ804" s="172"/>
      <c r="EK804" s="172"/>
      <c r="EL804" s="172"/>
      <c r="EM804" s="172"/>
      <c r="EN804" s="172"/>
      <c r="EO804" s="172"/>
      <c r="EP804" s="172"/>
      <c r="EQ804" s="172"/>
      <c r="ER804" s="172"/>
      <c r="ES804" s="172"/>
      <c r="ET804" s="172"/>
      <c r="EU804" s="172"/>
      <c r="EV804" s="172"/>
      <c r="EW804" s="172"/>
      <c r="EX804" s="172"/>
      <c r="EY804" s="172"/>
      <c r="EZ804" s="172"/>
      <c r="FA804" s="172"/>
      <c r="FB804" s="172"/>
      <c r="FC804" s="172"/>
      <c r="FD804" s="172"/>
      <c r="FE804" s="172"/>
      <c r="FF804" s="172"/>
      <c r="FG804" s="172"/>
      <c r="FH804" s="172"/>
      <c r="FI804" s="172"/>
      <c r="FJ804" s="172"/>
      <c r="FK804" s="172"/>
      <c r="FL804" s="172"/>
      <c r="FM804" s="172"/>
      <c r="FN804" s="172"/>
      <c r="FO804" s="172"/>
      <c r="FP804" s="172"/>
      <c r="FQ804" s="172"/>
      <c r="FR804" s="172"/>
      <c r="FS804" s="172"/>
      <c r="FT804" s="172"/>
      <c r="FU804" s="172"/>
      <c r="FV804" s="172"/>
      <c r="FW804" s="172"/>
      <c r="FX804" s="172"/>
      <c r="FY804" s="172"/>
      <c r="FZ804" s="172"/>
      <c r="GA804" s="172"/>
      <c r="GB804" s="172"/>
      <c r="GC804" s="172"/>
      <c r="GD804" s="172"/>
      <c r="GE804" s="172"/>
      <c r="GF804" s="172"/>
      <c r="GG804" s="172"/>
      <c r="GH804" s="172"/>
      <c r="GI804" s="172"/>
      <c r="GJ804" s="172"/>
      <c r="GK804" s="172"/>
      <c r="GL804" s="172"/>
      <c r="GM804" s="172"/>
      <c r="GN804" s="172"/>
      <c r="GO804" s="172"/>
      <c r="GP804" s="172"/>
      <c r="GQ804" s="172"/>
      <c r="GR804" s="172"/>
    </row>
    <row r="805" spans="1:205" s="226" customFormat="1" ht="12.75" customHeight="1" x14ac:dyDescent="0.15">
      <c r="A805" s="736"/>
      <c r="B805" s="1137"/>
      <c r="C805" s="1137"/>
      <c r="D805" s="541"/>
      <c r="E805" s="623"/>
      <c r="F805" s="262"/>
      <c r="G805" s="250"/>
      <c r="H805" s="250"/>
      <c r="I805" s="250"/>
      <c r="J805" s="250"/>
      <c r="K805" s="250"/>
      <c r="L805" s="174"/>
      <c r="M805" s="174"/>
      <c r="N805" s="174"/>
      <c r="O805" s="174"/>
      <c r="P805" s="179"/>
      <c r="Q805" s="179"/>
      <c r="R805" s="179"/>
      <c r="S805" s="179"/>
      <c r="T805" s="179"/>
      <c r="U805" s="509">
        <v>1</v>
      </c>
      <c r="V805" s="287" t="str">
        <f t="shared" si="271"/>
        <v>PAYLOADER</v>
      </c>
      <c r="W805" s="1420">
        <f>VLOOKUP(V805,'Rig Move'!$A$4:$B$15,2,FALSE)</f>
        <v>2500</v>
      </c>
      <c r="X805" s="246">
        <f t="shared" si="273"/>
        <v>0</v>
      </c>
      <c r="Y805" s="287"/>
      <c r="Z805" s="287"/>
      <c r="AA805" s="287"/>
      <c r="AB805" s="287"/>
      <c r="AC805" s="289"/>
      <c r="AD805" s="289"/>
      <c r="AE805" s="289"/>
      <c r="AF805" s="289"/>
      <c r="AG805" s="289"/>
      <c r="AH805" s="289"/>
      <c r="AI805" s="289"/>
      <c r="AJ805" s="289"/>
      <c r="AK805" s="289"/>
      <c r="AL805" s="289"/>
      <c r="AM805" s="245">
        <f t="shared" si="272"/>
        <v>0</v>
      </c>
      <c r="AN805" s="1020"/>
      <c r="AO805" s="262"/>
      <c r="AP805" s="250"/>
      <c r="AQ805" s="250"/>
      <c r="AR805" s="250"/>
      <c r="AS805" s="250"/>
      <c r="AT805" s="250"/>
      <c r="AU805" s="174"/>
      <c r="AV805" s="172"/>
      <c r="AW805" s="172"/>
      <c r="AX805" s="172"/>
      <c r="AY805" s="172"/>
      <c r="AZ805" s="172"/>
      <c r="BA805" s="172"/>
      <c r="BB805" s="172"/>
      <c r="BC805" s="172"/>
      <c r="BD805" s="172"/>
      <c r="BE805" s="172"/>
      <c r="BF805" s="172"/>
      <c r="BG805" s="172"/>
      <c r="BH805" s="172"/>
      <c r="BI805" s="172"/>
      <c r="BJ805" s="172"/>
      <c r="BK805" s="172"/>
      <c r="BL805" s="172"/>
      <c r="BM805" s="172"/>
      <c r="BN805" s="172"/>
      <c r="BO805" s="172"/>
      <c r="BP805" s="172"/>
      <c r="BQ805" s="172"/>
      <c r="BR805" s="172"/>
      <c r="BS805" s="172"/>
      <c r="BT805" s="172"/>
      <c r="BU805" s="172"/>
      <c r="BV805" s="172"/>
      <c r="BW805" s="172"/>
      <c r="BX805" s="172"/>
      <c r="BY805" s="172"/>
      <c r="BZ805" s="172"/>
      <c r="CA805" s="172"/>
      <c r="CB805" s="172"/>
      <c r="CC805" s="172"/>
      <c r="CD805" s="172"/>
      <c r="CE805" s="172"/>
      <c r="CF805" s="172"/>
      <c r="CG805" s="172"/>
      <c r="CH805" s="172"/>
      <c r="CI805" s="172"/>
      <c r="CJ805" s="172"/>
      <c r="CK805" s="172"/>
      <c r="CL805" s="172"/>
      <c r="CM805" s="172"/>
      <c r="CN805" s="172"/>
      <c r="CO805" s="172"/>
      <c r="CP805" s="172"/>
      <c r="CQ805" s="172"/>
      <c r="CR805" s="172"/>
      <c r="CS805" s="172"/>
      <c r="CT805" s="172"/>
      <c r="CU805" s="172"/>
      <c r="CV805" s="172"/>
      <c r="CW805" s="172"/>
      <c r="CX805" s="172"/>
      <c r="CY805" s="172"/>
      <c r="CZ805" s="172"/>
      <c r="DA805" s="172"/>
      <c r="DB805" s="172"/>
      <c r="DC805" s="172"/>
      <c r="DD805" s="172"/>
      <c r="DE805" s="172"/>
      <c r="DF805" s="172"/>
      <c r="DG805" s="172"/>
      <c r="DH805" s="172"/>
      <c r="DI805" s="172"/>
      <c r="DJ805" s="172"/>
      <c r="DK805" s="172"/>
      <c r="DL805" s="172"/>
      <c r="DM805" s="172"/>
      <c r="DN805" s="172"/>
      <c r="DO805" s="172"/>
      <c r="DP805" s="172"/>
      <c r="DQ805" s="172"/>
      <c r="DR805" s="172"/>
      <c r="DS805" s="172"/>
      <c r="DT805" s="172"/>
      <c r="DU805" s="172"/>
      <c r="DV805" s="172"/>
      <c r="DW805" s="172"/>
      <c r="DX805" s="172"/>
      <c r="DY805" s="172"/>
      <c r="DZ805" s="172"/>
      <c r="EA805" s="172"/>
      <c r="EB805" s="172"/>
      <c r="EC805" s="172"/>
      <c r="ED805" s="172"/>
      <c r="EE805" s="172"/>
      <c r="EF805" s="172"/>
      <c r="EG805" s="172"/>
      <c r="EH805" s="172"/>
      <c r="EI805" s="172"/>
      <c r="EJ805" s="172"/>
      <c r="EK805" s="172"/>
      <c r="EL805" s="172"/>
      <c r="EM805" s="172"/>
      <c r="EN805" s="172"/>
      <c r="EO805" s="172"/>
      <c r="EP805" s="172"/>
      <c r="EQ805" s="172"/>
      <c r="ER805" s="172"/>
      <c r="ES805" s="172"/>
      <c r="ET805" s="172"/>
      <c r="EU805" s="172"/>
      <c r="EV805" s="172"/>
      <c r="EW805" s="172"/>
      <c r="EX805" s="172"/>
      <c r="EY805" s="172"/>
      <c r="EZ805" s="172"/>
      <c r="FA805" s="172"/>
      <c r="FB805" s="172"/>
      <c r="FC805" s="172"/>
      <c r="FD805" s="172"/>
      <c r="FE805" s="172"/>
      <c r="FF805" s="172"/>
      <c r="FG805" s="172"/>
      <c r="FH805" s="172"/>
      <c r="FI805" s="172"/>
      <c r="FJ805" s="172"/>
      <c r="FK805" s="172"/>
      <c r="FL805" s="172"/>
      <c r="FM805" s="172"/>
      <c r="FN805" s="172"/>
      <c r="FO805" s="172"/>
      <c r="FP805" s="172"/>
      <c r="FQ805" s="172"/>
      <c r="FR805" s="172"/>
      <c r="FS805" s="172"/>
      <c r="FT805" s="172"/>
      <c r="FU805" s="172"/>
      <c r="FV805" s="172"/>
      <c r="FW805" s="172"/>
      <c r="FX805" s="172"/>
      <c r="FY805" s="172"/>
      <c r="FZ805" s="172"/>
      <c r="GA805" s="172"/>
      <c r="GB805" s="172"/>
      <c r="GC805" s="172"/>
      <c r="GD805" s="172"/>
      <c r="GE805" s="172"/>
      <c r="GF805" s="172"/>
      <c r="GG805" s="172"/>
      <c r="GH805" s="172"/>
      <c r="GI805" s="172"/>
      <c r="GJ805" s="172"/>
      <c r="GK805" s="172"/>
      <c r="GL805" s="172"/>
      <c r="GM805" s="172"/>
      <c r="GN805" s="172"/>
      <c r="GO805" s="172"/>
      <c r="GP805" s="172"/>
      <c r="GQ805" s="172"/>
      <c r="GR805" s="172"/>
    </row>
    <row r="806" spans="1:205" ht="12.75" customHeight="1" x14ac:dyDescent="0.2">
      <c r="A806" s="736"/>
      <c r="B806" s="1137"/>
      <c r="C806" s="1137"/>
      <c r="D806" s="541"/>
      <c r="E806" s="623"/>
      <c r="G806" s="295"/>
      <c r="H806" s="295"/>
      <c r="I806" s="295"/>
      <c r="J806" s="295"/>
      <c r="K806" s="295"/>
      <c r="L806" s="186"/>
      <c r="P806" s="179"/>
      <c r="Q806" s="179"/>
      <c r="R806" s="179"/>
      <c r="S806" s="179"/>
      <c r="T806" s="179"/>
      <c r="U806" s="509">
        <v>1</v>
      </c>
      <c r="V806" s="287" t="str">
        <f t="shared" si="271"/>
        <v>FORKLOADER</v>
      </c>
      <c r="W806" s="1420">
        <f>VLOOKUP(V806,'Rig Move'!$A$4:$B$15,2,FALSE)</f>
        <v>1800</v>
      </c>
      <c r="X806" s="246">
        <f t="shared" si="273"/>
        <v>0</v>
      </c>
      <c r="Y806" s="287"/>
      <c r="Z806" s="287"/>
      <c r="AA806" s="287"/>
      <c r="AB806" s="287"/>
      <c r="AC806" s="289"/>
      <c r="AD806" s="289"/>
      <c r="AE806" s="289"/>
      <c r="AF806" s="289"/>
      <c r="AG806" s="289"/>
      <c r="AH806" s="289"/>
      <c r="AI806" s="289"/>
      <c r="AJ806" s="289"/>
      <c r="AK806" s="289"/>
      <c r="AL806" s="289"/>
      <c r="AM806" s="245">
        <f t="shared" si="272"/>
        <v>0</v>
      </c>
      <c r="AN806" s="1020"/>
      <c r="AO806" s="262"/>
      <c r="AP806" s="250"/>
      <c r="AQ806" s="250"/>
      <c r="AR806" s="250"/>
      <c r="AS806" s="250"/>
      <c r="AT806" s="250"/>
      <c r="GS806" s="176"/>
      <c r="GT806" s="176"/>
      <c r="GU806" s="176"/>
      <c r="GV806" s="176"/>
      <c r="GW806" s="176"/>
    </row>
    <row r="807" spans="1:205" ht="12.75" customHeight="1" x14ac:dyDescent="0.2">
      <c r="A807" s="736"/>
      <c r="B807" s="1137"/>
      <c r="C807" s="1137"/>
      <c r="D807" s="541"/>
      <c r="E807" s="623"/>
      <c r="G807" s="295"/>
      <c r="H807" s="295"/>
      <c r="I807" s="295"/>
      <c r="J807" s="295"/>
      <c r="K807" s="295"/>
      <c r="L807" s="186"/>
      <c r="P807" s="179"/>
      <c r="Q807" s="179"/>
      <c r="R807" s="179"/>
      <c r="S807" s="179"/>
      <c r="T807" s="179"/>
      <c r="U807" s="509">
        <v>1</v>
      </c>
      <c r="V807" s="287" t="str">
        <f t="shared" si="271"/>
        <v>TOWING EQUIPMENT</v>
      </c>
      <c r="W807" s="1420">
        <f>VLOOKUP(V807,'Rig Move'!$A$4:$B$15,2,FALSE)</f>
        <v>1000</v>
      </c>
      <c r="X807" s="246">
        <f t="shared" si="273"/>
        <v>0</v>
      </c>
      <c r="Y807" s="287"/>
      <c r="Z807" s="287"/>
      <c r="AA807" s="287"/>
      <c r="AB807" s="287"/>
      <c r="AC807" s="289"/>
      <c r="AD807" s="289"/>
      <c r="AE807" s="289"/>
      <c r="AF807" s="289"/>
      <c r="AG807" s="289"/>
      <c r="AH807" s="289"/>
      <c r="AI807" s="289"/>
      <c r="AJ807" s="289"/>
      <c r="AK807" s="289"/>
      <c r="AL807" s="289"/>
      <c r="AM807" s="245">
        <f t="shared" si="272"/>
        <v>0</v>
      </c>
      <c r="AN807" s="1020"/>
      <c r="AP807" s="295"/>
      <c r="AQ807" s="295"/>
      <c r="AR807" s="295"/>
      <c r="AS807" s="295"/>
      <c r="AT807" s="295"/>
      <c r="AU807" s="186"/>
      <c r="GS807" s="176"/>
      <c r="GT807" s="176"/>
      <c r="GU807" s="176"/>
      <c r="GV807" s="176"/>
      <c r="GW807" s="176"/>
    </row>
    <row r="808" spans="1:205" ht="13.5" customHeight="1" x14ac:dyDescent="0.2">
      <c r="A808" s="736"/>
      <c r="B808" s="1137"/>
      <c r="C808" s="1137"/>
      <c r="D808" s="541"/>
      <c r="E808" s="623"/>
      <c r="G808" s="295"/>
      <c r="H808" s="295"/>
      <c r="I808" s="295"/>
      <c r="J808" s="295"/>
      <c r="K808" s="295"/>
      <c r="L808" s="186"/>
      <c r="P808" s="179"/>
      <c r="Q808" s="179"/>
      <c r="R808" s="179"/>
      <c r="S808" s="179"/>
      <c r="T808" s="179"/>
      <c r="U808" s="509">
        <v>1</v>
      </c>
      <c r="V808" s="287" t="str">
        <f t="shared" si="271"/>
        <v>BOOM TRUCK</v>
      </c>
      <c r="W808" s="1420">
        <f>VLOOKUP(V808,'Rig Move'!$A$4:$B$15,2,FALSE)</f>
        <v>700</v>
      </c>
      <c r="X808" s="246">
        <f t="shared" si="273"/>
        <v>0</v>
      </c>
      <c r="Y808" s="287"/>
      <c r="Z808" s="287"/>
      <c r="AA808" s="287"/>
      <c r="AB808" s="287"/>
      <c r="AC808" s="289"/>
      <c r="AD808" s="289"/>
      <c r="AE808" s="289"/>
      <c r="AF808" s="289"/>
      <c r="AG808" s="289"/>
      <c r="AH808" s="289"/>
      <c r="AI808" s="289"/>
      <c r="AJ808" s="289"/>
      <c r="AK808" s="289"/>
      <c r="AL808" s="289"/>
      <c r="AM808" s="245">
        <f t="shared" si="272"/>
        <v>0</v>
      </c>
      <c r="AN808" s="1020"/>
      <c r="AP808" s="295"/>
      <c r="AQ808" s="295"/>
      <c r="AR808" s="295"/>
      <c r="AS808" s="295"/>
      <c r="AT808" s="295"/>
      <c r="AU808" s="186"/>
      <c r="GS808" s="176"/>
      <c r="GT808" s="176"/>
      <c r="GU808" s="176"/>
      <c r="GV808" s="176"/>
      <c r="GW808" s="176"/>
    </row>
    <row r="809" spans="1:205" ht="13.5" customHeight="1" x14ac:dyDescent="0.2">
      <c r="A809" s="736"/>
      <c r="B809" s="1137"/>
      <c r="C809" s="1137"/>
      <c r="D809" s="541"/>
      <c r="E809" s="623"/>
      <c r="G809" s="295"/>
      <c r="H809" s="295"/>
      <c r="I809" s="295"/>
      <c r="J809" s="295"/>
      <c r="K809" s="295"/>
      <c r="L809" s="186"/>
      <c r="P809" s="179"/>
      <c r="Q809" s="179"/>
      <c r="R809" s="179"/>
      <c r="S809" s="179"/>
      <c r="T809" s="179"/>
      <c r="U809" s="509">
        <f>IF(INPUT!$H$8="BGBU",0,2)</f>
        <v>2</v>
      </c>
      <c r="V809" s="287" t="str">
        <f t="shared" si="271"/>
        <v>5TUT PUMP</v>
      </c>
      <c r="W809" s="1420">
        <f>VLOOKUP(V809,EQUIPMENT!$B$30:$C$30,2,FALSE)</f>
        <v>1800</v>
      </c>
      <c r="X809" s="246">
        <f t="shared" si="273"/>
        <v>0</v>
      </c>
      <c r="Y809" s="287"/>
      <c r="Z809" s="287"/>
      <c r="AA809" s="287"/>
      <c r="AB809" s="287"/>
      <c r="AC809" s="289"/>
      <c r="AD809" s="289"/>
      <c r="AE809" s="289"/>
      <c r="AF809" s="289"/>
      <c r="AG809" s="289"/>
      <c r="AH809" s="289"/>
      <c r="AI809" s="289"/>
      <c r="AJ809" s="289"/>
      <c r="AK809" s="289"/>
      <c r="AL809" s="289"/>
      <c r="AM809" s="245">
        <f t="shared" si="272"/>
        <v>0</v>
      </c>
      <c r="AN809" s="1020"/>
      <c r="AP809" s="295"/>
      <c r="AQ809" s="295"/>
      <c r="AR809" s="295"/>
      <c r="AS809" s="295"/>
      <c r="AT809" s="295"/>
      <c r="AU809" s="186"/>
      <c r="GS809" s="176"/>
      <c r="GT809" s="176"/>
      <c r="GU809" s="176"/>
      <c r="GV809" s="176"/>
      <c r="GW809" s="176"/>
    </row>
    <row r="810" spans="1:205" ht="13.5" customHeight="1" x14ac:dyDescent="0.2">
      <c r="A810" s="736"/>
      <c r="B810" s="1137"/>
      <c r="C810" s="1137"/>
      <c r="D810" s="541"/>
      <c r="E810" s="623"/>
      <c r="G810" s="295"/>
      <c r="H810" s="295"/>
      <c r="I810" s="295"/>
      <c r="J810" s="295"/>
      <c r="K810" s="295"/>
      <c r="L810" s="186"/>
      <c r="P810" s="179"/>
      <c r="Q810" s="179"/>
      <c r="R810" s="179"/>
      <c r="S810" s="179"/>
      <c r="T810" s="179"/>
      <c r="U810" s="255"/>
      <c r="V810" s="287" t="s">
        <v>1134</v>
      </c>
      <c r="W810" s="287"/>
      <c r="X810" s="246">
        <f>INDEX('Rig Move'!D57:D60,MATCH(INPUT!H8,'Rig Move'!A57:A60,0))*IF(X780=0,0,1)</f>
        <v>0</v>
      </c>
      <c r="Y810" s="287"/>
      <c r="Z810" s="287"/>
      <c r="AA810" s="287"/>
      <c r="AB810" s="287"/>
      <c r="AC810" s="289"/>
      <c r="AD810" s="289"/>
      <c r="AE810" s="289"/>
      <c r="AF810" s="289"/>
      <c r="AG810" s="289"/>
      <c r="AH810" s="289"/>
      <c r="AI810" s="289"/>
      <c r="AJ810" s="289"/>
      <c r="AK810" s="289"/>
      <c r="AL810" s="289"/>
      <c r="AM810" s="245">
        <f t="shared" si="272"/>
        <v>0</v>
      </c>
      <c r="AN810" s="1020"/>
      <c r="AP810" s="295"/>
      <c r="AQ810" s="295"/>
      <c r="AR810" s="295"/>
      <c r="AS810" s="295"/>
      <c r="AT810" s="295"/>
      <c r="AU810" s="186"/>
      <c r="GS810" s="176"/>
      <c r="GT810" s="176"/>
      <c r="GU810" s="176"/>
      <c r="GV810" s="176"/>
      <c r="GW810" s="176"/>
    </row>
    <row r="811" spans="1:205" ht="13.5" customHeight="1" x14ac:dyDescent="0.2">
      <c r="A811" s="736"/>
      <c r="B811" s="1137"/>
      <c r="C811" s="1137"/>
      <c r="D811" s="541"/>
      <c r="E811" s="623"/>
      <c r="G811" s="295"/>
      <c r="H811" s="295"/>
      <c r="I811" s="295"/>
      <c r="J811" s="295"/>
      <c r="K811" s="295"/>
      <c r="L811" s="186"/>
      <c r="P811" s="179"/>
      <c r="Q811" s="179"/>
      <c r="R811" s="179"/>
      <c r="S811" s="179"/>
      <c r="T811" s="179"/>
      <c r="U811" s="255"/>
      <c r="V811" s="287"/>
      <c r="W811" s="287"/>
      <c r="X811" s="246">
        <f>((X795*W795)*W811)*U811</f>
        <v>0</v>
      </c>
      <c r="Y811" s="287"/>
      <c r="Z811" s="287"/>
      <c r="AA811" s="287"/>
      <c r="AB811" s="287"/>
      <c r="AC811" s="289"/>
      <c r="AD811" s="289"/>
      <c r="AE811" s="289"/>
      <c r="AF811" s="289"/>
      <c r="AG811" s="289"/>
      <c r="AH811" s="289"/>
      <c r="AI811" s="289"/>
      <c r="AJ811" s="289"/>
      <c r="AK811" s="289"/>
      <c r="AL811" s="289"/>
      <c r="AM811" s="245">
        <f t="shared" si="272"/>
        <v>0</v>
      </c>
      <c r="AN811" s="1020"/>
      <c r="AP811" s="295"/>
      <c r="AQ811" s="295"/>
      <c r="AR811" s="295"/>
      <c r="AS811" s="295"/>
      <c r="AT811" s="295"/>
      <c r="AU811" s="186"/>
      <c r="GS811" s="176"/>
      <c r="GT811" s="176"/>
      <c r="GU811" s="176"/>
      <c r="GV811" s="176"/>
      <c r="GW811" s="176"/>
    </row>
    <row r="812" spans="1:205" ht="13.5" customHeight="1" x14ac:dyDescent="0.2">
      <c r="A812" s="735"/>
      <c r="B812" s="1136"/>
      <c r="C812" s="1136"/>
      <c r="D812" s="543"/>
      <c r="E812" s="623"/>
      <c r="G812" s="295"/>
      <c r="H812" s="295"/>
      <c r="I812" s="295"/>
      <c r="J812" s="295"/>
      <c r="K812" s="295"/>
      <c r="L812" s="186"/>
      <c r="P812" s="179"/>
      <c r="Q812" s="179"/>
      <c r="R812" s="179"/>
      <c r="S812" s="179"/>
      <c r="T812" s="179"/>
      <c r="U812" s="673"/>
      <c r="V812" s="254"/>
      <c r="W812" s="254"/>
      <c r="X812" s="284">
        <f ca="1">IF(AND(INPUT!$D$5="RIG 1",INPUT!$H$4="NO"),0,IF(AND(INPUT!$D$5="RIG 2",INPUT!$H$4="NO"),0,IF(INPUT!$D$5="RIG 14",'Rig Move'!$G$44,IF(INPUT!$H$4="NO",SUM(X799:X811),VLOOKUP(INPUT!H4,'Rig Move'!C39:G43,5,FALSE)))))+SUM(X707:X708,X711,X715)*IF(RIGMOVE=0,0,1)</f>
        <v>38668144.628755443</v>
      </c>
      <c r="Y812" s="284">
        <f>SUM(Y799:Y811)</f>
        <v>0</v>
      </c>
      <c r="Z812" s="284"/>
      <c r="AA812" s="284">
        <f>SUM(AA799:AA811)</f>
        <v>0</v>
      </c>
      <c r="AB812" s="284"/>
      <c r="AC812" s="284">
        <f>SUM(AC799:AC811)</f>
        <v>0</v>
      </c>
      <c r="AD812" s="284"/>
      <c r="AE812" s="284">
        <f>SUM(AE799:AE811)</f>
        <v>0</v>
      </c>
      <c r="AF812" s="284"/>
      <c r="AG812" s="284">
        <f>SUM(AG799:AG811)</f>
        <v>0</v>
      </c>
      <c r="AH812" s="284"/>
      <c r="AI812" s="284">
        <f>SUM(AI799:AI811)</f>
        <v>0</v>
      </c>
      <c r="AJ812" s="284"/>
      <c r="AK812" s="284"/>
      <c r="AL812" s="284">
        <f>SUM(AL799:AL811)</f>
        <v>0</v>
      </c>
      <c r="AM812" s="1489">
        <f>IF(OR(INPUT!D5="RIG 1",INPUT!D5="RIG 2"),AM810,SUM(AM799:AM811))</f>
        <v>0</v>
      </c>
      <c r="AN812" s="1020"/>
      <c r="AP812" s="295"/>
      <c r="AQ812" s="295"/>
      <c r="AR812" s="295"/>
      <c r="AS812" s="295"/>
      <c r="AT812" s="295"/>
      <c r="AU812" s="186"/>
      <c r="GS812" s="176"/>
      <c r="GT812" s="176"/>
      <c r="GU812" s="176"/>
      <c r="GV812" s="176"/>
      <c r="GW812" s="176"/>
    </row>
    <row r="813" spans="1:205" ht="12.75" customHeight="1" x14ac:dyDescent="0.2">
      <c r="A813" s="740"/>
      <c r="B813" s="1142"/>
      <c r="C813" s="1142"/>
      <c r="D813" s="546"/>
      <c r="E813" s="622"/>
      <c r="G813" s="295"/>
      <c r="H813" s="295"/>
      <c r="I813" s="295"/>
      <c r="J813" s="295"/>
      <c r="K813" s="295"/>
      <c r="L813" s="186"/>
      <c r="P813" s="179"/>
      <c r="Q813" s="179"/>
      <c r="R813" s="179"/>
      <c r="S813" s="179"/>
      <c r="T813" s="179"/>
      <c r="U813" s="1390"/>
      <c r="V813" s="1391"/>
      <c r="W813" s="1391"/>
      <c r="X813" s="1423"/>
      <c r="Y813" s="1423"/>
      <c r="Z813" s="1423"/>
      <c r="AA813" s="1423"/>
      <c r="AB813" s="1423"/>
      <c r="AC813" s="1423"/>
      <c r="AD813" s="1423"/>
      <c r="AE813" s="1423"/>
      <c r="AF813" s="1423"/>
      <c r="AG813" s="1423"/>
      <c r="AH813" s="1423"/>
      <c r="AI813" s="1423"/>
      <c r="AJ813" s="1423"/>
      <c r="AK813" s="1423"/>
      <c r="AL813" s="1423"/>
      <c r="AM813" s="546"/>
      <c r="AN813" s="1020"/>
      <c r="AP813" s="295"/>
      <c r="AQ813" s="295"/>
      <c r="AR813" s="295"/>
      <c r="AS813" s="295"/>
      <c r="AT813" s="295"/>
      <c r="AU813" s="186"/>
      <c r="GS813" s="176"/>
      <c r="GT813" s="176"/>
      <c r="GU813" s="176"/>
      <c r="GV813" s="176"/>
      <c r="GW813" s="176"/>
    </row>
    <row r="814" spans="1:205" ht="12.75" customHeight="1" x14ac:dyDescent="0.2">
      <c r="A814" s="741"/>
      <c r="B814" s="1143"/>
      <c r="C814" s="1143"/>
      <c r="D814" s="264"/>
      <c r="E814" s="625"/>
      <c r="F814" s="264"/>
      <c r="G814" s="299"/>
      <c r="H814" s="299"/>
      <c r="I814" s="300"/>
      <c r="J814" s="249"/>
      <c r="K814" s="249"/>
      <c r="L814" s="186"/>
      <c r="M814" s="186"/>
      <c r="N814" s="186"/>
      <c r="O814" s="186"/>
      <c r="P814" s="186"/>
      <c r="Q814" s="186"/>
      <c r="U814" s="181"/>
      <c r="V814" s="1304"/>
      <c r="W814" s="1305"/>
      <c r="X814" s="1306" t="s">
        <v>1010</v>
      </c>
      <c r="Y814" s="1392"/>
      <c r="Z814" s="1392"/>
      <c r="AA814" s="1392"/>
      <c r="AB814" s="1392"/>
      <c r="AC814" s="264"/>
      <c r="AD814" s="264"/>
      <c r="AE814" s="264"/>
      <c r="AF814" s="264"/>
      <c r="AG814" s="264"/>
      <c r="AH814" s="299"/>
      <c r="AI814" s="264"/>
      <c r="AJ814" s="299"/>
      <c r="AK814" s="299"/>
      <c r="AL814" s="299"/>
      <c r="AM814" s="300"/>
      <c r="AN814" s="1020"/>
      <c r="AP814" s="295"/>
      <c r="AQ814" s="295"/>
      <c r="AR814" s="295"/>
      <c r="AS814" s="295"/>
      <c r="AT814" s="295"/>
      <c r="AU814" s="186"/>
    </row>
    <row r="815" spans="1:205" ht="12.75" customHeight="1" x14ac:dyDescent="0.2">
      <c r="I815" s="265"/>
      <c r="J815" s="220"/>
      <c r="K815" s="249"/>
      <c r="L815" s="186"/>
      <c r="M815" s="186"/>
      <c r="N815" s="186"/>
      <c r="O815" s="186"/>
      <c r="P815" s="186"/>
      <c r="Q815" s="186"/>
      <c r="U815" s="173" t="s">
        <v>222</v>
      </c>
      <c r="Z815" s="643"/>
      <c r="AA815" s="643"/>
      <c r="AB815" s="228"/>
      <c r="AM815" s="265"/>
      <c r="AN815" s="1183"/>
      <c r="AO815" s="249"/>
      <c r="AP815" s="186"/>
      <c r="AQ815" s="186"/>
      <c r="AR815" s="186"/>
      <c r="AS815" s="186"/>
      <c r="AT815" s="186"/>
      <c r="AU815" s="186"/>
    </row>
    <row r="816" spans="1:205" ht="12.75" customHeight="1" x14ac:dyDescent="0.2">
      <c r="I816" s="265"/>
      <c r="J816" s="172"/>
      <c r="K816" s="249"/>
      <c r="L816" s="186"/>
      <c r="M816" s="186"/>
      <c r="N816" s="186"/>
      <c r="O816" s="186"/>
      <c r="P816" s="186"/>
      <c r="Q816" s="186"/>
      <c r="V816" s="226" t="s">
        <v>950</v>
      </c>
      <c r="AA816" s="228"/>
      <c r="AB816" s="228"/>
      <c r="AM816" s="265"/>
      <c r="AN816" s="249"/>
      <c r="AO816" s="249"/>
      <c r="AP816" s="186"/>
      <c r="AQ816" s="186"/>
      <c r="AR816" s="186"/>
      <c r="AS816" s="186"/>
      <c r="AT816" s="186"/>
      <c r="AU816" s="186"/>
    </row>
    <row r="817" spans="1:205" ht="13.5" customHeight="1" x14ac:dyDescent="0.2">
      <c r="A817" s="742"/>
      <c r="B817" s="1144"/>
      <c r="C817" s="1144"/>
      <c r="D817" s="547"/>
      <c r="G817" s="186"/>
      <c r="H817" s="186"/>
      <c r="I817" s="186"/>
      <c r="J817" s="186"/>
      <c r="K817" s="186"/>
      <c r="L817" s="186"/>
      <c r="P817" s="179"/>
      <c r="Q817" s="179"/>
      <c r="R817" s="179"/>
      <c r="S817" s="179"/>
      <c r="T817" s="179"/>
      <c r="U817" s="1517"/>
      <c r="V817" s="1423" t="s">
        <v>130</v>
      </c>
      <c r="W817" s="254"/>
      <c r="X817" s="665"/>
      <c r="Y817" s="254"/>
      <c r="Z817" s="254"/>
      <c r="AA817" s="528"/>
      <c r="AB817" s="528"/>
      <c r="AC817" s="254"/>
      <c r="AD817" s="254"/>
      <c r="AE817" s="254"/>
      <c r="AF817" s="254"/>
      <c r="AG817" s="254"/>
      <c r="AH817" s="254"/>
      <c r="AI817" s="254"/>
      <c r="AJ817" s="254"/>
      <c r="AK817" s="254"/>
      <c r="AL817" s="254"/>
      <c r="AM817" s="547"/>
      <c r="AN817" s="220"/>
      <c r="AO817" s="249"/>
      <c r="AP817" s="186"/>
      <c r="AQ817" s="186"/>
      <c r="AR817" s="186"/>
      <c r="AS817" s="186"/>
      <c r="AT817" s="186"/>
      <c r="AU817" s="186"/>
      <c r="GS817" s="176"/>
      <c r="GT817" s="176"/>
      <c r="GU817" s="176"/>
      <c r="GV817" s="176"/>
      <c r="GW817" s="176"/>
    </row>
    <row r="818" spans="1:205" ht="15.75" customHeight="1" x14ac:dyDescent="0.2">
      <c r="A818" s="728"/>
      <c r="B818" s="1129"/>
      <c r="C818" s="1129"/>
      <c r="D818" s="531"/>
      <c r="E818" s="613"/>
      <c r="G818" s="186"/>
      <c r="H818" s="186"/>
      <c r="I818" s="186"/>
      <c r="J818" s="186"/>
      <c r="K818" s="186"/>
      <c r="L818" s="186"/>
      <c r="P818" s="179"/>
      <c r="Q818" s="179"/>
      <c r="R818" s="179"/>
      <c r="S818" s="179"/>
      <c r="T818" s="179"/>
      <c r="U818" s="1525" t="s">
        <v>138</v>
      </c>
      <c r="V818" s="1526" t="s">
        <v>153</v>
      </c>
      <c r="W818" s="1440" t="s">
        <v>952</v>
      </c>
      <c r="X818" s="1426" t="str">
        <f t="shared" ref="X818:AK818" si="274">X$14</f>
        <v>RIGMOVE</v>
      </c>
      <c r="Y818" s="1426" t="str">
        <f t="shared" si="274"/>
        <v>DSURFACE</v>
      </c>
      <c r="Z818" s="1426" t="str">
        <f t="shared" si="274"/>
        <v>FSURFACE</v>
      </c>
      <c r="AA818" s="1426" t="str">
        <f t="shared" si="274"/>
        <v>DINTERMEDIATE</v>
      </c>
      <c r="AB818" s="1426" t="str">
        <f t="shared" si="274"/>
        <v>FINTERMEDIATE</v>
      </c>
      <c r="AC818" s="1426" t="str">
        <f t="shared" si="274"/>
        <v>DPRODUCTION</v>
      </c>
      <c r="AD818" s="1426" t="str">
        <f t="shared" si="274"/>
        <v>FPRODUCTION</v>
      </c>
      <c r="AE818" s="1426" t="str">
        <f t="shared" si="274"/>
        <v>DLINER1</v>
      </c>
      <c r="AF818" s="1426" t="str">
        <f t="shared" si="274"/>
        <v>FLINER1</v>
      </c>
      <c r="AG818" s="1426" t="str">
        <f t="shared" si="274"/>
        <v>DLINER2</v>
      </c>
      <c r="AH818" s="1426" t="str">
        <f t="shared" si="274"/>
        <v>FLINER2</v>
      </c>
      <c r="AI818" s="1426" t="str">
        <f t="shared" si="274"/>
        <v/>
      </c>
      <c r="AJ818" s="1426" t="str">
        <f t="shared" si="274"/>
        <v/>
      </c>
      <c r="AK818" s="1426" t="str">
        <f t="shared" si="274"/>
        <v/>
      </c>
      <c r="AL818" s="1426"/>
      <c r="AM818" s="1437" t="s">
        <v>101</v>
      </c>
      <c r="AN818" s="172"/>
      <c r="AP818" s="186"/>
      <c r="AQ818" s="186"/>
      <c r="AR818" s="186"/>
      <c r="AS818" s="186"/>
      <c r="AT818" s="186"/>
      <c r="AU818" s="186"/>
      <c r="GS818" s="176"/>
      <c r="GT818" s="176"/>
      <c r="GU818" s="176"/>
      <c r="GV818" s="176"/>
      <c r="GW818" s="176"/>
    </row>
    <row r="819" spans="1:205" ht="12.75" customHeight="1" x14ac:dyDescent="0.2">
      <c r="A819" s="735"/>
      <c r="B819" s="1136"/>
      <c r="C819" s="1136"/>
      <c r="D819" s="539"/>
      <c r="E819" s="613"/>
      <c r="G819" s="186"/>
      <c r="H819" s="186"/>
      <c r="I819" s="186"/>
      <c r="J819" s="186"/>
      <c r="K819" s="186"/>
      <c r="L819" s="186"/>
      <c r="P819" s="179"/>
      <c r="Q819" s="179"/>
      <c r="R819" s="179"/>
      <c r="S819" s="179"/>
      <c r="T819" s="179"/>
      <c r="U819" s="287">
        <f>HLOOKUP(INPUT!$H$8,EQUIPMENT!$B$25:$G$32,MATCH('Cost Details'!V819,EQUIPMENT!$B$25:$B$32,0),FALSE)</f>
        <v>1</v>
      </c>
      <c r="V819" s="1518" t="s">
        <v>223</v>
      </c>
      <c r="W819" s="509">
        <f>VLOOKUP(V819,EQUIPMENT!$B$26:$K$31,MATCH(INPUT!$H$8,EQUIPMENT!$H$25:$K$25,0)+6,FALSE)*(IF(OR(INPUT!$D$5="Rig 1",INPUT!$D$5="Rig 2"),0,1))</f>
        <v>0</v>
      </c>
      <c r="X819" s="243">
        <f t="shared" ref="X819:X825" si="275">RIGMOVE</f>
        <v>13</v>
      </c>
      <c r="Y819" s="243">
        <f>DSURFACE*IF(INPUT!$D$18="No",0,1)</f>
        <v>2</v>
      </c>
      <c r="Z819" s="243">
        <f>FSURFACE*IF(INPUT!$D$18="No",0,1)</f>
        <v>4</v>
      </c>
      <c r="AA819" s="243">
        <f t="shared" ref="AA819:AA825" si="276">DINTERMEDIATE</f>
        <v>5</v>
      </c>
      <c r="AB819" s="243">
        <f t="shared" ref="AB819:AB825" si="277">FINTERMEDIATE</f>
        <v>4</v>
      </c>
      <c r="AC819" s="243">
        <f t="shared" ref="AC819:AC825" si="278">DPRODUCTION</f>
        <v>10</v>
      </c>
      <c r="AD819" s="243">
        <f t="shared" ref="AD819:AD825" si="279">FPRODUCTION</f>
        <v>3</v>
      </c>
      <c r="AE819" s="243">
        <f t="shared" ref="AE819:AE825" si="280">DLINER1</f>
        <v>6</v>
      </c>
      <c r="AF819" s="243">
        <f t="shared" ref="AF819:AF825" si="281">FLINER1</f>
        <v>2</v>
      </c>
      <c r="AG819" s="243">
        <f>IF((INPUT!$D$8="NO"),0,(DLINER2))</f>
        <v>5</v>
      </c>
      <c r="AH819" s="243">
        <f>IF((INPUT!$D$8="NO"),0,(FLINER2))</f>
        <v>7</v>
      </c>
      <c r="AI819" s="243">
        <f>IF((INPUT!$D$19="NO"),0,(DLINER2))</f>
        <v>0</v>
      </c>
      <c r="AJ819" s="243">
        <f>IF((INPUT!$D$19="NO"),0,(FLINER2))</f>
        <v>0</v>
      </c>
      <c r="AK819" s="243">
        <f>IF((INPUT!$H$19="NO"),0,(FLINER2))</f>
        <v>0</v>
      </c>
      <c r="AL819" s="243"/>
      <c r="AM819" s="284">
        <f t="shared" ref="AM819:AM825" si="282">SUM(X819:AL819)*W819</f>
        <v>0</v>
      </c>
      <c r="AN819" s="172"/>
      <c r="AP819" s="186"/>
      <c r="AQ819" s="186"/>
      <c r="AR819" s="186"/>
      <c r="AS819" s="186"/>
      <c r="AT819" s="186"/>
      <c r="AU819" s="186"/>
      <c r="GS819" s="176"/>
      <c r="GT819" s="176"/>
      <c r="GU819" s="176"/>
      <c r="GV819" s="176"/>
      <c r="GW819" s="176"/>
    </row>
    <row r="820" spans="1:205" ht="12.75" customHeight="1" x14ac:dyDescent="0.2">
      <c r="A820" s="735"/>
      <c r="B820" s="1136"/>
      <c r="C820" s="1136"/>
      <c r="D820" s="539"/>
      <c r="E820" s="613"/>
      <c r="G820" s="186"/>
      <c r="H820" s="186"/>
      <c r="I820" s="186"/>
      <c r="J820" s="186"/>
      <c r="K820" s="186"/>
      <c r="L820" s="186"/>
      <c r="P820" s="179"/>
      <c r="Q820" s="179"/>
      <c r="R820" s="179"/>
      <c r="S820" s="179"/>
      <c r="T820" s="179"/>
      <c r="U820" s="287">
        <f>HLOOKUP(INPUT!$H$8,EQUIPMENT!$B$25:$G$32,MATCH('Cost Details'!V820,EQUIPMENT!$B$25:$B$32,0),FALSE)</f>
        <v>1</v>
      </c>
      <c r="V820" s="1518" t="s">
        <v>224</v>
      </c>
      <c r="W820" s="509">
        <f>VLOOKUP(V820,EQUIPMENT!$B$26:$K$31,MATCH(INPUT!$H$8,EQUIPMENT!$H$25:$K$25,0)+6,FALSE)*(IF(OR(INPUT!$D$5="Rig 1",INPUT!$D$5="Rig 2"),0,1))</f>
        <v>0</v>
      </c>
      <c r="X820" s="243">
        <f t="shared" si="275"/>
        <v>13</v>
      </c>
      <c r="Y820" s="243">
        <f>DSURFACE*IF(INPUT!$D$18="No",0,1)</f>
        <v>2</v>
      </c>
      <c r="Z820" s="243">
        <f>FSURFACE*IF(INPUT!$D$18="No",0,1)</f>
        <v>4</v>
      </c>
      <c r="AA820" s="243">
        <f t="shared" si="276"/>
        <v>5</v>
      </c>
      <c r="AB820" s="243">
        <f t="shared" si="277"/>
        <v>4</v>
      </c>
      <c r="AC820" s="243">
        <f t="shared" si="278"/>
        <v>10</v>
      </c>
      <c r="AD820" s="243">
        <f t="shared" si="279"/>
        <v>3</v>
      </c>
      <c r="AE820" s="243">
        <f t="shared" si="280"/>
        <v>6</v>
      </c>
      <c r="AF820" s="243">
        <f t="shared" si="281"/>
        <v>2</v>
      </c>
      <c r="AG820" s="243">
        <f>IF((INPUT!$D$8="NO"),0,(DLINER2))</f>
        <v>5</v>
      </c>
      <c r="AH820" s="243">
        <f>IF((INPUT!$D$8="NO"),0,(FLINER2))</f>
        <v>7</v>
      </c>
      <c r="AI820" s="243">
        <f>IF((INPUT!$D$19="NO"),0,(DLINER2))</f>
        <v>0</v>
      </c>
      <c r="AJ820" s="243">
        <f>IF((INPUT!$D$19="NO"),0,(FLINER2))</f>
        <v>0</v>
      </c>
      <c r="AK820" s="243">
        <f>IF((INPUT!$H$19="NO"),0,(FLINER2))</f>
        <v>0</v>
      </c>
      <c r="AL820" s="243"/>
      <c r="AM820" s="284">
        <f t="shared" si="282"/>
        <v>0</v>
      </c>
      <c r="AN820" s="254"/>
      <c r="AP820" s="186"/>
      <c r="AQ820" s="186"/>
      <c r="AR820" s="186"/>
      <c r="AS820" s="186"/>
      <c r="AT820" s="186"/>
      <c r="AU820" s="186"/>
      <c r="GS820" s="176"/>
      <c r="GT820" s="176"/>
      <c r="GU820" s="176"/>
      <c r="GV820" s="176"/>
      <c r="GW820" s="176"/>
    </row>
    <row r="821" spans="1:205" ht="12.75" customHeight="1" x14ac:dyDescent="0.2">
      <c r="A821" s="735"/>
      <c r="B821" s="1136"/>
      <c r="C821" s="1136"/>
      <c r="D821" s="539"/>
      <c r="E821" s="614"/>
      <c r="G821" s="186"/>
      <c r="H821" s="186"/>
      <c r="I821" s="186"/>
      <c r="J821" s="186"/>
      <c r="K821" s="186"/>
      <c r="L821" s="186"/>
      <c r="P821" s="179"/>
      <c r="Q821" s="179"/>
      <c r="R821" s="179"/>
      <c r="S821" s="179"/>
      <c r="T821" s="179"/>
      <c r="U821" s="287">
        <f>HLOOKUP(INPUT!$H$8,EQUIPMENT!$B$25:$G$32,MATCH('Cost Details'!V821,EQUIPMENT!$B$25:$B$32,0),FALSE)</f>
        <v>0</v>
      </c>
      <c r="V821" s="1518" t="s">
        <v>778</v>
      </c>
      <c r="W821" s="509">
        <f>VLOOKUP(V821,EQUIPMENT!$B$26:$K$31,MATCH(INPUT!$H$8,EQUIPMENT!$H$25:$K$25,0)+6,FALSE)*(IF(OR(INPUT!$D$5="Rig 1",INPUT!$D$5="Rig 2"),0,1))</f>
        <v>0</v>
      </c>
      <c r="X821" s="243">
        <f t="shared" si="275"/>
        <v>13</v>
      </c>
      <c r="Y821" s="243">
        <f>DSURFACE*IF(INPUT!$D$18="No",0,1)</f>
        <v>2</v>
      </c>
      <c r="Z821" s="243">
        <f>FSURFACE*IF(INPUT!$D$18="No",0,1)</f>
        <v>4</v>
      </c>
      <c r="AA821" s="243">
        <f t="shared" si="276"/>
        <v>5</v>
      </c>
      <c r="AB821" s="243">
        <f t="shared" si="277"/>
        <v>4</v>
      </c>
      <c r="AC821" s="243">
        <f t="shared" si="278"/>
        <v>10</v>
      </c>
      <c r="AD821" s="243">
        <f t="shared" si="279"/>
        <v>3</v>
      </c>
      <c r="AE821" s="243">
        <f t="shared" si="280"/>
        <v>6</v>
      </c>
      <c r="AF821" s="243">
        <f t="shared" si="281"/>
        <v>2</v>
      </c>
      <c r="AG821" s="243">
        <f>IF((INPUT!$D$8="NO"),0,(DLINER2))</f>
        <v>5</v>
      </c>
      <c r="AH821" s="243">
        <f>IF((INPUT!$D$8="NO"),0,(FLINER2))</f>
        <v>7</v>
      </c>
      <c r="AI821" s="243">
        <f>IF((INPUT!$D$19="NO"),0,(DLINER2))</f>
        <v>0</v>
      </c>
      <c r="AJ821" s="243">
        <f>IF((INPUT!$D$19="NO"),0,(FLINER2))</f>
        <v>0</v>
      </c>
      <c r="AK821" s="243">
        <f>IF((INPUT!$H$19="NO"),0,(FLINER2))</f>
        <v>0</v>
      </c>
      <c r="AL821" s="243"/>
      <c r="AM821" s="284">
        <f t="shared" si="282"/>
        <v>0</v>
      </c>
      <c r="AN821" s="254"/>
      <c r="AP821" s="186"/>
      <c r="AQ821" s="186"/>
      <c r="AR821" s="186"/>
      <c r="AS821" s="186"/>
      <c r="AT821" s="186"/>
      <c r="AU821" s="186"/>
      <c r="GS821" s="176"/>
      <c r="GT821" s="176"/>
      <c r="GU821" s="176"/>
      <c r="GV821" s="176"/>
      <c r="GW821" s="176"/>
    </row>
    <row r="822" spans="1:205" s="226" customFormat="1" ht="12.75" customHeight="1" x14ac:dyDescent="0.15">
      <c r="A822" s="735"/>
      <c r="B822" s="1136"/>
      <c r="C822" s="1136"/>
      <c r="D822" s="747" t="s">
        <v>753</v>
      </c>
      <c r="E822" s="613"/>
      <c r="F822" s="262"/>
      <c r="G822" s="174"/>
      <c r="H822" s="174"/>
      <c r="I822" s="174"/>
      <c r="J822" s="174"/>
      <c r="K822" s="174"/>
      <c r="L822" s="174"/>
      <c r="M822" s="174"/>
      <c r="N822" s="174"/>
      <c r="O822" s="174"/>
      <c r="P822" s="179"/>
      <c r="Q822" s="179"/>
      <c r="R822" s="179"/>
      <c r="S822" s="179"/>
      <c r="T822" s="179"/>
      <c r="U822" s="287">
        <f>HLOOKUP(INPUT!$H$8,EQUIPMENT!$B$25:$G$32,MATCH('Cost Details'!V822,EQUIPMENT!$B$25:$B$32,0),FALSE)</f>
        <v>0</v>
      </c>
      <c r="V822" s="1500" t="s">
        <v>750</v>
      </c>
      <c r="W822" s="509">
        <f>VLOOKUP(V822,EQUIPMENT!$B$26:$K$31,MATCH(INPUT!$H$8,EQUIPMENT!$H$25:$K$25,0)+6,FALSE)*(IF(OR(INPUT!$D$5="Rig 1",INPUT!$D$5="Rig 2"),0,1))</f>
        <v>0</v>
      </c>
      <c r="X822" s="243">
        <f t="shared" si="275"/>
        <v>13</v>
      </c>
      <c r="Y822" s="243">
        <f>DSURFACE*IF(INPUT!$D$18="No",0,1)</f>
        <v>2</v>
      </c>
      <c r="Z822" s="243">
        <f>FSURFACE*IF(INPUT!$D$18="No",0,1)</f>
        <v>4</v>
      </c>
      <c r="AA822" s="243">
        <f t="shared" si="276"/>
        <v>5</v>
      </c>
      <c r="AB822" s="243">
        <f t="shared" si="277"/>
        <v>4</v>
      </c>
      <c r="AC822" s="243">
        <f t="shared" si="278"/>
        <v>10</v>
      </c>
      <c r="AD822" s="243">
        <f t="shared" si="279"/>
        <v>3</v>
      </c>
      <c r="AE822" s="243">
        <f t="shared" si="280"/>
        <v>6</v>
      </c>
      <c r="AF822" s="243">
        <f t="shared" si="281"/>
        <v>2</v>
      </c>
      <c r="AG822" s="243">
        <f>IF((INPUT!$D$8="NO"),0,(DLINER2))</f>
        <v>5</v>
      </c>
      <c r="AH822" s="243">
        <f>IF((INPUT!$D$8="NO"),0,(FLINER2))</f>
        <v>7</v>
      </c>
      <c r="AI822" s="243">
        <f>IF((INPUT!$D$19="NO"),0,(DLINER2))</f>
        <v>0</v>
      </c>
      <c r="AJ822" s="243">
        <f>IF((INPUT!$D$19="NO"),0,(FLINER2))</f>
        <v>0</v>
      </c>
      <c r="AK822" s="243">
        <f>IF((INPUT!$H$19="NO"),0,(FLINER2))</f>
        <v>0</v>
      </c>
      <c r="AL822" s="243"/>
      <c r="AM822" s="284">
        <f t="shared" si="282"/>
        <v>0</v>
      </c>
      <c r="AN822" s="254"/>
      <c r="AO822" s="172"/>
      <c r="AP822" s="186"/>
      <c r="AQ822" s="186"/>
      <c r="AR822" s="186"/>
      <c r="AS822" s="186"/>
      <c r="AT822" s="186"/>
      <c r="AU822" s="186"/>
      <c r="AV822" s="172"/>
      <c r="AW822" s="172"/>
      <c r="AX822" s="172"/>
      <c r="AY822" s="172"/>
      <c r="AZ822" s="172"/>
      <c r="BA822" s="172"/>
      <c r="BB822" s="172"/>
      <c r="BC822" s="172"/>
      <c r="BD822" s="172"/>
      <c r="BE822" s="172"/>
      <c r="BF822" s="172"/>
      <c r="BG822" s="172"/>
      <c r="BH822" s="172"/>
      <c r="BI822" s="172"/>
      <c r="BJ822" s="172"/>
      <c r="BK822" s="172"/>
      <c r="BL822" s="172"/>
      <c r="BM822" s="172"/>
      <c r="BN822" s="172"/>
      <c r="BO822" s="172"/>
      <c r="BP822" s="172"/>
      <c r="BQ822" s="172"/>
      <c r="BR822" s="172"/>
      <c r="BS822" s="172"/>
      <c r="BT822" s="172"/>
      <c r="BU822" s="172"/>
      <c r="BV822" s="172"/>
      <c r="BW822" s="172"/>
      <c r="BX822" s="172"/>
      <c r="BY822" s="172"/>
      <c r="BZ822" s="172"/>
      <c r="CA822" s="172"/>
      <c r="CB822" s="172"/>
      <c r="CC822" s="172"/>
      <c r="CD822" s="172"/>
      <c r="CE822" s="172"/>
      <c r="CF822" s="172"/>
      <c r="CG822" s="172"/>
      <c r="CH822" s="172"/>
      <c r="CI822" s="172"/>
      <c r="CJ822" s="172"/>
      <c r="CK822" s="172"/>
      <c r="CL822" s="172"/>
      <c r="CM822" s="172"/>
      <c r="CN822" s="172"/>
      <c r="CO822" s="172"/>
      <c r="CP822" s="172"/>
      <c r="CQ822" s="172"/>
      <c r="CR822" s="172"/>
      <c r="CS822" s="172"/>
      <c r="CT822" s="172"/>
      <c r="CU822" s="172"/>
      <c r="CV822" s="172"/>
      <c r="CW822" s="172"/>
      <c r="CX822" s="172"/>
      <c r="CY822" s="172"/>
      <c r="CZ822" s="172"/>
      <c r="DA822" s="172"/>
      <c r="DB822" s="172"/>
      <c r="DC822" s="172"/>
      <c r="DD822" s="172"/>
      <c r="DE822" s="172"/>
      <c r="DF822" s="172"/>
      <c r="DG822" s="172"/>
      <c r="DH822" s="172"/>
      <c r="DI822" s="172"/>
      <c r="DJ822" s="172"/>
      <c r="DK822" s="172"/>
      <c r="DL822" s="172"/>
      <c r="DM822" s="172"/>
      <c r="DN822" s="172"/>
      <c r="DO822" s="172"/>
      <c r="DP822" s="172"/>
      <c r="DQ822" s="172"/>
      <c r="DR822" s="172"/>
      <c r="DS822" s="172"/>
      <c r="DT822" s="172"/>
      <c r="DU822" s="172"/>
      <c r="DV822" s="172"/>
      <c r="DW822" s="172"/>
      <c r="DX822" s="172"/>
      <c r="DY822" s="172"/>
      <c r="DZ822" s="172"/>
      <c r="EA822" s="172"/>
      <c r="EB822" s="172"/>
      <c r="EC822" s="172"/>
      <c r="ED822" s="172"/>
      <c r="EE822" s="172"/>
      <c r="EF822" s="172"/>
      <c r="EG822" s="172"/>
      <c r="EH822" s="172"/>
      <c r="EI822" s="172"/>
      <c r="EJ822" s="172"/>
      <c r="EK822" s="172"/>
      <c r="EL822" s="172"/>
      <c r="EM822" s="172"/>
      <c r="EN822" s="172"/>
      <c r="EO822" s="172"/>
      <c r="EP822" s="172"/>
      <c r="EQ822" s="172"/>
      <c r="ER822" s="172"/>
      <c r="ES822" s="172"/>
      <c r="ET822" s="172"/>
      <c r="EU822" s="172"/>
      <c r="EV822" s="172"/>
      <c r="EW822" s="172"/>
      <c r="EX822" s="172"/>
      <c r="EY822" s="172"/>
      <c r="EZ822" s="172"/>
      <c r="FA822" s="172"/>
      <c r="FB822" s="172"/>
      <c r="FC822" s="172"/>
      <c r="FD822" s="172"/>
      <c r="FE822" s="172"/>
      <c r="FF822" s="172"/>
      <c r="FG822" s="172"/>
      <c r="FH822" s="172"/>
      <c r="FI822" s="172"/>
      <c r="FJ822" s="172"/>
      <c r="FK822" s="172"/>
      <c r="FL822" s="172"/>
      <c r="FM822" s="172"/>
      <c r="FN822" s="172"/>
      <c r="FO822" s="172"/>
      <c r="FP822" s="172"/>
      <c r="FQ822" s="172"/>
      <c r="FR822" s="172"/>
      <c r="FS822" s="172"/>
      <c r="FT822" s="172"/>
      <c r="FU822" s="172"/>
      <c r="FV822" s="172"/>
      <c r="FW822" s="172"/>
      <c r="FX822" s="172"/>
      <c r="FY822" s="172"/>
      <c r="FZ822" s="172"/>
      <c r="GA822" s="172"/>
      <c r="GB822" s="172"/>
      <c r="GC822" s="172"/>
      <c r="GD822" s="172"/>
      <c r="GE822" s="172"/>
      <c r="GF822" s="172"/>
      <c r="GG822" s="172"/>
      <c r="GH822" s="172"/>
      <c r="GI822" s="172"/>
      <c r="GJ822" s="172"/>
      <c r="GK822" s="172"/>
      <c r="GL822" s="172"/>
      <c r="GM822" s="172"/>
      <c r="GN822" s="172"/>
      <c r="GO822" s="172"/>
      <c r="GP822" s="172"/>
      <c r="GQ822" s="172"/>
      <c r="GR822" s="172"/>
    </row>
    <row r="823" spans="1:205" s="226" customFormat="1" ht="12.75" customHeight="1" x14ac:dyDescent="0.15">
      <c r="A823" s="735"/>
      <c r="B823" s="1136"/>
      <c r="C823" s="1136"/>
      <c r="D823" s="539"/>
      <c r="E823" s="613"/>
      <c r="F823" s="262"/>
      <c r="G823" s="174"/>
      <c r="H823" s="174"/>
      <c r="I823" s="174"/>
      <c r="J823" s="174"/>
      <c r="K823" s="174"/>
      <c r="L823" s="174"/>
      <c r="M823" s="174"/>
      <c r="N823" s="174"/>
      <c r="O823" s="174"/>
      <c r="P823" s="179"/>
      <c r="Q823" s="179"/>
      <c r="R823" s="179"/>
      <c r="S823" s="179"/>
      <c r="T823" s="179"/>
      <c r="U823" s="287">
        <f>HLOOKUP(INPUT!$H$8,EQUIPMENT!$B$25:$G$32,MATCH('Cost Details'!V823,EQUIPMENT!$B$25:$B$32,0),FALSE)</f>
        <v>2</v>
      </c>
      <c r="V823" s="1359" t="s">
        <v>225</v>
      </c>
      <c r="W823" s="509">
        <f>VLOOKUP(V823,EQUIPMENT!$B$26:$K$31,MATCH(INPUT!$H$8,EQUIPMENT!$H$25:$K$25,0)+6,FALSE)*(IF(OR(INPUT!$D$5="Rig 1",INPUT!$D$5="Rig 2"),0,1))</f>
        <v>0</v>
      </c>
      <c r="X823" s="243">
        <f t="shared" si="275"/>
        <v>13</v>
      </c>
      <c r="Y823" s="243">
        <f>DSURFACE*IF(INPUT!$D$18="No",0,1)</f>
        <v>2</v>
      </c>
      <c r="Z823" s="243">
        <f>FSURFACE*IF(INPUT!$D$18="No",0,1)</f>
        <v>4</v>
      </c>
      <c r="AA823" s="243">
        <f t="shared" si="276"/>
        <v>5</v>
      </c>
      <c r="AB823" s="243">
        <f t="shared" si="277"/>
        <v>4</v>
      </c>
      <c r="AC823" s="243">
        <f t="shared" si="278"/>
        <v>10</v>
      </c>
      <c r="AD823" s="243">
        <f t="shared" si="279"/>
        <v>3</v>
      </c>
      <c r="AE823" s="243">
        <f t="shared" si="280"/>
        <v>6</v>
      </c>
      <c r="AF823" s="243">
        <f t="shared" si="281"/>
        <v>2</v>
      </c>
      <c r="AG823" s="243">
        <f>IF((INPUT!$D$8="NO"),0,(DLINER2))</f>
        <v>5</v>
      </c>
      <c r="AH823" s="243">
        <f>IF((INPUT!$D$8="NO"),0,(FLINER2))</f>
        <v>7</v>
      </c>
      <c r="AI823" s="243">
        <f>IF((INPUT!$D$19="NO"),0,(DLINER2))</f>
        <v>0</v>
      </c>
      <c r="AJ823" s="243">
        <f>IF((INPUT!$D$19="NO"),0,(FLINER2))</f>
        <v>0</v>
      </c>
      <c r="AK823" s="243">
        <f>IF((INPUT!$H$19="NO"),0,(FLINER2))</f>
        <v>0</v>
      </c>
      <c r="AL823" s="243"/>
      <c r="AM823" s="284">
        <f t="shared" si="282"/>
        <v>0</v>
      </c>
      <c r="AN823" s="254"/>
      <c r="AO823" s="262"/>
      <c r="AP823" s="174"/>
      <c r="AQ823" s="174"/>
      <c r="AR823" s="174"/>
      <c r="AS823" s="174"/>
      <c r="AT823" s="174"/>
      <c r="AU823" s="174"/>
      <c r="AV823" s="172"/>
      <c r="AW823" s="172"/>
      <c r="AX823" s="172"/>
      <c r="AY823" s="172"/>
      <c r="AZ823" s="172"/>
      <c r="BA823" s="172"/>
      <c r="BB823" s="172"/>
      <c r="BC823" s="172"/>
      <c r="BD823" s="172"/>
      <c r="BE823" s="172"/>
      <c r="BF823" s="172"/>
      <c r="BG823" s="172"/>
      <c r="BH823" s="172"/>
      <c r="BI823" s="172"/>
      <c r="BJ823" s="172"/>
      <c r="BK823" s="172"/>
      <c r="BL823" s="172"/>
      <c r="BM823" s="172"/>
      <c r="BN823" s="172"/>
      <c r="BO823" s="172"/>
      <c r="BP823" s="172"/>
      <c r="BQ823" s="172"/>
      <c r="BR823" s="172"/>
      <c r="BS823" s="172"/>
      <c r="BT823" s="172"/>
      <c r="BU823" s="172"/>
      <c r="BV823" s="172"/>
      <c r="BW823" s="172"/>
      <c r="BX823" s="172"/>
      <c r="BY823" s="172"/>
      <c r="BZ823" s="172"/>
      <c r="CA823" s="172"/>
      <c r="CB823" s="172"/>
      <c r="CC823" s="172"/>
      <c r="CD823" s="172"/>
      <c r="CE823" s="172"/>
      <c r="CF823" s="172"/>
      <c r="CG823" s="172"/>
      <c r="CH823" s="172"/>
      <c r="CI823" s="172"/>
      <c r="CJ823" s="172"/>
      <c r="CK823" s="172"/>
      <c r="CL823" s="172"/>
      <c r="CM823" s="172"/>
      <c r="CN823" s="172"/>
      <c r="CO823" s="172"/>
      <c r="CP823" s="172"/>
      <c r="CQ823" s="172"/>
      <c r="CR823" s="172"/>
      <c r="CS823" s="172"/>
      <c r="CT823" s="172"/>
      <c r="CU823" s="172"/>
      <c r="CV823" s="172"/>
      <c r="CW823" s="172"/>
      <c r="CX823" s="172"/>
      <c r="CY823" s="172"/>
      <c r="CZ823" s="172"/>
      <c r="DA823" s="172"/>
      <c r="DB823" s="172"/>
      <c r="DC823" s="172"/>
      <c r="DD823" s="172"/>
      <c r="DE823" s="172"/>
      <c r="DF823" s="172"/>
      <c r="DG823" s="172"/>
      <c r="DH823" s="172"/>
      <c r="DI823" s="172"/>
      <c r="DJ823" s="172"/>
      <c r="DK823" s="172"/>
      <c r="DL823" s="172"/>
      <c r="DM823" s="172"/>
      <c r="DN823" s="172"/>
      <c r="DO823" s="172"/>
      <c r="DP823" s="172"/>
      <c r="DQ823" s="172"/>
      <c r="DR823" s="172"/>
      <c r="DS823" s="172"/>
      <c r="DT823" s="172"/>
      <c r="DU823" s="172"/>
      <c r="DV823" s="172"/>
      <c r="DW823" s="172"/>
      <c r="DX823" s="172"/>
      <c r="DY823" s="172"/>
      <c r="DZ823" s="172"/>
      <c r="EA823" s="172"/>
      <c r="EB823" s="172"/>
      <c r="EC823" s="172"/>
      <c r="ED823" s="172"/>
      <c r="EE823" s="172"/>
      <c r="EF823" s="172"/>
      <c r="EG823" s="172"/>
      <c r="EH823" s="172"/>
      <c r="EI823" s="172"/>
      <c r="EJ823" s="172"/>
      <c r="EK823" s="172"/>
      <c r="EL823" s="172"/>
      <c r="EM823" s="172"/>
      <c r="EN823" s="172"/>
      <c r="EO823" s="172"/>
      <c r="EP823" s="172"/>
      <c r="EQ823" s="172"/>
      <c r="ER823" s="172"/>
      <c r="ES823" s="172"/>
      <c r="ET823" s="172"/>
      <c r="EU823" s="172"/>
      <c r="EV823" s="172"/>
      <c r="EW823" s="172"/>
      <c r="EX823" s="172"/>
      <c r="EY823" s="172"/>
      <c r="EZ823" s="172"/>
      <c r="FA823" s="172"/>
      <c r="FB823" s="172"/>
      <c r="FC823" s="172"/>
      <c r="FD823" s="172"/>
      <c r="FE823" s="172"/>
      <c r="FF823" s="172"/>
      <c r="FG823" s="172"/>
      <c r="FH823" s="172"/>
      <c r="FI823" s="172"/>
      <c r="FJ823" s="172"/>
      <c r="FK823" s="172"/>
      <c r="FL823" s="172"/>
      <c r="FM823" s="172"/>
      <c r="FN823" s="172"/>
      <c r="FO823" s="172"/>
      <c r="FP823" s="172"/>
      <c r="FQ823" s="172"/>
      <c r="FR823" s="172"/>
      <c r="FS823" s="172"/>
      <c r="FT823" s="172"/>
      <c r="FU823" s="172"/>
      <c r="FV823" s="172"/>
      <c r="FW823" s="172"/>
      <c r="FX823" s="172"/>
      <c r="FY823" s="172"/>
      <c r="FZ823" s="172"/>
      <c r="GA823" s="172"/>
      <c r="GB823" s="172"/>
      <c r="GC823" s="172"/>
      <c r="GD823" s="172"/>
      <c r="GE823" s="172"/>
      <c r="GF823" s="172"/>
      <c r="GG823" s="172"/>
      <c r="GH823" s="172"/>
      <c r="GI823" s="172"/>
      <c r="GJ823" s="172"/>
      <c r="GK823" s="172"/>
      <c r="GL823" s="172"/>
      <c r="GM823" s="172"/>
      <c r="GN823" s="172"/>
      <c r="GO823" s="172"/>
      <c r="GP823" s="172"/>
      <c r="GQ823" s="172"/>
      <c r="GR823" s="172"/>
    </row>
    <row r="824" spans="1:205" s="226" customFormat="1" ht="12.75" customHeight="1" x14ac:dyDescent="0.15">
      <c r="A824" s="735"/>
      <c r="B824" s="1136"/>
      <c r="C824" s="1136"/>
      <c r="D824" s="539"/>
      <c r="E824" s="613"/>
      <c r="F824" s="262"/>
      <c r="G824" s="174"/>
      <c r="H824" s="174"/>
      <c r="I824" s="174"/>
      <c r="J824" s="174"/>
      <c r="K824" s="174"/>
      <c r="L824" s="174"/>
      <c r="M824" s="174"/>
      <c r="N824" s="174"/>
      <c r="O824" s="174"/>
      <c r="P824" s="179"/>
      <c r="Q824" s="179"/>
      <c r="R824" s="179"/>
      <c r="S824" s="179"/>
      <c r="T824" s="179"/>
      <c r="U824" s="287">
        <f>HLOOKUP(INPUT!$H$8,EQUIPMENT!$B$25:$G$32,MATCH('Cost Details'!V824,EQUIPMENT!$B$25:$B$32,0),FALSE)</f>
        <v>2</v>
      </c>
      <c r="V824" s="1359" t="s">
        <v>219</v>
      </c>
      <c r="W824" s="509">
        <f>VLOOKUP(V824,EQUIPMENT!$B$26:$K$31,MATCH(INPUT!$H$8,EQUIPMENT!$H$25:$K$25,0)+6,FALSE)*(IF(OR(INPUT!$D$5="Rig 1",INPUT!$D$5="Rig 2"),0,1))</f>
        <v>0</v>
      </c>
      <c r="X824" s="243">
        <f t="shared" si="275"/>
        <v>13</v>
      </c>
      <c r="Y824" s="243">
        <f>DSURFACE*IF(INPUT!$D$18="No",0,1)</f>
        <v>2</v>
      </c>
      <c r="Z824" s="243">
        <f>FSURFACE*IF(INPUT!$D$18="No",0,1)</f>
        <v>4</v>
      </c>
      <c r="AA824" s="243">
        <f t="shared" si="276"/>
        <v>5</v>
      </c>
      <c r="AB824" s="243">
        <f t="shared" si="277"/>
        <v>4</v>
      </c>
      <c r="AC824" s="243">
        <f t="shared" si="278"/>
        <v>10</v>
      </c>
      <c r="AD824" s="243">
        <f t="shared" si="279"/>
        <v>3</v>
      </c>
      <c r="AE824" s="243">
        <f t="shared" si="280"/>
        <v>6</v>
      </c>
      <c r="AF824" s="243">
        <f t="shared" si="281"/>
        <v>2</v>
      </c>
      <c r="AG824" s="243">
        <f>IF((INPUT!$D$8="NO"),0,(DLINER2))</f>
        <v>5</v>
      </c>
      <c r="AH824" s="243">
        <f>IF((INPUT!$D$8="NO"),0,(FLINER2))</f>
        <v>7</v>
      </c>
      <c r="AI824" s="243">
        <f>IF((INPUT!$D$19="NO"),0,(DLINER2))</f>
        <v>0</v>
      </c>
      <c r="AJ824" s="243">
        <f>IF((INPUT!$D$19="NO"),0,(FLINER2))</f>
        <v>0</v>
      </c>
      <c r="AK824" s="243">
        <f>IF((INPUT!$H$19="NO"),0,(FLINER2))</f>
        <v>0</v>
      </c>
      <c r="AL824" s="243"/>
      <c r="AM824" s="284">
        <f t="shared" si="282"/>
        <v>0</v>
      </c>
      <c r="AN824" s="254"/>
      <c r="AO824" s="262"/>
      <c r="AP824" s="174"/>
      <c r="AQ824" s="174"/>
      <c r="AR824" s="174"/>
      <c r="AS824" s="174"/>
      <c r="AT824" s="174"/>
      <c r="AU824" s="174"/>
      <c r="AV824" s="172"/>
      <c r="AW824" s="172"/>
      <c r="AX824" s="172"/>
      <c r="AY824" s="172"/>
      <c r="AZ824" s="172"/>
      <c r="BA824" s="172"/>
      <c r="BB824" s="172"/>
      <c r="BC824" s="172"/>
      <c r="BD824" s="172"/>
      <c r="BE824" s="172"/>
      <c r="BF824" s="172"/>
      <c r="BG824" s="172"/>
      <c r="BH824" s="172"/>
      <c r="BI824" s="172"/>
      <c r="BJ824" s="172"/>
      <c r="BK824" s="172"/>
      <c r="BL824" s="172"/>
      <c r="BM824" s="172"/>
      <c r="BN824" s="172"/>
      <c r="BO824" s="172"/>
      <c r="BP824" s="172"/>
      <c r="BQ824" s="172"/>
      <c r="BR824" s="172"/>
      <c r="BS824" s="172"/>
      <c r="BT824" s="172"/>
      <c r="BU824" s="172"/>
      <c r="BV824" s="172"/>
      <c r="BW824" s="172"/>
      <c r="BX824" s="172"/>
      <c r="BY824" s="172"/>
      <c r="BZ824" s="172"/>
      <c r="CA824" s="172"/>
      <c r="CB824" s="172"/>
      <c r="CC824" s="172"/>
      <c r="CD824" s="172"/>
      <c r="CE824" s="172"/>
      <c r="CF824" s="172"/>
      <c r="CG824" s="172"/>
      <c r="CH824" s="172"/>
      <c r="CI824" s="172"/>
      <c r="CJ824" s="172"/>
      <c r="CK824" s="172"/>
      <c r="CL824" s="172"/>
      <c r="CM824" s="172"/>
      <c r="CN824" s="172"/>
      <c r="CO824" s="172"/>
      <c r="CP824" s="172"/>
      <c r="CQ824" s="172"/>
      <c r="CR824" s="172"/>
      <c r="CS824" s="172"/>
      <c r="CT824" s="172"/>
      <c r="CU824" s="172"/>
      <c r="CV824" s="172"/>
      <c r="CW824" s="172"/>
      <c r="CX824" s="172"/>
      <c r="CY824" s="172"/>
      <c r="CZ824" s="172"/>
      <c r="DA824" s="172"/>
      <c r="DB824" s="172"/>
      <c r="DC824" s="172"/>
      <c r="DD824" s="172"/>
      <c r="DE824" s="172"/>
      <c r="DF824" s="172"/>
      <c r="DG824" s="172"/>
      <c r="DH824" s="172"/>
      <c r="DI824" s="172"/>
      <c r="DJ824" s="172"/>
      <c r="DK824" s="172"/>
      <c r="DL824" s="172"/>
      <c r="DM824" s="172"/>
      <c r="DN824" s="172"/>
      <c r="DO824" s="172"/>
      <c r="DP824" s="172"/>
      <c r="DQ824" s="172"/>
      <c r="DR824" s="172"/>
      <c r="DS824" s="172"/>
      <c r="DT824" s="172"/>
      <c r="DU824" s="172"/>
      <c r="DV824" s="172"/>
      <c r="DW824" s="172"/>
      <c r="DX824" s="172"/>
      <c r="DY824" s="172"/>
      <c r="DZ824" s="172"/>
      <c r="EA824" s="172"/>
      <c r="EB824" s="172"/>
      <c r="EC824" s="172"/>
      <c r="ED824" s="172"/>
      <c r="EE824" s="172"/>
      <c r="EF824" s="172"/>
      <c r="EG824" s="172"/>
      <c r="EH824" s="172"/>
      <c r="EI824" s="172"/>
      <c r="EJ824" s="172"/>
      <c r="EK824" s="172"/>
      <c r="EL824" s="172"/>
      <c r="EM824" s="172"/>
      <c r="EN824" s="172"/>
      <c r="EO824" s="172"/>
      <c r="EP824" s="172"/>
      <c r="EQ824" s="172"/>
      <c r="ER824" s="172"/>
      <c r="ES824" s="172"/>
      <c r="ET824" s="172"/>
      <c r="EU824" s="172"/>
      <c r="EV824" s="172"/>
      <c r="EW824" s="172"/>
      <c r="EX824" s="172"/>
      <c r="EY824" s="172"/>
      <c r="EZ824" s="172"/>
      <c r="FA824" s="172"/>
      <c r="FB824" s="172"/>
      <c r="FC824" s="172"/>
      <c r="FD824" s="172"/>
      <c r="FE824" s="172"/>
      <c r="FF824" s="172"/>
      <c r="FG824" s="172"/>
      <c r="FH824" s="172"/>
      <c r="FI824" s="172"/>
      <c r="FJ824" s="172"/>
      <c r="FK824" s="172"/>
      <c r="FL824" s="172"/>
      <c r="FM824" s="172"/>
      <c r="FN824" s="172"/>
      <c r="FO824" s="172"/>
      <c r="FP824" s="172"/>
      <c r="FQ824" s="172"/>
      <c r="FR824" s="172"/>
      <c r="FS824" s="172"/>
      <c r="FT824" s="172"/>
      <c r="FU824" s="172"/>
      <c r="FV824" s="172"/>
      <c r="FW824" s="172"/>
      <c r="FX824" s="172"/>
      <c r="FY824" s="172"/>
      <c r="FZ824" s="172"/>
      <c r="GA824" s="172"/>
      <c r="GB824" s="172"/>
      <c r="GC824" s="172"/>
      <c r="GD824" s="172"/>
      <c r="GE824" s="172"/>
      <c r="GF824" s="172"/>
      <c r="GG824" s="172"/>
      <c r="GH824" s="172"/>
      <c r="GI824" s="172"/>
      <c r="GJ824" s="172"/>
      <c r="GK824" s="172"/>
      <c r="GL824" s="172"/>
      <c r="GM824" s="172"/>
      <c r="GN824" s="172"/>
      <c r="GO824" s="172"/>
      <c r="GP824" s="172"/>
      <c r="GQ824" s="172"/>
      <c r="GR824" s="172"/>
    </row>
    <row r="825" spans="1:205" ht="12.75" customHeight="1" x14ac:dyDescent="0.2">
      <c r="A825" s="735"/>
      <c r="B825" s="1136"/>
      <c r="C825" s="1136"/>
      <c r="D825" s="539"/>
      <c r="E825" s="613"/>
      <c r="F825" s="226"/>
      <c r="G825" s="266"/>
      <c r="H825" s="186"/>
      <c r="I825" s="321"/>
      <c r="J825" s="174"/>
      <c r="K825" s="174"/>
      <c r="P825" s="179"/>
      <c r="Q825" s="179"/>
      <c r="R825" s="179"/>
      <c r="S825" s="175"/>
      <c r="T825" s="175"/>
      <c r="U825" s="287">
        <f>HLOOKUP(INPUT!$H$8,EQUIPMENT!$B$25:$G$32,MATCH('Cost Details'!V825,EQUIPMENT!$B$25:$B$32,0),FALSE)</f>
        <v>1</v>
      </c>
      <c r="V825" s="326" t="s">
        <v>221</v>
      </c>
      <c r="W825" s="509"/>
      <c r="X825" s="243">
        <f t="shared" si="275"/>
        <v>13</v>
      </c>
      <c r="Y825" s="243">
        <f>DSURFACE*IF(INPUT!$D$18="No",0,1)</f>
        <v>2</v>
      </c>
      <c r="Z825" s="243">
        <f>FSURFACE*IF(INPUT!$D$18="No",0,1)</f>
        <v>4</v>
      </c>
      <c r="AA825" s="243">
        <f t="shared" si="276"/>
        <v>5</v>
      </c>
      <c r="AB825" s="243">
        <f t="shared" si="277"/>
        <v>4</v>
      </c>
      <c r="AC825" s="243">
        <f t="shared" si="278"/>
        <v>10</v>
      </c>
      <c r="AD825" s="243">
        <f t="shared" si="279"/>
        <v>3</v>
      </c>
      <c r="AE825" s="243">
        <f t="shared" si="280"/>
        <v>6</v>
      </c>
      <c r="AF825" s="243">
        <f t="shared" si="281"/>
        <v>2</v>
      </c>
      <c r="AG825" s="243">
        <f>IF((INPUT!$D$8="NO"),0,(DLINER2))</f>
        <v>5</v>
      </c>
      <c r="AH825" s="243">
        <f>IF((INPUT!$D$8="NO"),0,(FLINER2))</f>
        <v>7</v>
      </c>
      <c r="AI825" s="243">
        <f>IF((INPUT!$D$19="NO"),0,(DLINER2))</f>
        <v>0</v>
      </c>
      <c r="AJ825" s="243">
        <f>IF((INPUT!$D$19="NO"),0,(FLINER2))</f>
        <v>0</v>
      </c>
      <c r="AK825" s="243">
        <f>IF((INPUT!$H$19="NO"),0,(FLINER2))</f>
        <v>0</v>
      </c>
      <c r="AL825" s="243"/>
      <c r="AM825" s="284">
        <f t="shared" si="282"/>
        <v>0</v>
      </c>
      <c r="AN825" s="254"/>
      <c r="AO825" s="262"/>
      <c r="GS825" s="176"/>
      <c r="GT825" s="176"/>
      <c r="GU825" s="176"/>
      <c r="GV825" s="176"/>
      <c r="GW825" s="176"/>
    </row>
    <row r="826" spans="1:205" s="172" customFormat="1" ht="13.5" customHeight="1" x14ac:dyDescent="0.15">
      <c r="A826" s="735"/>
      <c r="B826" s="1136"/>
      <c r="C826" s="1136"/>
      <c r="D826" s="539"/>
      <c r="E826" s="613"/>
      <c r="F826" s="226"/>
      <c r="G826" s="266"/>
      <c r="H826" s="186"/>
      <c r="I826" s="321"/>
      <c r="J826" s="174"/>
      <c r="K826" s="174"/>
      <c r="L826" s="174"/>
      <c r="M826" s="174"/>
      <c r="N826" s="174"/>
      <c r="O826" s="174"/>
      <c r="P826" s="179"/>
      <c r="Q826" s="179"/>
      <c r="R826" s="179"/>
      <c r="S826" s="179"/>
      <c r="T826" s="179"/>
      <c r="U826" s="287"/>
      <c r="V826" s="1518"/>
      <c r="W826" s="255"/>
      <c r="X826" s="243"/>
      <c r="Y826" s="243"/>
      <c r="Z826" s="243"/>
      <c r="AA826" s="243"/>
      <c r="AB826" s="243"/>
      <c r="AC826" s="243"/>
      <c r="AD826" s="243"/>
      <c r="AE826" s="243"/>
      <c r="AF826" s="243"/>
      <c r="AG826" s="243"/>
      <c r="AH826" s="243"/>
      <c r="AI826" s="243"/>
      <c r="AJ826" s="243"/>
      <c r="AK826" s="243"/>
      <c r="AL826" s="243"/>
      <c r="AM826" s="284"/>
      <c r="AN826" s="254"/>
      <c r="AO826" s="226"/>
      <c r="AP826" s="266"/>
      <c r="AQ826" s="186"/>
      <c r="AR826" s="321"/>
      <c r="AS826" s="174"/>
      <c r="AT826" s="174"/>
      <c r="AU826" s="174"/>
    </row>
    <row r="827" spans="1:205" s="172" customFormat="1" ht="13.5" customHeight="1" x14ac:dyDescent="0.15">
      <c r="A827" s="712"/>
      <c r="B827" s="1113"/>
      <c r="C827" s="1113"/>
      <c r="D827" s="522"/>
      <c r="E827" s="596"/>
      <c r="F827" s="226"/>
      <c r="G827" s="266"/>
      <c r="H827" s="186"/>
      <c r="I827" s="321"/>
      <c r="J827" s="174"/>
      <c r="K827" s="174"/>
      <c r="L827" s="174"/>
      <c r="M827" s="174"/>
      <c r="N827" s="174"/>
      <c r="O827" s="174"/>
      <c r="P827" s="179"/>
      <c r="Q827" s="179"/>
      <c r="R827" s="179"/>
      <c r="S827" s="179"/>
      <c r="T827" s="179"/>
      <c r="U827" s="2517"/>
      <c r="V827" s="2517"/>
      <c r="W827" s="254"/>
      <c r="X827" s="542"/>
      <c r="Y827" s="542"/>
      <c r="Z827" s="542"/>
      <c r="AA827" s="542"/>
      <c r="AB827" s="542"/>
      <c r="AC827" s="542"/>
      <c r="AD827" s="542"/>
      <c r="AE827" s="542"/>
      <c r="AF827" s="542"/>
      <c r="AG827" s="542"/>
      <c r="AH827" s="542"/>
      <c r="AI827" s="542"/>
      <c r="AJ827" s="542"/>
      <c r="AK827" s="542"/>
      <c r="AL827" s="542"/>
      <c r="AM827" s="522"/>
      <c r="AN827" s="254"/>
      <c r="AO827" s="226"/>
      <c r="AP827" s="266"/>
      <c r="AQ827" s="186"/>
      <c r="AR827" s="321"/>
      <c r="AS827" s="174"/>
      <c r="AT827" s="174"/>
      <c r="AU827" s="174"/>
    </row>
    <row r="828" spans="1:205" ht="13.5" customHeight="1" x14ac:dyDescent="0.2">
      <c r="A828" s="733"/>
      <c r="B828" s="1134"/>
      <c r="C828" s="1134"/>
      <c r="D828" s="535"/>
      <c r="E828" s="613"/>
      <c r="F828" s="226"/>
      <c r="G828" s="266"/>
      <c r="H828" s="186"/>
      <c r="I828" s="321"/>
      <c r="J828" s="174"/>
      <c r="K828" s="174"/>
      <c r="P828" s="179"/>
      <c r="Q828" s="179"/>
      <c r="R828" s="179"/>
      <c r="S828" s="179"/>
      <c r="T828" s="179"/>
      <c r="U828" s="2513" t="s">
        <v>147</v>
      </c>
      <c r="V828" s="2514"/>
      <c r="W828" s="1521" t="s">
        <v>209</v>
      </c>
      <c r="X828" s="1426" t="str">
        <f t="shared" ref="X828:AK828" si="283">X$14</f>
        <v>RIGMOVE</v>
      </c>
      <c r="Y828" s="1426" t="str">
        <f t="shared" si="283"/>
        <v>DSURFACE</v>
      </c>
      <c r="Z828" s="1426" t="str">
        <f t="shared" si="283"/>
        <v>FSURFACE</v>
      </c>
      <c r="AA828" s="1426" t="str">
        <f t="shared" si="283"/>
        <v>DINTERMEDIATE</v>
      </c>
      <c r="AB828" s="1426" t="str">
        <f t="shared" si="283"/>
        <v>FINTERMEDIATE</v>
      </c>
      <c r="AC828" s="1426" t="str">
        <f t="shared" si="283"/>
        <v>DPRODUCTION</v>
      </c>
      <c r="AD828" s="1426" t="str">
        <f t="shared" si="283"/>
        <v>FPRODUCTION</v>
      </c>
      <c r="AE828" s="1426" t="str">
        <f t="shared" si="283"/>
        <v>DLINER1</v>
      </c>
      <c r="AF828" s="1426" t="str">
        <f t="shared" si="283"/>
        <v>FLINER1</v>
      </c>
      <c r="AG828" s="1426" t="str">
        <f t="shared" si="283"/>
        <v>DLINER2</v>
      </c>
      <c r="AH828" s="1426" t="str">
        <f t="shared" si="283"/>
        <v>FLINER2</v>
      </c>
      <c r="AI828" s="1426" t="str">
        <f t="shared" si="283"/>
        <v/>
      </c>
      <c r="AJ828" s="1426" t="str">
        <f t="shared" si="283"/>
        <v/>
      </c>
      <c r="AK828" s="1426" t="str">
        <f t="shared" si="283"/>
        <v/>
      </c>
      <c r="AL828" s="1426"/>
      <c r="AM828" s="1449" t="s">
        <v>46</v>
      </c>
      <c r="AN828" s="254"/>
      <c r="AO828" s="226"/>
      <c r="AP828" s="266"/>
      <c r="AQ828" s="186"/>
      <c r="AR828" s="321"/>
      <c r="GS828" s="176"/>
      <c r="GT828" s="176"/>
      <c r="GU828" s="176"/>
      <c r="GV828" s="176"/>
      <c r="GW828" s="176"/>
    </row>
    <row r="829" spans="1:205" ht="12.75" customHeight="1" x14ac:dyDescent="0.2">
      <c r="A829" s="709"/>
      <c r="B829" s="1110"/>
      <c r="C829" s="1110"/>
      <c r="D829" s="257"/>
      <c r="E829" s="626" t="s">
        <v>236</v>
      </c>
      <c r="F829" s="226"/>
      <c r="G829" s="174"/>
      <c r="H829" s="174"/>
      <c r="I829" s="174"/>
      <c r="J829" s="174"/>
      <c r="K829" s="174"/>
      <c r="P829" s="179"/>
      <c r="Q829" s="179"/>
      <c r="R829" s="179"/>
      <c r="S829" s="179"/>
      <c r="T829" s="179"/>
      <c r="U829" s="255" t="s">
        <v>236</v>
      </c>
      <c r="V829" s="1518" t="str">
        <f>V819</f>
        <v>50T CRANE</v>
      </c>
      <c r="W829" s="508">
        <f>VLOOKUP($V829,EQUIPMENT!$B$26:$C$32,2,FALSE)</f>
        <v>3328</v>
      </c>
      <c r="X829" s="246">
        <f>($W829*$W$819)*IF(($U829="HOURLY"),(X819*VLOOKUP($V829,EQUIPMENT!$B$3:$G$18,6,FALSE)),X819)</f>
        <v>0</v>
      </c>
      <c r="Y829" s="246">
        <f>$U819*$W819*Y819*$W829</f>
        <v>0</v>
      </c>
      <c r="Z829" s="246">
        <f>$U819*$W819*Z819*$W829</f>
        <v>0</v>
      </c>
      <c r="AA829" s="246">
        <f>$U819*$W819*AA819*$W829</f>
        <v>0</v>
      </c>
      <c r="AB829" s="246">
        <f>$U819*$W819*AB819*$W829</f>
        <v>0</v>
      </c>
      <c r="AC829" s="246">
        <f t="shared" ref="AC829:AH829" si="284">$U819*$W819*AC819*$W829</f>
        <v>0</v>
      </c>
      <c r="AD829" s="246">
        <f t="shared" si="284"/>
        <v>0</v>
      </c>
      <c r="AE829" s="246">
        <f t="shared" si="284"/>
        <v>0</v>
      </c>
      <c r="AF829" s="246">
        <f t="shared" si="284"/>
        <v>0</v>
      </c>
      <c r="AG829" s="246">
        <f t="shared" si="284"/>
        <v>0</v>
      </c>
      <c r="AH829" s="246">
        <f t="shared" si="284"/>
        <v>0</v>
      </c>
      <c r="AI829" s="246">
        <f t="shared" ref="AI829:AK835" si="285">$U819*$W819*AI819*$W829</f>
        <v>0</v>
      </c>
      <c r="AJ829" s="246">
        <f t="shared" si="285"/>
        <v>0</v>
      </c>
      <c r="AK829" s="246">
        <f t="shared" si="285"/>
        <v>0</v>
      </c>
      <c r="AL829" s="246"/>
      <c r="AM829" s="246">
        <f>SUM(X829:AL829)</f>
        <v>0</v>
      </c>
      <c r="AN829" s="172"/>
      <c r="AO829" s="226"/>
      <c r="AP829" s="266"/>
      <c r="AQ829" s="186"/>
      <c r="AR829" s="321"/>
      <c r="GS829" s="176"/>
      <c r="GT829" s="176"/>
      <c r="GU829" s="176"/>
      <c r="GV829" s="176"/>
      <c r="GW829" s="176"/>
    </row>
    <row r="830" spans="1:205" ht="12.75" customHeight="1" x14ac:dyDescent="0.2">
      <c r="A830" s="709"/>
      <c r="B830" s="1110"/>
      <c r="C830" s="1110"/>
      <c r="D830" s="257"/>
      <c r="E830" s="626" t="s">
        <v>236</v>
      </c>
      <c r="F830" s="262"/>
      <c r="G830" s="174"/>
      <c r="H830" s="174"/>
      <c r="I830" s="174"/>
      <c r="J830" s="174"/>
      <c r="K830" s="174"/>
      <c r="P830" s="179"/>
      <c r="Q830" s="179"/>
      <c r="R830" s="179"/>
      <c r="S830" s="179"/>
      <c r="T830" s="179"/>
      <c r="U830" s="255" t="s">
        <v>236</v>
      </c>
      <c r="V830" s="1518" t="str">
        <f t="shared" ref="V830:V835" si="286">V820</f>
        <v>70T CRANE</v>
      </c>
      <c r="W830" s="508">
        <f>VLOOKUP($V830,EQUIPMENT!$B$26:$C$32,2,FALSE)</f>
        <v>7738</v>
      </c>
      <c r="X830" s="246">
        <f>($W830*W820)*IF(($U830="HOURLY"),(X820*VLOOKUP($V830,EQUIPMENT!$B$3:$G$18,6,FALSE)),X820)</f>
        <v>0</v>
      </c>
      <c r="Y830" s="246">
        <f t="shared" ref="Y830:Z835" si="287">$U820*$W820*Y820*$W830</f>
        <v>0</v>
      </c>
      <c r="Z830" s="246">
        <f t="shared" si="287"/>
        <v>0</v>
      </c>
      <c r="AA830" s="246">
        <f t="shared" ref="AA830:AA835" si="288">$U820*$W820*AA820*$W830</f>
        <v>0</v>
      </c>
      <c r="AB830" s="246">
        <f t="shared" ref="AB830:AH830" si="289">$U820*$W820*AB820*$W830</f>
        <v>0</v>
      </c>
      <c r="AC830" s="246">
        <f t="shared" si="289"/>
        <v>0</v>
      </c>
      <c r="AD830" s="246">
        <f t="shared" si="289"/>
        <v>0</v>
      </c>
      <c r="AE830" s="246">
        <f t="shared" si="289"/>
        <v>0</v>
      </c>
      <c r="AF830" s="246">
        <f t="shared" si="289"/>
        <v>0</v>
      </c>
      <c r="AG830" s="246">
        <f t="shared" si="289"/>
        <v>0</v>
      </c>
      <c r="AH830" s="246">
        <f t="shared" si="289"/>
        <v>0</v>
      </c>
      <c r="AI830" s="246">
        <f t="shared" si="285"/>
        <v>0</v>
      </c>
      <c r="AJ830" s="246">
        <f t="shared" si="285"/>
        <v>0</v>
      </c>
      <c r="AK830" s="246">
        <f t="shared" si="285"/>
        <v>0</v>
      </c>
      <c r="AL830" s="246"/>
      <c r="AM830" s="246">
        <f t="shared" ref="AM830:AM835" si="290">SUM(X830:AL830)</f>
        <v>0</v>
      </c>
      <c r="AN830" s="254"/>
      <c r="AO830" s="226"/>
      <c r="GS830" s="176"/>
      <c r="GT830" s="176"/>
      <c r="GU830" s="176"/>
      <c r="GV830" s="176"/>
      <c r="GW830" s="176"/>
    </row>
    <row r="831" spans="1:205" ht="12.75" customHeight="1" x14ac:dyDescent="0.2">
      <c r="A831" s="709"/>
      <c r="B831" s="1110"/>
      <c r="C831" s="1110"/>
      <c r="D831" s="257"/>
      <c r="E831" s="614"/>
      <c r="F831" s="262"/>
      <c r="G831" s="174"/>
      <c r="H831" s="174"/>
      <c r="I831" s="174"/>
      <c r="J831" s="174"/>
      <c r="K831" s="174"/>
      <c r="P831" s="179"/>
      <c r="Q831" s="179"/>
      <c r="R831" s="179"/>
      <c r="S831" s="179"/>
      <c r="T831" s="179"/>
      <c r="U831" s="255" t="s">
        <v>236</v>
      </c>
      <c r="V831" s="1518" t="str">
        <f t="shared" si="286"/>
        <v>180T CRANE</v>
      </c>
      <c r="W831" s="508">
        <f>VLOOKUP($V831,EQUIPMENT!$B$26:$C$32,2,FALSE)</f>
        <v>15800</v>
      </c>
      <c r="X831" s="246">
        <f>($W831*W821)*IF(($U831="HOURLY"),(X821*VLOOKUP($V831,EQUIPMENT!$B$3:$G$18,6,FALSE)),X821)</f>
        <v>0</v>
      </c>
      <c r="Y831" s="246">
        <f t="shared" si="287"/>
        <v>0</v>
      </c>
      <c r="Z831" s="246">
        <f t="shared" si="287"/>
        <v>0</v>
      </c>
      <c r="AA831" s="246">
        <f t="shared" si="288"/>
        <v>0</v>
      </c>
      <c r="AB831" s="246">
        <f t="shared" ref="AB831:AH831" si="291">$U821*$W821*AB821*$W831</f>
        <v>0</v>
      </c>
      <c r="AC831" s="246">
        <f t="shared" si="291"/>
        <v>0</v>
      </c>
      <c r="AD831" s="246">
        <f t="shared" si="291"/>
        <v>0</v>
      </c>
      <c r="AE831" s="246">
        <f t="shared" si="291"/>
        <v>0</v>
      </c>
      <c r="AF831" s="246">
        <f t="shared" si="291"/>
        <v>0</v>
      </c>
      <c r="AG831" s="246">
        <f t="shared" si="291"/>
        <v>0</v>
      </c>
      <c r="AH831" s="246">
        <f t="shared" si="291"/>
        <v>0</v>
      </c>
      <c r="AI831" s="246">
        <f t="shared" si="285"/>
        <v>0</v>
      </c>
      <c r="AJ831" s="246">
        <f t="shared" si="285"/>
        <v>0</v>
      </c>
      <c r="AK831" s="246">
        <f t="shared" si="285"/>
        <v>0</v>
      </c>
      <c r="AL831" s="246"/>
      <c r="AM831" s="246">
        <f>SUM(X831:AL831)</f>
        <v>0</v>
      </c>
      <c r="AN831" s="1524"/>
      <c r="AO831" s="262"/>
      <c r="GS831" s="176"/>
      <c r="GT831" s="176"/>
      <c r="GU831" s="176"/>
      <c r="GV831" s="176"/>
      <c r="GW831" s="176"/>
    </row>
    <row r="832" spans="1:205" ht="12.75" customHeight="1" x14ac:dyDescent="0.2">
      <c r="A832" s="709"/>
      <c r="B832" s="1110"/>
      <c r="C832" s="1110"/>
      <c r="D832" s="257"/>
      <c r="E832" s="626" t="s">
        <v>238</v>
      </c>
      <c r="F832" s="262"/>
      <c r="G832" s="174"/>
      <c r="H832" s="174"/>
      <c r="I832" s="174"/>
      <c r="J832" s="174"/>
      <c r="K832" s="174"/>
      <c r="P832" s="179"/>
      <c r="Q832" s="179"/>
      <c r="R832" s="179"/>
      <c r="S832" s="179"/>
      <c r="T832" s="179"/>
      <c r="U832" s="255" t="s">
        <v>237</v>
      </c>
      <c r="V832" s="1518" t="str">
        <f t="shared" si="286"/>
        <v>Manlift</v>
      </c>
      <c r="W832" s="508">
        <f>VLOOKUP($V832,EQUIPMENT!$B$26:$C$32,2,FALSE)</f>
        <v>0</v>
      </c>
      <c r="X832" s="246">
        <f>($W832*W822)*IF(($U832="HOURLY"),(X822*24),X822)</f>
        <v>0</v>
      </c>
      <c r="Y832" s="246">
        <f t="shared" si="287"/>
        <v>0</v>
      </c>
      <c r="Z832" s="246">
        <f t="shared" si="287"/>
        <v>0</v>
      </c>
      <c r="AA832" s="246">
        <f t="shared" si="288"/>
        <v>0</v>
      </c>
      <c r="AB832" s="246">
        <f t="shared" ref="AB832:AH832" si="292">$U822*$W822*AB822*$W832</f>
        <v>0</v>
      </c>
      <c r="AC832" s="246">
        <f t="shared" si="292"/>
        <v>0</v>
      </c>
      <c r="AD832" s="246">
        <f t="shared" si="292"/>
        <v>0</v>
      </c>
      <c r="AE832" s="246">
        <f t="shared" si="292"/>
        <v>0</v>
      </c>
      <c r="AF832" s="246">
        <f t="shared" si="292"/>
        <v>0</v>
      </c>
      <c r="AG832" s="246">
        <f t="shared" si="292"/>
        <v>0</v>
      </c>
      <c r="AH832" s="246">
        <f t="shared" si="292"/>
        <v>0</v>
      </c>
      <c r="AI832" s="246">
        <f t="shared" si="285"/>
        <v>0</v>
      </c>
      <c r="AJ832" s="246">
        <f t="shared" si="285"/>
        <v>0</v>
      </c>
      <c r="AK832" s="246">
        <f t="shared" si="285"/>
        <v>0</v>
      </c>
      <c r="AL832" s="246"/>
      <c r="AM832" s="246">
        <f t="shared" si="290"/>
        <v>0</v>
      </c>
      <c r="AN832" s="1524" t="s">
        <v>236</v>
      </c>
      <c r="AO832" s="262"/>
      <c r="GS832" s="176"/>
      <c r="GT832" s="176"/>
      <c r="GU832" s="176"/>
      <c r="GV832" s="176"/>
      <c r="GW832" s="176"/>
    </row>
    <row r="833" spans="1:205" ht="12.75" customHeight="1" x14ac:dyDescent="0.2">
      <c r="A833" s="709"/>
      <c r="B833" s="1110"/>
      <c r="C833" s="1110"/>
      <c r="D833" s="257" t="s">
        <v>808</v>
      </c>
      <c r="E833" s="626"/>
      <c r="F833" s="262"/>
      <c r="G833" s="174"/>
      <c r="H833" s="174"/>
      <c r="I833" s="174"/>
      <c r="J833" s="174"/>
      <c r="K833" s="174"/>
      <c r="P833" s="179"/>
      <c r="Q833" s="179"/>
      <c r="R833" s="179"/>
      <c r="S833" s="179"/>
      <c r="T833" s="179"/>
      <c r="U833" s="255" t="s">
        <v>237</v>
      </c>
      <c r="V833" s="1518" t="str">
        <f t="shared" si="286"/>
        <v>5TUT PUMP</v>
      </c>
      <c r="W833" s="508">
        <f>VLOOKUP($V833,EQUIPMENT!$B$26:$C$32,2,FALSE)</f>
        <v>1800</v>
      </c>
      <c r="X833" s="246">
        <f>($W833*W823)*IF(($U833="HOURLY"),(X823*24),X823)</f>
        <v>0</v>
      </c>
      <c r="Y833" s="246">
        <f t="shared" si="287"/>
        <v>0</v>
      </c>
      <c r="Z833" s="246">
        <f t="shared" si="287"/>
        <v>0</v>
      </c>
      <c r="AA833" s="246">
        <f t="shared" si="288"/>
        <v>0</v>
      </c>
      <c r="AB833" s="246">
        <f t="shared" ref="AB833:AH833" si="293">$U823*$W823*AB823*$W833</f>
        <v>0</v>
      </c>
      <c r="AC833" s="246">
        <f t="shared" si="293"/>
        <v>0</v>
      </c>
      <c r="AD833" s="246">
        <f t="shared" si="293"/>
        <v>0</v>
      </c>
      <c r="AE833" s="246">
        <f t="shared" si="293"/>
        <v>0</v>
      </c>
      <c r="AF833" s="246">
        <f t="shared" si="293"/>
        <v>0</v>
      </c>
      <c r="AG833" s="246">
        <f t="shared" si="293"/>
        <v>0</v>
      </c>
      <c r="AH833" s="246">
        <f t="shared" si="293"/>
        <v>0</v>
      </c>
      <c r="AI833" s="246">
        <f t="shared" si="285"/>
        <v>0</v>
      </c>
      <c r="AJ833" s="246">
        <f t="shared" si="285"/>
        <v>0</v>
      </c>
      <c r="AK833" s="246">
        <f t="shared" si="285"/>
        <v>0</v>
      </c>
      <c r="AL833" s="246"/>
      <c r="AM833" s="246">
        <f t="shared" si="290"/>
        <v>0</v>
      </c>
      <c r="AN833" s="1524"/>
      <c r="AO833" s="262"/>
      <c r="GS833" s="176"/>
      <c r="GT833" s="176"/>
      <c r="GU833" s="176"/>
      <c r="GV833" s="176"/>
      <c r="GW833" s="176"/>
    </row>
    <row r="834" spans="1:205" ht="12.75" customHeight="1" x14ac:dyDescent="0.2">
      <c r="A834" s="709"/>
      <c r="B834" s="1110"/>
      <c r="C834" s="1110"/>
      <c r="D834" s="257"/>
      <c r="E834" s="613"/>
      <c r="F834" s="262"/>
      <c r="G834" s="174"/>
      <c r="H834" s="174"/>
      <c r="I834" s="174"/>
      <c r="J834" s="174"/>
      <c r="K834" s="174"/>
      <c r="P834" s="179"/>
      <c r="Q834" s="179"/>
      <c r="R834" s="179"/>
      <c r="S834" s="179"/>
      <c r="T834" s="179"/>
      <c r="U834" s="255" t="s">
        <v>236</v>
      </c>
      <c r="V834" s="1518" t="str">
        <f t="shared" si="286"/>
        <v>FORKLOADER</v>
      </c>
      <c r="W834" s="508">
        <f>VLOOKUP($V834,EQUIPMENT!$B$26:$C$32,2,FALSE)</f>
        <v>1800</v>
      </c>
      <c r="X834" s="246">
        <f>($W834*W824)*IF(($U834="HOURLY"),(X824*24),X824)</f>
        <v>0</v>
      </c>
      <c r="Y834" s="246">
        <f t="shared" si="287"/>
        <v>0</v>
      </c>
      <c r="Z834" s="246">
        <f t="shared" si="287"/>
        <v>0</v>
      </c>
      <c r="AA834" s="246">
        <f t="shared" si="288"/>
        <v>0</v>
      </c>
      <c r="AB834" s="246">
        <f t="shared" ref="AB834:AH834" si="294">$U824*$W824*AB824*$W834</f>
        <v>0</v>
      </c>
      <c r="AC834" s="246">
        <f t="shared" si="294"/>
        <v>0</v>
      </c>
      <c r="AD834" s="246">
        <f t="shared" si="294"/>
        <v>0</v>
      </c>
      <c r="AE834" s="246">
        <f t="shared" si="294"/>
        <v>0</v>
      </c>
      <c r="AF834" s="246">
        <f t="shared" si="294"/>
        <v>0</v>
      </c>
      <c r="AG834" s="246">
        <f t="shared" si="294"/>
        <v>0</v>
      </c>
      <c r="AH834" s="246">
        <f t="shared" si="294"/>
        <v>0</v>
      </c>
      <c r="AI834" s="246">
        <f t="shared" si="285"/>
        <v>0</v>
      </c>
      <c r="AJ834" s="246">
        <f t="shared" si="285"/>
        <v>0</v>
      </c>
      <c r="AK834" s="246">
        <f t="shared" si="285"/>
        <v>0</v>
      </c>
      <c r="AL834" s="246"/>
      <c r="AM834" s="246">
        <f t="shared" si="290"/>
        <v>0</v>
      </c>
      <c r="AN834" s="1524" t="s">
        <v>238</v>
      </c>
      <c r="AO834" s="262"/>
      <c r="GS834" s="176"/>
      <c r="GT834" s="176"/>
      <c r="GU834" s="176"/>
      <c r="GV834" s="176"/>
      <c r="GW834" s="176"/>
    </row>
    <row r="835" spans="1:205" ht="12.75" customHeight="1" x14ac:dyDescent="0.2">
      <c r="A835" s="709"/>
      <c r="B835" s="1110"/>
      <c r="C835" s="1110"/>
      <c r="D835" s="257"/>
      <c r="E835" s="613"/>
      <c r="G835" s="266"/>
      <c r="H835" s="186"/>
      <c r="I835" s="321"/>
      <c r="J835" s="174"/>
      <c r="K835" s="174"/>
      <c r="P835" s="179"/>
      <c r="Q835" s="179"/>
      <c r="R835" s="179"/>
      <c r="S835" s="175"/>
      <c r="T835" s="175"/>
      <c r="U835" s="255" t="s">
        <v>237</v>
      </c>
      <c r="V835" s="1518" t="str">
        <f t="shared" si="286"/>
        <v>BOOM TRUCK</v>
      </c>
      <c r="W835" s="508"/>
      <c r="X835" s="246"/>
      <c r="Y835" s="246">
        <f t="shared" si="287"/>
        <v>0</v>
      </c>
      <c r="Z835" s="246">
        <f t="shared" si="287"/>
        <v>0</v>
      </c>
      <c r="AA835" s="246">
        <f t="shared" si="288"/>
        <v>0</v>
      </c>
      <c r="AB835" s="246">
        <f t="shared" ref="AB835:AH835" si="295">$U825*$W825*AB825*$W835</f>
        <v>0</v>
      </c>
      <c r="AC835" s="246">
        <f t="shared" si="295"/>
        <v>0</v>
      </c>
      <c r="AD835" s="246">
        <f t="shared" si="295"/>
        <v>0</v>
      </c>
      <c r="AE835" s="246">
        <f t="shared" si="295"/>
        <v>0</v>
      </c>
      <c r="AF835" s="246">
        <f t="shared" si="295"/>
        <v>0</v>
      </c>
      <c r="AG835" s="246">
        <f t="shared" si="295"/>
        <v>0</v>
      </c>
      <c r="AH835" s="246">
        <f t="shared" si="295"/>
        <v>0</v>
      </c>
      <c r="AI835" s="246">
        <f t="shared" si="285"/>
        <v>0</v>
      </c>
      <c r="AJ835" s="246">
        <f t="shared" si="285"/>
        <v>0</v>
      </c>
      <c r="AK835" s="246">
        <f t="shared" si="285"/>
        <v>0</v>
      </c>
      <c r="AL835" s="246"/>
      <c r="AM835" s="246">
        <f t="shared" si="290"/>
        <v>0</v>
      </c>
      <c r="AN835" s="1524"/>
      <c r="AO835" s="262"/>
      <c r="GS835" s="176"/>
      <c r="GT835" s="176"/>
      <c r="GU835" s="176"/>
      <c r="GV835" s="176"/>
      <c r="GW835" s="176"/>
    </row>
    <row r="836" spans="1:205" ht="13.5" customHeight="1" x14ac:dyDescent="0.2">
      <c r="A836" s="709"/>
      <c r="B836" s="1110"/>
      <c r="C836" s="1110"/>
      <c r="D836" s="257"/>
      <c r="E836" s="613"/>
      <c r="G836" s="266"/>
      <c r="H836" s="186"/>
      <c r="I836" s="321"/>
      <c r="J836" s="174"/>
      <c r="K836" s="174"/>
      <c r="P836" s="179"/>
      <c r="Q836" s="179"/>
      <c r="R836" s="179"/>
      <c r="S836" s="175"/>
      <c r="T836" s="175"/>
      <c r="U836" s="255"/>
      <c r="V836" s="1518"/>
      <c r="W836" s="246"/>
      <c r="X836" s="246"/>
      <c r="Y836" s="246"/>
      <c r="Z836" s="246"/>
      <c r="AA836" s="246"/>
      <c r="AB836" s="246"/>
      <c r="AC836" s="246"/>
      <c r="AD836" s="246"/>
      <c r="AE836" s="246"/>
      <c r="AF836" s="246"/>
      <c r="AG836" s="246"/>
      <c r="AH836" s="246"/>
      <c r="AI836" s="246"/>
      <c r="AJ836" s="246"/>
      <c r="AK836" s="246"/>
      <c r="AL836" s="246"/>
      <c r="AM836" s="246"/>
      <c r="AN836" s="254"/>
      <c r="AP836" s="266"/>
      <c r="AQ836" s="186"/>
      <c r="AR836" s="321"/>
      <c r="GS836" s="176"/>
      <c r="GT836" s="176"/>
      <c r="GU836" s="176"/>
      <c r="GV836" s="176"/>
      <c r="GW836" s="176"/>
    </row>
    <row r="837" spans="1:205" ht="13.5" customHeight="1" x14ac:dyDescent="0.2">
      <c r="A837" s="712"/>
      <c r="B837" s="1113"/>
      <c r="C837" s="1113"/>
      <c r="D837" s="536"/>
      <c r="E837" s="621"/>
      <c r="G837" s="266"/>
      <c r="H837" s="186"/>
      <c r="I837" s="321"/>
      <c r="J837" s="174"/>
      <c r="K837" s="174"/>
      <c r="P837" s="179"/>
      <c r="Q837" s="179"/>
      <c r="R837" s="179"/>
      <c r="S837" s="175"/>
      <c r="T837" s="175"/>
      <c r="U837" s="2517"/>
      <c r="V837" s="2517"/>
      <c r="W837" s="257"/>
      <c r="X837" s="286">
        <f>SUM(X829:X836)</f>
        <v>0</v>
      </c>
      <c r="Y837" s="286">
        <f t="shared" ref="Y837:AG837" si="296">SUM(Y829:Y836)</f>
        <v>0</v>
      </c>
      <c r="Z837" s="286">
        <f>SUM(Z829:Z836)</f>
        <v>0</v>
      </c>
      <c r="AA837" s="286">
        <f t="shared" si="296"/>
        <v>0</v>
      </c>
      <c r="AB837" s="286">
        <f>SUM(AB829:AB836)</f>
        <v>0</v>
      </c>
      <c r="AC837" s="286">
        <f t="shared" si="296"/>
        <v>0</v>
      </c>
      <c r="AD837" s="286">
        <f>SUM(AD829:AD836)</f>
        <v>0</v>
      </c>
      <c r="AE837" s="286">
        <f t="shared" si="296"/>
        <v>0</v>
      </c>
      <c r="AF837" s="286">
        <f>SUM(AF829:AF836)</f>
        <v>0</v>
      </c>
      <c r="AG837" s="286">
        <f t="shared" si="296"/>
        <v>0</v>
      </c>
      <c r="AH837" s="286">
        <f>SUM(AH829:AH836)</f>
        <v>0</v>
      </c>
      <c r="AI837" s="286">
        <f>SUM(AI829:AI836)</f>
        <v>0</v>
      </c>
      <c r="AJ837" s="286">
        <f>SUM(AJ829:AJ836)</f>
        <v>0</v>
      </c>
      <c r="AK837" s="286">
        <f>SUM(AK829:AK836)</f>
        <v>0</v>
      </c>
      <c r="AL837" s="286"/>
      <c r="AM837" s="1450">
        <f>SUM(X837:AH837)</f>
        <v>0</v>
      </c>
      <c r="AN837" s="254"/>
      <c r="AP837" s="266"/>
      <c r="AQ837" s="186"/>
      <c r="AR837" s="321"/>
      <c r="GS837" s="176"/>
      <c r="GT837" s="176"/>
      <c r="GU837" s="176"/>
      <c r="GV837" s="176"/>
      <c r="GW837" s="176"/>
    </row>
    <row r="838" spans="1:205" ht="12.75" customHeight="1" x14ac:dyDescent="0.2">
      <c r="A838" s="712"/>
      <c r="B838" s="1113"/>
      <c r="C838" s="1113"/>
      <c r="D838" s="522"/>
      <c r="G838" s="174"/>
      <c r="H838" s="174"/>
      <c r="I838" s="174"/>
      <c r="J838" s="174"/>
      <c r="K838" s="174"/>
      <c r="P838" s="179"/>
      <c r="Q838" s="179"/>
      <c r="R838" s="179"/>
      <c r="S838" s="175"/>
      <c r="T838" s="175"/>
      <c r="U838" s="267"/>
      <c r="V838" s="267"/>
      <c r="X838" s="542"/>
      <c r="Y838" s="257"/>
      <c r="Z838" s="257"/>
      <c r="AA838" s="541"/>
      <c r="AB838" s="541"/>
      <c r="AC838" s="257"/>
      <c r="AD838" s="257"/>
      <c r="AE838" s="257"/>
      <c r="AF838" s="257"/>
      <c r="AG838" s="257"/>
      <c r="AH838" s="257"/>
      <c r="AI838" s="257"/>
      <c r="AJ838" s="257"/>
      <c r="AK838" s="257"/>
      <c r="AL838" s="257"/>
      <c r="AM838" s="522"/>
      <c r="AN838" s="254"/>
      <c r="AP838" s="266"/>
      <c r="AQ838" s="186"/>
      <c r="AR838" s="321"/>
      <c r="GS838" s="176"/>
      <c r="GT838" s="176"/>
      <c r="GU838" s="176"/>
      <c r="GV838" s="176"/>
      <c r="GW838" s="176"/>
    </row>
    <row r="839" spans="1:205" ht="12.75" customHeight="1" x14ac:dyDescent="0.2">
      <c r="A839" s="708"/>
      <c r="B839" s="1109"/>
      <c r="C839" s="1109"/>
      <c r="D839" s="202"/>
      <c r="G839" s="174"/>
      <c r="H839" s="174"/>
      <c r="I839" s="174"/>
      <c r="J839" s="174"/>
      <c r="K839" s="174"/>
      <c r="P839" s="179"/>
      <c r="Q839" s="179"/>
      <c r="R839" s="179"/>
      <c r="S839" s="175"/>
      <c r="T839" s="175"/>
      <c r="V839" s="181"/>
      <c r="W839" s="181"/>
      <c r="X839" s="322"/>
      <c r="AA839" s="240"/>
      <c r="AB839" s="240"/>
      <c r="AM839" s="202"/>
      <c r="AN839" s="257"/>
      <c r="GS839" s="176"/>
      <c r="GT839" s="176"/>
      <c r="GU839" s="176"/>
      <c r="GV839" s="176"/>
      <c r="GW839" s="176"/>
    </row>
    <row r="840" spans="1:205" ht="13.5" customHeight="1" x14ac:dyDescent="0.2">
      <c r="A840" s="702"/>
      <c r="B840" s="1103"/>
      <c r="C840" s="1103"/>
      <c r="D840" s="254"/>
      <c r="G840" s="174"/>
      <c r="H840" s="174"/>
      <c r="I840" s="174"/>
      <c r="J840" s="174"/>
      <c r="K840" s="174"/>
      <c r="P840" s="179"/>
      <c r="Q840" s="179"/>
      <c r="R840" s="179"/>
      <c r="S840" s="175"/>
      <c r="T840" s="175"/>
      <c r="U840" s="1490"/>
      <c r="V840" s="1423" t="s">
        <v>1053</v>
      </c>
      <c r="W840" s="254"/>
      <c r="X840" s="548"/>
      <c r="Y840" s="254"/>
      <c r="Z840" s="254"/>
      <c r="AA840" s="541"/>
      <c r="AB840" s="541"/>
      <c r="AC840" s="254"/>
      <c r="AD840" s="254"/>
      <c r="AE840" s="254"/>
      <c r="AF840" s="254"/>
      <c r="AG840" s="254"/>
      <c r="AH840" s="254"/>
      <c r="AI840" s="254"/>
      <c r="AJ840" s="254"/>
      <c r="AK840" s="254"/>
      <c r="AL840" s="254"/>
      <c r="AM840" s="254"/>
      <c r="AN840" s="172"/>
      <c r="GS840" s="176"/>
      <c r="GT840" s="176"/>
      <c r="GU840" s="176"/>
      <c r="GV840" s="176"/>
      <c r="GW840" s="176"/>
    </row>
    <row r="841" spans="1:205" ht="13.5" customHeight="1" x14ac:dyDescent="0.2">
      <c r="A841" s="728"/>
      <c r="B841" s="1129"/>
      <c r="C841" s="1129"/>
      <c r="D841" s="531"/>
      <c r="E841" s="613"/>
      <c r="G841" s="174"/>
      <c r="H841" s="174"/>
      <c r="I841" s="174"/>
      <c r="J841" s="174"/>
      <c r="K841" s="174"/>
      <c r="P841" s="179"/>
      <c r="Q841" s="179"/>
      <c r="R841" s="179"/>
      <c r="S841" s="175"/>
      <c r="T841" s="175"/>
      <c r="U841" s="2519" t="s">
        <v>142</v>
      </c>
      <c r="V841" s="2520"/>
      <c r="W841" s="1440" t="s">
        <v>153</v>
      </c>
      <c r="X841" s="1426" t="str">
        <f t="shared" ref="X841:AK841" si="297">X$14</f>
        <v>RIGMOVE</v>
      </c>
      <c r="Y841" s="1426" t="str">
        <f t="shared" si="297"/>
        <v>DSURFACE</v>
      </c>
      <c r="Z841" s="1426" t="str">
        <f t="shared" si="297"/>
        <v>FSURFACE</v>
      </c>
      <c r="AA841" s="1426" t="str">
        <f t="shared" si="297"/>
        <v>DINTERMEDIATE</v>
      </c>
      <c r="AB841" s="1426" t="str">
        <f t="shared" si="297"/>
        <v>FINTERMEDIATE</v>
      </c>
      <c r="AC841" s="1426" t="str">
        <f t="shared" si="297"/>
        <v>DPRODUCTION</v>
      </c>
      <c r="AD841" s="1426" t="str">
        <f t="shared" si="297"/>
        <v>FPRODUCTION</v>
      </c>
      <c r="AE841" s="1426" t="str">
        <f t="shared" si="297"/>
        <v>DLINER1</v>
      </c>
      <c r="AF841" s="1426" t="str">
        <f t="shared" si="297"/>
        <v>FLINER1</v>
      </c>
      <c r="AG841" s="1426" t="str">
        <f t="shared" si="297"/>
        <v>DLINER2</v>
      </c>
      <c r="AH841" s="1426" t="str">
        <f t="shared" si="297"/>
        <v>FLINER2</v>
      </c>
      <c r="AI841" s="1426" t="str">
        <f t="shared" si="297"/>
        <v/>
      </c>
      <c r="AJ841" s="1426" t="str">
        <f t="shared" si="297"/>
        <v/>
      </c>
      <c r="AK841" s="1426" t="str">
        <f t="shared" si="297"/>
        <v/>
      </c>
      <c r="AL841" s="1426"/>
      <c r="AM841" s="1437" t="s">
        <v>101</v>
      </c>
      <c r="AN841" s="172"/>
      <c r="GS841" s="176"/>
      <c r="GT841" s="176"/>
      <c r="GU841" s="176"/>
      <c r="GV841" s="176"/>
      <c r="GW841" s="176"/>
    </row>
    <row r="842" spans="1:205" ht="13.5" customHeight="1" x14ac:dyDescent="0.2">
      <c r="A842" s="743"/>
      <c r="B842" s="1145"/>
      <c r="C842" s="1145"/>
      <c r="D842" s="548"/>
      <c r="E842" s="613"/>
      <c r="G842" s="174"/>
      <c r="H842" s="174"/>
      <c r="I842" s="174"/>
      <c r="J842" s="174"/>
      <c r="K842" s="174"/>
      <c r="P842" s="179"/>
      <c r="Q842" s="179"/>
      <c r="R842" s="179"/>
      <c r="S842" s="175"/>
      <c r="T842" s="175"/>
      <c r="U842" s="287"/>
      <c r="V842" s="255" t="s">
        <v>409</v>
      </c>
      <c r="W842" s="286" t="s">
        <v>41</v>
      </c>
      <c r="X842" s="243">
        <f>RIGMOVE</f>
        <v>13</v>
      </c>
      <c r="Y842" s="243">
        <f>DSURFACE</f>
        <v>2</v>
      </c>
      <c r="Z842" s="243">
        <f>FSURFACE</f>
        <v>4</v>
      </c>
      <c r="AA842" s="243">
        <f>DINTERMEDIATE</f>
        <v>5</v>
      </c>
      <c r="AB842" s="243">
        <f>FINTERMEDIATE</f>
        <v>4</v>
      </c>
      <c r="AC842" s="243">
        <f>DPRODUCTION</f>
        <v>10</v>
      </c>
      <c r="AD842" s="243">
        <f>FPRODUCTION</f>
        <v>3</v>
      </c>
      <c r="AE842" s="243">
        <f>DLINER1</f>
        <v>6</v>
      </c>
      <c r="AF842" s="243">
        <f>FLINER1</f>
        <v>2</v>
      </c>
      <c r="AG842" s="243">
        <f>IF((INPUT!$D$8="NO"),0,(DLINER2))</f>
        <v>5</v>
      </c>
      <c r="AH842" s="243">
        <f>IF((INPUT!$D$8="NO"),0,(FLINER2))</f>
        <v>7</v>
      </c>
      <c r="AI842" s="243">
        <f>IF((INPUT!$D$19="NO"),0,(DLINER2))</f>
        <v>0</v>
      </c>
      <c r="AJ842" s="243">
        <f>IF((INPUT!$D$19="NO"),0,(FLINER2))</f>
        <v>0</v>
      </c>
      <c r="AK842" s="243">
        <f>IF((INPUT!$H$19="NO"),0,(FLINER2))</f>
        <v>0</v>
      </c>
      <c r="AL842" s="243">
        <f>AL$19</f>
        <v>0</v>
      </c>
      <c r="AM842" s="1506">
        <f>SUM(X842:AL842)</f>
        <v>61</v>
      </c>
      <c r="AN842" s="172"/>
      <c r="GS842" s="176"/>
      <c r="GT842" s="176"/>
      <c r="GU842" s="176"/>
      <c r="GV842" s="176"/>
      <c r="GW842" s="176"/>
    </row>
    <row r="843" spans="1:205" ht="13.5" customHeight="1" x14ac:dyDescent="0.2">
      <c r="A843" s="744"/>
      <c r="B843" s="1146"/>
      <c r="C843" s="1146"/>
      <c r="D843" s="549"/>
      <c r="G843" s="174"/>
      <c r="H843" s="174"/>
      <c r="I843" s="174"/>
      <c r="J843" s="174"/>
      <c r="K843" s="174"/>
      <c r="P843" s="179"/>
      <c r="Q843" s="179"/>
      <c r="R843" s="179"/>
      <c r="S843" s="175"/>
      <c r="T843" s="175"/>
      <c r="U843" s="1278"/>
      <c r="V843" s="1278"/>
      <c r="W843" s="1503"/>
      <c r="X843" s="1504"/>
      <c r="Y843" s="1504"/>
      <c r="Z843" s="1504"/>
      <c r="AA843" s="1504"/>
      <c r="AB843" s="1504"/>
      <c r="AC843" s="1504"/>
      <c r="AD843" s="1504"/>
      <c r="AE843" s="1504"/>
      <c r="AF843" s="1504"/>
      <c r="AG843" s="1504"/>
      <c r="AH843" s="1504"/>
      <c r="AI843" s="1504"/>
      <c r="AJ843" s="1504"/>
      <c r="AK843" s="1504"/>
      <c r="AL843" s="1504"/>
      <c r="AM843" s="1505"/>
      <c r="AN843" s="254"/>
      <c r="GS843" s="176"/>
      <c r="GT843" s="176"/>
      <c r="GU843" s="176"/>
      <c r="GV843" s="176"/>
      <c r="GW843" s="176"/>
    </row>
    <row r="844" spans="1:205" ht="13.5" customHeight="1" x14ac:dyDescent="0.2">
      <c r="A844" s="733"/>
      <c r="B844" s="1134"/>
      <c r="C844" s="1134"/>
      <c r="D844" s="535"/>
      <c r="E844" s="613"/>
      <c r="G844" s="174"/>
      <c r="H844" s="174"/>
      <c r="I844" s="174"/>
      <c r="J844" s="174"/>
      <c r="K844" s="174"/>
      <c r="P844" s="179"/>
      <c r="Q844" s="179"/>
      <c r="R844" s="179"/>
      <c r="S844" s="175"/>
      <c r="T844" s="175"/>
      <c r="U844" s="2513" t="s">
        <v>147</v>
      </c>
      <c r="V844" s="2514"/>
      <c r="W844" s="1493" t="s">
        <v>209</v>
      </c>
      <c r="X844" s="1426" t="str">
        <f t="shared" ref="X844:AK844" si="298">X$14</f>
        <v>RIGMOVE</v>
      </c>
      <c r="Y844" s="1426" t="str">
        <f t="shared" si="298"/>
        <v>DSURFACE</v>
      </c>
      <c r="Z844" s="1426" t="str">
        <f t="shared" si="298"/>
        <v>FSURFACE</v>
      </c>
      <c r="AA844" s="1426" t="str">
        <f t="shared" si="298"/>
        <v>DINTERMEDIATE</v>
      </c>
      <c r="AB844" s="1426" t="str">
        <f t="shared" si="298"/>
        <v>FINTERMEDIATE</v>
      </c>
      <c r="AC844" s="1426" t="str">
        <f t="shared" si="298"/>
        <v>DPRODUCTION</v>
      </c>
      <c r="AD844" s="1426" t="str">
        <f t="shared" si="298"/>
        <v>FPRODUCTION</v>
      </c>
      <c r="AE844" s="1426" t="str">
        <f t="shared" si="298"/>
        <v>DLINER1</v>
      </c>
      <c r="AF844" s="1426" t="str">
        <f t="shared" si="298"/>
        <v>FLINER1</v>
      </c>
      <c r="AG844" s="1426" t="str">
        <f t="shared" si="298"/>
        <v>DLINER2</v>
      </c>
      <c r="AH844" s="1426" t="str">
        <f t="shared" si="298"/>
        <v>FLINER2</v>
      </c>
      <c r="AI844" s="1426" t="str">
        <f t="shared" si="298"/>
        <v/>
      </c>
      <c r="AJ844" s="1426" t="str">
        <f t="shared" si="298"/>
        <v/>
      </c>
      <c r="AK844" s="1426" t="str">
        <f t="shared" si="298"/>
        <v/>
      </c>
      <c r="AL844" s="1426"/>
      <c r="AM844" s="1449" t="s">
        <v>46</v>
      </c>
      <c r="AN844" s="254"/>
      <c r="GS844" s="176"/>
      <c r="GT844" s="176"/>
      <c r="GU844" s="176"/>
      <c r="GV844" s="176"/>
      <c r="GW844" s="176"/>
    </row>
    <row r="845" spans="1:205" ht="12.75" customHeight="1" x14ac:dyDescent="0.2">
      <c r="A845" s="745"/>
      <c r="B845" s="1147"/>
      <c r="C845" s="1147"/>
      <c r="D845" s="550"/>
      <c r="E845" s="613"/>
      <c r="F845" s="268"/>
      <c r="G845" s="186" t="e">
        <f>#REF!</f>
        <v>#REF!</v>
      </c>
      <c r="H845" s="186" t="e">
        <f>#REF!</f>
        <v>#REF!</v>
      </c>
      <c r="I845" s="186" t="e">
        <f>#REF!</f>
        <v>#REF!</v>
      </c>
      <c r="J845" s="186" t="e">
        <f>#REF!</f>
        <v>#REF!</v>
      </c>
      <c r="K845" s="186" t="e">
        <f>#REF!</f>
        <v>#REF!</v>
      </c>
      <c r="L845" s="186" t="e">
        <f>#REF!</f>
        <v>#REF!</v>
      </c>
      <c r="P845" s="179"/>
      <c r="Q845" s="179"/>
      <c r="R845" s="179"/>
      <c r="S845" s="175"/>
      <c r="T845" s="175"/>
      <c r="U845" s="1491" t="str">
        <f>IF(OR(INPUT!$D$5="RIG 1",INPUT!$D$5="RIG 2"),"",INPUT!$D$5)</f>
        <v/>
      </c>
      <c r="V845" s="1491" t="str">
        <f>'ALLOCATED COSTS'!B3</f>
        <v>RIG OML DAILY RATE</v>
      </c>
      <c r="W845" s="246">
        <f>IFERROR(INDEX('ALLOCATED COSTS'!$C$5:$C$7,MATCH(INPUT!$D$5,'ALLOCATED COSTS'!$B$5:$B$7,0)),0)</f>
        <v>0</v>
      </c>
      <c r="X845" s="1162">
        <f t="shared" ref="X845:X851" si="299">$X$842*W845</f>
        <v>0</v>
      </c>
      <c r="Y845" s="1162">
        <f>Y$842*$W845*IF(INPUT!$D$18="No",0,1)</f>
        <v>0</v>
      </c>
      <c r="Z845" s="1162">
        <f>Z$842*$W845*IF(INPUT!$D$18="No",0,1)</f>
        <v>0</v>
      </c>
      <c r="AA845" s="1162">
        <f t="shared" ref="AA845:AK851" si="300">AA$842*$W845</f>
        <v>0</v>
      </c>
      <c r="AB845" s="1162">
        <f t="shared" si="300"/>
        <v>0</v>
      </c>
      <c r="AC845" s="1162">
        <f t="shared" si="300"/>
        <v>0</v>
      </c>
      <c r="AD845" s="1162">
        <f t="shared" si="300"/>
        <v>0</v>
      </c>
      <c r="AE845" s="1162">
        <f t="shared" si="300"/>
        <v>0</v>
      </c>
      <c r="AF845" s="1162">
        <f t="shared" si="300"/>
        <v>0</v>
      </c>
      <c r="AG845" s="1162">
        <f t="shared" si="300"/>
        <v>0</v>
      </c>
      <c r="AH845" s="1162">
        <f t="shared" si="300"/>
        <v>0</v>
      </c>
      <c r="AI845" s="1162">
        <f t="shared" si="300"/>
        <v>0</v>
      </c>
      <c r="AJ845" s="1162">
        <f t="shared" si="300"/>
        <v>0</v>
      </c>
      <c r="AK845" s="1162">
        <f t="shared" si="300"/>
        <v>0</v>
      </c>
      <c r="AL845" s="246"/>
      <c r="AM845" s="1162">
        <f t="shared" ref="AM845:AM852" si="301">SUM(X845:AL845)</f>
        <v>0</v>
      </c>
      <c r="AN845" s="172"/>
      <c r="GS845" s="176"/>
      <c r="GT845" s="176"/>
      <c r="GU845" s="176"/>
      <c r="GV845" s="176"/>
      <c r="GW845" s="176"/>
    </row>
    <row r="846" spans="1:205" ht="12.75" customHeight="1" x14ac:dyDescent="0.2">
      <c r="A846" s="745"/>
      <c r="B846" s="1147"/>
      <c r="C846" s="1147"/>
      <c r="D846" s="550"/>
      <c r="E846" s="613"/>
      <c r="F846" s="268"/>
      <c r="G846" s="174"/>
      <c r="H846" s="174"/>
      <c r="I846" s="174"/>
      <c r="J846" s="174"/>
      <c r="K846" s="174"/>
      <c r="P846" s="179"/>
      <c r="Q846" s="179"/>
      <c r="R846" s="179"/>
      <c r="S846" s="175"/>
      <c r="T846" s="175"/>
      <c r="U846" s="1491"/>
      <c r="V846" s="1491" t="str">
        <f>'ALLOCATED COSTS'!B11</f>
        <v>DEPRECIATION</v>
      </c>
      <c r="W846" s="246">
        <f>IFERROR(INDEX('ALLOCATED COSTS'!$C$13:$C$15,MATCH(INPUT!$D$5,'ALLOCATED COSTS'!$B$13:$B$15,0)),0)</f>
        <v>0</v>
      </c>
      <c r="X846" s="1162">
        <f t="shared" si="299"/>
        <v>0</v>
      </c>
      <c r="Y846" s="1162">
        <f>Y$842*$W846*IF(INPUT!$D$18="No",0,1)</f>
        <v>0</v>
      </c>
      <c r="Z846" s="1162">
        <f>Z$842*$W846*IF(INPUT!$D$18="No",0,1)</f>
        <v>0</v>
      </c>
      <c r="AA846" s="1162">
        <f t="shared" si="300"/>
        <v>0</v>
      </c>
      <c r="AB846" s="1162">
        <f t="shared" si="300"/>
        <v>0</v>
      </c>
      <c r="AC846" s="1162">
        <f t="shared" si="300"/>
        <v>0</v>
      </c>
      <c r="AD846" s="1162">
        <f t="shared" si="300"/>
        <v>0</v>
      </c>
      <c r="AE846" s="1162">
        <f t="shared" si="300"/>
        <v>0</v>
      </c>
      <c r="AF846" s="1162">
        <f t="shared" si="300"/>
        <v>0</v>
      </c>
      <c r="AG846" s="1162">
        <f t="shared" si="300"/>
        <v>0</v>
      </c>
      <c r="AH846" s="1162">
        <f t="shared" si="300"/>
        <v>0</v>
      </c>
      <c r="AI846" s="1162">
        <f t="shared" si="300"/>
        <v>0</v>
      </c>
      <c r="AJ846" s="1162">
        <f t="shared" si="300"/>
        <v>0</v>
      </c>
      <c r="AK846" s="1162">
        <f t="shared" si="300"/>
        <v>0</v>
      </c>
      <c r="AL846" s="246"/>
      <c r="AM846" s="1162">
        <f>SUM(X846:AL846)</f>
        <v>0</v>
      </c>
      <c r="AN846" s="254"/>
      <c r="AO846" s="268"/>
      <c r="AP846" s="186"/>
      <c r="AQ846" s="186"/>
      <c r="AR846" s="186"/>
      <c r="AS846" s="186"/>
      <c r="AT846" s="186"/>
      <c r="AU846" s="186"/>
      <c r="GS846" s="176"/>
      <c r="GT846" s="176"/>
      <c r="GU846" s="176"/>
      <c r="GV846" s="176"/>
      <c r="GW846" s="176"/>
    </row>
    <row r="847" spans="1:205" ht="12.75" customHeight="1" x14ac:dyDescent="0.2">
      <c r="A847" s="745"/>
      <c r="B847" s="1147"/>
      <c r="C847" s="1147"/>
      <c r="D847" s="550"/>
      <c r="E847" s="613"/>
      <c r="G847" s="174"/>
      <c r="H847" s="174"/>
      <c r="I847" s="174"/>
      <c r="J847" s="174"/>
      <c r="K847" s="174"/>
      <c r="P847" s="179"/>
      <c r="Q847" s="179"/>
      <c r="R847" s="179"/>
      <c r="S847" s="175"/>
      <c r="T847" s="175"/>
      <c r="U847" s="1491"/>
      <c r="V847" s="1491" t="str">
        <f>'ALLOCATED COSTS'!E11</f>
        <v>INSURANCE</v>
      </c>
      <c r="W847" s="246">
        <f>IFERROR(INDEX('ALLOCATED COSTS'!$F$13:$F$15,MATCH(INPUT!$D$5,'ALLOCATED COSTS'!$E$13:$E$15,0)),0)</f>
        <v>0</v>
      </c>
      <c r="X847" s="1162">
        <f t="shared" si="299"/>
        <v>0</v>
      </c>
      <c r="Y847" s="1162">
        <f>Y$842*$W847*IF(INPUT!$D$18="No",0,1)</f>
        <v>0</v>
      </c>
      <c r="Z847" s="1162">
        <f>Z$842*$W847*IF(INPUT!$D$18="No",0,1)</f>
        <v>0</v>
      </c>
      <c r="AA847" s="1162">
        <f t="shared" si="300"/>
        <v>0</v>
      </c>
      <c r="AB847" s="1162">
        <f t="shared" si="300"/>
        <v>0</v>
      </c>
      <c r="AC847" s="1162">
        <f t="shared" si="300"/>
        <v>0</v>
      </c>
      <c r="AD847" s="1162">
        <f t="shared" si="300"/>
        <v>0</v>
      </c>
      <c r="AE847" s="1162">
        <f t="shared" si="300"/>
        <v>0</v>
      </c>
      <c r="AF847" s="1162">
        <f t="shared" si="300"/>
        <v>0</v>
      </c>
      <c r="AG847" s="1162">
        <f t="shared" si="300"/>
        <v>0</v>
      </c>
      <c r="AH847" s="1162">
        <f t="shared" si="300"/>
        <v>0</v>
      </c>
      <c r="AI847" s="1162">
        <f t="shared" si="300"/>
        <v>0</v>
      </c>
      <c r="AJ847" s="1162">
        <f t="shared" si="300"/>
        <v>0</v>
      </c>
      <c r="AK847" s="1162">
        <f t="shared" si="300"/>
        <v>0</v>
      </c>
      <c r="AL847" s="246"/>
      <c r="AM847" s="1162">
        <f t="shared" si="301"/>
        <v>0</v>
      </c>
      <c r="AN847" s="254"/>
      <c r="AO847" s="268"/>
      <c r="GS847" s="176"/>
      <c r="GT847" s="176"/>
      <c r="GU847" s="176"/>
      <c r="GV847" s="176"/>
      <c r="GW847" s="176"/>
    </row>
    <row r="848" spans="1:205" ht="13.5" customHeight="1" x14ac:dyDescent="0.2">
      <c r="A848" s="745"/>
      <c r="B848" s="1147"/>
      <c r="C848" s="1147"/>
      <c r="D848" s="550"/>
      <c r="E848" s="613"/>
      <c r="G848" s="174"/>
      <c r="H848" s="174"/>
      <c r="I848" s="174"/>
      <c r="J848" s="174"/>
      <c r="K848" s="174"/>
      <c r="P848" s="179"/>
      <c r="Q848" s="179"/>
      <c r="R848" s="179"/>
      <c r="S848" s="175"/>
      <c r="T848" s="175"/>
      <c r="U848" s="1491"/>
      <c r="V848" s="1491" t="str">
        <f>'ALLOCATED COSTS'!E3</f>
        <v>GENEX DAILY RATE</v>
      </c>
      <c r="W848" s="246">
        <f>IFERROR(INDEX('ALLOCATED COSTS'!$F$5:$F$8,MATCH(INPUT!$H$8,'ALLOCATED COSTS'!$E$5:$E$8,0)),0)</f>
        <v>145212.29195652175</v>
      </c>
      <c r="X848" s="1162">
        <f t="shared" si="299"/>
        <v>1887759.7954347827</v>
      </c>
      <c r="Y848" s="1162">
        <f>Y$842*$W848*IF(INPUT!$D$18="No",0,1)</f>
        <v>290424.58391304349</v>
      </c>
      <c r="Z848" s="1162">
        <f>Z$842*$W848*IF(INPUT!$D$18="No",0,1)</f>
        <v>580849.16782608698</v>
      </c>
      <c r="AA848" s="1162">
        <f t="shared" si="300"/>
        <v>726061.45978260878</v>
      </c>
      <c r="AB848" s="1162">
        <f t="shared" si="300"/>
        <v>580849.16782608698</v>
      </c>
      <c r="AC848" s="1162">
        <f t="shared" si="300"/>
        <v>1452122.9195652176</v>
      </c>
      <c r="AD848" s="1162">
        <f t="shared" si="300"/>
        <v>435636.87586956524</v>
      </c>
      <c r="AE848" s="1162">
        <f t="shared" si="300"/>
        <v>871273.75173913047</v>
      </c>
      <c r="AF848" s="1162">
        <f t="shared" si="300"/>
        <v>290424.58391304349</v>
      </c>
      <c r="AG848" s="1162">
        <f t="shared" si="300"/>
        <v>726061.45978260878</v>
      </c>
      <c r="AH848" s="1162">
        <f t="shared" si="300"/>
        <v>1016486.0436956522</v>
      </c>
      <c r="AI848" s="1162">
        <f t="shared" si="300"/>
        <v>0</v>
      </c>
      <c r="AJ848" s="1162">
        <f t="shared" si="300"/>
        <v>0</v>
      </c>
      <c r="AK848" s="1162">
        <f t="shared" si="300"/>
        <v>0</v>
      </c>
      <c r="AL848" s="246"/>
      <c r="AM848" s="1162">
        <f t="shared" si="301"/>
        <v>8857949.809347827</v>
      </c>
      <c r="AN848" s="254"/>
      <c r="GS848" s="176"/>
      <c r="GT848" s="176"/>
      <c r="GU848" s="176"/>
      <c r="GV848" s="176"/>
      <c r="GW848" s="176"/>
    </row>
    <row r="849" spans="1:210" ht="13.5" customHeight="1" x14ac:dyDescent="0.2">
      <c r="A849" s="745"/>
      <c r="B849" s="1147"/>
      <c r="C849" s="1147"/>
      <c r="D849" s="550"/>
      <c r="E849" s="614"/>
      <c r="G849" s="174"/>
      <c r="H849" s="174"/>
      <c r="I849" s="174"/>
      <c r="J849" s="174"/>
      <c r="K849" s="174"/>
      <c r="P849" s="179"/>
      <c r="Q849" s="179"/>
      <c r="R849" s="179"/>
      <c r="S849" s="175"/>
      <c r="T849" s="175"/>
      <c r="U849" s="1642"/>
      <c r="V849" s="1853" t="str">
        <f>'ALLOCATED COSTS'!H5</f>
        <v>THERMAPRIME</v>
      </c>
      <c r="W849" s="246">
        <f>IF(OR(INPUT!$D$5="RIG 1",INPUT!$D$5="RIG 2"),0,'ALLOCATED COSTS'!I5)</f>
        <v>0</v>
      </c>
      <c r="X849" s="1162">
        <f t="shared" si="299"/>
        <v>0</v>
      </c>
      <c r="Y849" s="1162">
        <f>Y$842*$W849*IF(INPUT!$D$18="No",0,1)</f>
        <v>0</v>
      </c>
      <c r="Z849" s="1162">
        <f>Z$842*$W849*IF(INPUT!$D$18="No",0,1)</f>
        <v>0</v>
      </c>
      <c r="AA849" s="1162">
        <f t="shared" si="300"/>
        <v>0</v>
      </c>
      <c r="AB849" s="1162">
        <f t="shared" si="300"/>
        <v>0</v>
      </c>
      <c r="AC849" s="1162">
        <f t="shared" si="300"/>
        <v>0</v>
      </c>
      <c r="AD849" s="1162">
        <f t="shared" si="300"/>
        <v>0</v>
      </c>
      <c r="AE849" s="1162">
        <f t="shared" si="300"/>
        <v>0</v>
      </c>
      <c r="AF849" s="1162">
        <f t="shared" si="300"/>
        <v>0</v>
      </c>
      <c r="AG849" s="1162">
        <f t="shared" si="300"/>
        <v>0</v>
      </c>
      <c r="AH849" s="1162">
        <f t="shared" si="300"/>
        <v>0</v>
      </c>
      <c r="AI849" s="1162">
        <f t="shared" si="300"/>
        <v>0</v>
      </c>
      <c r="AJ849" s="1162">
        <f t="shared" si="300"/>
        <v>0</v>
      </c>
      <c r="AK849" s="1162">
        <f t="shared" si="300"/>
        <v>0</v>
      </c>
      <c r="AL849" s="246"/>
      <c r="AM849" s="1162">
        <f t="shared" si="301"/>
        <v>0</v>
      </c>
      <c r="AN849" s="254"/>
      <c r="GS849" s="176"/>
      <c r="GT849" s="176"/>
      <c r="GU849" s="176"/>
      <c r="GV849" s="176"/>
      <c r="GW849" s="176"/>
    </row>
    <row r="850" spans="1:210" ht="13.5" customHeight="1" x14ac:dyDescent="0.2">
      <c r="A850" s="745"/>
      <c r="B850" s="1147"/>
      <c r="C850" s="1147"/>
      <c r="D850" s="550"/>
      <c r="E850" s="614"/>
      <c r="G850" s="174"/>
      <c r="H850" s="174"/>
      <c r="I850" s="174"/>
      <c r="J850" s="174"/>
      <c r="K850" s="174"/>
      <c r="P850" s="179"/>
      <c r="Q850" s="179"/>
      <c r="R850" s="179"/>
      <c r="S850" s="175"/>
      <c r="T850" s="175"/>
      <c r="U850" s="1642"/>
      <c r="V850" s="1853" t="str">
        <f>'ALLOCATED COSTS'!H6</f>
        <v>DG</v>
      </c>
      <c r="W850" s="246">
        <f>IF(OR(INPUT!$D$4="SG5D",INPUT!$D$4="LG7D"),'ALLOCATED COSTS'!I9,'ALLOCATED COSTS'!I6)</f>
        <v>412039.91052054794</v>
      </c>
      <c r="X850" s="1162">
        <f t="shared" si="299"/>
        <v>5356518.8367671231</v>
      </c>
      <c r="Y850" s="1162">
        <f>Y$842*$W850*IF(INPUT!$D$18="No",0,1)</f>
        <v>824079.82104109589</v>
      </c>
      <c r="Z850" s="1162">
        <f>Z$842*$W850*IF(INPUT!$D$18="No",0,1)</f>
        <v>1648159.6420821918</v>
      </c>
      <c r="AA850" s="1162">
        <f t="shared" si="300"/>
        <v>2060199.5526027398</v>
      </c>
      <c r="AB850" s="1162">
        <f t="shared" si="300"/>
        <v>1648159.6420821918</v>
      </c>
      <c r="AC850" s="1162">
        <f t="shared" si="300"/>
        <v>4120399.1052054795</v>
      </c>
      <c r="AD850" s="1162">
        <f t="shared" si="300"/>
        <v>1236119.7315616438</v>
      </c>
      <c r="AE850" s="1162">
        <f t="shared" si="300"/>
        <v>2472239.4631232875</v>
      </c>
      <c r="AF850" s="1162">
        <f t="shared" si="300"/>
        <v>824079.82104109589</v>
      </c>
      <c r="AG850" s="1162">
        <f t="shared" si="300"/>
        <v>2060199.5526027398</v>
      </c>
      <c r="AH850" s="1162">
        <f t="shared" si="300"/>
        <v>2884279.3736438355</v>
      </c>
      <c r="AI850" s="1162">
        <f t="shared" si="300"/>
        <v>0</v>
      </c>
      <c r="AJ850" s="1162">
        <f t="shared" si="300"/>
        <v>0</v>
      </c>
      <c r="AK850" s="1162">
        <f t="shared" si="300"/>
        <v>0</v>
      </c>
      <c r="AL850" s="246"/>
      <c r="AM850" s="1162">
        <f t="shared" si="301"/>
        <v>25134434.541753422</v>
      </c>
      <c r="AN850" s="254"/>
      <c r="GS850" s="176"/>
      <c r="GT850" s="176"/>
      <c r="GU850" s="176"/>
      <c r="GV850" s="176"/>
      <c r="GW850" s="176"/>
    </row>
    <row r="851" spans="1:210" ht="13.5" customHeight="1" x14ac:dyDescent="0.2">
      <c r="A851" s="745"/>
      <c r="B851" s="1147"/>
      <c r="C851" s="1147"/>
      <c r="D851" s="550"/>
      <c r="E851" s="614"/>
      <c r="G851" s="174"/>
      <c r="H851" s="174"/>
      <c r="I851" s="174"/>
      <c r="J851" s="174"/>
      <c r="K851" s="174"/>
      <c r="P851" s="179"/>
      <c r="Q851" s="179"/>
      <c r="R851" s="179"/>
      <c r="S851" s="175"/>
      <c r="T851" s="175"/>
      <c r="U851" s="1491"/>
      <c r="V851" s="1491" t="str">
        <f>'ALLOCATED COSTS'!B17</f>
        <v>INTER-ISLAND COST</v>
      </c>
      <c r="W851" s="246">
        <f>IFERROR(INDEX('ALLOCATED COSTS'!$C$19:$C$22,MATCH(INPUT!$H$8,'ALLOCATED COSTS'!$B$19:$B$22,0)),0)</f>
        <v>27686.053043478259</v>
      </c>
      <c r="X851" s="1162">
        <f t="shared" si="299"/>
        <v>359918.68956521736</v>
      </c>
      <c r="Y851" s="1162">
        <f>Y$842*$W851*IF(INPUT!$D$18="No",0,1)</f>
        <v>55372.106086956519</v>
      </c>
      <c r="Z851" s="1162">
        <f>Z$842*$W851*IF(INPUT!$D$18="No",0,1)</f>
        <v>110744.21217391304</v>
      </c>
      <c r="AA851" s="1162">
        <f t="shared" si="300"/>
        <v>138430.26521739131</v>
      </c>
      <c r="AB851" s="1162">
        <f t="shared" si="300"/>
        <v>110744.21217391304</v>
      </c>
      <c r="AC851" s="1162">
        <f t="shared" si="300"/>
        <v>276860.53043478262</v>
      </c>
      <c r="AD851" s="1162">
        <f t="shared" si="300"/>
        <v>83058.159130434782</v>
      </c>
      <c r="AE851" s="1162">
        <f t="shared" si="300"/>
        <v>166116.31826086956</v>
      </c>
      <c r="AF851" s="1162">
        <f t="shared" si="300"/>
        <v>55372.106086956519</v>
      </c>
      <c r="AG851" s="1162">
        <f t="shared" si="300"/>
        <v>138430.26521739131</v>
      </c>
      <c r="AH851" s="1162">
        <f t="shared" si="300"/>
        <v>193802.37130434782</v>
      </c>
      <c r="AI851" s="1162">
        <f t="shared" si="300"/>
        <v>0</v>
      </c>
      <c r="AJ851" s="1162">
        <f t="shared" si="300"/>
        <v>0</v>
      </c>
      <c r="AK851" s="1162">
        <f t="shared" si="300"/>
        <v>0</v>
      </c>
      <c r="AL851" s="1162"/>
      <c r="AM851" s="1162">
        <f>SUM(X851:AL851)</f>
        <v>1688849.2356521739</v>
      </c>
      <c r="AN851" s="254"/>
      <c r="GS851" s="176"/>
      <c r="GT851" s="176"/>
      <c r="GU851" s="176"/>
      <c r="GV851" s="176"/>
      <c r="GW851" s="176"/>
    </row>
    <row r="852" spans="1:210" ht="13.25" customHeight="1" x14ac:dyDescent="0.2">
      <c r="A852" s="745"/>
      <c r="B852" s="1147"/>
      <c r="C852" s="1147"/>
      <c r="D852" s="550"/>
      <c r="E852" s="614"/>
      <c r="G852" s="174"/>
      <c r="H852" s="174"/>
      <c r="I852" s="174"/>
      <c r="J852" s="174"/>
      <c r="K852" s="174"/>
      <c r="P852" s="179"/>
      <c r="Q852" s="179"/>
      <c r="R852" s="179"/>
      <c r="S852" s="175"/>
      <c r="T852" s="175"/>
      <c r="U852" s="1491"/>
      <c r="V852" s="1491"/>
      <c r="W852" s="246"/>
      <c r="X852" s="1162"/>
      <c r="Y852" s="1162"/>
      <c r="Z852" s="1162"/>
      <c r="AA852" s="1162"/>
      <c r="AB852" s="1162"/>
      <c r="AC852" s="1162"/>
      <c r="AD852" s="1162"/>
      <c r="AE852" s="1162"/>
      <c r="AF852" s="1162"/>
      <c r="AG852" s="1162"/>
      <c r="AH852" s="1162"/>
      <c r="AI852" s="1162"/>
      <c r="AJ852" s="1162"/>
      <c r="AK852" s="1162">
        <f>AK$842*$W852</f>
        <v>0</v>
      </c>
      <c r="AL852" s="1162"/>
      <c r="AM852" s="1162">
        <f t="shared" si="301"/>
        <v>0</v>
      </c>
      <c r="AN852" s="254"/>
      <c r="GS852" s="176"/>
      <c r="GT852" s="176"/>
      <c r="GU852" s="176"/>
      <c r="GV852" s="176"/>
      <c r="GW852" s="176"/>
    </row>
    <row r="853" spans="1:210" ht="13.5" customHeight="1" x14ac:dyDescent="0.2">
      <c r="A853" s="712"/>
      <c r="B853" s="1113"/>
      <c r="C853" s="1113"/>
      <c r="D853" s="536"/>
      <c r="E853" s="613"/>
      <c r="G853" s="174"/>
      <c r="H853" s="174"/>
      <c r="I853" s="174"/>
      <c r="J853" s="174"/>
      <c r="K853" s="174"/>
      <c r="P853" s="179"/>
      <c r="Q853" s="179"/>
      <c r="R853" s="179"/>
      <c r="S853" s="179"/>
      <c r="T853" s="179"/>
      <c r="U853" s="254"/>
      <c r="V853" s="254"/>
      <c r="W853" s="257"/>
      <c r="X853" s="1431">
        <f>SUM(X845:X852)</f>
        <v>7604197.3217671234</v>
      </c>
      <c r="Y853" s="1431">
        <f>SUM(Y845:Y852)</f>
        <v>1169876.5110410959</v>
      </c>
      <c r="Z853" s="1431">
        <f t="shared" ref="Z853:AG853" si="302">SUM(Z845:Z852)</f>
        <v>2339753.0220821919</v>
      </c>
      <c r="AA853" s="1431">
        <f t="shared" si="302"/>
        <v>2924691.2776027401</v>
      </c>
      <c r="AB853" s="1431">
        <f t="shared" si="302"/>
        <v>2339753.0220821919</v>
      </c>
      <c r="AC853" s="1431">
        <f t="shared" si="302"/>
        <v>5849382.5552054802</v>
      </c>
      <c r="AD853" s="1431">
        <f t="shared" si="302"/>
        <v>1754814.7665616437</v>
      </c>
      <c r="AE853" s="1431">
        <f t="shared" si="302"/>
        <v>3509629.5331232874</v>
      </c>
      <c r="AF853" s="1431">
        <f t="shared" si="302"/>
        <v>1169876.5110410959</v>
      </c>
      <c r="AG853" s="1431">
        <f t="shared" si="302"/>
        <v>2924691.2776027401</v>
      </c>
      <c r="AH853" s="1431">
        <f>SUM(AH845:AH852)</f>
        <v>4094567.7886438356</v>
      </c>
      <c r="AI853" s="1431">
        <f>SUM(AI845:AI852)</f>
        <v>0</v>
      </c>
      <c r="AJ853" s="1431">
        <f>SUM(AJ845:AJ852)</f>
        <v>0</v>
      </c>
      <c r="AK853" s="1431">
        <f>SUM(AK845:AK852)</f>
        <v>0</v>
      </c>
      <c r="AL853" s="246"/>
      <c r="AM853" s="1450">
        <f>SUM(AM845:AM852)</f>
        <v>35681233.586753421</v>
      </c>
      <c r="AN853" s="254"/>
      <c r="GS853" s="176"/>
      <c r="GT853" s="176"/>
      <c r="GU853" s="176"/>
      <c r="GV853" s="176"/>
      <c r="GW853" s="176"/>
    </row>
    <row r="854" spans="1:210" ht="12.75" customHeight="1" x14ac:dyDescent="0.2">
      <c r="A854" s="737"/>
      <c r="B854" s="1138"/>
      <c r="C854" s="1138"/>
      <c r="D854" s="542"/>
      <c r="E854" s="618"/>
      <c r="G854" s="174"/>
      <c r="H854" s="174"/>
      <c r="I854" s="174"/>
      <c r="J854" s="174"/>
      <c r="K854" s="174"/>
      <c r="P854" s="179"/>
      <c r="Q854" s="179"/>
      <c r="R854" s="179"/>
      <c r="S854" s="179"/>
      <c r="T854" s="179"/>
      <c r="X854" s="254"/>
      <c r="Y854" s="254"/>
      <c r="Z854" s="254"/>
      <c r="AA854" s="254"/>
      <c r="AB854" s="254"/>
      <c r="AC854" s="254"/>
      <c r="AD854" s="254"/>
      <c r="AE854" s="254"/>
      <c r="AF854" s="254"/>
      <c r="AG854" s="254"/>
      <c r="AH854" s="254"/>
      <c r="AI854" s="254"/>
      <c r="AJ854" s="254"/>
      <c r="AK854" s="254"/>
      <c r="AL854" s="254"/>
      <c r="AM854" s="542"/>
      <c r="AN854" s="254"/>
      <c r="GS854" s="176"/>
      <c r="GT854" s="176"/>
      <c r="GU854" s="176"/>
      <c r="GV854" s="176"/>
      <c r="GW854" s="176"/>
    </row>
    <row r="855" spans="1:210" ht="12.5" customHeight="1" x14ac:dyDescent="0.2">
      <c r="I855" s="172"/>
      <c r="J855" s="240"/>
      <c r="U855" s="1392"/>
      <c r="AM855" s="172"/>
      <c r="AN855" s="254"/>
    </row>
    <row r="856" spans="1:210" ht="18" customHeight="1" x14ac:dyDescent="0.2">
      <c r="I856" s="172"/>
      <c r="AM856" s="172"/>
      <c r="AN856" s="240"/>
    </row>
    <row r="857" spans="1:210" ht="18" customHeight="1" x14ac:dyDescent="0.2">
      <c r="A857" s="700"/>
      <c r="B857" s="1101"/>
      <c r="C857" s="1101"/>
      <c r="D857" s="514"/>
      <c r="E857" s="627"/>
      <c r="F857" s="323"/>
      <c r="G857" s="323"/>
      <c r="H857" s="323"/>
      <c r="I857" s="269"/>
      <c r="AA857" s="1392"/>
      <c r="AB857" s="1392"/>
      <c r="AC857" s="1392"/>
      <c r="AD857" s="1392"/>
      <c r="AE857" s="1392"/>
      <c r="AF857" s="1392"/>
      <c r="AG857" s="1392"/>
      <c r="AH857" s="1392"/>
      <c r="AI857" s="1670"/>
      <c r="AJ857" s="1670"/>
      <c r="AK857" s="1670"/>
      <c r="AL857" s="1392"/>
      <c r="AM857" s="269"/>
      <c r="AN857" s="240"/>
    </row>
    <row r="858" spans="1:210" ht="18" customHeight="1" x14ac:dyDescent="0.2">
      <c r="I858" s="172"/>
      <c r="U858" s="1390"/>
      <c r="V858" s="1390"/>
      <c r="W858" s="1390"/>
      <c r="X858" s="173"/>
      <c r="Y858" s="173"/>
      <c r="Z858" s="173"/>
      <c r="AM858" s="172"/>
    </row>
    <row r="859" spans="1:210" ht="18" customHeight="1" x14ac:dyDescent="0.2">
      <c r="I859" s="172"/>
      <c r="AM859" s="172"/>
    </row>
    <row r="860" spans="1:210" ht="18" customHeight="1" x14ac:dyDescent="0.2">
      <c r="I860" s="172"/>
      <c r="J860" s="172"/>
      <c r="L860" s="172"/>
      <c r="M860" s="172"/>
      <c r="N860" s="228"/>
      <c r="O860" s="172"/>
      <c r="AM860" s="172"/>
      <c r="GX860" s="172"/>
      <c r="GY860" s="172"/>
      <c r="GZ860" s="172"/>
      <c r="HA860" s="172"/>
    </row>
    <row r="861" spans="1:210" ht="18" customHeight="1" x14ac:dyDescent="0.2">
      <c r="I861" s="172"/>
      <c r="J861" s="172"/>
      <c r="L861" s="172"/>
      <c r="M861" s="226"/>
      <c r="N861" s="228"/>
      <c r="O861" s="172"/>
      <c r="P861" s="186" t="e">
        <f>#REF!</f>
        <v>#REF!</v>
      </c>
      <c r="Q861" s="186" t="e">
        <f>#REF!</f>
        <v>#REF!</v>
      </c>
      <c r="R861" s="186" t="e">
        <f>#REF!</f>
        <v>#REF!</v>
      </c>
      <c r="S861" s="186" t="e">
        <f>#REF!</f>
        <v>#REF!</v>
      </c>
      <c r="T861" s="186" t="e">
        <f>#REF!</f>
        <v>#REF!</v>
      </c>
      <c r="AM861" s="172"/>
      <c r="AP861" s="172"/>
      <c r="AQ861" s="172"/>
      <c r="AR861" s="228"/>
      <c r="AS861" s="172"/>
      <c r="GX861" s="172"/>
      <c r="GY861" s="172"/>
      <c r="GZ861" s="172"/>
      <c r="HA861" s="172"/>
    </row>
    <row r="862" spans="1:210" ht="18" customHeight="1" x14ac:dyDescent="0.2">
      <c r="A862" s="696"/>
      <c r="B862" s="1098"/>
      <c r="C862" s="1098"/>
      <c r="D862" s="173"/>
      <c r="E862" s="594"/>
      <c r="F862" s="173"/>
      <c r="G862" s="173"/>
      <c r="H862" s="173"/>
      <c r="I862" s="173"/>
      <c r="J862" s="173"/>
      <c r="K862" s="173"/>
      <c r="L862" s="173"/>
      <c r="M862" s="173"/>
      <c r="N862" s="226"/>
      <c r="O862" s="228"/>
      <c r="P862" s="172"/>
      <c r="U862" s="1390"/>
      <c r="V862" s="1390"/>
      <c r="W862" s="1390"/>
      <c r="X862" s="173"/>
      <c r="Y862" s="173"/>
      <c r="Z862" s="173"/>
      <c r="AA862" s="173"/>
      <c r="AB862" s="173"/>
      <c r="AC862" s="173"/>
      <c r="AD862" s="173"/>
      <c r="AE862" s="173"/>
      <c r="AF862" s="173"/>
      <c r="AG862" s="173"/>
      <c r="AH862" s="173"/>
      <c r="AI862" s="173"/>
      <c r="AJ862" s="173"/>
      <c r="AK862" s="173"/>
      <c r="AL862" s="173"/>
      <c r="AM862" s="173"/>
      <c r="AN862" s="172"/>
      <c r="AP862" s="172"/>
      <c r="AQ862" s="226"/>
      <c r="AR862" s="228"/>
      <c r="AS862" s="172"/>
      <c r="AT862" s="186"/>
      <c r="AU862" s="186"/>
      <c r="GX862" s="172"/>
      <c r="GY862" s="172"/>
      <c r="GZ862" s="172"/>
      <c r="HA862" s="172"/>
      <c r="HB862" s="172"/>
    </row>
    <row r="863" spans="1:210" ht="18" customHeight="1" x14ac:dyDescent="0.2">
      <c r="I863" s="172"/>
      <c r="J863" s="172"/>
      <c r="L863" s="172"/>
      <c r="M863" s="172"/>
      <c r="N863" s="228"/>
      <c r="O863" s="228"/>
      <c r="P863" s="172"/>
      <c r="AM863" s="172"/>
      <c r="AN863" s="172"/>
      <c r="AO863" s="173"/>
      <c r="AP863" s="173"/>
      <c r="AQ863" s="173"/>
      <c r="AR863" s="226"/>
      <c r="AS863" s="228"/>
      <c r="AT863" s="172"/>
      <c r="GX863" s="172"/>
      <c r="GY863" s="172"/>
      <c r="GZ863" s="172"/>
      <c r="HA863" s="172"/>
      <c r="HB863" s="172"/>
    </row>
    <row r="864" spans="1:210" s="226" customFormat="1" ht="18" customHeight="1" x14ac:dyDescent="0.15">
      <c r="A864" s="700"/>
      <c r="B864" s="1101"/>
      <c r="C864" s="1101"/>
      <c r="D864" s="514"/>
      <c r="E864" s="627"/>
      <c r="F864" s="323"/>
      <c r="G864" s="323"/>
      <c r="H864" s="323"/>
      <c r="I864" s="323"/>
      <c r="J864" s="323"/>
      <c r="K864" s="323"/>
      <c r="L864" s="323"/>
      <c r="M864" s="323"/>
      <c r="O864" s="2515"/>
      <c r="P864" s="172"/>
      <c r="Q864" s="174"/>
      <c r="R864" s="174"/>
      <c r="S864" s="174"/>
      <c r="T864" s="174"/>
      <c r="U864" s="172"/>
      <c r="V864" s="172"/>
      <c r="W864" s="172"/>
      <c r="X864" s="1392"/>
      <c r="Y864" s="1392"/>
      <c r="Z864" s="1392"/>
      <c r="AA864" s="1392"/>
      <c r="AB864" s="1392"/>
      <c r="AC864" s="1392"/>
      <c r="AD864" s="1392"/>
      <c r="AE864" s="1392"/>
      <c r="AF864" s="1392"/>
      <c r="AG864" s="1392"/>
      <c r="AH864" s="1392"/>
      <c r="AI864" s="1670"/>
      <c r="AJ864" s="1670"/>
      <c r="AK864" s="1670"/>
      <c r="AL864" s="1392"/>
      <c r="AM864" s="1392"/>
      <c r="AN864" s="173"/>
      <c r="AO864" s="172"/>
      <c r="AP864" s="172"/>
      <c r="AQ864" s="172"/>
      <c r="AR864" s="228"/>
      <c r="AS864" s="228"/>
      <c r="AT864" s="172"/>
      <c r="AU864" s="174"/>
      <c r="AV864" s="172"/>
      <c r="AW864" s="172"/>
      <c r="AX864" s="172"/>
      <c r="AY864" s="172"/>
      <c r="AZ864" s="172"/>
      <c r="BA864" s="172"/>
      <c r="BB864" s="172"/>
      <c r="BC864" s="172"/>
      <c r="BD864" s="172"/>
      <c r="BE864" s="172"/>
      <c r="BF864" s="172"/>
      <c r="BG864" s="172"/>
      <c r="BH864" s="172"/>
      <c r="BI864" s="172"/>
      <c r="BJ864" s="172"/>
      <c r="BK864" s="172"/>
      <c r="BL864" s="172"/>
      <c r="BM864" s="172"/>
      <c r="BN864" s="172"/>
      <c r="BO864" s="172"/>
      <c r="BP864" s="172"/>
      <c r="BQ864" s="172"/>
      <c r="BR864" s="172"/>
      <c r="BS864" s="172"/>
      <c r="BT864" s="172"/>
      <c r="BU864" s="172"/>
      <c r="BV864" s="172"/>
      <c r="BW864" s="172"/>
      <c r="BX864" s="172"/>
      <c r="BY864" s="172"/>
      <c r="BZ864" s="172"/>
      <c r="CA864" s="172"/>
      <c r="CB864" s="172"/>
      <c r="CC864" s="172"/>
      <c r="CD864" s="172"/>
      <c r="CE864" s="172"/>
      <c r="CF864" s="172"/>
      <c r="CG864" s="172"/>
      <c r="CH864" s="172"/>
      <c r="CI864" s="172"/>
      <c r="CJ864" s="172"/>
      <c r="CK864" s="172"/>
      <c r="CL864" s="172"/>
      <c r="CM864" s="172"/>
      <c r="CN864" s="172"/>
      <c r="CO864" s="172"/>
      <c r="CP864" s="172"/>
      <c r="CQ864" s="172"/>
      <c r="CR864" s="172"/>
      <c r="CS864" s="172"/>
      <c r="CT864" s="172"/>
      <c r="CU864" s="172"/>
      <c r="CV864" s="172"/>
      <c r="CW864" s="172"/>
      <c r="CX864" s="172"/>
      <c r="CY864" s="172"/>
      <c r="CZ864" s="172"/>
      <c r="DA864" s="172"/>
      <c r="DB864" s="172"/>
      <c r="DC864" s="172"/>
      <c r="DD864" s="172"/>
      <c r="DE864" s="172"/>
      <c r="DF864" s="172"/>
      <c r="DG864" s="172"/>
      <c r="DH864" s="172"/>
      <c r="DI864" s="172"/>
      <c r="DJ864" s="172"/>
      <c r="DK864" s="172"/>
      <c r="DL864" s="172"/>
      <c r="DM864" s="172"/>
      <c r="DN864" s="172"/>
      <c r="DO864" s="172"/>
      <c r="DP864" s="172"/>
      <c r="DQ864" s="172"/>
      <c r="DR864" s="172"/>
      <c r="DS864" s="172"/>
      <c r="DT864" s="172"/>
      <c r="DU864" s="172"/>
      <c r="DV864" s="172"/>
      <c r="DW864" s="172"/>
      <c r="DX864" s="172"/>
      <c r="DY864" s="172"/>
      <c r="DZ864" s="172"/>
      <c r="EA864" s="172"/>
      <c r="EB864" s="172"/>
      <c r="EC864" s="172"/>
      <c r="ED864" s="172"/>
      <c r="EE864" s="172"/>
      <c r="EF864" s="172"/>
      <c r="EG864" s="172"/>
      <c r="EH864" s="172"/>
      <c r="EI864" s="172"/>
      <c r="EJ864" s="172"/>
      <c r="EK864" s="172"/>
      <c r="EL864" s="172"/>
      <c r="EM864" s="172"/>
      <c r="EN864" s="172"/>
      <c r="EO864" s="172"/>
      <c r="EP864" s="172"/>
      <c r="EQ864" s="172"/>
      <c r="ER864" s="172"/>
      <c r="ES864" s="172"/>
      <c r="ET864" s="172"/>
      <c r="EU864" s="172"/>
      <c r="EV864" s="172"/>
      <c r="EW864" s="172"/>
      <c r="EX864" s="172"/>
      <c r="EY864" s="172"/>
      <c r="EZ864" s="172"/>
      <c r="FA864" s="172"/>
      <c r="FB864" s="172"/>
      <c r="FC864" s="172"/>
      <c r="FD864" s="172"/>
      <c r="FE864" s="172"/>
      <c r="FF864" s="172"/>
      <c r="FG864" s="172"/>
      <c r="FH864" s="172"/>
      <c r="FI864" s="172"/>
      <c r="FJ864" s="172"/>
      <c r="FK864" s="172"/>
      <c r="FL864" s="172"/>
      <c r="FM864" s="172"/>
      <c r="FN864" s="172"/>
      <c r="FO864" s="172"/>
      <c r="FP864" s="172"/>
      <c r="FQ864" s="172"/>
      <c r="FR864" s="172"/>
      <c r="FS864" s="172"/>
      <c r="FT864" s="172"/>
      <c r="FU864" s="172"/>
      <c r="FV864" s="172"/>
      <c r="FW864" s="172"/>
      <c r="FX864" s="172"/>
      <c r="FY864" s="172"/>
      <c r="FZ864" s="172"/>
      <c r="GA864" s="172"/>
      <c r="GB864" s="172"/>
      <c r="GC864" s="172"/>
      <c r="GD864" s="172"/>
      <c r="GE864" s="172"/>
      <c r="GF864" s="172"/>
      <c r="GG864" s="172"/>
      <c r="GH864" s="172"/>
      <c r="GI864" s="172"/>
      <c r="GJ864" s="172"/>
      <c r="GK864" s="172"/>
      <c r="GL864" s="172"/>
      <c r="GM864" s="172"/>
      <c r="GN864" s="172"/>
      <c r="GO864" s="172"/>
      <c r="GP864" s="172"/>
      <c r="GQ864" s="172"/>
      <c r="GR864" s="172"/>
      <c r="GS864" s="172"/>
      <c r="GT864" s="172"/>
      <c r="GU864" s="172"/>
      <c r="GV864" s="172"/>
      <c r="GW864" s="172"/>
      <c r="GX864" s="172"/>
      <c r="GY864" s="172"/>
      <c r="GZ864" s="172"/>
      <c r="HA864" s="172"/>
      <c r="HB864" s="172"/>
    </row>
    <row r="865" spans="1:210" s="226" customFormat="1" ht="18" customHeight="1" x14ac:dyDescent="0.15">
      <c r="A865" s="700"/>
      <c r="B865" s="1101"/>
      <c r="C865" s="1101"/>
      <c r="D865" s="514"/>
      <c r="E865" s="627"/>
      <c r="F865" s="323"/>
      <c r="G865" s="323"/>
      <c r="H865" s="323"/>
      <c r="I865" s="323"/>
      <c r="J865" s="323"/>
      <c r="K865" s="323"/>
      <c r="L865" s="323"/>
      <c r="M865" s="323"/>
      <c r="N865" s="172"/>
      <c r="O865" s="2515"/>
      <c r="P865" s="172"/>
      <c r="Q865" s="174"/>
      <c r="R865" s="174"/>
      <c r="S865" s="174"/>
      <c r="T865" s="174"/>
      <c r="U865" s="172"/>
      <c r="V865" s="172"/>
      <c r="W865" s="172"/>
      <c r="X865" s="1392"/>
      <c r="Y865" s="1392"/>
      <c r="Z865" s="1392"/>
      <c r="AA865" s="1392"/>
      <c r="AB865" s="1392"/>
      <c r="AC865" s="1392"/>
      <c r="AD865" s="1392"/>
      <c r="AE865" s="1392"/>
      <c r="AF865" s="1392"/>
      <c r="AG865" s="1392"/>
      <c r="AH865" s="1392"/>
      <c r="AI865" s="1670"/>
      <c r="AJ865" s="1670"/>
      <c r="AK865" s="1670"/>
      <c r="AL865" s="1392"/>
      <c r="AM865" s="1392"/>
      <c r="AN865" s="172"/>
      <c r="AO865" s="1392"/>
      <c r="AP865" s="1392"/>
      <c r="AQ865" s="1392"/>
      <c r="AS865" s="2515"/>
      <c r="AT865" s="172"/>
      <c r="AU865" s="174"/>
      <c r="AV865" s="172"/>
      <c r="AW865" s="172"/>
      <c r="AX865" s="172"/>
      <c r="AY865" s="172"/>
      <c r="AZ865" s="172"/>
      <c r="BA865" s="172"/>
      <c r="BB865" s="172"/>
      <c r="BC865" s="172"/>
      <c r="BD865" s="172"/>
      <c r="BE865" s="172"/>
      <c r="BF865" s="172"/>
      <c r="BG865" s="172"/>
      <c r="BH865" s="172"/>
      <c r="BI865" s="172"/>
      <c r="BJ865" s="172"/>
      <c r="BK865" s="172"/>
      <c r="BL865" s="172"/>
      <c r="BM865" s="172"/>
      <c r="BN865" s="172"/>
      <c r="BO865" s="172"/>
      <c r="BP865" s="172"/>
      <c r="BQ865" s="172"/>
      <c r="BR865" s="172"/>
      <c r="BS865" s="172"/>
      <c r="BT865" s="172"/>
      <c r="BU865" s="172"/>
      <c r="BV865" s="172"/>
      <c r="BW865" s="172"/>
      <c r="BX865" s="172"/>
      <c r="BY865" s="172"/>
      <c r="BZ865" s="172"/>
      <c r="CA865" s="172"/>
      <c r="CB865" s="172"/>
      <c r="CC865" s="172"/>
      <c r="CD865" s="172"/>
      <c r="CE865" s="172"/>
      <c r="CF865" s="172"/>
      <c r="CG865" s="172"/>
      <c r="CH865" s="172"/>
      <c r="CI865" s="172"/>
      <c r="CJ865" s="172"/>
      <c r="CK865" s="172"/>
      <c r="CL865" s="172"/>
      <c r="CM865" s="172"/>
      <c r="CN865" s="172"/>
      <c r="CO865" s="172"/>
      <c r="CP865" s="172"/>
      <c r="CQ865" s="172"/>
      <c r="CR865" s="172"/>
      <c r="CS865" s="172"/>
      <c r="CT865" s="172"/>
      <c r="CU865" s="172"/>
      <c r="CV865" s="172"/>
      <c r="CW865" s="172"/>
      <c r="CX865" s="172"/>
      <c r="CY865" s="172"/>
      <c r="CZ865" s="172"/>
      <c r="DA865" s="172"/>
      <c r="DB865" s="172"/>
      <c r="DC865" s="172"/>
      <c r="DD865" s="172"/>
      <c r="DE865" s="172"/>
      <c r="DF865" s="172"/>
      <c r="DG865" s="172"/>
      <c r="DH865" s="172"/>
      <c r="DI865" s="172"/>
      <c r="DJ865" s="172"/>
      <c r="DK865" s="172"/>
      <c r="DL865" s="172"/>
      <c r="DM865" s="172"/>
      <c r="DN865" s="172"/>
      <c r="DO865" s="172"/>
      <c r="DP865" s="172"/>
      <c r="DQ865" s="172"/>
      <c r="DR865" s="172"/>
      <c r="DS865" s="172"/>
      <c r="DT865" s="172"/>
      <c r="DU865" s="172"/>
      <c r="DV865" s="172"/>
      <c r="DW865" s="172"/>
      <c r="DX865" s="172"/>
      <c r="DY865" s="172"/>
      <c r="DZ865" s="172"/>
      <c r="EA865" s="172"/>
      <c r="EB865" s="172"/>
      <c r="EC865" s="172"/>
      <c r="ED865" s="172"/>
      <c r="EE865" s="172"/>
      <c r="EF865" s="172"/>
      <c r="EG865" s="172"/>
      <c r="EH865" s="172"/>
      <c r="EI865" s="172"/>
      <c r="EJ865" s="172"/>
      <c r="EK865" s="172"/>
      <c r="EL865" s="172"/>
      <c r="EM865" s="172"/>
      <c r="EN865" s="172"/>
      <c r="EO865" s="172"/>
      <c r="EP865" s="172"/>
      <c r="EQ865" s="172"/>
      <c r="ER865" s="172"/>
      <c r="ES865" s="172"/>
      <c r="ET865" s="172"/>
      <c r="EU865" s="172"/>
      <c r="EV865" s="172"/>
      <c r="EW865" s="172"/>
      <c r="EX865" s="172"/>
      <c r="EY865" s="172"/>
      <c r="EZ865" s="172"/>
      <c r="FA865" s="172"/>
      <c r="FB865" s="172"/>
      <c r="FC865" s="172"/>
      <c r="FD865" s="172"/>
      <c r="FE865" s="172"/>
      <c r="FF865" s="172"/>
      <c r="FG865" s="172"/>
      <c r="FH865" s="172"/>
      <c r="FI865" s="172"/>
      <c r="FJ865" s="172"/>
      <c r="FK865" s="172"/>
      <c r="FL865" s="172"/>
      <c r="FM865" s="172"/>
      <c r="FN865" s="172"/>
      <c r="FO865" s="172"/>
      <c r="FP865" s="172"/>
      <c r="FQ865" s="172"/>
      <c r="FR865" s="172"/>
      <c r="FS865" s="172"/>
      <c r="FT865" s="172"/>
      <c r="FU865" s="172"/>
      <c r="FV865" s="172"/>
      <c r="FW865" s="172"/>
      <c r="FX865" s="172"/>
      <c r="FY865" s="172"/>
      <c r="FZ865" s="172"/>
      <c r="GA865" s="172"/>
      <c r="GB865" s="172"/>
      <c r="GC865" s="172"/>
      <c r="GD865" s="172"/>
      <c r="GE865" s="172"/>
      <c r="GF865" s="172"/>
      <c r="GG865" s="172"/>
      <c r="GH865" s="172"/>
      <c r="GI865" s="172"/>
      <c r="GJ865" s="172"/>
      <c r="GK865" s="172"/>
      <c r="GL865" s="172"/>
      <c r="GM865" s="172"/>
      <c r="GN865" s="172"/>
      <c r="GO865" s="172"/>
      <c r="GP865" s="172"/>
      <c r="GQ865" s="172"/>
      <c r="GR865" s="172"/>
      <c r="GS865" s="172"/>
      <c r="GT865" s="172"/>
      <c r="GU865" s="172"/>
      <c r="GV865" s="172"/>
      <c r="GW865" s="172"/>
      <c r="GX865" s="172"/>
      <c r="GY865" s="172"/>
      <c r="GZ865" s="172"/>
      <c r="HA865" s="172"/>
      <c r="HB865" s="172"/>
    </row>
    <row r="866" spans="1:210" s="226" customFormat="1" ht="18" customHeight="1" x14ac:dyDescent="0.15">
      <c r="A866" s="746"/>
      <c r="B866" s="1148"/>
      <c r="C866" s="1148"/>
      <c r="D866" s="181"/>
      <c r="E866" s="628"/>
      <c r="F866" s="181"/>
      <c r="G866" s="181"/>
      <c r="H866" s="181"/>
      <c r="I866" s="181"/>
      <c r="J866" s="181"/>
      <c r="K866" s="181"/>
      <c r="L866" s="181"/>
      <c r="M866" s="181"/>
      <c r="O866" s="202"/>
      <c r="P866" s="172"/>
      <c r="Q866" s="174"/>
      <c r="R866" s="174"/>
      <c r="S866" s="174"/>
      <c r="T866" s="174"/>
      <c r="U866" s="172"/>
      <c r="V866" s="172"/>
      <c r="W866" s="172"/>
      <c r="X866" s="172"/>
      <c r="Y866" s="172"/>
      <c r="Z866" s="172"/>
      <c r="AA866" s="172"/>
      <c r="AB866" s="172"/>
      <c r="AC866" s="181"/>
      <c r="AD866" s="181"/>
      <c r="AE866" s="181"/>
      <c r="AF866" s="181"/>
      <c r="AG866" s="181"/>
      <c r="AH866" s="181"/>
      <c r="AI866" s="181"/>
      <c r="AJ866" s="181"/>
      <c r="AK866" s="181"/>
      <c r="AL866" s="181"/>
      <c r="AM866" s="181"/>
      <c r="AN866" s="1392"/>
      <c r="AO866" s="1392"/>
      <c r="AP866" s="1392"/>
      <c r="AQ866" s="1392"/>
      <c r="AR866" s="172"/>
      <c r="AS866" s="2515"/>
      <c r="AT866" s="172"/>
      <c r="AU866" s="174"/>
      <c r="AV866" s="172"/>
      <c r="AW866" s="172"/>
      <c r="AX866" s="172"/>
      <c r="AY866" s="172"/>
      <c r="AZ866" s="172"/>
      <c r="BA866" s="172"/>
      <c r="BB866" s="172"/>
      <c r="BC866" s="172"/>
      <c r="BD866" s="172"/>
      <c r="BE866" s="172"/>
      <c r="BF866" s="172"/>
      <c r="BG866" s="172"/>
      <c r="BH866" s="172"/>
      <c r="BI866" s="172"/>
      <c r="BJ866" s="172"/>
      <c r="BK866" s="172"/>
      <c r="BL866" s="172"/>
      <c r="BM866" s="172"/>
      <c r="BN866" s="172"/>
      <c r="BO866" s="172"/>
      <c r="BP866" s="172"/>
      <c r="BQ866" s="172"/>
      <c r="BR866" s="172"/>
      <c r="BS866" s="172"/>
      <c r="BT866" s="172"/>
      <c r="BU866" s="172"/>
      <c r="BV866" s="172"/>
      <c r="BW866" s="172"/>
      <c r="BX866" s="172"/>
      <c r="BY866" s="172"/>
      <c r="BZ866" s="172"/>
      <c r="CA866" s="172"/>
      <c r="CB866" s="172"/>
      <c r="CC866" s="172"/>
      <c r="CD866" s="172"/>
      <c r="CE866" s="172"/>
      <c r="CF866" s="172"/>
      <c r="CG866" s="172"/>
      <c r="CH866" s="172"/>
      <c r="CI866" s="172"/>
      <c r="CJ866" s="172"/>
      <c r="CK866" s="172"/>
      <c r="CL866" s="172"/>
      <c r="CM866" s="172"/>
      <c r="CN866" s="172"/>
      <c r="CO866" s="172"/>
      <c r="CP866" s="172"/>
      <c r="CQ866" s="172"/>
      <c r="CR866" s="172"/>
      <c r="CS866" s="172"/>
      <c r="CT866" s="172"/>
      <c r="CU866" s="172"/>
      <c r="CV866" s="172"/>
      <c r="CW866" s="172"/>
      <c r="CX866" s="172"/>
      <c r="CY866" s="172"/>
      <c r="CZ866" s="172"/>
      <c r="DA866" s="172"/>
      <c r="DB866" s="172"/>
      <c r="DC866" s="172"/>
      <c r="DD866" s="172"/>
      <c r="DE866" s="172"/>
      <c r="DF866" s="172"/>
      <c r="DG866" s="172"/>
      <c r="DH866" s="172"/>
      <c r="DI866" s="172"/>
      <c r="DJ866" s="172"/>
      <c r="DK866" s="172"/>
      <c r="DL866" s="172"/>
      <c r="DM866" s="172"/>
      <c r="DN866" s="172"/>
      <c r="DO866" s="172"/>
      <c r="DP866" s="172"/>
      <c r="DQ866" s="172"/>
      <c r="DR866" s="172"/>
      <c r="DS866" s="172"/>
      <c r="DT866" s="172"/>
      <c r="DU866" s="172"/>
      <c r="DV866" s="172"/>
      <c r="DW866" s="172"/>
      <c r="DX866" s="172"/>
      <c r="DY866" s="172"/>
      <c r="DZ866" s="172"/>
      <c r="EA866" s="172"/>
      <c r="EB866" s="172"/>
      <c r="EC866" s="172"/>
      <c r="ED866" s="172"/>
      <c r="EE866" s="172"/>
      <c r="EF866" s="172"/>
      <c r="EG866" s="172"/>
      <c r="EH866" s="172"/>
      <c r="EI866" s="172"/>
      <c r="EJ866" s="172"/>
      <c r="EK866" s="172"/>
      <c r="EL866" s="172"/>
      <c r="EM866" s="172"/>
      <c r="EN866" s="172"/>
      <c r="EO866" s="172"/>
      <c r="EP866" s="172"/>
      <c r="EQ866" s="172"/>
      <c r="ER866" s="172"/>
      <c r="ES866" s="172"/>
      <c r="ET866" s="172"/>
      <c r="EU866" s="172"/>
      <c r="EV866" s="172"/>
      <c r="EW866" s="172"/>
      <c r="EX866" s="172"/>
      <c r="EY866" s="172"/>
      <c r="EZ866" s="172"/>
      <c r="FA866" s="172"/>
      <c r="FB866" s="172"/>
      <c r="FC866" s="172"/>
      <c r="FD866" s="172"/>
      <c r="FE866" s="172"/>
      <c r="FF866" s="172"/>
      <c r="FG866" s="172"/>
      <c r="FH866" s="172"/>
      <c r="FI866" s="172"/>
      <c r="FJ866" s="172"/>
      <c r="FK866" s="172"/>
      <c r="FL866" s="172"/>
      <c r="FM866" s="172"/>
      <c r="FN866" s="172"/>
      <c r="FO866" s="172"/>
      <c r="FP866" s="172"/>
      <c r="FQ866" s="172"/>
      <c r="FR866" s="172"/>
      <c r="FS866" s="172"/>
      <c r="FT866" s="172"/>
      <c r="FU866" s="172"/>
      <c r="FV866" s="172"/>
      <c r="FW866" s="172"/>
      <c r="FX866" s="172"/>
      <c r="FY866" s="172"/>
      <c r="FZ866" s="172"/>
      <c r="GA866" s="172"/>
      <c r="GB866" s="172"/>
      <c r="GC866" s="172"/>
      <c r="GD866" s="172"/>
      <c r="GE866" s="172"/>
      <c r="GF866" s="172"/>
      <c r="GG866" s="172"/>
      <c r="GH866" s="172"/>
      <c r="GI866" s="172"/>
      <c r="GJ866" s="172"/>
      <c r="GK866" s="172"/>
      <c r="GL866" s="172"/>
      <c r="GM866" s="172"/>
      <c r="GN866" s="172"/>
      <c r="GO866" s="172"/>
      <c r="GP866" s="172"/>
      <c r="GQ866" s="172"/>
      <c r="GR866" s="172"/>
      <c r="GS866" s="172"/>
      <c r="GT866" s="172"/>
      <c r="GU866" s="172"/>
      <c r="GV866" s="172"/>
      <c r="GW866" s="172"/>
      <c r="GX866" s="172"/>
      <c r="GY866" s="172"/>
      <c r="GZ866" s="172"/>
      <c r="HA866" s="172"/>
      <c r="HB866" s="172"/>
    </row>
    <row r="867" spans="1:210" s="226" customFormat="1" ht="18" customHeight="1" x14ac:dyDescent="0.15">
      <c r="A867" s="698"/>
      <c r="B867" s="1097"/>
      <c r="C867" s="1097"/>
      <c r="D867" s="172"/>
      <c r="E867" s="596"/>
      <c r="F867" s="172"/>
      <c r="G867" s="172"/>
      <c r="H867" s="172"/>
      <c r="I867" s="172"/>
      <c r="J867" s="172"/>
      <c r="K867" s="172"/>
      <c r="L867" s="172"/>
      <c r="M867" s="172"/>
      <c r="O867" s="202"/>
      <c r="P867" s="172"/>
      <c r="Q867" s="174"/>
      <c r="R867" s="174"/>
      <c r="S867" s="174"/>
      <c r="T867" s="174"/>
      <c r="U867" s="172"/>
      <c r="V867" s="172"/>
      <c r="W867" s="172"/>
      <c r="X867" s="172"/>
      <c r="Y867" s="172"/>
      <c r="Z867" s="172"/>
      <c r="AA867" s="172"/>
      <c r="AB867" s="172"/>
      <c r="AC867" s="172"/>
      <c r="AD867" s="172"/>
      <c r="AE867" s="172"/>
      <c r="AF867" s="172"/>
      <c r="AG867" s="172"/>
      <c r="AH867" s="172"/>
      <c r="AI867" s="172"/>
      <c r="AJ867" s="172"/>
      <c r="AK867" s="172"/>
      <c r="AL867" s="172"/>
      <c r="AM867" s="172"/>
      <c r="AN867" s="1392"/>
      <c r="AO867" s="181"/>
      <c r="AP867" s="181"/>
      <c r="AQ867" s="181"/>
      <c r="AS867" s="202"/>
      <c r="AT867" s="172"/>
      <c r="AU867" s="174"/>
      <c r="AV867" s="172"/>
      <c r="AW867" s="172"/>
      <c r="AX867" s="172"/>
      <c r="AY867" s="172"/>
      <c r="AZ867" s="172"/>
      <c r="BA867" s="172"/>
      <c r="BB867" s="172"/>
      <c r="BC867" s="172"/>
      <c r="BD867" s="172"/>
      <c r="BE867" s="172"/>
      <c r="BF867" s="172"/>
      <c r="BG867" s="172"/>
      <c r="BH867" s="172"/>
      <c r="BI867" s="172"/>
      <c r="BJ867" s="172"/>
      <c r="BK867" s="172"/>
      <c r="BL867" s="172"/>
      <c r="BM867" s="172"/>
      <c r="BN867" s="172"/>
      <c r="BO867" s="172"/>
      <c r="BP867" s="172"/>
      <c r="BQ867" s="172"/>
      <c r="BR867" s="172"/>
      <c r="BS867" s="172"/>
      <c r="BT867" s="172"/>
      <c r="BU867" s="172"/>
      <c r="BV867" s="172"/>
      <c r="BW867" s="172"/>
      <c r="BX867" s="172"/>
      <c r="BY867" s="172"/>
      <c r="BZ867" s="172"/>
      <c r="CA867" s="172"/>
      <c r="CB867" s="172"/>
      <c r="CC867" s="172"/>
      <c r="CD867" s="172"/>
      <c r="CE867" s="172"/>
      <c r="CF867" s="172"/>
      <c r="CG867" s="172"/>
      <c r="CH867" s="172"/>
      <c r="CI867" s="172"/>
      <c r="CJ867" s="172"/>
      <c r="CK867" s="172"/>
      <c r="CL867" s="172"/>
      <c r="CM867" s="172"/>
      <c r="CN867" s="172"/>
      <c r="CO867" s="172"/>
      <c r="CP867" s="172"/>
      <c r="CQ867" s="172"/>
      <c r="CR867" s="172"/>
      <c r="CS867" s="172"/>
      <c r="CT867" s="172"/>
      <c r="CU867" s="172"/>
      <c r="CV867" s="172"/>
      <c r="CW867" s="172"/>
      <c r="CX867" s="172"/>
      <c r="CY867" s="172"/>
      <c r="CZ867" s="172"/>
      <c r="DA867" s="172"/>
      <c r="DB867" s="172"/>
      <c r="DC867" s="172"/>
      <c r="DD867" s="172"/>
      <c r="DE867" s="172"/>
      <c r="DF867" s="172"/>
      <c r="DG867" s="172"/>
      <c r="DH867" s="172"/>
      <c r="DI867" s="172"/>
      <c r="DJ867" s="172"/>
      <c r="DK867" s="172"/>
      <c r="DL867" s="172"/>
      <c r="DM867" s="172"/>
      <c r="DN867" s="172"/>
      <c r="DO867" s="172"/>
      <c r="DP867" s="172"/>
      <c r="DQ867" s="172"/>
      <c r="DR867" s="172"/>
      <c r="DS867" s="172"/>
      <c r="DT867" s="172"/>
      <c r="DU867" s="172"/>
      <c r="DV867" s="172"/>
      <c r="DW867" s="172"/>
      <c r="DX867" s="172"/>
      <c r="DY867" s="172"/>
      <c r="DZ867" s="172"/>
      <c r="EA867" s="172"/>
      <c r="EB867" s="172"/>
      <c r="EC867" s="172"/>
      <c r="ED867" s="172"/>
      <c r="EE867" s="172"/>
      <c r="EF867" s="172"/>
      <c r="EG867" s="172"/>
      <c r="EH867" s="172"/>
      <c r="EI867" s="172"/>
      <c r="EJ867" s="172"/>
      <c r="EK867" s="172"/>
      <c r="EL867" s="172"/>
      <c r="EM867" s="172"/>
      <c r="EN867" s="172"/>
      <c r="EO867" s="172"/>
      <c r="EP867" s="172"/>
      <c r="EQ867" s="172"/>
      <c r="ER867" s="172"/>
      <c r="ES867" s="172"/>
      <c r="ET867" s="172"/>
      <c r="EU867" s="172"/>
      <c r="EV867" s="172"/>
      <c r="EW867" s="172"/>
      <c r="EX867" s="172"/>
      <c r="EY867" s="172"/>
      <c r="EZ867" s="172"/>
      <c r="FA867" s="172"/>
      <c r="FB867" s="172"/>
      <c r="FC867" s="172"/>
      <c r="FD867" s="172"/>
      <c r="FE867" s="172"/>
      <c r="FF867" s="172"/>
      <c r="FG867" s="172"/>
      <c r="FH867" s="172"/>
      <c r="FI867" s="172"/>
      <c r="FJ867" s="172"/>
      <c r="FK867" s="172"/>
      <c r="FL867" s="172"/>
      <c r="FM867" s="172"/>
      <c r="FN867" s="172"/>
      <c r="FO867" s="172"/>
      <c r="FP867" s="172"/>
      <c r="FQ867" s="172"/>
      <c r="FR867" s="172"/>
      <c r="FS867" s="172"/>
      <c r="FT867" s="172"/>
      <c r="FU867" s="172"/>
      <c r="FV867" s="172"/>
      <c r="FW867" s="172"/>
      <c r="FX867" s="172"/>
      <c r="FY867" s="172"/>
      <c r="FZ867" s="172"/>
      <c r="GA867" s="172"/>
      <c r="GB867" s="172"/>
      <c r="GC867" s="172"/>
      <c r="GD867" s="172"/>
      <c r="GE867" s="172"/>
      <c r="GF867" s="172"/>
      <c r="GG867" s="172"/>
      <c r="GH867" s="172"/>
      <c r="GI867" s="172"/>
      <c r="GJ867" s="172"/>
      <c r="GK867" s="172"/>
      <c r="GL867" s="172"/>
      <c r="GM867" s="172"/>
      <c r="GN867" s="172"/>
      <c r="GO867" s="172"/>
      <c r="GP867" s="172"/>
      <c r="GQ867" s="172"/>
      <c r="GR867" s="172"/>
      <c r="GS867" s="172"/>
      <c r="GT867" s="172"/>
      <c r="GU867" s="172"/>
      <c r="GV867" s="172"/>
      <c r="GW867" s="172"/>
      <c r="GX867" s="172"/>
      <c r="GY867" s="172"/>
      <c r="GZ867" s="172"/>
      <c r="HA867" s="172"/>
      <c r="HB867" s="172"/>
    </row>
    <row r="868" spans="1:210" s="226" customFormat="1" ht="18" customHeight="1" x14ac:dyDescent="0.15">
      <c r="A868" s="698"/>
      <c r="B868" s="1097"/>
      <c r="C868" s="1097"/>
      <c r="D868" s="172"/>
      <c r="E868" s="596"/>
      <c r="F868" s="172"/>
      <c r="G868" s="172"/>
      <c r="H868" s="172"/>
      <c r="I868" s="172"/>
      <c r="J868" s="172"/>
      <c r="K868" s="172"/>
      <c r="L868" s="172"/>
      <c r="M868" s="172"/>
      <c r="N868" s="172"/>
      <c r="O868" s="202"/>
      <c r="P868" s="172"/>
      <c r="Q868" s="174"/>
      <c r="R868" s="174"/>
      <c r="S868" s="174"/>
      <c r="T868" s="174"/>
      <c r="U868" s="172"/>
      <c r="V868" s="172"/>
      <c r="W868" s="172"/>
      <c r="X868" s="172"/>
      <c r="Y868" s="172"/>
      <c r="Z868" s="172"/>
      <c r="AA868" s="172"/>
      <c r="AB868" s="172"/>
      <c r="AC868" s="172"/>
      <c r="AD868" s="172"/>
      <c r="AE868" s="172"/>
      <c r="AF868" s="172"/>
      <c r="AG868" s="172"/>
      <c r="AH868" s="172"/>
      <c r="AI868" s="172"/>
      <c r="AJ868" s="172"/>
      <c r="AK868" s="172"/>
      <c r="AL868" s="172"/>
      <c r="AM868" s="172"/>
      <c r="AN868" s="181"/>
      <c r="AO868" s="172"/>
      <c r="AP868" s="172"/>
      <c r="AQ868" s="172"/>
      <c r="AS868" s="202"/>
      <c r="AT868" s="172"/>
      <c r="AU868" s="174"/>
      <c r="AV868" s="172"/>
      <c r="AW868" s="172"/>
      <c r="AX868" s="172"/>
      <c r="AY868" s="172"/>
      <c r="AZ868" s="172"/>
      <c r="BA868" s="172"/>
      <c r="BB868" s="172"/>
      <c r="BC868" s="172"/>
      <c r="BD868" s="172"/>
      <c r="BE868" s="172"/>
      <c r="BF868" s="172"/>
      <c r="BG868" s="172"/>
      <c r="BH868" s="172"/>
      <c r="BI868" s="172"/>
      <c r="BJ868" s="172"/>
      <c r="BK868" s="172"/>
      <c r="BL868" s="172"/>
      <c r="BM868" s="172"/>
      <c r="BN868" s="172"/>
      <c r="BO868" s="172"/>
      <c r="BP868" s="172"/>
      <c r="BQ868" s="172"/>
      <c r="BR868" s="172"/>
      <c r="BS868" s="172"/>
      <c r="BT868" s="172"/>
      <c r="BU868" s="172"/>
      <c r="BV868" s="172"/>
      <c r="BW868" s="172"/>
      <c r="BX868" s="172"/>
      <c r="BY868" s="172"/>
      <c r="BZ868" s="172"/>
      <c r="CA868" s="172"/>
      <c r="CB868" s="172"/>
      <c r="CC868" s="172"/>
      <c r="CD868" s="172"/>
      <c r="CE868" s="172"/>
      <c r="CF868" s="172"/>
      <c r="CG868" s="172"/>
      <c r="CH868" s="172"/>
      <c r="CI868" s="172"/>
      <c r="CJ868" s="172"/>
      <c r="CK868" s="172"/>
      <c r="CL868" s="172"/>
      <c r="CM868" s="172"/>
      <c r="CN868" s="172"/>
      <c r="CO868" s="172"/>
      <c r="CP868" s="172"/>
      <c r="CQ868" s="172"/>
      <c r="CR868" s="172"/>
      <c r="CS868" s="172"/>
      <c r="CT868" s="172"/>
      <c r="CU868" s="172"/>
      <c r="CV868" s="172"/>
      <c r="CW868" s="172"/>
      <c r="CX868" s="172"/>
      <c r="CY868" s="172"/>
      <c r="CZ868" s="172"/>
      <c r="DA868" s="172"/>
      <c r="DB868" s="172"/>
      <c r="DC868" s="172"/>
      <c r="DD868" s="172"/>
      <c r="DE868" s="172"/>
      <c r="DF868" s="172"/>
      <c r="DG868" s="172"/>
      <c r="DH868" s="172"/>
      <c r="DI868" s="172"/>
      <c r="DJ868" s="172"/>
      <c r="DK868" s="172"/>
      <c r="DL868" s="172"/>
      <c r="DM868" s="172"/>
      <c r="DN868" s="172"/>
      <c r="DO868" s="172"/>
      <c r="DP868" s="172"/>
      <c r="DQ868" s="172"/>
      <c r="DR868" s="172"/>
      <c r="DS868" s="172"/>
      <c r="DT868" s="172"/>
      <c r="DU868" s="172"/>
      <c r="DV868" s="172"/>
      <c r="DW868" s="172"/>
      <c r="DX868" s="172"/>
      <c r="DY868" s="172"/>
      <c r="DZ868" s="172"/>
      <c r="EA868" s="172"/>
      <c r="EB868" s="172"/>
      <c r="EC868" s="172"/>
      <c r="ED868" s="172"/>
      <c r="EE868" s="172"/>
      <c r="EF868" s="172"/>
      <c r="EG868" s="172"/>
      <c r="EH868" s="172"/>
      <c r="EI868" s="172"/>
      <c r="EJ868" s="172"/>
      <c r="EK868" s="172"/>
      <c r="EL868" s="172"/>
      <c r="EM868" s="172"/>
      <c r="EN868" s="172"/>
      <c r="EO868" s="172"/>
      <c r="EP868" s="172"/>
      <c r="EQ868" s="172"/>
      <c r="ER868" s="172"/>
      <c r="ES868" s="172"/>
      <c r="ET868" s="172"/>
      <c r="EU868" s="172"/>
      <c r="EV868" s="172"/>
      <c r="EW868" s="172"/>
      <c r="EX868" s="172"/>
      <c r="EY868" s="172"/>
      <c r="EZ868" s="172"/>
      <c r="FA868" s="172"/>
      <c r="FB868" s="172"/>
      <c r="FC868" s="172"/>
      <c r="FD868" s="172"/>
      <c r="FE868" s="172"/>
      <c r="FF868" s="172"/>
      <c r="FG868" s="172"/>
      <c r="FH868" s="172"/>
      <c r="FI868" s="172"/>
      <c r="FJ868" s="172"/>
      <c r="FK868" s="172"/>
      <c r="FL868" s="172"/>
      <c r="FM868" s="172"/>
      <c r="FN868" s="172"/>
      <c r="FO868" s="172"/>
      <c r="FP868" s="172"/>
      <c r="FQ868" s="172"/>
      <c r="FR868" s="172"/>
      <c r="FS868" s="172"/>
      <c r="FT868" s="172"/>
      <c r="FU868" s="172"/>
      <c r="FV868" s="172"/>
      <c r="FW868" s="172"/>
      <c r="FX868" s="172"/>
      <c r="FY868" s="172"/>
      <c r="FZ868" s="172"/>
      <c r="GA868" s="172"/>
      <c r="GB868" s="172"/>
      <c r="GC868" s="172"/>
      <c r="GD868" s="172"/>
      <c r="GE868" s="172"/>
      <c r="GF868" s="172"/>
      <c r="GG868" s="172"/>
      <c r="GH868" s="172"/>
      <c r="GI868" s="172"/>
      <c r="GJ868" s="172"/>
      <c r="GK868" s="172"/>
      <c r="GL868" s="172"/>
      <c r="GM868" s="172"/>
      <c r="GN868" s="172"/>
      <c r="GO868" s="172"/>
      <c r="GP868" s="172"/>
      <c r="GQ868" s="172"/>
      <c r="GR868" s="172"/>
      <c r="GS868" s="172"/>
      <c r="GT868" s="172"/>
      <c r="GU868" s="172"/>
      <c r="GV868" s="172"/>
      <c r="GW868" s="172"/>
      <c r="GX868" s="172"/>
      <c r="GY868" s="172"/>
      <c r="GZ868" s="172"/>
      <c r="HA868" s="172"/>
      <c r="HB868" s="172"/>
    </row>
    <row r="869" spans="1:210" ht="18" customHeight="1" x14ac:dyDescent="0.2">
      <c r="I869" s="172"/>
      <c r="J869" s="172"/>
      <c r="L869" s="172"/>
      <c r="M869" s="172"/>
      <c r="N869" s="226"/>
      <c r="O869" s="202"/>
      <c r="P869" s="226"/>
      <c r="AM869" s="172"/>
      <c r="AN869" s="172"/>
      <c r="AP869" s="172"/>
      <c r="AQ869" s="172"/>
      <c r="AR869" s="172"/>
      <c r="AS869" s="202"/>
      <c r="AT869" s="172"/>
      <c r="GX869" s="172"/>
      <c r="GY869" s="172"/>
      <c r="GZ869" s="172"/>
      <c r="HA869" s="172"/>
      <c r="HB869" s="172"/>
    </row>
    <row r="870" spans="1:210" s="226" customFormat="1" ht="18" customHeight="1" x14ac:dyDescent="0.15">
      <c r="A870" s="698"/>
      <c r="B870" s="1097"/>
      <c r="C870" s="1097"/>
      <c r="D870" s="172"/>
      <c r="E870" s="596"/>
      <c r="F870" s="172"/>
      <c r="G870" s="172"/>
      <c r="H870" s="172"/>
      <c r="I870" s="172"/>
      <c r="J870" s="172"/>
      <c r="K870" s="172"/>
      <c r="L870" s="172"/>
      <c r="M870" s="172"/>
      <c r="O870" s="202"/>
      <c r="P870" s="172"/>
      <c r="Q870" s="174"/>
      <c r="R870" s="174"/>
      <c r="S870" s="174"/>
      <c r="T870" s="174"/>
      <c r="U870" s="172"/>
      <c r="V870" s="172"/>
      <c r="W870" s="172"/>
      <c r="X870" s="172"/>
      <c r="Y870" s="172"/>
      <c r="Z870" s="172"/>
      <c r="AA870" s="172"/>
      <c r="AB870" s="172"/>
      <c r="AC870" s="172"/>
      <c r="AD870" s="172"/>
      <c r="AE870" s="172"/>
      <c r="AF870" s="172"/>
      <c r="AG870" s="172"/>
      <c r="AH870" s="172"/>
      <c r="AI870" s="172"/>
      <c r="AJ870" s="172"/>
      <c r="AK870" s="172"/>
      <c r="AL870" s="172"/>
      <c r="AM870" s="172"/>
      <c r="AN870" s="172"/>
      <c r="AO870" s="172"/>
      <c r="AP870" s="172"/>
      <c r="AQ870" s="172"/>
      <c r="AS870" s="202"/>
      <c r="AU870" s="174"/>
      <c r="AV870" s="172"/>
      <c r="AW870" s="172"/>
      <c r="AX870" s="172"/>
      <c r="AY870" s="172"/>
      <c r="AZ870" s="172"/>
      <c r="BA870" s="172"/>
      <c r="BB870" s="172"/>
      <c r="BC870" s="172"/>
      <c r="BD870" s="172"/>
      <c r="BE870" s="172"/>
      <c r="BF870" s="172"/>
      <c r="BG870" s="172"/>
      <c r="BH870" s="172"/>
      <c r="BI870" s="172"/>
      <c r="BJ870" s="172"/>
      <c r="BK870" s="172"/>
      <c r="BL870" s="172"/>
      <c r="BM870" s="172"/>
      <c r="BN870" s="172"/>
      <c r="BO870" s="172"/>
      <c r="BP870" s="172"/>
      <c r="BQ870" s="172"/>
      <c r="BR870" s="172"/>
      <c r="BS870" s="172"/>
      <c r="BT870" s="172"/>
      <c r="BU870" s="172"/>
      <c r="BV870" s="172"/>
      <c r="BW870" s="172"/>
      <c r="BX870" s="172"/>
      <c r="BY870" s="172"/>
      <c r="BZ870" s="172"/>
      <c r="CA870" s="172"/>
      <c r="CB870" s="172"/>
      <c r="CC870" s="172"/>
      <c r="CD870" s="172"/>
      <c r="CE870" s="172"/>
      <c r="CF870" s="172"/>
      <c r="CG870" s="172"/>
      <c r="CH870" s="172"/>
      <c r="CI870" s="172"/>
      <c r="CJ870" s="172"/>
      <c r="CK870" s="172"/>
      <c r="CL870" s="172"/>
      <c r="CM870" s="172"/>
      <c r="CN870" s="172"/>
      <c r="CO870" s="172"/>
      <c r="CP870" s="172"/>
      <c r="CQ870" s="172"/>
      <c r="CR870" s="172"/>
      <c r="CS870" s="172"/>
      <c r="CT870" s="172"/>
      <c r="CU870" s="172"/>
      <c r="CV870" s="172"/>
      <c r="CW870" s="172"/>
      <c r="CX870" s="172"/>
      <c r="CY870" s="172"/>
      <c r="CZ870" s="172"/>
      <c r="DA870" s="172"/>
      <c r="DB870" s="172"/>
      <c r="DC870" s="172"/>
      <c r="DD870" s="172"/>
      <c r="DE870" s="172"/>
      <c r="DF870" s="172"/>
      <c r="DG870" s="172"/>
      <c r="DH870" s="172"/>
      <c r="DI870" s="172"/>
      <c r="DJ870" s="172"/>
      <c r="DK870" s="172"/>
      <c r="DL870" s="172"/>
      <c r="DM870" s="172"/>
      <c r="DN870" s="172"/>
      <c r="DO870" s="172"/>
      <c r="DP870" s="172"/>
      <c r="DQ870" s="172"/>
      <c r="DR870" s="172"/>
      <c r="DS870" s="172"/>
      <c r="DT870" s="172"/>
      <c r="DU870" s="172"/>
      <c r="DV870" s="172"/>
      <c r="DW870" s="172"/>
      <c r="DX870" s="172"/>
      <c r="DY870" s="172"/>
      <c r="DZ870" s="172"/>
      <c r="EA870" s="172"/>
      <c r="EB870" s="172"/>
      <c r="EC870" s="172"/>
      <c r="ED870" s="172"/>
      <c r="EE870" s="172"/>
      <c r="EF870" s="172"/>
      <c r="EG870" s="172"/>
      <c r="EH870" s="172"/>
      <c r="EI870" s="172"/>
      <c r="EJ870" s="172"/>
      <c r="EK870" s="172"/>
      <c r="EL870" s="172"/>
      <c r="EM870" s="172"/>
      <c r="EN870" s="172"/>
      <c r="EO870" s="172"/>
      <c r="EP870" s="172"/>
      <c r="EQ870" s="172"/>
      <c r="ER870" s="172"/>
      <c r="ES870" s="172"/>
      <c r="ET870" s="172"/>
      <c r="EU870" s="172"/>
      <c r="EV870" s="172"/>
      <c r="EW870" s="172"/>
      <c r="EX870" s="172"/>
      <c r="EY870" s="172"/>
      <c r="EZ870" s="172"/>
      <c r="FA870" s="172"/>
      <c r="FB870" s="172"/>
      <c r="FC870" s="172"/>
      <c r="FD870" s="172"/>
      <c r="FE870" s="172"/>
      <c r="FF870" s="172"/>
      <c r="FG870" s="172"/>
      <c r="FH870" s="172"/>
      <c r="FI870" s="172"/>
      <c r="FJ870" s="172"/>
      <c r="FK870" s="172"/>
      <c r="FL870" s="172"/>
      <c r="FM870" s="172"/>
      <c r="FN870" s="172"/>
      <c r="FO870" s="172"/>
      <c r="FP870" s="172"/>
      <c r="FQ870" s="172"/>
      <c r="FR870" s="172"/>
      <c r="FS870" s="172"/>
      <c r="FT870" s="172"/>
      <c r="FU870" s="172"/>
      <c r="FV870" s="172"/>
      <c r="FW870" s="172"/>
      <c r="FX870" s="172"/>
      <c r="FY870" s="172"/>
      <c r="FZ870" s="172"/>
      <c r="GA870" s="172"/>
      <c r="GB870" s="172"/>
      <c r="GC870" s="172"/>
      <c r="GD870" s="172"/>
      <c r="GE870" s="172"/>
      <c r="GF870" s="172"/>
      <c r="GG870" s="172"/>
      <c r="GH870" s="172"/>
      <c r="GI870" s="172"/>
      <c r="GJ870" s="172"/>
      <c r="GK870" s="172"/>
      <c r="GL870" s="172"/>
      <c r="GM870" s="172"/>
      <c r="GN870" s="172"/>
      <c r="GO870" s="172"/>
      <c r="GP870" s="172"/>
      <c r="GQ870" s="172"/>
      <c r="GR870" s="172"/>
      <c r="GS870" s="172"/>
      <c r="GT870" s="172"/>
      <c r="GU870" s="172"/>
      <c r="GV870" s="172"/>
      <c r="GW870" s="172"/>
      <c r="GX870" s="172"/>
      <c r="GY870" s="172"/>
      <c r="GZ870" s="172"/>
      <c r="HA870" s="172"/>
      <c r="HB870" s="172"/>
    </row>
    <row r="871" spans="1:210" s="226" customFormat="1" ht="18" customHeight="1" x14ac:dyDescent="0.15">
      <c r="A871" s="698"/>
      <c r="B871" s="1097"/>
      <c r="C871" s="1097"/>
      <c r="D871" s="172"/>
      <c r="E871" s="596"/>
      <c r="F871" s="172"/>
      <c r="G871" s="172"/>
      <c r="H871" s="172"/>
      <c r="I871" s="172"/>
      <c r="J871" s="172"/>
      <c r="K871" s="172"/>
      <c r="L871" s="172"/>
      <c r="M871" s="172"/>
      <c r="O871" s="202"/>
      <c r="Q871" s="174"/>
      <c r="R871" s="174"/>
      <c r="S871" s="174"/>
      <c r="T871" s="174"/>
      <c r="U871" s="172"/>
      <c r="V871" s="172"/>
      <c r="W871" s="172"/>
      <c r="X871" s="172"/>
      <c r="Y871" s="172"/>
      <c r="Z871" s="172"/>
      <c r="AA871" s="172"/>
      <c r="AB871" s="172"/>
      <c r="AC871" s="172"/>
      <c r="AD871" s="172"/>
      <c r="AE871" s="172"/>
      <c r="AF871" s="172"/>
      <c r="AG871" s="172"/>
      <c r="AH871" s="172"/>
      <c r="AI871" s="172"/>
      <c r="AJ871" s="172"/>
      <c r="AK871" s="172"/>
      <c r="AL871" s="172"/>
      <c r="AM871" s="172"/>
      <c r="AN871" s="172"/>
      <c r="AO871" s="172"/>
      <c r="AP871" s="172"/>
      <c r="AQ871" s="172"/>
      <c r="AS871" s="202"/>
      <c r="AT871" s="172"/>
      <c r="AU871" s="174"/>
      <c r="AV871" s="172"/>
      <c r="AW871" s="172"/>
      <c r="AX871" s="172"/>
      <c r="AY871" s="172"/>
      <c r="AZ871" s="172"/>
      <c r="BA871" s="172"/>
      <c r="BB871" s="172"/>
      <c r="BC871" s="172"/>
      <c r="BD871" s="172"/>
      <c r="BE871" s="172"/>
      <c r="BF871" s="172"/>
      <c r="BG871" s="172"/>
      <c r="BH871" s="172"/>
      <c r="BI871" s="172"/>
      <c r="BJ871" s="172"/>
      <c r="BK871" s="172"/>
      <c r="BL871" s="172"/>
      <c r="BM871" s="172"/>
      <c r="BN871" s="172"/>
      <c r="BO871" s="172"/>
      <c r="BP871" s="172"/>
      <c r="BQ871" s="172"/>
      <c r="BR871" s="172"/>
      <c r="BS871" s="172"/>
      <c r="BT871" s="172"/>
      <c r="BU871" s="172"/>
      <c r="BV871" s="172"/>
      <c r="BW871" s="172"/>
      <c r="BX871" s="172"/>
      <c r="BY871" s="172"/>
      <c r="BZ871" s="172"/>
      <c r="CA871" s="172"/>
      <c r="CB871" s="172"/>
      <c r="CC871" s="172"/>
      <c r="CD871" s="172"/>
      <c r="CE871" s="172"/>
      <c r="CF871" s="172"/>
      <c r="CG871" s="172"/>
      <c r="CH871" s="172"/>
      <c r="CI871" s="172"/>
      <c r="CJ871" s="172"/>
      <c r="CK871" s="172"/>
      <c r="CL871" s="172"/>
      <c r="CM871" s="172"/>
      <c r="CN871" s="172"/>
      <c r="CO871" s="172"/>
      <c r="CP871" s="172"/>
      <c r="CQ871" s="172"/>
      <c r="CR871" s="172"/>
      <c r="CS871" s="172"/>
      <c r="CT871" s="172"/>
      <c r="CU871" s="172"/>
      <c r="CV871" s="172"/>
      <c r="CW871" s="172"/>
      <c r="CX871" s="172"/>
      <c r="CY871" s="172"/>
      <c r="CZ871" s="172"/>
      <c r="DA871" s="172"/>
      <c r="DB871" s="172"/>
      <c r="DC871" s="172"/>
      <c r="DD871" s="172"/>
      <c r="DE871" s="172"/>
      <c r="DF871" s="172"/>
      <c r="DG871" s="172"/>
      <c r="DH871" s="172"/>
      <c r="DI871" s="172"/>
      <c r="DJ871" s="172"/>
      <c r="DK871" s="172"/>
      <c r="DL871" s="172"/>
      <c r="DM871" s="172"/>
      <c r="DN871" s="172"/>
      <c r="DO871" s="172"/>
      <c r="DP871" s="172"/>
      <c r="DQ871" s="172"/>
      <c r="DR871" s="172"/>
      <c r="DS871" s="172"/>
      <c r="DT871" s="172"/>
      <c r="DU871" s="172"/>
      <c r="DV871" s="172"/>
      <c r="DW871" s="172"/>
      <c r="DX871" s="172"/>
      <c r="DY871" s="172"/>
      <c r="DZ871" s="172"/>
      <c r="EA871" s="172"/>
      <c r="EB871" s="172"/>
      <c r="EC871" s="172"/>
      <c r="ED871" s="172"/>
      <c r="EE871" s="172"/>
      <c r="EF871" s="172"/>
      <c r="EG871" s="172"/>
      <c r="EH871" s="172"/>
      <c r="EI871" s="172"/>
      <c r="EJ871" s="172"/>
      <c r="EK871" s="172"/>
      <c r="EL871" s="172"/>
      <c r="EM871" s="172"/>
      <c r="EN871" s="172"/>
      <c r="EO871" s="172"/>
      <c r="EP871" s="172"/>
      <c r="EQ871" s="172"/>
      <c r="ER871" s="172"/>
      <c r="ES871" s="172"/>
      <c r="ET871" s="172"/>
      <c r="EU871" s="172"/>
      <c r="EV871" s="172"/>
      <c r="EW871" s="172"/>
      <c r="EX871" s="172"/>
      <c r="EY871" s="172"/>
      <c r="EZ871" s="172"/>
      <c r="FA871" s="172"/>
      <c r="FB871" s="172"/>
      <c r="FC871" s="172"/>
      <c r="FD871" s="172"/>
      <c r="FE871" s="172"/>
      <c r="FF871" s="172"/>
      <c r="FG871" s="172"/>
      <c r="FH871" s="172"/>
      <c r="FI871" s="172"/>
      <c r="FJ871" s="172"/>
      <c r="FK871" s="172"/>
      <c r="FL871" s="172"/>
      <c r="FM871" s="172"/>
      <c r="FN871" s="172"/>
      <c r="FO871" s="172"/>
      <c r="FP871" s="172"/>
      <c r="FQ871" s="172"/>
      <c r="FR871" s="172"/>
      <c r="FS871" s="172"/>
      <c r="FT871" s="172"/>
      <c r="FU871" s="172"/>
      <c r="FV871" s="172"/>
      <c r="FW871" s="172"/>
      <c r="FX871" s="172"/>
      <c r="FY871" s="172"/>
      <c r="FZ871" s="172"/>
      <c r="GA871" s="172"/>
      <c r="GB871" s="172"/>
      <c r="GC871" s="172"/>
      <c r="GD871" s="172"/>
      <c r="GE871" s="172"/>
      <c r="GF871" s="172"/>
      <c r="GG871" s="172"/>
      <c r="GH871" s="172"/>
      <c r="GI871" s="172"/>
      <c r="GJ871" s="172"/>
      <c r="GK871" s="172"/>
      <c r="GL871" s="172"/>
      <c r="GM871" s="172"/>
      <c r="GN871" s="172"/>
      <c r="GO871" s="172"/>
      <c r="GP871" s="172"/>
      <c r="GQ871" s="172"/>
      <c r="GR871" s="172"/>
      <c r="GS871" s="172"/>
      <c r="GT871" s="172"/>
      <c r="GU871" s="172"/>
      <c r="GV871" s="172"/>
      <c r="GW871" s="172"/>
      <c r="GX871" s="172"/>
      <c r="GY871" s="172"/>
      <c r="GZ871" s="172"/>
      <c r="HA871" s="172"/>
      <c r="HB871" s="172"/>
    </row>
    <row r="872" spans="1:210" ht="18" customHeight="1" x14ac:dyDescent="0.2">
      <c r="I872" s="172"/>
      <c r="J872" s="172"/>
      <c r="L872" s="172"/>
      <c r="M872" s="172"/>
      <c r="N872" s="228"/>
      <c r="O872" s="202"/>
      <c r="P872" s="226"/>
      <c r="AM872" s="172"/>
      <c r="AN872" s="172"/>
      <c r="AP872" s="172"/>
      <c r="AQ872" s="172"/>
      <c r="AR872" s="226"/>
      <c r="AS872" s="202"/>
      <c r="AT872" s="226"/>
      <c r="GX872" s="172"/>
      <c r="GY872" s="172"/>
      <c r="GZ872" s="172"/>
      <c r="HA872" s="172"/>
      <c r="HB872" s="172"/>
    </row>
    <row r="873" spans="1:210" ht="18" customHeight="1" x14ac:dyDescent="0.2">
      <c r="I873" s="172"/>
      <c r="J873" s="172"/>
      <c r="L873" s="172"/>
      <c r="M873" s="172"/>
      <c r="N873" s="226"/>
      <c r="O873" s="202"/>
      <c r="P873" s="226"/>
      <c r="AM873" s="172"/>
      <c r="AN873" s="172"/>
      <c r="AP873" s="172"/>
      <c r="AQ873" s="172"/>
      <c r="AR873" s="228"/>
      <c r="AS873" s="202"/>
      <c r="AT873" s="226"/>
      <c r="GX873" s="172"/>
      <c r="GY873" s="172"/>
      <c r="GZ873" s="172"/>
      <c r="HA873" s="172"/>
      <c r="HB873" s="172"/>
    </row>
    <row r="874" spans="1:210" ht="18" customHeight="1" x14ac:dyDescent="0.2">
      <c r="I874" s="172"/>
      <c r="J874" s="172"/>
      <c r="L874" s="172"/>
      <c r="M874" s="172"/>
      <c r="N874" s="226"/>
      <c r="O874" s="202"/>
      <c r="P874" s="226"/>
      <c r="AM874" s="172"/>
      <c r="AN874" s="172"/>
      <c r="AP874" s="172"/>
      <c r="AQ874" s="172"/>
      <c r="AR874" s="226"/>
      <c r="AS874" s="202"/>
      <c r="AT874" s="226"/>
      <c r="GX874" s="172"/>
      <c r="GY874" s="172"/>
      <c r="GZ874" s="172"/>
      <c r="HA874" s="172"/>
      <c r="HB874" s="172"/>
    </row>
    <row r="875" spans="1:210" ht="18" customHeight="1" x14ac:dyDescent="0.2">
      <c r="H875" s="202"/>
      <c r="J875" s="202"/>
      <c r="K875" s="226"/>
      <c r="AL875" s="202"/>
      <c r="AN875" s="172"/>
      <c r="AP875" s="172"/>
      <c r="AQ875" s="172"/>
      <c r="AR875" s="226"/>
      <c r="AS875" s="202"/>
      <c r="AT875" s="226"/>
    </row>
    <row r="876" spans="1:210" ht="18" customHeight="1" x14ac:dyDescent="0.2">
      <c r="H876" s="202"/>
      <c r="J876" s="202"/>
      <c r="K876" s="262"/>
      <c r="AL876" s="202"/>
      <c r="AN876" s="172"/>
      <c r="AO876" s="226"/>
    </row>
    <row r="877" spans="1:210" ht="18" customHeight="1" x14ac:dyDescent="0.2">
      <c r="H877" s="202"/>
      <c r="J877" s="202"/>
      <c r="K877" s="262"/>
      <c r="AL877" s="202"/>
      <c r="AN877" s="202"/>
      <c r="AO877" s="262"/>
    </row>
    <row r="878" spans="1:210" ht="18" customHeight="1" x14ac:dyDescent="0.2">
      <c r="J878" s="172"/>
      <c r="K878" s="262"/>
      <c r="AN878" s="202"/>
      <c r="AO878" s="262"/>
    </row>
    <row r="879" spans="1:210" ht="18" customHeight="1" x14ac:dyDescent="0.2">
      <c r="J879" s="172"/>
      <c r="AN879" s="202"/>
      <c r="AO879" s="262"/>
    </row>
    <row r="880" spans="1:210" ht="18" customHeight="1" x14ac:dyDescent="0.2">
      <c r="AN880" s="172"/>
    </row>
    <row r="881" spans="40:40" ht="18" customHeight="1" x14ac:dyDescent="0.2">
      <c r="AN881" s="172"/>
    </row>
    <row r="882" spans="40:40" ht="18" customHeight="1" x14ac:dyDescent="0.2"/>
    <row r="883" spans="40:40" ht="18" customHeight="1" x14ac:dyDescent="0.2"/>
    <row r="884" spans="40:40" ht="18" customHeight="1" x14ac:dyDescent="0.2"/>
    <row r="885" spans="40:40" ht="18" customHeight="1" x14ac:dyDescent="0.2"/>
    <row r="886" spans="40:40" ht="18" customHeight="1" x14ac:dyDescent="0.2"/>
    <row r="887" spans="40:40" ht="18" customHeight="1" x14ac:dyDescent="0.2"/>
    <row r="888" spans="40:40" ht="18" customHeight="1" x14ac:dyDescent="0.2"/>
    <row r="889" spans="40:40" ht="18" customHeight="1" x14ac:dyDescent="0.2"/>
    <row r="890" spans="40:40" ht="18" customHeight="1" x14ac:dyDescent="0.2"/>
    <row r="891" spans="40:40" ht="18" customHeight="1" x14ac:dyDescent="0.2"/>
    <row r="892" spans="40:40" ht="18" customHeight="1" x14ac:dyDescent="0.2"/>
    <row r="893" spans="40:40" ht="18" customHeight="1" x14ac:dyDescent="0.2"/>
    <row r="894" spans="40:40" ht="18" customHeight="1" x14ac:dyDescent="0.2"/>
    <row r="895" spans="40:40" ht="18" customHeight="1" x14ac:dyDescent="0.2"/>
    <row r="896" spans="40:40" ht="18" customHeight="1" x14ac:dyDescent="0.2"/>
    <row r="897" ht="18" customHeight="1" x14ac:dyDescent="0.2"/>
    <row r="898" ht="18" customHeight="1" x14ac:dyDescent="0.2"/>
    <row r="899" ht="18" customHeight="1" x14ac:dyDescent="0.2"/>
    <row r="900" ht="18" customHeight="1" x14ac:dyDescent="0.2"/>
    <row r="901" ht="18" customHeight="1" x14ac:dyDescent="0.2"/>
    <row r="902" ht="18" customHeight="1" x14ac:dyDescent="0.2"/>
    <row r="903" ht="18" customHeight="1" x14ac:dyDescent="0.2"/>
    <row r="904" ht="18" customHeight="1" x14ac:dyDescent="0.2"/>
    <row r="905" ht="18" customHeight="1" x14ac:dyDescent="0.2"/>
    <row r="906" ht="18" customHeight="1" x14ac:dyDescent="0.2"/>
    <row r="907" ht="18" customHeight="1" x14ac:dyDescent="0.2"/>
    <row r="908" ht="18" customHeight="1" x14ac:dyDescent="0.2"/>
    <row r="909" ht="18" customHeight="1" x14ac:dyDescent="0.2"/>
    <row r="910" ht="18" customHeight="1" x14ac:dyDescent="0.2"/>
    <row r="911" ht="18" customHeight="1" x14ac:dyDescent="0.2"/>
    <row r="912" ht="18" customHeight="1" x14ac:dyDescent="0.2"/>
    <row r="913" ht="18" customHeight="1" x14ac:dyDescent="0.2"/>
    <row r="914" ht="18" customHeight="1" x14ac:dyDescent="0.2"/>
    <row r="915" ht="18" customHeight="1" x14ac:dyDescent="0.2"/>
    <row r="916" ht="18" customHeight="1" x14ac:dyDescent="0.2"/>
    <row r="917" ht="18" customHeight="1" x14ac:dyDescent="0.2"/>
    <row r="918" ht="18" customHeight="1" x14ac:dyDescent="0.2"/>
    <row r="919" ht="18" customHeight="1" x14ac:dyDescent="0.2"/>
    <row r="920" ht="18" customHeight="1" x14ac:dyDescent="0.2"/>
    <row r="921" ht="18" customHeight="1" x14ac:dyDescent="0.2"/>
    <row r="922" ht="18" customHeight="1" x14ac:dyDescent="0.2"/>
    <row r="923" ht="18" customHeight="1" x14ac:dyDescent="0.2"/>
    <row r="924" ht="18" customHeight="1" x14ac:dyDescent="0.2"/>
    <row r="925" ht="18" customHeight="1" x14ac:dyDescent="0.2"/>
    <row r="926" ht="18" customHeight="1" x14ac:dyDescent="0.2"/>
    <row r="927" ht="18" customHeight="1" x14ac:dyDescent="0.2"/>
    <row r="928" ht="18" customHeight="1" x14ac:dyDescent="0.2"/>
    <row r="929" ht="18" customHeight="1" x14ac:dyDescent="0.2"/>
    <row r="930" ht="18" customHeight="1" x14ac:dyDescent="0.2"/>
    <row r="931" ht="18" customHeight="1" x14ac:dyDescent="0.2"/>
    <row r="932" ht="18" customHeight="1" x14ac:dyDescent="0.2"/>
    <row r="933" ht="18" customHeight="1" x14ac:dyDescent="0.2"/>
    <row r="934" ht="18" customHeight="1" x14ac:dyDescent="0.2"/>
    <row r="935" ht="18" customHeight="1" x14ac:dyDescent="0.2"/>
    <row r="936" ht="18" customHeight="1" x14ac:dyDescent="0.2"/>
    <row r="937" ht="18" customHeight="1" x14ac:dyDescent="0.2"/>
    <row r="938" ht="18" customHeight="1" x14ac:dyDescent="0.2"/>
    <row r="939" ht="18" customHeight="1" x14ac:dyDescent="0.2"/>
    <row r="940" ht="18" customHeight="1" x14ac:dyDescent="0.2"/>
    <row r="941" ht="18" customHeight="1" x14ac:dyDescent="0.2"/>
    <row r="942" ht="18" customHeight="1" x14ac:dyDescent="0.2"/>
    <row r="943" ht="18" customHeight="1" x14ac:dyDescent="0.2"/>
    <row r="944" ht="18" customHeight="1" x14ac:dyDescent="0.2"/>
    <row r="945" ht="18" customHeight="1" x14ac:dyDescent="0.2"/>
    <row r="946" ht="18" customHeight="1" x14ac:dyDescent="0.2"/>
    <row r="947" ht="18" customHeight="1" x14ac:dyDescent="0.2"/>
    <row r="948" ht="18" customHeight="1" x14ac:dyDescent="0.2"/>
    <row r="949" ht="18" customHeight="1" x14ac:dyDescent="0.2"/>
    <row r="950" ht="18" customHeight="1" x14ac:dyDescent="0.2"/>
    <row r="951" ht="18" customHeight="1" x14ac:dyDescent="0.2"/>
    <row r="952" ht="18" customHeight="1" x14ac:dyDescent="0.2"/>
    <row r="953" ht="18" customHeight="1" x14ac:dyDescent="0.2"/>
    <row r="954" ht="18" customHeight="1" x14ac:dyDescent="0.2"/>
    <row r="955" ht="18" customHeight="1" x14ac:dyDescent="0.2"/>
    <row r="956" ht="18" customHeight="1" x14ac:dyDescent="0.2"/>
    <row r="957" ht="18" customHeight="1" x14ac:dyDescent="0.2"/>
    <row r="958" ht="18" customHeight="1" x14ac:dyDescent="0.2"/>
    <row r="959" ht="18" customHeight="1" x14ac:dyDescent="0.2"/>
    <row r="960" ht="18" customHeight="1" x14ac:dyDescent="0.2"/>
    <row r="961" spans="9:39" ht="18" customHeight="1" x14ac:dyDescent="0.2"/>
    <row r="962" spans="9:39" ht="18" customHeight="1" x14ac:dyDescent="0.2"/>
    <row r="963" spans="9:39" ht="18" customHeight="1" x14ac:dyDescent="0.2"/>
    <row r="964" spans="9:39" ht="18" customHeight="1" x14ac:dyDescent="0.2"/>
    <row r="965" spans="9:39" ht="18" customHeight="1" x14ac:dyDescent="0.2"/>
    <row r="966" spans="9:39" ht="18" customHeight="1" x14ac:dyDescent="0.2"/>
    <row r="967" spans="9:39" ht="18" customHeight="1" x14ac:dyDescent="0.2">
      <c r="I967" s="172"/>
      <c r="AM967" s="172"/>
    </row>
    <row r="968" spans="9:39" ht="18" customHeight="1" x14ac:dyDescent="0.2">
      <c r="I968" s="172"/>
      <c r="AM968" s="172"/>
    </row>
    <row r="969" spans="9:39" ht="18" customHeight="1" x14ac:dyDescent="0.2">
      <c r="I969" s="172"/>
      <c r="AM969" s="172"/>
    </row>
    <row r="970" spans="9:39" ht="18" customHeight="1" x14ac:dyDescent="0.2">
      <c r="I970" s="172"/>
      <c r="AM970" s="172"/>
    </row>
    <row r="971" spans="9:39" ht="18" customHeight="1" x14ac:dyDescent="0.2">
      <c r="I971" s="172"/>
      <c r="AM971" s="172"/>
    </row>
    <row r="972" spans="9:39" ht="18" customHeight="1" x14ac:dyDescent="0.2"/>
    <row r="973" spans="9:39" ht="18" customHeight="1" x14ac:dyDescent="0.2">
      <c r="I973" s="172"/>
      <c r="AM973" s="172"/>
    </row>
    <row r="974" spans="9:39" ht="18" customHeight="1" x14ac:dyDescent="0.2"/>
    <row r="975" spans="9:39" ht="18" customHeight="1" x14ac:dyDescent="0.2">
      <c r="J975" s="172"/>
    </row>
    <row r="976" spans="9:39" ht="18" customHeight="1" x14ac:dyDescent="0.2"/>
    <row r="977" spans="9:40" ht="18" customHeight="1" x14ac:dyDescent="0.2">
      <c r="AN977" s="172"/>
    </row>
    <row r="978" spans="9:40" ht="18" customHeight="1" x14ac:dyDescent="0.2">
      <c r="I978" s="172"/>
      <c r="J978" s="172"/>
      <c r="AM978" s="172"/>
    </row>
    <row r="979" spans="9:40" ht="18" customHeight="1" x14ac:dyDescent="0.2">
      <c r="I979" s="172"/>
      <c r="J979" s="172"/>
      <c r="AM979" s="172"/>
    </row>
    <row r="980" spans="9:40" ht="18" customHeight="1" x14ac:dyDescent="0.2">
      <c r="I980" s="172"/>
      <c r="J980" s="172"/>
      <c r="AM980" s="172"/>
      <c r="AN980" s="172"/>
    </row>
    <row r="981" spans="9:40" ht="18" customHeight="1" x14ac:dyDescent="0.2">
      <c r="I981" s="172"/>
      <c r="J981" s="172"/>
      <c r="AM981" s="172"/>
      <c r="AN981" s="172"/>
    </row>
    <row r="982" spans="9:40" ht="18" customHeight="1" x14ac:dyDescent="0.2">
      <c r="I982" s="172"/>
      <c r="J982" s="172"/>
      <c r="AM982" s="172"/>
      <c r="AN982" s="172"/>
    </row>
    <row r="983" spans="9:40" ht="18" customHeight="1" x14ac:dyDescent="0.2">
      <c r="I983" s="172"/>
      <c r="J983" s="172"/>
      <c r="AM983" s="172"/>
      <c r="AN983" s="172"/>
    </row>
    <row r="984" spans="9:40" ht="18" customHeight="1" x14ac:dyDescent="0.2">
      <c r="I984" s="172"/>
      <c r="J984" s="172"/>
      <c r="AM984" s="172"/>
      <c r="AN984" s="172"/>
    </row>
    <row r="985" spans="9:40" ht="18" customHeight="1" x14ac:dyDescent="0.2">
      <c r="AN985" s="172"/>
    </row>
    <row r="986" spans="9:40" ht="18" customHeight="1" x14ac:dyDescent="0.2">
      <c r="AN986" s="172"/>
    </row>
    <row r="987" spans="9:40" ht="18" customHeight="1" x14ac:dyDescent="0.2"/>
    <row r="988" spans="9:40" ht="18" customHeight="1" x14ac:dyDescent="0.2"/>
    <row r="989" spans="9:40" ht="18" customHeight="1" x14ac:dyDescent="0.2"/>
    <row r="990" spans="9:40" ht="18" customHeight="1" x14ac:dyDescent="0.2"/>
    <row r="991" spans="9:40" ht="18" customHeight="1" x14ac:dyDescent="0.2"/>
    <row r="992" spans="9:40" ht="18" customHeight="1" x14ac:dyDescent="0.2"/>
    <row r="993" ht="18" customHeight="1" x14ac:dyDescent="0.2"/>
    <row r="994" ht="18" customHeight="1" x14ac:dyDescent="0.2"/>
    <row r="995" ht="18" customHeight="1" x14ac:dyDescent="0.2"/>
    <row r="996" ht="18" customHeight="1" x14ac:dyDescent="0.2"/>
    <row r="997" ht="18" customHeight="1" x14ac:dyDescent="0.2"/>
    <row r="998" ht="18" customHeight="1" x14ac:dyDescent="0.2"/>
    <row r="999" ht="18" customHeight="1" x14ac:dyDescent="0.2"/>
    <row r="1000" ht="18" customHeight="1" x14ac:dyDescent="0.2"/>
    <row r="1001" ht="18" customHeight="1" x14ac:dyDescent="0.2"/>
    <row r="1002" ht="18" customHeight="1" x14ac:dyDescent="0.2"/>
    <row r="1003" ht="18" customHeight="1" x14ac:dyDescent="0.2"/>
    <row r="1004" ht="18" customHeight="1" x14ac:dyDescent="0.2"/>
    <row r="1005" ht="18" customHeight="1" x14ac:dyDescent="0.2"/>
    <row r="1006" ht="18" customHeight="1" x14ac:dyDescent="0.2"/>
    <row r="1007" ht="18" customHeight="1" x14ac:dyDescent="0.2"/>
    <row r="1008" ht="18" customHeight="1" x14ac:dyDescent="0.2"/>
    <row r="1009" ht="18" customHeight="1" x14ac:dyDescent="0.2"/>
    <row r="1010" ht="18" customHeight="1" x14ac:dyDescent="0.2"/>
    <row r="1011" ht="18" customHeight="1" x14ac:dyDescent="0.2"/>
    <row r="1012" ht="18" customHeight="1" x14ac:dyDescent="0.2"/>
    <row r="1013" ht="18" customHeight="1" x14ac:dyDescent="0.2"/>
    <row r="1014" ht="18" customHeight="1" x14ac:dyDescent="0.2"/>
    <row r="1015" ht="18" customHeight="1" x14ac:dyDescent="0.2"/>
    <row r="1016" ht="18" customHeight="1" x14ac:dyDescent="0.2"/>
    <row r="1017" ht="18" customHeight="1" x14ac:dyDescent="0.2"/>
    <row r="1018" ht="18" customHeight="1" x14ac:dyDescent="0.2"/>
    <row r="1019" ht="18" customHeight="1" x14ac:dyDescent="0.2"/>
    <row r="1020" ht="18" customHeight="1" x14ac:dyDescent="0.2"/>
    <row r="1021" ht="18" customHeight="1" x14ac:dyDescent="0.2"/>
    <row r="1022" ht="18" customHeight="1" x14ac:dyDescent="0.2"/>
    <row r="1023" ht="18" customHeight="1" x14ac:dyDescent="0.2"/>
    <row r="1024" ht="18" customHeight="1" x14ac:dyDescent="0.2"/>
    <row r="1025" ht="18" customHeight="1" x14ac:dyDescent="0.2"/>
    <row r="1026" ht="18" customHeight="1" x14ac:dyDescent="0.2"/>
    <row r="1027" ht="18" customHeight="1" x14ac:dyDescent="0.2"/>
    <row r="1028" ht="18" customHeight="1" x14ac:dyDescent="0.2"/>
    <row r="1029" ht="18" customHeight="1" x14ac:dyDescent="0.2"/>
    <row r="1030" ht="18" customHeight="1" x14ac:dyDescent="0.2"/>
    <row r="1031" ht="18" customHeight="1" x14ac:dyDescent="0.2"/>
    <row r="1032" ht="18" customHeight="1" x14ac:dyDescent="0.2"/>
    <row r="1033" ht="18" customHeight="1" x14ac:dyDescent="0.2"/>
    <row r="1034" ht="18" customHeight="1" x14ac:dyDescent="0.2"/>
    <row r="1035" ht="18" customHeight="1" x14ac:dyDescent="0.2"/>
    <row r="1036" ht="18" customHeight="1" x14ac:dyDescent="0.2"/>
    <row r="1037" ht="18" customHeight="1" x14ac:dyDescent="0.2"/>
    <row r="1038" ht="18" customHeight="1" x14ac:dyDescent="0.2"/>
    <row r="1039" ht="18" customHeight="1" x14ac:dyDescent="0.2"/>
    <row r="1040" ht="18" customHeight="1" x14ac:dyDescent="0.2"/>
    <row r="1041" ht="18" customHeight="1" x14ac:dyDescent="0.2"/>
    <row r="1042" ht="18" customHeight="1" x14ac:dyDescent="0.2"/>
    <row r="1043" ht="18" customHeight="1" x14ac:dyDescent="0.2"/>
    <row r="1044" ht="18" customHeight="1" x14ac:dyDescent="0.2"/>
    <row r="1045" ht="18" customHeight="1" x14ac:dyDescent="0.2"/>
    <row r="1046" ht="18" customHeight="1" x14ac:dyDescent="0.2"/>
    <row r="1047" ht="18" customHeight="1" x14ac:dyDescent="0.2"/>
    <row r="1048" ht="18" customHeight="1" x14ac:dyDescent="0.2"/>
    <row r="1049" ht="18" customHeight="1" x14ac:dyDescent="0.2"/>
    <row r="1050" ht="18" customHeight="1" x14ac:dyDescent="0.2"/>
    <row r="1051" ht="18" customHeight="1" x14ac:dyDescent="0.2"/>
    <row r="1052" ht="18" customHeight="1" x14ac:dyDescent="0.2"/>
    <row r="1053" ht="18" customHeight="1" x14ac:dyDescent="0.2"/>
    <row r="1054" ht="18" customHeight="1" x14ac:dyDescent="0.2"/>
    <row r="1055" ht="18" customHeight="1" x14ac:dyDescent="0.2"/>
    <row r="1056" ht="18" customHeight="1" x14ac:dyDescent="0.2"/>
    <row r="1057" ht="18" customHeight="1" x14ac:dyDescent="0.2"/>
    <row r="1058" ht="18" customHeight="1" x14ac:dyDescent="0.2"/>
    <row r="1059" ht="18" customHeight="1" x14ac:dyDescent="0.2"/>
    <row r="1060" ht="18" customHeight="1" x14ac:dyDescent="0.2"/>
    <row r="1061" ht="18" customHeight="1" x14ac:dyDescent="0.2"/>
    <row r="1062" ht="18" customHeight="1" x14ac:dyDescent="0.2"/>
    <row r="1063" ht="18" customHeight="1" x14ac:dyDescent="0.2"/>
    <row r="1064" ht="18" customHeight="1" x14ac:dyDescent="0.2"/>
    <row r="1065" ht="18" customHeight="1" x14ac:dyDescent="0.2"/>
    <row r="1066" ht="18" customHeight="1" x14ac:dyDescent="0.2"/>
    <row r="1067" ht="18" customHeight="1" x14ac:dyDescent="0.2"/>
    <row r="1068" ht="18" customHeight="1" x14ac:dyDescent="0.2"/>
    <row r="1069" ht="18" customHeight="1" x14ac:dyDescent="0.2"/>
    <row r="1070" ht="18" customHeight="1" x14ac:dyDescent="0.2"/>
    <row r="1071" ht="18" customHeight="1" x14ac:dyDescent="0.2"/>
    <row r="1072" ht="18" customHeight="1" x14ac:dyDescent="0.2"/>
    <row r="1073" ht="18" customHeight="1" x14ac:dyDescent="0.2"/>
    <row r="1074" ht="18" customHeight="1" x14ac:dyDescent="0.2"/>
    <row r="1075" ht="18" customHeight="1" x14ac:dyDescent="0.2"/>
    <row r="1076" ht="18" customHeight="1" x14ac:dyDescent="0.2"/>
    <row r="1077" ht="18" customHeight="1" x14ac:dyDescent="0.2"/>
    <row r="1078" ht="18" customHeight="1" x14ac:dyDescent="0.2"/>
    <row r="1079" ht="18" customHeight="1" x14ac:dyDescent="0.2"/>
    <row r="1080" ht="18" customHeight="1" x14ac:dyDescent="0.2"/>
    <row r="1081" ht="18" customHeight="1" x14ac:dyDescent="0.2"/>
    <row r="1082" ht="18" customHeight="1" x14ac:dyDescent="0.2"/>
    <row r="1083" ht="18" customHeight="1" x14ac:dyDescent="0.2"/>
    <row r="1084" ht="18" customHeight="1" x14ac:dyDescent="0.2"/>
    <row r="1085" ht="18" customHeight="1" x14ac:dyDescent="0.2"/>
    <row r="1086" ht="18" customHeight="1" x14ac:dyDescent="0.2"/>
    <row r="1087" ht="18" customHeight="1" x14ac:dyDescent="0.2"/>
    <row r="1088" ht="18" customHeight="1" x14ac:dyDescent="0.2"/>
    <row r="1089" ht="18" customHeight="1" x14ac:dyDescent="0.2"/>
    <row r="1090" ht="18" customHeight="1" x14ac:dyDescent="0.2"/>
    <row r="1091" ht="18" customHeight="1" x14ac:dyDescent="0.2"/>
    <row r="1092" ht="18" customHeight="1" x14ac:dyDescent="0.2"/>
    <row r="1093" ht="18" customHeight="1" x14ac:dyDescent="0.2"/>
    <row r="1094" ht="18" customHeight="1" x14ac:dyDescent="0.2"/>
    <row r="1095" ht="18" customHeight="1" x14ac:dyDescent="0.2"/>
    <row r="1096" ht="18" customHeight="1" x14ac:dyDescent="0.2"/>
    <row r="1097" ht="18" customHeight="1" x14ac:dyDescent="0.2"/>
    <row r="1098" ht="18" customHeight="1" x14ac:dyDescent="0.2"/>
    <row r="1099" ht="18" customHeight="1" x14ac:dyDescent="0.2"/>
    <row r="1100" ht="18" customHeight="1" x14ac:dyDescent="0.2"/>
    <row r="1101" ht="18" customHeight="1" x14ac:dyDescent="0.2"/>
    <row r="1102" ht="18" customHeight="1" x14ac:dyDescent="0.2"/>
    <row r="1103" ht="18" customHeight="1" x14ac:dyDescent="0.2"/>
    <row r="1104" ht="18" customHeight="1" x14ac:dyDescent="0.2"/>
    <row r="1105" ht="18" customHeight="1" x14ac:dyDescent="0.2"/>
    <row r="1106" ht="18" customHeight="1" x14ac:dyDescent="0.2"/>
    <row r="1107" ht="18" customHeight="1" x14ac:dyDescent="0.2"/>
    <row r="1108" ht="18" customHeight="1" x14ac:dyDescent="0.2"/>
    <row r="1109" ht="18" customHeight="1" x14ac:dyDescent="0.2"/>
    <row r="1110" ht="18" customHeight="1" x14ac:dyDescent="0.2"/>
    <row r="1111" ht="18" customHeight="1" x14ac:dyDescent="0.2"/>
    <row r="1112" ht="18" customHeight="1" x14ac:dyDescent="0.2"/>
    <row r="1113" ht="18" customHeight="1" x14ac:dyDescent="0.2"/>
    <row r="1114" ht="18" customHeight="1" x14ac:dyDescent="0.2"/>
    <row r="1115" ht="18" customHeight="1" x14ac:dyDescent="0.2"/>
    <row r="1116" ht="18" customHeight="1" x14ac:dyDescent="0.2"/>
    <row r="1117" ht="18" customHeight="1" x14ac:dyDescent="0.2"/>
    <row r="1118" ht="18" customHeight="1" x14ac:dyDescent="0.2"/>
    <row r="1119" ht="18" customHeight="1" x14ac:dyDescent="0.2"/>
    <row r="1120" ht="18" customHeight="1" x14ac:dyDescent="0.2"/>
    <row r="1121" ht="18" customHeight="1" x14ac:dyDescent="0.2"/>
    <row r="1122" ht="18" customHeight="1" x14ac:dyDescent="0.2"/>
    <row r="1123" ht="18" customHeight="1" x14ac:dyDescent="0.2"/>
    <row r="1124" ht="18" customHeight="1" x14ac:dyDescent="0.2"/>
    <row r="1125" ht="18" customHeight="1" x14ac:dyDescent="0.2"/>
    <row r="1126" ht="18" customHeight="1" x14ac:dyDescent="0.2"/>
    <row r="1127" ht="18" customHeight="1" x14ac:dyDescent="0.2"/>
    <row r="1128" ht="18" customHeight="1" x14ac:dyDescent="0.2"/>
    <row r="1129" ht="18" customHeight="1" x14ac:dyDescent="0.2"/>
    <row r="1130" ht="18" customHeight="1" x14ac:dyDescent="0.2"/>
    <row r="1131" ht="18" customHeight="1" x14ac:dyDescent="0.2"/>
    <row r="1132" ht="18" customHeight="1" x14ac:dyDescent="0.2"/>
    <row r="1133" ht="18" customHeight="1" x14ac:dyDescent="0.2"/>
    <row r="1134" ht="18" customHeight="1" x14ac:dyDescent="0.2"/>
    <row r="1135" ht="18" customHeight="1" x14ac:dyDescent="0.2"/>
    <row r="1136" ht="18" customHeight="1" x14ac:dyDescent="0.2"/>
    <row r="1137" ht="18" customHeight="1" x14ac:dyDescent="0.2"/>
    <row r="1138" ht="18" customHeight="1" x14ac:dyDescent="0.2"/>
    <row r="1139" ht="18" customHeight="1" x14ac:dyDescent="0.2"/>
    <row r="1140" ht="18" customHeight="1" x14ac:dyDescent="0.2"/>
    <row r="1141" ht="18" customHeight="1" x14ac:dyDescent="0.2"/>
    <row r="1142" ht="18" customHeight="1" x14ac:dyDescent="0.2"/>
    <row r="1143" ht="12" customHeight="1" x14ac:dyDescent="0.2"/>
    <row r="1144" ht="12" customHeight="1" x14ac:dyDescent="0.2"/>
    <row r="1145" ht="12" customHeight="1" x14ac:dyDescent="0.2"/>
    <row r="1146" ht="12" customHeight="1" x14ac:dyDescent="0.2"/>
    <row r="1147" ht="12" customHeight="1" x14ac:dyDescent="0.2"/>
    <row r="1148" ht="12" customHeight="1" x14ac:dyDescent="0.2"/>
    <row r="1149" ht="12" customHeight="1" x14ac:dyDescent="0.2"/>
    <row r="1150" ht="12" customHeight="1" x14ac:dyDescent="0.2"/>
    <row r="1151" ht="12" customHeight="1" x14ac:dyDescent="0.2"/>
    <row r="1152" ht="12" customHeight="1" x14ac:dyDescent="0.2"/>
    <row r="1153" ht="12" customHeight="1" x14ac:dyDescent="0.2"/>
    <row r="1154" ht="12" customHeight="1" x14ac:dyDescent="0.2"/>
    <row r="1155" ht="12" customHeight="1" x14ac:dyDescent="0.2"/>
    <row r="1156" ht="12" customHeight="1" x14ac:dyDescent="0.2"/>
    <row r="1157" ht="12" customHeight="1" x14ac:dyDescent="0.2"/>
    <row r="1158" ht="12" customHeight="1" x14ac:dyDescent="0.2"/>
    <row r="1159" ht="12" customHeight="1" x14ac:dyDescent="0.2"/>
    <row r="1160" ht="12" customHeight="1" x14ac:dyDescent="0.2"/>
    <row r="1161" ht="12" customHeight="1" x14ac:dyDescent="0.2"/>
    <row r="1162" ht="12" customHeight="1" x14ac:dyDescent="0.2"/>
    <row r="1163" ht="12" customHeight="1" x14ac:dyDescent="0.2"/>
    <row r="1164" ht="12" customHeight="1" x14ac:dyDescent="0.2"/>
    <row r="1165" ht="12" customHeight="1" x14ac:dyDescent="0.2"/>
    <row r="1166" ht="12" customHeight="1" x14ac:dyDescent="0.2"/>
    <row r="1167" ht="12" customHeight="1" x14ac:dyDescent="0.2"/>
    <row r="1168" ht="12" customHeight="1" x14ac:dyDescent="0.2"/>
    <row r="1169" ht="12" customHeight="1" x14ac:dyDescent="0.2"/>
    <row r="1170" ht="12" customHeight="1" x14ac:dyDescent="0.2"/>
    <row r="1171" ht="12" customHeight="1" x14ac:dyDescent="0.2"/>
    <row r="1172" ht="12" customHeight="1" x14ac:dyDescent="0.2"/>
    <row r="1173" ht="12" customHeight="1" x14ac:dyDescent="0.2"/>
    <row r="1174" ht="12" customHeight="1" x14ac:dyDescent="0.2"/>
    <row r="1175" ht="0" hidden="1" customHeight="1" x14ac:dyDescent="0.2"/>
    <row r="1176" ht="0" hidden="1" customHeight="1" x14ac:dyDescent="0.2"/>
    <row r="1177" ht="0" hidden="1" customHeight="1" x14ac:dyDescent="0.2"/>
    <row r="1178" ht="0" hidden="1" customHeight="1" x14ac:dyDescent="0.2"/>
    <row r="1179" ht="0" hidden="1" customHeight="1" x14ac:dyDescent="0.2"/>
    <row r="1180" ht="0" hidden="1" customHeight="1" x14ac:dyDescent="0.2"/>
    <row r="1181" ht="0" hidden="1" customHeight="1" x14ac:dyDescent="0.2"/>
    <row r="1182" ht="0" hidden="1" customHeight="1" x14ac:dyDescent="0.2"/>
    <row r="1183" ht="0" hidden="1" customHeight="1" x14ac:dyDescent="0.2"/>
    <row r="1184" ht="0" hidden="1" customHeight="1" x14ac:dyDescent="0.2"/>
    <row r="1185" ht="0" hidden="1" customHeight="1" x14ac:dyDescent="0.2"/>
    <row r="1186" ht="0" hidden="1" customHeight="1" x14ac:dyDescent="0.2"/>
    <row r="1187" ht="0" hidden="1" customHeight="1" x14ac:dyDescent="0.2"/>
    <row r="1188" ht="0" hidden="1" customHeight="1" x14ac:dyDescent="0.2"/>
    <row r="1189" ht="0" hidden="1" customHeight="1" x14ac:dyDescent="0.2"/>
    <row r="1190" ht="0" hidden="1" customHeight="1" x14ac:dyDescent="0.2"/>
    <row r="1191" ht="0" hidden="1" customHeight="1" x14ac:dyDescent="0.2"/>
    <row r="1192" ht="0" hidden="1" customHeight="1" x14ac:dyDescent="0.2"/>
    <row r="1193" ht="0" hidden="1" customHeight="1" x14ac:dyDescent="0.2"/>
    <row r="1194" ht="0" hidden="1" customHeight="1" x14ac:dyDescent="0.2"/>
    <row r="1195" ht="0" hidden="1" customHeight="1" x14ac:dyDescent="0.2"/>
    <row r="1196" ht="0" hidden="1" customHeight="1" x14ac:dyDescent="0.2"/>
    <row r="1197" ht="0" hidden="1" customHeight="1" x14ac:dyDescent="0.2"/>
    <row r="1198" ht="0" hidden="1" customHeight="1" x14ac:dyDescent="0.2"/>
    <row r="1199" ht="0" hidden="1" customHeight="1" x14ac:dyDescent="0.2"/>
    <row r="1200" ht="0" hidden="1" customHeight="1" x14ac:dyDescent="0.2"/>
    <row r="1201" ht="0" hidden="1" customHeight="1" x14ac:dyDescent="0.2"/>
    <row r="1202" ht="0" hidden="1" customHeight="1" x14ac:dyDescent="0.2"/>
    <row r="1203" ht="0" hidden="1" customHeight="1" x14ac:dyDescent="0.2"/>
    <row r="1204" ht="0" hidden="1" customHeight="1" x14ac:dyDescent="0.2"/>
    <row r="1205" ht="0" hidden="1" customHeight="1" x14ac:dyDescent="0.2"/>
    <row r="1206" ht="0" hidden="1" customHeight="1" x14ac:dyDescent="0.2"/>
    <row r="1207" ht="0" hidden="1" customHeight="1" x14ac:dyDescent="0.2"/>
    <row r="1208" ht="0" hidden="1" customHeight="1" x14ac:dyDescent="0.2"/>
    <row r="1209" ht="0" hidden="1" customHeight="1" x14ac:dyDescent="0.2"/>
    <row r="1210" ht="0" hidden="1" customHeight="1" x14ac:dyDescent="0.2"/>
    <row r="1211" ht="0" hidden="1" customHeight="1" x14ac:dyDescent="0.2"/>
    <row r="1212" ht="0" hidden="1" customHeight="1" x14ac:dyDescent="0.2"/>
    <row r="1213" ht="0" hidden="1" customHeight="1" x14ac:dyDescent="0.2"/>
    <row r="1214" ht="0" hidden="1" customHeight="1" x14ac:dyDescent="0.2"/>
    <row r="1215" ht="0" hidden="1" customHeight="1" x14ac:dyDescent="0.2"/>
    <row r="1216" ht="0" hidden="1" customHeight="1" x14ac:dyDescent="0.2"/>
    <row r="1217" ht="0" hidden="1" customHeight="1" x14ac:dyDescent="0.2"/>
    <row r="1218" ht="0" hidden="1" customHeight="1" x14ac:dyDescent="0.2"/>
    <row r="1219" ht="0" hidden="1" customHeight="1" x14ac:dyDescent="0.2"/>
    <row r="1220" ht="0" hidden="1" customHeight="1" x14ac:dyDescent="0.2"/>
    <row r="1221" ht="0" hidden="1" customHeight="1" x14ac:dyDescent="0.2"/>
    <row r="1222" ht="0" hidden="1" customHeight="1" x14ac:dyDescent="0.2"/>
    <row r="1223" ht="0" hidden="1" customHeight="1" x14ac:dyDescent="0.2"/>
    <row r="1224" ht="0" hidden="1" customHeight="1" x14ac:dyDescent="0.2"/>
    <row r="1225" ht="0" hidden="1" customHeight="1" x14ac:dyDescent="0.2"/>
    <row r="1226" ht="0" hidden="1" customHeight="1" x14ac:dyDescent="0.2"/>
    <row r="1227" ht="0" hidden="1" customHeight="1" x14ac:dyDescent="0.2"/>
    <row r="1228" ht="0" hidden="1" customHeight="1" x14ac:dyDescent="0.2"/>
    <row r="1229" ht="0" hidden="1" customHeight="1" x14ac:dyDescent="0.2"/>
    <row r="1230" ht="0" hidden="1" customHeight="1" x14ac:dyDescent="0.2"/>
  </sheetData>
  <sheetProtection formatCells="0"/>
  <mergeCells count="72">
    <mergeCell ref="AI64:AJ64"/>
    <mergeCell ref="O864:O865"/>
    <mergeCell ref="E496:E505"/>
    <mergeCell ref="D457:D458"/>
    <mergeCell ref="Y64:Z64"/>
    <mergeCell ref="AA64:AB64"/>
    <mergeCell ref="AC64:AD64"/>
    <mergeCell ref="AE64:AF64"/>
    <mergeCell ref="AG64:AH64"/>
    <mergeCell ref="U72:AM74"/>
    <mergeCell ref="W79:X79"/>
    <mergeCell ref="U88:V88"/>
    <mergeCell ref="U90:V90"/>
    <mergeCell ref="U91:V91"/>
    <mergeCell ref="U92:V92"/>
    <mergeCell ref="U93:V93"/>
    <mergeCell ref="U2:AM2"/>
    <mergeCell ref="U4:AN4"/>
    <mergeCell ref="U5:AN5"/>
    <mergeCell ref="U6:AM6"/>
    <mergeCell ref="U8:V8"/>
    <mergeCell ref="U9:V9"/>
    <mergeCell ref="U10:V10"/>
    <mergeCell ref="U11:V11"/>
    <mergeCell ref="U12:V12"/>
    <mergeCell ref="U13:V13"/>
    <mergeCell ref="U94:V94"/>
    <mergeCell ref="U95:V95"/>
    <mergeCell ref="U96:V96"/>
    <mergeCell ref="U97:V97"/>
    <mergeCell ref="U98:V98"/>
    <mergeCell ref="U102:V102"/>
    <mergeCell ref="U103:V103"/>
    <mergeCell ref="U107:V107"/>
    <mergeCell ref="U140:V140"/>
    <mergeCell ref="U175:V175"/>
    <mergeCell ref="U188:V188"/>
    <mergeCell ref="U203:V203"/>
    <mergeCell ref="U234:V234"/>
    <mergeCell ref="U267:V267"/>
    <mergeCell ref="U271:V271"/>
    <mergeCell ref="U278:V278"/>
    <mergeCell ref="U330:V330"/>
    <mergeCell ref="U331:V331"/>
    <mergeCell ref="U387:V387"/>
    <mergeCell ref="U394:V394"/>
    <mergeCell ref="U408:V408"/>
    <mergeCell ref="U423:V423"/>
    <mergeCell ref="U441:V441"/>
    <mergeCell ref="U476:V476"/>
    <mergeCell ref="U580:V580"/>
    <mergeCell ref="U584:V584"/>
    <mergeCell ref="U590:V590"/>
    <mergeCell ref="U613:V613"/>
    <mergeCell ref="U648:V648"/>
    <mergeCell ref="U660:V660"/>
    <mergeCell ref="U671:V671"/>
    <mergeCell ref="U685:V685"/>
    <mergeCell ref="U689:V689"/>
    <mergeCell ref="U696:V696"/>
    <mergeCell ref="U841:V841"/>
    <mergeCell ref="U699:V699"/>
    <mergeCell ref="U844:V844"/>
    <mergeCell ref="AS865:AS866"/>
    <mergeCell ref="U728:V728"/>
    <mergeCell ref="U729:V729"/>
    <mergeCell ref="U730:V730"/>
    <mergeCell ref="U731:V731"/>
    <mergeCell ref="U732:V732"/>
    <mergeCell ref="U827:V827"/>
    <mergeCell ref="U828:V828"/>
    <mergeCell ref="U837:V837"/>
  </mergeCells>
  <conditionalFormatting sqref="AM63 B63:D63">
    <cfRule type="containsBlanks" dxfId="6" priority="49" stopIfTrue="1">
      <formula>LEN(TRIM(B63))=0</formula>
    </cfRule>
  </conditionalFormatting>
  <conditionalFormatting sqref="AM717">
    <cfRule type="expression" dxfId="5" priority="28">
      <formula>OR(#REF!="RIG 5",#REF!="RIG 12",#REF!="RIG 14")</formula>
    </cfRule>
  </conditionalFormatting>
  <conditionalFormatting sqref="AC717:AG717 AF715:AG716 X705:AE708 AC709:AE716 Y709:AB717 AB713:AE713 AH715:AM717 AK706:AK717 Y712:AG712 Y707:AG708 Y710:AG710 Y714:AG714 X710:X717 AF706:AM714 U705:W717">
    <cfRule type="expression" dxfId="4" priority="25">
      <formula>#REF!="RIG 16"</formula>
    </cfRule>
  </conditionalFormatting>
  <conditionalFormatting sqref="Y139:Y170">
    <cfRule type="expression" dxfId="3" priority="24">
      <formula>#REF!="W/ BAUER"</formula>
    </cfRule>
  </conditionalFormatting>
  <conditionalFormatting sqref="X15:AK20">
    <cfRule type="containsBlanks" dxfId="2" priority="21">
      <formula>LEN(TRIM(X15))=0</formula>
    </cfRule>
  </conditionalFormatting>
  <conditionalFormatting sqref="AA141:AA170 AC141:AC170 AE141:AE170 AG141:AG170 AI141:AI170 AK141:AK170">
    <cfRule type="expression" dxfId="1" priority="19">
      <formula>#REF!="W/ BAUER"</formula>
    </cfRule>
  </conditionalFormatting>
  <conditionalFormatting sqref="W272:W273">
    <cfRule type="expression" dxfId="0" priority="3">
      <formula>#REF!="RIG 16"</formula>
    </cfRule>
  </conditionalFormatting>
  <dataValidations disablePrompts="1" count="4">
    <dataValidation type="list" allowBlank="1" showErrorMessage="1" sqref="G835:G837">
      <formula1>J924:J926</formula1>
    </dataValidation>
    <dataValidation type="list" allowBlank="1" showErrorMessage="1" sqref="G825:G828">
      <formula1>J905:J907</formula1>
    </dataValidation>
    <dataValidation type="list" allowBlank="1" showErrorMessage="1" sqref="AP836:AP838">
      <formula1>AN926:AN928</formula1>
    </dataValidation>
    <dataValidation type="list" allowBlank="1" showErrorMessage="1" sqref="AP826:AP829">
      <formula1>AN907:AN909</formula1>
    </dataValidation>
  </dataValidations>
  <printOptions horizontalCentered="1"/>
  <pageMargins left="0.19685039370078741" right="0.19685039370078741" top="0.23622047244094491" bottom="0.23622047244094491" header="0.31496062992125984" footer="0.31496062992125984"/>
  <pageSetup paperSize="9" scale="33" fitToHeight="8" orientation="landscape" r:id="rId1"/>
  <colBreaks count="1" manualBreakCount="1">
    <brk id="10" max="1048575" man="1"/>
  </colBreaks>
  <drawing r:id="rId2"/>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A1:AI42"/>
  <sheetViews>
    <sheetView showGridLines="0" topLeftCell="D1" zoomScale="80" zoomScaleNormal="80" workbookViewId="0">
      <selection activeCell="D3" sqref="D3:E24 G3:AE24"/>
    </sheetView>
  </sheetViews>
  <sheetFormatPr baseColWidth="10" defaultColWidth="8.83203125" defaultRowHeight="13" x14ac:dyDescent="0.15"/>
  <cols>
    <col min="1" max="1" width="9.1640625" style="315" hidden="1" customWidth="1"/>
    <col min="2" max="3" width="9.1640625" hidden="1" customWidth="1"/>
    <col min="4" max="4" width="20.5" customWidth="1"/>
    <col min="5" max="5" width="13.33203125" customWidth="1"/>
    <col min="6" max="6" width="22.6640625" style="1641" hidden="1" customWidth="1"/>
    <col min="7" max="7" width="14.5" customWidth="1"/>
    <col min="8" max="9" width="8.6640625" style="315" customWidth="1"/>
    <col min="10" max="10" width="5.5" style="315" customWidth="1"/>
    <col min="11" max="11" width="6.6640625" style="315" customWidth="1"/>
    <col min="12" max="12" width="7.83203125" style="315" bestFit="1" customWidth="1"/>
    <col min="13" max="13" width="6.6640625" style="315" bestFit="1" customWidth="1"/>
    <col min="14" max="17" width="14.5" style="315" bestFit="1" customWidth="1"/>
    <col min="18" max="19" width="7.5" style="315" customWidth="1"/>
    <col min="20" max="20" width="5.6640625" style="315" bestFit="1" customWidth="1"/>
    <col min="21" max="24" width="6.6640625" style="315" bestFit="1" customWidth="1"/>
    <col min="25" max="25" width="7" style="315" customWidth="1"/>
    <col min="26" max="27" width="4.83203125" style="315" bestFit="1" customWidth="1"/>
    <col min="28" max="29" width="6.6640625" style="315" bestFit="1" customWidth="1"/>
    <col min="30" max="30" width="6.33203125" style="315" bestFit="1" customWidth="1"/>
    <col min="31" max="31" width="8.6640625" style="315" customWidth="1"/>
    <col min="32" max="32" width="17" hidden="1" customWidth="1"/>
    <col min="33" max="33" width="23.83203125" style="666" hidden="1" customWidth="1"/>
    <col min="34" max="34" width="0" hidden="1" customWidth="1"/>
    <col min="35" max="35" width="12.33203125" style="1641" hidden="1" customWidth="1"/>
    <col min="36" max="41" width="0" hidden="1" customWidth="1"/>
  </cols>
  <sheetData>
    <row r="1" spans="1:35" ht="14" x14ac:dyDescent="0.2">
      <c r="N1" s="2244">
        <f ca="1">'Cost Details'!$Y$63+'Cost Details'!$Z$63</f>
        <v>35609360.242903538</v>
      </c>
      <c r="O1" s="2244">
        <f ca="1">'Cost Details'!$AA$63+'Cost Details'!$AB$63</f>
        <v>52567031.261228777</v>
      </c>
      <c r="P1" s="2244">
        <f ca="1">'Cost Details'!$AC$63+'Cost Details'!$AD$63</f>
        <v>71040048.188027188</v>
      </c>
      <c r="Q1" s="2244">
        <f ca="1">'Cost Details'!$AE$63+'Cost Details'!$AF$63</f>
        <v>41564123.87997821</v>
      </c>
      <c r="R1" s="2244">
        <f ca="1">'Cost Details'!$AG$63+'Cost Details'!$AH$63</f>
        <v>76745913.208748728</v>
      </c>
    </row>
    <row r="2" spans="1:35" ht="28" x14ac:dyDescent="0.2">
      <c r="A2" s="315">
        <f ca="1">'COVER SHEET'!J51</f>
        <v>111014.62974165459</v>
      </c>
      <c r="D2" s="1612" t="s">
        <v>1168</v>
      </c>
      <c r="E2" s="1612" t="s">
        <v>1169</v>
      </c>
      <c r="F2" s="1635" t="s">
        <v>1170</v>
      </c>
      <c r="G2" s="1613" t="s">
        <v>2711</v>
      </c>
      <c r="H2" s="1898"/>
      <c r="I2" s="1898"/>
      <c r="J2" s="1898"/>
      <c r="K2" s="1898" t="s">
        <v>982</v>
      </c>
      <c r="L2" s="1898" t="s">
        <v>410</v>
      </c>
      <c r="M2" s="1898" t="s">
        <v>2713</v>
      </c>
      <c r="N2" s="1898" t="s">
        <v>1239</v>
      </c>
      <c r="O2" s="1898" t="s">
        <v>1240</v>
      </c>
      <c r="P2" s="1898" t="s">
        <v>1300</v>
      </c>
      <c r="Q2" s="1898" t="s">
        <v>2189</v>
      </c>
      <c r="R2" s="1898" t="s">
        <v>2192</v>
      </c>
      <c r="S2" s="1898" t="s">
        <v>2712</v>
      </c>
      <c r="T2" s="1898" t="s">
        <v>1239</v>
      </c>
      <c r="U2" s="1898" t="s">
        <v>1240</v>
      </c>
      <c r="V2" s="1898" t="s">
        <v>1300</v>
      </c>
      <c r="W2" s="1898" t="s">
        <v>2189</v>
      </c>
      <c r="X2" s="1898" t="s">
        <v>2192</v>
      </c>
      <c r="Y2" s="1898" t="s">
        <v>2715</v>
      </c>
      <c r="Z2" s="1898" t="s">
        <v>1239</v>
      </c>
      <c r="AA2" s="1898" t="s">
        <v>1240</v>
      </c>
      <c r="AB2" s="1898" t="s">
        <v>1300</v>
      </c>
      <c r="AC2" s="1898" t="s">
        <v>2189</v>
      </c>
      <c r="AD2" s="1898" t="s">
        <v>2192</v>
      </c>
      <c r="AE2" s="1898"/>
      <c r="AF2" s="1614"/>
      <c r="AG2" s="1626"/>
    </row>
    <row r="3" spans="1:35" ht="15" x14ac:dyDescent="0.2">
      <c r="A3" s="315">
        <f>'COVER SHEET'!J52</f>
        <v>0</v>
      </c>
      <c r="D3" s="1615" t="s">
        <v>1142</v>
      </c>
      <c r="E3" s="1864">
        <f ca="1">('COVER SHEET'!H20)/1000000</f>
        <v>18.782</v>
      </c>
      <c r="F3" s="1636" t="s">
        <v>1171</v>
      </c>
      <c r="G3" s="1616" t="s">
        <v>1172</v>
      </c>
      <c r="H3" s="1616" t="str">
        <f>INPUT!H8</f>
        <v>LGBU</v>
      </c>
      <c r="I3" s="1616" t="str">
        <f>RH_BH</f>
        <v>Big Hole</v>
      </c>
      <c r="J3" s="1616">
        <f>TD</f>
        <v>2500</v>
      </c>
      <c r="K3" s="2245">
        <f>ROP</f>
        <v>61</v>
      </c>
      <c r="L3" s="2244">
        <f ca="1">$E$25</f>
        <v>334.80200000000008</v>
      </c>
      <c r="M3" s="2244">
        <f ca="1">('Cost Details'!$X$63)/1000000</f>
        <v>57.265425645863516</v>
      </c>
      <c r="N3" s="2244">
        <f ca="1">(N1/INPUT!$G$23)/1000</f>
        <v>356.09360242903534</v>
      </c>
      <c r="O3" s="2244">
        <f ca="1">(O1/(INPUT!$G$24-INPUT!$G$23))/1000</f>
        <v>114.27615491571474</v>
      </c>
      <c r="P3" s="2244">
        <f ca="1">(P1/(INPUT!$G$25-INPUT!$G$24))/1000</f>
        <v>101.48578312575312</v>
      </c>
      <c r="Q3" s="2244">
        <f ca="1">(Q1/(INPUT!$G$26-INPUT!$G$25))/1000</f>
        <v>64.943943562465947</v>
      </c>
      <c r="R3" s="2244">
        <f ca="1">(R1/(INPUT!$G$27-INPUT!$G$26))/1000</f>
        <v>127.90985534791454</v>
      </c>
      <c r="S3" s="2244">
        <f ca="1">(INPUT!$Q$24)/1000</f>
        <v>111.01462974165459</v>
      </c>
      <c r="T3" s="2244">
        <f>INPUT!$S$7</f>
        <v>6</v>
      </c>
      <c r="U3" s="2244">
        <f>INPUT!$S$8</f>
        <v>9</v>
      </c>
      <c r="V3" s="2244">
        <f>INPUT!$S$9</f>
        <v>13</v>
      </c>
      <c r="W3" s="2244">
        <f>INPUT!$S$10</f>
        <v>8</v>
      </c>
      <c r="X3" s="2244">
        <f>INPUT!$S$11</f>
        <v>12</v>
      </c>
      <c r="Y3" s="2244">
        <f>SUM(T3:X3)</f>
        <v>48</v>
      </c>
      <c r="Z3" s="2245">
        <f>INPUT!$G$23</f>
        <v>100</v>
      </c>
      <c r="AA3" s="2245">
        <f>INPUT!$G$24</f>
        <v>560</v>
      </c>
      <c r="AB3" s="2245">
        <f>INPUT!$G$25</f>
        <v>1260</v>
      </c>
      <c r="AC3" s="2245">
        <f>INPUT!$G$26</f>
        <v>1900</v>
      </c>
      <c r="AD3" s="2245">
        <f>IF(INPUT!$G$27="","",INPUT!$G$27)</f>
        <v>2500</v>
      </c>
      <c r="AE3" s="349" t="str">
        <f>CONCATENATE(Z3,"-",AA3,"-",AB3,"-",AC3,IF(AD3="","","-"),AD3)</f>
        <v>100-560-1260-1900-2500</v>
      </c>
      <c r="AF3" s="1615" t="s">
        <v>1172</v>
      </c>
      <c r="AG3" s="1627">
        <f ca="1">AI3/$AI$7</f>
        <v>0.24317656405875709</v>
      </c>
      <c r="AH3" s="1625"/>
      <c r="AI3" s="1868">
        <f ca="1">SUM(E3:E8)</f>
        <v>81.415999999999997</v>
      </c>
    </row>
    <row r="4" spans="1:35" ht="15" x14ac:dyDescent="0.2">
      <c r="D4" s="1615" t="s">
        <v>1143</v>
      </c>
      <c r="E4" s="1864">
        <f>('COVER SHEET'!H22)/1000000</f>
        <v>3.0169999999999999</v>
      </c>
      <c r="F4" s="1636" t="s">
        <v>1173</v>
      </c>
      <c r="G4" s="1616" t="s">
        <v>1172</v>
      </c>
      <c r="H4" s="1616" t="str">
        <f t="shared" ref="H4:M4" si="0">H3</f>
        <v>LGBU</v>
      </c>
      <c r="I4" s="1616" t="str">
        <f t="shared" si="0"/>
        <v>Big Hole</v>
      </c>
      <c r="J4" s="1616">
        <f t="shared" si="0"/>
        <v>2500</v>
      </c>
      <c r="K4" s="2245">
        <f t="shared" si="0"/>
        <v>61</v>
      </c>
      <c r="L4" s="2244">
        <f t="shared" ca="1" si="0"/>
        <v>334.80200000000008</v>
      </c>
      <c r="M4" s="2244">
        <f t="shared" ca="1" si="0"/>
        <v>57.265425645863516</v>
      </c>
      <c r="N4" s="2244"/>
      <c r="O4" s="2244"/>
      <c r="P4" s="2244"/>
      <c r="Q4" s="2244"/>
      <c r="R4" s="2244"/>
      <c r="S4" s="2244">
        <f ca="1">S3</f>
        <v>111.01462974165459</v>
      </c>
      <c r="T4" s="2244"/>
      <c r="U4" s="2244"/>
      <c r="V4" s="2244"/>
      <c r="W4" s="2244"/>
      <c r="X4" s="2244"/>
      <c r="Y4" s="2244"/>
      <c r="Z4" s="2245">
        <f>Z3</f>
        <v>100</v>
      </c>
      <c r="AA4" s="2245">
        <f>AA3</f>
        <v>560</v>
      </c>
      <c r="AB4" s="2245">
        <f>AB3</f>
        <v>1260</v>
      </c>
      <c r="AC4" s="2245">
        <f>AC3</f>
        <v>1900</v>
      </c>
      <c r="AD4" s="2245">
        <f>AD3</f>
        <v>2500</v>
      </c>
      <c r="AE4" s="349" t="str">
        <f>CONCATENATE(Z4,"-",AA4,"-",AB4,"-",AC4,IF(AD4="","","-"),AD4)</f>
        <v>100-560-1260-1900-2500</v>
      </c>
      <c r="AF4" s="1617" t="s">
        <v>1174</v>
      </c>
      <c r="AG4" s="1628">
        <f ca="1">AI4/$AI$7</f>
        <v>0.2538784117179706</v>
      </c>
      <c r="AH4" s="1625"/>
      <c r="AI4" s="1869">
        <f ca="1">SUM(E9:E16,E18:E21)</f>
        <v>84.998999999999995</v>
      </c>
    </row>
    <row r="5" spans="1:35" ht="15" x14ac:dyDescent="0.2">
      <c r="D5" s="1615" t="s">
        <v>1144</v>
      </c>
      <c r="E5" s="1864">
        <f>('COVER SHEET'!H23)/1000000</f>
        <v>16.079000000000001</v>
      </c>
      <c r="F5" s="1636" t="s">
        <v>1173</v>
      </c>
      <c r="G5" s="1616" t="s">
        <v>1172</v>
      </c>
      <c r="H5" s="1616" t="str">
        <f t="shared" ref="H5:H24" si="1">H4</f>
        <v>LGBU</v>
      </c>
      <c r="I5" s="1616" t="str">
        <f t="shared" ref="I5:I24" si="2">I4</f>
        <v>Big Hole</v>
      </c>
      <c r="J5" s="1616">
        <f t="shared" ref="J5:J24" si="3">J4</f>
        <v>2500</v>
      </c>
      <c r="K5" s="2245">
        <f>K4</f>
        <v>61</v>
      </c>
      <c r="L5" s="2244">
        <f ca="1">L4</f>
        <v>334.80200000000008</v>
      </c>
      <c r="M5" s="2244">
        <f t="shared" ref="M5:M24" ca="1" si="4">M4</f>
        <v>57.265425645863516</v>
      </c>
      <c r="N5" s="2244"/>
      <c r="O5" s="1616"/>
      <c r="P5" s="1616"/>
      <c r="Q5" s="1616"/>
      <c r="R5" s="1616"/>
      <c r="S5" s="2244">
        <f t="shared" ref="S5:S24" ca="1" si="5">S4</f>
        <v>111.01462974165459</v>
      </c>
      <c r="T5" s="1616"/>
      <c r="U5" s="1616"/>
      <c r="V5" s="1616"/>
      <c r="W5" s="1616"/>
      <c r="X5" s="1616"/>
      <c r="Y5" s="1616"/>
      <c r="Z5" s="2245">
        <f t="shared" ref="Z5:Z24" si="6">Z4</f>
        <v>100</v>
      </c>
      <c r="AA5" s="2245">
        <f t="shared" ref="AA5:AA24" si="7">AA4</f>
        <v>560</v>
      </c>
      <c r="AB5" s="2245">
        <f t="shared" ref="AB5:AB24" si="8">AB4</f>
        <v>1260</v>
      </c>
      <c r="AC5" s="2245">
        <f t="shared" ref="AC5:AC24" si="9">AC4</f>
        <v>1900</v>
      </c>
      <c r="AD5" s="2245">
        <f t="shared" ref="AD5:AD24" si="10">AD4</f>
        <v>2500</v>
      </c>
      <c r="AE5" s="349" t="str">
        <f t="shared" ref="AE5:AE24" si="11">CONCATENATE(Z5,"-",AA5,"-",AB5,"-",AC5,IF(AD5="","","-"),AD5)</f>
        <v>100-560-1260-1900-2500</v>
      </c>
      <c r="AF5" s="1618" t="s">
        <v>1151</v>
      </c>
      <c r="AG5" s="1629">
        <f ca="1">AI5/$AI$7</f>
        <v>0.39636859994862628</v>
      </c>
      <c r="AH5" s="1625"/>
      <c r="AI5" s="1869">
        <f ca="1">E17+E22</f>
        <v>132.70499999999998</v>
      </c>
    </row>
    <row r="6" spans="1:35" ht="15" x14ac:dyDescent="0.2">
      <c r="D6" s="1615" t="s">
        <v>1145</v>
      </c>
      <c r="E6" s="1864">
        <f>('COVER SHEET'!H24)/1000000</f>
        <v>11.763999999999999</v>
      </c>
      <c r="F6" s="1636" t="s">
        <v>1175</v>
      </c>
      <c r="G6" s="1616" t="s">
        <v>1172</v>
      </c>
      <c r="H6" s="1616" t="str">
        <f t="shared" si="1"/>
        <v>LGBU</v>
      </c>
      <c r="I6" s="1616" t="str">
        <f t="shared" si="2"/>
        <v>Big Hole</v>
      </c>
      <c r="J6" s="1616">
        <f t="shared" si="3"/>
        <v>2500</v>
      </c>
      <c r="K6" s="2245">
        <f t="shared" ref="K6:K24" si="12">K5</f>
        <v>61</v>
      </c>
      <c r="L6" s="2244">
        <f t="shared" ref="L6:L24" ca="1" si="13">L5</f>
        <v>334.80200000000008</v>
      </c>
      <c r="M6" s="2244">
        <f t="shared" ca="1" si="4"/>
        <v>57.265425645863516</v>
      </c>
      <c r="N6" s="1616"/>
      <c r="O6" s="1616"/>
      <c r="P6" s="1616"/>
      <c r="Q6" s="1616"/>
      <c r="R6" s="1616"/>
      <c r="S6" s="2244">
        <f t="shared" ca="1" si="5"/>
        <v>111.01462974165459</v>
      </c>
      <c r="T6" s="1616"/>
      <c r="U6" s="1616"/>
      <c r="V6" s="1616"/>
      <c r="W6" s="1616"/>
      <c r="X6" s="1616"/>
      <c r="Y6" s="1616"/>
      <c r="Z6" s="2245">
        <f t="shared" si="6"/>
        <v>100</v>
      </c>
      <c r="AA6" s="2245">
        <f t="shared" si="7"/>
        <v>560</v>
      </c>
      <c r="AB6" s="2245">
        <f t="shared" si="8"/>
        <v>1260</v>
      </c>
      <c r="AC6" s="2245">
        <f t="shared" si="9"/>
        <v>1900</v>
      </c>
      <c r="AD6" s="2245">
        <f t="shared" si="10"/>
        <v>2500</v>
      </c>
      <c r="AE6" s="349" t="str">
        <f t="shared" si="11"/>
        <v>100-560-1260-1900-2500</v>
      </c>
      <c r="AF6" s="1619" t="s">
        <v>1176</v>
      </c>
      <c r="AG6" s="1630">
        <f ca="1">AI6/$AI$7</f>
        <v>0.10657642427464591</v>
      </c>
      <c r="AH6" s="1625"/>
      <c r="AI6" s="1869">
        <f>SUM(E23:E24)</f>
        <v>35.682000000000002</v>
      </c>
    </row>
    <row r="7" spans="1:35" ht="15" x14ac:dyDescent="0.2">
      <c r="D7" s="1615" t="s">
        <v>1139</v>
      </c>
      <c r="E7" s="1864">
        <f>('COVER SHEET'!H26)/1000000</f>
        <v>28.268999999999998</v>
      </c>
      <c r="F7" s="1636"/>
      <c r="G7" s="1616" t="s">
        <v>1172</v>
      </c>
      <c r="H7" s="1616" t="str">
        <f t="shared" si="1"/>
        <v>LGBU</v>
      </c>
      <c r="I7" s="1616" t="str">
        <f t="shared" si="2"/>
        <v>Big Hole</v>
      </c>
      <c r="J7" s="1616">
        <f t="shared" si="3"/>
        <v>2500</v>
      </c>
      <c r="K7" s="2245">
        <f t="shared" si="12"/>
        <v>61</v>
      </c>
      <c r="L7" s="2244">
        <f t="shared" ca="1" si="13"/>
        <v>334.80200000000008</v>
      </c>
      <c r="M7" s="2244">
        <f t="shared" ca="1" si="4"/>
        <v>57.265425645863516</v>
      </c>
      <c r="N7" s="1616"/>
      <c r="O7" s="1616"/>
      <c r="P7" s="1616"/>
      <c r="Q7" s="1616"/>
      <c r="R7" s="1616"/>
      <c r="S7" s="2244">
        <f t="shared" ca="1" si="5"/>
        <v>111.01462974165459</v>
      </c>
      <c r="T7" s="1616"/>
      <c r="U7" s="1616"/>
      <c r="V7" s="1616"/>
      <c r="W7" s="1616"/>
      <c r="X7" s="1616"/>
      <c r="Y7" s="1616"/>
      <c r="Z7" s="2245">
        <f t="shared" si="6"/>
        <v>100</v>
      </c>
      <c r="AA7" s="2245">
        <f t="shared" si="7"/>
        <v>560</v>
      </c>
      <c r="AB7" s="2245">
        <f t="shared" si="8"/>
        <v>1260</v>
      </c>
      <c r="AC7" s="2245">
        <f t="shared" si="9"/>
        <v>1900</v>
      </c>
      <c r="AD7" s="2245">
        <f t="shared" si="10"/>
        <v>2500</v>
      </c>
      <c r="AE7" s="349" t="str">
        <f t="shared" si="11"/>
        <v>100-560-1260-1900-2500</v>
      </c>
      <c r="AF7" s="1620"/>
      <c r="AG7" s="1631">
        <v>1</v>
      </c>
      <c r="AH7" s="1625"/>
      <c r="AI7" s="1641">
        <f ca="1">SUM(AI3:AI6)</f>
        <v>334.80200000000002</v>
      </c>
    </row>
    <row r="8" spans="1:35" ht="15" x14ac:dyDescent="0.2">
      <c r="D8" s="1615" t="s">
        <v>1141</v>
      </c>
      <c r="E8" s="1864">
        <f>('COVER SHEET'!H27)/1000000</f>
        <v>3.5049999999999999</v>
      </c>
      <c r="F8" s="1636" t="s">
        <v>756</v>
      </c>
      <c r="G8" s="1616" t="s">
        <v>1172</v>
      </c>
      <c r="H8" s="1616" t="str">
        <f t="shared" si="1"/>
        <v>LGBU</v>
      </c>
      <c r="I8" s="1616" t="str">
        <f t="shared" si="2"/>
        <v>Big Hole</v>
      </c>
      <c r="J8" s="1616">
        <f t="shared" si="3"/>
        <v>2500</v>
      </c>
      <c r="K8" s="2245">
        <f t="shared" si="12"/>
        <v>61</v>
      </c>
      <c r="L8" s="2244">
        <f t="shared" ca="1" si="13"/>
        <v>334.80200000000008</v>
      </c>
      <c r="M8" s="2244">
        <f t="shared" ca="1" si="4"/>
        <v>57.265425645863516</v>
      </c>
      <c r="N8" s="2242"/>
      <c r="O8" s="2243"/>
      <c r="P8" s="2243"/>
      <c r="Q8" s="2243"/>
      <c r="R8" s="2243"/>
      <c r="S8" s="2244">
        <f t="shared" ca="1" si="5"/>
        <v>111.01462974165459</v>
      </c>
      <c r="T8" s="2243"/>
      <c r="U8" s="2243"/>
      <c r="V8" s="2243"/>
      <c r="W8" s="2243"/>
      <c r="X8" s="2243"/>
      <c r="Y8" s="2243"/>
      <c r="Z8" s="2245">
        <f t="shared" si="6"/>
        <v>100</v>
      </c>
      <c r="AA8" s="2245">
        <f t="shared" si="7"/>
        <v>560</v>
      </c>
      <c r="AB8" s="2245">
        <f t="shared" si="8"/>
        <v>1260</v>
      </c>
      <c r="AC8" s="2245">
        <f t="shared" si="9"/>
        <v>1900</v>
      </c>
      <c r="AD8" s="2245">
        <f t="shared" si="10"/>
        <v>2500</v>
      </c>
      <c r="AE8" s="349" t="str">
        <f t="shared" si="11"/>
        <v>100-560-1260-1900-2500</v>
      </c>
      <c r="AF8" s="1621"/>
      <c r="AG8" s="1632"/>
      <c r="AH8" s="1625"/>
    </row>
    <row r="9" spans="1:35" ht="15" x14ac:dyDescent="0.2">
      <c r="D9" s="1617" t="s">
        <v>1140</v>
      </c>
      <c r="E9" s="1865">
        <f ca="1">('COVER SHEET'!H29)/1000000</f>
        <v>6.3630000000000004</v>
      </c>
      <c r="F9" s="1637" t="s">
        <v>1173</v>
      </c>
      <c r="G9" s="1613" t="s">
        <v>1174</v>
      </c>
      <c r="H9" s="1616" t="str">
        <f t="shared" si="1"/>
        <v>LGBU</v>
      </c>
      <c r="I9" s="1616" t="str">
        <f t="shared" si="2"/>
        <v>Big Hole</v>
      </c>
      <c r="J9" s="1616">
        <f t="shared" si="3"/>
        <v>2500</v>
      </c>
      <c r="K9" s="2245">
        <f t="shared" si="12"/>
        <v>61</v>
      </c>
      <c r="L9" s="2244">
        <f t="shared" ca="1" si="13"/>
        <v>334.80200000000008</v>
      </c>
      <c r="M9" s="2244">
        <f t="shared" ca="1" si="4"/>
        <v>57.265425645863516</v>
      </c>
      <c r="N9" s="1898"/>
      <c r="O9" s="1898"/>
      <c r="P9" s="1898"/>
      <c r="Q9" s="1898"/>
      <c r="R9" s="1898"/>
      <c r="S9" s="2244">
        <f t="shared" ca="1" si="5"/>
        <v>111.01462974165459</v>
      </c>
      <c r="T9" s="1898"/>
      <c r="U9" s="1898"/>
      <c r="V9" s="1898"/>
      <c r="W9" s="1898"/>
      <c r="X9" s="1898"/>
      <c r="Y9" s="1898"/>
      <c r="Z9" s="2245">
        <f t="shared" si="6"/>
        <v>100</v>
      </c>
      <c r="AA9" s="2245">
        <f t="shared" si="7"/>
        <v>560</v>
      </c>
      <c r="AB9" s="2245">
        <f t="shared" si="8"/>
        <v>1260</v>
      </c>
      <c r="AC9" s="2245">
        <f t="shared" si="9"/>
        <v>1900</v>
      </c>
      <c r="AD9" s="2245">
        <f t="shared" si="10"/>
        <v>2500</v>
      </c>
      <c r="AE9" s="349" t="str">
        <f t="shared" si="11"/>
        <v>100-560-1260-1900-2500</v>
      </c>
      <c r="AF9" s="1622"/>
      <c r="AG9" s="1633"/>
      <c r="AH9" s="1625"/>
    </row>
    <row r="10" spans="1:35" ht="30" x14ac:dyDescent="0.2">
      <c r="D10" s="1617" t="str">
        <f>'COVER SHEET'!B30</f>
        <v>Directional Drilling Services (with PWD)</v>
      </c>
      <c r="E10" s="1865">
        <f ca="1">('COVER SHEET'!H30)/1000000</f>
        <v>23.803999999999998</v>
      </c>
      <c r="F10" s="1637" t="s">
        <v>1177</v>
      </c>
      <c r="G10" s="1613" t="s">
        <v>1174</v>
      </c>
      <c r="H10" s="1616" t="str">
        <f t="shared" si="1"/>
        <v>LGBU</v>
      </c>
      <c r="I10" s="1616" t="str">
        <f t="shared" si="2"/>
        <v>Big Hole</v>
      </c>
      <c r="J10" s="1616">
        <f t="shared" si="3"/>
        <v>2500</v>
      </c>
      <c r="K10" s="2245">
        <f t="shared" si="12"/>
        <v>61</v>
      </c>
      <c r="L10" s="2244">
        <f t="shared" ca="1" si="13"/>
        <v>334.80200000000008</v>
      </c>
      <c r="M10" s="2244">
        <f t="shared" ca="1" si="4"/>
        <v>57.265425645863516</v>
      </c>
      <c r="N10" s="1898"/>
      <c r="O10" s="1898"/>
      <c r="P10" s="1898"/>
      <c r="Q10" s="1898"/>
      <c r="R10" s="1898"/>
      <c r="S10" s="2244">
        <f t="shared" ca="1" si="5"/>
        <v>111.01462974165459</v>
      </c>
      <c r="T10" s="1898"/>
      <c r="U10" s="1898"/>
      <c r="V10" s="1898"/>
      <c r="W10" s="1898"/>
      <c r="X10" s="1898"/>
      <c r="Y10" s="1898"/>
      <c r="Z10" s="2245">
        <f t="shared" si="6"/>
        <v>100</v>
      </c>
      <c r="AA10" s="2245">
        <f t="shared" si="7"/>
        <v>560</v>
      </c>
      <c r="AB10" s="2245">
        <f t="shared" si="8"/>
        <v>1260</v>
      </c>
      <c r="AC10" s="2245">
        <f t="shared" si="9"/>
        <v>1900</v>
      </c>
      <c r="AD10" s="2245">
        <f t="shared" si="10"/>
        <v>2500</v>
      </c>
      <c r="AE10" s="349" t="str">
        <f t="shared" si="11"/>
        <v>100-560-1260-1900-2500</v>
      </c>
      <c r="AF10" s="1622"/>
      <c r="AG10" s="1633"/>
      <c r="AH10" s="1625"/>
    </row>
    <row r="11" spans="1:35" ht="15" x14ac:dyDescent="0.2">
      <c r="D11" s="1617" t="s">
        <v>1146</v>
      </c>
      <c r="E11" s="1865">
        <f>('COVER SHEET'!H31)/1000000</f>
        <v>2.3620000000000001</v>
      </c>
      <c r="F11" s="1637" t="s">
        <v>1173</v>
      </c>
      <c r="G11" s="1613" t="s">
        <v>1174</v>
      </c>
      <c r="H11" s="1616" t="str">
        <f t="shared" si="1"/>
        <v>LGBU</v>
      </c>
      <c r="I11" s="1616" t="str">
        <f t="shared" si="2"/>
        <v>Big Hole</v>
      </c>
      <c r="J11" s="1616">
        <f t="shared" si="3"/>
        <v>2500</v>
      </c>
      <c r="K11" s="2245">
        <f t="shared" si="12"/>
        <v>61</v>
      </c>
      <c r="L11" s="2244">
        <f t="shared" ca="1" si="13"/>
        <v>334.80200000000008</v>
      </c>
      <c r="M11" s="2244">
        <f t="shared" ca="1" si="4"/>
        <v>57.265425645863516</v>
      </c>
      <c r="N11" s="1898"/>
      <c r="O11" s="1898"/>
      <c r="P11" s="1898"/>
      <c r="Q11" s="1898"/>
      <c r="R11" s="1898"/>
      <c r="S11" s="2244">
        <f t="shared" ca="1" si="5"/>
        <v>111.01462974165459</v>
      </c>
      <c r="T11" s="1898"/>
      <c r="U11" s="1898"/>
      <c r="V11" s="1898"/>
      <c r="W11" s="1898"/>
      <c r="X11" s="1898"/>
      <c r="Y11" s="1898"/>
      <c r="Z11" s="2245">
        <f t="shared" si="6"/>
        <v>100</v>
      </c>
      <c r="AA11" s="2245">
        <f t="shared" si="7"/>
        <v>560</v>
      </c>
      <c r="AB11" s="2245">
        <f t="shared" si="8"/>
        <v>1260</v>
      </c>
      <c r="AC11" s="2245">
        <f t="shared" si="9"/>
        <v>1900</v>
      </c>
      <c r="AD11" s="2245">
        <f t="shared" si="10"/>
        <v>2500</v>
      </c>
      <c r="AE11" s="349" t="str">
        <f t="shared" si="11"/>
        <v>100-560-1260-1900-2500</v>
      </c>
      <c r="AF11" s="1622"/>
      <c r="AG11" s="1633"/>
      <c r="AH11" s="1625"/>
    </row>
    <row r="12" spans="1:35" ht="15" x14ac:dyDescent="0.2">
      <c r="D12" s="1617" t="s">
        <v>1147</v>
      </c>
      <c r="E12" s="1865">
        <f ca="1">('COVER SHEET'!H32)/1000000</f>
        <v>30.239000000000001</v>
      </c>
      <c r="F12" s="1637" t="s">
        <v>335</v>
      </c>
      <c r="G12" s="1613" t="s">
        <v>1174</v>
      </c>
      <c r="H12" s="1616" t="str">
        <f t="shared" si="1"/>
        <v>LGBU</v>
      </c>
      <c r="I12" s="1616" t="str">
        <f t="shared" si="2"/>
        <v>Big Hole</v>
      </c>
      <c r="J12" s="1616">
        <f t="shared" si="3"/>
        <v>2500</v>
      </c>
      <c r="K12" s="2245">
        <f t="shared" si="12"/>
        <v>61</v>
      </c>
      <c r="L12" s="2244">
        <f t="shared" ca="1" si="13"/>
        <v>334.80200000000008</v>
      </c>
      <c r="M12" s="2244">
        <f t="shared" ca="1" si="4"/>
        <v>57.265425645863516</v>
      </c>
      <c r="N12" s="1898"/>
      <c r="O12" s="1898"/>
      <c r="P12" s="1898"/>
      <c r="Q12" s="1898"/>
      <c r="R12" s="1898"/>
      <c r="S12" s="2244">
        <f t="shared" ca="1" si="5"/>
        <v>111.01462974165459</v>
      </c>
      <c r="T12" s="1898"/>
      <c r="U12" s="1898"/>
      <c r="V12" s="1898"/>
      <c r="W12" s="1898"/>
      <c r="X12" s="1898"/>
      <c r="Y12" s="1898"/>
      <c r="Z12" s="2245">
        <f t="shared" si="6"/>
        <v>100</v>
      </c>
      <c r="AA12" s="2245">
        <f t="shared" si="7"/>
        <v>560</v>
      </c>
      <c r="AB12" s="2245">
        <f t="shared" si="8"/>
        <v>1260</v>
      </c>
      <c r="AC12" s="2245">
        <f t="shared" si="9"/>
        <v>1900</v>
      </c>
      <c r="AD12" s="2245">
        <f t="shared" si="10"/>
        <v>2500</v>
      </c>
      <c r="AE12" s="349" t="str">
        <f t="shared" si="11"/>
        <v>100-560-1260-1900-2500</v>
      </c>
      <c r="AF12" s="1622"/>
      <c r="AG12" s="1633"/>
      <c r="AH12" s="1625"/>
    </row>
    <row r="13" spans="1:35" ht="15" x14ac:dyDescent="0.2">
      <c r="D13" s="1617" t="s">
        <v>517</v>
      </c>
      <c r="E13" s="1865">
        <f ca="1">('COVER SHEET'!H33)/1000000</f>
        <v>6.2919999999999998</v>
      </c>
      <c r="F13" s="1637" t="s">
        <v>1178</v>
      </c>
      <c r="G13" s="1613" t="s">
        <v>1174</v>
      </c>
      <c r="H13" s="1616" t="str">
        <f t="shared" si="1"/>
        <v>LGBU</v>
      </c>
      <c r="I13" s="1616" t="str">
        <f t="shared" si="2"/>
        <v>Big Hole</v>
      </c>
      <c r="J13" s="1616">
        <f t="shared" si="3"/>
        <v>2500</v>
      </c>
      <c r="K13" s="2245">
        <f t="shared" si="12"/>
        <v>61</v>
      </c>
      <c r="L13" s="2244">
        <f t="shared" ca="1" si="13"/>
        <v>334.80200000000008</v>
      </c>
      <c r="M13" s="2244">
        <f t="shared" ca="1" si="4"/>
        <v>57.265425645863516</v>
      </c>
      <c r="N13" s="1898"/>
      <c r="O13" s="1898"/>
      <c r="P13" s="1898"/>
      <c r="Q13" s="1898"/>
      <c r="R13" s="1898"/>
      <c r="S13" s="2244">
        <f t="shared" ca="1" si="5"/>
        <v>111.01462974165459</v>
      </c>
      <c r="T13" s="1898"/>
      <c r="U13" s="1898"/>
      <c r="V13" s="1898"/>
      <c r="W13" s="1898"/>
      <c r="X13" s="1898"/>
      <c r="Y13" s="1898"/>
      <c r="Z13" s="2245">
        <f t="shared" si="6"/>
        <v>100</v>
      </c>
      <c r="AA13" s="2245">
        <f t="shared" si="7"/>
        <v>560</v>
      </c>
      <c r="AB13" s="2245">
        <f t="shared" si="8"/>
        <v>1260</v>
      </c>
      <c r="AC13" s="2245">
        <f t="shared" si="9"/>
        <v>1900</v>
      </c>
      <c r="AD13" s="2245">
        <f t="shared" si="10"/>
        <v>2500</v>
      </c>
      <c r="AE13" s="349" t="str">
        <f t="shared" si="11"/>
        <v>100-560-1260-1900-2500</v>
      </c>
      <c r="AF13" s="1622"/>
      <c r="AG13" s="1633"/>
      <c r="AH13" s="1625"/>
    </row>
    <row r="14" spans="1:35" ht="15" x14ac:dyDescent="0.2">
      <c r="D14" s="1617" t="s">
        <v>1148</v>
      </c>
      <c r="E14" s="1865">
        <f>('COVER SHEET'!H34)/1000000</f>
        <v>1.377</v>
      </c>
      <c r="F14" s="1637" t="s">
        <v>757</v>
      </c>
      <c r="G14" s="1613" t="s">
        <v>1174</v>
      </c>
      <c r="H14" s="1616" t="str">
        <f t="shared" si="1"/>
        <v>LGBU</v>
      </c>
      <c r="I14" s="1616" t="str">
        <f t="shared" si="2"/>
        <v>Big Hole</v>
      </c>
      <c r="J14" s="1616">
        <f t="shared" si="3"/>
        <v>2500</v>
      </c>
      <c r="K14" s="2245">
        <f t="shared" si="12"/>
        <v>61</v>
      </c>
      <c r="L14" s="2244">
        <f t="shared" ca="1" si="13"/>
        <v>334.80200000000008</v>
      </c>
      <c r="M14" s="2244">
        <f t="shared" ca="1" si="4"/>
        <v>57.265425645863516</v>
      </c>
      <c r="N14" s="1898"/>
      <c r="O14" s="1898"/>
      <c r="P14" s="1898"/>
      <c r="Q14" s="1898"/>
      <c r="R14" s="1898"/>
      <c r="S14" s="2244">
        <f t="shared" ca="1" si="5"/>
        <v>111.01462974165459</v>
      </c>
      <c r="T14" s="1898"/>
      <c r="U14" s="1898"/>
      <c r="V14" s="1898"/>
      <c r="W14" s="1898"/>
      <c r="X14" s="1898"/>
      <c r="Y14" s="1898"/>
      <c r="Z14" s="2245">
        <f t="shared" si="6"/>
        <v>100</v>
      </c>
      <c r="AA14" s="2245">
        <f t="shared" si="7"/>
        <v>560</v>
      </c>
      <c r="AB14" s="2245">
        <f t="shared" si="8"/>
        <v>1260</v>
      </c>
      <c r="AC14" s="2245">
        <f t="shared" si="9"/>
        <v>1900</v>
      </c>
      <c r="AD14" s="2245">
        <f t="shared" si="10"/>
        <v>2500</v>
      </c>
      <c r="AE14" s="349" t="str">
        <f t="shared" si="11"/>
        <v>100-560-1260-1900-2500</v>
      </c>
      <c r="AF14" s="1622"/>
      <c r="AG14" s="1633"/>
      <c r="AH14" s="1625"/>
    </row>
    <row r="15" spans="1:35" ht="15" x14ac:dyDescent="0.2">
      <c r="D15" s="1617" t="s">
        <v>1149</v>
      </c>
      <c r="E15" s="1865">
        <f ca="1">('COVER SHEET'!H35)/1000000</f>
        <v>2.8359999999999999</v>
      </c>
      <c r="F15" s="1637" t="s">
        <v>1177</v>
      </c>
      <c r="G15" s="1613" t="s">
        <v>1174</v>
      </c>
      <c r="H15" s="1616" t="str">
        <f t="shared" si="1"/>
        <v>LGBU</v>
      </c>
      <c r="I15" s="1616" t="str">
        <f t="shared" si="2"/>
        <v>Big Hole</v>
      </c>
      <c r="J15" s="1616">
        <f t="shared" si="3"/>
        <v>2500</v>
      </c>
      <c r="K15" s="2245">
        <f t="shared" si="12"/>
        <v>61</v>
      </c>
      <c r="L15" s="2244">
        <f t="shared" ca="1" si="13"/>
        <v>334.80200000000008</v>
      </c>
      <c r="M15" s="2244">
        <f t="shared" ca="1" si="4"/>
        <v>57.265425645863516</v>
      </c>
      <c r="N15" s="1898"/>
      <c r="O15" s="1898"/>
      <c r="P15" s="1898"/>
      <c r="Q15" s="1898"/>
      <c r="R15" s="1898"/>
      <c r="S15" s="2244">
        <f t="shared" ca="1" si="5"/>
        <v>111.01462974165459</v>
      </c>
      <c r="T15" s="1898"/>
      <c r="U15" s="1898"/>
      <c r="V15" s="1898"/>
      <c r="W15" s="1898"/>
      <c r="X15" s="1898"/>
      <c r="Y15" s="1898"/>
      <c r="Z15" s="2245">
        <f t="shared" si="6"/>
        <v>100</v>
      </c>
      <c r="AA15" s="2245">
        <f t="shared" si="7"/>
        <v>560</v>
      </c>
      <c r="AB15" s="2245">
        <f t="shared" si="8"/>
        <v>1260</v>
      </c>
      <c r="AC15" s="2245">
        <f t="shared" si="9"/>
        <v>1900</v>
      </c>
      <c r="AD15" s="2245">
        <f t="shared" si="10"/>
        <v>2500</v>
      </c>
      <c r="AE15" s="349" t="str">
        <f t="shared" si="11"/>
        <v>100-560-1260-1900-2500</v>
      </c>
      <c r="AF15" s="1622"/>
      <c r="AG15" s="1633"/>
      <c r="AH15" s="1625"/>
    </row>
    <row r="16" spans="1:35" ht="15" x14ac:dyDescent="0.2">
      <c r="D16" s="1617" t="s">
        <v>1150</v>
      </c>
      <c r="E16" s="1865">
        <f>('COVER SHEET'!H36)/1000000</f>
        <v>6.9550000000000001</v>
      </c>
      <c r="F16" s="1637" t="s">
        <v>1178</v>
      </c>
      <c r="G16" s="1613" t="s">
        <v>1174</v>
      </c>
      <c r="H16" s="1616" t="str">
        <f t="shared" si="1"/>
        <v>LGBU</v>
      </c>
      <c r="I16" s="1616" t="str">
        <f t="shared" si="2"/>
        <v>Big Hole</v>
      </c>
      <c r="J16" s="1616">
        <f t="shared" si="3"/>
        <v>2500</v>
      </c>
      <c r="K16" s="2245">
        <f t="shared" si="12"/>
        <v>61</v>
      </c>
      <c r="L16" s="2244">
        <f t="shared" ca="1" si="13"/>
        <v>334.80200000000008</v>
      </c>
      <c r="M16" s="2244">
        <f t="shared" ca="1" si="4"/>
        <v>57.265425645863516</v>
      </c>
      <c r="N16" s="1898"/>
      <c r="O16" s="1898"/>
      <c r="P16" s="1898"/>
      <c r="Q16" s="1898"/>
      <c r="R16" s="1898"/>
      <c r="S16" s="2244">
        <f t="shared" ca="1" si="5"/>
        <v>111.01462974165459</v>
      </c>
      <c r="T16" s="1898"/>
      <c r="U16" s="1898"/>
      <c r="V16" s="1898"/>
      <c r="W16" s="1898"/>
      <c r="X16" s="1898"/>
      <c r="Y16" s="1898"/>
      <c r="Z16" s="2245">
        <f t="shared" si="6"/>
        <v>100</v>
      </c>
      <c r="AA16" s="2245">
        <f t="shared" si="7"/>
        <v>560</v>
      </c>
      <c r="AB16" s="2245">
        <f t="shared" si="8"/>
        <v>1260</v>
      </c>
      <c r="AC16" s="2245">
        <f t="shared" si="9"/>
        <v>1900</v>
      </c>
      <c r="AD16" s="2245">
        <f t="shared" si="10"/>
        <v>2500</v>
      </c>
      <c r="AE16" s="349" t="str">
        <f t="shared" si="11"/>
        <v>100-560-1260-1900-2500</v>
      </c>
      <c r="AF16" s="1622"/>
      <c r="AG16" s="1634"/>
    </row>
    <row r="17" spans="2:35" ht="15" x14ac:dyDescent="0.2">
      <c r="D17" s="1618" t="s">
        <v>1151</v>
      </c>
      <c r="E17" s="1866">
        <f ca="1">('COVER SHEET'!H37+'COVER SHEET'!H48)/1000000</f>
        <v>94.036000000000001</v>
      </c>
      <c r="F17" s="1638" t="s">
        <v>1179</v>
      </c>
      <c r="G17" s="1613" t="s">
        <v>1151</v>
      </c>
      <c r="H17" s="1616" t="str">
        <f t="shared" si="1"/>
        <v>LGBU</v>
      </c>
      <c r="I17" s="1616" t="str">
        <f t="shared" si="2"/>
        <v>Big Hole</v>
      </c>
      <c r="J17" s="1616">
        <f t="shared" si="3"/>
        <v>2500</v>
      </c>
      <c r="K17" s="2245">
        <f t="shared" si="12"/>
        <v>61</v>
      </c>
      <c r="L17" s="2244">
        <f t="shared" ca="1" si="13"/>
        <v>334.80200000000008</v>
      </c>
      <c r="M17" s="2244">
        <f t="shared" ca="1" si="4"/>
        <v>57.265425645863516</v>
      </c>
      <c r="N17" s="1898"/>
      <c r="O17" s="1898"/>
      <c r="P17" s="1898"/>
      <c r="Q17" s="1898"/>
      <c r="R17" s="1898"/>
      <c r="S17" s="2244">
        <f t="shared" ca="1" si="5"/>
        <v>111.01462974165459</v>
      </c>
      <c r="T17" s="1898"/>
      <c r="U17" s="1898"/>
      <c r="V17" s="1898"/>
      <c r="W17" s="1898"/>
      <c r="X17" s="1898"/>
      <c r="Y17" s="1898"/>
      <c r="Z17" s="2245">
        <f t="shared" si="6"/>
        <v>100</v>
      </c>
      <c r="AA17" s="2245">
        <f t="shared" si="7"/>
        <v>560</v>
      </c>
      <c r="AB17" s="2245">
        <f t="shared" si="8"/>
        <v>1260</v>
      </c>
      <c r="AC17" s="2245">
        <f t="shared" si="9"/>
        <v>1900</v>
      </c>
      <c r="AD17" s="2245">
        <f t="shared" si="10"/>
        <v>2500</v>
      </c>
      <c r="AE17" s="349" t="str">
        <f t="shared" si="11"/>
        <v>100-560-1260-1900-2500</v>
      </c>
      <c r="AF17" s="1622"/>
      <c r="AG17" s="1634"/>
    </row>
    <row r="18" spans="2:35" ht="15" x14ac:dyDescent="0.2">
      <c r="D18" s="1617" t="s">
        <v>1180</v>
      </c>
      <c r="E18" s="1865">
        <f ca="1">('COVER SHEET'!H38)/1000000</f>
        <v>0</v>
      </c>
      <c r="F18" s="1637" t="s">
        <v>2270</v>
      </c>
      <c r="G18" s="1613" t="s">
        <v>1174</v>
      </c>
      <c r="H18" s="1616" t="str">
        <f t="shared" si="1"/>
        <v>LGBU</v>
      </c>
      <c r="I18" s="1616" t="str">
        <f t="shared" si="2"/>
        <v>Big Hole</v>
      </c>
      <c r="J18" s="1616">
        <f t="shared" si="3"/>
        <v>2500</v>
      </c>
      <c r="K18" s="2245">
        <f t="shared" si="12"/>
        <v>61</v>
      </c>
      <c r="L18" s="2244">
        <f t="shared" ca="1" si="13"/>
        <v>334.80200000000008</v>
      </c>
      <c r="M18" s="2244">
        <f t="shared" ca="1" si="4"/>
        <v>57.265425645863516</v>
      </c>
      <c r="N18" s="1898"/>
      <c r="O18" s="1898"/>
      <c r="P18" s="1898"/>
      <c r="Q18" s="1898"/>
      <c r="R18" s="1898"/>
      <c r="S18" s="2244">
        <f t="shared" ca="1" si="5"/>
        <v>111.01462974165459</v>
      </c>
      <c r="T18" s="1898"/>
      <c r="U18" s="1898"/>
      <c r="V18" s="1898"/>
      <c r="W18" s="1898"/>
      <c r="X18" s="1898"/>
      <c r="Y18" s="1898"/>
      <c r="Z18" s="2245">
        <f t="shared" si="6"/>
        <v>100</v>
      </c>
      <c r="AA18" s="2245">
        <f t="shared" si="7"/>
        <v>560</v>
      </c>
      <c r="AB18" s="2245">
        <f t="shared" si="8"/>
        <v>1260</v>
      </c>
      <c r="AC18" s="2245">
        <f t="shared" si="9"/>
        <v>1900</v>
      </c>
      <c r="AD18" s="2245">
        <f t="shared" si="10"/>
        <v>2500</v>
      </c>
      <c r="AE18" s="349" t="str">
        <f t="shared" si="11"/>
        <v>100-560-1260-1900-2500</v>
      </c>
      <c r="AF18" s="1622"/>
      <c r="AG18" s="1634"/>
    </row>
    <row r="19" spans="2:35" ht="30" x14ac:dyDescent="0.2">
      <c r="D19" s="1617" t="str">
        <f>'COVER SHEET'!B39</f>
        <v xml:space="preserve">Completion Test -Wireline </v>
      </c>
      <c r="E19" s="1865">
        <f>('COVER SHEET'!H39)/1000000</f>
        <v>2.5</v>
      </c>
      <c r="F19" s="1637"/>
      <c r="G19" s="1613" t="s">
        <v>1174</v>
      </c>
      <c r="H19" s="1616" t="str">
        <f t="shared" si="1"/>
        <v>LGBU</v>
      </c>
      <c r="I19" s="1616" t="str">
        <f t="shared" si="2"/>
        <v>Big Hole</v>
      </c>
      <c r="J19" s="1616">
        <f t="shared" si="3"/>
        <v>2500</v>
      </c>
      <c r="K19" s="2245">
        <f t="shared" si="12"/>
        <v>61</v>
      </c>
      <c r="L19" s="2244">
        <f t="shared" ca="1" si="13"/>
        <v>334.80200000000008</v>
      </c>
      <c r="M19" s="2244">
        <f t="shared" ca="1" si="4"/>
        <v>57.265425645863516</v>
      </c>
      <c r="N19" s="1898"/>
      <c r="O19" s="1898"/>
      <c r="P19" s="1898"/>
      <c r="Q19" s="1898"/>
      <c r="R19" s="1898"/>
      <c r="S19" s="2244">
        <f t="shared" ca="1" si="5"/>
        <v>111.01462974165459</v>
      </c>
      <c r="T19" s="1898"/>
      <c r="U19" s="1898"/>
      <c r="V19" s="1898"/>
      <c r="W19" s="1898"/>
      <c r="X19" s="1898"/>
      <c r="Y19" s="1898"/>
      <c r="Z19" s="2245">
        <f t="shared" si="6"/>
        <v>100</v>
      </c>
      <c r="AA19" s="2245">
        <f t="shared" si="7"/>
        <v>560</v>
      </c>
      <c r="AB19" s="2245">
        <f t="shared" si="8"/>
        <v>1260</v>
      </c>
      <c r="AC19" s="2245">
        <f t="shared" si="9"/>
        <v>1900</v>
      </c>
      <c r="AD19" s="2245">
        <f t="shared" si="10"/>
        <v>2500</v>
      </c>
      <c r="AE19" s="349" t="str">
        <f t="shared" si="11"/>
        <v>100-560-1260-1900-2500</v>
      </c>
      <c r="AF19" s="1622"/>
      <c r="AG19" s="1634"/>
    </row>
    <row r="20" spans="2:35" ht="15" x14ac:dyDescent="0.2">
      <c r="D20" s="1617" t="s">
        <v>1015</v>
      </c>
      <c r="E20" s="1865">
        <f>('COVER SHEET'!H40)/1000000</f>
        <v>6.5000000000000002E-2</v>
      </c>
      <c r="F20" s="1637"/>
      <c r="G20" s="1613" t="s">
        <v>1174</v>
      </c>
      <c r="H20" s="1616" t="str">
        <f t="shared" si="1"/>
        <v>LGBU</v>
      </c>
      <c r="I20" s="1616" t="str">
        <f t="shared" si="2"/>
        <v>Big Hole</v>
      </c>
      <c r="J20" s="1616">
        <f t="shared" si="3"/>
        <v>2500</v>
      </c>
      <c r="K20" s="2245">
        <f t="shared" si="12"/>
        <v>61</v>
      </c>
      <c r="L20" s="2244">
        <f t="shared" ca="1" si="13"/>
        <v>334.80200000000008</v>
      </c>
      <c r="M20" s="2244">
        <f t="shared" ca="1" si="4"/>
        <v>57.265425645863516</v>
      </c>
      <c r="N20" s="1898"/>
      <c r="O20" s="1898"/>
      <c r="P20" s="1898"/>
      <c r="Q20" s="1898"/>
      <c r="R20" s="1898"/>
      <c r="S20" s="2244">
        <f t="shared" ca="1" si="5"/>
        <v>111.01462974165459</v>
      </c>
      <c r="T20" s="1898"/>
      <c r="U20" s="1898"/>
      <c r="V20" s="1898"/>
      <c r="W20" s="1898"/>
      <c r="X20" s="1898"/>
      <c r="Y20" s="1898"/>
      <c r="Z20" s="2245">
        <f t="shared" si="6"/>
        <v>100</v>
      </c>
      <c r="AA20" s="2245">
        <f t="shared" si="7"/>
        <v>560</v>
      </c>
      <c r="AB20" s="2245">
        <f t="shared" si="8"/>
        <v>1260</v>
      </c>
      <c r="AC20" s="2245">
        <f t="shared" si="9"/>
        <v>1900</v>
      </c>
      <c r="AD20" s="2245">
        <f t="shared" si="10"/>
        <v>2500</v>
      </c>
      <c r="AE20" s="349" t="str">
        <f t="shared" si="11"/>
        <v>100-560-1260-1900-2500</v>
      </c>
      <c r="AF20" s="1622"/>
      <c r="AG20" s="1634"/>
    </row>
    <row r="21" spans="2:35" ht="30" x14ac:dyDescent="0.2">
      <c r="D21" s="1617" t="s">
        <v>1152</v>
      </c>
      <c r="E21" s="1865">
        <f ca="1">('COVER SHEET'!H41)/1000000</f>
        <v>2.206</v>
      </c>
      <c r="F21" s="1637"/>
      <c r="G21" s="1613" t="s">
        <v>1174</v>
      </c>
      <c r="H21" s="1616" t="str">
        <f t="shared" si="1"/>
        <v>LGBU</v>
      </c>
      <c r="I21" s="1616" t="str">
        <f t="shared" si="2"/>
        <v>Big Hole</v>
      </c>
      <c r="J21" s="1616">
        <f t="shared" si="3"/>
        <v>2500</v>
      </c>
      <c r="K21" s="2245">
        <f t="shared" si="12"/>
        <v>61</v>
      </c>
      <c r="L21" s="2244">
        <f t="shared" ca="1" si="13"/>
        <v>334.80200000000008</v>
      </c>
      <c r="M21" s="2244">
        <f t="shared" ca="1" si="4"/>
        <v>57.265425645863516</v>
      </c>
      <c r="N21" s="1898"/>
      <c r="O21" s="1898"/>
      <c r="P21" s="1898"/>
      <c r="Q21" s="1898"/>
      <c r="R21" s="1898"/>
      <c r="S21" s="2244">
        <f t="shared" ca="1" si="5"/>
        <v>111.01462974165459</v>
      </c>
      <c r="T21" s="1898"/>
      <c r="U21" s="1898"/>
      <c r="V21" s="1898"/>
      <c r="W21" s="1898"/>
      <c r="X21" s="1898"/>
      <c r="Y21" s="1898"/>
      <c r="Z21" s="2245">
        <f t="shared" si="6"/>
        <v>100</v>
      </c>
      <c r="AA21" s="2245">
        <f t="shared" si="7"/>
        <v>560</v>
      </c>
      <c r="AB21" s="2245">
        <f t="shared" si="8"/>
        <v>1260</v>
      </c>
      <c r="AC21" s="2245">
        <f t="shared" si="9"/>
        <v>1900</v>
      </c>
      <c r="AD21" s="2245">
        <f t="shared" si="10"/>
        <v>2500</v>
      </c>
      <c r="AE21" s="349" t="str">
        <f t="shared" si="11"/>
        <v>100-560-1260-1900-2500</v>
      </c>
      <c r="AF21" s="1622"/>
      <c r="AG21" s="1634"/>
    </row>
    <row r="22" spans="2:35" ht="15" x14ac:dyDescent="0.2">
      <c r="D22" s="1618" t="s">
        <v>1153</v>
      </c>
      <c r="E22" s="1866">
        <f ca="1">('COVER SHEET'!H42)/1000000</f>
        <v>38.668999999999997</v>
      </c>
      <c r="F22" s="1638" t="s">
        <v>1179</v>
      </c>
      <c r="G22" s="1613" t="s">
        <v>1151</v>
      </c>
      <c r="H22" s="1616" t="str">
        <f t="shared" si="1"/>
        <v>LGBU</v>
      </c>
      <c r="I22" s="1616" t="str">
        <f t="shared" si="2"/>
        <v>Big Hole</v>
      </c>
      <c r="J22" s="1616">
        <f t="shared" si="3"/>
        <v>2500</v>
      </c>
      <c r="K22" s="2245">
        <f t="shared" si="12"/>
        <v>61</v>
      </c>
      <c r="L22" s="2244">
        <f t="shared" ca="1" si="13"/>
        <v>334.80200000000008</v>
      </c>
      <c r="M22" s="2244">
        <f t="shared" ca="1" si="4"/>
        <v>57.265425645863516</v>
      </c>
      <c r="N22" s="1898"/>
      <c r="O22" s="1898"/>
      <c r="P22" s="1898"/>
      <c r="Q22" s="1898"/>
      <c r="R22" s="1898"/>
      <c r="S22" s="2244">
        <f t="shared" ca="1" si="5"/>
        <v>111.01462974165459</v>
      </c>
      <c r="T22" s="1898"/>
      <c r="U22" s="1898"/>
      <c r="V22" s="1898"/>
      <c r="W22" s="1898"/>
      <c r="X22" s="1898"/>
      <c r="Y22" s="1898"/>
      <c r="Z22" s="2245">
        <f t="shared" si="6"/>
        <v>100</v>
      </c>
      <c r="AA22" s="2245">
        <f t="shared" si="7"/>
        <v>560</v>
      </c>
      <c r="AB22" s="2245">
        <f t="shared" si="8"/>
        <v>1260</v>
      </c>
      <c r="AC22" s="2245">
        <f t="shared" si="9"/>
        <v>1900</v>
      </c>
      <c r="AD22" s="2245">
        <f t="shared" si="10"/>
        <v>2500</v>
      </c>
      <c r="AE22" s="349" t="str">
        <f t="shared" si="11"/>
        <v>100-560-1260-1900-2500</v>
      </c>
      <c r="AF22" s="1622"/>
      <c r="AG22" s="1634"/>
    </row>
    <row r="23" spans="2:35" ht="15" x14ac:dyDescent="0.2">
      <c r="D23" s="1619" t="str">
        <f>INPUT!H8</f>
        <v>LGBU</v>
      </c>
      <c r="E23" s="1867">
        <f>('COVER SHEET'!H50+SUM('COVER SHEET'!H44:H47))/1000000</f>
        <v>10.547000000000001</v>
      </c>
      <c r="F23" s="1639"/>
      <c r="G23" s="1613" t="s">
        <v>1176</v>
      </c>
      <c r="H23" s="1616" t="str">
        <f t="shared" si="1"/>
        <v>LGBU</v>
      </c>
      <c r="I23" s="1616" t="str">
        <f t="shared" si="2"/>
        <v>Big Hole</v>
      </c>
      <c r="J23" s="1616">
        <f t="shared" si="3"/>
        <v>2500</v>
      </c>
      <c r="K23" s="2245">
        <f t="shared" si="12"/>
        <v>61</v>
      </c>
      <c r="L23" s="2244">
        <f t="shared" ca="1" si="13"/>
        <v>334.80200000000008</v>
      </c>
      <c r="M23" s="2244">
        <f t="shared" ca="1" si="4"/>
        <v>57.265425645863516</v>
      </c>
      <c r="N23" s="1898"/>
      <c r="O23" s="1898"/>
      <c r="P23" s="1898"/>
      <c r="Q23" s="1898"/>
      <c r="R23" s="1898"/>
      <c r="S23" s="2244">
        <f t="shared" ca="1" si="5"/>
        <v>111.01462974165459</v>
      </c>
      <c r="T23" s="1898"/>
      <c r="U23" s="1898"/>
      <c r="V23" s="1898"/>
      <c r="W23" s="1898"/>
      <c r="X23" s="1898"/>
      <c r="Y23" s="1898"/>
      <c r="Z23" s="2245">
        <f t="shared" si="6"/>
        <v>100</v>
      </c>
      <c r="AA23" s="2245">
        <f t="shared" si="7"/>
        <v>560</v>
      </c>
      <c r="AB23" s="2245">
        <f t="shared" si="8"/>
        <v>1260</v>
      </c>
      <c r="AC23" s="2245">
        <f t="shared" si="9"/>
        <v>1900</v>
      </c>
      <c r="AD23" s="2245">
        <f t="shared" si="10"/>
        <v>2500</v>
      </c>
      <c r="AE23" s="349" t="str">
        <f t="shared" si="11"/>
        <v>100-560-1260-1900-2500</v>
      </c>
      <c r="AF23" s="1622"/>
      <c r="AG23" s="1634"/>
    </row>
    <row r="24" spans="2:35" ht="15" x14ac:dyDescent="0.2">
      <c r="D24" s="1619" t="s">
        <v>380</v>
      </c>
      <c r="E24" s="1867">
        <f>('COVER SHEET'!H49)/1000000</f>
        <v>25.135000000000002</v>
      </c>
      <c r="F24" s="1639"/>
      <c r="G24" s="1613" t="s">
        <v>1176</v>
      </c>
      <c r="H24" s="1616" t="str">
        <f t="shared" si="1"/>
        <v>LGBU</v>
      </c>
      <c r="I24" s="1616" t="str">
        <f t="shared" si="2"/>
        <v>Big Hole</v>
      </c>
      <c r="J24" s="1616">
        <f t="shared" si="3"/>
        <v>2500</v>
      </c>
      <c r="K24" s="2245">
        <f t="shared" si="12"/>
        <v>61</v>
      </c>
      <c r="L24" s="2244">
        <f t="shared" ca="1" si="13"/>
        <v>334.80200000000008</v>
      </c>
      <c r="M24" s="2244">
        <f t="shared" ca="1" si="4"/>
        <v>57.265425645863516</v>
      </c>
      <c r="N24" s="1898"/>
      <c r="O24" s="1898"/>
      <c r="P24" s="1898"/>
      <c r="Q24" s="1898"/>
      <c r="R24" s="1898"/>
      <c r="S24" s="2244">
        <f t="shared" ca="1" si="5"/>
        <v>111.01462974165459</v>
      </c>
      <c r="T24" s="1898"/>
      <c r="U24" s="1898"/>
      <c r="V24" s="1898"/>
      <c r="W24" s="1898"/>
      <c r="X24" s="1898"/>
      <c r="Y24" s="1898"/>
      <c r="Z24" s="2245">
        <f t="shared" si="6"/>
        <v>100</v>
      </c>
      <c r="AA24" s="2245">
        <f t="shared" si="7"/>
        <v>560</v>
      </c>
      <c r="AB24" s="2245">
        <f t="shared" si="8"/>
        <v>1260</v>
      </c>
      <c r="AC24" s="2245">
        <f t="shared" si="9"/>
        <v>1900</v>
      </c>
      <c r="AD24" s="2245">
        <f t="shared" si="10"/>
        <v>2500</v>
      </c>
      <c r="AE24" s="349" t="str">
        <f t="shared" si="11"/>
        <v>100-560-1260-1900-2500</v>
      </c>
      <c r="AF24" s="1622"/>
      <c r="AG24" s="1634"/>
    </row>
    <row r="25" spans="2:35" ht="15" hidden="1" x14ac:dyDescent="0.2">
      <c r="D25" s="1623" t="s">
        <v>101</v>
      </c>
      <c r="E25" s="1624">
        <f ca="1">SUM(E3:E24)</f>
        <v>334.80200000000008</v>
      </c>
      <c r="F25" s="1640"/>
      <c r="G25" s="1613"/>
      <c r="H25" s="1898"/>
      <c r="I25" s="1898"/>
      <c r="J25" s="1898"/>
      <c r="K25" s="1898"/>
      <c r="L25" s="1898"/>
      <c r="M25" s="1898"/>
      <c r="N25" s="1898"/>
      <c r="O25" s="1898"/>
      <c r="P25" s="1898"/>
      <c r="Q25" s="1898"/>
      <c r="R25" s="1898"/>
      <c r="S25" s="1898"/>
      <c r="T25" s="1898"/>
      <c r="U25" s="1898"/>
      <c r="V25" s="1898"/>
      <c r="W25" s="1898"/>
      <c r="X25" s="1898"/>
      <c r="Y25" s="1898"/>
      <c r="Z25" s="1898"/>
      <c r="AA25" s="1898"/>
      <c r="AB25" s="1898"/>
      <c r="AC25" s="1898"/>
      <c r="AD25" s="1898"/>
      <c r="AE25" s="1898"/>
      <c r="AF25" s="1622"/>
      <c r="AG25" s="1634"/>
    </row>
    <row r="26" spans="2:35" s="315" customFormat="1" ht="15" x14ac:dyDescent="0.2">
      <c r="D26" s="1895"/>
      <c r="E26" s="1896"/>
      <c r="F26" s="1897"/>
      <c r="G26" s="1898"/>
      <c r="H26" s="1898"/>
      <c r="I26" s="1898"/>
      <c r="J26" s="1898"/>
      <c r="K26" s="1898"/>
      <c r="L26" s="1898"/>
      <c r="M26" s="1898"/>
      <c r="N26" s="1898"/>
      <c r="O26" s="1898"/>
      <c r="P26" s="1898"/>
      <c r="Q26" s="1898"/>
      <c r="R26" s="1898"/>
      <c r="S26" s="1898"/>
      <c r="T26" s="1898"/>
      <c r="U26" s="1898"/>
      <c r="V26" s="1898"/>
      <c r="W26" s="1898"/>
      <c r="X26" s="1898"/>
      <c r="Y26" s="1898"/>
      <c r="Z26" s="1898"/>
      <c r="AA26" s="1898"/>
      <c r="AB26" s="1898"/>
      <c r="AC26" s="1898"/>
      <c r="AD26" s="1898"/>
      <c r="AE26" s="1898"/>
      <c r="AF26" s="1622"/>
      <c r="AG26" s="1634"/>
      <c r="AI26" s="1641"/>
    </row>
    <row r="28" spans="2:35" ht="15" x14ac:dyDescent="0.15">
      <c r="B28" s="1870" t="s">
        <v>2174</v>
      </c>
      <c r="C28" s="1870" t="s">
        <v>2175</v>
      </c>
      <c r="D28" s="1871" t="s">
        <v>2176</v>
      </c>
      <c r="E28" s="1870" t="s">
        <v>2177</v>
      </c>
      <c r="F28" s="1870" t="s">
        <v>2178</v>
      </c>
      <c r="G28" s="1870" t="s">
        <v>2199</v>
      </c>
      <c r="H28" s="1870"/>
      <c r="I28" s="1870"/>
      <c r="J28" s="1870"/>
      <c r="K28" s="1870"/>
      <c r="L28" s="1870"/>
      <c r="M28" s="1870"/>
      <c r="N28" s="1870"/>
      <c r="O28" s="1870"/>
      <c r="P28" s="1870"/>
      <c r="Q28" s="1870"/>
      <c r="R28" s="1870"/>
      <c r="S28" s="1870"/>
      <c r="T28" s="1870"/>
      <c r="U28" s="1870"/>
      <c r="V28" s="1870"/>
      <c r="W28" s="1870"/>
      <c r="X28" s="1870"/>
      <c r="Y28" s="1870"/>
      <c r="Z28" s="1870"/>
      <c r="AA28" s="1870"/>
      <c r="AB28" s="1870"/>
      <c r="AC28" s="1870"/>
      <c r="AD28" s="1870"/>
      <c r="AE28" s="1870"/>
      <c r="AF28" s="1870" t="s">
        <v>1133</v>
      </c>
    </row>
    <row r="29" spans="2:35" ht="15" x14ac:dyDescent="0.15">
      <c r="B29" s="1872" t="s">
        <v>933</v>
      </c>
      <c r="C29" s="1873"/>
      <c r="D29" s="1873" t="s">
        <v>2179</v>
      </c>
      <c r="E29" s="1874">
        <f>RIGMOVE</f>
        <v>13</v>
      </c>
      <c r="F29" s="1875">
        <f>E29</f>
        <v>13</v>
      </c>
      <c r="G29" s="1875">
        <f ca="1">ROUNDUP('Cost Details'!X63,-3)</f>
        <v>57266000</v>
      </c>
      <c r="H29" s="1875"/>
      <c r="I29" s="1875"/>
      <c r="J29" s="1875"/>
      <c r="K29" s="1875"/>
      <c r="L29" s="1875"/>
      <c r="M29" s="1875"/>
      <c r="N29" s="1875"/>
      <c r="O29" s="1875"/>
      <c r="P29" s="1875"/>
      <c r="Q29" s="1875"/>
      <c r="R29" s="1875"/>
      <c r="S29" s="1875"/>
      <c r="T29" s="1875"/>
      <c r="U29" s="1875"/>
      <c r="V29" s="1875"/>
      <c r="W29" s="1875"/>
      <c r="X29" s="1875"/>
      <c r="Y29" s="1875"/>
      <c r="Z29" s="1875"/>
      <c r="AA29" s="1875"/>
      <c r="AB29" s="1875"/>
      <c r="AC29" s="1875"/>
      <c r="AD29" s="1875"/>
      <c r="AE29" s="1875"/>
      <c r="AF29" s="1875">
        <f ca="1">G29/E29</f>
        <v>4405076.923076923</v>
      </c>
    </row>
    <row r="30" spans="2:35" ht="30" x14ac:dyDescent="0.15">
      <c r="B30" s="1872" t="s">
        <v>2180</v>
      </c>
      <c r="C30" s="1876">
        <f>INPUT!G23</f>
        <v>100</v>
      </c>
      <c r="D30" s="1873" t="str">
        <f>CONCATENATE("DRILL 26 in/32 in in HOLE TO", " ", C30,"m")</f>
        <v>DRILL 26 in/32 in in HOLE TO 100m</v>
      </c>
      <c r="E30" s="1875">
        <f>INPUT!Q7</f>
        <v>2</v>
      </c>
      <c r="F30" s="1875">
        <f>E29+E30</f>
        <v>15</v>
      </c>
      <c r="G30" s="1875">
        <f ca="1">ROUNDUP('Cost Details'!Y$63,-3)</f>
        <v>12539000</v>
      </c>
      <c r="H30" s="1875"/>
      <c r="I30" s="1875"/>
      <c r="J30" s="1875"/>
      <c r="K30" s="1875"/>
      <c r="L30" s="1875"/>
      <c r="M30" s="1875"/>
      <c r="N30" s="1875"/>
      <c r="O30" s="1875"/>
      <c r="P30" s="1875"/>
      <c r="Q30" s="1875"/>
      <c r="R30" s="1875"/>
      <c r="S30" s="1875"/>
      <c r="T30" s="1875"/>
      <c r="U30" s="1875"/>
      <c r="V30" s="1875"/>
      <c r="W30" s="1875"/>
      <c r="X30" s="1875"/>
      <c r="Y30" s="1875"/>
      <c r="Z30" s="1875"/>
      <c r="AA30" s="1875"/>
      <c r="AB30" s="1875"/>
      <c r="AC30" s="1875"/>
      <c r="AD30" s="1875"/>
      <c r="AE30" s="1875"/>
      <c r="AF30" s="1875">
        <f ca="1">G30/E30</f>
        <v>6269500</v>
      </c>
    </row>
    <row r="31" spans="2:35" ht="75" x14ac:dyDescent="0.15">
      <c r="B31" s="1872" t="s">
        <v>1239</v>
      </c>
      <c r="C31" s="1876">
        <f>C30</f>
        <v>100</v>
      </c>
      <c r="D31" s="1873" t="s">
        <v>2181</v>
      </c>
      <c r="E31" s="1875">
        <f>INPUT!R7</f>
        <v>4</v>
      </c>
      <c r="F31" s="1875">
        <f>E31+F30</f>
        <v>19</v>
      </c>
      <c r="G31" s="1875">
        <f ca="1">ROUNDUP('Cost Details'!Z$63,-3)</f>
        <v>23071000</v>
      </c>
      <c r="H31" s="1875"/>
      <c r="I31" s="1875"/>
      <c r="J31" s="1875"/>
      <c r="K31" s="1875"/>
      <c r="L31" s="1875"/>
      <c r="M31" s="1875"/>
      <c r="N31" s="1875"/>
      <c r="O31" s="1875"/>
      <c r="P31" s="1875"/>
      <c r="Q31" s="1875"/>
      <c r="R31" s="1875"/>
      <c r="S31" s="1875"/>
      <c r="T31" s="1875"/>
      <c r="U31" s="1875"/>
      <c r="V31" s="1875"/>
      <c r="W31" s="1875"/>
      <c r="X31" s="1875"/>
      <c r="Y31" s="1875"/>
      <c r="Z31" s="1875"/>
      <c r="AA31" s="1875"/>
      <c r="AB31" s="1875"/>
      <c r="AC31" s="1875"/>
      <c r="AD31" s="1875"/>
      <c r="AE31" s="1875"/>
      <c r="AF31" s="1875">
        <f t="shared" ref="AF31:AF38" ca="1" si="14">G31/E31</f>
        <v>5767750</v>
      </c>
    </row>
    <row r="32" spans="2:35" ht="30" x14ac:dyDescent="0.15">
      <c r="B32" s="1872" t="s">
        <v>2182</v>
      </c>
      <c r="C32" s="1876">
        <f>INPUT!G24</f>
        <v>560</v>
      </c>
      <c r="D32" s="1873" t="str">
        <f>CONCATENATE("DRILL 23 in HOLE TO", " ", C32,"m")</f>
        <v>DRILL 23 in HOLE TO 560m</v>
      </c>
      <c r="E32" s="1875">
        <f>INPUT!Q8</f>
        <v>5</v>
      </c>
      <c r="F32" s="1875">
        <f t="shared" ref="F32:F41" si="15">E32+F31</f>
        <v>24</v>
      </c>
      <c r="G32" s="1875">
        <f ca="1">ROUNDUP('Cost Details'!AA$63,-3)</f>
        <v>24493000</v>
      </c>
      <c r="H32" s="1875"/>
      <c r="I32" s="1875"/>
      <c r="J32" s="1875"/>
      <c r="K32" s="1875"/>
      <c r="L32" s="1875"/>
      <c r="M32" s="1875"/>
      <c r="N32" s="1875"/>
      <c r="O32" s="1875"/>
      <c r="P32" s="1875"/>
      <c r="Q32" s="1875"/>
      <c r="R32" s="1875"/>
      <c r="S32" s="1875"/>
      <c r="T32" s="1875"/>
      <c r="U32" s="1875"/>
      <c r="V32" s="1875"/>
      <c r="W32" s="1875"/>
      <c r="X32" s="1875"/>
      <c r="Y32" s="1875"/>
      <c r="Z32" s="1875"/>
      <c r="AA32" s="1875"/>
      <c r="AB32" s="1875"/>
      <c r="AC32" s="1875"/>
      <c r="AD32" s="1875"/>
      <c r="AE32" s="1875"/>
      <c r="AF32" s="1875">
        <f t="shared" ca="1" si="14"/>
        <v>4898600</v>
      </c>
    </row>
    <row r="33" spans="2:32" ht="60" x14ac:dyDescent="0.15">
      <c r="B33" s="1872" t="s">
        <v>2183</v>
      </c>
      <c r="C33" s="1876">
        <f>C32</f>
        <v>560</v>
      </c>
      <c r="D33" s="1873" t="s">
        <v>2184</v>
      </c>
      <c r="E33" s="1875">
        <f>INPUT!R8</f>
        <v>4</v>
      </c>
      <c r="F33" s="1875">
        <f t="shared" si="15"/>
        <v>28</v>
      </c>
      <c r="G33" s="1875">
        <f ca="1">ROUNDUP('Cost Details'!AB$63,-3)</f>
        <v>28075000</v>
      </c>
      <c r="H33" s="1875"/>
      <c r="I33" s="1875"/>
      <c r="J33" s="1875"/>
      <c r="K33" s="1875"/>
      <c r="L33" s="1875"/>
      <c r="M33" s="1875"/>
      <c r="N33" s="1875"/>
      <c r="O33" s="1875"/>
      <c r="P33" s="1875"/>
      <c r="Q33" s="1875"/>
      <c r="R33" s="1875"/>
      <c r="S33" s="1875"/>
      <c r="T33" s="1875"/>
      <c r="U33" s="1875"/>
      <c r="V33" s="1875"/>
      <c r="W33" s="1875"/>
      <c r="X33" s="1875"/>
      <c r="Y33" s="1875"/>
      <c r="Z33" s="1875"/>
      <c r="AA33" s="1875"/>
      <c r="AB33" s="1875"/>
      <c r="AC33" s="1875"/>
      <c r="AD33" s="1875"/>
      <c r="AE33" s="1875"/>
      <c r="AF33" s="1875">
        <f t="shared" ca="1" si="14"/>
        <v>7018750</v>
      </c>
    </row>
    <row r="34" spans="2:32" ht="30" x14ac:dyDescent="0.15">
      <c r="B34" s="1872" t="s">
        <v>2185</v>
      </c>
      <c r="C34" s="1876">
        <f>INPUT!G25</f>
        <v>1260</v>
      </c>
      <c r="D34" s="1873" t="str">
        <f>CONCATENATE("DRILL 17 in HOLE TO", " ", C34,"m")</f>
        <v>DRILL 17 in HOLE TO 1260m</v>
      </c>
      <c r="E34" s="1875">
        <f>INPUT!Q9</f>
        <v>10</v>
      </c>
      <c r="F34" s="1875">
        <f t="shared" si="15"/>
        <v>38</v>
      </c>
      <c r="G34" s="1875">
        <f ca="1">ROUNDUP('Cost Details'!AC$63,-3)</f>
        <v>45021000</v>
      </c>
      <c r="H34" s="1875"/>
      <c r="I34" s="1875"/>
      <c r="J34" s="1875"/>
      <c r="K34" s="1875"/>
      <c r="L34" s="1875"/>
      <c r="M34" s="1875"/>
      <c r="N34" s="1875"/>
      <c r="O34" s="1875"/>
      <c r="P34" s="1875"/>
      <c r="Q34" s="1875"/>
      <c r="R34" s="1875"/>
      <c r="S34" s="1875"/>
      <c r="T34" s="1875"/>
      <c r="U34" s="1875"/>
      <c r="V34" s="1875"/>
      <c r="W34" s="1875"/>
      <c r="X34" s="1875"/>
      <c r="Y34" s="1875"/>
      <c r="Z34" s="1875"/>
      <c r="AA34" s="1875"/>
      <c r="AB34" s="1875"/>
      <c r="AC34" s="1875"/>
      <c r="AD34" s="1875"/>
      <c r="AE34" s="1875"/>
      <c r="AF34" s="1875">
        <f t="shared" ca="1" si="14"/>
        <v>4502100</v>
      </c>
    </row>
    <row r="35" spans="2:32" ht="30" x14ac:dyDescent="0.15">
      <c r="B35" s="1872" t="s">
        <v>2186</v>
      </c>
      <c r="C35" s="1876">
        <f>C34</f>
        <v>1260</v>
      </c>
      <c r="D35" s="1873" t="s">
        <v>2187</v>
      </c>
      <c r="E35" s="1875">
        <f>INPUT!R9</f>
        <v>3</v>
      </c>
      <c r="F35" s="1875">
        <f t="shared" si="15"/>
        <v>41</v>
      </c>
      <c r="G35" s="1875">
        <f ca="1">ROUNDUP('Cost Details'!AD$63,-3)</f>
        <v>26020000</v>
      </c>
      <c r="H35" s="1875"/>
      <c r="I35" s="1875"/>
      <c r="J35" s="1875"/>
      <c r="K35" s="1875"/>
      <c r="L35" s="1875"/>
      <c r="M35" s="1875"/>
      <c r="N35" s="1875"/>
      <c r="O35" s="1875"/>
      <c r="P35" s="1875"/>
      <c r="Q35" s="1875"/>
      <c r="R35" s="1875"/>
      <c r="S35" s="1875"/>
      <c r="T35" s="1875"/>
      <c r="U35" s="1875"/>
      <c r="V35" s="1875"/>
      <c r="W35" s="1875"/>
      <c r="X35" s="1875"/>
      <c r="Y35" s="1875"/>
      <c r="Z35" s="1875"/>
      <c r="AA35" s="1875"/>
      <c r="AB35" s="1875"/>
      <c r="AC35" s="1875"/>
      <c r="AD35" s="1875"/>
      <c r="AE35" s="1875"/>
      <c r="AF35" s="1875">
        <f t="shared" ca="1" si="14"/>
        <v>8673333.333333334</v>
      </c>
    </row>
    <row r="36" spans="2:32" ht="30" x14ac:dyDescent="0.15">
      <c r="B36" s="1872" t="s">
        <v>2188</v>
      </c>
      <c r="C36" s="1876">
        <f>INPUT!G26</f>
        <v>1900</v>
      </c>
      <c r="D36" s="1873" t="str">
        <f>CONCATENATE("DRILL 12.25 in HOLE TO", " ", C36,"m")</f>
        <v>DRILL 12.25 in HOLE TO 1900m</v>
      </c>
      <c r="E36" s="1875">
        <f>INPUT!Q10</f>
        <v>6</v>
      </c>
      <c r="F36" s="1875">
        <f t="shared" si="15"/>
        <v>47</v>
      </c>
      <c r="G36" s="1875">
        <f ca="1">ROUNDUP('Cost Details'!AE$63,-3)</f>
        <v>30042000</v>
      </c>
      <c r="H36" s="1875"/>
      <c r="I36" s="1875"/>
      <c r="J36" s="1875"/>
      <c r="K36" s="1875"/>
      <c r="L36" s="1875"/>
      <c r="M36" s="1875"/>
      <c r="N36" s="1875"/>
      <c r="O36" s="1875"/>
      <c r="P36" s="1875"/>
      <c r="Q36" s="1875"/>
      <c r="R36" s="1875"/>
      <c r="S36" s="1875"/>
      <c r="T36" s="1875"/>
      <c r="U36" s="1875"/>
      <c r="V36" s="1875"/>
      <c r="W36" s="1875"/>
      <c r="X36" s="1875"/>
      <c r="Y36" s="1875"/>
      <c r="Z36" s="1875"/>
      <c r="AA36" s="1875"/>
      <c r="AB36" s="1875"/>
      <c r="AC36" s="1875"/>
      <c r="AD36" s="1875"/>
      <c r="AE36" s="1875"/>
      <c r="AF36" s="1875">
        <f t="shared" ca="1" si="14"/>
        <v>5007000</v>
      </c>
    </row>
    <row r="37" spans="2:32" ht="45" x14ac:dyDescent="0.15">
      <c r="B37" s="1872" t="s">
        <v>2189</v>
      </c>
      <c r="C37" s="1876">
        <f>C36</f>
        <v>1900</v>
      </c>
      <c r="D37" s="1873" t="s">
        <v>2190</v>
      </c>
      <c r="E37" s="1875">
        <f>INPUT!R10</f>
        <v>2</v>
      </c>
      <c r="F37" s="1875">
        <f t="shared" si="15"/>
        <v>49</v>
      </c>
      <c r="G37" s="1875">
        <f ca="1">ROUNDUP('Cost Details'!AF$63,-3)</f>
        <v>11524000</v>
      </c>
      <c r="H37" s="1875"/>
      <c r="I37" s="1875"/>
      <c r="J37" s="1875"/>
      <c r="K37" s="1875"/>
      <c r="L37" s="1875"/>
      <c r="M37" s="1875"/>
      <c r="N37" s="1875"/>
      <c r="O37" s="1875"/>
      <c r="P37" s="1875"/>
      <c r="Q37" s="1875"/>
      <c r="R37" s="1875"/>
      <c r="S37" s="1875"/>
      <c r="T37" s="1875"/>
      <c r="U37" s="1875"/>
      <c r="V37" s="1875"/>
      <c r="W37" s="1875"/>
      <c r="X37" s="1875"/>
      <c r="Y37" s="1875"/>
      <c r="Z37" s="1875"/>
      <c r="AA37" s="1875"/>
      <c r="AB37" s="1875"/>
      <c r="AC37" s="1875"/>
      <c r="AD37" s="1875"/>
      <c r="AE37" s="1875"/>
      <c r="AF37" s="1875">
        <f t="shared" ca="1" si="14"/>
        <v>5762000</v>
      </c>
    </row>
    <row r="38" spans="2:32" ht="30" x14ac:dyDescent="0.15">
      <c r="B38" s="1872" t="s">
        <v>2191</v>
      </c>
      <c r="C38" s="1876">
        <f>INPUT!G27</f>
        <v>2500</v>
      </c>
      <c r="D38" s="1873" t="str">
        <f>CONCATENATE("DRILL 9.875 in HOLE TO", " ", C38,"m")</f>
        <v>DRILL 9.875 in HOLE TO 2500m</v>
      </c>
      <c r="E38" s="1875">
        <f>INPUT!Q11</f>
        <v>5</v>
      </c>
      <c r="F38" s="1875">
        <f t="shared" si="15"/>
        <v>54</v>
      </c>
      <c r="G38" s="1875">
        <f ca="1">ROUNDUP('Cost Details'!AG$63,-3)</f>
        <v>28279000</v>
      </c>
      <c r="H38" s="1875"/>
      <c r="I38" s="1875"/>
      <c r="J38" s="1875"/>
      <c r="K38" s="1875"/>
      <c r="L38" s="1875"/>
      <c r="M38" s="1875"/>
      <c r="N38" s="1875"/>
      <c r="O38" s="1875"/>
      <c r="P38" s="1875"/>
      <c r="Q38" s="1875"/>
      <c r="R38" s="1875"/>
      <c r="S38" s="1875"/>
      <c r="T38" s="1875"/>
      <c r="U38" s="1875"/>
      <c r="V38" s="1875"/>
      <c r="W38" s="1875"/>
      <c r="X38" s="1875"/>
      <c r="Y38" s="1875"/>
      <c r="Z38" s="1875"/>
      <c r="AA38" s="1875"/>
      <c r="AB38" s="1875"/>
      <c r="AC38" s="1875"/>
      <c r="AD38" s="1875"/>
      <c r="AE38" s="1875"/>
      <c r="AF38" s="1875">
        <f t="shared" ca="1" si="14"/>
        <v>5655800</v>
      </c>
    </row>
    <row r="39" spans="2:32" ht="30" x14ac:dyDescent="0.15">
      <c r="B39" s="1872" t="s">
        <v>2192</v>
      </c>
      <c r="C39" s="1876">
        <f>C38</f>
        <v>2500</v>
      </c>
      <c r="D39" s="1873" t="s">
        <v>2193</v>
      </c>
      <c r="E39" s="1875">
        <v>1</v>
      </c>
      <c r="F39" s="1875">
        <f t="shared" si="15"/>
        <v>55</v>
      </c>
      <c r="G39" s="2551">
        <f ca="1">ROUNDUP('Cost Details'!$AH$63+'Cost Details'!$AK$63,-3)</f>
        <v>48467000</v>
      </c>
      <c r="H39" s="2239"/>
      <c r="I39" s="2239"/>
      <c r="J39" s="2239"/>
      <c r="K39" s="2239"/>
      <c r="L39" s="2239"/>
      <c r="M39" s="2239"/>
      <c r="N39" s="2239"/>
      <c r="O39" s="2239"/>
      <c r="P39" s="2239"/>
      <c r="Q39" s="2239"/>
      <c r="R39" s="2239"/>
      <c r="S39" s="2239"/>
      <c r="T39" s="2239"/>
      <c r="U39" s="2239"/>
      <c r="V39" s="2239"/>
      <c r="W39" s="2239"/>
      <c r="X39" s="2239"/>
      <c r="Y39" s="2248"/>
      <c r="Z39" s="2239"/>
      <c r="AA39" s="2239"/>
      <c r="AB39" s="2239"/>
      <c r="AC39" s="2239"/>
      <c r="AD39" s="2239"/>
      <c r="AE39" s="2239"/>
      <c r="AF39" s="2551">
        <f ca="1">G39/SUM(E39:E41)</f>
        <v>6923857.1428571427</v>
      </c>
    </row>
    <row r="40" spans="2:32" ht="90" x14ac:dyDescent="0.15">
      <c r="B40" s="1872" t="s">
        <v>2194</v>
      </c>
      <c r="C40" s="1876">
        <f>C39</f>
        <v>2500</v>
      </c>
      <c r="D40" s="1873" t="s">
        <v>2195</v>
      </c>
      <c r="E40" s="1875">
        <f>INPUT!R13+3</f>
        <v>3</v>
      </c>
      <c r="F40" s="1875">
        <f t="shared" si="15"/>
        <v>58</v>
      </c>
      <c r="G40" s="2552"/>
      <c r="H40" s="2240"/>
      <c r="I40" s="2240"/>
      <c r="J40" s="2240"/>
      <c r="K40" s="2240"/>
      <c r="L40" s="2240"/>
      <c r="M40" s="2240"/>
      <c r="N40" s="2240"/>
      <c r="O40" s="2240"/>
      <c r="P40" s="2240"/>
      <c r="Q40" s="2240"/>
      <c r="R40" s="2240"/>
      <c r="S40" s="2240"/>
      <c r="T40" s="2240"/>
      <c r="U40" s="2240"/>
      <c r="V40" s="2240"/>
      <c r="W40" s="2240"/>
      <c r="X40" s="2240"/>
      <c r="Y40" s="2249"/>
      <c r="Z40" s="2240"/>
      <c r="AA40" s="2240"/>
      <c r="AB40" s="2240"/>
      <c r="AC40" s="2240"/>
      <c r="AD40" s="2240"/>
      <c r="AE40" s="2240"/>
      <c r="AF40" s="2552"/>
    </row>
    <row r="41" spans="2:32" ht="45" x14ac:dyDescent="0.15">
      <c r="B41" s="1872" t="s">
        <v>2196</v>
      </c>
      <c r="C41" s="1876">
        <f>C40</f>
        <v>2500</v>
      </c>
      <c r="D41" s="1873" t="s">
        <v>2197</v>
      </c>
      <c r="E41" s="1875">
        <v>3</v>
      </c>
      <c r="F41" s="1875">
        <f t="shared" si="15"/>
        <v>61</v>
      </c>
      <c r="G41" s="2553"/>
      <c r="H41" s="2241"/>
      <c r="I41" s="2241"/>
      <c r="J41" s="2241"/>
      <c r="K41" s="2241"/>
      <c r="L41" s="2241"/>
      <c r="M41" s="2241"/>
      <c r="N41" s="2241"/>
      <c r="O41" s="2241"/>
      <c r="P41" s="2241"/>
      <c r="Q41" s="2241"/>
      <c r="R41" s="2241"/>
      <c r="S41" s="2241"/>
      <c r="T41" s="2241"/>
      <c r="U41" s="2241"/>
      <c r="V41" s="2241"/>
      <c r="W41" s="2241"/>
      <c r="X41" s="2241"/>
      <c r="Y41" s="2250"/>
      <c r="Z41" s="2241"/>
      <c r="AA41" s="2241"/>
      <c r="AB41" s="2241"/>
      <c r="AC41" s="2241"/>
      <c r="AD41" s="2241"/>
      <c r="AE41" s="2241"/>
      <c r="AF41" s="2553"/>
    </row>
    <row r="42" spans="2:32" ht="15" x14ac:dyDescent="0.15">
      <c r="B42" s="1877"/>
      <c r="C42" s="1878"/>
      <c r="D42" s="1879" t="s">
        <v>2198</v>
      </c>
      <c r="E42" s="1874">
        <f>SUM(E30:E41)</f>
        <v>48</v>
      </c>
      <c r="F42" s="1874"/>
      <c r="G42" s="1874">
        <f ca="1">SUM(G29:G41)</f>
        <v>334797000</v>
      </c>
      <c r="H42" s="1874"/>
      <c r="I42" s="1874"/>
      <c r="J42" s="1874"/>
      <c r="K42" s="1874"/>
      <c r="L42" s="1874"/>
      <c r="M42" s="1874"/>
      <c r="N42" s="1874"/>
      <c r="O42" s="1874"/>
      <c r="P42" s="1874"/>
      <c r="Q42" s="1874"/>
      <c r="R42" s="1874"/>
      <c r="S42" s="1874"/>
      <c r="T42" s="1874"/>
      <c r="U42" s="1874"/>
      <c r="V42" s="1874"/>
      <c r="W42" s="1874"/>
      <c r="X42" s="1874"/>
      <c r="Y42" s="1874"/>
      <c r="Z42" s="1874"/>
      <c r="AA42" s="1874"/>
      <c r="AB42" s="1874"/>
      <c r="AC42" s="1874"/>
      <c r="AD42" s="1874"/>
      <c r="AE42" s="1874"/>
      <c r="AF42" s="1874"/>
    </row>
  </sheetData>
  <mergeCells count="2">
    <mergeCell ref="G39:G41"/>
    <mergeCell ref="AF39:AF41"/>
  </mergeCells>
  <conditionalFormatting sqref="E29:AF42">
    <cfRule type="expression" priority="7">
      <formula>""</formula>
    </cfRule>
  </conditionalFormatting>
  <pageMargins left="0.7" right="0.7" top="0.75" bottom="0.75" header="0.3" footer="0.3"/>
  <pageSetup paperSize="9" orientation="portrait" verticalDpi="0" r:id="rId1"/>
  <ignoredErrors>
    <ignoredError sqref="C32 C34 C36 C38" formula="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
  <sheetViews>
    <sheetView showGridLines="0" topLeftCell="A10" workbookViewId="0">
      <selection activeCell="C31" sqref="C31"/>
    </sheetView>
  </sheetViews>
  <sheetFormatPr baseColWidth="10" defaultColWidth="8.83203125" defaultRowHeight="13" x14ac:dyDescent="0.15"/>
  <cols>
    <col min="1" max="1" width="3" bestFit="1" customWidth="1"/>
    <col min="2" max="2" width="83" customWidth="1"/>
    <col min="5" max="5" width="23.33203125" customWidth="1"/>
  </cols>
  <sheetData>
    <row r="1" spans="1:16" ht="14" thickBot="1" x14ac:dyDescent="0.2">
      <c r="A1" s="1932"/>
      <c r="B1" s="1932"/>
      <c r="C1" s="1932"/>
      <c r="D1" s="1932"/>
      <c r="E1" s="1932"/>
      <c r="F1" s="1932"/>
      <c r="G1" s="1932"/>
      <c r="H1" s="1932"/>
      <c r="I1" s="1932"/>
      <c r="J1" s="1932"/>
      <c r="K1" s="1932"/>
      <c r="L1" s="1932"/>
      <c r="M1" s="1932"/>
      <c r="N1" s="1932"/>
      <c r="O1" s="1932"/>
      <c r="P1" s="1932"/>
    </row>
    <row r="2" spans="1:16" ht="14" thickTop="1" x14ac:dyDescent="0.15">
      <c r="A2" s="1942"/>
      <c r="B2" s="1943" t="s">
        <v>2212</v>
      </c>
      <c r="C2" s="1943" t="s">
        <v>2213</v>
      </c>
      <c r="D2" s="1943" t="s">
        <v>2220</v>
      </c>
      <c r="E2" s="1944" t="s">
        <v>782</v>
      </c>
      <c r="F2" s="1932"/>
      <c r="G2" s="1932"/>
      <c r="H2" s="1932"/>
      <c r="I2" s="1932"/>
      <c r="J2" s="1932"/>
      <c r="K2" s="1932"/>
      <c r="L2" s="1932"/>
      <c r="M2" s="1932"/>
      <c r="N2" s="1932"/>
      <c r="O2" s="1932"/>
      <c r="P2" s="1932"/>
    </row>
    <row r="3" spans="1:16" x14ac:dyDescent="0.15">
      <c r="A3" s="1933">
        <v>1</v>
      </c>
      <c r="B3" s="1934" t="s">
        <v>2222</v>
      </c>
      <c r="C3" s="1935">
        <v>42766</v>
      </c>
      <c r="D3" s="1934" t="s">
        <v>2221</v>
      </c>
      <c r="E3" s="1936" t="s">
        <v>2229</v>
      </c>
      <c r="F3" s="1932"/>
      <c r="G3" s="1932"/>
      <c r="H3" s="1932"/>
      <c r="I3" s="1932"/>
      <c r="J3" s="1932"/>
      <c r="K3" s="1932"/>
      <c r="L3" s="1932"/>
      <c r="M3" s="1932"/>
      <c r="N3" s="1932"/>
      <c r="O3" s="1932"/>
      <c r="P3" s="1932"/>
    </row>
    <row r="4" spans="1:16" s="315" customFormat="1" x14ac:dyDescent="0.15">
      <c r="A4" s="1933">
        <v>2</v>
      </c>
      <c r="B4" s="1934" t="s">
        <v>2223</v>
      </c>
      <c r="C4" s="1935">
        <v>42766</v>
      </c>
      <c r="D4" s="1934" t="s">
        <v>2224</v>
      </c>
      <c r="E4" s="1936" t="s">
        <v>2230</v>
      </c>
      <c r="F4" s="1932"/>
      <c r="G4" s="1932"/>
      <c r="H4" s="1932"/>
      <c r="I4" s="1932"/>
      <c r="J4" s="1932"/>
      <c r="K4" s="1932"/>
      <c r="L4" s="1932"/>
      <c r="M4" s="1932"/>
      <c r="N4" s="1932"/>
      <c r="O4" s="1932"/>
      <c r="P4" s="1932"/>
    </row>
    <row r="5" spans="1:16" x14ac:dyDescent="0.15">
      <c r="A5" s="1933">
        <v>3</v>
      </c>
      <c r="B5" s="1934" t="s">
        <v>2225</v>
      </c>
      <c r="C5" s="1935">
        <v>42766</v>
      </c>
      <c r="D5" s="1934" t="s">
        <v>2224</v>
      </c>
      <c r="E5" s="1936" t="s">
        <v>2231</v>
      </c>
      <c r="F5" s="1932"/>
      <c r="G5" s="1932"/>
      <c r="H5" s="1932"/>
      <c r="I5" s="1932"/>
      <c r="J5" s="1932"/>
      <c r="K5" s="1932"/>
      <c r="L5" s="1932"/>
      <c r="M5" s="1932"/>
      <c r="N5" s="1932"/>
      <c r="O5" s="1932"/>
      <c r="P5" s="1932"/>
    </row>
    <row r="6" spans="1:16" x14ac:dyDescent="0.15">
      <c r="A6" s="1933">
        <v>4</v>
      </c>
      <c r="B6" s="1934" t="s">
        <v>2226</v>
      </c>
      <c r="C6" s="1935">
        <v>42766</v>
      </c>
      <c r="D6" s="1934" t="s">
        <v>2227</v>
      </c>
      <c r="E6" s="1936" t="s">
        <v>2232</v>
      </c>
      <c r="F6" s="1932"/>
      <c r="G6" s="1932"/>
      <c r="H6" s="1932"/>
      <c r="I6" s="1932"/>
      <c r="J6" s="1932"/>
      <c r="K6" s="1932"/>
      <c r="L6" s="1932"/>
      <c r="M6" s="1932"/>
      <c r="N6" s="1932"/>
      <c r="O6" s="1932"/>
      <c r="P6" s="1932"/>
    </row>
    <row r="7" spans="1:16" x14ac:dyDescent="0.15">
      <c r="A7" s="1933">
        <v>5</v>
      </c>
      <c r="B7" s="1934" t="s">
        <v>2214</v>
      </c>
      <c r="C7" s="1935">
        <v>42766</v>
      </c>
      <c r="D7" s="1934" t="s">
        <v>2227</v>
      </c>
      <c r="E7" s="1936" t="s">
        <v>2228</v>
      </c>
      <c r="F7" s="1932"/>
      <c r="G7" s="1932"/>
      <c r="H7" s="1932"/>
      <c r="I7" s="1932"/>
      <c r="J7" s="1932"/>
      <c r="K7" s="1932"/>
      <c r="L7" s="1932"/>
      <c r="M7" s="1932"/>
      <c r="N7" s="1932"/>
      <c r="O7" s="1932"/>
      <c r="P7" s="1932"/>
    </row>
    <row r="8" spans="1:16" x14ac:dyDescent="0.15">
      <c r="A8" s="1933">
        <v>6</v>
      </c>
      <c r="B8" s="1934" t="s">
        <v>2215</v>
      </c>
      <c r="C8" s="1935">
        <v>42766</v>
      </c>
      <c r="D8" s="1934" t="s">
        <v>2233</v>
      </c>
      <c r="E8" s="1936" t="s">
        <v>2234</v>
      </c>
      <c r="F8" s="1932"/>
      <c r="G8" s="1932"/>
      <c r="H8" s="1932"/>
      <c r="I8" s="1932"/>
      <c r="J8" s="1932"/>
      <c r="K8" s="1932"/>
      <c r="L8" s="1932"/>
      <c r="M8" s="1932"/>
      <c r="N8" s="1932"/>
      <c r="O8" s="1932"/>
      <c r="P8" s="1932"/>
    </row>
    <row r="9" spans="1:16" x14ac:dyDescent="0.15">
      <c r="A9" s="1933">
        <v>7</v>
      </c>
      <c r="B9" s="1934" t="s">
        <v>2235</v>
      </c>
      <c r="C9" s="1935">
        <v>42766</v>
      </c>
      <c r="D9" s="1934" t="s">
        <v>2227</v>
      </c>
      <c r="E9" s="1937"/>
      <c r="F9" s="1932"/>
      <c r="G9" s="1932"/>
      <c r="H9" s="1932"/>
      <c r="I9" s="1932"/>
      <c r="J9" s="1932"/>
      <c r="K9" s="1932"/>
      <c r="L9" s="1932"/>
      <c r="M9" s="1932"/>
      <c r="N9" s="1932"/>
      <c r="O9" s="1932"/>
      <c r="P9" s="1932"/>
    </row>
    <row r="10" spans="1:16" x14ac:dyDescent="0.15">
      <c r="A10" s="1933">
        <v>8</v>
      </c>
      <c r="B10" s="1934" t="s">
        <v>2216</v>
      </c>
      <c r="C10" s="1935">
        <v>42766</v>
      </c>
      <c r="D10" s="1934" t="s">
        <v>2236</v>
      </c>
      <c r="E10" s="1937"/>
      <c r="F10" s="1932"/>
      <c r="G10" s="1932"/>
      <c r="H10" s="1932"/>
      <c r="I10" s="1932"/>
      <c r="J10" s="1932"/>
      <c r="K10" s="1932"/>
      <c r="L10" s="1932"/>
      <c r="M10" s="1932"/>
      <c r="N10" s="1932"/>
      <c r="O10" s="1932"/>
      <c r="P10" s="1932"/>
    </row>
    <row r="11" spans="1:16" x14ac:dyDescent="0.15">
      <c r="A11" s="1933">
        <v>9</v>
      </c>
      <c r="B11" s="1934" t="s">
        <v>2217</v>
      </c>
      <c r="C11" s="1935">
        <v>42766</v>
      </c>
      <c r="D11" s="1934" t="s">
        <v>2237</v>
      </c>
      <c r="E11" s="1937"/>
      <c r="F11" s="1932"/>
      <c r="G11" s="1932"/>
      <c r="H11" s="1932"/>
      <c r="I11" s="1932"/>
      <c r="J11" s="1932"/>
      <c r="K11" s="1932"/>
      <c r="L11" s="1932"/>
      <c r="M11" s="1932"/>
      <c r="N11" s="1932"/>
      <c r="O11" s="1932"/>
      <c r="P11" s="1932"/>
    </row>
    <row r="12" spans="1:16" x14ac:dyDescent="0.15">
      <c r="A12" s="1933">
        <v>10</v>
      </c>
      <c r="B12" s="1934" t="s">
        <v>2218</v>
      </c>
      <c r="C12" s="1935">
        <v>42766</v>
      </c>
      <c r="D12" s="1934" t="s">
        <v>2227</v>
      </c>
      <c r="E12" s="1937"/>
      <c r="F12" s="1932"/>
      <c r="G12" s="1932"/>
      <c r="H12" s="1932"/>
      <c r="I12" s="1932"/>
      <c r="J12" s="1932"/>
      <c r="K12" s="1932"/>
      <c r="L12" s="1932"/>
      <c r="M12" s="1932"/>
      <c r="N12" s="1932"/>
      <c r="O12" s="1932"/>
      <c r="P12" s="1932"/>
    </row>
    <row r="13" spans="1:16" x14ac:dyDescent="0.15">
      <c r="A13" s="1933">
        <v>11</v>
      </c>
      <c r="B13" s="1934" t="s">
        <v>2219</v>
      </c>
      <c r="C13" s="1935">
        <v>42776</v>
      </c>
      <c r="D13" s="1934" t="s">
        <v>2236</v>
      </c>
      <c r="E13" s="1936" t="s">
        <v>2238</v>
      </c>
      <c r="F13" s="1932"/>
      <c r="G13" s="1932"/>
      <c r="H13" s="1932"/>
      <c r="I13" s="1932"/>
      <c r="J13" s="1932"/>
      <c r="K13" s="1932"/>
      <c r="L13" s="1932"/>
      <c r="M13" s="1932"/>
      <c r="N13" s="1932"/>
      <c r="O13" s="1932"/>
      <c r="P13" s="1932"/>
    </row>
    <row r="14" spans="1:16" x14ac:dyDescent="0.15">
      <c r="A14" s="1933">
        <v>12</v>
      </c>
      <c r="B14" s="1934" t="s">
        <v>2240</v>
      </c>
      <c r="C14" s="1935">
        <v>42780</v>
      </c>
      <c r="D14" s="1934" t="s">
        <v>2227</v>
      </c>
      <c r="E14" s="1936" t="s">
        <v>2239</v>
      </c>
      <c r="F14" s="1932"/>
      <c r="G14" s="1932"/>
      <c r="H14" s="1932"/>
      <c r="I14" s="1932"/>
      <c r="J14" s="1932"/>
      <c r="K14" s="1932"/>
      <c r="L14" s="1932"/>
      <c r="M14" s="1932"/>
      <c r="N14" s="1932"/>
      <c r="O14" s="1932"/>
      <c r="P14" s="1932"/>
    </row>
    <row r="15" spans="1:16" x14ac:dyDescent="0.15">
      <c r="A15" s="1933">
        <v>13</v>
      </c>
      <c r="B15" s="1934" t="s">
        <v>2245</v>
      </c>
      <c r="C15" s="1935">
        <v>42787</v>
      </c>
      <c r="D15" s="1934" t="s">
        <v>2227</v>
      </c>
      <c r="E15" s="1936" t="s">
        <v>2246</v>
      </c>
      <c r="F15" s="1932"/>
      <c r="G15" s="1932"/>
      <c r="H15" s="1932"/>
      <c r="I15" s="1932"/>
      <c r="J15" s="1932"/>
      <c r="K15" s="1932"/>
      <c r="L15" s="1932"/>
      <c r="M15" s="1932"/>
      <c r="N15" s="1932"/>
      <c r="O15" s="1932"/>
      <c r="P15" s="1932"/>
    </row>
    <row r="16" spans="1:16" x14ac:dyDescent="0.15">
      <c r="A16" s="1933">
        <v>14</v>
      </c>
      <c r="B16" s="1934" t="s">
        <v>2247</v>
      </c>
      <c r="C16" s="1935">
        <v>42787</v>
      </c>
      <c r="D16" s="1934" t="s">
        <v>2221</v>
      </c>
      <c r="E16" s="1936" t="s">
        <v>2251</v>
      </c>
      <c r="F16" s="1932"/>
      <c r="G16" s="1932"/>
      <c r="H16" s="1932"/>
      <c r="I16" s="1932"/>
      <c r="J16" s="1932"/>
      <c r="K16" s="1932"/>
      <c r="L16" s="1932"/>
      <c r="M16" s="1932"/>
      <c r="N16" s="1932"/>
      <c r="O16" s="1932"/>
      <c r="P16" s="1932"/>
    </row>
    <row r="17" spans="1:16" x14ac:dyDescent="0.15">
      <c r="A17" s="1933">
        <v>15</v>
      </c>
      <c r="B17" s="1934" t="s">
        <v>2249</v>
      </c>
      <c r="C17" s="1935">
        <v>42794</v>
      </c>
      <c r="D17" s="1934" t="s">
        <v>2227</v>
      </c>
      <c r="E17" s="1936" t="s">
        <v>2250</v>
      </c>
      <c r="F17" s="1932"/>
      <c r="G17" s="1932"/>
      <c r="H17" s="1932"/>
      <c r="I17" s="1932"/>
      <c r="J17" s="1932"/>
      <c r="K17" s="1932"/>
      <c r="L17" s="1932"/>
      <c r="M17" s="1932"/>
      <c r="N17" s="1932"/>
      <c r="O17" s="1932"/>
      <c r="P17" s="1932"/>
    </row>
    <row r="18" spans="1:16" x14ac:dyDescent="0.15">
      <c r="A18" s="1933">
        <v>16</v>
      </c>
      <c r="B18" s="1938" t="s">
        <v>2254</v>
      </c>
      <c r="C18" s="1958">
        <v>42800</v>
      </c>
      <c r="D18" s="1938" t="s">
        <v>2236</v>
      </c>
      <c r="E18" s="1937" t="s">
        <v>2255</v>
      </c>
      <c r="F18" s="1932"/>
      <c r="G18" s="1932"/>
      <c r="H18" s="1932"/>
      <c r="I18" s="1932"/>
      <c r="J18" s="1932"/>
      <c r="K18" s="1932"/>
      <c r="L18" s="1932"/>
      <c r="M18" s="1932"/>
      <c r="N18" s="1932"/>
      <c r="O18" s="1932"/>
      <c r="P18" s="1932"/>
    </row>
    <row r="19" spans="1:16" x14ac:dyDescent="0.15">
      <c r="A19" s="1933">
        <v>17</v>
      </c>
      <c r="B19" s="1934" t="s">
        <v>2256</v>
      </c>
      <c r="C19" s="1958">
        <v>42800</v>
      </c>
      <c r="D19" s="1934" t="s">
        <v>2227</v>
      </c>
      <c r="E19" s="1936" t="s">
        <v>2250</v>
      </c>
      <c r="F19" s="1932"/>
      <c r="G19" s="1932"/>
      <c r="H19" s="1932"/>
      <c r="I19" s="1932"/>
      <c r="J19" s="1932"/>
      <c r="K19" s="1932"/>
      <c r="L19" s="1932"/>
      <c r="M19" s="1932"/>
      <c r="N19" s="1932"/>
      <c r="O19" s="1932"/>
      <c r="P19" s="1932"/>
    </row>
    <row r="20" spans="1:16" x14ac:dyDescent="0.15">
      <c r="A20" s="1933">
        <v>18</v>
      </c>
      <c r="B20" s="1934" t="s">
        <v>2259</v>
      </c>
      <c r="C20" s="1958">
        <v>42800</v>
      </c>
      <c r="D20" s="1934" t="s">
        <v>2236</v>
      </c>
      <c r="E20" s="1936" t="s">
        <v>2255</v>
      </c>
      <c r="F20" s="1932"/>
      <c r="G20" s="1932"/>
      <c r="H20" s="1932"/>
      <c r="I20" s="1932"/>
      <c r="J20" s="1932"/>
      <c r="K20" s="1932"/>
      <c r="L20" s="1932"/>
      <c r="M20" s="1932"/>
      <c r="N20" s="1932"/>
      <c r="O20" s="1932"/>
      <c r="P20" s="1932"/>
    </row>
    <row r="21" spans="1:16" x14ac:dyDescent="0.15">
      <c r="A21" s="1933">
        <v>19</v>
      </c>
      <c r="B21" s="1934" t="s">
        <v>2264</v>
      </c>
      <c r="C21" s="1958">
        <v>42800</v>
      </c>
      <c r="D21" s="1934" t="s">
        <v>2227</v>
      </c>
      <c r="E21" s="1936" t="s">
        <v>2250</v>
      </c>
      <c r="F21" s="1932"/>
      <c r="G21" s="1932"/>
      <c r="H21" s="1932"/>
      <c r="I21" s="1932"/>
      <c r="J21" s="1932"/>
      <c r="K21" s="1932"/>
      <c r="L21" s="1932"/>
      <c r="M21" s="1932"/>
      <c r="N21" s="1932"/>
      <c r="O21" s="1932"/>
      <c r="P21" s="1932"/>
    </row>
    <row r="22" spans="1:16" x14ac:dyDescent="0.15">
      <c r="A22" s="1933">
        <v>20</v>
      </c>
      <c r="B22" s="1934" t="s">
        <v>2266</v>
      </c>
      <c r="C22" s="1958">
        <v>42801</v>
      </c>
      <c r="D22" s="1934" t="s">
        <v>2227</v>
      </c>
      <c r="E22" s="1936" t="s">
        <v>2250</v>
      </c>
      <c r="F22" s="1932"/>
      <c r="G22" s="1932"/>
      <c r="H22" s="1932"/>
      <c r="I22" s="1932"/>
      <c r="J22" s="1932"/>
      <c r="K22" s="1932"/>
      <c r="L22" s="1932"/>
      <c r="M22" s="1932"/>
      <c r="N22" s="1932"/>
      <c r="O22" s="1932"/>
      <c r="P22" s="1932"/>
    </row>
    <row r="23" spans="1:16" x14ac:dyDescent="0.15">
      <c r="A23" s="1933">
        <v>21</v>
      </c>
      <c r="B23" s="1934" t="s">
        <v>2267</v>
      </c>
      <c r="C23" s="1958">
        <v>42801</v>
      </c>
      <c r="D23" s="1934" t="s">
        <v>2227</v>
      </c>
      <c r="E23" s="1936" t="s">
        <v>2250</v>
      </c>
      <c r="F23" s="1932"/>
      <c r="G23" s="1932"/>
      <c r="H23" s="1932"/>
      <c r="I23" s="1932"/>
      <c r="J23" s="1932"/>
      <c r="K23" s="1932"/>
      <c r="L23" s="1932"/>
      <c r="M23" s="1932"/>
      <c r="N23" s="1932"/>
      <c r="O23" s="1932"/>
      <c r="P23" s="1932"/>
    </row>
    <row r="24" spans="1:16" x14ac:dyDescent="0.15">
      <c r="A24" s="1933">
        <v>22</v>
      </c>
      <c r="B24" s="1934" t="s">
        <v>2269</v>
      </c>
      <c r="C24" s="1958">
        <v>42802</v>
      </c>
      <c r="D24" s="1938" t="s">
        <v>2236</v>
      </c>
      <c r="E24" s="1937" t="s">
        <v>2255</v>
      </c>
      <c r="F24" s="1932"/>
      <c r="G24" s="1932"/>
      <c r="H24" s="1932"/>
      <c r="I24" s="1932"/>
      <c r="J24" s="1932"/>
      <c r="K24" s="1932"/>
      <c r="L24" s="1932"/>
      <c r="M24" s="1932"/>
      <c r="N24" s="1932"/>
      <c r="O24" s="1932"/>
      <c r="P24" s="1932"/>
    </row>
    <row r="25" spans="1:16" x14ac:dyDescent="0.15">
      <c r="A25" s="1933">
        <v>23</v>
      </c>
      <c r="B25" s="1934" t="s">
        <v>2272</v>
      </c>
      <c r="C25" s="1958">
        <v>42815</v>
      </c>
      <c r="D25" s="1934" t="s">
        <v>2227</v>
      </c>
      <c r="E25" s="1936" t="s">
        <v>2273</v>
      </c>
      <c r="F25" s="1932"/>
      <c r="G25" s="1932"/>
      <c r="H25" s="1932"/>
      <c r="I25" s="1932"/>
      <c r="J25" s="1932"/>
      <c r="K25" s="1932"/>
      <c r="L25" s="1932"/>
      <c r="M25" s="1932"/>
      <c r="N25" s="1932"/>
      <c r="O25" s="1932"/>
      <c r="P25" s="1932"/>
    </row>
    <row r="26" spans="1:16" x14ac:dyDescent="0.15">
      <c r="A26" s="1933">
        <v>24</v>
      </c>
      <c r="B26" s="1934" t="s">
        <v>2610</v>
      </c>
      <c r="C26" s="1935">
        <v>42873</v>
      </c>
      <c r="D26" s="1934" t="s">
        <v>2227</v>
      </c>
      <c r="E26" s="1937"/>
      <c r="F26" s="1932"/>
      <c r="G26" s="1932"/>
      <c r="H26" s="1932"/>
      <c r="I26" s="1932"/>
      <c r="J26" s="1932"/>
      <c r="K26" s="1932"/>
      <c r="L26" s="1932"/>
      <c r="M26" s="1932"/>
      <c r="N26" s="1932"/>
      <c r="O26" s="1932"/>
      <c r="P26" s="1932"/>
    </row>
    <row r="27" spans="1:16" x14ac:dyDescent="0.15">
      <c r="A27" s="1933">
        <v>25</v>
      </c>
      <c r="B27" s="1934" t="s">
        <v>2707</v>
      </c>
      <c r="C27" s="1935">
        <v>42882</v>
      </c>
      <c r="D27" s="1934" t="s">
        <v>2227</v>
      </c>
      <c r="E27" s="1936" t="s">
        <v>2706</v>
      </c>
      <c r="F27" s="1932"/>
      <c r="G27" s="1932"/>
      <c r="H27" s="1932"/>
      <c r="I27" s="1932"/>
      <c r="J27" s="1932"/>
      <c r="K27" s="1932"/>
      <c r="L27" s="1932"/>
      <c r="M27" s="1932"/>
      <c r="N27" s="1932"/>
      <c r="O27" s="1932"/>
      <c r="P27" s="1932"/>
    </row>
    <row r="28" spans="1:16" x14ac:dyDescent="0.15">
      <c r="A28" s="1933"/>
      <c r="B28" s="1938"/>
      <c r="C28" s="1938"/>
      <c r="D28" s="1938"/>
      <c r="E28" s="1937"/>
      <c r="F28" s="1932"/>
      <c r="G28" s="1932"/>
      <c r="H28" s="1932"/>
      <c r="I28" s="1932"/>
      <c r="J28" s="1932"/>
      <c r="K28" s="1932"/>
      <c r="L28" s="1932"/>
      <c r="M28" s="1932"/>
      <c r="N28" s="1932"/>
      <c r="O28" s="1932"/>
      <c r="P28" s="1932"/>
    </row>
    <row r="29" spans="1:16" ht="14" thickBot="1" x14ac:dyDescent="0.2">
      <c r="A29" s="1939"/>
      <c r="B29" s="1940"/>
      <c r="C29" s="1940"/>
      <c r="D29" s="1940"/>
      <c r="E29" s="1941"/>
      <c r="F29" s="1932"/>
      <c r="G29" s="1932"/>
      <c r="H29" s="1932"/>
      <c r="I29" s="1932"/>
      <c r="J29" s="1932"/>
      <c r="K29" s="1932"/>
      <c r="L29" s="1932"/>
      <c r="M29" s="1932"/>
      <c r="N29" s="1932"/>
      <c r="O29" s="1932"/>
      <c r="P29" s="1932"/>
    </row>
    <row r="30" spans="1:16" ht="14" thickTop="1" x14ac:dyDescent="0.15">
      <c r="A30" s="1932"/>
      <c r="B30" s="1932"/>
      <c r="C30" s="1932"/>
      <c r="D30" s="1932"/>
      <c r="E30" s="1932"/>
      <c r="F30" s="1932"/>
      <c r="G30" s="1932"/>
      <c r="H30" s="1932"/>
      <c r="I30" s="1932"/>
      <c r="J30" s="1932"/>
      <c r="K30" s="1932"/>
      <c r="L30" s="1932"/>
      <c r="M30" s="1932"/>
      <c r="N30" s="1932"/>
      <c r="O30" s="1932"/>
      <c r="P30" s="1932"/>
    </row>
    <row r="31" spans="1:16" x14ac:dyDescent="0.15">
      <c r="A31" s="1932"/>
      <c r="B31" s="1932"/>
      <c r="C31" s="1932"/>
      <c r="D31" s="1932"/>
      <c r="E31" s="1932"/>
      <c r="F31" s="1932"/>
      <c r="G31" s="1932"/>
      <c r="H31" s="1932"/>
      <c r="I31" s="1932"/>
      <c r="J31" s="1932"/>
      <c r="K31" s="1932"/>
      <c r="L31" s="1932"/>
      <c r="M31" s="1932"/>
      <c r="N31" s="1932"/>
      <c r="O31" s="1932"/>
      <c r="P31" s="1932"/>
    </row>
    <row r="32" spans="1:16" x14ac:dyDescent="0.15">
      <c r="A32" s="1932"/>
      <c r="B32" s="1932"/>
      <c r="C32" s="1932"/>
      <c r="D32" s="1932"/>
      <c r="E32" s="1932"/>
      <c r="F32" s="1932"/>
      <c r="G32" s="1932"/>
      <c r="H32" s="1932"/>
      <c r="I32" s="1932"/>
      <c r="J32" s="1932"/>
      <c r="K32" s="1932"/>
      <c r="L32" s="1932"/>
      <c r="M32" s="1932"/>
      <c r="N32" s="1932"/>
      <c r="O32" s="1932"/>
      <c r="P32" s="1932"/>
    </row>
    <row r="33" spans="1:16" x14ac:dyDescent="0.15">
      <c r="A33" s="1932"/>
      <c r="B33" s="1932"/>
      <c r="C33" s="1932"/>
      <c r="D33" s="1932"/>
      <c r="E33" s="1932"/>
      <c r="F33" s="1932"/>
      <c r="G33" s="1932"/>
      <c r="H33" s="1932"/>
      <c r="I33" s="1932"/>
      <c r="J33" s="1932"/>
      <c r="K33" s="1932"/>
      <c r="L33" s="1932"/>
      <c r="M33" s="1932"/>
      <c r="N33" s="1932"/>
      <c r="O33" s="1932"/>
      <c r="P33" s="1932"/>
    </row>
    <row r="34" spans="1:16" x14ac:dyDescent="0.15">
      <c r="A34" s="1932"/>
      <c r="B34" s="1932"/>
      <c r="C34" s="1932"/>
      <c r="D34" s="1932"/>
      <c r="E34" s="1932"/>
      <c r="F34" s="1932"/>
      <c r="G34" s="1932"/>
      <c r="H34" s="1932"/>
      <c r="I34" s="1932"/>
      <c r="J34" s="1932"/>
      <c r="K34" s="1932"/>
      <c r="L34" s="1932"/>
      <c r="M34" s="1932"/>
      <c r="N34" s="1932"/>
      <c r="O34" s="1932"/>
      <c r="P34" s="1932"/>
    </row>
    <row r="35" spans="1:16" x14ac:dyDescent="0.15">
      <c r="A35" s="1932"/>
      <c r="B35" s="1932"/>
      <c r="C35" s="1932"/>
      <c r="D35" s="1932"/>
      <c r="E35" s="1932"/>
      <c r="F35" s="1932"/>
      <c r="G35" s="1932"/>
      <c r="H35" s="1932"/>
      <c r="I35" s="1932"/>
      <c r="J35" s="1932"/>
      <c r="K35" s="1932"/>
      <c r="L35" s="1932"/>
      <c r="M35" s="1932"/>
      <c r="N35" s="1932"/>
      <c r="O35" s="1932"/>
      <c r="P35" s="1932"/>
    </row>
    <row r="36" spans="1:16" x14ac:dyDescent="0.15">
      <c r="A36" s="1932"/>
      <c r="B36" s="1932"/>
      <c r="C36" s="1932"/>
      <c r="D36" s="1932"/>
      <c r="E36" s="1932"/>
      <c r="F36" s="1932"/>
      <c r="G36" s="1932"/>
      <c r="H36" s="1932"/>
      <c r="I36" s="1932"/>
      <c r="J36" s="1932"/>
      <c r="K36" s="1932"/>
      <c r="L36" s="1932"/>
      <c r="M36" s="1932"/>
      <c r="N36" s="1932"/>
      <c r="O36" s="1932"/>
      <c r="P36" s="1932"/>
    </row>
    <row r="37" spans="1:16" x14ac:dyDescent="0.15">
      <c r="A37" s="1932"/>
      <c r="B37" s="1932"/>
      <c r="C37" s="1932"/>
      <c r="D37" s="1932"/>
      <c r="E37" s="1932"/>
      <c r="F37" s="1932"/>
      <c r="G37" s="1932"/>
      <c r="H37" s="1932"/>
      <c r="I37" s="1932"/>
      <c r="J37" s="1932"/>
      <c r="K37" s="1932"/>
      <c r="L37" s="1932"/>
      <c r="M37" s="1932"/>
      <c r="N37" s="1932"/>
      <c r="O37" s="1932"/>
      <c r="P37" s="1932"/>
    </row>
    <row r="38" spans="1:16" x14ac:dyDescent="0.15">
      <c r="A38" s="1932"/>
      <c r="B38" s="1932"/>
      <c r="C38" s="1932"/>
      <c r="D38" s="1932"/>
      <c r="E38" s="1932"/>
      <c r="F38" s="1932"/>
      <c r="G38" s="1932"/>
      <c r="H38" s="1932"/>
      <c r="I38" s="1932"/>
      <c r="J38" s="1932"/>
      <c r="K38" s="1932"/>
      <c r="L38" s="1932"/>
      <c r="M38" s="1932"/>
      <c r="N38" s="1932"/>
      <c r="O38" s="1932"/>
      <c r="P38" s="193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PR Template (PHP)</vt:lpstr>
      <vt:lpstr>PR Template(USD)</vt:lpstr>
      <vt:lpstr>DATA RESOURCE</vt:lpstr>
      <vt:lpstr>Contents</vt:lpstr>
      <vt:lpstr>EQUIPMENT</vt:lpstr>
      <vt:lpstr>TPWSI RR</vt:lpstr>
      <vt:lpstr>Rig1Peripherals</vt:lpstr>
      <vt:lpstr>Fuel</vt:lpstr>
      <vt:lpstr>CHF</vt:lpstr>
      <vt:lpstr>Rockbits</vt:lpstr>
      <vt:lpstr>Inventory Consu</vt:lpstr>
      <vt:lpstr>Cement SLB Rev</vt:lpstr>
      <vt:lpstr>MUD Consumables</vt:lpstr>
      <vt:lpstr>Casings et al</vt:lpstr>
      <vt:lpstr>ALLOCATED COSTS</vt:lpstr>
      <vt:lpstr>Common matcode</vt:lpstr>
      <vt:lpstr>Inventory Report_5.4.2017</vt:lpstr>
      <vt:lpstr>INPUT</vt:lpstr>
      <vt:lpstr>COVER SHEET</vt:lpstr>
      <vt:lpstr>JARSSHOCKTOOLDDT</vt:lpstr>
      <vt:lpstr>ADA COSTS</vt:lpstr>
      <vt:lpstr>Casing Running</vt:lpstr>
      <vt:lpstr>Rig Move</vt:lpstr>
      <vt:lpstr>Rig 2 Equip</vt:lpstr>
      <vt:lpstr>Cost Details</vt:lpstr>
      <vt:lpstr>OPSCOM SUM</vt:lpstr>
      <vt:lpstr>CHANGES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Maverick A. Cruz</dc:creator>
  <cp:keywords>Updated on directional drilling</cp:keywords>
  <cp:lastModifiedBy>Microsoft Office User</cp:lastModifiedBy>
  <cp:lastPrinted>2017-02-28T08:35:51Z</cp:lastPrinted>
  <dcterms:created xsi:type="dcterms:W3CDTF">2013-07-20T06:03:17Z</dcterms:created>
  <dcterms:modified xsi:type="dcterms:W3CDTF">2018-03-09T15:43:39Z</dcterms:modified>
</cp:coreProperties>
</file>